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24226"/>
  <mc:AlternateContent xmlns:mc="http://schemas.openxmlformats.org/markup-compatibility/2006">
    <mc:Choice Requires="x15">
      <x15ac:absPath xmlns:x15ac="http://schemas.microsoft.com/office/spreadsheetml/2010/11/ac" url="C:\Users\118038\Downloads\"/>
    </mc:Choice>
  </mc:AlternateContent>
  <xr:revisionPtr revIDLastSave="0" documentId="13_ncr:1_{9AB19F7F-16B4-494A-BD9F-E3E7AE9A96F5}" xr6:coauthVersionLast="47" xr6:coauthVersionMax="47" xr10:uidLastSave="{00000000-0000-0000-0000-000000000000}"/>
  <bookViews>
    <workbookView xWindow="-120" yWindow="-120" windowWidth="29040" windowHeight="15720" tabRatio="748" firstSheet="1" activeTab="16" xr2:uid="{00000000-000D-0000-FFFF-FFFF00000000}"/>
  </bookViews>
  <sheets>
    <sheet name="Basis &amp; Assumptions (2)" sheetId="55" state="hidden" r:id="rId1"/>
    <sheet name="Basis &amp; Assumptions" sheetId="10" r:id="rId2"/>
    <sheet name="Tray Sizing" sheetId="50" state="hidden" r:id="rId3"/>
    <sheet name="Catalogue Aluminium" sheetId="7" r:id="rId4"/>
    <sheet name="MV Cable sizing-11kV" sheetId="31" r:id="rId5"/>
    <sheet name="Sheet2" sheetId="52" state="hidden" r:id="rId6"/>
    <sheet name="LV Cable sizing_SS-1" sheetId="44" r:id="rId7"/>
    <sheet name="MV Cable sizing-6.6kV" sheetId="21" state="hidden" r:id="rId8"/>
    <sheet name="Catalogue A_old" sheetId="33" state="hidden" r:id="rId9"/>
    <sheet name="Catalogue_CU" sheetId="29" state="hidden" r:id="rId10"/>
    <sheet name="Catalogue Copper" sheetId="32" state="hidden" r:id="rId11"/>
    <sheet name="Tray-Void" sheetId="26" state="hidden" r:id="rId12"/>
    <sheet name="requred Dia" sheetId="27" state="hidden" r:id="rId13"/>
    <sheet name="LV Cable sizing_SS-2" sheetId="39" r:id="rId14"/>
    <sheet name="LV Cable sizing_SS-3" sheetId="45" r:id="rId15"/>
    <sheet name="Sheet1" sheetId="51" state="hidden" r:id="rId16"/>
    <sheet name="Summary" sheetId="9" r:id="rId17"/>
    <sheet name="Tray-S_old" sheetId="48" state="hidden" r:id="rId18"/>
  </sheets>
  <definedNames>
    <definedName name="_xlnm._FilterDatabase" localSheetId="6" hidden="1">'LV Cable sizing_SS-1'!$A$5:$BC$446</definedName>
    <definedName name="_xlnm._FilterDatabase" localSheetId="13" hidden="1">'LV Cable sizing_SS-2'!$A$5:$BA$283</definedName>
    <definedName name="_xlnm._FilterDatabase" localSheetId="14" hidden="1">'LV Cable sizing_SS-3'!$A$5:$BA$102</definedName>
    <definedName name="_xlnm._FilterDatabase" localSheetId="4" hidden="1">'MV Cable sizing-11kV'!$A$5:$BC$84</definedName>
    <definedName name="_xlnm._FilterDatabase" localSheetId="7" hidden="1">'MV Cable sizing-6.6kV'!$A$5:$AU$33</definedName>
    <definedName name="_xlnm._FilterDatabase" localSheetId="16" hidden="1">Summary!$A$4:$AF$133</definedName>
    <definedName name="_xlnm._FilterDatabase" localSheetId="11" hidden="1">'Tray-Void'!$B$5:$AP$59</definedName>
    <definedName name="a">'LV Cable sizing_SS-1'!$C$4</definedName>
    <definedName name="_xlnm.Print_Area" localSheetId="1">'Basis &amp; Assumptions'!$A$2:$C$17</definedName>
    <definedName name="_xlnm.Print_Area" localSheetId="0">'Basis &amp; Assumptions (2)'!$A$2:$C$23</definedName>
    <definedName name="_xlnm.Print_Area" localSheetId="8">'Catalogue A_old'!$A$1:$T$210</definedName>
    <definedName name="_xlnm.Print_Area" localSheetId="3">'Catalogue Aluminium'!$A$3:$S$210</definedName>
    <definedName name="_xlnm.Print_Area" localSheetId="10">'Catalogue Copper'!$A$1:$T$210</definedName>
    <definedName name="_xlnm.Print_Area" localSheetId="9">Catalogue_CU!$A$1:$T$170</definedName>
    <definedName name="_xlnm.Print_Area" localSheetId="6">'LV Cable sizing_SS-1'!$A$2:$BA$448</definedName>
    <definedName name="_xlnm.Print_Area" localSheetId="13">'LV Cable sizing_SS-2'!$A$2:$BC$283</definedName>
    <definedName name="_xlnm.Print_Area" localSheetId="14">'LV Cable sizing_SS-3'!$A$2:$BC$102</definedName>
    <definedName name="_xlnm.Print_Area" localSheetId="4">'MV Cable sizing-11kV'!$A$2:$BC$85</definedName>
    <definedName name="_xlnm.Print_Area" localSheetId="7">'MV Cable sizing-6.6kV'!$A$2:$AX$32</definedName>
    <definedName name="_xlnm.Print_Area" localSheetId="16">Summary!$A$1:$AF$133</definedName>
    <definedName name="_xlnm.Print_Area" localSheetId="2">'Tray Sizing'!$B$1:$BA$92</definedName>
    <definedName name="_xlnm.Print_Area" localSheetId="11">'Tray-Void'!$B$2:$AP$72</definedName>
    <definedName name="_xlnm.Print_Titles" localSheetId="6">'LV Cable sizing_SS-1'!$1:$5</definedName>
    <definedName name="_xlnm.Print_Titles" localSheetId="13">'LV Cable sizing_SS-2'!$1:$5</definedName>
    <definedName name="_xlnm.Print_Titles" localSheetId="14">'LV Cable sizing_SS-3'!$1:$5</definedName>
    <definedName name="_xlnm.Print_Titles" localSheetId="4">'MV Cable sizing-11kV'!$2:$5</definedName>
    <definedName name="_xlnm.Print_Titles" localSheetId="7">'MV Cable sizing-6.6kV'!$1:$5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O47" i="31" l="1"/>
  <c r="AH307" i="44"/>
  <c r="AD56" i="31" l="1"/>
  <c r="AC56" i="31"/>
  <c r="AD55" i="31"/>
  <c r="AC55" i="31"/>
  <c r="AD54" i="31"/>
  <c r="AC54" i="31"/>
  <c r="AD53" i="31"/>
  <c r="AC53" i="31"/>
  <c r="AD52" i="31"/>
  <c r="AC52" i="31"/>
  <c r="AD51" i="31"/>
  <c r="AC51" i="31"/>
  <c r="AD50" i="31"/>
  <c r="AC50" i="31"/>
  <c r="AD48" i="31"/>
  <c r="AC48" i="31"/>
  <c r="AD47" i="31"/>
  <c r="AC47" i="31"/>
  <c r="AC44" i="31"/>
  <c r="AC43" i="31"/>
  <c r="AC42" i="31"/>
  <c r="AC41" i="31"/>
  <c r="AD7" i="31"/>
  <c r="AD39" i="31"/>
  <c r="AD38" i="31"/>
  <c r="AD37" i="31"/>
  <c r="AD36" i="31"/>
  <c r="AD35" i="31"/>
  <c r="AD34" i="31"/>
  <c r="AD33" i="31"/>
  <c r="AD32" i="31"/>
  <c r="AD31" i="31"/>
  <c r="AD30" i="31"/>
  <c r="AD29" i="31"/>
  <c r="AD28" i="31"/>
  <c r="AD27" i="31"/>
  <c r="AD26" i="31"/>
  <c r="AD25" i="31"/>
  <c r="AD24" i="31"/>
  <c r="AD23" i="31"/>
  <c r="AD22" i="31"/>
  <c r="AD21" i="31"/>
  <c r="AD20" i="31"/>
  <c r="AD19" i="31"/>
  <c r="AD18" i="31"/>
  <c r="AD17" i="31"/>
  <c r="AD16" i="31"/>
  <c r="AD15" i="31"/>
  <c r="AD14" i="31"/>
  <c r="AD13" i="31"/>
  <c r="AD12" i="31"/>
  <c r="AD11" i="31"/>
  <c r="AD10" i="31"/>
  <c r="AC7" i="31"/>
  <c r="AC39" i="31"/>
  <c r="AC38" i="31"/>
  <c r="AC37" i="31"/>
  <c r="AC36" i="31"/>
  <c r="AC35" i="31"/>
  <c r="AC34" i="31"/>
  <c r="AC33" i="31"/>
  <c r="AC32" i="31"/>
  <c r="AC31" i="31"/>
  <c r="AC30" i="31"/>
  <c r="AC29" i="31"/>
  <c r="AC28" i="31"/>
  <c r="AC27" i="31"/>
  <c r="AC26" i="31"/>
  <c r="AC25" i="31"/>
  <c r="AC24" i="31"/>
  <c r="AC23" i="31"/>
  <c r="AC22" i="31"/>
  <c r="AC21" i="31"/>
  <c r="AC20" i="31"/>
  <c r="AC19" i="31"/>
  <c r="AC18" i="31"/>
  <c r="AC17" i="31"/>
  <c r="AC16" i="31"/>
  <c r="AC15" i="31"/>
  <c r="AC14" i="31"/>
  <c r="AC13" i="31"/>
  <c r="AC12" i="31"/>
  <c r="AC11" i="31"/>
  <c r="AC10" i="31"/>
  <c r="AC8" i="31"/>
  <c r="AC9" i="31"/>
  <c r="AJ107" i="31" l="1"/>
  <c r="AD112" i="39" l="1"/>
  <c r="AU73" i="39"/>
  <c r="AT73" i="39"/>
  <c r="AM73" i="39"/>
  <c r="AL73" i="39"/>
  <c r="AK73" i="39"/>
  <c r="AJ73" i="39"/>
  <c r="AI73" i="39"/>
  <c r="AD73" i="39"/>
  <c r="AG73" i="39" s="1"/>
  <c r="AH73" i="39" s="1"/>
  <c r="W73" i="39"/>
  <c r="AA73" i="39" s="1"/>
  <c r="S73" i="39"/>
  <c r="P73" i="39"/>
  <c r="O73" i="39"/>
  <c r="N73" i="39"/>
  <c r="AU71" i="39"/>
  <c r="AT71" i="39"/>
  <c r="AM71" i="39"/>
  <c r="AL71" i="39"/>
  <c r="AK71" i="39"/>
  <c r="AJ71" i="39"/>
  <c r="AI71" i="39"/>
  <c r="AD71" i="39"/>
  <c r="AG71" i="39" s="1"/>
  <c r="W71" i="39"/>
  <c r="AA71" i="39" s="1"/>
  <c r="S71" i="39"/>
  <c r="P71" i="39"/>
  <c r="O71" i="39"/>
  <c r="N71" i="39"/>
  <c r="AU69" i="39"/>
  <c r="AT69" i="39"/>
  <c r="AM69" i="39"/>
  <c r="AL69" i="39"/>
  <c r="AK69" i="39"/>
  <c r="AJ69" i="39"/>
  <c r="AI69" i="39"/>
  <c r="AG69" i="39"/>
  <c r="AH69" i="39" s="1"/>
  <c r="AD69" i="39"/>
  <c r="W69" i="39"/>
  <c r="AA69" i="39" s="1"/>
  <c r="S69" i="39"/>
  <c r="P69" i="39"/>
  <c r="O69" i="39"/>
  <c r="N69" i="39"/>
  <c r="AU67" i="39"/>
  <c r="AT67" i="39"/>
  <c r="AM67" i="39"/>
  <c r="AL67" i="39"/>
  <c r="AK67" i="39"/>
  <c r="AJ67" i="39"/>
  <c r="AI67" i="39"/>
  <c r="AD67" i="39"/>
  <c r="W67" i="39"/>
  <c r="AA67" i="39" s="1"/>
  <c r="S67" i="39"/>
  <c r="P67" i="39"/>
  <c r="O67" i="39"/>
  <c r="N67" i="39"/>
  <c r="AM72" i="39"/>
  <c r="AL72" i="39"/>
  <c r="AK72" i="39"/>
  <c r="AJ72" i="39"/>
  <c r="AI72" i="39"/>
  <c r="AD72" i="39"/>
  <c r="AC72" i="39"/>
  <c r="W72" i="39"/>
  <c r="AB72" i="39" s="1"/>
  <c r="S72" i="39"/>
  <c r="P72" i="39"/>
  <c r="N72" i="39"/>
  <c r="AM68" i="39"/>
  <c r="AL68" i="39"/>
  <c r="AK68" i="39"/>
  <c r="AJ68" i="39"/>
  <c r="AI68" i="39"/>
  <c r="AD68" i="39"/>
  <c r="AC68" i="39"/>
  <c r="AG68" i="39" s="1"/>
  <c r="AH68" i="39" s="1"/>
  <c r="W68" i="39"/>
  <c r="AB68" i="39" s="1"/>
  <c r="S68" i="39"/>
  <c r="P68" i="39"/>
  <c r="N68" i="39"/>
  <c r="AM66" i="39"/>
  <c r="AL66" i="39"/>
  <c r="AK66" i="39"/>
  <c r="AJ66" i="39"/>
  <c r="AI66" i="39"/>
  <c r="AD66" i="39"/>
  <c r="AC66" i="39"/>
  <c r="W66" i="39"/>
  <c r="AB66" i="39" s="1"/>
  <c r="S66" i="39"/>
  <c r="P66" i="39"/>
  <c r="N66" i="39"/>
  <c r="AM65" i="39"/>
  <c r="AL65" i="39"/>
  <c r="AK65" i="39"/>
  <c r="AJ65" i="39"/>
  <c r="AI65" i="39"/>
  <c r="AD65" i="39"/>
  <c r="AC65" i="39"/>
  <c r="AG65" i="39" s="1"/>
  <c r="W65" i="39"/>
  <c r="X65" i="39" s="1"/>
  <c r="S65" i="39"/>
  <c r="P65" i="39"/>
  <c r="N65" i="39"/>
  <c r="O65" i="39" s="1"/>
  <c r="AM64" i="39"/>
  <c r="AL64" i="39"/>
  <c r="AK64" i="39"/>
  <c r="AJ64" i="39"/>
  <c r="AI64" i="39"/>
  <c r="AD64" i="39"/>
  <c r="AC64" i="39"/>
  <c r="W64" i="39"/>
  <c r="AA64" i="39" s="1"/>
  <c r="S64" i="39"/>
  <c r="P64" i="39"/>
  <c r="N64" i="39"/>
  <c r="O64" i="39" s="1"/>
  <c r="AM70" i="39"/>
  <c r="AL70" i="39"/>
  <c r="AK70" i="39"/>
  <c r="AJ70" i="39"/>
  <c r="AI70" i="39"/>
  <c r="AG70" i="39"/>
  <c r="AD70" i="39"/>
  <c r="AC70" i="39"/>
  <c r="BA131" i="39"/>
  <c r="BA130" i="39"/>
  <c r="BA129" i="39"/>
  <c r="BA128" i="39"/>
  <c r="BA127" i="39"/>
  <c r="BA126" i="39"/>
  <c r="BA125" i="39"/>
  <c r="BA124" i="39"/>
  <c r="BA123" i="39"/>
  <c r="BA122" i="39"/>
  <c r="BA121" i="39"/>
  <c r="BA120" i="39"/>
  <c r="BA119" i="39"/>
  <c r="BA118" i="39"/>
  <c r="BA117" i="39"/>
  <c r="AN67" i="39" l="1"/>
  <c r="AN70" i="39"/>
  <c r="AN69" i="39"/>
  <c r="AN64" i="39"/>
  <c r="AN65" i="39"/>
  <c r="AN73" i="39"/>
  <c r="AN71" i="39"/>
  <c r="X67" i="39"/>
  <c r="AB67" i="39"/>
  <c r="AN72" i="39"/>
  <c r="AH70" i="39"/>
  <c r="AN68" i="39"/>
  <c r="Z65" i="39"/>
  <c r="AA65" i="39"/>
  <c r="X72" i="39"/>
  <c r="AB65" i="39"/>
  <c r="AN66" i="39"/>
  <c r="AB69" i="39"/>
  <c r="AB71" i="39"/>
  <c r="AB73" i="39"/>
  <c r="Z73" i="39"/>
  <c r="X73" i="39"/>
  <c r="AH71" i="39"/>
  <c r="X71" i="39"/>
  <c r="Z71" i="39"/>
  <c r="X69" i="39"/>
  <c r="Z69" i="39"/>
  <c r="AO69" i="39" s="1"/>
  <c r="AG67" i="39"/>
  <c r="AH67" i="39" s="1"/>
  <c r="Z67" i="39"/>
  <c r="AG72" i="39"/>
  <c r="AH72" i="39" s="1"/>
  <c r="O72" i="39"/>
  <c r="AA72" i="39"/>
  <c r="Z72" i="39"/>
  <c r="AA68" i="39"/>
  <c r="O68" i="39"/>
  <c r="X68" i="39"/>
  <c r="Z68" i="39"/>
  <c r="AB64" i="39"/>
  <c r="AH65" i="39"/>
  <c r="O66" i="39"/>
  <c r="AG64" i="39"/>
  <c r="AH64" i="39" s="1"/>
  <c r="X66" i="39"/>
  <c r="AG66" i="39"/>
  <c r="AH66" i="39" s="1"/>
  <c r="Z64" i="39"/>
  <c r="Z66" i="39"/>
  <c r="X64" i="39"/>
  <c r="AA66" i="39"/>
  <c r="AO66" i="39" l="1"/>
  <c r="AP66" i="39" s="1"/>
  <c r="AO73" i="39"/>
  <c r="AP73" i="39" s="1"/>
  <c r="AW73" i="39" s="1"/>
  <c r="AO64" i="39"/>
  <c r="AP64" i="39" s="1"/>
  <c r="AQ64" i="39" s="1"/>
  <c r="AO67" i="39"/>
  <c r="AP67" i="39" s="1"/>
  <c r="AO72" i="39"/>
  <c r="AP72" i="39" s="1"/>
  <c r="AT72" i="39" s="1"/>
  <c r="AU72" i="39" s="1"/>
  <c r="AO65" i="39"/>
  <c r="AP65" i="39" s="1"/>
  <c r="AQ65" i="39" s="1"/>
  <c r="AO68" i="39"/>
  <c r="AP68" i="39" s="1"/>
  <c r="AO71" i="39"/>
  <c r="AP71" i="39" s="1"/>
  <c r="AP69" i="39"/>
  <c r="AV73" i="39" l="1"/>
  <c r="AQ73" i="39"/>
  <c r="AR73" i="39"/>
  <c r="AS73" i="39" s="1"/>
  <c r="AT65" i="39"/>
  <c r="AU65" i="39" s="1"/>
  <c r="AR65" i="39"/>
  <c r="AS65" i="39" s="1"/>
  <c r="AV65" i="39"/>
  <c r="AW65" i="39"/>
  <c r="AQ71" i="39"/>
  <c r="AW71" i="39"/>
  <c r="AV71" i="39"/>
  <c r="AR71" i="39"/>
  <c r="AS71" i="39" s="1"/>
  <c r="AW69" i="39"/>
  <c r="AV69" i="39"/>
  <c r="AR69" i="39"/>
  <c r="AS69" i="39" s="1"/>
  <c r="AQ69" i="39"/>
  <c r="AW67" i="39"/>
  <c r="AV67" i="39"/>
  <c r="AQ67" i="39"/>
  <c r="AR67" i="39"/>
  <c r="AS67" i="39" s="1"/>
  <c r="AW72" i="39"/>
  <c r="AV72" i="39"/>
  <c r="AQ72" i="39"/>
  <c r="AR72" i="39"/>
  <c r="AS72" i="39" s="1"/>
  <c r="AV68" i="39"/>
  <c r="AW68" i="39"/>
  <c r="AQ68" i="39"/>
  <c r="AR68" i="39"/>
  <c r="AS68" i="39" s="1"/>
  <c r="AT68" i="39"/>
  <c r="AU68" i="39" s="1"/>
  <c r="AW66" i="39"/>
  <c r="AV66" i="39"/>
  <c r="AV64" i="39"/>
  <c r="AW64" i="39"/>
  <c r="AR64" i="39"/>
  <c r="AS64" i="39" s="1"/>
  <c r="AQ66" i="39"/>
  <c r="AT64" i="39"/>
  <c r="AU64" i="39" s="1"/>
  <c r="AT66" i="39"/>
  <c r="AU66" i="39" s="1"/>
  <c r="AR66" i="39"/>
  <c r="AS66" i="39" s="1"/>
  <c r="AC62" i="39"/>
  <c r="BA19" i="45"/>
  <c r="AM19" i="45"/>
  <c r="AL19" i="45"/>
  <c r="AK19" i="45"/>
  <c r="AJ19" i="45"/>
  <c r="AI19" i="45"/>
  <c r="AF19" i="45"/>
  <c r="AE19" i="45"/>
  <c r="AD19" i="45"/>
  <c r="AC19" i="45"/>
  <c r="W19" i="45"/>
  <c r="BB19" i="45" s="1"/>
  <c r="S19" i="45"/>
  <c r="P19" i="45"/>
  <c r="N19" i="45"/>
  <c r="BA18" i="45"/>
  <c r="AU18" i="45"/>
  <c r="AT18" i="45"/>
  <c r="AM18" i="45"/>
  <c r="AL18" i="45"/>
  <c r="AK18" i="45"/>
  <c r="AJ18" i="45"/>
  <c r="AI18" i="45"/>
  <c r="AG18" i="45"/>
  <c r="AF18" i="45"/>
  <c r="AE18" i="45"/>
  <c r="AD18" i="45"/>
  <c r="AC18" i="45"/>
  <c r="W18" i="45"/>
  <c r="BB18" i="45" s="1"/>
  <c r="S18" i="45"/>
  <c r="P18" i="45"/>
  <c r="O18" i="45"/>
  <c r="N18" i="45"/>
  <c r="BA17" i="45"/>
  <c r="AU17" i="45"/>
  <c r="AT17" i="45"/>
  <c r="AM17" i="45"/>
  <c r="AL17" i="45"/>
  <c r="AK17" i="45"/>
  <c r="AJ17" i="45"/>
  <c r="AI17" i="45"/>
  <c r="AF17" i="45"/>
  <c r="AE17" i="45"/>
  <c r="AD17" i="45"/>
  <c r="AC17" i="45"/>
  <c r="W17" i="45"/>
  <c r="BB17" i="45" s="1"/>
  <c r="S17" i="45"/>
  <c r="P17" i="45"/>
  <c r="O17" i="45"/>
  <c r="N17" i="45"/>
  <c r="AH42" i="39"/>
  <c r="AH41" i="39"/>
  <c r="BA75" i="39"/>
  <c r="AU75" i="39"/>
  <c r="AT75" i="39"/>
  <c r="AM75" i="39"/>
  <c r="AL75" i="39"/>
  <c r="AK75" i="39"/>
  <c r="AJ75" i="39"/>
  <c r="AI75" i="39"/>
  <c r="AD75" i="39"/>
  <c r="AC75" i="39"/>
  <c r="W75" i="39"/>
  <c r="AB75" i="39" s="1"/>
  <c r="S75" i="39"/>
  <c r="P75" i="39"/>
  <c r="O75" i="39"/>
  <c r="N75" i="39"/>
  <c r="BA74" i="39"/>
  <c r="AU74" i="39"/>
  <c r="AT74" i="39"/>
  <c r="AM74" i="39"/>
  <c r="AL74" i="39"/>
  <c r="AK74" i="39"/>
  <c r="AJ74" i="39"/>
  <c r="AI74" i="39"/>
  <c r="AD74" i="39"/>
  <c r="AC74" i="39"/>
  <c r="W74" i="39"/>
  <c r="X74" i="39" s="1"/>
  <c r="S74" i="39"/>
  <c r="P74" i="39"/>
  <c r="O74" i="39"/>
  <c r="N74" i="39"/>
  <c r="BA62" i="39"/>
  <c r="AM62" i="39"/>
  <c r="AL62" i="39"/>
  <c r="AK62" i="39"/>
  <c r="AJ62" i="39"/>
  <c r="AI62" i="39"/>
  <c r="AD62" i="39"/>
  <c r="W62" i="39"/>
  <c r="AB62" i="39" s="1"/>
  <c r="S62" i="39"/>
  <c r="P62" i="39"/>
  <c r="N62" i="39"/>
  <c r="O62" i="39" s="1"/>
  <c r="BA61" i="39"/>
  <c r="AM61" i="39"/>
  <c r="AL61" i="39"/>
  <c r="AK61" i="39"/>
  <c r="AJ61" i="39"/>
  <c r="AI61" i="39"/>
  <c r="AD61" i="39"/>
  <c r="AG61" i="39" s="1"/>
  <c r="AC61" i="39"/>
  <c r="W61" i="39"/>
  <c r="X61" i="39" s="1"/>
  <c r="S61" i="39"/>
  <c r="P61" i="39"/>
  <c r="N61" i="39"/>
  <c r="O61" i="39" s="1"/>
  <c r="BA99" i="39"/>
  <c r="AU99" i="39"/>
  <c r="AT99" i="39"/>
  <c r="AM99" i="39"/>
  <c r="AL99" i="39"/>
  <c r="AK99" i="39"/>
  <c r="AJ99" i="39"/>
  <c r="BA98" i="39"/>
  <c r="AU98" i="39"/>
  <c r="AT98" i="39"/>
  <c r="AM98" i="39"/>
  <c r="AL98" i="39"/>
  <c r="AK98" i="39"/>
  <c r="AJ98" i="39"/>
  <c r="BA97" i="39"/>
  <c r="AU97" i="39"/>
  <c r="AT97" i="39"/>
  <c r="AM97" i="39"/>
  <c r="AL97" i="39"/>
  <c r="AK97" i="39"/>
  <c r="AJ97" i="39"/>
  <c r="BA96" i="39"/>
  <c r="AM96" i="39"/>
  <c r="AL96" i="39"/>
  <c r="AK96" i="39"/>
  <c r="AJ96" i="39"/>
  <c r="DW43" i="39"/>
  <c r="DX43" i="39"/>
  <c r="DY43" i="39"/>
  <c r="DZ43" i="39"/>
  <c r="EA43" i="39"/>
  <c r="EB43" i="39"/>
  <c r="EC43" i="39"/>
  <c r="ED43" i="39"/>
  <c r="EE43" i="39"/>
  <c r="EF43" i="39"/>
  <c r="EG43" i="39"/>
  <c r="EH43" i="39"/>
  <c r="EI43" i="39"/>
  <c r="EJ43" i="39"/>
  <c r="EK43" i="39"/>
  <c r="EL43" i="39"/>
  <c r="EM43" i="39"/>
  <c r="EN43" i="39"/>
  <c r="EO43" i="39"/>
  <c r="EP43" i="39"/>
  <c r="EQ43" i="39"/>
  <c r="ER43" i="39"/>
  <c r="ES43" i="39"/>
  <c r="ET43" i="39"/>
  <c r="EU43" i="39"/>
  <c r="EV43" i="39"/>
  <c r="EW43" i="39"/>
  <c r="EX43" i="39"/>
  <c r="EY43" i="39"/>
  <c r="EZ43" i="39"/>
  <c r="FA43" i="39"/>
  <c r="FB43" i="39"/>
  <c r="FC43" i="39"/>
  <c r="FD43" i="39"/>
  <c r="FE43" i="39"/>
  <c r="FF43" i="39"/>
  <c r="FG43" i="39"/>
  <c r="FH43" i="39"/>
  <c r="FI43" i="39"/>
  <c r="FJ43" i="39"/>
  <c r="FK43" i="39"/>
  <c r="FL43" i="39"/>
  <c r="FM43" i="39"/>
  <c r="FN43" i="39"/>
  <c r="FO43" i="39"/>
  <c r="FP43" i="39"/>
  <c r="FQ43" i="39"/>
  <c r="FR43" i="39"/>
  <c r="FS43" i="39"/>
  <c r="FT43" i="39"/>
  <c r="FU43" i="39"/>
  <c r="FV43" i="39"/>
  <c r="FW43" i="39"/>
  <c r="FX43" i="39"/>
  <c r="FY43" i="39"/>
  <c r="FZ43" i="39"/>
  <c r="GA43" i="39"/>
  <c r="GB43" i="39"/>
  <c r="GC43" i="39"/>
  <c r="GD43" i="39"/>
  <c r="GE43" i="39"/>
  <c r="GF43" i="39"/>
  <c r="GG43" i="39"/>
  <c r="GH43" i="39"/>
  <c r="GI43" i="39"/>
  <c r="GJ43" i="39"/>
  <c r="GK43" i="39"/>
  <c r="GL43" i="39"/>
  <c r="GM43" i="39"/>
  <c r="BB42" i="39"/>
  <c r="BA42" i="39"/>
  <c r="AM42" i="39"/>
  <c r="AL42" i="39"/>
  <c r="AK42" i="39"/>
  <c r="AJ42" i="39"/>
  <c r="AI42" i="39"/>
  <c r="BB41" i="39"/>
  <c r="BA41" i="39"/>
  <c r="AM41" i="39"/>
  <c r="AL41" i="39"/>
  <c r="AK41" i="39"/>
  <c r="AJ41" i="39"/>
  <c r="AI41" i="39"/>
  <c r="BA345" i="44"/>
  <c r="AU345" i="44"/>
  <c r="AT345" i="44"/>
  <c r="AM345" i="44"/>
  <c r="AL345" i="44"/>
  <c r="AK345" i="44"/>
  <c r="AJ345" i="44"/>
  <c r="AI345" i="44"/>
  <c r="BA344" i="44"/>
  <c r="AU344" i="44"/>
  <c r="AT344" i="44"/>
  <c r="AM344" i="44"/>
  <c r="AL344" i="44"/>
  <c r="AK344" i="44"/>
  <c r="AJ344" i="44"/>
  <c r="AI344" i="44"/>
  <c r="BA343" i="44"/>
  <c r="AU343" i="44"/>
  <c r="AT343" i="44"/>
  <c r="AM343" i="44"/>
  <c r="AL343" i="44"/>
  <c r="AK343" i="44"/>
  <c r="AJ343" i="44"/>
  <c r="AI343" i="44"/>
  <c r="BA342" i="44"/>
  <c r="AU342" i="44"/>
  <c r="AT342" i="44"/>
  <c r="AM342" i="44"/>
  <c r="AL342" i="44"/>
  <c r="AK342" i="44"/>
  <c r="AJ342" i="44"/>
  <c r="AI342" i="44"/>
  <c r="W345" i="44"/>
  <c r="X345" i="44" s="1"/>
  <c r="S345" i="44"/>
  <c r="P345" i="44"/>
  <c r="W344" i="44"/>
  <c r="BB344" i="44" s="1"/>
  <c r="S344" i="44"/>
  <c r="P344" i="44"/>
  <c r="W343" i="44"/>
  <c r="Z343" i="44" s="1"/>
  <c r="S343" i="44"/>
  <c r="P343" i="44"/>
  <c r="W342" i="44"/>
  <c r="AB342" i="44" s="1"/>
  <c r="S342" i="44"/>
  <c r="P342" i="44"/>
  <c r="AD345" i="44"/>
  <c r="AC345" i="44"/>
  <c r="AD344" i="44"/>
  <c r="AC344" i="44"/>
  <c r="AD343" i="44"/>
  <c r="AC343" i="44"/>
  <c r="AG343" i="44" s="1"/>
  <c r="AH343" i="44" s="1"/>
  <c r="AD342" i="44"/>
  <c r="AC342" i="44"/>
  <c r="GM345" i="44"/>
  <c r="GL345" i="44"/>
  <c r="GK345" i="44"/>
  <c r="GJ345" i="44"/>
  <c r="GI345" i="44"/>
  <c r="GH345" i="44"/>
  <c r="GG345" i="44"/>
  <c r="GF345" i="44"/>
  <c r="GE345" i="44"/>
  <c r="GD345" i="44"/>
  <c r="GC345" i="44"/>
  <c r="GB345" i="44"/>
  <c r="GA345" i="44"/>
  <c r="FZ345" i="44"/>
  <c r="FY345" i="44"/>
  <c r="FX345" i="44"/>
  <c r="FW345" i="44"/>
  <c r="FV345" i="44"/>
  <c r="FU345" i="44"/>
  <c r="FT345" i="44"/>
  <c r="FS345" i="44"/>
  <c r="FR345" i="44"/>
  <c r="FQ345" i="44"/>
  <c r="FP345" i="44"/>
  <c r="FO345" i="44"/>
  <c r="FN345" i="44"/>
  <c r="FM345" i="44"/>
  <c r="FL345" i="44"/>
  <c r="FK345" i="44"/>
  <c r="FJ345" i="44"/>
  <c r="FI345" i="44"/>
  <c r="FH345" i="44"/>
  <c r="FG345" i="44"/>
  <c r="FF345" i="44"/>
  <c r="FE345" i="44"/>
  <c r="FD345" i="44"/>
  <c r="FC345" i="44"/>
  <c r="FB345" i="44"/>
  <c r="FA345" i="44"/>
  <c r="EZ345" i="44"/>
  <c r="EY345" i="44"/>
  <c r="EX345" i="44"/>
  <c r="EW345" i="44"/>
  <c r="EV345" i="44"/>
  <c r="EU345" i="44"/>
  <c r="ET345" i="44"/>
  <c r="ES345" i="44"/>
  <c r="ER345" i="44"/>
  <c r="EQ345" i="44"/>
  <c r="EP345" i="44"/>
  <c r="EO345" i="44"/>
  <c r="EN345" i="44"/>
  <c r="EM345" i="44"/>
  <c r="EL345" i="44"/>
  <c r="EK345" i="44"/>
  <c r="EJ345" i="44"/>
  <c r="EI345" i="44"/>
  <c r="EH345" i="44"/>
  <c r="EG345" i="44"/>
  <c r="EF345" i="44"/>
  <c r="EE345" i="44"/>
  <c r="ED345" i="44"/>
  <c r="EC345" i="44"/>
  <c r="EB345" i="44"/>
  <c r="EA345" i="44"/>
  <c r="DZ345" i="44"/>
  <c r="DY345" i="44"/>
  <c r="DX345" i="44"/>
  <c r="DW345" i="44"/>
  <c r="GM344" i="44"/>
  <c r="GL344" i="44"/>
  <c r="GK344" i="44"/>
  <c r="GJ344" i="44"/>
  <c r="GI344" i="44"/>
  <c r="GH344" i="44"/>
  <c r="GG344" i="44"/>
  <c r="GF344" i="44"/>
  <c r="GE344" i="44"/>
  <c r="GD344" i="44"/>
  <c r="GC344" i="44"/>
  <c r="GB344" i="44"/>
  <c r="GA344" i="44"/>
  <c r="FZ344" i="44"/>
  <c r="FY344" i="44"/>
  <c r="FX344" i="44"/>
  <c r="FW344" i="44"/>
  <c r="FV344" i="44"/>
  <c r="FU344" i="44"/>
  <c r="FT344" i="44"/>
  <c r="FS344" i="44"/>
  <c r="FR344" i="44"/>
  <c r="FQ344" i="44"/>
  <c r="FP344" i="44"/>
  <c r="FO344" i="44"/>
  <c r="FN344" i="44"/>
  <c r="FM344" i="44"/>
  <c r="FL344" i="44"/>
  <c r="FK344" i="44"/>
  <c r="FJ344" i="44"/>
  <c r="FI344" i="44"/>
  <c r="FH344" i="44"/>
  <c r="FG344" i="44"/>
  <c r="FF344" i="44"/>
  <c r="FE344" i="44"/>
  <c r="FD344" i="44"/>
  <c r="FC344" i="44"/>
  <c r="FB344" i="44"/>
  <c r="FA344" i="44"/>
  <c r="EZ344" i="44"/>
  <c r="EY344" i="44"/>
  <c r="EX344" i="44"/>
  <c r="EW344" i="44"/>
  <c r="EV344" i="44"/>
  <c r="EU344" i="44"/>
  <c r="ET344" i="44"/>
  <c r="ES344" i="44"/>
  <c r="ER344" i="44"/>
  <c r="EQ344" i="44"/>
  <c r="EP344" i="44"/>
  <c r="EO344" i="44"/>
  <c r="EN344" i="44"/>
  <c r="EM344" i="44"/>
  <c r="EL344" i="44"/>
  <c r="EK344" i="44"/>
  <c r="EJ344" i="44"/>
  <c r="EI344" i="44"/>
  <c r="EH344" i="44"/>
  <c r="EG344" i="44"/>
  <c r="EF344" i="44"/>
  <c r="EE344" i="44"/>
  <c r="ED344" i="44"/>
  <c r="EC344" i="44"/>
  <c r="EB344" i="44"/>
  <c r="EA344" i="44"/>
  <c r="DZ344" i="44"/>
  <c r="DY344" i="44"/>
  <c r="DX344" i="44"/>
  <c r="DW344" i="44"/>
  <c r="GM343" i="44"/>
  <c r="GL343" i="44"/>
  <c r="GK343" i="44"/>
  <c r="GJ343" i="44"/>
  <c r="GI343" i="44"/>
  <c r="GH343" i="44"/>
  <c r="GG343" i="44"/>
  <c r="GF343" i="44"/>
  <c r="GE343" i="44"/>
  <c r="GD343" i="44"/>
  <c r="GC343" i="44"/>
  <c r="GB343" i="44"/>
  <c r="GA343" i="44"/>
  <c r="FZ343" i="44"/>
  <c r="FY343" i="44"/>
  <c r="FX343" i="44"/>
  <c r="FW343" i="44"/>
  <c r="FV343" i="44"/>
  <c r="FU343" i="44"/>
  <c r="FT343" i="44"/>
  <c r="FS343" i="44"/>
  <c r="FR343" i="44"/>
  <c r="FQ343" i="44"/>
  <c r="FP343" i="44"/>
  <c r="FO343" i="44"/>
  <c r="FN343" i="44"/>
  <c r="FM343" i="44"/>
  <c r="FL343" i="44"/>
  <c r="FK343" i="44"/>
  <c r="FJ343" i="44"/>
  <c r="FI343" i="44"/>
  <c r="FH343" i="44"/>
  <c r="FG343" i="44"/>
  <c r="FF343" i="44"/>
  <c r="FE343" i="44"/>
  <c r="FD343" i="44"/>
  <c r="FC343" i="44"/>
  <c r="FB343" i="44"/>
  <c r="FA343" i="44"/>
  <c r="EZ343" i="44"/>
  <c r="EY343" i="44"/>
  <c r="EX343" i="44"/>
  <c r="EW343" i="44"/>
  <c r="EV343" i="44"/>
  <c r="EU343" i="44"/>
  <c r="ET343" i="44"/>
  <c r="ES343" i="44"/>
  <c r="ER343" i="44"/>
  <c r="EQ343" i="44"/>
  <c r="EP343" i="44"/>
  <c r="EO343" i="44"/>
  <c r="EN343" i="44"/>
  <c r="EM343" i="44"/>
  <c r="EL343" i="44"/>
  <c r="EK343" i="44"/>
  <c r="EJ343" i="44"/>
  <c r="EI343" i="44"/>
  <c r="EH343" i="44"/>
  <c r="EG343" i="44"/>
  <c r="EF343" i="44"/>
  <c r="EE343" i="44"/>
  <c r="ED343" i="44"/>
  <c r="EC343" i="44"/>
  <c r="EB343" i="44"/>
  <c r="EA343" i="44"/>
  <c r="DZ343" i="44"/>
  <c r="DY343" i="44"/>
  <c r="DX343" i="44"/>
  <c r="DW343" i="44"/>
  <c r="GM342" i="44"/>
  <c r="GL342" i="44"/>
  <c r="GK342" i="44"/>
  <c r="GJ342" i="44"/>
  <c r="GI342" i="44"/>
  <c r="GH342" i="44"/>
  <c r="GG342" i="44"/>
  <c r="GF342" i="44"/>
  <c r="GE342" i="44"/>
  <c r="GD342" i="44"/>
  <c r="GC342" i="44"/>
  <c r="GB342" i="44"/>
  <c r="GA342" i="44"/>
  <c r="FZ342" i="44"/>
  <c r="FY342" i="44"/>
  <c r="FX342" i="44"/>
  <c r="FW342" i="44"/>
  <c r="FV342" i="44"/>
  <c r="FU342" i="44"/>
  <c r="FT342" i="44"/>
  <c r="FS342" i="44"/>
  <c r="FR342" i="44"/>
  <c r="FQ342" i="44"/>
  <c r="FP342" i="44"/>
  <c r="FO342" i="44"/>
  <c r="FN342" i="44"/>
  <c r="FM342" i="44"/>
  <c r="FL342" i="44"/>
  <c r="FK342" i="44"/>
  <c r="FJ342" i="44"/>
  <c r="FI342" i="44"/>
  <c r="FH342" i="44"/>
  <c r="FG342" i="44"/>
  <c r="FF342" i="44"/>
  <c r="FE342" i="44"/>
  <c r="FD342" i="44"/>
  <c r="FC342" i="44"/>
  <c r="FB342" i="44"/>
  <c r="FA342" i="44"/>
  <c r="EZ342" i="44"/>
  <c r="EY342" i="44"/>
  <c r="EX342" i="44"/>
  <c r="EW342" i="44"/>
  <c r="EV342" i="44"/>
  <c r="EU342" i="44"/>
  <c r="ET342" i="44"/>
  <c r="ES342" i="44"/>
  <c r="ER342" i="44"/>
  <c r="EQ342" i="44"/>
  <c r="EP342" i="44"/>
  <c r="EO342" i="44"/>
  <c r="EN342" i="44"/>
  <c r="EM342" i="44"/>
  <c r="EL342" i="44"/>
  <c r="EK342" i="44"/>
  <c r="EJ342" i="44"/>
  <c r="EI342" i="44"/>
  <c r="EH342" i="44"/>
  <c r="EG342" i="44"/>
  <c r="EF342" i="44"/>
  <c r="EE342" i="44"/>
  <c r="ED342" i="44"/>
  <c r="EC342" i="44"/>
  <c r="EB342" i="44"/>
  <c r="EA342" i="44"/>
  <c r="DZ342" i="44"/>
  <c r="DY342" i="44"/>
  <c r="DX342" i="44"/>
  <c r="DW342" i="44"/>
  <c r="AE158" i="44"/>
  <c r="AD158" i="44"/>
  <c r="AC158" i="44"/>
  <c r="W53" i="44"/>
  <c r="X53" i="44" s="1"/>
  <c r="AC61" i="44"/>
  <c r="AC60" i="44"/>
  <c r="AE101" i="44"/>
  <c r="AC101" i="44"/>
  <c r="AC85" i="44"/>
  <c r="AC70" i="44"/>
  <c r="AC32" i="44"/>
  <c r="AC22" i="44"/>
  <c r="AN17" i="45" l="1"/>
  <c r="AN19" i="45"/>
  <c r="AN18" i="45"/>
  <c r="AA17" i="45"/>
  <c r="AH18" i="45"/>
  <c r="AB18" i="45"/>
  <c r="O19" i="45"/>
  <c r="AG19" i="45"/>
  <c r="AH19" i="45" s="1"/>
  <c r="X19" i="45"/>
  <c r="Z19" i="45"/>
  <c r="AA19" i="45"/>
  <c r="AB19" i="45"/>
  <c r="AG17" i="45"/>
  <c r="AH17" i="45" s="1"/>
  <c r="X18" i="45"/>
  <c r="X17" i="45"/>
  <c r="Z18" i="45"/>
  <c r="AO18" i="45" s="1"/>
  <c r="Z17" i="45"/>
  <c r="AA18" i="45"/>
  <c r="AB17" i="45"/>
  <c r="Z75" i="39"/>
  <c r="X75" i="39"/>
  <c r="AN74" i="39"/>
  <c r="AN61" i="39"/>
  <c r="AN62" i="39"/>
  <c r="AN75" i="39"/>
  <c r="AN41" i="39"/>
  <c r="AO41" i="39" s="1"/>
  <c r="AP41" i="39" s="1"/>
  <c r="BB62" i="39"/>
  <c r="AA62" i="39"/>
  <c r="Z74" i="39"/>
  <c r="AA74" i="39"/>
  <c r="AB74" i="39"/>
  <c r="BB74" i="39"/>
  <c r="AG75" i="39"/>
  <c r="AH75" i="39" s="1"/>
  <c r="AG74" i="39"/>
  <c r="AH74" i="39" s="1"/>
  <c r="AA75" i="39"/>
  <c r="BB75" i="39"/>
  <c r="AH61" i="39"/>
  <c r="AA61" i="39"/>
  <c r="BB61" i="39"/>
  <c r="Z61" i="39"/>
  <c r="AB61" i="39"/>
  <c r="AG62" i="39"/>
  <c r="AH62" i="39" s="1"/>
  <c r="X62" i="39"/>
  <c r="Z62" i="39"/>
  <c r="AN42" i="39"/>
  <c r="AO42" i="39" s="1"/>
  <c r="AP42" i="39" s="1"/>
  <c r="AQ42" i="39" s="1"/>
  <c r="AN343" i="44"/>
  <c r="AO343" i="44" s="1"/>
  <c r="AP343" i="44" s="1"/>
  <c r="AN342" i="44"/>
  <c r="AN345" i="44"/>
  <c r="AN344" i="44"/>
  <c r="AA344" i="44"/>
  <c r="BB345" i="44"/>
  <c r="AB345" i="44"/>
  <c r="Z345" i="44"/>
  <c r="AA345" i="44"/>
  <c r="AA343" i="44"/>
  <c r="AB343" i="44"/>
  <c r="BB343" i="44"/>
  <c r="X342" i="44"/>
  <c r="AG344" i="44"/>
  <c r="AH344" i="44" s="1"/>
  <c r="BB342" i="44"/>
  <c r="Z342" i="44"/>
  <c r="AA342" i="44"/>
  <c r="AG342" i="44"/>
  <c r="AH342" i="44" s="1"/>
  <c r="X344" i="44"/>
  <c r="Z344" i="44"/>
  <c r="X343" i="44"/>
  <c r="AB344" i="44"/>
  <c r="AG345" i="44"/>
  <c r="AH345" i="44" s="1"/>
  <c r="AO17" i="45" l="1"/>
  <c r="AO74" i="39"/>
  <c r="AP74" i="39" s="1"/>
  <c r="AR74" i="39" s="1"/>
  <c r="AS74" i="39" s="1"/>
  <c r="AO344" i="44"/>
  <c r="AP344" i="44" s="1"/>
  <c r="AQ344" i="44" s="1"/>
  <c r="AO345" i="44"/>
  <c r="AP345" i="44" s="1"/>
  <c r="AX345" i="44" s="1"/>
  <c r="AO19" i="45"/>
  <c r="AP19" i="45" s="1"/>
  <c r="BC19" i="45" s="1"/>
  <c r="AP17" i="45"/>
  <c r="AP18" i="45"/>
  <c r="AO62" i="39"/>
  <c r="AP62" i="39" s="1"/>
  <c r="AV62" i="39" s="1"/>
  <c r="AO75" i="39"/>
  <c r="AP75" i="39" s="1"/>
  <c r="AX75" i="39" s="1"/>
  <c r="AO61" i="39"/>
  <c r="AP61" i="39" s="1"/>
  <c r="AT61" i="39" s="1"/>
  <c r="AU61" i="39" s="1"/>
  <c r="AX41" i="39"/>
  <c r="AZ41" i="39"/>
  <c r="AW41" i="39"/>
  <c r="AR41" i="39"/>
  <c r="AS41" i="39" s="1"/>
  <c r="AV41" i="39"/>
  <c r="AT41" i="39"/>
  <c r="AU41" i="39" s="1"/>
  <c r="BC41" i="39"/>
  <c r="AQ41" i="39"/>
  <c r="BC42" i="39"/>
  <c r="AZ42" i="39"/>
  <c r="AV42" i="39"/>
  <c r="AX42" i="39"/>
  <c r="AR42" i="39"/>
  <c r="AS42" i="39" s="1"/>
  <c r="AW42" i="39"/>
  <c r="AT42" i="39"/>
  <c r="AU42" i="39" s="1"/>
  <c r="AO342" i="44"/>
  <c r="AP342" i="44" s="1"/>
  <c r="AQ342" i="44" s="1"/>
  <c r="AV343" i="44"/>
  <c r="AZ343" i="44"/>
  <c r="AX343" i="44"/>
  <c r="AW343" i="44"/>
  <c r="AR343" i="44"/>
  <c r="AS343" i="44" s="1"/>
  <c r="AQ343" i="44"/>
  <c r="BC343" i="44"/>
  <c r="AV19" i="45" l="1"/>
  <c r="AX342" i="44"/>
  <c r="AR345" i="44"/>
  <c r="AS345" i="44" s="1"/>
  <c r="BC345" i="44"/>
  <c r="BC74" i="39"/>
  <c r="AZ74" i="39"/>
  <c r="AX74" i="39"/>
  <c r="AQ74" i="39"/>
  <c r="AW74" i="39"/>
  <c r="AV74" i="39"/>
  <c r="AR19" i="45"/>
  <c r="AS19" i="45" s="1"/>
  <c r="AQ19" i="45"/>
  <c r="AT19" i="45"/>
  <c r="AU19" i="45" s="1"/>
  <c r="AX19" i="45"/>
  <c r="AW62" i="39"/>
  <c r="AQ345" i="44"/>
  <c r="AV345" i="44"/>
  <c r="AW345" i="44"/>
  <c r="AZ345" i="44"/>
  <c r="AW19" i="45"/>
  <c r="AZ19" i="45"/>
  <c r="AZ17" i="45"/>
  <c r="AW17" i="45"/>
  <c r="AV17" i="45"/>
  <c r="BC17" i="45"/>
  <c r="AR17" i="45"/>
  <c r="AS17" i="45" s="1"/>
  <c r="BC18" i="45"/>
  <c r="AZ18" i="45"/>
  <c r="AW18" i="45"/>
  <c r="AV18" i="45"/>
  <c r="AX18" i="45"/>
  <c r="AQ18" i="45"/>
  <c r="AQ17" i="45"/>
  <c r="AX17" i="45"/>
  <c r="AR18" i="45"/>
  <c r="AS18" i="45" s="1"/>
  <c r="BC62" i="39"/>
  <c r="AQ62" i="39"/>
  <c r="AR62" i="39"/>
  <c r="AS62" i="39" s="1"/>
  <c r="AZ62" i="39"/>
  <c r="AT62" i="39"/>
  <c r="AU62" i="39" s="1"/>
  <c r="AX62" i="39"/>
  <c r="AV75" i="39"/>
  <c r="AW75" i="39"/>
  <c r="AZ75" i="39"/>
  <c r="BC75" i="39"/>
  <c r="AR75" i="39"/>
  <c r="AS75" i="39" s="1"/>
  <c r="AQ75" i="39"/>
  <c r="AR61" i="39"/>
  <c r="AS61" i="39" s="1"/>
  <c r="AZ61" i="39"/>
  <c r="AW61" i="39"/>
  <c r="AV61" i="39"/>
  <c r="BC61" i="39"/>
  <c r="AQ61" i="39"/>
  <c r="AX61" i="39"/>
  <c r="AZ342" i="44"/>
  <c r="AR342" i="44"/>
  <c r="AS342" i="44" s="1"/>
  <c r="AW342" i="44"/>
  <c r="AV342" i="44"/>
  <c r="AR344" i="44"/>
  <c r="AS344" i="44" s="1"/>
  <c r="AW344" i="44"/>
  <c r="AX344" i="44"/>
  <c r="AZ344" i="44"/>
  <c r="AV344" i="44"/>
  <c r="BC344" i="44"/>
  <c r="BC342" i="44"/>
  <c r="GM22" i="44" l="1"/>
  <c r="GL22" i="44"/>
  <c r="GK22" i="44"/>
  <c r="GJ22" i="44"/>
  <c r="GI22" i="44"/>
  <c r="GH22" i="44"/>
  <c r="GG22" i="44"/>
  <c r="GF22" i="44"/>
  <c r="GE22" i="44"/>
  <c r="GD22" i="44"/>
  <c r="GC22" i="44"/>
  <c r="GB22" i="44"/>
  <c r="GA22" i="44"/>
  <c r="FZ22" i="44"/>
  <c r="FY22" i="44"/>
  <c r="FX22" i="44"/>
  <c r="FW22" i="44"/>
  <c r="FV22" i="44"/>
  <c r="FU22" i="44"/>
  <c r="FT22" i="44"/>
  <c r="FS22" i="44"/>
  <c r="FR22" i="44"/>
  <c r="FQ22" i="44"/>
  <c r="FP22" i="44"/>
  <c r="FO22" i="44"/>
  <c r="FN22" i="44"/>
  <c r="FM22" i="44"/>
  <c r="FL22" i="44"/>
  <c r="FK22" i="44"/>
  <c r="FJ22" i="44"/>
  <c r="FI22" i="44"/>
  <c r="FH22" i="44"/>
  <c r="FG22" i="44"/>
  <c r="FF22" i="44"/>
  <c r="FE22" i="44"/>
  <c r="FD22" i="44"/>
  <c r="FC22" i="44"/>
  <c r="FB22" i="44"/>
  <c r="FA22" i="44"/>
  <c r="EZ22" i="44"/>
  <c r="EY22" i="44"/>
  <c r="EX22" i="44"/>
  <c r="EW22" i="44"/>
  <c r="EV22" i="44"/>
  <c r="EU22" i="44"/>
  <c r="ET22" i="44"/>
  <c r="ES22" i="44"/>
  <c r="ER22" i="44"/>
  <c r="EQ22" i="44"/>
  <c r="EP22" i="44"/>
  <c r="EO22" i="44"/>
  <c r="EN22" i="44"/>
  <c r="EM22" i="44"/>
  <c r="EL22" i="44"/>
  <c r="EK22" i="44"/>
  <c r="EG22" i="44"/>
  <c r="EE22" i="44"/>
  <c r="ED22" i="44"/>
  <c r="EC22" i="44"/>
  <c r="DZ22" i="44"/>
  <c r="DY22" i="44"/>
  <c r="DW22" i="44"/>
  <c r="BA22" i="44"/>
  <c r="AM22" i="44"/>
  <c r="AL22" i="44"/>
  <c r="AK22" i="44"/>
  <c r="AJ22" i="44"/>
  <c r="AI22" i="44"/>
  <c r="AE22" i="44"/>
  <c r="AD22" i="44"/>
  <c r="W22" i="44"/>
  <c r="Z22" i="44" s="1"/>
  <c r="S22" i="44"/>
  <c r="P22" i="44"/>
  <c r="N22" i="44"/>
  <c r="O22" i="44" s="1"/>
  <c r="C22" i="44"/>
  <c r="GM21" i="44"/>
  <c r="GL21" i="44"/>
  <c r="GK21" i="44"/>
  <c r="GJ21" i="44"/>
  <c r="GI21" i="44"/>
  <c r="GH21" i="44"/>
  <c r="GG21" i="44"/>
  <c r="GF21" i="44"/>
  <c r="GE21" i="44"/>
  <c r="GD21" i="44"/>
  <c r="GC21" i="44"/>
  <c r="GB21" i="44"/>
  <c r="GA21" i="44"/>
  <c r="FZ21" i="44"/>
  <c r="FY21" i="44"/>
  <c r="FX21" i="44"/>
  <c r="FW21" i="44"/>
  <c r="FV21" i="44"/>
  <c r="FU21" i="44"/>
  <c r="FT21" i="44"/>
  <c r="FS21" i="44"/>
  <c r="FR21" i="44"/>
  <c r="FQ21" i="44"/>
  <c r="FP21" i="44"/>
  <c r="FO21" i="44"/>
  <c r="FN21" i="44"/>
  <c r="FM21" i="44"/>
  <c r="FL21" i="44"/>
  <c r="FK21" i="44"/>
  <c r="FJ21" i="44"/>
  <c r="FI21" i="44"/>
  <c r="FH21" i="44"/>
  <c r="FG21" i="44"/>
  <c r="FF21" i="44"/>
  <c r="FE21" i="44"/>
  <c r="FD21" i="44"/>
  <c r="FC21" i="44"/>
  <c r="FB21" i="44"/>
  <c r="FA21" i="44"/>
  <c r="EZ21" i="44"/>
  <c r="EY21" i="44"/>
  <c r="EX21" i="44"/>
  <c r="EW21" i="44"/>
  <c r="EV21" i="44"/>
  <c r="EU21" i="44"/>
  <c r="ET21" i="44"/>
  <c r="ES21" i="44"/>
  <c r="ER21" i="44"/>
  <c r="EQ21" i="44"/>
  <c r="EP21" i="44"/>
  <c r="EO21" i="44"/>
  <c r="EN21" i="44"/>
  <c r="EM21" i="44"/>
  <c r="EL21" i="44"/>
  <c r="EK21" i="44"/>
  <c r="EG21" i="44"/>
  <c r="EE21" i="44"/>
  <c r="ED21" i="44"/>
  <c r="EC21" i="44"/>
  <c r="DZ21" i="44"/>
  <c r="DY21" i="44"/>
  <c r="DW21" i="44"/>
  <c r="BA21" i="44"/>
  <c r="AM21" i="44"/>
  <c r="AL21" i="44"/>
  <c r="AK21" i="44"/>
  <c r="AJ21" i="44"/>
  <c r="AI21" i="44"/>
  <c r="AE21" i="44"/>
  <c r="AD21" i="44"/>
  <c r="AC21" i="44"/>
  <c r="W21" i="44"/>
  <c r="BB21" i="44" s="1"/>
  <c r="S21" i="44"/>
  <c r="P21" i="44"/>
  <c r="N21" i="44"/>
  <c r="O21" i="44" s="1"/>
  <c r="C21" i="44"/>
  <c r="AN21" i="44" l="1"/>
  <c r="AN22" i="44"/>
  <c r="AO22" i="44" s="1"/>
  <c r="AP22" i="44" s="1"/>
  <c r="BB22" i="44"/>
  <c r="AA22" i="44"/>
  <c r="AB22" i="44"/>
  <c r="X21" i="44"/>
  <c r="AB21" i="44"/>
  <c r="AG22" i="44"/>
  <c r="AH22" i="44" s="1"/>
  <c r="AG21" i="44"/>
  <c r="AH21" i="44" s="1"/>
  <c r="Z21" i="44"/>
  <c r="AA21" i="44"/>
  <c r="X22" i="44"/>
  <c r="AO21" i="44" l="1"/>
  <c r="AP21" i="44" s="1"/>
  <c r="AT21" i="44" s="1"/>
  <c r="AU21" i="44" s="1"/>
  <c r="AT22" i="44"/>
  <c r="AU22" i="44" s="1"/>
  <c r="AZ22" i="44"/>
  <c r="BC22" i="44"/>
  <c r="AV22" i="44"/>
  <c r="AW22" i="44"/>
  <c r="AX22" i="44"/>
  <c r="AR22" i="44"/>
  <c r="AS22" i="44" s="1"/>
  <c r="AQ22" i="44"/>
  <c r="AX21" i="44" l="1"/>
  <c r="AR21" i="44"/>
  <c r="AS21" i="44" s="1"/>
  <c r="EB22" i="44"/>
  <c r="EA22" i="44"/>
  <c r="EH22" i="44"/>
  <c r="EI22" i="44"/>
  <c r="EJ22" i="44"/>
  <c r="DX22" i="44"/>
  <c r="EF22" i="44"/>
  <c r="AV21" i="44"/>
  <c r="AZ21" i="44"/>
  <c r="AW21" i="44"/>
  <c r="BC21" i="44"/>
  <c r="AQ21" i="44"/>
  <c r="EB21" i="44" l="1"/>
  <c r="EF21" i="44"/>
  <c r="EA21" i="44"/>
  <c r="DX21" i="44"/>
  <c r="EJ21" i="44"/>
  <c r="EI21" i="44"/>
  <c r="EH21" i="44"/>
  <c r="AE32" i="44" l="1"/>
  <c r="AD32" i="44"/>
  <c r="AG32" i="44" s="1"/>
  <c r="AE33" i="44"/>
  <c r="AD33" i="44"/>
  <c r="AC33" i="44"/>
  <c r="AE31" i="44"/>
  <c r="AD31" i="44"/>
  <c r="AC31" i="44"/>
  <c r="DW17" i="45"/>
  <c r="DX17" i="45"/>
  <c r="DY17" i="45"/>
  <c r="DZ17" i="45"/>
  <c r="EA17" i="45"/>
  <c r="EB17" i="45"/>
  <c r="EC17" i="45"/>
  <c r="ED17" i="45"/>
  <c r="EE17" i="45"/>
  <c r="EF17" i="45"/>
  <c r="EG17" i="45"/>
  <c r="EH17" i="45"/>
  <c r="EI17" i="45"/>
  <c r="EJ17" i="45"/>
  <c r="EK17" i="45"/>
  <c r="EL17" i="45"/>
  <c r="EM17" i="45"/>
  <c r="EN17" i="45"/>
  <c r="EO17" i="45"/>
  <c r="EP17" i="45"/>
  <c r="EQ17" i="45"/>
  <c r="ER17" i="45"/>
  <c r="ES17" i="45"/>
  <c r="EU17" i="45"/>
  <c r="EW17" i="45"/>
  <c r="EX17" i="45"/>
  <c r="EY17" i="45"/>
  <c r="EZ17" i="45"/>
  <c r="FA17" i="45"/>
  <c r="FB17" i="45"/>
  <c r="FC17" i="45"/>
  <c r="FD17" i="45"/>
  <c r="FE17" i="45"/>
  <c r="FF17" i="45"/>
  <c r="FG17" i="45"/>
  <c r="FH17" i="45"/>
  <c r="FI17" i="45"/>
  <c r="FJ17" i="45"/>
  <c r="FK17" i="45"/>
  <c r="FL17" i="45"/>
  <c r="FM17" i="45"/>
  <c r="FN17" i="45"/>
  <c r="FO17" i="45"/>
  <c r="FP17" i="45"/>
  <c r="FQ17" i="45"/>
  <c r="FR17" i="45"/>
  <c r="FS17" i="45"/>
  <c r="FT17" i="45"/>
  <c r="FU17" i="45"/>
  <c r="FV17" i="45"/>
  <c r="FW17" i="45"/>
  <c r="FX17" i="45"/>
  <c r="FY17" i="45"/>
  <c r="FZ17" i="45"/>
  <c r="GA17" i="45"/>
  <c r="GB17" i="45"/>
  <c r="GC17" i="45"/>
  <c r="GD17" i="45"/>
  <c r="GE17" i="45"/>
  <c r="GF17" i="45"/>
  <c r="GG17" i="45"/>
  <c r="GH17" i="45"/>
  <c r="GI17" i="45"/>
  <c r="GJ17" i="45"/>
  <c r="GK17" i="45"/>
  <c r="GL17" i="45"/>
  <c r="GM17" i="45"/>
  <c r="DW18" i="45"/>
  <c r="DX18" i="45"/>
  <c r="DY18" i="45"/>
  <c r="DZ18" i="45"/>
  <c r="EA18" i="45"/>
  <c r="EB18" i="45"/>
  <c r="EC18" i="45"/>
  <c r="ED18" i="45"/>
  <c r="EE18" i="45"/>
  <c r="EF18" i="45"/>
  <c r="EG18" i="45"/>
  <c r="EH18" i="45"/>
  <c r="EI18" i="45"/>
  <c r="EJ18" i="45"/>
  <c r="EK18" i="45"/>
  <c r="EL18" i="45"/>
  <c r="EM18" i="45"/>
  <c r="EN18" i="45"/>
  <c r="EO18" i="45"/>
  <c r="EP18" i="45"/>
  <c r="EQ18" i="45"/>
  <c r="ER18" i="45"/>
  <c r="ES18" i="45"/>
  <c r="EU18" i="45"/>
  <c r="EW18" i="45"/>
  <c r="EX18" i="45"/>
  <c r="EY18" i="45"/>
  <c r="EZ18" i="45"/>
  <c r="FA18" i="45"/>
  <c r="FB18" i="45"/>
  <c r="FC18" i="45"/>
  <c r="FD18" i="45"/>
  <c r="FE18" i="45"/>
  <c r="FF18" i="45"/>
  <c r="FG18" i="45"/>
  <c r="FH18" i="45"/>
  <c r="FI18" i="45"/>
  <c r="FJ18" i="45"/>
  <c r="FK18" i="45"/>
  <c r="FL18" i="45"/>
  <c r="FM18" i="45"/>
  <c r="FN18" i="45"/>
  <c r="FO18" i="45"/>
  <c r="FP18" i="45"/>
  <c r="FQ18" i="45"/>
  <c r="FR18" i="45"/>
  <c r="FS18" i="45"/>
  <c r="FT18" i="45"/>
  <c r="FU18" i="45"/>
  <c r="FV18" i="45"/>
  <c r="FW18" i="45"/>
  <c r="FX18" i="45"/>
  <c r="FY18" i="45"/>
  <c r="FZ18" i="45"/>
  <c r="GA18" i="45"/>
  <c r="GB18" i="45"/>
  <c r="GC18" i="45"/>
  <c r="GD18" i="45"/>
  <c r="GE18" i="45"/>
  <c r="GF18" i="45"/>
  <c r="GG18" i="45"/>
  <c r="GH18" i="45"/>
  <c r="GI18" i="45"/>
  <c r="GJ18" i="45"/>
  <c r="GK18" i="45"/>
  <c r="GL18" i="45"/>
  <c r="GM18" i="45"/>
  <c r="P212" i="39"/>
  <c r="O212" i="39"/>
  <c r="N212" i="39"/>
  <c r="P211" i="39"/>
  <c r="O211" i="39"/>
  <c r="N211" i="39"/>
  <c r="P210" i="39"/>
  <c r="O210" i="39"/>
  <c r="N210" i="39"/>
  <c r="P209" i="39"/>
  <c r="O209" i="39"/>
  <c r="N209" i="39"/>
  <c r="P204" i="39"/>
  <c r="O204" i="39"/>
  <c r="N204" i="39"/>
  <c r="P203" i="39"/>
  <c r="O203" i="39"/>
  <c r="N203" i="39"/>
  <c r="P202" i="39"/>
  <c r="O202" i="39"/>
  <c r="N202" i="39"/>
  <c r="N213" i="39"/>
  <c r="P208" i="39"/>
  <c r="O208" i="39"/>
  <c r="N208" i="39"/>
  <c r="P207" i="39"/>
  <c r="O207" i="39"/>
  <c r="N207" i="39"/>
  <c r="P206" i="39"/>
  <c r="O206" i="39"/>
  <c r="N206" i="39"/>
  <c r="P205" i="39"/>
  <c r="O205" i="39"/>
  <c r="N205" i="39"/>
  <c r="P201" i="39"/>
  <c r="O201" i="39"/>
  <c r="N201" i="39"/>
  <c r="P200" i="39"/>
  <c r="O200" i="39"/>
  <c r="N200" i="39"/>
  <c r="P199" i="39"/>
  <c r="O199" i="39"/>
  <c r="N199" i="39"/>
  <c r="AG31" i="44" l="1"/>
  <c r="AG33" i="44"/>
  <c r="EV17" i="45"/>
  <c r="ET17" i="45"/>
  <c r="ET18" i="45" l="1"/>
  <c r="EV18" i="45"/>
  <c r="GM99" i="39" l="1"/>
  <c r="GL99" i="39"/>
  <c r="GK99" i="39"/>
  <c r="GJ99" i="39"/>
  <c r="GI99" i="39"/>
  <c r="GH99" i="39"/>
  <c r="GG99" i="39"/>
  <c r="GE99" i="39"/>
  <c r="GC99" i="39"/>
  <c r="GB99" i="39"/>
  <c r="FX99" i="39"/>
  <c r="FW99" i="39"/>
  <c r="FV99" i="39"/>
  <c r="FU99" i="39"/>
  <c r="FT99" i="39"/>
  <c r="FR99" i="39"/>
  <c r="FQ99" i="39"/>
  <c r="FP99" i="39"/>
  <c r="FO99" i="39"/>
  <c r="FN99" i="39"/>
  <c r="FM99" i="39"/>
  <c r="FL99" i="39"/>
  <c r="FK99" i="39"/>
  <c r="FJ99" i="39"/>
  <c r="FI99" i="39"/>
  <c r="FH99" i="39"/>
  <c r="FG99" i="39"/>
  <c r="FF99" i="39"/>
  <c r="FE99" i="39"/>
  <c r="FD99" i="39"/>
  <c r="FC99" i="39"/>
  <c r="FB99" i="39"/>
  <c r="FA99" i="39"/>
  <c r="EZ99" i="39"/>
  <c r="EY99" i="39"/>
  <c r="EX99" i="39"/>
  <c r="EW99" i="39"/>
  <c r="EV99" i="39"/>
  <c r="EU99" i="39"/>
  <c r="ET99" i="39"/>
  <c r="ES99" i="39"/>
  <c r="ER99" i="39"/>
  <c r="EQ99" i="39"/>
  <c r="EP99" i="39"/>
  <c r="EO99" i="39"/>
  <c r="EN99" i="39"/>
  <c r="EM99" i="39"/>
  <c r="EL99" i="39"/>
  <c r="EK99" i="39"/>
  <c r="EJ99" i="39"/>
  <c r="EI99" i="39"/>
  <c r="EH99" i="39"/>
  <c r="EG99" i="39"/>
  <c r="EF99" i="39"/>
  <c r="EE99" i="39"/>
  <c r="ED99" i="39"/>
  <c r="EC99" i="39"/>
  <c r="EB99" i="39"/>
  <c r="EA99" i="39"/>
  <c r="DZ99" i="39"/>
  <c r="DY99" i="39"/>
  <c r="DX99" i="39"/>
  <c r="DW99" i="39"/>
  <c r="GM98" i="39"/>
  <c r="GL98" i="39"/>
  <c r="GK98" i="39"/>
  <c r="GJ98" i="39"/>
  <c r="GI98" i="39"/>
  <c r="GH98" i="39"/>
  <c r="GG98" i="39"/>
  <c r="GE98" i="39"/>
  <c r="GC98" i="39"/>
  <c r="GB98" i="39"/>
  <c r="FX98" i="39"/>
  <c r="FW98" i="39"/>
  <c r="FV98" i="39"/>
  <c r="FU98" i="39"/>
  <c r="FT98" i="39"/>
  <c r="FR98" i="39"/>
  <c r="FQ98" i="39"/>
  <c r="FP98" i="39"/>
  <c r="FO98" i="39"/>
  <c r="FN98" i="39"/>
  <c r="FM98" i="39"/>
  <c r="FL98" i="39"/>
  <c r="FK98" i="39"/>
  <c r="FJ98" i="39"/>
  <c r="FI98" i="39"/>
  <c r="FH98" i="39"/>
  <c r="FG98" i="39"/>
  <c r="FF98" i="39"/>
  <c r="FE98" i="39"/>
  <c r="FD98" i="39"/>
  <c r="FC98" i="39"/>
  <c r="FB98" i="39"/>
  <c r="FA98" i="39"/>
  <c r="EZ98" i="39"/>
  <c r="EY98" i="39"/>
  <c r="EX98" i="39"/>
  <c r="EW98" i="39"/>
  <c r="EV98" i="39"/>
  <c r="EU98" i="39"/>
  <c r="ET98" i="39"/>
  <c r="ES98" i="39"/>
  <c r="ER98" i="39"/>
  <c r="EQ98" i="39"/>
  <c r="EP98" i="39"/>
  <c r="EO98" i="39"/>
  <c r="EN98" i="39"/>
  <c r="EM98" i="39"/>
  <c r="EL98" i="39"/>
  <c r="EK98" i="39"/>
  <c r="EJ98" i="39"/>
  <c r="EI98" i="39"/>
  <c r="EH98" i="39"/>
  <c r="EG98" i="39"/>
  <c r="EF98" i="39"/>
  <c r="EE98" i="39"/>
  <c r="ED98" i="39"/>
  <c r="EC98" i="39"/>
  <c r="EB98" i="39"/>
  <c r="EA98" i="39"/>
  <c r="DZ98" i="39"/>
  <c r="DY98" i="39"/>
  <c r="DX98" i="39"/>
  <c r="DW98" i="39"/>
  <c r="GM97" i="39"/>
  <c r="GL97" i="39"/>
  <c r="GK97" i="39"/>
  <c r="GJ97" i="39"/>
  <c r="GI97" i="39"/>
  <c r="GH97" i="39"/>
  <c r="GG97" i="39"/>
  <c r="GE97" i="39"/>
  <c r="GC97" i="39"/>
  <c r="GB97" i="39"/>
  <c r="FX97" i="39"/>
  <c r="FW97" i="39"/>
  <c r="FV97" i="39"/>
  <c r="FU97" i="39"/>
  <c r="FT97" i="39"/>
  <c r="FR97" i="39"/>
  <c r="FQ97" i="39"/>
  <c r="FP97" i="39"/>
  <c r="FO97" i="39"/>
  <c r="FN97" i="39"/>
  <c r="FM97" i="39"/>
  <c r="FL97" i="39"/>
  <c r="FK97" i="39"/>
  <c r="FJ97" i="39"/>
  <c r="FI97" i="39"/>
  <c r="FH97" i="39"/>
  <c r="FG97" i="39"/>
  <c r="FF97" i="39"/>
  <c r="FE97" i="39"/>
  <c r="FD97" i="39"/>
  <c r="FC97" i="39"/>
  <c r="FB97" i="39"/>
  <c r="FA97" i="39"/>
  <c r="EZ97" i="39"/>
  <c r="EY97" i="39"/>
  <c r="EX97" i="39"/>
  <c r="EW97" i="39"/>
  <c r="EV97" i="39"/>
  <c r="EU97" i="39"/>
  <c r="ET97" i="39"/>
  <c r="ES97" i="39"/>
  <c r="ER97" i="39"/>
  <c r="EQ97" i="39"/>
  <c r="EP97" i="39"/>
  <c r="EO97" i="39"/>
  <c r="EN97" i="39"/>
  <c r="EM97" i="39"/>
  <c r="EL97" i="39"/>
  <c r="EK97" i="39"/>
  <c r="EJ97" i="39"/>
  <c r="EI97" i="39"/>
  <c r="EH97" i="39"/>
  <c r="EG97" i="39"/>
  <c r="EF97" i="39"/>
  <c r="EE97" i="39"/>
  <c r="ED97" i="39"/>
  <c r="EC97" i="39"/>
  <c r="EB97" i="39"/>
  <c r="EA97" i="39"/>
  <c r="DZ97" i="39"/>
  <c r="DY97" i="39"/>
  <c r="DX97" i="39"/>
  <c r="DW97" i="39"/>
  <c r="GM96" i="39"/>
  <c r="GL96" i="39"/>
  <c r="GK96" i="39"/>
  <c r="GJ96" i="39"/>
  <c r="GI96" i="39"/>
  <c r="GH96" i="39"/>
  <c r="GG96" i="39"/>
  <c r="GE96" i="39"/>
  <c r="GC96" i="39"/>
  <c r="GB96" i="39"/>
  <c r="FX96" i="39"/>
  <c r="FW96" i="39"/>
  <c r="FV96" i="39"/>
  <c r="FU96" i="39"/>
  <c r="FT96" i="39"/>
  <c r="FR96" i="39"/>
  <c r="FQ96" i="39"/>
  <c r="FP96" i="39"/>
  <c r="FO96" i="39"/>
  <c r="FN96" i="39"/>
  <c r="FM96" i="39"/>
  <c r="FL96" i="39"/>
  <c r="FK96" i="39"/>
  <c r="FJ96" i="39"/>
  <c r="FI96" i="39"/>
  <c r="FH96" i="39"/>
  <c r="FG96" i="39"/>
  <c r="FF96" i="39"/>
  <c r="FE96" i="39"/>
  <c r="FD96" i="39"/>
  <c r="FC96" i="39"/>
  <c r="FB96" i="39"/>
  <c r="FA96" i="39"/>
  <c r="EZ96" i="39"/>
  <c r="EY96" i="39"/>
  <c r="EX96" i="39"/>
  <c r="EW96" i="39"/>
  <c r="EV96" i="39"/>
  <c r="EU96" i="39"/>
  <c r="ET96" i="39"/>
  <c r="ES96" i="39"/>
  <c r="ER96" i="39"/>
  <c r="EQ96" i="39"/>
  <c r="EP96" i="39"/>
  <c r="EO96" i="39"/>
  <c r="EN96" i="39"/>
  <c r="EM96" i="39"/>
  <c r="EL96" i="39"/>
  <c r="EK96" i="39"/>
  <c r="EJ96" i="39"/>
  <c r="EI96" i="39"/>
  <c r="EH96" i="39"/>
  <c r="EG96" i="39"/>
  <c r="EF96" i="39"/>
  <c r="EE96" i="39"/>
  <c r="ED96" i="39"/>
  <c r="EC96" i="39"/>
  <c r="EB96" i="39"/>
  <c r="EA96" i="39"/>
  <c r="DZ96" i="39"/>
  <c r="DY96" i="39"/>
  <c r="DX96" i="39"/>
  <c r="DW96" i="39"/>
  <c r="AI99" i="39"/>
  <c r="AN99" i="39" s="1"/>
  <c r="AD99" i="39"/>
  <c r="AC99" i="39"/>
  <c r="W99" i="39"/>
  <c r="S99" i="39"/>
  <c r="P99" i="39"/>
  <c r="O99" i="39"/>
  <c r="N99" i="39"/>
  <c r="C99" i="39"/>
  <c r="AI98" i="39"/>
  <c r="AN98" i="39" s="1"/>
  <c r="AD98" i="39"/>
  <c r="AC98" i="39"/>
  <c r="W98" i="39"/>
  <c r="S98" i="39"/>
  <c r="P98" i="39"/>
  <c r="O98" i="39"/>
  <c r="N98" i="39"/>
  <c r="C98" i="39"/>
  <c r="AI97" i="39"/>
  <c r="AN97" i="39" s="1"/>
  <c r="AD97" i="39"/>
  <c r="AC97" i="39"/>
  <c r="W97" i="39"/>
  <c r="S97" i="39"/>
  <c r="P97" i="39"/>
  <c r="O97" i="39"/>
  <c r="N97" i="39"/>
  <c r="C97" i="39"/>
  <c r="AI96" i="39"/>
  <c r="AN96" i="39" s="1"/>
  <c r="AD96" i="39"/>
  <c r="AC96" i="39"/>
  <c r="W96" i="39"/>
  <c r="S96" i="39"/>
  <c r="P96" i="39"/>
  <c r="N96" i="39"/>
  <c r="O96" i="39" s="1"/>
  <c r="C96" i="39"/>
  <c r="C47" i="39"/>
  <c r="N47" i="39"/>
  <c r="O47" i="39" s="1"/>
  <c r="P47" i="39"/>
  <c r="S47" i="39"/>
  <c r="W47" i="39"/>
  <c r="AA47" i="39" s="1"/>
  <c r="AC47" i="39"/>
  <c r="AD47" i="39"/>
  <c r="AI47" i="39"/>
  <c r="AJ47" i="39"/>
  <c r="AK47" i="39"/>
  <c r="AL47" i="39"/>
  <c r="AM47" i="39"/>
  <c r="BA47" i="39"/>
  <c r="DW47" i="39"/>
  <c r="DX47" i="39"/>
  <c r="DY47" i="39"/>
  <c r="DZ47" i="39"/>
  <c r="EA47" i="39"/>
  <c r="EB47" i="39"/>
  <c r="EC47" i="39"/>
  <c r="ED47" i="39"/>
  <c r="EE47" i="39"/>
  <c r="EF47" i="39"/>
  <c r="EG47" i="39"/>
  <c r="EH47" i="39"/>
  <c r="EI47" i="39"/>
  <c r="EJ47" i="39"/>
  <c r="EK47" i="39"/>
  <c r="EL47" i="39"/>
  <c r="EM47" i="39"/>
  <c r="EN47" i="39"/>
  <c r="EO47" i="39"/>
  <c r="EP47" i="39"/>
  <c r="EQ47" i="39"/>
  <c r="ER47" i="39"/>
  <c r="ES47" i="39"/>
  <c r="ET47" i="39"/>
  <c r="EU47" i="39"/>
  <c r="EV47" i="39"/>
  <c r="EW47" i="39"/>
  <c r="EX47" i="39"/>
  <c r="EY47" i="39"/>
  <c r="EZ47" i="39"/>
  <c r="FA47" i="39"/>
  <c r="FB47" i="39"/>
  <c r="FC47" i="39"/>
  <c r="FD47" i="39"/>
  <c r="FE47" i="39"/>
  <c r="FF47" i="39"/>
  <c r="FG47" i="39"/>
  <c r="FH47" i="39"/>
  <c r="FI47" i="39"/>
  <c r="FJ47" i="39"/>
  <c r="FK47" i="39"/>
  <c r="FL47" i="39"/>
  <c r="FM47" i="39"/>
  <c r="FN47" i="39"/>
  <c r="FO47" i="39"/>
  <c r="FP47" i="39"/>
  <c r="FQ47" i="39"/>
  <c r="FR47" i="39"/>
  <c r="FS47" i="39"/>
  <c r="FW47" i="39"/>
  <c r="FX47" i="39"/>
  <c r="FY47" i="39"/>
  <c r="FZ47" i="39"/>
  <c r="GA47" i="39"/>
  <c r="GB47" i="39"/>
  <c r="GC47" i="39"/>
  <c r="GD47" i="39"/>
  <c r="GE47" i="39"/>
  <c r="GF47" i="39"/>
  <c r="GG47" i="39"/>
  <c r="GH47" i="39"/>
  <c r="GI47" i="39"/>
  <c r="GJ47" i="39"/>
  <c r="GK47" i="39"/>
  <c r="GL47" i="39"/>
  <c r="GM47" i="39"/>
  <c r="AB99" i="39" l="1"/>
  <c r="BB99" i="39"/>
  <c r="AB98" i="39"/>
  <c r="BB98" i="39"/>
  <c r="AB96" i="39"/>
  <c r="BB96" i="39"/>
  <c r="X97" i="39"/>
  <c r="BB97" i="39"/>
  <c r="Z97" i="39"/>
  <c r="AO97" i="39" s="1"/>
  <c r="X98" i="39"/>
  <c r="AA97" i="39"/>
  <c r="Z98" i="39"/>
  <c r="AO98" i="39" s="1"/>
  <c r="AB97" i="39"/>
  <c r="AA98" i="39"/>
  <c r="AG96" i="39"/>
  <c r="AH96" i="39" s="1"/>
  <c r="AG99" i="39"/>
  <c r="AH99" i="39" s="1"/>
  <c r="X96" i="39"/>
  <c r="X99" i="39"/>
  <c r="Z96" i="39"/>
  <c r="AO96" i="39" s="1"/>
  <c r="Z99" i="39"/>
  <c r="AO99" i="39" s="1"/>
  <c r="AG97" i="39"/>
  <c r="AH97" i="39" s="1"/>
  <c r="AA96" i="39"/>
  <c r="AG98" i="39"/>
  <c r="AH98" i="39" s="1"/>
  <c r="AA99" i="39"/>
  <c r="Z47" i="39"/>
  <c r="AN47" i="39"/>
  <c r="AG47" i="39"/>
  <c r="AH47" i="39" s="1"/>
  <c r="X47" i="39"/>
  <c r="AB47" i="39"/>
  <c r="BB47" i="39"/>
  <c r="AP99" i="39" l="1"/>
  <c r="AX99" i="39" s="1"/>
  <c r="AP98" i="39"/>
  <c r="AP96" i="39"/>
  <c r="AT96" i="39" s="1"/>
  <c r="AU96" i="39" s="1"/>
  <c r="AP97" i="39"/>
  <c r="AQ97" i="39" s="1"/>
  <c r="AO47" i="39"/>
  <c r="AP47" i="39" s="1"/>
  <c r="AQ47" i="39" s="1"/>
  <c r="AR99" i="39" l="1"/>
  <c r="AS99" i="39" s="1"/>
  <c r="AZ99" i="39"/>
  <c r="AV99" i="39"/>
  <c r="AW99" i="39"/>
  <c r="BC99" i="39"/>
  <c r="AQ99" i="39"/>
  <c r="AX98" i="39"/>
  <c r="BC98" i="39"/>
  <c r="FY98" i="39" s="1"/>
  <c r="AW98" i="39"/>
  <c r="AZ98" i="39"/>
  <c r="AV98" i="39"/>
  <c r="AQ98" i="39"/>
  <c r="AR98" i="39"/>
  <c r="AS98" i="39" s="1"/>
  <c r="AQ96" i="39"/>
  <c r="AX96" i="39"/>
  <c r="AW96" i="39"/>
  <c r="AV96" i="39"/>
  <c r="AZ96" i="39"/>
  <c r="BC96" i="39"/>
  <c r="GF96" i="39" s="1"/>
  <c r="AR96" i="39"/>
  <c r="AS96" i="39" s="1"/>
  <c r="AW97" i="39"/>
  <c r="BC97" i="39"/>
  <c r="GF97" i="39" s="1"/>
  <c r="AZ97" i="39"/>
  <c r="AV97" i="39"/>
  <c r="AX97" i="39"/>
  <c r="AR97" i="39"/>
  <c r="AS97" i="39" s="1"/>
  <c r="BC47" i="39"/>
  <c r="FT47" i="39" s="1"/>
  <c r="AZ47" i="39"/>
  <c r="AW47" i="39"/>
  <c r="AV47" i="39"/>
  <c r="AX47" i="39"/>
  <c r="AT47" i="39"/>
  <c r="AU47" i="39" s="1"/>
  <c r="AR47" i="39"/>
  <c r="AS47" i="39" s="1"/>
  <c r="FU47" i="39"/>
  <c r="FS96" i="39" l="1"/>
  <c r="FY96" i="39"/>
  <c r="GD96" i="39"/>
  <c r="FV47" i="39"/>
  <c r="FZ98" i="39"/>
  <c r="FZ97" i="39"/>
  <c r="GD97" i="39"/>
  <c r="FZ96" i="39"/>
  <c r="GA96" i="39"/>
  <c r="GA97" i="39"/>
  <c r="FY97" i="39"/>
  <c r="GD98" i="39"/>
  <c r="FS97" i="39"/>
  <c r="FS98" i="39"/>
  <c r="GF98" i="39"/>
  <c r="GA98" i="39"/>
  <c r="GA99" i="39"/>
  <c r="FZ99" i="39"/>
  <c r="FY99" i="39"/>
  <c r="GF99" i="39"/>
  <c r="FS99" i="39"/>
  <c r="GD99" i="39"/>
  <c r="GM326" i="44" l="1"/>
  <c r="GL326" i="44"/>
  <c r="GK326" i="44"/>
  <c r="GJ326" i="44"/>
  <c r="GI326" i="44"/>
  <c r="GH326" i="44"/>
  <c r="GG326" i="44"/>
  <c r="GF326" i="44"/>
  <c r="GE326" i="44"/>
  <c r="GD326" i="44"/>
  <c r="GC326" i="44"/>
  <c r="GB326" i="44"/>
  <c r="GA326" i="44"/>
  <c r="FZ326" i="44"/>
  <c r="FY326" i="44"/>
  <c r="FX326" i="44"/>
  <c r="FW326" i="44"/>
  <c r="FV326" i="44"/>
  <c r="FU326" i="44"/>
  <c r="FT326" i="44"/>
  <c r="FS326" i="44"/>
  <c r="FR326" i="44"/>
  <c r="FQ326" i="44"/>
  <c r="FP326" i="44"/>
  <c r="FO326" i="44"/>
  <c r="FN326" i="44"/>
  <c r="FM326" i="44"/>
  <c r="FL326" i="44"/>
  <c r="FK326" i="44"/>
  <c r="FJ326" i="44"/>
  <c r="FI326" i="44"/>
  <c r="FH326" i="44"/>
  <c r="FG326" i="44"/>
  <c r="FF326" i="44"/>
  <c r="FE326" i="44"/>
  <c r="FD326" i="44"/>
  <c r="FC326" i="44"/>
  <c r="FB326" i="44"/>
  <c r="FA326" i="44"/>
  <c r="EZ326" i="44"/>
  <c r="EY326" i="44"/>
  <c r="EX326" i="44"/>
  <c r="EW326" i="44"/>
  <c r="EV326" i="44"/>
  <c r="EU326" i="44"/>
  <c r="ET326" i="44"/>
  <c r="ES326" i="44"/>
  <c r="ER326" i="44"/>
  <c r="EQ326" i="44"/>
  <c r="EP326" i="44"/>
  <c r="EO326" i="44"/>
  <c r="EN326" i="44"/>
  <c r="EM326" i="44"/>
  <c r="EL326" i="44"/>
  <c r="EK326" i="44"/>
  <c r="EJ326" i="44"/>
  <c r="EI326" i="44"/>
  <c r="EH326" i="44"/>
  <c r="EG326" i="44"/>
  <c r="EF326" i="44"/>
  <c r="EE326" i="44"/>
  <c r="ED326" i="44"/>
  <c r="EC326" i="44"/>
  <c r="EB326" i="44"/>
  <c r="EA326" i="44"/>
  <c r="DW326" i="44"/>
  <c r="BA326" i="44"/>
  <c r="AU326" i="44"/>
  <c r="AT326" i="44"/>
  <c r="AM326" i="44"/>
  <c r="AL326" i="44"/>
  <c r="AK326" i="44"/>
  <c r="AJ326" i="44"/>
  <c r="AI326" i="44"/>
  <c r="AD326" i="44"/>
  <c r="AC326" i="44"/>
  <c r="W326" i="44"/>
  <c r="Z326" i="44" s="1"/>
  <c r="S326" i="44"/>
  <c r="P326" i="44"/>
  <c r="O326" i="44"/>
  <c r="N326" i="44"/>
  <c r="C326" i="44"/>
  <c r="GM325" i="44"/>
  <c r="GL325" i="44"/>
  <c r="GK325" i="44"/>
  <c r="GJ325" i="44"/>
  <c r="GI325" i="44"/>
  <c r="GH325" i="44"/>
  <c r="GG325" i="44"/>
  <c r="GF325" i="44"/>
  <c r="GE325" i="44"/>
  <c r="GD325" i="44"/>
  <c r="GC325" i="44"/>
  <c r="GB325" i="44"/>
  <c r="GA325" i="44"/>
  <c r="FZ325" i="44"/>
  <c r="FY325" i="44"/>
  <c r="FX325" i="44"/>
  <c r="FW325" i="44"/>
  <c r="FV325" i="44"/>
  <c r="FU325" i="44"/>
  <c r="FT325" i="44"/>
  <c r="FS325" i="44"/>
  <c r="FR325" i="44"/>
  <c r="FQ325" i="44"/>
  <c r="FP325" i="44"/>
  <c r="FO325" i="44"/>
  <c r="FN325" i="44"/>
  <c r="FM325" i="44"/>
  <c r="FL325" i="44"/>
  <c r="FK325" i="44"/>
  <c r="FJ325" i="44"/>
  <c r="FI325" i="44"/>
  <c r="FH325" i="44"/>
  <c r="FG325" i="44"/>
  <c r="FF325" i="44"/>
  <c r="FE325" i="44"/>
  <c r="FD325" i="44"/>
  <c r="FC325" i="44"/>
  <c r="FB325" i="44"/>
  <c r="FA325" i="44"/>
  <c r="EZ325" i="44"/>
  <c r="EY325" i="44"/>
  <c r="EX325" i="44"/>
  <c r="EW325" i="44"/>
  <c r="EV325" i="44"/>
  <c r="EU325" i="44"/>
  <c r="ET325" i="44"/>
  <c r="ES325" i="44"/>
  <c r="ER325" i="44"/>
  <c r="EQ325" i="44"/>
  <c r="EP325" i="44"/>
  <c r="EO325" i="44"/>
  <c r="EN325" i="44"/>
  <c r="EM325" i="44"/>
  <c r="EL325" i="44"/>
  <c r="EK325" i="44"/>
  <c r="EJ325" i="44"/>
  <c r="EI325" i="44"/>
  <c r="EH325" i="44"/>
  <c r="EG325" i="44"/>
  <c r="EF325" i="44"/>
  <c r="EE325" i="44"/>
  <c r="ED325" i="44"/>
  <c r="EC325" i="44"/>
  <c r="EB325" i="44"/>
  <c r="EA325" i="44"/>
  <c r="DW325" i="44"/>
  <c r="BA325" i="44"/>
  <c r="AU325" i="44"/>
  <c r="AT325" i="44"/>
  <c r="AM325" i="44"/>
  <c r="AL325" i="44"/>
  <c r="AK325" i="44"/>
  <c r="AJ325" i="44"/>
  <c r="AI325" i="44"/>
  <c r="AD325" i="44"/>
  <c r="AC325" i="44"/>
  <c r="W325" i="44"/>
  <c r="S325" i="44"/>
  <c r="P325" i="44"/>
  <c r="O325" i="44"/>
  <c r="N325" i="44"/>
  <c r="C325" i="44"/>
  <c r="GM324" i="44"/>
  <c r="GL324" i="44"/>
  <c r="GK324" i="44"/>
  <c r="GJ324" i="44"/>
  <c r="GI324" i="44"/>
  <c r="GH324" i="44"/>
  <c r="GG324" i="44"/>
  <c r="GF324" i="44"/>
  <c r="GE324" i="44"/>
  <c r="GD324" i="44"/>
  <c r="GC324" i="44"/>
  <c r="GB324" i="44"/>
  <c r="GA324" i="44"/>
  <c r="FZ324" i="44"/>
  <c r="FY324" i="44"/>
  <c r="FX324" i="44"/>
  <c r="FW324" i="44"/>
  <c r="FV324" i="44"/>
  <c r="FU324" i="44"/>
  <c r="FT324" i="44"/>
  <c r="FS324" i="44"/>
  <c r="FR324" i="44"/>
  <c r="FQ324" i="44"/>
  <c r="FP324" i="44"/>
  <c r="FO324" i="44"/>
  <c r="FN324" i="44"/>
  <c r="FM324" i="44"/>
  <c r="FL324" i="44"/>
  <c r="FK324" i="44"/>
  <c r="FJ324" i="44"/>
  <c r="FI324" i="44"/>
  <c r="FH324" i="44"/>
  <c r="FG324" i="44"/>
  <c r="FF324" i="44"/>
  <c r="FE324" i="44"/>
  <c r="FD324" i="44"/>
  <c r="FC324" i="44"/>
  <c r="FB324" i="44"/>
  <c r="FA324" i="44"/>
  <c r="EZ324" i="44"/>
  <c r="EY324" i="44"/>
  <c r="EX324" i="44"/>
  <c r="EW324" i="44"/>
  <c r="EV324" i="44"/>
  <c r="EU324" i="44"/>
  <c r="ET324" i="44"/>
  <c r="ES324" i="44"/>
  <c r="ER324" i="44"/>
  <c r="EQ324" i="44"/>
  <c r="EP324" i="44"/>
  <c r="EO324" i="44"/>
  <c r="EN324" i="44"/>
  <c r="EM324" i="44"/>
  <c r="EL324" i="44"/>
  <c r="EK324" i="44"/>
  <c r="EJ324" i="44"/>
  <c r="EI324" i="44"/>
  <c r="EH324" i="44"/>
  <c r="EG324" i="44"/>
  <c r="EF324" i="44"/>
  <c r="EE324" i="44"/>
  <c r="ED324" i="44"/>
  <c r="EC324" i="44"/>
  <c r="EB324" i="44"/>
  <c r="EA324" i="44"/>
  <c r="DW324" i="44"/>
  <c r="BA324" i="44"/>
  <c r="AU324" i="44"/>
  <c r="AT324" i="44"/>
  <c r="AM324" i="44"/>
  <c r="AL324" i="44"/>
  <c r="AK324" i="44"/>
  <c r="AJ324" i="44"/>
  <c r="AI324" i="44"/>
  <c r="AD324" i="44"/>
  <c r="AC324" i="44"/>
  <c r="W324" i="44"/>
  <c r="S324" i="44"/>
  <c r="P324" i="44"/>
  <c r="O324" i="44"/>
  <c r="N324" i="44"/>
  <c r="C324" i="44"/>
  <c r="GM323" i="44"/>
  <c r="GL323" i="44"/>
  <c r="GK323" i="44"/>
  <c r="GJ323" i="44"/>
  <c r="GI323" i="44"/>
  <c r="GH323" i="44"/>
  <c r="GG323" i="44"/>
  <c r="GF323" i="44"/>
  <c r="GE323" i="44"/>
  <c r="GD323" i="44"/>
  <c r="GC323" i="44"/>
  <c r="GB323" i="44"/>
  <c r="GA323" i="44"/>
  <c r="FZ323" i="44"/>
  <c r="FY323" i="44"/>
  <c r="FX323" i="44"/>
  <c r="FW323" i="44"/>
  <c r="FV323" i="44"/>
  <c r="FU323" i="44"/>
  <c r="FT323" i="44"/>
  <c r="FS323" i="44"/>
  <c r="FR323" i="44"/>
  <c r="FQ323" i="44"/>
  <c r="FP323" i="44"/>
  <c r="FO323" i="44"/>
  <c r="FN323" i="44"/>
  <c r="FM323" i="44"/>
  <c r="FL323" i="44"/>
  <c r="FK323" i="44"/>
  <c r="FJ323" i="44"/>
  <c r="FI323" i="44"/>
  <c r="FH323" i="44"/>
  <c r="FG323" i="44"/>
  <c r="FF323" i="44"/>
  <c r="FE323" i="44"/>
  <c r="FD323" i="44"/>
  <c r="FC323" i="44"/>
  <c r="FB323" i="44"/>
  <c r="FA323" i="44"/>
  <c r="EZ323" i="44"/>
  <c r="EY323" i="44"/>
  <c r="EX323" i="44"/>
  <c r="EW323" i="44"/>
  <c r="EV323" i="44"/>
  <c r="EU323" i="44"/>
  <c r="ET323" i="44"/>
  <c r="ES323" i="44"/>
  <c r="ER323" i="44"/>
  <c r="EQ323" i="44"/>
  <c r="EP323" i="44"/>
  <c r="EO323" i="44"/>
  <c r="EN323" i="44"/>
  <c r="EM323" i="44"/>
  <c r="EL323" i="44"/>
  <c r="EK323" i="44"/>
  <c r="EJ323" i="44"/>
  <c r="EI323" i="44"/>
  <c r="EH323" i="44"/>
  <c r="EG323" i="44"/>
  <c r="EF323" i="44"/>
  <c r="EE323" i="44"/>
  <c r="ED323" i="44"/>
  <c r="EC323" i="44"/>
  <c r="EB323" i="44"/>
  <c r="EA323" i="44"/>
  <c r="DW323" i="44"/>
  <c r="BA323" i="44"/>
  <c r="AU323" i="44"/>
  <c r="AT323" i="44"/>
  <c r="AM323" i="44"/>
  <c r="AL323" i="44"/>
  <c r="AK323" i="44"/>
  <c r="AJ323" i="44"/>
  <c r="AI323" i="44"/>
  <c r="AD323" i="44"/>
  <c r="AC323" i="44"/>
  <c r="W323" i="44"/>
  <c r="Z323" i="44" s="1"/>
  <c r="S323" i="44"/>
  <c r="P323" i="44"/>
  <c r="O323" i="44"/>
  <c r="N323" i="44"/>
  <c r="C323" i="44"/>
  <c r="GM322" i="44"/>
  <c r="GL322" i="44"/>
  <c r="GK322" i="44"/>
  <c r="GJ322" i="44"/>
  <c r="GI322" i="44"/>
  <c r="GH322" i="44"/>
  <c r="GG322" i="44"/>
  <c r="GF322" i="44"/>
  <c r="GE322" i="44"/>
  <c r="GD322" i="44"/>
  <c r="GC322" i="44"/>
  <c r="GB322" i="44"/>
  <c r="GA322" i="44"/>
  <c r="FZ322" i="44"/>
  <c r="FY322" i="44"/>
  <c r="FX322" i="44"/>
  <c r="FW322" i="44"/>
  <c r="FV322" i="44"/>
  <c r="FU322" i="44"/>
  <c r="FT322" i="44"/>
  <c r="FS322" i="44"/>
  <c r="FR322" i="44"/>
  <c r="FQ322" i="44"/>
  <c r="FP322" i="44"/>
  <c r="FO322" i="44"/>
  <c r="FN322" i="44"/>
  <c r="FM322" i="44"/>
  <c r="FL322" i="44"/>
  <c r="FK322" i="44"/>
  <c r="FJ322" i="44"/>
  <c r="FI322" i="44"/>
  <c r="FH322" i="44"/>
  <c r="FG322" i="44"/>
  <c r="FF322" i="44"/>
  <c r="FE322" i="44"/>
  <c r="FD322" i="44"/>
  <c r="FC322" i="44"/>
  <c r="FB322" i="44"/>
  <c r="FA322" i="44"/>
  <c r="EZ322" i="44"/>
  <c r="EY322" i="44"/>
  <c r="EX322" i="44"/>
  <c r="EW322" i="44"/>
  <c r="EV322" i="44"/>
  <c r="EU322" i="44"/>
  <c r="ET322" i="44"/>
  <c r="ES322" i="44"/>
  <c r="ER322" i="44"/>
  <c r="EQ322" i="44"/>
  <c r="EP322" i="44"/>
  <c r="EO322" i="44"/>
  <c r="EN322" i="44"/>
  <c r="EM322" i="44"/>
  <c r="EL322" i="44"/>
  <c r="EK322" i="44"/>
  <c r="EJ322" i="44"/>
  <c r="EI322" i="44"/>
  <c r="EH322" i="44"/>
  <c r="EG322" i="44"/>
  <c r="EF322" i="44"/>
  <c r="EE322" i="44"/>
  <c r="ED322" i="44"/>
  <c r="EC322" i="44"/>
  <c r="EB322" i="44"/>
  <c r="EA322" i="44"/>
  <c r="DW322" i="44"/>
  <c r="BA322" i="44"/>
  <c r="AU322" i="44"/>
  <c r="AT322" i="44"/>
  <c r="AM322" i="44"/>
  <c r="AL322" i="44"/>
  <c r="AK322" i="44"/>
  <c r="AJ322" i="44"/>
  <c r="AI322" i="44"/>
  <c r="AD322" i="44"/>
  <c r="AC322" i="44"/>
  <c r="W322" i="44"/>
  <c r="S322" i="44"/>
  <c r="P322" i="44"/>
  <c r="O322" i="44"/>
  <c r="N322" i="44"/>
  <c r="C322" i="44"/>
  <c r="GM321" i="44"/>
  <c r="GL321" i="44"/>
  <c r="GK321" i="44"/>
  <c r="GJ321" i="44"/>
  <c r="GI321" i="44"/>
  <c r="GH321" i="44"/>
  <c r="GG321" i="44"/>
  <c r="GF321" i="44"/>
  <c r="GE321" i="44"/>
  <c r="GD321" i="44"/>
  <c r="GC321" i="44"/>
  <c r="GB321" i="44"/>
  <c r="GA321" i="44"/>
  <c r="FZ321" i="44"/>
  <c r="FY321" i="44"/>
  <c r="FX321" i="44"/>
  <c r="FW321" i="44"/>
  <c r="FV321" i="44"/>
  <c r="FU321" i="44"/>
  <c r="FT321" i="44"/>
  <c r="FS321" i="44"/>
  <c r="FR321" i="44"/>
  <c r="FQ321" i="44"/>
  <c r="FP321" i="44"/>
  <c r="FO321" i="44"/>
  <c r="FN321" i="44"/>
  <c r="FM321" i="44"/>
  <c r="FL321" i="44"/>
  <c r="FK321" i="44"/>
  <c r="FJ321" i="44"/>
  <c r="FI321" i="44"/>
  <c r="FH321" i="44"/>
  <c r="FG321" i="44"/>
  <c r="FF321" i="44"/>
  <c r="FE321" i="44"/>
  <c r="FD321" i="44"/>
  <c r="FC321" i="44"/>
  <c r="FB321" i="44"/>
  <c r="FA321" i="44"/>
  <c r="EZ321" i="44"/>
  <c r="EY321" i="44"/>
  <c r="EX321" i="44"/>
  <c r="EW321" i="44"/>
  <c r="EV321" i="44"/>
  <c r="EU321" i="44"/>
  <c r="ET321" i="44"/>
  <c r="ES321" i="44"/>
  <c r="ER321" i="44"/>
  <c r="EQ321" i="44"/>
  <c r="EP321" i="44"/>
  <c r="EO321" i="44"/>
  <c r="EN321" i="44"/>
  <c r="EM321" i="44"/>
  <c r="EL321" i="44"/>
  <c r="EK321" i="44"/>
  <c r="EJ321" i="44"/>
  <c r="EI321" i="44"/>
  <c r="EH321" i="44"/>
  <c r="EG321" i="44"/>
  <c r="EF321" i="44"/>
  <c r="EE321" i="44"/>
  <c r="ED321" i="44"/>
  <c r="EC321" i="44"/>
  <c r="EB321" i="44"/>
  <c r="EA321" i="44"/>
  <c r="DW321" i="44"/>
  <c r="BA321" i="44"/>
  <c r="AU321" i="44"/>
  <c r="AT321" i="44"/>
  <c r="AM321" i="44"/>
  <c r="AL321" i="44"/>
  <c r="AK321" i="44"/>
  <c r="AJ321" i="44"/>
  <c r="AI321" i="44"/>
  <c r="AD321" i="44"/>
  <c r="AC321" i="44"/>
  <c r="W321" i="44"/>
  <c r="S321" i="44"/>
  <c r="P321" i="44"/>
  <c r="O321" i="44"/>
  <c r="N321" i="44"/>
  <c r="C321" i="44"/>
  <c r="GM320" i="44"/>
  <c r="GL320" i="44"/>
  <c r="GK320" i="44"/>
  <c r="GJ320" i="44"/>
  <c r="GI320" i="44"/>
  <c r="GH320" i="44"/>
  <c r="GG320" i="44"/>
  <c r="GF320" i="44"/>
  <c r="GE320" i="44"/>
  <c r="GD320" i="44"/>
  <c r="GC320" i="44"/>
  <c r="GB320" i="44"/>
  <c r="GA320" i="44"/>
  <c r="FZ320" i="44"/>
  <c r="FY320" i="44"/>
  <c r="FX320" i="44"/>
  <c r="FW320" i="44"/>
  <c r="FV320" i="44"/>
  <c r="FU320" i="44"/>
  <c r="FT320" i="44"/>
  <c r="FS320" i="44"/>
  <c r="FR320" i="44"/>
  <c r="FQ320" i="44"/>
  <c r="FP320" i="44"/>
  <c r="FO320" i="44"/>
  <c r="FN320" i="44"/>
  <c r="FM320" i="44"/>
  <c r="FL320" i="44"/>
  <c r="FK320" i="44"/>
  <c r="FJ320" i="44"/>
  <c r="FI320" i="44"/>
  <c r="FH320" i="44"/>
  <c r="FG320" i="44"/>
  <c r="FF320" i="44"/>
  <c r="FE320" i="44"/>
  <c r="FD320" i="44"/>
  <c r="FC320" i="44"/>
  <c r="FB320" i="44"/>
  <c r="FA320" i="44"/>
  <c r="EZ320" i="44"/>
  <c r="EY320" i="44"/>
  <c r="EX320" i="44"/>
  <c r="EW320" i="44"/>
  <c r="EV320" i="44"/>
  <c r="EU320" i="44"/>
  <c r="ET320" i="44"/>
  <c r="ES320" i="44"/>
  <c r="ER320" i="44"/>
  <c r="EQ320" i="44"/>
  <c r="EP320" i="44"/>
  <c r="EO320" i="44"/>
  <c r="EN320" i="44"/>
  <c r="EM320" i="44"/>
  <c r="EL320" i="44"/>
  <c r="EK320" i="44"/>
  <c r="EJ320" i="44"/>
  <c r="EI320" i="44"/>
  <c r="EH320" i="44"/>
  <c r="EG320" i="44"/>
  <c r="EF320" i="44"/>
  <c r="EE320" i="44"/>
  <c r="ED320" i="44"/>
  <c r="EC320" i="44"/>
  <c r="EB320" i="44"/>
  <c r="EA320" i="44"/>
  <c r="DW320" i="44"/>
  <c r="BA320" i="44"/>
  <c r="AU320" i="44"/>
  <c r="AT320" i="44"/>
  <c r="AM320" i="44"/>
  <c r="AL320" i="44"/>
  <c r="AK320" i="44"/>
  <c r="AJ320" i="44"/>
  <c r="AI320" i="44"/>
  <c r="AD320" i="44"/>
  <c r="AC320" i="44"/>
  <c r="W320" i="44"/>
  <c r="S320" i="44"/>
  <c r="P320" i="44"/>
  <c r="O320" i="44"/>
  <c r="N320" i="44"/>
  <c r="C320" i="44"/>
  <c r="GM319" i="44"/>
  <c r="GL319" i="44"/>
  <c r="GK319" i="44"/>
  <c r="GJ319" i="44"/>
  <c r="GI319" i="44"/>
  <c r="GH319" i="44"/>
  <c r="GG319" i="44"/>
  <c r="GF319" i="44"/>
  <c r="GE319" i="44"/>
  <c r="GD319" i="44"/>
  <c r="GC319" i="44"/>
  <c r="GB319" i="44"/>
  <c r="GA319" i="44"/>
  <c r="FZ319" i="44"/>
  <c r="FY319" i="44"/>
  <c r="FX319" i="44"/>
  <c r="FW319" i="44"/>
  <c r="FV319" i="44"/>
  <c r="FU319" i="44"/>
  <c r="FT319" i="44"/>
  <c r="FS319" i="44"/>
  <c r="FR319" i="44"/>
  <c r="FQ319" i="44"/>
  <c r="FP319" i="44"/>
  <c r="FO319" i="44"/>
  <c r="FN319" i="44"/>
  <c r="FM319" i="44"/>
  <c r="FL319" i="44"/>
  <c r="FK319" i="44"/>
  <c r="FJ319" i="44"/>
  <c r="FI319" i="44"/>
  <c r="FH319" i="44"/>
  <c r="FG319" i="44"/>
  <c r="FF319" i="44"/>
  <c r="FE319" i="44"/>
  <c r="FD319" i="44"/>
  <c r="FC319" i="44"/>
  <c r="FB319" i="44"/>
  <c r="FA319" i="44"/>
  <c r="EZ319" i="44"/>
  <c r="EY319" i="44"/>
  <c r="EX319" i="44"/>
  <c r="EW319" i="44"/>
  <c r="EV319" i="44"/>
  <c r="EU319" i="44"/>
  <c r="ET319" i="44"/>
  <c r="ES319" i="44"/>
  <c r="ER319" i="44"/>
  <c r="EQ319" i="44"/>
  <c r="EP319" i="44"/>
  <c r="EO319" i="44"/>
  <c r="EN319" i="44"/>
  <c r="EM319" i="44"/>
  <c r="EL319" i="44"/>
  <c r="EK319" i="44"/>
  <c r="EJ319" i="44"/>
  <c r="EI319" i="44"/>
  <c r="EH319" i="44"/>
  <c r="EG319" i="44"/>
  <c r="EF319" i="44"/>
  <c r="EE319" i="44"/>
  <c r="ED319" i="44"/>
  <c r="EC319" i="44"/>
  <c r="EB319" i="44"/>
  <c r="EA319" i="44"/>
  <c r="DW319" i="44"/>
  <c r="BA319" i="44"/>
  <c r="AU319" i="44"/>
  <c r="AT319" i="44"/>
  <c r="AM319" i="44"/>
  <c r="AL319" i="44"/>
  <c r="AK319" i="44"/>
  <c r="AJ319" i="44"/>
  <c r="AI319" i="44"/>
  <c r="AD319" i="44"/>
  <c r="AC319" i="44"/>
  <c r="W319" i="44"/>
  <c r="S319" i="44"/>
  <c r="P319" i="44"/>
  <c r="O319" i="44"/>
  <c r="N319" i="44"/>
  <c r="C319" i="44"/>
  <c r="GM318" i="44"/>
  <c r="GL318" i="44"/>
  <c r="GK318" i="44"/>
  <c r="GJ318" i="44"/>
  <c r="GI318" i="44"/>
  <c r="GH318" i="44"/>
  <c r="GG318" i="44"/>
  <c r="GF318" i="44"/>
  <c r="GE318" i="44"/>
  <c r="GD318" i="44"/>
  <c r="GC318" i="44"/>
  <c r="GB318" i="44"/>
  <c r="GA318" i="44"/>
  <c r="FZ318" i="44"/>
  <c r="FY318" i="44"/>
  <c r="FX318" i="44"/>
  <c r="FW318" i="44"/>
  <c r="FV318" i="44"/>
  <c r="FU318" i="44"/>
  <c r="FT318" i="44"/>
  <c r="FS318" i="44"/>
  <c r="FR318" i="44"/>
  <c r="FQ318" i="44"/>
  <c r="FP318" i="44"/>
  <c r="FO318" i="44"/>
  <c r="FN318" i="44"/>
  <c r="FM318" i="44"/>
  <c r="FL318" i="44"/>
  <c r="FK318" i="44"/>
  <c r="FJ318" i="44"/>
  <c r="FI318" i="44"/>
  <c r="FH318" i="44"/>
  <c r="FG318" i="44"/>
  <c r="FF318" i="44"/>
  <c r="FE318" i="44"/>
  <c r="FD318" i="44"/>
  <c r="FC318" i="44"/>
  <c r="FB318" i="44"/>
  <c r="FA318" i="44"/>
  <c r="EZ318" i="44"/>
  <c r="EY318" i="44"/>
  <c r="EX318" i="44"/>
  <c r="EW318" i="44"/>
  <c r="EV318" i="44"/>
  <c r="EU318" i="44"/>
  <c r="ET318" i="44"/>
  <c r="ES318" i="44"/>
  <c r="ER318" i="44"/>
  <c r="EQ318" i="44"/>
  <c r="EP318" i="44"/>
  <c r="EO318" i="44"/>
  <c r="EN318" i="44"/>
  <c r="EM318" i="44"/>
  <c r="EL318" i="44"/>
  <c r="EK318" i="44"/>
  <c r="EJ318" i="44"/>
  <c r="EI318" i="44"/>
  <c r="EH318" i="44"/>
  <c r="EG318" i="44"/>
  <c r="EF318" i="44"/>
  <c r="EE318" i="44"/>
  <c r="ED318" i="44"/>
  <c r="EC318" i="44"/>
  <c r="EB318" i="44"/>
  <c r="EA318" i="44"/>
  <c r="DW318" i="44"/>
  <c r="BA318" i="44"/>
  <c r="AU318" i="44"/>
  <c r="AT318" i="44"/>
  <c r="AM318" i="44"/>
  <c r="AL318" i="44"/>
  <c r="AK318" i="44"/>
  <c r="AJ318" i="44"/>
  <c r="AI318" i="44"/>
  <c r="AD318" i="44"/>
  <c r="AC318" i="44"/>
  <c r="W318" i="44"/>
  <c r="S318" i="44"/>
  <c r="P318" i="44"/>
  <c r="O318" i="44"/>
  <c r="N318" i="44"/>
  <c r="C318" i="44"/>
  <c r="GM317" i="44"/>
  <c r="GL317" i="44"/>
  <c r="GK317" i="44"/>
  <c r="GJ317" i="44"/>
  <c r="GI317" i="44"/>
  <c r="GH317" i="44"/>
  <c r="GG317" i="44"/>
  <c r="GF317" i="44"/>
  <c r="GE317" i="44"/>
  <c r="GD317" i="44"/>
  <c r="GC317" i="44"/>
  <c r="GB317" i="44"/>
  <c r="GA317" i="44"/>
  <c r="FZ317" i="44"/>
  <c r="FY317" i="44"/>
  <c r="FX317" i="44"/>
  <c r="FW317" i="44"/>
  <c r="FV317" i="44"/>
  <c r="FU317" i="44"/>
  <c r="FT317" i="44"/>
  <c r="FS317" i="44"/>
  <c r="FR317" i="44"/>
  <c r="FQ317" i="44"/>
  <c r="FP317" i="44"/>
  <c r="FO317" i="44"/>
  <c r="FN317" i="44"/>
  <c r="FM317" i="44"/>
  <c r="FL317" i="44"/>
  <c r="FK317" i="44"/>
  <c r="FJ317" i="44"/>
  <c r="FI317" i="44"/>
  <c r="FH317" i="44"/>
  <c r="FG317" i="44"/>
  <c r="FF317" i="44"/>
  <c r="FE317" i="44"/>
  <c r="FD317" i="44"/>
  <c r="FC317" i="44"/>
  <c r="FB317" i="44"/>
  <c r="FA317" i="44"/>
  <c r="EZ317" i="44"/>
  <c r="EY317" i="44"/>
  <c r="EX317" i="44"/>
  <c r="EW317" i="44"/>
  <c r="EV317" i="44"/>
  <c r="EU317" i="44"/>
  <c r="ET317" i="44"/>
  <c r="ES317" i="44"/>
  <c r="ER317" i="44"/>
  <c r="EQ317" i="44"/>
  <c r="EP317" i="44"/>
  <c r="EO317" i="44"/>
  <c r="EN317" i="44"/>
  <c r="EM317" i="44"/>
  <c r="EL317" i="44"/>
  <c r="EK317" i="44"/>
  <c r="EJ317" i="44"/>
  <c r="EI317" i="44"/>
  <c r="EH317" i="44"/>
  <c r="EG317" i="44"/>
  <c r="EF317" i="44"/>
  <c r="EE317" i="44"/>
  <c r="ED317" i="44"/>
  <c r="EC317" i="44"/>
  <c r="EB317" i="44"/>
  <c r="EA317" i="44"/>
  <c r="DW317" i="44"/>
  <c r="BA317" i="44"/>
  <c r="AU317" i="44"/>
  <c r="AT317" i="44"/>
  <c r="AM317" i="44"/>
  <c r="AL317" i="44"/>
  <c r="AK317" i="44"/>
  <c r="AJ317" i="44"/>
  <c r="AI317" i="44"/>
  <c r="AD317" i="44"/>
  <c r="AC317" i="44"/>
  <c r="W317" i="44"/>
  <c r="S317" i="44"/>
  <c r="P317" i="44"/>
  <c r="O317" i="44"/>
  <c r="N317" i="44"/>
  <c r="C317" i="44"/>
  <c r="GM316" i="44"/>
  <c r="GL316" i="44"/>
  <c r="GK316" i="44"/>
  <c r="GJ316" i="44"/>
  <c r="GI316" i="44"/>
  <c r="GH316" i="44"/>
  <c r="GG316" i="44"/>
  <c r="GF316" i="44"/>
  <c r="GE316" i="44"/>
  <c r="GD316" i="44"/>
  <c r="GC316" i="44"/>
  <c r="GB316" i="44"/>
  <c r="GA316" i="44"/>
  <c r="FZ316" i="44"/>
  <c r="FY316" i="44"/>
  <c r="FX316" i="44"/>
  <c r="FW316" i="44"/>
  <c r="FV316" i="44"/>
  <c r="FU316" i="44"/>
  <c r="FT316" i="44"/>
  <c r="FS316" i="44"/>
  <c r="FR316" i="44"/>
  <c r="FQ316" i="44"/>
  <c r="FP316" i="44"/>
  <c r="FO316" i="44"/>
  <c r="FN316" i="44"/>
  <c r="FM316" i="44"/>
  <c r="FL316" i="44"/>
  <c r="FK316" i="44"/>
  <c r="FJ316" i="44"/>
  <c r="FI316" i="44"/>
  <c r="FH316" i="44"/>
  <c r="FG316" i="44"/>
  <c r="FF316" i="44"/>
  <c r="FE316" i="44"/>
  <c r="FD316" i="44"/>
  <c r="FC316" i="44"/>
  <c r="FB316" i="44"/>
  <c r="FA316" i="44"/>
  <c r="EZ316" i="44"/>
  <c r="EY316" i="44"/>
  <c r="EX316" i="44"/>
  <c r="EW316" i="44"/>
  <c r="EV316" i="44"/>
  <c r="EU316" i="44"/>
  <c r="ET316" i="44"/>
  <c r="ES316" i="44"/>
  <c r="ER316" i="44"/>
  <c r="EQ316" i="44"/>
  <c r="EP316" i="44"/>
  <c r="EO316" i="44"/>
  <c r="EN316" i="44"/>
  <c r="EM316" i="44"/>
  <c r="EL316" i="44"/>
  <c r="EK316" i="44"/>
  <c r="EJ316" i="44"/>
  <c r="EI316" i="44"/>
  <c r="EH316" i="44"/>
  <c r="EG316" i="44"/>
  <c r="EF316" i="44"/>
  <c r="EE316" i="44"/>
  <c r="ED316" i="44"/>
  <c r="EC316" i="44"/>
  <c r="EB316" i="44"/>
  <c r="EA316" i="44"/>
  <c r="DW316" i="44"/>
  <c r="BA316" i="44"/>
  <c r="AU316" i="44"/>
  <c r="AT316" i="44"/>
  <c r="AM316" i="44"/>
  <c r="AL316" i="44"/>
  <c r="AK316" i="44"/>
  <c r="AJ316" i="44"/>
  <c r="AI316" i="44"/>
  <c r="AD316" i="44"/>
  <c r="AC316" i="44"/>
  <c r="W316" i="44"/>
  <c r="S316" i="44"/>
  <c r="P316" i="44"/>
  <c r="O316" i="44"/>
  <c r="N316" i="44"/>
  <c r="C316" i="44"/>
  <c r="GM306" i="44"/>
  <c r="GL306" i="44"/>
  <c r="GK306" i="44"/>
  <c r="GJ306" i="44"/>
  <c r="GI306" i="44"/>
  <c r="GH306" i="44"/>
  <c r="GG306" i="44"/>
  <c r="GF306" i="44"/>
  <c r="GE306" i="44"/>
  <c r="GD306" i="44"/>
  <c r="GC306" i="44"/>
  <c r="GB306" i="44"/>
  <c r="GA306" i="44"/>
  <c r="FZ306" i="44"/>
  <c r="FY306" i="44"/>
  <c r="FX306" i="44"/>
  <c r="FW306" i="44"/>
  <c r="FV306" i="44"/>
  <c r="FU306" i="44"/>
  <c r="FT306" i="44"/>
  <c r="FS306" i="44"/>
  <c r="FR306" i="44"/>
  <c r="FQ306" i="44"/>
  <c r="FP306" i="44"/>
  <c r="FO306" i="44"/>
  <c r="FN306" i="44"/>
  <c r="FM306" i="44"/>
  <c r="FL306" i="44"/>
  <c r="FK306" i="44"/>
  <c r="FJ306" i="44"/>
  <c r="FI306" i="44"/>
  <c r="FH306" i="44"/>
  <c r="FG306" i="44"/>
  <c r="FF306" i="44"/>
  <c r="FE306" i="44"/>
  <c r="FD306" i="44"/>
  <c r="FC306" i="44"/>
  <c r="FB306" i="44"/>
  <c r="FA306" i="44"/>
  <c r="EZ306" i="44"/>
  <c r="EY306" i="44"/>
  <c r="EX306" i="44"/>
  <c r="EW306" i="44"/>
  <c r="EV306" i="44"/>
  <c r="EU306" i="44"/>
  <c r="ET306" i="44"/>
  <c r="ES306" i="44"/>
  <c r="ER306" i="44"/>
  <c r="EQ306" i="44"/>
  <c r="EP306" i="44"/>
  <c r="EO306" i="44"/>
  <c r="EN306" i="44"/>
  <c r="EM306" i="44"/>
  <c r="EL306" i="44"/>
  <c r="EK306" i="44"/>
  <c r="EJ306" i="44"/>
  <c r="EI306" i="44"/>
  <c r="EH306" i="44"/>
  <c r="EG306" i="44"/>
  <c r="EF306" i="44"/>
  <c r="EE306" i="44"/>
  <c r="ED306" i="44"/>
  <c r="EC306" i="44"/>
  <c r="EB306" i="44"/>
  <c r="EA306" i="44"/>
  <c r="DW306" i="44"/>
  <c r="BA306" i="44"/>
  <c r="AU306" i="44"/>
  <c r="AT306" i="44"/>
  <c r="AM306" i="44"/>
  <c r="AL306" i="44"/>
  <c r="AK306" i="44"/>
  <c r="AJ306" i="44"/>
  <c r="AI306" i="44"/>
  <c r="AD306" i="44"/>
  <c r="AC306" i="44"/>
  <c r="W306" i="44"/>
  <c r="BB306" i="44" s="1"/>
  <c r="S306" i="44"/>
  <c r="P306" i="44"/>
  <c r="O306" i="44"/>
  <c r="N306" i="44"/>
  <c r="C306" i="44"/>
  <c r="GM305" i="44"/>
  <c r="GL305" i="44"/>
  <c r="GK305" i="44"/>
  <c r="GJ305" i="44"/>
  <c r="GI305" i="44"/>
  <c r="GH305" i="44"/>
  <c r="GG305" i="44"/>
  <c r="GF305" i="44"/>
  <c r="GE305" i="44"/>
  <c r="GD305" i="44"/>
  <c r="GC305" i="44"/>
  <c r="GB305" i="44"/>
  <c r="GA305" i="44"/>
  <c r="FZ305" i="44"/>
  <c r="FY305" i="44"/>
  <c r="FX305" i="44"/>
  <c r="FW305" i="44"/>
  <c r="FV305" i="44"/>
  <c r="FU305" i="44"/>
  <c r="FT305" i="44"/>
  <c r="FS305" i="44"/>
  <c r="FR305" i="44"/>
  <c r="FQ305" i="44"/>
  <c r="FP305" i="44"/>
  <c r="FO305" i="44"/>
  <c r="FN305" i="44"/>
  <c r="FM305" i="44"/>
  <c r="FL305" i="44"/>
  <c r="FK305" i="44"/>
  <c r="FJ305" i="44"/>
  <c r="FI305" i="44"/>
  <c r="FH305" i="44"/>
  <c r="FG305" i="44"/>
  <c r="FF305" i="44"/>
  <c r="FE305" i="44"/>
  <c r="FD305" i="44"/>
  <c r="FC305" i="44"/>
  <c r="FB305" i="44"/>
  <c r="FA305" i="44"/>
  <c r="EZ305" i="44"/>
  <c r="EY305" i="44"/>
  <c r="EX305" i="44"/>
  <c r="EW305" i="44"/>
  <c r="EV305" i="44"/>
  <c r="EU305" i="44"/>
  <c r="ET305" i="44"/>
  <c r="ES305" i="44"/>
  <c r="ER305" i="44"/>
  <c r="EQ305" i="44"/>
  <c r="EP305" i="44"/>
  <c r="EO305" i="44"/>
  <c r="EN305" i="44"/>
  <c r="EM305" i="44"/>
  <c r="EL305" i="44"/>
  <c r="EK305" i="44"/>
  <c r="EJ305" i="44"/>
  <c r="EI305" i="44"/>
  <c r="EH305" i="44"/>
  <c r="EG305" i="44"/>
  <c r="EF305" i="44"/>
  <c r="EE305" i="44"/>
  <c r="ED305" i="44"/>
  <c r="EC305" i="44"/>
  <c r="EB305" i="44"/>
  <c r="EA305" i="44"/>
  <c r="DW305" i="44"/>
  <c r="BA305" i="44"/>
  <c r="AU305" i="44"/>
  <c r="AT305" i="44"/>
  <c r="AM305" i="44"/>
  <c r="AL305" i="44"/>
  <c r="AK305" i="44"/>
  <c r="AJ305" i="44"/>
  <c r="AI305" i="44"/>
  <c r="AD305" i="44"/>
  <c r="AC305" i="44"/>
  <c r="W305" i="44"/>
  <c r="X305" i="44" s="1"/>
  <c r="S305" i="44"/>
  <c r="P305" i="44"/>
  <c r="O305" i="44"/>
  <c r="N305" i="44"/>
  <c r="C305" i="44"/>
  <c r="GM304" i="44"/>
  <c r="GL304" i="44"/>
  <c r="GK304" i="44"/>
  <c r="GJ304" i="44"/>
  <c r="GI304" i="44"/>
  <c r="GH304" i="44"/>
  <c r="GG304" i="44"/>
  <c r="GF304" i="44"/>
  <c r="GE304" i="44"/>
  <c r="GD304" i="44"/>
  <c r="GC304" i="44"/>
  <c r="GB304" i="44"/>
  <c r="GA304" i="44"/>
  <c r="FZ304" i="44"/>
  <c r="FY304" i="44"/>
  <c r="FX304" i="44"/>
  <c r="FW304" i="44"/>
  <c r="FV304" i="44"/>
  <c r="FU304" i="44"/>
  <c r="FT304" i="44"/>
  <c r="FS304" i="44"/>
  <c r="FR304" i="44"/>
  <c r="FQ304" i="44"/>
  <c r="FP304" i="44"/>
  <c r="FO304" i="44"/>
  <c r="FN304" i="44"/>
  <c r="FM304" i="44"/>
  <c r="FL304" i="44"/>
  <c r="FK304" i="44"/>
  <c r="FJ304" i="44"/>
  <c r="FI304" i="44"/>
  <c r="FH304" i="44"/>
  <c r="FG304" i="44"/>
  <c r="FF304" i="44"/>
  <c r="FE304" i="44"/>
  <c r="FD304" i="44"/>
  <c r="FC304" i="44"/>
  <c r="FB304" i="44"/>
  <c r="FA304" i="44"/>
  <c r="EZ304" i="44"/>
  <c r="EY304" i="44"/>
  <c r="EX304" i="44"/>
  <c r="EW304" i="44"/>
  <c r="EV304" i="44"/>
  <c r="EU304" i="44"/>
  <c r="ET304" i="44"/>
  <c r="ES304" i="44"/>
  <c r="ER304" i="44"/>
  <c r="EQ304" i="44"/>
  <c r="EP304" i="44"/>
  <c r="EO304" i="44"/>
  <c r="EN304" i="44"/>
  <c r="EM304" i="44"/>
  <c r="EL304" i="44"/>
  <c r="EK304" i="44"/>
  <c r="EJ304" i="44"/>
  <c r="EI304" i="44"/>
  <c r="EH304" i="44"/>
  <c r="EG304" i="44"/>
  <c r="EF304" i="44"/>
  <c r="EE304" i="44"/>
  <c r="ED304" i="44"/>
  <c r="EC304" i="44"/>
  <c r="EB304" i="44"/>
  <c r="EA304" i="44"/>
  <c r="DW304" i="44"/>
  <c r="BA304" i="44"/>
  <c r="AU304" i="44"/>
  <c r="AT304" i="44"/>
  <c r="AM304" i="44"/>
  <c r="AL304" i="44"/>
  <c r="AK304" i="44"/>
  <c r="AJ304" i="44"/>
  <c r="AI304" i="44"/>
  <c r="AD304" i="44"/>
  <c r="AC304" i="44"/>
  <c r="W304" i="44"/>
  <c r="AB304" i="44" s="1"/>
  <c r="S304" i="44"/>
  <c r="P304" i="44"/>
  <c r="O304" i="44"/>
  <c r="N304" i="44"/>
  <c r="C304" i="44"/>
  <c r="GM303" i="44"/>
  <c r="GL303" i="44"/>
  <c r="GK303" i="44"/>
  <c r="GJ303" i="44"/>
  <c r="GI303" i="44"/>
  <c r="GH303" i="44"/>
  <c r="GG303" i="44"/>
  <c r="GF303" i="44"/>
  <c r="GE303" i="44"/>
  <c r="GD303" i="44"/>
  <c r="GC303" i="44"/>
  <c r="GB303" i="44"/>
  <c r="GA303" i="44"/>
  <c r="FZ303" i="44"/>
  <c r="FY303" i="44"/>
  <c r="FX303" i="44"/>
  <c r="FW303" i="44"/>
  <c r="FV303" i="44"/>
  <c r="FU303" i="44"/>
  <c r="FT303" i="44"/>
  <c r="FS303" i="44"/>
  <c r="FR303" i="44"/>
  <c r="FQ303" i="44"/>
  <c r="FP303" i="44"/>
  <c r="FO303" i="44"/>
  <c r="FN303" i="44"/>
  <c r="FM303" i="44"/>
  <c r="FL303" i="44"/>
  <c r="FK303" i="44"/>
  <c r="FJ303" i="44"/>
  <c r="FI303" i="44"/>
  <c r="FH303" i="44"/>
  <c r="FG303" i="44"/>
  <c r="FF303" i="44"/>
  <c r="FE303" i="44"/>
  <c r="FD303" i="44"/>
  <c r="FC303" i="44"/>
  <c r="FB303" i="44"/>
  <c r="FA303" i="44"/>
  <c r="EZ303" i="44"/>
  <c r="EY303" i="44"/>
  <c r="EX303" i="44"/>
  <c r="EW303" i="44"/>
  <c r="EV303" i="44"/>
  <c r="EU303" i="44"/>
  <c r="ET303" i="44"/>
  <c r="ES303" i="44"/>
  <c r="ER303" i="44"/>
  <c r="EQ303" i="44"/>
  <c r="EP303" i="44"/>
  <c r="EO303" i="44"/>
  <c r="EN303" i="44"/>
  <c r="EM303" i="44"/>
  <c r="EL303" i="44"/>
  <c r="EK303" i="44"/>
  <c r="EJ303" i="44"/>
  <c r="EI303" i="44"/>
  <c r="EH303" i="44"/>
  <c r="EG303" i="44"/>
  <c r="EF303" i="44"/>
  <c r="EE303" i="44"/>
  <c r="ED303" i="44"/>
  <c r="EC303" i="44"/>
  <c r="EB303" i="44"/>
  <c r="EA303" i="44"/>
  <c r="DW303" i="44"/>
  <c r="BA303" i="44"/>
  <c r="AM303" i="44"/>
  <c r="AL303" i="44"/>
  <c r="AK303" i="44"/>
  <c r="AJ303" i="44"/>
  <c r="AI303" i="44"/>
  <c r="AD303" i="44"/>
  <c r="AC303" i="44"/>
  <c r="W303" i="44"/>
  <c r="AB303" i="44" s="1"/>
  <c r="S303" i="44"/>
  <c r="P303" i="44"/>
  <c r="N303" i="44"/>
  <c r="O303" i="44" s="1"/>
  <c r="C303" i="44"/>
  <c r="BB321" i="44" l="1"/>
  <c r="Z321" i="44"/>
  <c r="X322" i="44"/>
  <c r="Z322" i="44"/>
  <c r="AB320" i="44"/>
  <c r="Z320" i="44"/>
  <c r="X317" i="44"/>
  <c r="Z317" i="44"/>
  <c r="X316" i="44"/>
  <c r="Z316" i="44"/>
  <c r="X319" i="44"/>
  <c r="Z319" i="44"/>
  <c r="X325" i="44"/>
  <c r="Z325" i="44"/>
  <c r="AB318" i="44"/>
  <c r="Z318" i="44"/>
  <c r="AB324" i="44"/>
  <c r="Z324" i="44"/>
  <c r="AN303" i="44"/>
  <c r="AN326" i="44"/>
  <c r="AO326" i="44" s="1"/>
  <c r="AP326" i="44" s="1"/>
  <c r="AN325" i="44"/>
  <c r="AN306" i="44"/>
  <c r="BB318" i="44"/>
  <c r="AN321" i="44"/>
  <c r="X318" i="44"/>
  <c r="AG303" i="44"/>
  <c r="AH303" i="44" s="1"/>
  <c r="AA318" i="44"/>
  <c r="AN322" i="44"/>
  <c r="X324" i="44"/>
  <c r="AA322" i="44"/>
  <c r="BB322" i="44"/>
  <c r="BB324" i="44"/>
  <c r="AB322" i="44"/>
  <c r="AA324" i="44"/>
  <c r="AN319" i="44"/>
  <c r="AG322" i="44"/>
  <c r="AH322" i="44" s="1"/>
  <c r="AA319" i="44"/>
  <c r="AA325" i="44"/>
  <c r="AN317" i="44"/>
  <c r="AN323" i="44"/>
  <c r="AO323" i="44" s="1"/>
  <c r="AP323" i="44" s="1"/>
  <c r="AN316" i="44"/>
  <c r="AN318" i="44"/>
  <c r="AN324" i="44"/>
  <c r="AB319" i="44"/>
  <c r="BB319" i="44"/>
  <c r="X321" i="44"/>
  <c r="AA321" i="44"/>
  <c r="AB325" i="44"/>
  <c r="AA316" i="44"/>
  <c r="AB321" i="44"/>
  <c r="AB316" i="44"/>
  <c r="BB316" i="44"/>
  <c r="AN320" i="44"/>
  <c r="BB303" i="44"/>
  <c r="AG316" i="44"/>
  <c r="AH316" i="44" s="1"/>
  <c r="BB325" i="44"/>
  <c r="AG304" i="44"/>
  <c r="AH304" i="44" s="1"/>
  <c r="AN305" i="44"/>
  <c r="AG317" i="44"/>
  <c r="AH317" i="44" s="1"/>
  <c r="AG320" i="44"/>
  <c r="AH320" i="44" s="1"/>
  <c r="AG323" i="44"/>
  <c r="AH323" i="44" s="1"/>
  <c r="AG326" i="44"/>
  <c r="AH326" i="44" s="1"/>
  <c r="X326" i="44"/>
  <c r="AA317" i="44"/>
  <c r="BB317" i="44"/>
  <c r="AG318" i="44"/>
  <c r="AH318" i="44" s="1"/>
  <c r="AA320" i="44"/>
  <c r="BB320" i="44"/>
  <c r="AG321" i="44"/>
  <c r="AH321" i="44" s="1"/>
  <c r="AA323" i="44"/>
  <c r="BB323" i="44"/>
  <c r="AG324" i="44"/>
  <c r="AH324" i="44" s="1"/>
  <c r="AA326" i="44"/>
  <c r="BB326" i="44"/>
  <c r="AG325" i="44"/>
  <c r="AH325" i="44" s="1"/>
  <c r="X320" i="44"/>
  <c r="X323" i="44"/>
  <c r="AB317" i="44"/>
  <c r="AB323" i="44"/>
  <c r="AB326" i="44"/>
  <c r="AG319" i="44"/>
  <c r="AH319" i="44" s="1"/>
  <c r="Z306" i="44"/>
  <c r="Z303" i="44"/>
  <c r="X303" i="44"/>
  <c r="X306" i="44"/>
  <c r="AB306" i="44"/>
  <c r="AA303" i="44"/>
  <c r="AA306" i="44"/>
  <c r="Z304" i="44"/>
  <c r="AN304" i="44"/>
  <c r="AA305" i="44"/>
  <c r="BB305" i="44"/>
  <c r="AG306" i="44"/>
  <c r="AH306" i="44" s="1"/>
  <c r="AB305" i="44"/>
  <c r="Z305" i="44"/>
  <c r="X304" i="44"/>
  <c r="AA304" i="44"/>
  <c r="BB304" i="44"/>
  <c r="AG305" i="44"/>
  <c r="AH305" i="44" s="1"/>
  <c r="AO325" i="44" l="1"/>
  <c r="AP325" i="44" s="1"/>
  <c r="BC325" i="44" s="1"/>
  <c r="AO321" i="44"/>
  <c r="AP321" i="44" s="1"/>
  <c r="AR321" i="44" s="1"/>
  <c r="AS321" i="44" s="1"/>
  <c r="AO303" i="44"/>
  <c r="AP303" i="44" s="1"/>
  <c r="AQ303" i="44" s="1"/>
  <c r="AO322" i="44"/>
  <c r="AP322" i="44" s="1"/>
  <c r="AW322" i="44" s="1"/>
  <c r="AO318" i="44"/>
  <c r="AP318" i="44" s="1"/>
  <c r="AX318" i="44" s="1"/>
  <c r="AO324" i="44"/>
  <c r="AP324" i="44" s="1"/>
  <c r="AQ324" i="44" s="1"/>
  <c r="AO306" i="44"/>
  <c r="AP306" i="44" s="1"/>
  <c r="AZ306" i="44" s="1"/>
  <c r="AO317" i="44"/>
  <c r="AP317" i="44" s="1"/>
  <c r="AV317" i="44" s="1"/>
  <c r="AO319" i="44"/>
  <c r="AP319" i="44" s="1"/>
  <c r="AX319" i="44" s="1"/>
  <c r="AO316" i="44"/>
  <c r="AP316" i="44" s="1"/>
  <c r="AV316" i="44" s="1"/>
  <c r="AO305" i="44"/>
  <c r="AP305" i="44" s="1"/>
  <c r="AX305" i="44" s="1"/>
  <c r="AO320" i="44"/>
  <c r="AP320" i="44" s="1"/>
  <c r="AW320" i="44" s="1"/>
  <c r="AX323" i="44"/>
  <c r="AR323" i="44"/>
  <c r="AS323" i="44" s="1"/>
  <c r="AW323" i="44"/>
  <c r="BC323" i="44"/>
  <c r="AZ323" i="44"/>
  <c r="AV323" i="44"/>
  <c r="AQ323" i="44"/>
  <c r="AW325" i="44"/>
  <c r="AZ326" i="44"/>
  <c r="AW326" i="44"/>
  <c r="BC326" i="44"/>
  <c r="AV326" i="44"/>
  <c r="AX326" i="44"/>
  <c r="AR326" i="44"/>
  <c r="AS326" i="44" s="1"/>
  <c r="AQ326" i="44"/>
  <c r="AR322" i="44"/>
  <c r="AS322" i="44" s="1"/>
  <c r="AO304" i="44"/>
  <c r="AV325" i="44" l="1"/>
  <c r="AR325" i="44"/>
  <c r="AS325" i="44" s="1"/>
  <c r="AQ325" i="44"/>
  <c r="AZ325" i="44"/>
  <c r="AX325" i="44"/>
  <c r="AX303" i="44"/>
  <c r="AV303" i="44"/>
  <c r="AT303" i="44"/>
  <c r="AU303" i="44" s="1"/>
  <c r="AQ321" i="44"/>
  <c r="AV321" i="44"/>
  <c r="AR303" i="44"/>
  <c r="AS303" i="44" s="1"/>
  <c r="BC303" i="44"/>
  <c r="DZ303" i="44" s="1"/>
  <c r="AW303" i="44"/>
  <c r="AZ303" i="44"/>
  <c r="AW321" i="44"/>
  <c r="AZ321" i="44"/>
  <c r="BC321" i="44"/>
  <c r="DY321" i="44" s="1"/>
  <c r="AX321" i="44"/>
  <c r="AZ324" i="44"/>
  <c r="AZ322" i="44"/>
  <c r="AX322" i="44"/>
  <c r="AV324" i="44"/>
  <c r="AW324" i="44"/>
  <c r="BC324" i="44"/>
  <c r="DZ324" i="44" s="1"/>
  <c r="AQ319" i="44"/>
  <c r="AZ319" i="44"/>
  <c r="BC317" i="44"/>
  <c r="DX317" i="44" s="1"/>
  <c r="AW317" i="44"/>
  <c r="AW319" i="44"/>
  <c r="AV318" i="44"/>
  <c r="AW318" i="44"/>
  <c r="AR318" i="44"/>
  <c r="AS318" i="44" s="1"/>
  <c r="BC319" i="44"/>
  <c r="DZ319" i="44" s="1"/>
  <c r="AV319" i="44"/>
  <c r="AZ318" i="44"/>
  <c r="AV322" i="44"/>
  <c r="BC318" i="44"/>
  <c r="DX318" i="44" s="1"/>
  <c r="AQ322" i="44"/>
  <c r="AQ318" i="44"/>
  <c r="BC322" i="44"/>
  <c r="DX322" i="44" s="1"/>
  <c r="AR306" i="44"/>
  <c r="AS306" i="44" s="1"/>
  <c r="AX306" i="44"/>
  <c r="AW306" i="44"/>
  <c r="AZ316" i="44"/>
  <c r="AR316" i="44"/>
  <c r="AS316" i="44" s="1"/>
  <c r="AR317" i="44"/>
  <c r="AS317" i="44" s="1"/>
  <c r="AR319" i="44"/>
  <c r="AS319" i="44" s="1"/>
  <c r="AX324" i="44"/>
  <c r="AR324" i="44"/>
  <c r="AS324" i="44" s="1"/>
  <c r="AX317" i="44"/>
  <c r="BC306" i="44"/>
  <c r="DX306" i="44" s="1"/>
  <c r="AV306" i="44"/>
  <c r="AQ317" i="44"/>
  <c r="AZ317" i="44"/>
  <c r="AX316" i="44"/>
  <c r="AQ316" i="44"/>
  <c r="AQ306" i="44"/>
  <c r="AW316" i="44"/>
  <c r="AR320" i="44"/>
  <c r="AS320" i="44" s="1"/>
  <c r="AX320" i="44"/>
  <c r="BC316" i="44"/>
  <c r="DX316" i="44" s="1"/>
  <c r="BC320" i="44"/>
  <c r="DZ320" i="44" s="1"/>
  <c r="AZ320" i="44"/>
  <c r="AV320" i="44"/>
  <c r="AQ320" i="44"/>
  <c r="DZ325" i="44"/>
  <c r="DY325" i="44"/>
  <c r="DX325" i="44"/>
  <c r="DZ323" i="44"/>
  <c r="DY323" i="44"/>
  <c r="DX323" i="44"/>
  <c r="DZ326" i="44"/>
  <c r="DY326" i="44"/>
  <c r="DX326" i="44"/>
  <c r="AP304" i="44"/>
  <c r="AQ304" i="44" s="1"/>
  <c r="AV305" i="44"/>
  <c r="AZ305" i="44"/>
  <c r="AW305" i="44"/>
  <c r="BC305" i="44"/>
  <c r="AQ305" i="44"/>
  <c r="AR305" i="44"/>
  <c r="AS305" i="44" s="1"/>
  <c r="DX303" i="44" l="1"/>
  <c r="DY303" i="44"/>
  <c r="DZ321" i="44"/>
  <c r="DX321" i="44"/>
  <c r="DY324" i="44"/>
  <c r="DX324" i="44"/>
  <c r="DZ317" i="44"/>
  <c r="DY317" i="44"/>
  <c r="DX319" i="44"/>
  <c r="DY318" i="44"/>
  <c r="DZ318" i="44"/>
  <c r="DY319" i="44"/>
  <c r="DY322" i="44"/>
  <c r="DZ322" i="44"/>
  <c r="DZ306" i="44"/>
  <c r="DY306" i="44"/>
  <c r="DY316" i="44"/>
  <c r="DZ316" i="44"/>
  <c r="DX320" i="44"/>
  <c r="DY320" i="44"/>
  <c r="AV304" i="44"/>
  <c r="AW304" i="44"/>
  <c r="AZ304" i="44"/>
  <c r="BC304" i="44"/>
  <c r="AX304" i="44"/>
  <c r="AR304" i="44"/>
  <c r="AS304" i="44" s="1"/>
  <c r="DZ305" i="44"/>
  <c r="DY305" i="44"/>
  <c r="DX305" i="44"/>
  <c r="DY304" i="44" l="1"/>
  <c r="DX304" i="44"/>
  <c r="DZ304" i="44"/>
  <c r="GM158" i="44" l="1"/>
  <c r="GL158" i="44"/>
  <c r="GK158" i="44"/>
  <c r="GJ158" i="44"/>
  <c r="GI158" i="44"/>
  <c r="GH158" i="44"/>
  <c r="GG158" i="44"/>
  <c r="GF158" i="44"/>
  <c r="GE158" i="44"/>
  <c r="GD158" i="44"/>
  <c r="GC158" i="44"/>
  <c r="GB158" i="44"/>
  <c r="GA158" i="44"/>
  <c r="FZ158" i="44"/>
  <c r="FY158" i="44"/>
  <c r="FX158" i="44"/>
  <c r="FW158" i="44"/>
  <c r="FV158" i="44"/>
  <c r="FU158" i="44"/>
  <c r="FT158" i="44"/>
  <c r="FS158" i="44"/>
  <c r="FR158" i="44"/>
  <c r="FQ158" i="44"/>
  <c r="FP158" i="44"/>
  <c r="FO158" i="44"/>
  <c r="FN158" i="44"/>
  <c r="FM158" i="44"/>
  <c r="FL158" i="44"/>
  <c r="FK158" i="44"/>
  <c r="FJ158" i="44"/>
  <c r="FI158" i="44"/>
  <c r="FH158" i="44"/>
  <c r="FG158" i="44"/>
  <c r="FF158" i="44"/>
  <c r="FE158" i="44"/>
  <c r="FD158" i="44"/>
  <c r="FC158" i="44"/>
  <c r="FB158" i="44"/>
  <c r="FA158" i="44"/>
  <c r="EZ158" i="44"/>
  <c r="EY158" i="44"/>
  <c r="EX158" i="44"/>
  <c r="EW158" i="44"/>
  <c r="EV158" i="44"/>
  <c r="EU158" i="44"/>
  <c r="ET158" i="44"/>
  <c r="ES158" i="44"/>
  <c r="ER158" i="44"/>
  <c r="EQ158" i="44"/>
  <c r="EP158" i="44"/>
  <c r="EO158" i="44"/>
  <c r="EN158" i="44"/>
  <c r="EM158" i="44"/>
  <c r="EL158" i="44"/>
  <c r="EK158" i="44"/>
  <c r="EJ158" i="44"/>
  <c r="EG158" i="44"/>
  <c r="EE158" i="44"/>
  <c r="ED158" i="44"/>
  <c r="EC158" i="44"/>
  <c r="DZ158" i="44"/>
  <c r="DY158" i="44"/>
  <c r="DW158" i="44"/>
  <c r="BA158" i="44"/>
  <c r="AM158" i="44"/>
  <c r="AL158" i="44"/>
  <c r="AK158" i="44"/>
  <c r="AJ158" i="44"/>
  <c r="AI158" i="44"/>
  <c r="W158" i="44"/>
  <c r="Z158" i="44" s="1"/>
  <c r="S158" i="44"/>
  <c r="P158" i="44"/>
  <c r="N158" i="44"/>
  <c r="O158" i="44" s="1"/>
  <c r="GM93" i="44"/>
  <c r="GL93" i="44"/>
  <c r="GK93" i="44"/>
  <c r="GJ93" i="44"/>
  <c r="GI93" i="44"/>
  <c r="GH93" i="44"/>
  <c r="GG93" i="44"/>
  <c r="GF93" i="44"/>
  <c r="GE93" i="44"/>
  <c r="GD93" i="44"/>
  <c r="GC93" i="44"/>
  <c r="GB93" i="44"/>
  <c r="GA93" i="44"/>
  <c r="FZ93" i="44"/>
  <c r="FY93" i="44"/>
  <c r="FX93" i="44"/>
  <c r="FW93" i="44"/>
  <c r="FV93" i="44"/>
  <c r="FU93" i="44"/>
  <c r="FT93" i="44"/>
  <c r="FS93" i="44"/>
  <c r="FR93" i="44"/>
  <c r="FQ93" i="44"/>
  <c r="FP93" i="44"/>
  <c r="FO93" i="44"/>
  <c r="FN93" i="44"/>
  <c r="FM93" i="44"/>
  <c r="FL93" i="44"/>
  <c r="FK93" i="44"/>
  <c r="FJ93" i="44"/>
  <c r="FI93" i="44"/>
  <c r="FH93" i="44"/>
  <c r="FG93" i="44"/>
  <c r="FF93" i="44"/>
  <c r="FE93" i="44"/>
  <c r="FD93" i="44"/>
  <c r="FC93" i="44"/>
  <c r="FB93" i="44"/>
  <c r="FA93" i="44"/>
  <c r="EZ93" i="44"/>
  <c r="EY93" i="44"/>
  <c r="EX93" i="44"/>
  <c r="EW93" i="44"/>
  <c r="EV93" i="44"/>
  <c r="EU93" i="44"/>
  <c r="ET93" i="44"/>
  <c r="ES93" i="44"/>
  <c r="ER93" i="44"/>
  <c r="EQ93" i="44"/>
  <c r="EP93" i="44"/>
  <c r="EO93" i="44"/>
  <c r="EN93" i="44"/>
  <c r="EM93" i="44"/>
  <c r="EL93" i="44"/>
  <c r="EK93" i="44"/>
  <c r="EJ93" i="44"/>
  <c r="EI93" i="44"/>
  <c r="EH93" i="44"/>
  <c r="EG93" i="44"/>
  <c r="EF93" i="44"/>
  <c r="EE93" i="44"/>
  <c r="ED93" i="44"/>
  <c r="EC93" i="44"/>
  <c r="EB93" i="44"/>
  <c r="DZ93" i="44"/>
  <c r="DY93" i="44"/>
  <c r="DW93" i="44"/>
  <c r="BA93" i="44"/>
  <c r="AM93" i="44"/>
  <c r="AL93" i="44"/>
  <c r="AK93" i="44"/>
  <c r="AJ93" i="44"/>
  <c r="AI93" i="44"/>
  <c r="AE93" i="44"/>
  <c r="AD93" i="44"/>
  <c r="AC93" i="44"/>
  <c r="W93" i="44"/>
  <c r="Z93" i="44" s="1"/>
  <c r="S93" i="44"/>
  <c r="P93" i="44"/>
  <c r="N93" i="44"/>
  <c r="O93" i="44" s="1"/>
  <c r="GM85" i="44"/>
  <c r="GL85" i="44"/>
  <c r="GK85" i="44"/>
  <c r="GJ85" i="44"/>
  <c r="GI85" i="44"/>
  <c r="GH85" i="44"/>
  <c r="GG85" i="44"/>
  <c r="GF85" i="44"/>
  <c r="GE85" i="44"/>
  <c r="GD85" i="44"/>
  <c r="GC85" i="44"/>
  <c r="GB85" i="44"/>
  <c r="GA85" i="44"/>
  <c r="FZ85" i="44"/>
  <c r="FY85" i="44"/>
  <c r="FX85" i="44"/>
  <c r="FW85" i="44"/>
  <c r="FV85" i="44"/>
  <c r="FU85" i="44"/>
  <c r="FT85" i="44"/>
  <c r="FS85" i="44"/>
  <c r="FR85" i="44"/>
  <c r="FQ85" i="44"/>
  <c r="FP85" i="44"/>
  <c r="FO85" i="44"/>
  <c r="FN85" i="44"/>
  <c r="FM85" i="44"/>
  <c r="FL85" i="44"/>
  <c r="FK85" i="44"/>
  <c r="FJ85" i="44"/>
  <c r="FI85" i="44"/>
  <c r="FH85" i="44"/>
  <c r="FG85" i="44"/>
  <c r="FF85" i="44"/>
  <c r="FE85" i="44"/>
  <c r="FD85" i="44"/>
  <c r="FC85" i="44"/>
  <c r="FB85" i="44"/>
  <c r="FA85" i="44"/>
  <c r="EZ85" i="44"/>
  <c r="EY85" i="44"/>
  <c r="EX85" i="44"/>
  <c r="EW85" i="44"/>
  <c r="EV85" i="44"/>
  <c r="EU85" i="44"/>
  <c r="ET85" i="44"/>
  <c r="ES85" i="44"/>
  <c r="ER85" i="44"/>
  <c r="EQ85" i="44"/>
  <c r="EP85" i="44"/>
  <c r="EO85" i="44"/>
  <c r="EN85" i="44"/>
  <c r="EM85" i="44"/>
  <c r="EL85" i="44"/>
  <c r="EK85" i="44"/>
  <c r="EG85" i="44"/>
  <c r="EE85" i="44"/>
  <c r="ED85" i="44"/>
  <c r="EC85" i="44"/>
  <c r="DZ85" i="44"/>
  <c r="DY85" i="44"/>
  <c r="DW85" i="44"/>
  <c r="BA85" i="44"/>
  <c r="AZ85" i="44"/>
  <c r="AW85" i="44"/>
  <c r="AV85" i="44"/>
  <c r="AU85" i="44"/>
  <c r="AT85" i="44"/>
  <c r="AM85" i="44"/>
  <c r="AL85" i="44"/>
  <c r="AK85" i="44"/>
  <c r="AJ85" i="44"/>
  <c r="AI85" i="44"/>
  <c r="W85" i="44"/>
  <c r="BB85" i="44" s="1"/>
  <c r="BC85" i="44" s="1"/>
  <c r="S85" i="44"/>
  <c r="P85" i="44"/>
  <c r="O85" i="44"/>
  <c r="N85" i="44"/>
  <c r="C85" i="44"/>
  <c r="GM61" i="44"/>
  <c r="GL61" i="44"/>
  <c r="GK61" i="44"/>
  <c r="GJ61" i="44"/>
  <c r="GI61" i="44"/>
  <c r="GH61" i="44"/>
  <c r="GG61" i="44"/>
  <c r="GF61" i="44"/>
  <c r="GE61" i="44"/>
  <c r="GD61" i="44"/>
  <c r="GC61" i="44"/>
  <c r="GB61" i="44"/>
  <c r="GA61" i="44"/>
  <c r="FZ61" i="44"/>
  <c r="FY61" i="44"/>
  <c r="FX61" i="44"/>
  <c r="FW61" i="44"/>
  <c r="FV61" i="44"/>
  <c r="FU61" i="44"/>
  <c r="FT61" i="44"/>
  <c r="FS61" i="44"/>
  <c r="FR61" i="44"/>
  <c r="FQ61" i="44"/>
  <c r="FP61" i="44"/>
  <c r="FO61" i="44"/>
  <c r="FN61" i="44"/>
  <c r="FM61" i="44"/>
  <c r="FL61" i="44"/>
  <c r="FK61" i="44"/>
  <c r="FJ61" i="44"/>
  <c r="FI61" i="44"/>
  <c r="FH61" i="44"/>
  <c r="FG61" i="44"/>
  <c r="FF61" i="44"/>
  <c r="FE61" i="44"/>
  <c r="FD61" i="44"/>
  <c r="FC61" i="44"/>
  <c r="FB61" i="44"/>
  <c r="FA61" i="44"/>
  <c r="EZ61" i="44"/>
  <c r="EY61" i="44"/>
  <c r="EX61" i="44"/>
  <c r="EW61" i="44"/>
  <c r="EV61" i="44"/>
  <c r="EU61" i="44"/>
  <c r="ET61" i="44"/>
  <c r="ES61" i="44"/>
  <c r="ER61" i="44"/>
  <c r="EQ61" i="44"/>
  <c r="EP61" i="44"/>
  <c r="EO61" i="44"/>
  <c r="EN61" i="44"/>
  <c r="EM61" i="44"/>
  <c r="EL61" i="44"/>
  <c r="EK61" i="44"/>
  <c r="EG61" i="44"/>
  <c r="EE61" i="44"/>
  <c r="ED61" i="44"/>
  <c r="EC61" i="44"/>
  <c r="DZ61" i="44"/>
  <c r="DY61" i="44"/>
  <c r="DW61" i="44"/>
  <c r="BA61" i="44"/>
  <c r="AZ61" i="44"/>
  <c r="AW61" i="44"/>
  <c r="AV61" i="44"/>
  <c r="AU61" i="44"/>
  <c r="AT61" i="44"/>
  <c r="AM61" i="44"/>
  <c r="AL61" i="44"/>
  <c r="AK61" i="44"/>
  <c r="AJ61" i="44"/>
  <c r="AI61" i="44"/>
  <c r="W61" i="44"/>
  <c r="X61" i="44" s="1"/>
  <c r="S61" i="44"/>
  <c r="P61" i="44"/>
  <c r="O61" i="44"/>
  <c r="N61" i="44"/>
  <c r="C61" i="44"/>
  <c r="GM57" i="44"/>
  <c r="GL57" i="44"/>
  <c r="GK57" i="44"/>
  <c r="GJ57" i="44"/>
  <c r="GI57" i="44"/>
  <c r="GH57" i="44"/>
  <c r="GG57" i="44"/>
  <c r="GF57" i="44"/>
  <c r="GE57" i="44"/>
  <c r="GD57" i="44"/>
  <c r="GC57" i="44"/>
  <c r="GB57" i="44"/>
  <c r="GA57" i="44"/>
  <c r="FZ57" i="44"/>
  <c r="FY57" i="44"/>
  <c r="FX57" i="44"/>
  <c r="FW57" i="44"/>
  <c r="FV57" i="44"/>
  <c r="FU57" i="44"/>
  <c r="FT57" i="44"/>
  <c r="FS57" i="44"/>
  <c r="FR57" i="44"/>
  <c r="FQ57" i="44"/>
  <c r="FP57" i="44"/>
  <c r="FO57" i="44"/>
  <c r="FN57" i="44"/>
  <c r="FM57" i="44"/>
  <c r="FL57" i="44"/>
  <c r="FK57" i="44"/>
  <c r="FJ57" i="44"/>
  <c r="FI57" i="44"/>
  <c r="FH57" i="44"/>
  <c r="FG57" i="44"/>
  <c r="FF57" i="44"/>
  <c r="FE57" i="44"/>
  <c r="FD57" i="44"/>
  <c r="FC57" i="44"/>
  <c r="FB57" i="44"/>
  <c r="FA57" i="44"/>
  <c r="EZ57" i="44"/>
  <c r="EY57" i="44"/>
  <c r="EX57" i="44"/>
  <c r="EW57" i="44"/>
  <c r="EV57" i="44"/>
  <c r="EU57" i="44"/>
  <c r="ET57" i="44"/>
  <c r="ES57" i="44"/>
  <c r="ER57" i="44"/>
  <c r="EQ57" i="44"/>
  <c r="EP57" i="44"/>
  <c r="EO57" i="44"/>
  <c r="EN57" i="44"/>
  <c r="EM57" i="44"/>
  <c r="EG57" i="44"/>
  <c r="EE57" i="44"/>
  <c r="ED57" i="44"/>
  <c r="EC57" i="44"/>
  <c r="DZ57" i="44"/>
  <c r="DY57" i="44"/>
  <c r="DW57" i="44"/>
  <c r="BA57" i="44"/>
  <c r="AM57" i="44"/>
  <c r="AL57" i="44"/>
  <c r="AK57" i="44"/>
  <c r="AJ57" i="44"/>
  <c r="AI57" i="44"/>
  <c r="AE57" i="44"/>
  <c r="AD57" i="44"/>
  <c r="AC57" i="44"/>
  <c r="W57" i="44"/>
  <c r="Z57" i="44" s="1"/>
  <c r="S57" i="44"/>
  <c r="P57" i="44"/>
  <c r="N57" i="44"/>
  <c r="O57" i="44" s="1"/>
  <c r="GM56" i="44"/>
  <c r="GL56" i="44"/>
  <c r="GK56" i="44"/>
  <c r="GJ56" i="44"/>
  <c r="GI56" i="44"/>
  <c r="GH56" i="44"/>
  <c r="GG56" i="44"/>
  <c r="GF56" i="44"/>
  <c r="GE56" i="44"/>
  <c r="GD56" i="44"/>
  <c r="GC56" i="44"/>
  <c r="GB56" i="44"/>
  <c r="GA56" i="44"/>
  <c r="FZ56" i="44"/>
  <c r="FY56" i="44"/>
  <c r="FX56" i="44"/>
  <c r="FW56" i="44"/>
  <c r="FV56" i="44"/>
  <c r="FU56" i="44"/>
  <c r="FT56" i="44"/>
  <c r="FS56" i="44"/>
  <c r="FR56" i="44"/>
  <c r="FQ56" i="44"/>
  <c r="FP56" i="44"/>
  <c r="FO56" i="44"/>
  <c r="FN56" i="44"/>
  <c r="FM56" i="44"/>
  <c r="FL56" i="44"/>
  <c r="FK56" i="44"/>
  <c r="FJ56" i="44"/>
  <c r="FI56" i="44"/>
  <c r="FH56" i="44"/>
  <c r="FG56" i="44"/>
  <c r="FF56" i="44"/>
  <c r="FE56" i="44"/>
  <c r="FD56" i="44"/>
  <c r="FC56" i="44"/>
  <c r="FB56" i="44"/>
  <c r="FA56" i="44"/>
  <c r="EZ56" i="44"/>
  <c r="EY56" i="44"/>
  <c r="EX56" i="44"/>
  <c r="EW56" i="44"/>
  <c r="EV56" i="44"/>
  <c r="EU56" i="44"/>
  <c r="ET56" i="44"/>
  <c r="ES56" i="44"/>
  <c r="ER56" i="44"/>
  <c r="EQ56" i="44"/>
  <c r="EP56" i="44"/>
  <c r="EO56" i="44"/>
  <c r="EN56" i="44"/>
  <c r="EM56" i="44"/>
  <c r="EG56" i="44"/>
  <c r="EE56" i="44"/>
  <c r="ED56" i="44"/>
  <c r="EC56" i="44"/>
  <c r="DZ56" i="44"/>
  <c r="DY56" i="44"/>
  <c r="DW56" i="44"/>
  <c r="BA56" i="44"/>
  <c r="AM56" i="44"/>
  <c r="AL56" i="44"/>
  <c r="AK56" i="44"/>
  <c r="AJ56" i="44"/>
  <c r="AI56" i="44"/>
  <c r="AE56" i="44"/>
  <c r="AD56" i="44"/>
  <c r="AC56" i="44"/>
  <c r="W56" i="44"/>
  <c r="AB56" i="44" s="1"/>
  <c r="S56" i="44"/>
  <c r="P56" i="44"/>
  <c r="N56" i="44"/>
  <c r="O56" i="44" s="1"/>
  <c r="GM33" i="44"/>
  <c r="GL33" i="44"/>
  <c r="GK33" i="44"/>
  <c r="GJ33" i="44"/>
  <c r="GI33" i="44"/>
  <c r="GH33" i="44"/>
  <c r="GG33" i="44"/>
  <c r="GF33" i="44"/>
  <c r="GE33" i="44"/>
  <c r="GD33" i="44"/>
  <c r="GC33" i="44"/>
  <c r="GB33" i="44"/>
  <c r="GA33" i="44"/>
  <c r="FZ33" i="44"/>
  <c r="FY33" i="44"/>
  <c r="FX33" i="44"/>
  <c r="FW33" i="44"/>
  <c r="FV33" i="44"/>
  <c r="FU33" i="44"/>
  <c r="FT33" i="44"/>
  <c r="FS33" i="44"/>
  <c r="FR33" i="44"/>
  <c r="FQ33" i="44"/>
  <c r="FP33" i="44"/>
  <c r="FO33" i="44"/>
  <c r="FN33" i="44"/>
  <c r="FM33" i="44"/>
  <c r="FL33" i="44"/>
  <c r="FK33" i="44"/>
  <c r="FJ33" i="44"/>
  <c r="FI33" i="44"/>
  <c r="FH33" i="44"/>
  <c r="FG33" i="44"/>
  <c r="FF33" i="44"/>
  <c r="FE33" i="44"/>
  <c r="FD33" i="44"/>
  <c r="FC33" i="44"/>
  <c r="FB33" i="44"/>
  <c r="FA33" i="44"/>
  <c r="EZ33" i="44"/>
  <c r="EY33" i="44"/>
  <c r="EX33" i="44"/>
  <c r="EW33" i="44"/>
  <c r="EV33" i="44"/>
  <c r="EU33" i="44"/>
  <c r="ET33" i="44"/>
  <c r="ES33" i="44"/>
  <c r="ER33" i="44"/>
  <c r="EQ33" i="44"/>
  <c r="EP33" i="44"/>
  <c r="EO33" i="44"/>
  <c r="EN33" i="44"/>
  <c r="EM33" i="44"/>
  <c r="EL33" i="44"/>
  <c r="EK33" i="44"/>
  <c r="EG33" i="44"/>
  <c r="EE33" i="44"/>
  <c r="ED33" i="44"/>
  <c r="EC33" i="44"/>
  <c r="DZ33" i="44"/>
  <c r="DY33" i="44"/>
  <c r="DW33" i="44"/>
  <c r="BA33" i="44"/>
  <c r="AM33" i="44"/>
  <c r="AL33" i="44"/>
  <c r="AK33" i="44"/>
  <c r="AJ33" i="44"/>
  <c r="AI33" i="44"/>
  <c r="W33" i="44"/>
  <c r="Z33" i="44" s="1"/>
  <c r="S33" i="44"/>
  <c r="P33" i="44"/>
  <c r="N33" i="44"/>
  <c r="O33" i="44" s="1"/>
  <c r="C33" i="44"/>
  <c r="GM32" i="44"/>
  <c r="GL32" i="44"/>
  <c r="GK32" i="44"/>
  <c r="GJ32" i="44"/>
  <c r="GI32" i="44"/>
  <c r="GH32" i="44"/>
  <c r="GG32" i="44"/>
  <c r="GF32" i="44"/>
  <c r="GE32" i="44"/>
  <c r="GD32" i="44"/>
  <c r="GC32" i="44"/>
  <c r="GB32" i="44"/>
  <c r="GA32" i="44"/>
  <c r="FZ32" i="44"/>
  <c r="FY32" i="44"/>
  <c r="FX32" i="44"/>
  <c r="FW32" i="44"/>
  <c r="FV32" i="44"/>
  <c r="FU32" i="44"/>
  <c r="FT32" i="44"/>
  <c r="FS32" i="44"/>
  <c r="FR32" i="44"/>
  <c r="FQ32" i="44"/>
  <c r="FP32" i="44"/>
  <c r="FO32" i="44"/>
  <c r="FN32" i="44"/>
  <c r="FM32" i="44"/>
  <c r="FL32" i="44"/>
  <c r="FK32" i="44"/>
  <c r="FJ32" i="44"/>
  <c r="FI32" i="44"/>
  <c r="FH32" i="44"/>
  <c r="FG32" i="44"/>
  <c r="FF32" i="44"/>
  <c r="FE32" i="44"/>
  <c r="FD32" i="44"/>
  <c r="FC32" i="44"/>
  <c r="FB32" i="44"/>
  <c r="FA32" i="44"/>
  <c r="EZ32" i="44"/>
  <c r="EY32" i="44"/>
  <c r="EX32" i="44"/>
  <c r="EW32" i="44"/>
  <c r="EV32" i="44"/>
  <c r="EU32" i="44"/>
  <c r="ET32" i="44"/>
  <c r="ES32" i="44"/>
  <c r="ER32" i="44"/>
  <c r="EQ32" i="44"/>
  <c r="EP32" i="44"/>
  <c r="EO32" i="44"/>
  <c r="EN32" i="44"/>
  <c r="EM32" i="44"/>
  <c r="EL32" i="44"/>
  <c r="EK32" i="44"/>
  <c r="EG32" i="44"/>
  <c r="EE32" i="44"/>
  <c r="ED32" i="44"/>
  <c r="EC32" i="44"/>
  <c r="DZ32" i="44"/>
  <c r="DY32" i="44"/>
  <c r="DW32" i="44"/>
  <c r="BA32" i="44"/>
  <c r="AM32" i="44"/>
  <c r="AL32" i="44"/>
  <c r="AK32" i="44"/>
  <c r="AJ32" i="44"/>
  <c r="AI32" i="44"/>
  <c r="W32" i="44"/>
  <c r="Z32" i="44" s="1"/>
  <c r="S32" i="44"/>
  <c r="P32" i="44"/>
  <c r="O32" i="44"/>
  <c r="N32" i="44"/>
  <c r="C32" i="44"/>
  <c r="GM31" i="44"/>
  <c r="GL31" i="44"/>
  <c r="GK31" i="44"/>
  <c r="GJ31" i="44"/>
  <c r="GI31" i="44"/>
  <c r="GH31" i="44"/>
  <c r="GG31" i="44"/>
  <c r="GF31" i="44"/>
  <c r="GE31" i="44"/>
  <c r="GD31" i="44"/>
  <c r="GC31" i="44"/>
  <c r="GB31" i="44"/>
  <c r="GA31" i="44"/>
  <c r="FZ31" i="44"/>
  <c r="FY31" i="44"/>
  <c r="FX31" i="44"/>
  <c r="FW31" i="44"/>
  <c r="FV31" i="44"/>
  <c r="FU31" i="44"/>
  <c r="FT31" i="44"/>
  <c r="FS31" i="44"/>
  <c r="FR31" i="44"/>
  <c r="FQ31" i="44"/>
  <c r="FP31" i="44"/>
  <c r="FO31" i="44"/>
  <c r="FN31" i="44"/>
  <c r="FM31" i="44"/>
  <c r="FL31" i="44"/>
  <c r="FK31" i="44"/>
  <c r="FJ31" i="44"/>
  <c r="FI31" i="44"/>
  <c r="FH31" i="44"/>
  <c r="FG31" i="44"/>
  <c r="FF31" i="44"/>
  <c r="FE31" i="44"/>
  <c r="FD31" i="44"/>
  <c r="FC31" i="44"/>
  <c r="FB31" i="44"/>
  <c r="FA31" i="44"/>
  <c r="EZ31" i="44"/>
  <c r="EY31" i="44"/>
  <c r="EX31" i="44"/>
  <c r="EW31" i="44"/>
  <c r="EV31" i="44"/>
  <c r="EU31" i="44"/>
  <c r="ET31" i="44"/>
  <c r="ES31" i="44"/>
  <c r="ER31" i="44"/>
  <c r="EQ31" i="44"/>
  <c r="EP31" i="44"/>
  <c r="EO31" i="44"/>
  <c r="EN31" i="44"/>
  <c r="EM31" i="44"/>
  <c r="EL31" i="44"/>
  <c r="EK31" i="44"/>
  <c r="EG31" i="44"/>
  <c r="EE31" i="44"/>
  <c r="ED31" i="44"/>
  <c r="EC31" i="44"/>
  <c r="DZ31" i="44"/>
  <c r="DY31" i="44"/>
  <c r="DW31" i="44"/>
  <c r="BA31" i="44"/>
  <c r="AM31" i="44"/>
  <c r="AL31" i="44"/>
  <c r="AK31" i="44"/>
  <c r="AJ31" i="44"/>
  <c r="AI31" i="44"/>
  <c r="W31" i="44"/>
  <c r="BB31" i="44" s="1"/>
  <c r="S31" i="44"/>
  <c r="P31" i="44"/>
  <c r="O31" i="44"/>
  <c r="N31" i="44"/>
  <c r="C31" i="44"/>
  <c r="AN85" i="44" l="1"/>
  <c r="AN57" i="44"/>
  <c r="AO57" i="44" s="1"/>
  <c r="AP57" i="44" s="1"/>
  <c r="AQ57" i="44" s="1"/>
  <c r="AN93" i="44"/>
  <c r="AO93" i="44" s="1"/>
  <c r="AP93" i="44" s="1"/>
  <c r="AN61" i="44"/>
  <c r="AN158" i="44"/>
  <c r="AO158" i="44" s="1"/>
  <c r="AP158" i="44" s="1"/>
  <c r="AQ158" i="44" s="1"/>
  <c r="AA93" i="44"/>
  <c r="AA158" i="44"/>
  <c r="BB158" i="44"/>
  <c r="BB93" i="44"/>
  <c r="AN33" i="44"/>
  <c r="AO33" i="44" s="1"/>
  <c r="AP33" i="44" s="1"/>
  <c r="AQ33" i="44" s="1"/>
  <c r="AB158" i="44"/>
  <c r="AG158" i="44"/>
  <c r="AH158" i="44" s="1"/>
  <c r="X158" i="44"/>
  <c r="X85" i="44"/>
  <c r="AB93" i="44"/>
  <c r="AA85" i="44"/>
  <c r="AB85" i="44"/>
  <c r="AG93" i="44"/>
  <c r="AH93" i="44" s="1"/>
  <c r="X93" i="44"/>
  <c r="AN31" i="44"/>
  <c r="Z85" i="44"/>
  <c r="AN32" i="44"/>
  <c r="AO32" i="44" s="1"/>
  <c r="AP32" i="44" s="1"/>
  <c r="EH85" i="44"/>
  <c r="EB85" i="44"/>
  <c r="EA85" i="44"/>
  <c r="EJ85" i="44"/>
  <c r="DX85" i="44"/>
  <c r="EI85" i="44"/>
  <c r="EF85" i="44"/>
  <c r="AG85" i="44"/>
  <c r="AA61" i="44"/>
  <c r="AB61" i="44"/>
  <c r="Z61" i="44"/>
  <c r="BB61" i="44"/>
  <c r="BC61" i="44" s="1"/>
  <c r="EI61" i="44" s="1"/>
  <c r="AB57" i="44"/>
  <c r="AG61" i="44"/>
  <c r="BB33" i="44"/>
  <c r="AN56" i="44"/>
  <c r="AA33" i="44"/>
  <c r="AA57" i="44"/>
  <c r="BB57" i="44"/>
  <c r="BB56" i="44"/>
  <c r="AG56" i="44"/>
  <c r="AH56" i="44" s="1"/>
  <c r="AG57" i="44"/>
  <c r="AH57" i="44" s="1"/>
  <c r="X57" i="44"/>
  <c r="X56" i="44"/>
  <c r="Z56" i="44"/>
  <c r="AA56" i="44"/>
  <c r="AA31" i="44"/>
  <c r="AB33" i="44"/>
  <c r="AH31" i="44"/>
  <c r="AA32" i="44"/>
  <c r="X31" i="44"/>
  <c r="AB32" i="44"/>
  <c r="BB32" i="44"/>
  <c r="Z31" i="44"/>
  <c r="AH33" i="44"/>
  <c r="X32" i="44"/>
  <c r="AB31" i="44"/>
  <c r="AH32" i="44"/>
  <c r="X33" i="44"/>
  <c r="AO85" i="44" l="1"/>
  <c r="AQ85" i="44" s="1"/>
  <c r="AT93" i="44"/>
  <c r="AU93" i="44" s="1"/>
  <c r="AO61" i="44"/>
  <c r="AQ61" i="44" s="1"/>
  <c r="EH61" i="44"/>
  <c r="EA61" i="44"/>
  <c r="DX61" i="44"/>
  <c r="EJ61" i="44"/>
  <c r="AR158" i="44"/>
  <c r="AS158" i="44" s="1"/>
  <c r="AX158" i="44"/>
  <c r="AT158" i="44"/>
  <c r="AU158" i="44" s="1"/>
  <c r="AZ158" i="44"/>
  <c r="AV158" i="44"/>
  <c r="AW158" i="44"/>
  <c r="BC158" i="44"/>
  <c r="AO31" i="44"/>
  <c r="AR93" i="44"/>
  <c r="AS93" i="44" s="1"/>
  <c r="AX93" i="44"/>
  <c r="AZ93" i="44"/>
  <c r="AV93" i="44"/>
  <c r="BC93" i="44"/>
  <c r="AW93" i="44"/>
  <c r="AQ93" i="44"/>
  <c r="EF61" i="44"/>
  <c r="AX85" i="44"/>
  <c r="AR85" i="44"/>
  <c r="AS85" i="44" s="1"/>
  <c r="EB61" i="44"/>
  <c r="AX61" i="44"/>
  <c r="AR61" i="44"/>
  <c r="AS61" i="44" s="1"/>
  <c r="AO56" i="44"/>
  <c r="AX57" i="44"/>
  <c r="AT57" i="44"/>
  <c r="AU57" i="44" s="1"/>
  <c r="AR57" i="44"/>
  <c r="AS57" i="44" s="1"/>
  <c r="AZ57" i="44"/>
  <c r="BC57" i="44"/>
  <c r="AV57" i="44"/>
  <c r="AW57" i="44"/>
  <c r="AR32" i="44"/>
  <c r="AS32" i="44" s="1"/>
  <c r="AT32" i="44"/>
  <c r="AU32" i="44" s="1"/>
  <c r="AX32" i="44"/>
  <c r="AX33" i="44"/>
  <c r="AT33" i="44"/>
  <c r="AU33" i="44" s="1"/>
  <c r="AR33" i="44"/>
  <c r="AS33" i="44" s="1"/>
  <c r="AZ33" i="44"/>
  <c r="AW33" i="44"/>
  <c r="AV33" i="44"/>
  <c r="BC33" i="44"/>
  <c r="AP31" i="44"/>
  <c r="AV32" i="44"/>
  <c r="AZ32" i="44"/>
  <c r="BC32" i="44"/>
  <c r="AW32" i="44"/>
  <c r="AQ32" i="44"/>
  <c r="AP56" i="44" l="1"/>
  <c r="AR56" i="44" s="1"/>
  <c r="AS56" i="44" s="1"/>
  <c r="EB158" i="44"/>
  <c r="EA158" i="44"/>
  <c r="DX158" i="44"/>
  <c r="EI158" i="44"/>
  <c r="EH158" i="44"/>
  <c r="EF158" i="44"/>
  <c r="DX93" i="44"/>
  <c r="EA93" i="44"/>
  <c r="EB57" i="44"/>
  <c r="EK57" i="44"/>
  <c r="DX57" i="44"/>
  <c r="EA57" i="44"/>
  <c r="EL57" i="44"/>
  <c r="EJ57" i="44"/>
  <c r="EH57" i="44"/>
  <c r="EF57" i="44"/>
  <c r="EI57" i="44"/>
  <c r="BC31" i="44"/>
  <c r="AZ31" i="44"/>
  <c r="AV31" i="44"/>
  <c r="AW31" i="44"/>
  <c r="AT31" i="44"/>
  <c r="AU31" i="44" s="1"/>
  <c r="AX31" i="44"/>
  <c r="EB32" i="44"/>
  <c r="EA32" i="44"/>
  <c r="DX32" i="44"/>
  <c r="EJ32" i="44"/>
  <c r="EI32" i="44"/>
  <c r="EH32" i="44"/>
  <c r="EF32" i="44"/>
  <c r="AR31" i="44"/>
  <c r="AS31" i="44" s="1"/>
  <c r="AQ31" i="44"/>
  <c r="EH33" i="44"/>
  <c r="EB33" i="44"/>
  <c r="EA33" i="44"/>
  <c r="EJ33" i="44"/>
  <c r="DX33" i="44"/>
  <c r="EF33" i="44"/>
  <c r="EI33" i="44"/>
  <c r="AV56" i="44" l="1"/>
  <c r="AT56" i="44"/>
  <c r="AU56" i="44" s="1"/>
  <c r="AW56" i="44"/>
  <c r="AX56" i="44"/>
  <c r="BC56" i="44"/>
  <c r="EK56" i="44" s="1"/>
  <c r="AZ56" i="44"/>
  <c r="AQ56" i="44"/>
  <c r="EA56" i="44"/>
  <c r="DX56" i="44"/>
  <c r="EF56" i="44"/>
  <c r="EL56" i="44"/>
  <c r="EJ56" i="44"/>
  <c r="EJ31" i="44"/>
  <c r="DX31" i="44"/>
  <c r="EI31" i="44"/>
  <c r="EH31" i="44"/>
  <c r="EA31" i="44"/>
  <c r="EB31" i="44"/>
  <c r="EF31" i="44"/>
  <c r="EH56" i="44" l="1"/>
  <c r="EI56" i="44"/>
  <c r="EB56" i="44"/>
  <c r="S80" i="31" l="1"/>
  <c r="S79" i="31"/>
  <c r="S77" i="31"/>
  <c r="S76" i="31"/>
  <c r="S75" i="31"/>
  <c r="S74" i="31"/>
  <c r="S73" i="31"/>
  <c r="S72" i="31"/>
  <c r="S70" i="31"/>
  <c r="S69" i="31"/>
  <c r="S68" i="31"/>
  <c r="S67" i="31"/>
  <c r="S66" i="31"/>
  <c r="S65" i="31"/>
  <c r="S62" i="31"/>
  <c r="S61" i="31"/>
  <c r="S60" i="31"/>
  <c r="S58" i="31"/>
  <c r="S56" i="31"/>
  <c r="S55" i="31"/>
  <c r="S54" i="31"/>
  <c r="S53" i="31"/>
  <c r="S52" i="31"/>
  <c r="S51" i="31"/>
  <c r="S50" i="31"/>
  <c r="S48" i="31"/>
  <c r="S47" i="31"/>
  <c r="S44" i="31"/>
  <c r="S43" i="31"/>
  <c r="S42" i="31"/>
  <c r="S41" i="31"/>
  <c r="S39" i="31"/>
  <c r="S38" i="31"/>
  <c r="S37" i="31"/>
  <c r="S36" i="31"/>
  <c r="S35" i="31"/>
  <c r="S34" i="31"/>
  <c r="S33" i="31"/>
  <c r="S32" i="31"/>
  <c r="S31" i="31"/>
  <c r="S30" i="31"/>
  <c r="S29" i="31"/>
  <c r="S28" i="31"/>
  <c r="S27" i="31"/>
  <c r="S26" i="31"/>
  <c r="S25" i="31"/>
  <c r="S24" i="31"/>
  <c r="S23" i="31"/>
  <c r="S22" i="31"/>
  <c r="S21" i="31"/>
  <c r="S20" i="31"/>
  <c r="S19" i="31"/>
  <c r="S18" i="31"/>
  <c r="S17" i="31"/>
  <c r="S16" i="31"/>
  <c r="S15" i="31"/>
  <c r="S14" i="31"/>
  <c r="S13" i="31"/>
  <c r="S12" i="31"/>
  <c r="S11" i="31"/>
  <c r="AD165" i="44" l="1"/>
  <c r="AD166" i="44"/>
  <c r="AD13" i="39"/>
  <c r="AD12" i="39"/>
  <c r="BA280" i="39" l="1"/>
  <c r="BA279" i="39"/>
  <c r="BA278" i="39"/>
  <c r="BA277" i="39"/>
  <c r="BA276" i="39"/>
  <c r="BA275" i="39"/>
  <c r="BA274" i="39"/>
  <c r="BA273" i="39"/>
  <c r="BA272" i="39"/>
  <c r="BA269" i="39"/>
  <c r="BA268" i="39"/>
  <c r="BA267" i="39"/>
  <c r="BA266" i="39"/>
  <c r="BA265" i="39"/>
  <c r="BA264" i="39"/>
  <c r="BA263" i="39"/>
  <c r="BA262" i="39"/>
  <c r="BA261" i="39"/>
  <c r="BA260" i="39"/>
  <c r="BA259" i="39"/>
  <c r="BA258" i="39"/>
  <c r="BA257" i="39"/>
  <c r="BA256" i="39"/>
  <c r="BA255" i="39"/>
  <c r="BA254" i="39"/>
  <c r="BA253" i="39"/>
  <c r="BA252" i="39"/>
  <c r="BA249" i="39"/>
  <c r="BA248" i="39"/>
  <c r="BA247" i="39"/>
  <c r="BA246" i="39"/>
  <c r="BA245" i="39"/>
  <c r="BA244" i="39"/>
  <c r="BA243" i="39"/>
  <c r="BA242" i="39"/>
  <c r="BA241" i="39"/>
  <c r="BA240" i="39"/>
  <c r="BA239" i="39"/>
  <c r="BA238" i="39"/>
  <c r="BA237" i="39"/>
  <c r="BA236" i="39"/>
  <c r="BA235" i="39"/>
  <c r="BA234" i="39"/>
  <c r="BA231" i="39"/>
  <c r="BA230" i="39"/>
  <c r="BA229" i="39"/>
  <c r="BA228" i="39"/>
  <c r="BA227" i="39"/>
  <c r="BA226" i="39"/>
  <c r="BA225" i="39"/>
  <c r="BA224" i="39"/>
  <c r="BA223" i="39"/>
  <c r="BA222" i="39"/>
  <c r="BA221" i="39"/>
  <c r="BA220" i="39"/>
  <c r="BA219" i="39"/>
  <c r="BA218" i="39"/>
  <c r="BA217" i="39"/>
  <c r="BA216" i="39"/>
  <c r="BA215" i="39"/>
  <c r="BA212" i="39"/>
  <c r="BA211" i="39"/>
  <c r="BA210" i="39"/>
  <c r="BA209" i="39"/>
  <c r="BA208" i="39"/>
  <c r="BA207" i="39"/>
  <c r="BA206" i="39"/>
  <c r="BA205" i="39"/>
  <c r="BA204" i="39"/>
  <c r="BA203" i="39"/>
  <c r="BA202" i="39"/>
  <c r="BA201" i="39"/>
  <c r="BA200" i="39"/>
  <c r="BA199" i="39"/>
  <c r="BA198" i="39"/>
  <c r="BA195" i="39"/>
  <c r="BA194" i="39"/>
  <c r="BA193" i="39"/>
  <c r="BA192" i="39"/>
  <c r="BA191" i="39"/>
  <c r="BA190" i="39"/>
  <c r="BA189" i="39"/>
  <c r="BA188" i="39"/>
  <c r="BA187" i="39"/>
  <c r="BA186" i="39"/>
  <c r="BA185" i="39"/>
  <c r="BA184" i="39"/>
  <c r="BA183" i="39"/>
  <c r="BA182" i="39"/>
  <c r="BA181" i="39"/>
  <c r="BA180" i="39"/>
  <c r="BA179" i="39"/>
  <c r="BA178" i="39"/>
  <c r="BA177" i="39"/>
  <c r="BA176" i="39"/>
  <c r="BA175" i="39"/>
  <c r="BA174" i="39"/>
  <c r="BA173" i="39"/>
  <c r="BA172" i="39"/>
  <c r="BA171" i="39"/>
  <c r="BA170" i="39"/>
  <c r="BA169" i="39"/>
  <c r="BA165" i="39"/>
  <c r="BA164" i="39"/>
  <c r="BA158" i="39"/>
  <c r="BA157" i="39"/>
  <c r="BA156" i="39"/>
  <c r="BA155" i="39"/>
  <c r="BA154" i="39"/>
  <c r="BA153" i="39"/>
  <c r="BA152" i="39"/>
  <c r="BA151" i="39"/>
  <c r="BA150" i="39"/>
  <c r="BA149" i="39"/>
  <c r="BA148" i="39"/>
  <c r="BA147" i="39"/>
  <c r="BA146" i="39"/>
  <c r="BA143" i="39"/>
  <c r="BA142" i="39"/>
  <c r="BA141" i="39"/>
  <c r="BA140" i="39"/>
  <c r="BA139" i="39"/>
  <c r="BA138" i="39"/>
  <c r="BA137" i="39"/>
  <c r="BA136" i="39"/>
  <c r="BA135" i="39"/>
  <c r="BA134" i="39"/>
  <c r="BA116" i="39"/>
  <c r="BA112" i="39"/>
  <c r="BA111" i="39"/>
  <c r="BA110" i="39"/>
  <c r="BA109" i="39"/>
  <c r="BA108" i="39"/>
  <c r="BA107" i="39"/>
  <c r="BA106" i="39"/>
  <c r="BA105" i="39"/>
  <c r="BA103" i="39"/>
  <c r="BA102" i="39"/>
  <c r="BA101" i="39"/>
  <c r="BA100" i="39"/>
  <c r="BA95" i="39"/>
  <c r="BA94" i="39"/>
  <c r="BA93" i="39"/>
  <c r="BA92" i="39"/>
  <c r="BA91" i="39"/>
  <c r="BA90" i="39"/>
  <c r="BA89" i="39"/>
  <c r="BA88" i="39"/>
  <c r="BA87" i="39"/>
  <c r="BA86" i="39"/>
  <c r="BA85" i="39"/>
  <c r="BA80" i="39"/>
  <c r="BA79" i="39"/>
  <c r="BA78" i="39"/>
  <c r="BA77" i="39"/>
  <c r="BA60" i="39"/>
  <c r="BA59" i="39"/>
  <c r="BA58" i="39"/>
  <c r="BA57" i="39"/>
  <c r="BA56" i="39"/>
  <c r="BA55" i="39"/>
  <c r="BA54" i="39"/>
  <c r="BA53" i="39"/>
  <c r="BA52" i="39"/>
  <c r="BA51" i="39"/>
  <c r="BA50" i="39"/>
  <c r="BA49" i="39"/>
  <c r="BA48" i="39"/>
  <c r="BA46" i="39"/>
  <c r="BA40" i="39"/>
  <c r="BA39" i="39"/>
  <c r="BA38" i="39"/>
  <c r="BA37" i="39"/>
  <c r="BA36" i="39"/>
  <c r="BA35" i="39"/>
  <c r="BA34" i="39"/>
  <c r="BA33" i="39"/>
  <c r="BA32" i="39"/>
  <c r="BA31" i="39"/>
  <c r="BA30" i="39"/>
  <c r="BA29" i="39"/>
  <c r="BA28" i="39"/>
  <c r="BA27" i="39"/>
  <c r="BA26" i="39"/>
  <c r="BA25" i="39"/>
  <c r="BA24" i="39"/>
  <c r="BA23" i="39"/>
  <c r="BA22" i="39"/>
  <c r="BA21" i="39"/>
  <c r="BA20" i="39"/>
  <c r="BA19" i="39"/>
  <c r="BA18" i="39"/>
  <c r="BA17" i="39"/>
  <c r="BA15" i="39"/>
  <c r="BA14" i="39"/>
  <c r="BA13" i="39"/>
  <c r="BA12" i="39"/>
  <c r="BA11" i="39"/>
  <c r="BA10" i="39"/>
  <c r="BA9" i="39"/>
  <c r="BA8" i="39"/>
  <c r="ET281" i="39"/>
  <c r="ET280" i="39"/>
  <c r="ET279" i="39"/>
  <c r="ET278" i="39"/>
  <c r="ET277" i="39"/>
  <c r="ET276" i="39"/>
  <c r="ET275" i="39"/>
  <c r="ET274" i="39"/>
  <c r="ET273" i="39"/>
  <c r="ET272" i="39"/>
  <c r="ET271" i="39"/>
  <c r="ET270" i="39"/>
  <c r="ET269" i="39"/>
  <c r="ET268" i="39"/>
  <c r="ET267" i="39"/>
  <c r="ET266" i="39"/>
  <c r="ET265" i="39"/>
  <c r="ET264" i="39"/>
  <c r="ET263" i="39"/>
  <c r="ET262" i="39"/>
  <c r="ET261" i="39"/>
  <c r="ET260" i="39"/>
  <c r="ET259" i="39"/>
  <c r="ET258" i="39"/>
  <c r="ET257" i="39"/>
  <c r="ET256" i="39"/>
  <c r="ET255" i="39"/>
  <c r="ET254" i="39"/>
  <c r="ET253" i="39"/>
  <c r="ET252" i="39"/>
  <c r="ET251" i="39"/>
  <c r="ET250" i="39"/>
  <c r="ET249" i="39"/>
  <c r="ET248" i="39"/>
  <c r="ET247" i="39"/>
  <c r="ET246" i="39"/>
  <c r="ET245" i="39"/>
  <c r="ET244" i="39"/>
  <c r="ET243" i="39"/>
  <c r="ET242" i="39"/>
  <c r="ET241" i="39"/>
  <c r="ET240" i="39"/>
  <c r="ET239" i="39"/>
  <c r="ET238" i="39"/>
  <c r="ET237" i="39"/>
  <c r="ET236" i="39"/>
  <c r="ET235" i="39"/>
  <c r="ET234" i="39"/>
  <c r="ET233" i="39"/>
  <c r="ET232" i="39"/>
  <c r="ET231" i="39"/>
  <c r="ET230" i="39"/>
  <c r="ET229" i="39"/>
  <c r="ET228" i="39"/>
  <c r="ET227" i="39"/>
  <c r="ET226" i="39"/>
  <c r="ET225" i="39"/>
  <c r="ET224" i="39"/>
  <c r="ET223" i="39"/>
  <c r="ET222" i="39"/>
  <c r="ET221" i="39"/>
  <c r="ET220" i="39"/>
  <c r="ET219" i="39"/>
  <c r="ET218" i="39"/>
  <c r="ET217" i="39"/>
  <c r="ET216" i="39"/>
  <c r="ET215" i="39"/>
  <c r="ET214" i="39"/>
  <c r="ET213" i="39"/>
  <c r="ET212" i="39"/>
  <c r="ET211" i="39"/>
  <c r="ET210" i="39"/>
  <c r="ET209" i="39"/>
  <c r="ET208" i="39"/>
  <c r="ET207" i="39"/>
  <c r="ET206" i="39"/>
  <c r="ET205" i="39"/>
  <c r="ET204" i="39"/>
  <c r="ET203" i="39"/>
  <c r="ET202" i="39"/>
  <c r="ET201" i="39"/>
  <c r="ET200" i="39"/>
  <c r="ET199" i="39"/>
  <c r="ET198" i="39"/>
  <c r="ET197" i="39"/>
  <c r="ET196" i="39"/>
  <c r="ET195" i="39"/>
  <c r="ET194" i="39"/>
  <c r="ET193" i="39"/>
  <c r="ET192" i="39"/>
  <c r="ET191" i="39"/>
  <c r="ET190" i="39"/>
  <c r="ET189" i="39"/>
  <c r="ET188" i="39"/>
  <c r="ET187" i="39"/>
  <c r="ET186" i="39"/>
  <c r="ET185" i="39"/>
  <c r="ET184" i="39"/>
  <c r="ET183" i="39"/>
  <c r="ET182" i="39"/>
  <c r="ET181" i="39"/>
  <c r="ET180" i="39"/>
  <c r="ET179" i="39"/>
  <c r="ET178" i="39"/>
  <c r="ET177" i="39"/>
  <c r="ET176" i="39"/>
  <c r="ET175" i="39"/>
  <c r="ET174" i="39"/>
  <c r="ET173" i="39"/>
  <c r="ET172" i="39"/>
  <c r="ET171" i="39"/>
  <c r="ET170" i="39"/>
  <c r="ET169" i="39"/>
  <c r="ET168" i="39"/>
  <c r="ET167" i="39"/>
  <c r="ET166" i="39"/>
  <c r="ET165" i="39"/>
  <c r="ET164" i="39"/>
  <c r="ET163" i="39"/>
  <c r="ET162" i="39"/>
  <c r="ET161" i="39"/>
  <c r="ET160" i="39"/>
  <c r="ET159" i="39"/>
  <c r="ET158" i="39"/>
  <c r="ET157" i="39"/>
  <c r="ET156" i="39"/>
  <c r="ET155" i="39"/>
  <c r="ET154" i="39"/>
  <c r="ET153" i="39"/>
  <c r="ET152" i="39"/>
  <c r="ET151" i="39"/>
  <c r="ET150" i="39"/>
  <c r="ET149" i="39"/>
  <c r="ET148" i="39"/>
  <c r="ET147" i="39"/>
  <c r="ET146" i="39"/>
  <c r="ET145" i="39"/>
  <c r="ET144" i="39"/>
  <c r="ET143" i="39"/>
  <c r="ET142" i="39"/>
  <c r="ET141" i="39"/>
  <c r="ET140" i="39"/>
  <c r="ET139" i="39"/>
  <c r="ET138" i="39"/>
  <c r="ET137" i="39"/>
  <c r="ET136" i="39"/>
  <c r="ET135" i="39"/>
  <c r="ET134" i="39"/>
  <c r="ET133" i="39"/>
  <c r="ET132" i="39"/>
  <c r="ET131" i="39"/>
  <c r="ET130" i="39"/>
  <c r="ET129" i="39"/>
  <c r="ET128" i="39"/>
  <c r="ET127" i="39"/>
  <c r="ET126" i="39"/>
  <c r="ET125" i="39"/>
  <c r="ET124" i="39"/>
  <c r="ET123" i="39"/>
  <c r="ET122" i="39"/>
  <c r="ET121" i="39"/>
  <c r="ET120" i="39"/>
  <c r="ET119" i="39"/>
  <c r="ET118" i="39"/>
  <c r="ET117" i="39"/>
  <c r="ET116" i="39"/>
  <c r="ET115" i="39"/>
  <c r="ET114" i="39"/>
  <c r="ET113" i="39"/>
  <c r="ET112" i="39"/>
  <c r="ET111" i="39"/>
  <c r="ET110" i="39"/>
  <c r="ET109" i="39"/>
  <c r="ET108" i="39"/>
  <c r="ET107" i="39"/>
  <c r="ET106" i="39"/>
  <c r="ET105" i="39"/>
  <c r="ET104" i="39"/>
  <c r="ET103" i="39"/>
  <c r="ET102" i="39"/>
  <c r="ET101" i="39"/>
  <c r="ET100" i="39"/>
  <c r="ET95" i="39"/>
  <c r="ET94" i="39"/>
  <c r="ET93" i="39"/>
  <c r="ET92" i="39"/>
  <c r="ET91" i="39"/>
  <c r="ET90" i="39"/>
  <c r="ET89" i="39"/>
  <c r="ET88" i="39"/>
  <c r="ET87" i="39"/>
  <c r="ET86" i="39"/>
  <c r="ET85" i="39"/>
  <c r="ET84" i="39"/>
  <c r="ET83" i="39"/>
  <c r="ET82" i="39"/>
  <c r="ET81" i="39"/>
  <c r="ET80" i="39"/>
  <c r="ET79" i="39"/>
  <c r="ET78" i="39"/>
  <c r="ET77" i="39"/>
  <c r="ET76" i="39"/>
  <c r="ET73" i="39"/>
  <c r="ET72" i="39"/>
  <c r="ET71" i="39"/>
  <c r="ET70" i="39"/>
  <c r="ET69" i="39"/>
  <c r="ET68" i="39"/>
  <c r="ET67" i="39"/>
  <c r="ET66" i="39"/>
  <c r="ET65" i="39"/>
  <c r="ET64" i="39"/>
  <c r="ET63" i="39"/>
  <c r="ET60" i="39"/>
  <c r="ET59" i="39"/>
  <c r="ET58" i="39"/>
  <c r="ET57" i="39"/>
  <c r="ET56" i="39"/>
  <c r="ET55" i="39"/>
  <c r="ET54" i="39"/>
  <c r="ET53" i="39"/>
  <c r="ET52" i="39"/>
  <c r="ET51" i="39"/>
  <c r="ET50" i="39"/>
  <c r="ET49" i="39"/>
  <c r="ET48" i="39"/>
  <c r="ET46" i="39"/>
  <c r="ET45" i="39"/>
  <c r="ET44" i="39"/>
  <c r="ET40" i="39"/>
  <c r="ET39" i="39"/>
  <c r="ET38" i="39"/>
  <c r="ET37" i="39"/>
  <c r="ET36" i="39"/>
  <c r="ET35" i="39"/>
  <c r="ET34" i="39"/>
  <c r="ET33" i="39"/>
  <c r="ET32" i="39"/>
  <c r="ET31" i="39"/>
  <c r="ET30" i="39"/>
  <c r="ET29" i="39"/>
  <c r="ET28" i="39"/>
  <c r="ET27" i="39"/>
  <c r="ET26" i="39"/>
  <c r="ET25" i="39"/>
  <c r="ET24" i="39"/>
  <c r="ET23" i="39"/>
  <c r="ET22" i="39"/>
  <c r="ET21" i="39"/>
  <c r="ET20" i="39"/>
  <c r="ET19" i="39"/>
  <c r="ET18" i="39"/>
  <c r="ET17" i="39"/>
  <c r="ET16" i="39"/>
  <c r="ET15" i="39"/>
  <c r="ET14" i="39"/>
  <c r="ET13" i="39"/>
  <c r="ET12" i="39"/>
  <c r="ET11" i="39"/>
  <c r="ET10" i="39"/>
  <c r="ET9" i="39"/>
  <c r="ET8" i="39"/>
  <c r="ET7" i="39"/>
  <c r="ET6" i="39"/>
  <c r="ET5" i="39"/>
  <c r="BA442" i="44"/>
  <c r="BA441" i="44"/>
  <c r="BA440" i="44"/>
  <c r="BA439" i="44"/>
  <c r="BA438" i="44"/>
  <c r="BA437" i="44"/>
  <c r="BA436" i="44"/>
  <c r="BA435" i="44"/>
  <c r="BA434" i="44"/>
  <c r="BA433" i="44"/>
  <c r="BA432" i="44"/>
  <c r="BA431" i="44"/>
  <c r="BA430" i="44"/>
  <c r="BA429" i="44"/>
  <c r="BA428" i="44"/>
  <c r="BA427" i="44"/>
  <c r="BA426" i="44"/>
  <c r="BA425" i="44"/>
  <c r="BA424" i="44"/>
  <c r="BA423" i="44"/>
  <c r="BA422" i="44"/>
  <c r="BA421" i="44"/>
  <c r="BA420" i="44"/>
  <c r="BA419" i="44"/>
  <c r="BA418" i="44"/>
  <c r="BA412" i="44"/>
  <c r="BA411" i="44"/>
  <c r="BA410" i="44"/>
  <c r="BA409" i="44"/>
  <c r="BA408" i="44"/>
  <c r="BA407" i="44"/>
  <c r="BA404" i="44"/>
  <c r="BA403" i="44"/>
  <c r="BA402" i="44"/>
  <c r="BA401" i="44"/>
  <c r="BA400" i="44"/>
  <c r="BA399" i="44"/>
  <c r="BA398" i="44"/>
  <c r="BA397" i="44"/>
  <c r="BA396" i="44"/>
  <c r="BA391" i="44"/>
  <c r="BA390" i="44"/>
  <c r="BA389" i="44"/>
  <c r="BA388" i="44"/>
  <c r="BA387" i="44"/>
  <c r="BA381" i="44"/>
  <c r="BA380" i="44"/>
  <c r="BA379" i="44"/>
  <c r="BA378" i="44"/>
  <c r="BA377" i="44"/>
  <c r="BA376" i="44"/>
  <c r="BA375" i="44"/>
  <c r="BA374" i="44"/>
  <c r="BA373" i="44"/>
  <c r="BA372" i="44"/>
  <c r="BA307" i="44"/>
  <c r="BA302" i="44"/>
  <c r="BA301" i="44"/>
  <c r="BA300" i="44"/>
  <c r="BA299" i="44"/>
  <c r="BA298" i="44"/>
  <c r="BA297" i="44"/>
  <c r="BA296" i="44"/>
  <c r="BA295" i="44"/>
  <c r="BA287" i="44"/>
  <c r="BA274" i="44"/>
  <c r="BA273" i="44"/>
  <c r="BA272" i="44"/>
  <c r="BA271" i="44"/>
  <c r="BA270" i="44"/>
  <c r="BA269" i="44"/>
  <c r="BA268" i="44"/>
  <c r="BA267" i="44"/>
  <c r="BA266" i="44"/>
  <c r="BA265" i="44"/>
  <c r="BA264" i="44"/>
  <c r="BA263" i="44"/>
  <c r="BA262" i="44"/>
  <c r="BA261" i="44"/>
  <c r="BA257" i="44"/>
  <c r="BA256" i="44"/>
  <c r="BA255" i="44"/>
  <c r="BA254" i="44"/>
  <c r="BA253" i="44"/>
  <c r="BA252" i="44"/>
  <c r="BA251" i="44"/>
  <c r="BA250" i="44"/>
  <c r="BA249" i="44"/>
  <c r="BA248" i="44"/>
  <c r="BA247" i="44"/>
  <c r="BA245" i="44"/>
  <c r="BA244" i="44"/>
  <c r="BA243" i="44"/>
  <c r="BA242" i="44"/>
  <c r="BA241" i="44"/>
  <c r="BA240" i="44"/>
  <c r="BA239" i="44"/>
  <c r="BA238" i="44"/>
  <c r="BA237" i="44"/>
  <c r="BA236" i="44"/>
  <c r="BA235" i="44"/>
  <c r="BA234" i="44"/>
  <c r="BA233" i="44"/>
  <c r="BA232" i="44"/>
  <c r="BA231" i="44"/>
  <c r="BA230" i="44"/>
  <c r="BA229" i="44"/>
  <c r="BA228" i="44"/>
  <c r="BA227" i="44"/>
  <c r="BA226" i="44"/>
  <c r="BA225" i="44"/>
  <c r="BA224" i="44"/>
  <c r="BA223" i="44"/>
  <c r="BA222" i="44"/>
  <c r="BA221" i="44"/>
  <c r="BA220" i="44"/>
  <c r="BA219" i="44"/>
  <c r="BA218" i="44"/>
  <c r="BA217" i="44"/>
  <c r="BA208" i="44"/>
  <c r="BA206" i="44"/>
  <c r="BA205" i="44"/>
  <c r="BA204" i="44"/>
  <c r="BA203" i="44"/>
  <c r="BA202" i="44"/>
  <c r="BA194" i="44"/>
  <c r="BA193" i="44"/>
  <c r="BA192" i="44"/>
  <c r="BA191" i="44"/>
  <c r="BA185" i="44"/>
  <c r="BA184" i="44"/>
  <c r="BA182" i="44"/>
  <c r="BA180" i="44"/>
  <c r="BA179" i="44"/>
  <c r="BA178" i="44"/>
  <c r="BA177" i="44"/>
  <c r="BA176" i="44"/>
  <c r="BA174" i="44"/>
  <c r="BA173" i="44"/>
  <c r="BA172" i="44"/>
  <c r="BA171" i="44"/>
  <c r="BA170" i="44"/>
  <c r="BA169" i="44"/>
  <c r="BA168" i="44"/>
  <c r="BA167" i="44"/>
  <c r="BA166" i="44"/>
  <c r="BA165" i="44"/>
  <c r="BA157" i="44"/>
  <c r="BA156" i="44"/>
  <c r="BA155" i="44"/>
  <c r="BA154" i="44"/>
  <c r="BA153" i="44"/>
  <c r="BA152" i="44"/>
  <c r="BA139" i="44"/>
  <c r="BA138" i="44"/>
  <c r="BA137" i="44"/>
  <c r="BA136" i="44"/>
  <c r="BA135" i="44"/>
  <c r="BA134" i="44"/>
  <c r="BA133" i="44"/>
  <c r="BA132" i="44"/>
  <c r="BA131" i="44"/>
  <c r="BA130" i="44"/>
  <c r="BA129" i="44"/>
  <c r="BA128" i="44"/>
  <c r="BA127" i="44"/>
  <c r="BA125" i="44"/>
  <c r="BA124" i="44"/>
  <c r="BA123" i="44"/>
  <c r="BA122" i="44"/>
  <c r="BA121" i="44"/>
  <c r="BA120" i="44"/>
  <c r="BA119" i="44"/>
  <c r="BA118" i="44"/>
  <c r="BA117" i="44"/>
  <c r="BA116" i="44"/>
  <c r="BA115" i="44"/>
  <c r="BA114" i="44"/>
  <c r="BA106" i="44"/>
  <c r="BA105" i="44"/>
  <c r="BA104" i="44"/>
  <c r="BA103" i="44"/>
  <c r="BA102" i="44"/>
  <c r="BA101" i="44"/>
  <c r="BA100" i="44"/>
  <c r="BA99" i="44"/>
  <c r="BA98" i="44"/>
  <c r="BA97" i="44"/>
  <c r="BA96" i="44"/>
  <c r="BA95" i="44"/>
  <c r="BA92" i="44"/>
  <c r="BA91" i="44"/>
  <c r="BA90" i="44"/>
  <c r="BA89" i="44"/>
  <c r="BA88" i="44"/>
  <c r="BA87" i="44"/>
  <c r="BA86" i="44"/>
  <c r="BA84" i="44"/>
  <c r="BA83" i="44"/>
  <c r="BA81" i="44"/>
  <c r="BA80" i="44"/>
  <c r="BA79" i="44"/>
  <c r="BA78" i="44"/>
  <c r="BA77" i="44"/>
  <c r="BA76" i="44"/>
  <c r="BA75" i="44"/>
  <c r="BA74" i="44"/>
  <c r="BA73" i="44"/>
  <c r="BA72" i="44"/>
  <c r="BA71" i="44"/>
  <c r="BA70" i="44"/>
  <c r="BA69" i="44"/>
  <c r="BA68" i="44"/>
  <c r="BA67" i="44"/>
  <c r="BA66" i="44"/>
  <c r="BA65" i="44"/>
  <c r="BA64" i="44"/>
  <c r="BA63" i="44"/>
  <c r="BA62" i="44"/>
  <c r="BA60" i="44"/>
  <c r="BA59" i="44"/>
  <c r="BA55" i="44"/>
  <c r="BA54" i="44"/>
  <c r="BA53" i="44"/>
  <c r="BA52" i="44"/>
  <c r="BA51" i="44"/>
  <c r="BA50" i="44"/>
  <c r="BA49" i="44"/>
  <c r="BA48" i="44"/>
  <c r="BA47" i="44"/>
  <c r="BA46" i="44"/>
  <c r="BA45" i="44"/>
  <c r="BA44" i="44"/>
  <c r="BA36" i="44"/>
  <c r="BA35" i="44"/>
  <c r="BA34" i="44"/>
  <c r="BA30" i="44"/>
  <c r="BA29" i="44"/>
  <c r="BA28" i="44"/>
  <c r="BA27" i="44"/>
  <c r="BA26" i="44"/>
  <c r="BA25" i="44"/>
  <c r="BA24" i="44"/>
  <c r="BA23" i="44"/>
  <c r="BA20" i="44"/>
  <c r="BA19" i="44"/>
  <c r="BA18" i="44"/>
  <c r="BA17" i="44"/>
  <c r="BA16" i="44"/>
  <c r="BA15" i="44"/>
  <c r="BA14" i="44"/>
  <c r="BA13" i="44"/>
  <c r="BA12" i="44"/>
  <c r="BA11" i="44"/>
  <c r="ET443" i="44"/>
  <c r="ET442" i="44"/>
  <c r="ET441" i="44"/>
  <c r="ET440" i="44"/>
  <c r="ET439" i="44"/>
  <c r="ET438" i="44"/>
  <c r="ET437" i="44"/>
  <c r="ET436" i="44"/>
  <c r="ET435" i="44"/>
  <c r="ET434" i="44"/>
  <c r="ET433" i="44"/>
  <c r="ET432" i="44"/>
  <c r="ET431" i="44"/>
  <c r="ET430" i="44"/>
  <c r="ET429" i="44"/>
  <c r="ET428" i="44"/>
  <c r="ET427" i="44"/>
  <c r="ET426" i="44"/>
  <c r="ET425" i="44"/>
  <c r="ET424" i="44"/>
  <c r="ET423" i="44"/>
  <c r="ET422" i="44"/>
  <c r="ET421" i="44"/>
  <c r="ET420" i="44"/>
  <c r="ET419" i="44"/>
  <c r="ET418" i="44"/>
  <c r="ET417" i="44"/>
  <c r="ET416" i="44"/>
  <c r="ET415" i="44"/>
  <c r="ET414" i="44"/>
  <c r="ET413" i="44"/>
  <c r="ET412" i="44"/>
  <c r="ET411" i="44"/>
  <c r="ET410" i="44"/>
  <c r="ET409" i="44"/>
  <c r="ET408" i="44"/>
  <c r="ET407" i="44"/>
  <c r="ET406" i="44"/>
  <c r="ET405" i="44"/>
  <c r="ET404" i="44"/>
  <c r="ET403" i="44"/>
  <c r="ET402" i="44"/>
  <c r="ET401" i="44"/>
  <c r="ET400" i="44"/>
  <c r="ET399" i="44"/>
  <c r="ET398" i="44"/>
  <c r="ET397" i="44"/>
  <c r="ET396" i="44"/>
  <c r="ET395" i="44"/>
  <c r="ET394" i="44"/>
  <c r="ET393" i="44"/>
  <c r="ET392" i="44"/>
  <c r="ET391" i="44"/>
  <c r="ET390" i="44"/>
  <c r="ET389" i="44"/>
  <c r="ET388" i="44"/>
  <c r="ET387" i="44"/>
  <c r="ET386" i="44"/>
  <c r="ET385" i="44"/>
  <c r="ET384" i="44"/>
  <c r="ET383" i="44"/>
  <c r="ET382" i="44"/>
  <c r="ET381" i="44"/>
  <c r="ET380" i="44"/>
  <c r="ET379" i="44"/>
  <c r="ET378" i="44"/>
  <c r="ET377" i="44"/>
  <c r="ET376" i="44"/>
  <c r="ET375" i="44"/>
  <c r="ET374" i="44"/>
  <c r="ET373" i="44"/>
  <c r="ET372" i="44"/>
  <c r="ET371" i="44"/>
  <c r="ET370" i="44"/>
  <c r="ET369" i="44"/>
  <c r="ET368" i="44"/>
  <c r="ET367" i="44"/>
  <c r="ET366" i="44"/>
  <c r="ET365" i="44"/>
  <c r="ET364" i="44"/>
  <c r="ET363" i="44"/>
  <c r="ET362" i="44"/>
  <c r="ET361" i="44"/>
  <c r="ET360" i="44"/>
  <c r="ET359" i="44"/>
  <c r="ET358" i="44"/>
  <c r="ET357" i="44"/>
  <c r="ET356" i="44"/>
  <c r="ET355" i="44"/>
  <c r="ET354" i="44"/>
  <c r="ET353" i="44"/>
  <c r="ET352" i="44"/>
  <c r="ET351" i="44"/>
  <c r="ET350" i="44"/>
  <c r="ET349" i="44"/>
  <c r="ET348" i="44"/>
  <c r="ET347" i="44"/>
  <c r="ET346" i="44"/>
  <c r="ET339" i="44"/>
  <c r="ET338" i="44"/>
  <c r="ET337" i="44"/>
  <c r="ET336" i="44"/>
  <c r="ET335" i="44"/>
  <c r="ET334" i="44"/>
  <c r="ET333" i="44"/>
  <c r="ET332" i="44"/>
  <c r="ET331" i="44"/>
  <c r="ET330" i="44"/>
  <c r="ET329" i="44"/>
  <c r="ET328" i="44"/>
  <c r="ET327" i="44"/>
  <c r="ET315" i="44"/>
  <c r="ET314" i="44"/>
  <c r="ET313" i="44"/>
  <c r="ET312" i="44"/>
  <c r="ET311" i="44"/>
  <c r="ET310" i="44"/>
  <c r="ET309" i="44"/>
  <c r="ET308" i="44"/>
  <c r="ET307" i="44"/>
  <c r="ET302" i="44"/>
  <c r="ET301" i="44"/>
  <c r="ET300" i="44"/>
  <c r="ET299" i="44"/>
  <c r="ET298" i="44"/>
  <c r="ET297" i="44"/>
  <c r="ET296" i="44"/>
  <c r="ET295" i="44"/>
  <c r="ET294" i="44"/>
  <c r="ET293" i="44"/>
  <c r="ET292" i="44"/>
  <c r="ET291" i="44"/>
  <c r="ET290" i="44"/>
  <c r="ET289" i="44"/>
  <c r="ET288" i="44"/>
  <c r="ET287" i="44"/>
  <c r="ET286" i="44"/>
  <c r="ET285" i="44"/>
  <c r="ET284" i="44"/>
  <c r="ET283" i="44"/>
  <c r="ET282" i="44"/>
  <c r="ET281" i="44"/>
  <c r="ET280" i="44"/>
  <c r="ET279" i="44"/>
  <c r="ET278" i="44"/>
  <c r="ET277" i="44"/>
  <c r="ET276" i="44"/>
  <c r="ET275" i="44"/>
  <c r="ET274" i="44"/>
  <c r="ET273" i="44"/>
  <c r="ET272" i="44"/>
  <c r="ET271" i="44"/>
  <c r="ET270" i="44"/>
  <c r="ET269" i="44"/>
  <c r="ET268" i="44"/>
  <c r="ET267" i="44"/>
  <c r="ET266" i="44"/>
  <c r="ET265" i="44"/>
  <c r="ET264" i="44"/>
  <c r="ET263" i="44"/>
  <c r="ET262" i="44"/>
  <c r="ET261" i="44"/>
  <c r="ET260" i="44"/>
  <c r="ET259" i="44"/>
  <c r="ET258" i="44"/>
  <c r="ET257" i="44"/>
  <c r="ET256" i="44"/>
  <c r="ET255" i="44"/>
  <c r="ET254" i="44"/>
  <c r="ET253" i="44"/>
  <c r="ET252" i="44"/>
  <c r="ET251" i="44"/>
  <c r="ET250" i="44"/>
  <c r="ET249" i="44"/>
  <c r="ET248" i="44"/>
  <c r="ET247" i="44"/>
  <c r="ET246" i="44"/>
  <c r="ET245" i="44"/>
  <c r="ET244" i="44"/>
  <c r="ET243" i="44"/>
  <c r="ET242" i="44"/>
  <c r="ET241" i="44"/>
  <c r="ET240" i="44"/>
  <c r="ET239" i="44"/>
  <c r="ET238" i="44"/>
  <c r="ET237" i="44"/>
  <c r="ET236" i="44"/>
  <c r="ET235" i="44"/>
  <c r="ET234" i="44"/>
  <c r="ET233" i="44"/>
  <c r="ET232" i="44"/>
  <c r="ET231" i="44"/>
  <c r="ET230" i="44"/>
  <c r="ET229" i="44"/>
  <c r="ET228" i="44"/>
  <c r="ET227" i="44"/>
  <c r="ET226" i="44"/>
  <c r="ET225" i="44"/>
  <c r="ET224" i="44"/>
  <c r="ET223" i="44"/>
  <c r="ET222" i="44"/>
  <c r="ET221" i="44"/>
  <c r="ET220" i="44"/>
  <c r="ET219" i="44"/>
  <c r="ET218" i="44"/>
  <c r="ET217" i="44"/>
  <c r="ET216" i="44"/>
  <c r="ET215" i="44"/>
  <c r="ET214" i="44"/>
  <c r="ET213" i="44"/>
  <c r="ET212" i="44"/>
  <c r="ET211" i="44"/>
  <c r="ET210" i="44"/>
  <c r="ET209" i="44"/>
  <c r="ET208" i="44"/>
  <c r="ET207" i="44"/>
  <c r="ET206" i="44"/>
  <c r="ET205" i="44"/>
  <c r="ET204" i="44"/>
  <c r="ET203" i="44"/>
  <c r="ET202" i="44"/>
  <c r="ET201" i="44"/>
  <c r="ET200" i="44"/>
  <c r="ET199" i="44"/>
  <c r="ET198" i="44"/>
  <c r="ET197" i="44"/>
  <c r="ET196" i="44"/>
  <c r="ET195" i="44"/>
  <c r="ET194" i="44"/>
  <c r="ET193" i="44"/>
  <c r="ET192" i="44"/>
  <c r="ET191" i="44"/>
  <c r="ET190" i="44"/>
  <c r="ET189" i="44"/>
  <c r="ET188" i="44"/>
  <c r="ET187" i="44"/>
  <c r="ET186" i="44"/>
  <c r="ET185" i="44"/>
  <c r="ET184" i="44"/>
  <c r="ET183" i="44"/>
  <c r="ET182" i="44"/>
  <c r="ET181" i="44"/>
  <c r="ET180" i="44"/>
  <c r="ET179" i="44"/>
  <c r="ET178" i="44"/>
  <c r="ET177" i="44"/>
  <c r="ET176" i="44"/>
  <c r="ET175" i="44"/>
  <c r="ET174" i="44"/>
  <c r="ET173" i="44"/>
  <c r="ET172" i="44"/>
  <c r="ET171" i="44"/>
  <c r="ET170" i="44"/>
  <c r="ET169" i="44"/>
  <c r="ET168" i="44"/>
  <c r="ET167" i="44"/>
  <c r="ET166" i="44"/>
  <c r="ET165" i="44"/>
  <c r="ET164" i="44"/>
  <c r="ET163" i="44"/>
  <c r="ET162" i="44"/>
  <c r="ET161" i="44"/>
  <c r="ET160" i="44"/>
  <c r="ET159" i="44"/>
  <c r="ET157" i="44"/>
  <c r="ET156" i="44"/>
  <c r="ET155" i="44"/>
  <c r="ET154" i="44"/>
  <c r="ET153" i="44"/>
  <c r="ET152" i="44"/>
  <c r="ET151" i="44"/>
  <c r="ET150" i="44"/>
  <c r="ET149" i="44"/>
  <c r="ET148" i="44"/>
  <c r="ET147" i="44"/>
  <c r="ET146" i="44"/>
  <c r="ET145" i="44"/>
  <c r="ET144" i="44"/>
  <c r="ET143" i="44"/>
  <c r="ET142" i="44"/>
  <c r="ET141" i="44"/>
  <c r="ET140" i="44"/>
  <c r="ET139" i="44"/>
  <c r="ET138" i="44"/>
  <c r="ET137" i="44"/>
  <c r="ET136" i="44"/>
  <c r="ET135" i="44"/>
  <c r="ET134" i="44"/>
  <c r="ET133" i="44"/>
  <c r="ET132" i="44"/>
  <c r="ET131" i="44"/>
  <c r="ET130" i="44"/>
  <c r="ET129" i="44"/>
  <c r="ET128" i="44"/>
  <c r="ET127" i="44"/>
  <c r="ET126" i="44"/>
  <c r="ET125" i="44"/>
  <c r="ET124" i="44"/>
  <c r="ET123" i="44"/>
  <c r="ET122" i="44"/>
  <c r="ET121" i="44"/>
  <c r="ET120" i="44"/>
  <c r="ET119" i="44"/>
  <c r="ET118" i="44"/>
  <c r="ET117" i="44"/>
  <c r="ET116" i="44"/>
  <c r="ET115" i="44"/>
  <c r="ET114" i="44"/>
  <c r="ET113" i="44"/>
  <c r="ET112" i="44"/>
  <c r="ET111" i="44"/>
  <c r="ET110" i="44"/>
  <c r="ET109" i="44"/>
  <c r="ET108" i="44"/>
  <c r="ET107" i="44"/>
  <c r="ET106" i="44"/>
  <c r="ET105" i="44"/>
  <c r="ET104" i="44"/>
  <c r="ET103" i="44"/>
  <c r="ET102" i="44"/>
  <c r="ET101" i="44"/>
  <c r="ET100" i="44"/>
  <c r="ET99" i="44"/>
  <c r="ET98" i="44"/>
  <c r="ET97" i="44"/>
  <c r="ET96" i="44"/>
  <c r="ET95" i="44"/>
  <c r="ET94" i="44"/>
  <c r="ET92" i="44"/>
  <c r="ET91" i="44"/>
  <c r="ET90" i="44"/>
  <c r="ET89" i="44"/>
  <c r="ET88" i="44"/>
  <c r="ET87" i="44"/>
  <c r="ET86" i="44"/>
  <c r="ET84" i="44"/>
  <c r="ET83" i="44"/>
  <c r="ET82" i="44"/>
  <c r="ET81" i="44"/>
  <c r="ET80" i="44"/>
  <c r="ET79" i="44"/>
  <c r="ET78" i="44"/>
  <c r="ET77" i="44"/>
  <c r="ET76" i="44"/>
  <c r="ET75" i="44"/>
  <c r="ET74" i="44"/>
  <c r="ET73" i="44"/>
  <c r="ET72" i="44"/>
  <c r="ET71" i="44"/>
  <c r="ET70" i="44"/>
  <c r="ET69" i="44"/>
  <c r="ET68" i="44"/>
  <c r="ET67" i="44"/>
  <c r="ET66" i="44"/>
  <c r="ET65" i="44"/>
  <c r="ET64" i="44"/>
  <c r="ET63" i="44"/>
  <c r="ET62" i="44"/>
  <c r="ET60" i="44"/>
  <c r="ET59" i="44"/>
  <c r="ET58" i="44"/>
  <c r="ET55" i="44"/>
  <c r="ET54" i="44"/>
  <c r="ET53" i="44"/>
  <c r="ET52" i="44"/>
  <c r="ET51" i="44"/>
  <c r="ET50" i="44"/>
  <c r="ET49" i="44"/>
  <c r="ET48" i="44"/>
  <c r="ET47" i="44"/>
  <c r="ET46" i="44"/>
  <c r="ET45" i="44"/>
  <c r="ET44" i="44"/>
  <c r="ET43" i="44"/>
  <c r="ET42" i="44"/>
  <c r="ET41" i="44"/>
  <c r="ET40" i="44"/>
  <c r="ET39" i="44"/>
  <c r="ET38" i="44"/>
  <c r="ET37" i="44"/>
  <c r="ET36" i="44"/>
  <c r="ET35" i="44"/>
  <c r="ET34" i="44"/>
  <c r="ET30" i="44"/>
  <c r="ET29" i="44"/>
  <c r="ET28" i="44"/>
  <c r="ET27" i="44"/>
  <c r="ET26" i="44"/>
  <c r="ET25" i="44"/>
  <c r="ET24" i="44"/>
  <c r="ET23" i="44"/>
  <c r="ET20" i="44"/>
  <c r="ET19" i="44"/>
  <c r="ET18" i="44"/>
  <c r="ET17" i="44"/>
  <c r="ET16" i="44"/>
  <c r="ET15" i="44"/>
  <c r="ET14" i="44"/>
  <c r="ET13" i="44"/>
  <c r="ET12" i="44"/>
  <c r="ET11" i="44"/>
  <c r="BA80" i="31"/>
  <c r="BA79" i="31"/>
  <c r="BA77" i="31"/>
  <c r="BA76" i="31"/>
  <c r="BA75" i="31"/>
  <c r="BA74" i="31"/>
  <c r="BA73" i="31"/>
  <c r="BA72" i="31"/>
  <c r="BA70" i="31"/>
  <c r="BA69" i="31"/>
  <c r="BA68" i="31"/>
  <c r="BA67" i="31"/>
  <c r="BA66" i="31"/>
  <c r="BA65" i="31"/>
  <c r="BA62" i="31"/>
  <c r="BA61" i="31"/>
  <c r="BA60" i="31"/>
  <c r="BA58" i="31"/>
  <c r="BA56" i="31"/>
  <c r="BA55" i="31"/>
  <c r="BA54" i="31"/>
  <c r="BA53" i="31"/>
  <c r="BA52" i="31"/>
  <c r="BA51" i="31"/>
  <c r="BA50" i="31"/>
  <c r="BA48" i="31"/>
  <c r="BA47" i="31"/>
  <c r="BA44" i="31"/>
  <c r="BA43" i="31"/>
  <c r="BA42" i="31"/>
  <c r="BA41" i="31"/>
  <c r="BA39" i="31"/>
  <c r="BA38" i="31"/>
  <c r="BA37" i="31"/>
  <c r="BA36" i="31"/>
  <c r="BA35" i="31"/>
  <c r="BA34" i="31"/>
  <c r="BA33" i="31"/>
  <c r="BA32" i="31"/>
  <c r="BA31" i="31"/>
  <c r="BA30" i="31"/>
  <c r="BA29" i="31"/>
  <c r="BA28" i="31"/>
  <c r="BA27" i="31"/>
  <c r="BA26" i="31"/>
  <c r="BA25" i="31"/>
  <c r="BA24" i="31"/>
  <c r="BA23" i="31"/>
  <c r="BA22" i="31"/>
  <c r="BA21" i="31"/>
  <c r="BA20" i="31"/>
  <c r="BA19" i="31"/>
  <c r="BA18" i="31"/>
  <c r="BA17" i="31"/>
  <c r="BA16" i="31"/>
  <c r="BA15" i="31"/>
  <c r="BA14" i="31"/>
  <c r="BA13" i="31"/>
  <c r="BA12" i="31"/>
  <c r="BA11" i="31"/>
  <c r="BA10" i="31"/>
  <c r="BA9" i="31"/>
  <c r="BA8" i="31"/>
  <c r="BA7" i="31"/>
  <c r="EU82" i="31"/>
  <c r="ET82" i="31"/>
  <c r="EU81" i="31"/>
  <c r="ET81" i="31"/>
  <c r="EU80" i="31"/>
  <c r="ET80" i="31"/>
  <c r="EU79" i="31"/>
  <c r="ET79" i="31"/>
  <c r="EU78" i="31"/>
  <c r="ET78" i="31"/>
  <c r="EU77" i="31"/>
  <c r="ET77" i="31"/>
  <c r="EU76" i="31"/>
  <c r="ET76" i="31"/>
  <c r="EU75" i="31"/>
  <c r="ET75" i="31"/>
  <c r="EU74" i="31"/>
  <c r="ET74" i="31"/>
  <c r="EU73" i="31"/>
  <c r="ET73" i="31"/>
  <c r="EU72" i="31"/>
  <c r="ET72" i="31"/>
  <c r="EU71" i="31"/>
  <c r="ET71" i="31"/>
  <c r="EU70" i="31"/>
  <c r="ET70" i="31"/>
  <c r="EU69" i="31"/>
  <c r="ET69" i="31"/>
  <c r="EU68" i="31"/>
  <c r="ET68" i="31"/>
  <c r="EU67" i="31"/>
  <c r="ET67" i="31"/>
  <c r="EU66" i="31"/>
  <c r="ET66" i="31"/>
  <c r="EU65" i="31"/>
  <c r="ET65" i="31"/>
  <c r="EU64" i="31"/>
  <c r="ET64" i="31"/>
  <c r="EU63" i="31"/>
  <c r="ET63" i="31"/>
  <c r="EU62" i="31"/>
  <c r="ET62" i="31"/>
  <c r="EU61" i="31"/>
  <c r="ET61" i="31"/>
  <c r="EU60" i="31"/>
  <c r="ET60" i="31"/>
  <c r="EU59" i="31"/>
  <c r="ET59" i="31"/>
  <c r="EU58" i="31"/>
  <c r="ET58" i="31"/>
  <c r="EU57" i="31"/>
  <c r="ET57" i="31"/>
  <c r="EU56" i="31"/>
  <c r="ET56" i="31"/>
  <c r="ET55" i="31"/>
  <c r="ET54" i="31"/>
  <c r="EU53" i="31"/>
  <c r="ET53" i="31"/>
  <c r="EU52" i="31"/>
  <c r="ET52" i="31"/>
  <c r="EU51" i="31"/>
  <c r="ET51" i="31"/>
  <c r="EU50" i="31"/>
  <c r="ET50" i="31"/>
  <c r="EU49" i="31"/>
  <c r="ET49" i="31"/>
  <c r="EU48" i="31"/>
  <c r="ET48" i="31"/>
  <c r="EU47" i="31"/>
  <c r="ET47" i="31"/>
  <c r="EU46" i="31"/>
  <c r="ET46" i="31"/>
  <c r="EU45" i="31"/>
  <c r="ET45" i="31"/>
  <c r="EU44" i="31"/>
  <c r="ET44" i="31"/>
  <c r="EU43" i="31"/>
  <c r="ET43" i="31"/>
  <c r="EU42" i="31"/>
  <c r="ET42" i="31"/>
  <c r="EU41" i="31"/>
  <c r="ET41" i="31"/>
  <c r="EU40" i="31"/>
  <c r="ET40" i="31"/>
  <c r="EU39" i="31"/>
  <c r="ET39" i="31"/>
  <c r="EU38" i="31"/>
  <c r="ET38" i="31"/>
  <c r="EU37" i="31"/>
  <c r="ET37" i="31"/>
  <c r="EU36" i="31"/>
  <c r="ET36" i="31"/>
  <c r="EU35" i="31"/>
  <c r="ET35" i="31"/>
  <c r="EU34" i="31"/>
  <c r="ET34" i="31"/>
  <c r="EU33" i="31"/>
  <c r="ET33" i="31"/>
  <c r="EU32" i="31"/>
  <c r="ET32" i="31"/>
  <c r="EU31" i="31"/>
  <c r="ET31" i="31"/>
  <c r="EU30" i="31"/>
  <c r="ET30" i="31"/>
  <c r="EU29" i="31"/>
  <c r="ET29" i="31"/>
  <c r="EU28" i="31"/>
  <c r="ET28" i="31"/>
  <c r="EU27" i="31"/>
  <c r="ET27" i="31"/>
  <c r="EU26" i="31"/>
  <c r="ET26" i="31"/>
  <c r="EU25" i="31"/>
  <c r="ET25" i="31"/>
  <c r="EU24" i="31"/>
  <c r="ET24" i="31"/>
  <c r="EU23" i="31"/>
  <c r="ET23" i="31"/>
  <c r="EU22" i="31"/>
  <c r="ET22" i="31"/>
  <c r="EU21" i="31"/>
  <c r="ET21" i="31"/>
  <c r="EU20" i="31"/>
  <c r="ET20" i="31"/>
  <c r="EU19" i="31"/>
  <c r="ET19" i="31"/>
  <c r="EU18" i="31"/>
  <c r="ET18" i="31"/>
  <c r="EU17" i="31"/>
  <c r="ET17" i="31"/>
  <c r="EU16" i="31"/>
  <c r="ET16" i="31"/>
  <c r="EU15" i="31"/>
  <c r="ET15" i="31"/>
  <c r="EU14" i="31"/>
  <c r="ET14" i="31"/>
  <c r="EU13" i="31"/>
  <c r="ET13" i="31"/>
  <c r="EU12" i="31"/>
  <c r="ET12" i="31"/>
  <c r="EU11" i="31"/>
  <c r="ET11" i="31"/>
  <c r="EU10" i="31"/>
  <c r="ET10" i="31"/>
  <c r="EU9" i="31"/>
  <c r="ET9" i="31"/>
  <c r="EU8" i="31"/>
  <c r="ET8" i="31"/>
  <c r="EU7" i="31"/>
  <c r="ET7" i="31"/>
  <c r="EU6" i="31"/>
  <c r="ET6" i="31"/>
  <c r="ET98" i="45"/>
  <c r="ET97" i="45"/>
  <c r="ET96" i="45"/>
  <c r="ET95" i="45"/>
  <c r="ET94" i="45"/>
  <c r="ET93" i="45"/>
  <c r="ET92" i="45"/>
  <c r="ET91" i="45"/>
  <c r="ET90" i="45"/>
  <c r="ET89" i="45"/>
  <c r="ET88" i="45"/>
  <c r="ET87" i="45"/>
  <c r="ET86" i="45"/>
  <c r="ET85" i="45"/>
  <c r="ET84" i="45"/>
  <c r="ET83" i="45"/>
  <c r="ET82" i="45"/>
  <c r="ET81" i="45"/>
  <c r="ET80" i="45"/>
  <c r="ET79" i="45"/>
  <c r="ET78" i="45"/>
  <c r="ET77" i="45"/>
  <c r="ET76" i="45"/>
  <c r="ET75" i="45"/>
  <c r="ET74" i="45"/>
  <c r="ET73" i="45"/>
  <c r="ET72" i="45"/>
  <c r="ET71" i="45"/>
  <c r="ET70" i="45"/>
  <c r="ET69" i="45"/>
  <c r="ET68" i="45"/>
  <c r="ET67" i="45"/>
  <c r="ET66" i="45"/>
  <c r="ET65" i="45"/>
  <c r="ET64" i="45"/>
  <c r="ET63" i="45"/>
  <c r="ET62" i="45"/>
  <c r="ET61" i="45"/>
  <c r="ET60" i="45"/>
  <c r="ET59" i="45"/>
  <c r="ET58" i="45"/>
  <c r="ET57" i="45"/>
  <c r="ET56" i="45"/>
  <c r="ET55" i="45"/>
  <c r="ET54" i="45"/>
  <c r="ET53" i="45"/>
  <c r="ET52" i="45"/>
  <c r="ET51" i="45"/>
  <c r="ET50" i="45"/>
  <c r="ET49" i="45"/>
  <c r="ET48" i="45"/>
  <c r="ET47" i="45"/>
  <c r="ET46" i="45"/>
  <c r="ET45" i="45"/>
  <c r="ET44" i="45"/>
  <c r="ET43" i="45"/>
  <c r="ET42" i="45"/>
  <c r="ET41" i="45"/>
  <c r="ET40" i="45"/>
  <c r="ET39" i="45"/>
  <c r="ET38" i="45"/>
  <c r="ET37" i="45"/>
  <c r="ET36" i="45"/>
  <c r="ET35" i="45"/>
  <c r="ET34" i="45"/>
  <c r="ET33" i="45"/>
  <c r="ET32" i="45"/>
  <c r="ET31" i="45"/>
  <c r="ET30" i="45"/>
  <c r="ET29" i="45"/>
  <c r="ET28" i="45"/>
  <c r="ET27" i="45"/>
  <c r="ET26" i="45"/>
  <c r="ET25" i="45"/>
  <c r="ET24" i="45"/>
  <c r="ET23" i="45"/>
  <c r="ET22" i="45"/>
  <c r="ET20" i="45"/>
  <c r="ET8" i="45"/>
  <c r="BA95" i="45"/>
  <c r="BA94" i="45"/>
  <c r="BA93" i="45"/>
  <c r="BA92" i="45"/>
  <c r="BA91" i="45"/>
  <c r="BA90" i="45"/>
  <c r="BA89" i="45"/>
  <c r="BA88" i="45"/>
  <c r="BA87" i="45"/>
  <c r="BA86" i="45"/>
  <c r="BA85" i="45"/>
  <c r="BA84" i="45"/>
  <c r="BA83" i="45"/>
  <c r="BA82" i="45"/>
  <c r="BA81" i="45"/>
  <c r="BA80" i="45"/>
  <c r="BA79" i="45"/>
  <c r="BA78" i="45"/>
  <c r="BA77" i="45"/>
  <c r="BA76" i="45"/>
  <c r="BA75" i="45"/>
  <c r="BA74" i="45"/>
  <c r="BA73" i="45"/>
  <c r="BA72" i="45"/>
  <c r="BA71" i="45"/>
  <c r="BA70" i="45"/>
  <c r="BA69" i="45"/>
  <c r="BA68" i="45"/>
  <c r="BA67" i="45"/>
  <c r="BA66" i="45"/>
  <c r="BA63" i="45"/>
  <c r="BA62" i="45"/>
  <c r="BA61" i="45"/>
  <c r="BA58" i="45"/>
  <c r="BA57" i="45"/>
  <c r="BA56" i="45"/>
  <c r="BA53" i="45"/>
  <c r="BA52" i="45"/>
  <c r="BA51" i="45"/>
  <c r="BA50" i="45"/>
  <c r="BA46" i="45"/>
  <c r="BA45" i="45"/>
  <c r="BA44" i="45"/>
  <c r="BA43" i="45"/>
  <c r="BA42" i="45"/>
  <c r="BA41" i="45"/>
  <c r="BA39" i="45"/>
  <c r="BA38" i="45"/>
  <c r="BA37" i="45"/>
  <c r="BA36" i="45"/>
  <c r="BA35" i="45"/>
  <c r="BA34" i="45"/>
  <c r="BA33" i="45"/>
  <c r="BA32" i="45"/>
  <c r="BA31" i="45"/>
  <c r="BA30" i="45"/>
  <c r="BA25" i="45"/>
  <c r="BA24" i="45"/>
  <c r="BA23" i="45"/>
  <c r="BA22" i="45"/>
  <c r="BA21" i="45"/>
  <c r="BA16" i="45"/>
  <c r="BA15" i="45"/>
  <c r="BA14" i="45"/>
  <c r="BA13" i="45"/>
  <c r="BA12" i="45"/>
  <c r="BA11" i="45"/>
  <c r="BA10" i="45"/>
  <c r="BA9" i="45"/>
  <c r="AF56" i="31"/>
  <c r="AE56" i="31"/>
  <c r="ET283" i="39" l="1"/>
  <c r="ET289" i="39" s="1"/>
  <c r="ET85" i="31"/>
  <c r="ET91" i="31" s="1"/>
  <c r="GL82" i="31"/>
  <c r="GL81" i="31"/>
  <c r="GL80" i="31"/>
  <c r="GL79" i="31"/>
  <c r="GL78" i="31"/>
  <c r="GL77" i="31"/>
  <c r="GL76" i="31"/>
  <c r="GL75" i="31"/>
  <c r="GL74" i="31"/>
  <c r="GL73" i="31"/>
  <c r="GL72" i="31"/>
  <c r="GL71" i="31"/>
  <c r="GL70" i="31"/>
  <c r="GL69" i="31"/>
  <c r="GL68" i="31"/>
  <c r="GL67" i="31"/>
  <c r="GL66" i="31"/>
  <c r="GL65" i="31"/>
  <c r="GL64" i="31"/>
  <c r="GL63" i="31"/>
  <c r="GL62" i="31"/>
  <c r="GL61" i="31"/>
  <c r="GL60" i="31"/>
  <c r="GL59" i="31"/>
  <c r="GL58" i="31"/>
  <c r="GL57" i="31"/>
  <c r="GL56" i="31"/>
  <c r="GL55" i="31"/>
  <c r="GL54" i="31"/>
  <c r="GL53" i="31"/>
  <c r="GL52" i="31"/>
  <c r="GL51" i="31"/>
  <c r="GL50" i="31"/>
  <c r="GL49" i="31"/>
  <c r="GL48" i="31"/>
  <c r="GL47" i="31"/>
  <c r="GL46" i="31"/>
  <c r="GL45" i="31"/>
  <c r="GL44" i="31"/>
  <c r="GL43" i="31"/>
  <c r="GL42" i="31"/>
  <c r="GL41" i="31"/>
  <c r="GL40" i="31"/>
  <c r="GL39" i="31"/>
  <c r="GL38" i="31"/>
  <c r="GL37" i="31"/>
  <c r="GL36" i="31"/>
  <c r="GL35" i="31"/>
  <c r="GL34" i="31"/>
  <c r="GL33" i="31"/>
  <c r="GL32" i="31"/>
  <c r="GL31" i="31"/>
  <c r="GL30" i="31"/>
  <c r="GL29" i="31"/>
  <c r="GL28" i="31"/>
  <c r="GL27" i="31"/>
  <c r="GL26" i="31"/>
  <c r="GL25" i="31"/>
  <c r="GL24" i="31"/>
  <c r="GL23" i="31"/>
  <c r="GL22" i="31"/>
  <c r="GL21" i="31"/>
  <c r="GL20" i="31"/>
  <c r="GL19" i="31"/>
  <c r="GL18" i="31"/>
  <c r="GL17" i="31"/>
  <c r="GL16" i="31"/>
  <c r="GL15" i="31"/>
  <c r="GL14" i="31"/>
  <c r="GL13" i="31"/>
  <c r="GL12" i="31"/>
  <c r="GL11" i="31"/>
  <c r="GL10" i="31"/>
  <c r="GL9" i="31"/>
  <c r="GL8" i="31"/>
  <c r="GL7" i="31"/>
  <c r="GL6" i="31"/>
  <c r="GM98" i="45"/>
  <c r="GL98" i="45"/>
  <c r="GK98" i="45"/>
  <c r="GJ98" i="45"/>
  <c r="GI98" i="45"/>
  <c r="GH98" i="45"/>
  <c r="GG98" i="45"/>
  <c r="GF98" i="45"/>
  <c r="GE98" i="45"/>
  <c r="GD98" i="45"/>
  <c r="GC98" i="45"/>
  <c r="GB98" i="45"/>
  <c r="GA98" i="45"/>
  <c r="FZ98" i="45"/>
  <c r="FY98" i="45"/>
  <c r="FX98" i="45"/>
  <c r="FW98" i="45"/>
  <c r="FV98" i="45"/>
  <c r="FU98" i="45"/>
  <c r="GM97" i="45"/>
  <c r="GL97" i="45"/>
  <c r="GK97" i="45"/>
  <c r="GJ97" i="45"/>
  <c r="GI97" i="45"/>
  <c r="GH97" i="45"/>
  <c r="GG97" i="45"/>
  <c r="GF97" i="45"/>
  <c r="GE97" i="45"/>
  <c r="GD97" i="45"/>
  <c r="GC97" i="45"/>
  <c r="GB97" i="45"/>
  <c r="GA97" i="45"/>
  <c r="FZ97" i="45"/>
  <c r="FY97" i="45"/>
  <c r="FX97" i="45"/>
  <c r="FW97" i="45"/>
  <c r="FV97" i="45"/>
  <c r="FU97" i="45"/>
  <c r="GM96" i="45"/>
  <c r="GL96" i="45"/>
  <c r="GK96" i="45"/>
  <c r="GJ96" i="45"/>
  <c r="GI96" i="45"/>
  <c r="GH96" i="45"/>
  <c r="GG96" i="45"/>
  <c r="GF96" i="45"/>
  <c r="GE96" i="45"/>
  <c r="GD96" i="45"/>
  <c r="GC96" i="45"/>
  <c r="GB96" i="45"/>
  <c r="GA96" i="45"/>
  <c r="FZ96" i="45"/>
  <c r="FY96" i="45"/>
  <c r="FX96" i="45"/>
  <c r="FW96" i="45"/>
  <c r="FV96" i="45"/>
  <c r="FU96" i="45"/>
  <c r="GM95" i="45"/>
  <c r="GL95" i="45"/>
  <c r="GK95" i="45"/>
  <c r="GJ95" i="45"/>
  <c r="GI95" i="45"/>
  <c r="GH95" i="45"/>
  <c r="GG95" i="45"/>
  <c r="GF95" i="45"/>
  <c r="GE95" i="45"/>
  <c r="GD95" i="45"/>
  <c r="GC95" i="45"/>
  <c r="GB95" i="45"/>
  <c r="GA95" i="45"/>
  <c r="FZ95" i="45"/>
  <c r="FY95" i="45"/>
  <c r="FX95" i="45"/>
  <c r="FW95" i="45"/>
  <c r="FV95" i="45"/>
  <c r="FU95" i="45"/>
  <c r="GM94" i="45"/>
  <c r="GL94" i="45"/>
  <c r="GK94" i="45"/>
  <c r="GJ94" i="45"/>
  <c r="GI94" i="45"/>
  <c r="GH94" i="45"/>
  <c r="GG94" i="45"/>
  <c r="GF94" i="45"/>
  <c r="GE94" i="45"/>
  <c r="GD94" i="45"/>
  <c r="GC94" i="45"/>
  <c r="GB94" i="45"/>
  <c r="GA94" i="45"/>
  <c r="FZ94" i="45"/>
  <c r="FY94" i="45"/>
  <c r="FX94" i="45"/>
  <c r="FW94" i="45"/>
  <c r="FV94" i="45"/>
  <c r="FU94" i="45"/>
  <c r="GM93" i="45"/>
  <c r="GL93" i="45"/>
  <c r="GK93" i="45"/>
  <c r="GJ93" i="45"/>
  <c r="GI93" i="45"/>
  <c r="GH93" i="45"/>
  <c r="GG93" i="45"/>
  <c r="GF93" i="45"/>
  <c r="GE93" i="45"/>
  <c r="GD93" i="45"/>
  <c r="GC93" i="45"/>
  <c r="GB93" i="45"/>
  <c r="GA93" i="45"/>
  <c r="FZ93" i="45"/>
  <c r="FY93" i="45"/>
  <c r="FX93" i="45"/>
  <c r="FW93" i="45"/>
  <c r="FV93" i="45"/>
  <c r="FU93" i="45"/>
  <c r="GM92" i="45"/>
  <c r="GL92" i="45"/>
  <c r="GK92" i="45"/>
  <c r="GJ92" i="45"/>
  <c r="GI92" i="45"/>
  <c r="GH92" i="45"/>
  <c r="GG92" i="45"/>
  <c r="GF92" i="45"/>
  <c r="GE92" i="45"/>
  <c r="GD92" i="45"/>
  <c r="GC92" i="45"/>
  <c r="GB92" i="45"/>
  <c r="GA92" i="45"/>
  <c r="FZ92" i="45"/>
  <c r="FY92" i="45"/>
  <c r="FX92" i="45"/>
  <c r="FW92" i="45"/>
  <c r="FV92" i="45"/>
  <c r="FU92" i="45"/>
  <c r="GM91" i="45"/>
  <c r="GL91" i="45"/>
  <c r="GK91" i="45"/>
  <c r="GJ91" i="45"/>
  <c r="GI91" i="45"/>
  <c r="GH91" i="45"/>
  <c r="GG91" i="45"/>
  <c r="GF91" i="45"/>
  <c r="GE91" i="45"/>
  <c r="GD91" i="45"/>
  <c r="GC91" i="45"/>
  <c r="GB91" i="45"/>
  <c r="GA91" i="45"/>
  <c r="FZ91" i="45"/>
  <c r="FY91" i="45"/>
  <c r="FX91" i="45"/>
  <c r="FW91" i="45"/>
  <c r="FV91" i="45"/>
  <c r="FU91" i="45"/>
  <c r="GM90" i="45"/>
  <c r="GL90" i="45"/>
  <c r="GK90" i="45"/>
  <c r="GJ90" i="45"/>
  <c r="GI90" i="45"/>
  <c r="GH90" i="45"/>
  <c r="GG90" i="45"/>
  <c r="GF90" i="45"/>
  <c r="GE90" i="45"/>
  <c r="GD90" i="45"/>
  <c r="GC90" i="45"/>
  <c r="GB90" i="45"/>
  <c r="GA90" i="45"/>
  <c r="FZ90" i="45"/>
  <c r="FY90" i="45"/>
  <c r="FX90" i="45"/>
  <c r="FW90" i="45"/>
  <c r="FV90" i="45"/>
  <c r="FU90" i="45"/>
  <c r="GM89" i="45"/>
  <c r="GL89" i="45"/>
  <c r="GK89" i="45"/>
  <c r="GJ89" i="45"/>
  <c r="GI89" i="45"/>
  <c r="GH89" i="45"/>
  <c r="GG89" i="45"/>
  <c r="GF89" i="45"/>
  <c r="GE89" i="45"/>
  <c r="GD89" i="45"/>
  <c r="GC89" i="45"/>
  <c r="GB89" i="45"/>
  <c r="GA89" i="45"/>
  <c r="FZ89" i="45"/>
  <c r="FY89" i="45"/>
  <c r="FX89" i="45"/>
  <c r="FW89" i="45"/>
  <c r="FV89" i="45"/>
  <c r="FU89" i="45"/>
  <c r="GM88" i="45"/>
  <c r="GL88" i="45"/>
  <c r="GK88" i="45"/>
  <c r="GJ88" i="45"/>
  <c r="GI88" i="45"/>
  <c r="GH88" i="45"/>
  <c r="GG88" i="45"/>
  <c r="GF88" i="45"/>
  <c r="GE88" i="45"/>
  <c r="GD88" i="45"/>
  <c r="GC88" i="45"/>
  <c r="GB88" i="45"/>
  <c r="GA88" i="45"/>
  <c r="FZ88" i="45"/>
  <c r="FY88" i="45"/>
  <c r="FX88" i="45"/>
  <c r="FW88" i="45"/>
  <c r="FV88" i="45"/>
  <c r="FU88" i="45"/>
  <c r="GM87" i="45"/>
  <c r="GL87" i="45"/>
  <c r="GK87" i="45"/>
  <c r="GJ87" i="45"/>
  <c r="GI87" i="45"/>
  <c r="GH87" i="45"/>
  <c r="GG87" i="45"/>
  <c r="GF87" i="45"/>
  <c r="GE87" i="45"/>
  <c r="GD87" i="45"/>
  <c r="GC87" i="45"/>
  <c r="GB87" i="45"/>
  <c r="GA87" i="45"/>
  <c r="FZ87" i="45"/>
  <c r="FY87" i="45"/>
  <c r="FX87" i="45"/>
  <c r="FW87" i="45"/>
  <c r="FV87" i="45"/>
  <c r="FU87" i="45"/>
  <c r="GM86" i="45"/>
  <c r="GL86" i="45"/>
  <c r="GK86" i="45"/>
  <c r="GJ86" i="45"/>
  <c r="GI86" i="45"/>
  <c r="GH86" i="45"/>
  <c r="GG86" i="45"/>
  <c r="GF86" i="45"/>
  <c r="GE86" i="45"/>
  <c r="GD86" i="45"/>
  <c r="GC86" i="45"/>
  <c r="GB86" i="45"/>
  <c r="GA86" i="45"/>
  <c r="FZ86" i="45"/>
  <c r="FY86" i="45"/>
  <c r="FX86" i="45"/>
  <c r="FW86" i="45"/>
  <c r="FV86" i="45"/>
  <c r="FU86" i="45"/>
  <c r="GM85" i="45"/>
  <c r="GL85" i="45"/>
  <c r="GK85" i="45"/>
  <c r="GJ85" i="45"/>
  <c r="GI85" i="45"/>
  <c r="GH85" i="45"/>
  <c r="GG85" i="45"/>
  <c r="GF85" i="45"/>
  <c r="GE85" i="45"/>
  <c r="GD85" i="45"/>
  <c r="GC85" i="45"/>
  <c r="GB85" i="45"/>
  <c r="GA85" i="45"/>
  <c r="FZ85" i="45"/>
  <c r="FY85" i="45"/>
  <c r="FX85" i="45"/>
  <c r="FW85" i="45"/>
  <c r="FV85" i="45"/>
  <c r="FU85" i="45"/>
  <c r="GM84" i="45"/>
  <c r="GL84" i="45"/>
  <c r="GK84" i="45"/>
  <c r="GJ84" i="45"/>
  <c r="GI84" i="45"/>
  <c r="GH84" i="45"/>
  <c r="GG84" i="45"/>
  <c r="GF84" i="45"/>
  <c r="GE84" i="45"/>
  <c r="GD84" i="45"/>
  <c r="GC84" i="45"/>
  <c r="GB84" i="45"/>
  <c r="GA84" i="45"/>
  <c r="FZ84" i="45"/>
  <c r="FY84" i="45"/>
  <c r="FX84" i="45"/>
  <c r="FW84" i="45"/>
  <c r="FV84" i="45"/>
  <c r="FU84" i="45"/>
  <c r="GM83" i="45"/>
  <c r="GL83" i="45"/>
  <c r="GK83" i="45"/>
  <c r="GJ83" i="45"/>
  <c r="GI83" i="45"/>
  <c r="GH83" i="45"/>
  <c r="GG83" i="45"/>
  <c r="GF83" i="45"/>
  <c r="GE83" i="45"/>
  <c r="GD83" i="45"/>
  <c r="GC83" i="45"/>
  <c r="GB83" i="45"/>
  <c r="GA83" i="45"/>
  <c r="FZ83" i="45"/>
  <c r="FY83" i="45"/>
  <c r="FX83" i="45"/>
  <c r="FW83" i="45"/>
  <c r="FV83" i="45"/>
  <c r="FU83" i="45"/>
  <c r="GM82" i="45"/>
  <c r="GL82" i="45"/>
  <c r="GK82" i="45"/>
  <c r="GJ82" i="45"/>
  <c r="GI82" i="45"/>
  <c r="GH82" i="45"/>
  <c r="GG82" i="45"/>
  <c r="GF82" i="45"/>
  <c r="GE82" i="45"/>
  <c r="GD82" i="45"/>
  <c r="GC82" i="45"/>
  <c r="GB82" i="45"/>
  <c r="GA82" i="45"/>
  <c r="FZ82" i="45"/>
  <c r="FY82" i="45"/>
  <c r="FX82" i="45"/>
  <c r="FW82" i="45"/>
  <c r="FV82" i="45"/>
  <c r="FU82" i="45"/>
  <c r="GM81" i="45"/>
  <c r="GL81" i="45"/>
  <c r="GK81" i="45"/>
  <c r="GJ81" i="45"/>
  <c r="GI81" i="45"/>
  <c r="GH81" i="45"/>
  <c r="GG81" i="45"/>
  <c r="GF81" i="45"/>
  <c r="GE81" i="45"/>
  <c r="GD81" i="45"/>
  <c r="GC81" i="45"/>
  <c r="GB81" i="45"/>
  <c r="GA81" i="45"/>
  <c r="FZ81" i="45"/>
  <c r="FY81" i="45"/>
  <c r="FX81" i="45"/>
  <c r="FW81" i="45"/>
  <c r="FV81" i="45"/>
  <c r="FU81" i="45"/>
  <c r="GM80" i="45"/>
  <c r="GL80" i="45"/>
  <c r="GK80" i="45"/>
  <c r="GJ80" i="45"/>
  <c r="GI80" i="45"/>
  <c r="GH80" i="45"/>
  <c r="GG80" i="45"/>
  <c r="GF80" i="45"/>
  <c r="GE80" i="45"/>
  <c r="GD80" i="45"/>
  <c r="GC80" i="45"/>
  <c r="GB80" i="45"/>
  <c r="GA80" i="45"/>
  <c r="FZ80" i="45"/>
  <c r="FY80" i="45"/>
  <c r="FX80" i="45"/>
  <c r="FW80" i="45"/>
  <c r="FV80" i="45"/>
  <c r="FU80" i="45"/>
  <c r="GM79" i="45"/>
  <c r="GL79" i="45"/>
  <c r="GK79" i="45"/>
  <c r="GJ79" i="45"/>
  <c r="GI79" i="45"/>
  <c r="GH79" i="45"/>
  <c r="GG79" i="45"/>
  <c r="GF79" i="45"/>
  <c r="GE79" i="45"/>
  <c r="GD79" i="45"/>
  <c r="GC79" i="45"/>
  <c r="GB79" i="45"/>
  <c r="GA79" i="45"/>
  <c r="FZ79" i="45"/>
  <c r="FY79" i="45"/>
  <c r="FX79" i="45"/>
  <c r="FW79" i="45"/>
  <c r="FV79" i="45"/>
  <c r="FU79" i="45"/>
  <c r="GM78" i="45"/>
  <c r="GL78" i="45"/>
  <c r="GK78" i="45"/>
  <c r="GJ78" i="45"/>
  <c r="GI78" i="45"/>
  <c r="GH78" i="45"/>
  <c r="GG78" i="45"/>
  <c r="GF78" i="45"/>
  <c r="GE78" i="45"/>
  <c r="GD78" i="45"/>
  <c r="GC78" i="45"/>
  <c r="GB78" i="45"/>
  <c r="GA78" i="45"/>
  <c r="FZ78" i="45"/>
  <c r="FY78" i="45"/>
  <c r="FX78" i="45"/>
  <c r="FW78" i="45"/>
  <c r="FV78" i="45"/>
  <c r="FU78" i="45"/>
  <c r="GM77" i="45"/>
  <c r="GL77" i="45"/>
  <c r="GK77" i="45"/>
  <c r="GJ77" i="45"/>
  <c r="GI77" i="45"/>
  <c r="GH77" i="45"/>
  <c r="GG77" i="45"/>
  <c r="GF77" i="45"/>
  <c r="GE77" i="45"/>
  <c r="GD77" i="45"/>
  <c r="GC77" i="45"/>
  <c r="GB77" i="45"/>
  <c r="GA77" i="45"/>
  <c r="FZ77" i="45"/>
  <c r="FY77" i="45"/>
  <c r="FX77" i="45"/>
  <c r="FW77" i="45"/>
  <c r="FV77" i="45"/>
  <c r="FU77" i="45"/>
  <c r="GM76" i="45"/>
  <c r="GL76" i="45"/>
  <c r="GK76" i="45"/>
  <c r="GJ76" i="45"/>
  <c r="GI76" i="45"/>
  <c r="GH76" i="45"/>
  <c r="GG76" i="45"/>
  <c r="GF76" i="45"/>
  <c r="GE76" i="45"/>
  <c r="GD76" i="45"/>
  <c r="GC76" i="45"/>
  <c r="GB76" i="45"/>
  <c r="GA76" i="45"/>
  <c r="FZ76" i="45"/>
  <c r="FY76" i="45"/>
  <c r="FX76" i="45"/>
  <c r="FW76" i="45"/>
  <c r="FV76" i="45"/>
  <c r="FU76" i="45"/>
  <c r="GM75" i="45"/>
  <c r="GL75" i="45"/>
  <c r="GK75" i="45"/>
  <c r="GJ75" i="45"/>
  <c r="GI75" i="45"/>
  <c r="GH75" i="45"/>
  <c r="GG75" i="45"/>
  <c r="GF75" i="45"/>
  <c r="GE75" i="45"/>
  <c r="GD75" i="45"/>
  <c r="GC75" i="45"/>
  <c r="GB75" i="45"/>
  <c r="GA75" i="45"/>
  <c r="FZ75" i="45"/>
  <c r="FY75" i="45"/>
  <c r="FX75" i="45"/>
  <c r="FW75" i="45"/>
  <c r="FV75" i="45"/>
  <c r="FU75" i="45"/>
  <c r="GM74" i="45"/>
  <c r="GL74" i="45"/>
  <c r="GK74" i="45"/>
  <c r="GJ74" i="45"/>
  <c r="GI74" i="45"/>
  <c r="GH74" i="45"/>
  <c r="GG74" i="45"/>
  <c r="GF74" i="45"/>
  <c r="GE74" i="45"/>
  <c r="GD74" i="45"/>
  <c r="GC74" i="45"/>
  <c r="GB74" i="45"/>
  <c r="GA74" i="45"/>
  <c r="FZ74" i="45"/>
  <c r="FY74" i="45"/>
  <c r="FX74" i="45"/>
  <c r="FW74" i="45"/>
  <c r="FV74" i="45"/>
  <c r="FU74" i="45"/>
  <c r="GM73" i="45"/>
  <c r="GL73" i="45"/>
  <c r="GK73" i="45"/>
  <c r="GJ73" i="45"/>
  <c r="GI73" i="45"/>
  <c r="GH73" i="45"/>
  <c r="GG73" i="45"/>
  <c r="GF73" i="45"/>
  <c r="GE73" i="45"/>
  <c r="GD73" i="45"/>
  <c r="GC73" i="45"/>
  <c r="GB73" i="45"/>
  <c r="GA73" i="45"/>
  <c r="FZ73" i="45"/>
  <c r="FY73" i="45"/>
  <c r="FX73" i="45"/>
  <c r="FW73" i="45"/>
  <c r="FV73" i="45"/>
  <c r="FU73" i="45"/>
  <c r="GM72" i="45"/>
  <c r="GL72" i="45"/>
  <c r="GK72" i="45"/>
  <c r="GJ72" i="45"/>
  <c r="GI72" i="45"/>
  <c r="GH72" i="45"/>
  <c r="GG72" i="45"/>
  <c r="GF72" i="45"/>
  <c r="GE72" i="45"/>
  <c r="GD72" i="45"/>
  <c r="GC72" i="45"/>
  <c r="GB72" i="45"/>
  <c r="GA72" i="45"/>
  <c r="FZ72" i="45"/>
  <c r="FY72" i="45"/>
  <c r="FX72" i="45"/>
  <c r="FW72" i="45"/>
  <c r="FV72" i="45"/>
  <c r="FU72" i="45"/>
  <c r="GM71" i="45"/>
  <c r="GL71" i="45"/>
  <c r="GK71" i="45"/>
  <c r="GJ71" i="45"/>
  <c r="GI71" i="45"/>
  <c r="GH71" i="45"/>
  <c r="GG71" i="45"/>
  <c r="GF71" i="45"/>
  <c r="GE71" i="45"/>
  <c r="GD71" i="45"/>
  <c r="GC71" i="45"/>
  <c r="GB71" i="45"/>
  <c r="GA71" i="45"/>
  <c r="FZ71" i="45"/>
  <c r="FY71" i="45"/>
  <c r="FX71" i="45"/>
  <c r="FW71" i="45"/>
  <c r="FV71" i="45"/>
  <c r="FU71" i="45"/>
  <c r="GM70" i="45"/>
  <c r="GL70" i="45"/>
  <c r="GK70" i="45"/>
  <c r="GJ70" i="45"/>
  <c r="GI70" i="45"/>
  <c r="GH70" i="45"/>
  <c r="GG70" i="45"/>
  <c r="GF70" i="45"/>
  <c r="GE70" i="45"/>
  <c r="GD70" i="45"/>
  <c r="GC70" i="45"/>
  <c r="GB70" i="45"/>
  <c r="GA70" i="45"/>
  <c r="FZ70" i="45"/>
  <c r="FY70" i="45"/>
  <c r="FX70" i="45"/>
  <c r="FW70" i="45"/>
  <c r="FV70" i="45"/>
  <c r="FU70" i="45"/>
  <c r="GM69" i="45"/>
  <c r="GL69" i="45"/>
  <c r="GK69" i="45"/>
  <c r="GJ69" i="45"/>
  <c r="GI69" i="45"/>
  <c r="GH69" i="45"/>
  <c r="GG69" i="45"/>
  <c r="GF69" i="45"/>
  <c r="GE69" i="45"/>
  <c r="GD69" i="45"/>
  <c r="GC69" i="45"/>
  <c r="GB69" i="45"/>
  <c r="GA69" i="45"/>
  <c r="FZ69" i="45"/>
  <c r="FY69" i="45"/>
  <c r="FX69" i="45"/>
  <c r="FW69" i="45"/>
  <c r="FV69" i="45"/>
  <c r="FU69" i="45"/>
  <c r="GM68" i="45"/>
  <c r="GL68" i="45"/>
  <c r="GK68" i="45"/>
  <c r="GJ68" i="45"/>
  <c r="GI68" i="45"/>
  <c r="GH68" i="45"/>
  <c r="GG68" i="45"/>
  <c r="GF68" i="45"/>
  <c r="GE68" i="45"/>
  <c r="GD68" i="45"/>
  <c r="GC68" i="45"/>
  <c r="GB68" i="45"/>
  <c r="GA68" i="45"/>
  <c r="FZ68" i="45"/>
  <c r="FY68" i="45"/>
  <c r="FX68" i="45"/>
  <c r="FW68" i="45"/>
  <c r="FV68" i="45"/>
  <c r="FU68" i="45"/>
  <c r="GM67" i="45"/>
  <c r="GL67" i="45"/>
  <c r="GK67" i="45"/>
  <c r="GJ67" i="45"/>
  <c r="GI67" i="45"/>
  <c r="GH67" i="45"/>
  <c r="GG67" i="45"/>
  <c r="GF67" i="45"/>
  <c r="GE67" i="45"/>
  <c r="GD67" i="45"/>
  <c r="GC67" i="45"/>
  <c r="GB67" i="45"/>
  <c r="GA67" i="45"/>
  <c r="FZ67" i="45"/>
  <c r="FY67" i="45"/>
  <c r="FX67" i="45"/>
  <c r="FW67" i="45"/>
  <c r="FV67" i="45"/>
  <c r="FU67" i="45"/>
  <c r="GM66" i="45"/>
  <c r="GL66" i="45"/>
  <c r="GK66" i="45"/>
  <c r="GJ66" i="45"/>
  <c r="GI66" i="45"/>
  <c r="GH66" i="45"/>
  <c r="GG66" i="45"/>
  <c r="GF66" i="45"/>
  <c r="GE66" i="45"/>
  <c r="GD66" i="45"/>
  <c r="GC66" i="45"/>
  <c r="GB66" i="45"/>
  <c r="GA66" i="45"/>
  <c r="FZ66" i="45"/>
  <c r="FY66" i="45"/>
  <c r="FX66" i="45"/>
  <c r="FW66" i="45"/>
  <c r="FV66" i="45"/>
  <c r="FU66" i="45"/>
  <c r="GM65" i="45"/>
  <c r="GL65" i="45"/>
  <c r="GK65" i="45"/>
  <c r="GJ65" i="45"/>
  <c r="GI65" i="45"/>
  <c r="GH65" i="45"/>
  <c r="GG65" i="45"/>
  <c r="GF65" i="45"/>
  <c r="GE65" i="45"/>
  <c r="GD65" i="45"/>
  <c r="GC65" i="45"/>
  <c r="GB65" i="45"/>
  <c r="GA65" i="45"/>
  <c r="FZ65" i="45"/>
  <c r="FY65" i="45"/>
  <c r="FX65" i="45"/>
  <c r="FW65" i="45"/>
  <c r="FV65" i="45"/>
  <c r="FU65" i="45"/>
  <c r="GM64" i="45"/>
  <c r="GL64" i="45"/>
  <c r="GK64" i="45"/>
  <c r="GJ64" i="45"/>
  <c r="GI64" i="45"/>
  <c r="GH64" i="45"/>
  <c r="GG64" i="45"/>
  <c r="GF64" i="45"/>
  <c r="GE64" i="45"/>
  <c r="GD64" i="45"/>
  <c r="GC64" i="45"/>
  <c r="GB64" i="45"/>
  <c r="GA64" i="45"/>
  <c r="FZ64" i="45"/>
  <c r="FY64" i="45"/>
  <c r="FX64" i="45"/>
  <c r="FW64" i="45"/>
  <c r="FV64" i="45"/>
  <c r="FU64" i="45"/>
  <c r="GM63" i="45"/>
  <c r="GL63" i="45"/>
  <c r="GK63" i="45"/>
  <c r="GJ63" i="45"/>
  <c r="GI63" i="45"/>
  <c r="GH63" i="45"/>
  <c r="GG63" i="45"/>
  <c r="GF63" i="45"/>
  <c r="GE63" i="45"/>
  <c r="GD63" i="45"/>
  <c r="GC63" i="45"/>
  <c r="GB63" i="45"/>
  <c r="GA63" i="45"/>
  <c r="FZ63" i="45"/>
  <c r="FY63" i="45"/>
  <c r="FX63" i="45"/>
  <c r="FW63" i="45"/>
  <c r="FV63" i="45"/>
  <c r="FU63" i="45"/>
  <c r="GM62" i="45"/>
  <c r="GL62" i="45"/>
  <c r="GK62" i="45"/>
  <c r="GJ62" i="45"/>
  <c r="GI62" i="45"/>
  <c r="GH62" i="45"/>
  <c r="GG62" i="45"/>
  <c r="GF62" i="45"/>
  <c r="GE62" i="45"/>
  <c r="GD62" i="45"/>
  <c r="GC62" i="45"/>
  <c r="GB62" i="45"/>
  <c r="GA62" i="45"/>
  <c r="FZ62" i="45"/>
  <c r="FY62" i="45"/>
  <c r="FX62" i="45"/>
  <c r="FW62" i="45"/>
  <c r="FV62" i="45"/>
  <c r="FU62" i="45"/>
  <c r="GM61" i="45"/>
  <c r="GL61" i="45"/>
  <c r="GK61" i="45"/>
  <c r="GJ61" i="45"/>
  <c r="GI61" i="45"/>
  <c r="GH61" i="45"/>
  <c r="GG61" i="45"/>
  <c r="GF61" i="45"/>
  <c r="GE61" i="45"/>
  <c r="GD61" i="45"/>
  <c r="GC61" i="45"/>
  <c r="GB61" i="45"/>
  <c r="GA61" i="45"/>
  <c r="FZ61" i="45"/>
  <c r="FY61" i="45"/>
  <c r="FX61" i="45"/>
  <c r="FW61" i="45"/>
  <c r="FV61" i="45"/>
  <c r="FU61" i="45"/>
  <c r="GM60" i="45"/>
  <c r="GL60" i="45"/>
  <c r="GK60" i="45"/>
  <c r="GJ60" i="45"/>
  <c r="GI60" i="45"/>
  <c r="GH60" i="45"/>
  <c r="GG60" i="45"/>
  <c r="GF60" i="45"/>
  <c r="GE60" i="45"/>
  <c r="GD60" i="45"/>
  <c r="GC60" i="45"/>
  <c r="GB60" i="45"/>
  <c r="GA60" i="45"/>
  <c r="FZ60" i="45"/>
  <c r="FY60" i="45"/>
  <c r="FX60" i="45"/>
  <c r="FW60" i="45"/>
  <c r="FV60" i="45"/>
  <c r="FU60" i="45"/>
  <c r="GM59" i="45"/>
  <c r="GL59" i="45"/>
  <c r="GK59" i="45"/>
  <c r="GJ59" i="45"/>
  <c r="GI59" i="45"/>
  <c r="GH59" i="45"/>
  <c r="GG59" i="45"/>
  <c r="GF59" i="45"/>
  <c r="GE59" i="45"/>
  <c r="GD59" i="45"/>
  <c r="GC59" i="45"/>
  <c r="GB59" i="45"/>
  <c r="GA59" i="45"/>
  <c r="FZ59" i="45"/>
  <c r="FY59" i="45"/>
  <c r="FX59" i="45"/>
  <c r="FW59" i="45"/>
  <c r="FV59" i="45"/>
  <c r="FU59" i="45"/>
  <c r="GM58" i="45"/>
  <c r="GL58" i="45"/>
  <c r="GK58" i="45"/>
  <c r="GJ58" i="45"/>
  <c r="GI58" i="45"/>
  <c r="GH58" i="45"/>
  <c r="GG58" i="45"/>
  <c r="GF58" i="45"/>
  <c r="GE58" i="45"/>
  <c r="GD58" i="45"/>
  <c r="GC58" i="45"/>
  <c r="GB58" i="45"/>
  <c r="GA58" i="45"/>
  <c r="FZ58" i="45"/>
  <c r="FY58" i="45"/>
  <c r="FX58" i="45"/>
  <c r="FW58" i="45"/>
  <c r="FV58" i="45"/>
  <c r="FU58" i="45"/>
  <c r="GM57" i="45"/>
  <c r="GL57" i="45"/>
  <c r="GK57" i="45"/>
  <c r="GJ57" i="45"/>
  <c r="GI57" i="45"/>
  <c r="GH57" i="45"/>
  <c r="GG57" i="45"/>
  <c r="GF57" i="45"/>
  <c r="GE57" i="45"/>
  <c r="GD57" i="45"/>
  <c r="GC57" i="45"/>
  <c r="GB57" i="45"/>
  <c r="GA57" i="45"/>
  <c r="FZ57" i="45"/>
  <c r="FY57" i="45"/>
  <c r="FX57" i="45"/>
  <c r="FW57" i="45"/>
  <c r="FV57" i="45"/>
  <c r="FU57" i="45"/>
  <c r="GM56" i="45"/>
  <c r="GL56" i="45"/>
  <c r="GK56" i="45"/>
  <c r="GJ56" i="45"/>
  <c r="GI56" i="45"/>
  <c r="GH56" i="45"/>
  <c r="GG56" i="45"/>
  <c r="GF56" i="45"/>
  <c r="GE56" i="45"/>
  <c r="GD56" i="45"/>
  <c r="GC56" i="45"/>
  <c r="GB56" i="45"/>
  <c r="GA56" i="45"/>
  <c r="FZ56" i="45"/>
  <c r="FY56" i="45"/>
  <c r="FX56" i="45"/>
  <c r="FW56" i="45"/>
  <c r="FV56" i="45"/>
  <c r="FU56" i="45"/>
  <c r="GM55" i="45"/>
  <c r="GL55" i="45"/>
  <c r="GK55" i="45"/>
  <c r="GJ55" i="45"/>
  <c r="GI55" i="45"/>
  <c r="GH55" i="45"/>
  <c r="GG55" i="45"/>
  <c r="GF55" i="45"/>
  <c r="GE55" i="45"/>
  <c r="GD55" i="45"/>
  <c r="GC55" i="45"/>
  <c r="GB55" i="45"/>
  <c r="GA55" i="45"/>
  <c r="FZ55" i="45"/>
  <c r="FY55" i="45"/>
  <c r="FX55" i="45"/>
  <c r="FW55" i="45"/>
  <c r="FV55" i="45"/>
  <c r="FU55" i="45"/>
  <c r="GM54" i="45"/>
  <c r="GL54" i="45"/>
  <c r="GK54" i="45"/>
  <c r="GJ54" i="45"/>
  <c r="GI54" i="45"/>
  <c r="GH54" i="45"/>
  <c r="GG54" i="45"/>
  <c r="GF54" i="45"/>
  <c r="GE54" i="45"/>
  <c r="GD54" i="45"/>
  <c r="GC54" i="45"/>
  <c r="GB54" i="45"/>
  <c r="GA54" i="45"/>
  <c r="FZ54" i="45"/>
  <c r="FY54" i="45"/>
  <c r="FX54" i="45"/>
  <c r="FW54" i="45"/>
  <c r="FV54" i="45"/>
  <c r="FU54" i="45"/>
  <c r="GM53" i="45"/>
  <c r="GL53" i="45"/>
  <c r="GK53" i="45"/>
  <c r="GJ53" i="45"/>
  <c r="GI53" i="45"/>
  <c r="GH53" i="45"/>
  <c r="GG53" i="45"/>
  <c r="GF53" i="45"/>
  <c r="GE53" i="45"/>
  <c r="GD53" i="45"/>
  <c r="GC53" i="45"/>
  <c r="GB53" i="45"/>
  <c r="GA53" i="45"/>
  <c r="FZ53" i="45"/>
  <c r="FY53" i="45"/>
  <c r="FX53" i="45"/>
  <c r="FW53" i="45"/>
  <c r="FV53" i="45"/>
  <c r="FU53" i="45"/>
  <c r="GM52" i="45"/>
  <c r="GL52" i="45"/>
  <c r="GK52" i="45"/>
  <c r="GJ52" i="45"/>
  <c r="GI52" i="45"/>
  <c r="GH52" i="45"/>
  <c r="GG52" i="45"/>
  <c r="GF52" i="45"/>
  <c r="GE52" i="45"/>
  <c r="GD52" i="45"/>
  <c r="GC52" i="45"/>
  <c r="GB52" i="45"/>
  <c r="GA52" i="45"/>
  <c r="FZ52" i="45"/>
  <c r="FY52" i="45"/>
  <c r="FX52" i="45"/>
  <c r="FW52" i="45"/>
  <c r="FV52" i="45"/>
  <c r="FU52" i="45"/>
  <c r="GM51" i="45"/>
  <c r="GL51" i="45"/>
  <c r="GK51" i="45"/>
  <c r="GJ51" i="45"/>
  <c r="GI51" i="45"/>
  <c r="GH51" i="45"/>
  <c r="GG51" i="45"/>
  <c r="GF51" i="45"/>
  <c r="GE51" i="45"/>
  <c r="GD51" i="45"/>
  <c r="GC51" i="45"/>
  <c r="GB51" i="45"/>
  <c r="GA51" i="45"/>
  <c r="FZ51" i="45"/>
  <c r="FY51" i="45"/>
  <c r="FX51" i="45"/>
  <c r="FW51" i="45"/>
  <c r="FV51" i="45"/>
  <c r="FU51" i="45"/>
  <c r="GM50" i="45"/>
  <c r="GL50" i="45"/>
  <c r="GK50" i="45"/>
  <c r="GJ50" i="45"/>
  <c r="GI50" i="45"/>
  <c r="GH50" i="45"/>
  <c r="GG50" i="45"/>
  <c r="GF50" i="45"/>
  <c r="GE50" i="45"/>
  <c r="GD50" i="45"/>
  <c r="GC50" i="45"/>
  <c r="GB50" i="45"/>
  <c r="GA50" i="45"/>
  <c r="FZ50" i="45"/>
  <c r="FY50" i="45"/>
  <c r="FX50" i="45"/>
  <c r="FW50" i="45"/>
  <c r="FV50" i="45"/>
  <c r="FU50" i="45"/>
  <c r="GM49" i="45"/>
  <c r="GL49" i="45"/>
  <c r="GK49" i="45"/>
  <c r="GJ49" i="45"/>
  <c r="GI49" i="45"/>
  <c r="GH49" i="45"/>
  <c r="GG49" i="45"/>
  <c r="GF49" i="45"/>
  <c r="GE49" i="45"/>
  <c r="GD49" i="45"/>
  <c r="GC49" i="45"/>
  <c r="GB49" i="45"/>
  <c r="GA49" i="45"/>
  <c r="FZ49" i="45"/>
  <c r="FY49" i="45"/>
  <c r="FX49" i="45"/>
  <c r="FW49" i="45"/>
  <c r="FV49" i="45"/>
  <c r="FU49" i="45"/>
  <c r="GM48" i="45"/>
  <c r="GL48" i="45"/>
  <c r="GK48" i="45"/>
  <c r="GJ48" i="45"/>
  <c r="GI48" i="45"/>
  <c r="GH48" i="45"/>
  <c r="GG48" i="45"/>
  <c r="GF48" i="45"/>
  <c r="GE48" i="45"/>
  <c r="GD48" i="45"/>
  <c r="GC48" i="45"/>
  <c r="GB48" i="45"/>
  <c r="GA48" i="45"/>
  <c r="FZ48" i="45"/>
  <c r="FY48" i="45"/>
  <c r="FX48" i="45"/>
  <c r="FW48" i="45"/>
  <c r="FV48" i="45"/>
  <c r="FU48" i="45"/>
  <c r="GM47" i="45"/>
  <c r="GL47" i="45"/>
  <c r="GK47" i="45"/>
  <c r="GJ47" i="45"/>
  <c r="GI47" i="45"/>
  <c r="GH47" i="45"/>
  <c r="GG47" i="45"/>
  <c r="GF47" i="45"/>
  <c r="GE47" i="45"/>
  <c r="GD47" i="45"/>
  <c r="GC47" i="45"/>
  <c r="GB47" i="45"/>
  <c r="GA47" i="45"/>
  <c r="FZ47" i="45"/>
  <c r="FY47" i="45"/>
  <c r="FX47" i="45"/>
  <c r="FW47" i="45"/>
  <c r="FV47" i="45"/>
  <c r="FU47" i="45"/>
  <c r="GM46" i="45"/>
  <c r="GL46" i="45"/>
  <c r="GK46" i="45"/>
  <c r="GJ46" i="45"/>
  <c r="GI46" i="45"/>
  <c r="GH46" i="45"/>
  <c r="GG46" i="45"/>
  <c r="GF46" i="45"/>
  <c r="GE46" i="45"/>
  <c r="GD46" i="45"/>
  <c r="GC46" i="45"/>
  <c r="GB46" i="45"/>
  <c r="GA46" i="45"/>
  <c r="FZ46" i="45"/>
  <c r="FY46" i="45"/>
  <c r="FX46" i="45"/>
  <c r="FW46" i="45"/>
  <c r="FV46" i="45"/>
  <c r="FU46" i="45"/>
  <c r="GM45" i="45"/>
  <c r="GL45" i="45"/>
  <c r="GK45" i="45"/>
  <c r="GJ45" i="45"/>
  <c r="GI45" i="45"/>
  <c r="GH45" i="45"/>
  <c r="GG45" i="45"/>
  <c r="GF45" i="45"/>
  <c r="GE45" i="45"/>
  <c r="GD45" i="45"/>
  <c r="GC45" i="45"/>
  <c r="GB45" i="45"/>
  <c r="GA45" i="45"/>
  <c r="FZ45" i="45"/>
  <c r="FY45" i="45"/>
  <c r="FX45" i="45"/>
  <c r="FW45" i="45"/>
  <c r="FV45" i="45"/>
  <c r="FU45" i="45"/>
  <c r="GM44" i="45"/>
  <c r="GL44" i="45"/>
  <c r="GK44" i="45"/>
  <c r="GJ44" i="45"/>
  <c r="GI44" i="45"/>
  <c r="GH44" i="45"/>
  <c r="GG44" i="45"/>
  <c r="GF44" i="45"/>
  <c r="GE44" i="45"/>
  <c r="GD44" i="45"/>
  <c r="GC44" i="45"/>
  <c r="GB44" i="45"/>
  <c r="GA44" i="45"/>
  <c r="FZ44" i="45"/>
  <c r="FY44" i="45"/>
  <c r="FX44" i="45"/>
  <c r="FW44" i="45"/>
  <c r="FV44" i="45"/>
  <c r="FU44" i="45"/>
  <c r="GM43" i="45"/>
  <c r="GL43" i="45"/>
  <c r="GK43" i="45"/>
  <c r="GJ43" i="45"/>
  <c r="GI43" i="45"/>
  <c r="GH43" i="45"/>
  <c r="GG43" i="45"/>
  <c r="GF43" i="45"/>
  <c r="GE43" i="45"/>
  <c r="GD43" i="45"/>
  <c r="GC43" i="45"/>
  <c r="GB43" i="45"/>
  <c r="GA43" i="45"/>
  <c r="FZ43" i="45"/>
  <c r="FY43" i="45"/>
  <c r="FX43" i="45"/>
  <c r="FW43" i="45"/>
  <c r="FV43" i="45"/>
  <c r="FU43" i="45"/>
  <c r="GM42" i="45"/>
  <c r="GL42" i="45"/>
  <c r="GK42" i="45"/>
  <c r="GJ42" i="45"/>
  <c r="GI42" i="45"/>
  <c r="GH42" i="45"/>
  <c r="GG42" i="45"/>
  <c r="GF42" i="45"/>
  <c r="GE42" i="45"/>
  <c r="GD42" i="45"/>
  <c r="GC42" i="45"/>
  <c r="GB42" i="45"/>
  <c r="GA42" i="45"/>
  <c r="FZ42" i="45"/>
  <c r="FY42" i="45"/>
  <c r="FX42" i="45"/>
  <c r="FW42" i="45"/>
  <c r="FV42" i="45"/>
  <c r="FU42" i="45"/>
  <c r="GM41" i="45"/>
  <c r="GL41" i="45"/>
  <c r="GK41" i="45"/>
  <c r="GJ41" i="45"/>
  <c r="GI41" i="45"/>
  <c r="GH41" i="45"/>
  <c r="GG41" i="45"/>
  <c r="GF41" i="45"/>
  <c r="GE41" i="45"/>
  <c r="GD41" i="45"/>
  <c r="GC41" i="45"/>
  <c r="GB41" i="45"/>
  <c r="GA41" i="45"/>
  <c r="FZ41" i="45"/>
  <c r="FY41" i="45"/>
  <c r="FX41" i="45"/>
  <c r="FW41" i="45"/>
  <c r="FV41" i="45"/>
  <c r="FU41" i="45"/>
  <c r="GM40" i="45"/>
  <c r="GL40" i="45"/>
  <c r="GK40" i="45"/>
  <c r="GJ40" i="45"/>
  <c r="GI40" i="45"/>
  <c r="GH40" i="45"/>
  <c r="GG40" i="45"/>
  <c r="GF40" i="45"/>
  <c r="GE40" i="45"/>
  <c r="GD40" i="45"/>
  <c r="GC40" i="45"/>
  <c r="GB40" i="45"/>
  <c r="GA40" i="45"/>
  <c r="FZ40" i="45"/>
  <c r="FY40" i="45"/>
  <c r="FX40" i="45"/>
  <c r="FW40" i="45"/>
  <c r="FV40" i="45"/>
  <c r="FU40" i="45"/>
  <c r="GM39" i="45"/>
  <c r="GL39" i="45"/>
  <c r="GK39" i="45"/>
  <c r="GJ39" i="45"/>
  <c r="GI39" i="45"/>
  <c r="GH39" i="45"/>
  <c r="GG39" i="45"/>
  <c r="GF39" i="45"/>
  <c r="GE39" i="45"/>
  <c r="GD39" i="45"/>
  <c r="GC39" i="45"/>
  <c r="GB39" i="45"/>
  <c r="GA39" i="45"/>
  <c r="FZ39" i="45"/>
  <c r="FY39" i="45"/>
  <c r="FX39" i="45"/>
  <c r="FW39" i="45"/>
  <c r="FV39" i="45"/>
  <c r="FU39" i="45"/>
  <c r="GM38" i="45"/>
  <c r="GL38" i="45"/>
  <c r="GK38" i="45"/>
  <c r="GJ38" i="45"/>
  <c r="GI38" i="45"/>
  <c r="GH38" i="45"/>
  <c r="GG38" i="45"/>
  <c r="GF38" i="45"/>
  <c r="GE38" i="45"/>
  <c r="GD38" i="45"/>
  <c r="GC38" i="45"/>
  <c r="GB38" i="45"/>
  <c r="GA38" i="45"/>
  <c r="FZ38" i="45"/>
  <c r="FY38" i="45"/>
  <c r="FX38" i="45"/>
  <c r="FW38" i="45"/>
  <c r="FV38" i="45"/>
  <c r="FU38" i="45"/>
  <c r="GM37" i="45"/>
  <c r="GL37" i="45"/>
  <c r="GK37" i="45"/>
  <c r="GJ37" i="45"/>
  <c r="GI37" i="45"/>
  <c r="GH37" i="45"/>
  <c r="GG37" i="45"/>
  <c r="GF37" i="45"/>
  <c r="GE37" i="45"/>
  <c r="GD37" i="45"/>
  <c r="GC37" i="45"/>
  <c r="GB37" i="45"/>
  <c r="GA37" i="45"/>
  <c r="FZ37" i="45"/>
  <c r="FY37" i="45"/>
  <c r="FX37" i="45"/>
  <c r="FW37" i="45"/>
  <c r="FV37" i="45"/>
  <c r="FU37" i="45"/>
  <c r="GM36" i="45"/>
  <c r="GL36" i="45"/>
  <c r="GK36" i="45"/>
  <c r="GJ36" i="45"/>
  <c r="GI36" i="45"/>
  <c r="GH36" i="45"/>
  <c r="GG36" i="45"/>
  <c r="GF36" i="45"/>
  <c r="GE36" i="45"/>
  <c r="GD36" i="45"/>
  <c r="GC36" i="45"/>
  <c r="GB36" i="45"/>
  <c r="GA36" i="45"/>
  <c r="FZ36" i="45"/>
  <c r="FY36" i="45"/>
  <c r="FX36" i="45"/>
  <c r="FW36" i="45"/>
  <c r="FV36" i="45"/>
  <c r="FU36" i="45"/>
  <c r="GM35" i="45"/>
  <c r="GL35" i="45"/>
  <c r="GK35" i="45"/>
  <c r="GJ35" i="45"/>
  <c r="GI35" i="45"/>
  <c r="GH35" i="45"/>
  <c r="GG35" i="45"/>
  <c r="GF35" i="45"/>
  <c r="GE35" i="45"/>
  <c r="GD35" i="45"/>
  <c r="GC35" i="45"/>
  <c r="GB35" i="45"/>
  <c r="GA35" i="45"/>
  <c r="FZ35" i="45"/>
  <c r="FY35" i="45"/>
  <c r="FX35" i="45"/>
  <c r="FW35" i="45"/>
  <c r="FV35" i="45"/>
  <c r="FU35" i="45"/>
  <c r="GM34" i="45"/>
  <c r="GL34" i="45"/>
  <c r="GK34" i="45"/>
  <c r="GJ34" i="45"/>
  <c r="GI34" i="45"/>
  <c r="GH34" i="45"/>
  <c r="GG34" i="45"/>
  <c r="GF34" i="45"/>
  <c r="GE34" i="45"/>
  <c r="GD34" i="45"/>
  <c r="GC34" i="45"/>
  <c r="GB34" i="45"/>
  <c r="GA34" i="45"/>
  <c r="FZ34" i="45"/>
  <c r="FY34" i="45"/>
  <c r="FX34" i="45"/>
  <c r="FW34" i="45"/>
  <c r="FV34" i="45"/>
  <c r="FU34" i="45"/>
  <c r="GM33" i="45"/>
  <c r="GL33" i="45"/>
  <c r="GK33" i="45"/>
  <c r="GJ33" i="45"/>
  <c r="GI33" i="45"/>
  <c r="GH33" i="45"/>
  <c r="GG33" i="45"/>
  <c r="GF33" i="45"/>
  <c r="GE33" i="45"/>
  <c r="GD33" i="45"/>
  <c r="GC33" i="45"/>
  <c r="GB33" i="45"/>
  <c r="GA33" i="45"/>
  <c r="FZ33" i="45"/>
  <c r="FY33" i="45"/>
  <c r="FX33" i="45"/>
  <c r="FW33" i="45"/>
  <c r="FV33" i="45"/>
  <c r="FU33" i="45"/>
  <c r="GM32" i="45"/>
  <c r="GL32" i="45"/>
  <c r="GK32" i="45"/>
  <c r="GJ32" i="45"/>
  <c r="GI32" i="45"/>
  <c r="GH32" i="45"/>
  <c r="GG32" i="45"/>
  <c r="GF32" i="45"/>
  <c r="GE32" i="45"/>
  <c r="GD32" i="45"/>
  <c r="GC32" i="45"/>
  <c r="GB32" i="45"/>
  <c r="GA32" i="45"/>
  <c r="FZ32" i="45"/>
  <c r="FY32" i="45"/>
  <c r="FX32" i="45"/>
  <c r="FW32" i="45"/>
  <c r="FV32" i="45"/>
  <c r="FU32" i="45"/>
  <c r="GM31" i="45"/>
  <c r="GL31" i="45"/>
  <c r="GK31" i="45"/>
  <c r="GJ31" i="45"/>
  <c r="GI31" i="45"/>
  <c r="GH31" i="45"/>
  <c r="GG31" i="45"/>
  <c r="GF31" i="45"/>
  <c r="GE31" i="45"/>
  <c r="GD31" i="45"/>
  <c r="GC31" i="45"/>
  <c r="GB31" i="45"/>
  <c r="GA31" i="45"/>
  <c r="FZ31" i="45"/>
  <c r="FY31" i="45"/>
  <c r="FX31" i="45"/>
  <c r="FW31" i="45"/>
  <c r="FV31" i="45"/>
  <c r="FU31" i="45"/>
  <c r="GM30" i="45"/>
  <c r="GL30" i="45"/>
  <c r="GK30" i="45"/>
  <c r="GJ30" i="45"/>
  <c r="GI30" i="45"/>
  <c r="GH30" i="45"/>
  <c r="GG30" i="45"/>
  <c r="GF30" i="45"/>
  <c r="GE30" i="45"/>
  <c r="GD30" i="45"/>
  <c r="GC30" i="45"/>
  <c r="GB30" i="45"/>
  <c r="GA30" i="45"/>
  <c r="FZ30" i="45"/>
  <c r="FY30" i="45"/>
  <c r="FX30" i="45"/>
  <c r="FW30" i="45"/>
  <c r="FV30" i="45"/>
  <c r="FU30" i="45"/>
  <c r="GM29" i="45"/>
  <c r="GL29" i="45"/>
  <c r="GK29" i="45"/>
  <c r="GJ29" i="45"/>
  <c r="GI29" i="45"/>
  <c r="GH29" i="45"/>
  <c r="GG29" i="45"/>
  <c r="GF29" i="45"/>
  <c r="GE29" i="45"/>
  <c r="GD29" i="45"/>
  <c r="GC29" i="45"/>
  <c r="GB29" i="45"/>
  <c r="GA29" i="45"/>
  <c r="FZ29" i="45"/>
  <c r="FY29" i="45"/>
  <c r="FX29" i="45"/>
  <c r="FW29" i="45"/>
  <c r="FV29" i="45"/>
  <c r="FU29" i="45"/>
  <c r="GM28" i="45"/>
  <c r="GL28" i="45"/>
  <c r="GK28" i="45"/>
  <c r="GJ28" i="45"/>
  <c r="GI28" i="45"/>
  <c r="GH28" i="45"/>
  <c r="GG28" i="45"/>
  <c r="GF28" i="45"/>
  <c r="GE28" i="45"/>
  <c r="GD28" i="45"/>
  <c r="GC28" i="45"/>
  <c r="GB28" i="45"/>
  <c r="GA28" i="45"/>
  <c r="FZ28" i="45"/>
  <c r="FY28" i="45"/>
  <c r="FX28" i="45"/>
  <c r="FW28" i="45"/>
  <c r="FV28" i="45"/>
  <c r="FU28" i="45"/>
  <c r="GM27" i="45"/>
  <c r="GL27" i="45"/>
  <c r="GK27" i="45"/>
  <c r="GJ27" i="45"/>
  <c r="GI27" i="45"/>
  <c r="GH27" i="45"/>
  <c r="GG27" i="45"/>
  <c r="GF27" i="45"/>
  <c r="GE27" i="45"/>
  <c r="GD27" i="45"/>
  <c r="GC27" i="45"/>
  <c r="GB27" i="45"/>
  <c r="GA27" i="45"/>
  <c r="FZ27" i="45"/>
  <c r="FY27" i="45"/>
  <c r="FX27" i="45"/>
  <c r="FW27" i="45"/>
  <c r="FV27" i="45"/>
  <c r="FU27" i="45"/>
  <c r="GM26" i="45"/>
  <c r="GL26" i="45"/>
  <c r="GK26" i="45"/>
  <c r="GJ26" i="45"/>
  <c r="GI26" i="45"/>
  <c r="GH26" i="45"/>
  <c r="GG26" i="45"/>
  <c r="GF26" i="45"/>
  <c r="GE26" i="45"/>
  <c r="GD26" i="45"/>
  <c r="GC26" i="45"/>
  <c r="GB26" i="45"/>
  <c r="GA26" i="45"/>
  <c r="FZ26" i="45"/>
  <c r="FY26" i="45"/>
  <c r="FX26" i="45"/>
  <c r="FW26" i="45"/>
  <c r="FV26" i="45"/>
  <c r="FU26" i="45"/>
  <c r="GM25" i="45"/>
  <c r="GL25" i="45"/>
  <c r="GK25" i="45"/>
  <c r="GJ25" i="45"/>
  <c r="GI25" i="45"/>
  <c r="GH25" i="45"/>
  <c r="GG25" i="45"/>
  <c r="GF25" i="45"/>
  <c r="GE25" i="45"/>
  <c r="GD25" i="45"/>
  <c r="GC25" i="45"/>
  <c r="GB25" i="45"/>
  <c r="GA25" i="45"/>
  <c r="FZ25" i="45"/>
  <c r="FY25" i="45"/>
  <c r="FX25" i="45"/>
  <c r="FW25" i="45"/>
  <c r="FV25" i="45"/>
  <c r="FU25" i="45"/>
  <c r="GM24" i="45"/>
  <c r="GL24" i="45"/>
  <c r="GK24" i="45"/>
  <c r="GJ24" i="45"/>
  <c r="GI24" i="45"/>
  <c r="GH24" i="45"/>
  <c r="GG24" i="45"/>
  <c r="GF24" i="45"/>
  <c r="GE24" i="45"/>
  <c r="GD24" i="45"/>
  <c r="GC24" i="45"/>
  <c r="GB24" i="45"/>
  <c r="GA24" i="45"/>
  <c r="FZ24" i="45"/>
  <c r="FY24" i="45"/>
  <c r="FX24" i="45"/>
  <c r="FW24" i="45"/>
  <c r="FV24" i="45"/>
  <c r="FU24" i="45"/>
  <c r="GM23" i="45"/>
  <c r="GL23" i="45"/>
  <c r="GK23" i="45"/>
  <c r="GJ23" i="45"/>
  <c r="GI23" i="45"/>
  <c r="GH23" i="45"/>
  <c r="GG23" i="45"/>
  <c r="GF23" i="45"/>
  <c r="GE23" i="45"/>
  <c r="GD23" i="45"/>
  <c r="GC23" i="45"/>
  <c r="GB23" i="45"/>
  <c r="GA23" i="45"/>
  <c r="FZ23" i="45"/>
  <c r="FY23" i="45"/>
  <c r="FX23" i="45"/>
  <c r="FW23" i="45"/>
  <c r="FV23" i="45"/>
  <c r="FU23" i="45"/>
  <c r="GM22" i="45"/>
  <c r="GL22" i="45"/>
  <c r="GK22" i="45"/>
  <c r="GJ22" i="45"/>
  <c r="GI22" i="45"/>
  <c r="GH22" i="45"/>
  <c r="GG22" i="45"/>
  <c r="GF22" i="45"/>
  <c r="GE22" i="45"/>
  <c r="GD22" i="45"/>
  <c r="GC22" i="45"/>
  <c r="GB22" i="45"/>
  <c r="GA22" i="45"/>
  <c r="FZ22" i="45"/>
  <c r="FY22" i="45"/>
  <c r="FX22" i="45"/>
  <c r="FW22" i="45"/>
  <c r="FV22" i="45"/>
  <c r="FU22" i="45"/>
  <c r="GM21" i="45"/>
  <c r="GL21" i="45"/>
  <c r="GK21" i="45"/>
  <c r="GJ21" i="45"/>
  <c r="GI21" i="45"/>
  <c r="GH21" i="45"/>
  <c r="GG21" i="45"/>
  <c r="GF21" i="45"/>
  <c r="GE21" i="45"/>
  <c r="GD21" i="45"/>
  <c r="GC21" i="45"/>
  <c r="GB21" i="45"/>
  <c r="GA21" i="45"/>
  <c r="FZ21" i="45"/>
  <c r="FY21" i="45"/>
  <c r="FX21" i="45"/>
  <c r="FW21" i="45"/>
  <c r="FV21" i="45"/>
  <c r="FU21" i="45"/>
  <c r="GM20" i="45"/>
  <c r="GL20" i="45"/>
  <c r="GK20" i="45"/>
  <c r="GJ20" i="45"/>
  <c r="GI20" i="45"/>
  <c r="GH20" i="45"/>
  <c r="GG20" i="45"/>
  <c r="GF20" i="45"/>
  <c r="GE20" i="45"/>
  <c r="GD20" i="45"/>
  <c r="GC20" i="45"/>
  <c r="GB20" i="45"/>
  <c r="GA20" i="45"/>
  <c r="FZ20" i="45"/>
  <c r="FY20" i="45"/>
  <c r="FX20" i="45"/>
  <c r="FW20" i="45"/>
  <c r="FV20" i="45"/>
  <c r="FU20" i="45"/>
  <c r="GM19" i="45"/>
  <c r="GL19" i="45"/>
  <c r="GK19" i="45"/>
  <c r="GJ19" i="45"/>
  <c r="GI19" i="45"/>
  <c r="GH19" i="45"/>
  <c r="GG19" i="45"/>
  <c r="GF19" i="45"/>
  <c r="GE19" i="45"/>
  <c r="GD19" i="45"/>
  <c r="GC19" i="45"/>
  <c r="GB19" i="45"/>
  <c r="GA19" i="45"/>
  <c r="FZ19" i="45"/>
  <c r="FY19" i="45"/>
  <c r="FX19" i="45"/>
  <c r="FW19" i="45"/>
  <c r="FV19" i="45"/>
  <c r="FU19" i="45"/>
  <c r="GM16" i="45"/>
  <c r="GL16" i="45"/>
  <c r="GK16" i="45"/>
  <c r="GJ16" i="45"/>
  <c r="GI16" i="45"/>
  <c r="GH16" i="45"/>
  <c r="GG16" i="45"/>
  <c r="GF16" i="45"/>
  <c r="GE16" i="45"/>
  <c r="GD16" i="45"/>
  <c r="GC16" i="45"/>
  <c r="GB16" i="45"/>
  <c r="GA16" i="45"/>
  <c r="FZ16" i="45"/>
  <c r="FY16" i="45"/>
  <c r="FX16" i="45"/>
  <c r="FW16" i="45"/>
  <c r="FV16" i="45"/>
  <c r="FU16" i="45"/>
  <c r="GM15" i="45"/>
  <c r="GL15" i="45"/>
  <c r="GK15" i="45"/>
  <c r="GJ15" i="45"/>
  <c r="GI15" i="45"/>
  <c r="GH15" i="45"/>
  <c r="GG15" i="45"/>
  <c r="GF15" i="45"/>
  <c r="GE15" i="45"/>
  <c r="GD15" i="45"/>
  <c r="GC15" i="45"/>
  <c r="GB15" i="45"/>
  <c r="GA15" i="45"/>
  <c r="FZ15" i="45"/>
  <c r="FY15" i="45"/>
  <c r="FX15" i="45"/>
  <c r="FW15" i="45"/>
  <c r="FV15" i="45"/>
  <c r="FU15" i="45"/>
  <c r="GM14" i="45"/>
  <c r="GL14" i="45"/>
  <c r="GK14" i="45"/>
  <c r="GJ14" i="45"/>
  <c r="GI14" i="45"/>
  <c r="GH14" i="45"/>
  <c r="GG14" i="45"/>
  <c r="GF14" i="45"/>
  <c r="GE14" i="45"/>
  <c r="GD14" i="45"/>
  <c r="GC14" i="45"/>
  <c r="GB14" i="45"/>
  <c r="GA14" i="45"/>
  <c r="FZ14" i="45"/>
  <c r="FY14" i="45"/>
  <c r="FX14" i="45"/>
  <c r="FW14" i="45"/>
  <c r="FV14" i="45"/>
  <c r="FU14" i="45"/>
  <c r="GM13" i="45"/>
  <c r="GL13" i="45"/>
  <c r="GK13" i="45"/>
  <c r="GJ13" i="45"/>
  <c r="GI13" i="45"/>
  <c r="GH13" i="45"/>
  <c r="GG13" i="45"/>
  <c r="GF13" i="45"/>
  <c r="GE13" i="45"/>
  <c r="GD13" i="45"/>
  <c r="GC13" i="45"/>
  <c r="GB13" i="45"/>
  <c r="GA13" i="45"/>
  <c r="FZ13" i="45"/>
  <c r="FY13" i="45"/>
  <c r="FX13" i="45"/>
  <c r="FW13" i="45"/>
  <c r="FV13" i="45"/>
  <c r="FU13" i="45"/>
  <c r="GM12" i="45"/>
  <c r="GL12" i="45"/>
  <c r="GK12" i="45"/>
  <c r="GJ12" i="45"/>
  <c r="GI12" i="45"/>
  <c r="GH12" i="45"/>
  <c r="GG12" i="45"/>
  <c r="GF12" i="45"/>
  <c r="GE12" i="45"/>
  <c r="GD12" i="45"/>
  <c r="GC12" i="45"/>
  <c r="GB12" i="45"/>
  <c r="GA12" i="45"/>
  <c r="FZ12" i="45"/>
  <c r="FY12" i="45"/>
  <c r="FX12" i="45"/>
  <c r="FW12" i="45"/>
  <c r="FV12" i="45"/>
  <c r="FU12" i="45"/>
  <c r="GM11" i="45"/>
  <c r="GL11" i="45"/>
  <c r="GK11" i="45"/>
  <c r="GJ11" i="45"/>
  <c r="GI11" i="45"/>
  <c r="GH11" i="45"/>
  <c r="GG11" i="45"/>
  <c r="GF11" i="45"/>
  <c r="GE11" i="45"/>
  <c r="GD11" i="45"/>
  <c r="GC11" i="45"/>
  <c r="GB11" i="45"/>
  <c r="GA11" i="45"/>
  <c r="FZ11" i="45"/>
  <c r="FY11" i="45"/>
  <c r="FX11" i="45"/>
  <c r="FW11" i="45"/>
  <c r="FV11" i="45"/>
  <c r="FU11" i="45"/>
  <c r="GM10" i="45"/>
  <c r="GL10" i="45"/>
  <c r="GK10" i="45"/>
  <c r="GJ10" i="45"/>
  <c r="GI10" i="45"/>
  <c r="GH10" i="45"/>
  <c r="GG10" i="45"/>
  <c r="GF10" i="45"/>
  <c r="GE10" i="45"/>
  <c r="GD10" i="45"/>
  <c r="GC10" i="45"/>
  <c r="GB10" i="45"/>
  <c r="GA10" i="45"/>
  <c r="FZ10" i="45"/>
  <c r="FY10" i="45"/>
  <c r="FX10" i="45"/>
  <c r="FW10" i="45"/>
  <c r="FV10" i="45"/>
  <c r="FU10" i="45"/>
  <c r="GM9" i="45"/>
  <c r="GL9" i="45"/>
  <c r="GK9" i="45"/>
  <c r="GJ9" i="45"/>
  <c r="GI9" i="45"/>
  <c r="GH9" i="45"/>
  <c r="GG9" i="45"/>
  <c r="GF9" i="45"/>
  <c r="GE9" i="45"/>
  <c r="GD9" i="45"/>
  <c r="GC9" i="45"/>
  <c r="GB9" i="45"/>
  <c r="GA9" i="45"/>
  <c r="FZ9" i="45"/>
  <c r="FY9" i="45"/>
  <c r="FX9" i="45"/>
  <c r="FW9" i="45"/>
  <c r="FV9" i="45"/>
  <c r="FU9" i="45"/>
  <c r="GM8" i="45"/>
  <c r="GL8" i="45"/>
  <c r="GK8" i="45"/>
  <c r="GJ8" i="45"/>
  <c r="GI8" i="45"/>
  <c r="GH8" i="45"/>
  <c r="GG8" i="45"/>
  <c r="GF8" i="45"/>
  <c r="GE8" i="45"/>
  <c r="GD8" i="45"/>
  <c r="GC8" i="45"/>
  <c r="GB8" i="45"/>
  <c r="GA8" i="45"/>
  <c r="FZ8" i="45"/>
  <c r="FY8" i="45"/>
  <c r="FX8" i="45"/>
  <c r="FW8" i="45"/>
  <c r="FV8" i="45"/>
  <c r="FU8" i="45"/>
  <c r="GM281" i="39"/>
  <c r="GL281" i="39"/>
  <c r="GK281" i="39"/>
  <c r="GJ281" i="39"/>
  <c r="GI281" i="39"/>
  <c r="GH281" i="39"/>
  <c r="GG281" i="39"/>
  <c r="GF281" i="39"/>
  <c r="GE281" i="39"/>
  <c r="GD281" i="39"/>
  <c r="GC281" i="39"/>
  <c r="GB281" i="39"/>
  <c r="GA281" i="39"/>
  <c r="FZ281" i="39"/>
  <c r="FY281" i="39"/>
  <c r="FX281" i="39"/>
  <c r="FW281" i="39"/>
  <c r="FV281" i="39"/>
  <c r="FU281" i="39"/>
  <c r="GM280" i="39"/>
  <c r="GL280" i="39"/>
  <c r="GK280" i="39"/>
  <c r="GJ280" i="39"/>
  <c r="GI280" i="39"/>
  <c r="GH280" i="39"/>
  <c r="GG280" i="39"/>
  <c r="GF280" i="39"/>
  <c r="GE280" i="39"/>
  <c r="GD280" i="39"/>
  <c r="GC280" i="39"/>
  <c r="GB280" i="39"/>
  <c r="GA280" i="39"/>
  <c r="FZ280" i="39"/>
  <c r="FY280" i="39"/>
  <c r="FX280" i="39"/>
  <c r="FW280" i="39"/>
  <c r="FV280" i="39"/>
  <c r="FU280" i="39"/>
  <c r="GM279" i="39"/>
  <c r="GL279" i="39"/>
  <c r="GK279" i="39"/>
  <c r="GJ279" i="39"/>
  <c r="GI279" i="39"/>
  <c r="GH279" i="39"/>
  <c r="GG279" i="39"/>
  <c r="GF279" i="39"/>
  <c r="GE279" i="39"/>
  <c r="GD279" i="39"/>
  <c r="GC279" i="39"/>
  <c r="GB279" i="39"/>
  <c r="GA279" i="39"/>
  <c r="FZ279" i="39"/>
  <c r="FY279" i="39"/>
  <c r="FX279" i="39"/>
  <c r="FW279" i="39"/>
  <c r="FV279" i="39"/>
  <c r="FU279" i="39"/>
  <c r="GM278" i="39"/>
  <c r="GL278" i="39"/>
  <c r="GK278" i="39"/>
  <c r="GJ278" i="39"/>
  <c r="GI278" i="39"/>
  <c r="GH278" i="39"/>
  <c r="GG278" i="39"/>
  <c r="GF278" i="39"/>
  <c r="GE278" i="39"/>
  <c r="GD278" i="39"/>
  <c r="GC278" i="39"/>
  <c r="GB278" i="39"/>
  <c r="GA278" i="39"/>
  <c r="FZ278" i="39"/>
  <c r="FY278" i="39"/>
  <c r="FX278" i="39"/>
  <c r="FW278" i="39"/>
  <c r="FV278" i="39"/>
  <c r="FU278" i="39"/>
  <c r="GM277" i="39"/>
  <c r="GL277" i="39"/>
  <c r="GK277" i="39"/>
  <c r="GJ277" i="39"/>
  <c r="GI277" i="39"/>
  <c r="GH277" i="39"/>
  <c r="GG277" i="39"/>
  <c r="GF277" i="39"/>
  <c r="GE277" i="39"/>
  <c r="GD277" i="39"/>
  <c r="GC277" i="39"/>
  <c r="GB277" i="39"/>
  <c r="GA277" i="39"/>
  <c r="FZ277" i="39"/>
  <c r="FY277" i="39"/>
  <c r="FX277" i="39"/>
  <c r="FW277" i="39"/>
  <c r="FV277" i="39"/>
  <c r="FU277" i="39"/>
  <c r="GM276" i="39"/>
  <c r="GL276" i="39"/>
  <c r="GK276" i="39"/>
  <c r="GJ276" i="39"/>
  <c r="GI276" i="39"/>
  <c r="GH276" i="39"/>
  <c r="GG276" i="39"/>
  <c r="GF276" i="39"/>
  <c r="GE276" i="39"/>
  <c r="GD276" i="39"/>
  <c r="GC276" i="39"/>
  <c r="GB276" i="39"/>
  <c r="GA276" i="39"/>
  <c r="FZ276" i="39"/>
  <c r="FY276" i="39"/>
  <c r="FX276" i="39"/>
  <c r="FW276" i="39"/>
  <c r="FV276" i="39"/>
  <c r="FU276" i="39"/>
  <c r="GM275" i="39"/>
  <c r="GL275" i="39"/>
  <c r="GK275" i="39"/>
  <c r="GJ275" i="39"/>
  <c r="GI275" i="39"/>
  <c r="GH275" i="39"/>
  <c r="GG275" i="39"/>
  <c r="GF275" i="39"/>
  <c r="GE275" i="39"/>
  <c r="GD275" i="39"/>
  <c r="GC275" i="39"/>
  <c r="GB275" i="39"/>
  <c r="GA275" i="39"/>
  <c r="FZ275" i="39"/>
  <c r="FY275" i="39"/>
  <c r="FX275" i="39"/>
  <c r="FW275" i="39"/>
  <c r="FV275" i="39"/>
  <c r="FU275" i="39"/>
  <c r="GM274" i="39"/>
  <c r="GL274" i="39"/>
  <c r="GK274" i="39"/>
  <c r="GJ274" i="39"/>
  <c r="GI274" i="39"/>
  <c r="GH274" i="39"/>
  <c r="GG274" i="39"/>
  <c r="GF274" i="39"/>
  <c r="GE274" i="39"/>
  <c r="GD274" i="39"/>
  <c r="GC274" i="39"/>
  <c r="GB274" i="39"/>
  <c r="GA274" i="39"/>
  <c r="FZ274" i="39"/>
  <c r="FY274" i="39"/>
  <c r="FX274" i="39"/>
  <c r="FW274" i="39"/>
  <c r="FV274" i="39"/>
  <c r="FU274" i="39"/>
  <c r="GM273" i="39"/>
  <c r="GL273" i="39"/>
  <c r="GK273" i="39"/>
  <c r="GJ273" i="39"/>
  <c r="GI273" i="39"/>
  <c r="GH273" i="39"/>
  <c r="GG273" i="39"/>
  <c r="GF273" i="39"/>
  <c r="GE273" i="39"/>
  <c r="GD273" i="39"/>
  <c r="GC273" i="39"/>
  <c r="GB273" i="39"/>
  <c r="GA273" i="39"/>
  <c r="FZ273" i="39"/>
  <c r="FY273" i="39"/>
  <c r="FX273" i="39"/>
  <c r="FW273" i="39"/>
  <c r="FV273" i="39"/>
  <c r="FU273" i="39"/>
  <c r="GM272" i="39"/>
  <c r="GL272" i="39"/>
  <c r="GK272" i="39"/>
  <c r="GJ272" i="39"/>
  <c r="GI272" i="39"/>
  <c r="GH272" i="39"/>
  <c r="GG272" i="39"/>
  <c r="GF272" i="39"/>
  <c r="GE272" i="39"/>
  <c r="GD272" i="39"/>
  <c r="GC272" i="39"/>
  <c r="GB272" i="39"/>
  <c r="GA272" i="39"/>
  <c r="FZ272" i="39"/>
  <c r="FY272" i="39"/>
  <c r="FX272" i="39"/>
  <c r="FW272" i="39"/>
  <c r="FV272" i="39"/>
  <c r="FU272" i="39"/>
  <c r="GM271" i="39"/>
  <c r="GL271" i="39"/>
  <c r="GK271" i="39"/>
  <c r="GJ271" i="39"/>
  <c r="GI271" i="39"/>
  <c r="GH271" i="39"/>
  <c r="GG271" i="39"/>
  <c r="GF271" i="39"/>
  <c r="GE271" i="39"/>
  <c r="GD271" i="39"/>
  <c r="GC271" i="39"/>
  <c r="GB271" i="39"/>
  <c r="GA271" i="39"/>
  <c r="FZ271" i="39"/>
  <c r="FY271" i="39"/>
  <c r="FX271" i="39"/>
  <c r="FW271" i="39"/>
  <c r="FV271" i="39"/>
  <c r="FU271" i="39"/>
  <c r="GM270" i="39"/>
  <c r="GL270" i="39"/>
  <c r="GK270" i="39"/>
  <c r="GJ270" i="39"/>
  <c r="GI270" i="39"/>
  <c r="GH270" i="39"/>
  <c r="GG270" i="39"/>
  <c r="GF270" i="39"/>
  <c r="GE270" i="39"/>
  <c r="GD270" i="39"/>
  <c r="GC270" i="39"/>
  <c r="GB270" i="39"/>
  <c r="GA270" i="39"/>
  <c r="FZ270" i="39"/>
  <c r="FY270" i="39"/>
  <c r="FX270" i="39"/>
  <c r="FW270" i="39"/>
  <c r="FV270" i="39"/>
  <c r="FU270" i="39"/>
  <c r="GM269" i="39"/>
  <c r="GL269" i="39"/>
  <c r="GK269" i="39"/>
  <c r="GJ269" i="39"/>
  <c r="GI269" i="39"/>
  <c r="GH269" i="39"/>
  <c r="GG269" i="39"/>
  <c r="GF269" i="39"/>
  <c r="GE269" i="39"/>
  <c r="GD269" i="39"/>
  <c r="GC269" i="39"/>
  <c r="GB269" i="39"/>
  <c r="GA269" i="39"/>
  <c r="FZ269" i="39"/>
  <c r="FY269" i="39"/>
  <c r="FX269" i="39"/>
  <c r="FW269" i="39"/>
  <c r="FV269" i="39"/>
  <c r="FU269" i="39"/>
  <c r="GM268" i="39"/>
  <c r="GL268" i="39"/>
  <c r="GK268" i="39"/>
  <c r="GJ268" i="39"/>
  <c r="GI268" i="39"/>
  <c r="GH268" i="39"/>
  <c r="GG268" i="39"/>
  <c r="GF268" i="39"/>
  <c r="GE268" i="39"/>
  <c r="GD268" i="39"/>
  <c r="GC268" i="39"/>
  <c r="GB268" i="39"/>
  <c r="GA268" i="39"/>
  <c r="FZ268" i="39"/>
  <c r="FY268" i="39"/>
  <c r="FX268" i="39"/>
  <c r="FW268" i="39"/>
  <c r="FV268" i="39"/>
  <c r="FU268" i="39"/>
  <c r="GM267" i="39"/>
  <c r="GL267" i="39"/>
  <c r="GK267" i="39"/>
  <c r="GJ267" i="39"/>
  <c r="GI267" i="39"/>
  <c r="GH267" i="39"/>
  <c r="GG267" i="39"/>
  <c r="GF267" i="39"/>
  <c r="GE267" i="39"/>
  <c r="GD267" i="39"/>
  <c r="GC267" i="39"/>
  <c r="GB267" i="39"/>
  <c r="GA267" i="39"/>
  <c r="FZ267" i="39"/>
  <c r="FY267" i="39"/>
  <c r="FX267" i="39"/>
  <c r="FW267" i="39"/>
  <c r="FV267" i="39"/>
  <c r="FU267" i="39"/>
  <c r="GM266" i="39"/>
  <c r="GL266" i="39"/>
  <c r="GK266" i="39"/>
  <c r="GJ266" i="39"/>
  <c r="GI266" i="39"/>
  <c r="GH266" i="39"/>
  <c r="GG266" i="39"/>
  <c r="GF266" i="39"/>
  <c r="GE266" i="39"/>
  <c r="GD266" i="39"/>
  <c r="GC266" i="39"/>
  <c r="GB266" i="39"/>
  <c r="GA266" i="39"/>
  <c r="FZ266" i="39"/>
  <c r="FY266" i="39"/>
  <c r="FX266" i="39"/>
  <c r="FW266" i="39"/>
  <c r="FV266" i="39"/>
  <c r="FU266" i="39"/>
  <c r="GM265" i="39"/>
  <c r="GL265" i="39"/>
  <c r="GK265" i="39"/>
  <c r="GJ265" i="39"/>
  <c r="GI265" i="39"/>
  <c r="GH265" i="39"/>
  <c r="GG265" i="39"/>
  <c r="GF265" i="39"/>
  <c r="GE265" i="39"/>
  <c r="GD265" i="39"/>
  <c r="GC265" i="39"/>
  <c r="GB265" i="39"/>
  <c r="GA265" i="39"/>
  <c r="FZ265" i="39"/>
  <c r="FY265" i="39"/>
  <c r="FX265" i="39"/>
  <c r="FW265" i="39"/>
  <c r="FV265" i="39"/>
  <c r="FU265" i="39"/>
  <c r="GM264" i="39"/>
  <c r="GL264" i="39"/>
  <c r="GK264" i="39"/>
  <c r="GJ264" i="39"/>
  <c r="GI264" i="39"/>
  <c r="GH264" i="39"/>
  <c r="GG264" i="39"/>
  <c r="GF264" i="39"/>
  <c r="GE264" i="39"/>
  <c r="GD264" i="39"/>
  <c r="GC264" i="39"/>
  <c r="GB264" i="39"/>
  <c r="GA264" i="39"/>
  <c r="FZ264" i="39"/>
  <c r="FY264" i="39"/>
  <c r="FX264" i="39"/>
  <c r="FW264" i="39"/>
  <c r="FV264" i="39"/>
  <c r="FU264" i="39"/>
  <c r="GM263" i="39"/>
  <c r="GL263" i="39"/>
  <c r="GK263" i="39"/>
  <c r="GJ263" i="39"/>
  <c r="GI263" i="39"/>
  <c r="GH263" i="39"/>
  <c r="GG263" i="39"/>
  <c r="GF263" i="39"/>
  <c r="GE263" i="39"/>
  <c r="GD263" i="39"/>
  <c r="GC263" i="39"/>
  <c r="GB263" i="39"/>
  <c r="GA263" i="39"/>
  <c r="FZ263" i="39"/>
  <c r="FY263" i="39"/>
  <c r="FX263" i="39"/>
  <c r="FW263" i="39"/>
  <c r="FV263" i="39"/>
  <c r="FU263" i="39"/>
  <c r="GM262" i="39"/>
  <c r="GL262" i="39"/>
  <c r="GK262" i="39"/>
  <c r="GJ262" i="39"/>
  <c r="GI262" i="39"/>
  <c r="GH262" i="39"/>
  <c r="GG262" i="39"/>
  <c r="GF262" i="39"/>
  <c r="GE262" i="39"/>
  <c r="GD262" i="39"/>
  <c r="GC262" i="39"/>
  <c r="GB262" i="39"/>
  <c r="GA262" i="39"/>
  <c r="FZ262" i="39"/>
  <c r="FY262" i="39"/>
  <c r="FX262" i="39"/>
  <c r="FW262" i="39"/>
  <c r="FV262" i="39"/>
  <c r="FU262" i="39"/>
  <c r="GM261" i="39"/>
  <c r="GL261" i="39"/>
  <c r="GK261" i="39"/>
  <c r="GJ261" i="39"/>
  <c r="GI261" i="39"/>
  <c r="GH261" i="39"/>
  <c r="GG261" i="39"/>
  <c r="GF261" i="39"/>
  <c r="GE261" i="39"/>
  <c r="GD261" i="39"/>
  <c r="GC261" i="39"/>
  <c r="GB261" i="39"/>
  <c r="GA261" i="39"/>
  <c r="FZ261" i="39"/>
  <c r="FY261" i="39"/>
  <c r="FX261" i="39"/>
  <c r="FW261" i="39"/>
  <c r="FV261" i="39"/>
  <c r="FU261" i="39"/>
  <c r="GM258" i="39"/>
  <c r="GL258" i="39"/>
  <c r="GK258" i="39"/>
  <c r="GJ258" i="39"/>
  <c r="GI258" i="39"/>
  <c r="GH258" i="39"/>
  <c r="GG258" i="39"/>
  <c r="GF258" i="39"/>
  <c r="GE258" i="39"/>
  <c r="GD258" i="39"/>
  <c r="GC258" i="39"/>
  <c r="GB258" i="39"/>
  <c r="GA258" i="39"/>
  <c r="FZ258" i="39"/>
  <c r="FY258" i="39"/>
  <c r="FX258" i="39"/>
  <c r="FW258" i="39"/>
  <c r="FV258" i="39"/>
  <c r="FU258" i="39"/>
  <c r="GM257" i="39"/>
  <c r="GL257" i="39"/>
  <c r="GK257" i="39"/>
  <c r="GJ257" i="39"/>
  <c r="GI257" i="39"/>
  <c r="GH257" i="39"/>
  <c r="GG257" i="39"/>
  <c r="GF257" i="39"/>
  <c r="GE257" i="39"/>
  <c r="GD257" i="39"/>
  <c r="GC257" i="39"/>
  <c r="GB257" i="39"/>
  <c r="GA257" i="39"/>
  <c r="FZ257" i="39"/>
  <c r="FY257" i="39"/>
  <c r="FX257" i="39"/>
  <c r="FW257" i="39"/>
  <c r="FV257" i="39"/>
  <c r="FU257" i="39"/>
  <c r="GM256" i="39"/>
  <c r="GL256" i="39"/>
  <c r="GK256" i="39"/>
  <c r="GJ256" i="39"/>
  <c r="GI256" i="39"/>
  <c r="GH256" i="39"/>
  <c r="GG256" i="39"/>
  <c r="GF256" i="39"/>
  <c r="GE256" i="39"/>
  <c r="GD256" i="39"/>
  <c r="GC256" i="39"/>
  <c r="GB256" i="39"/>
  <c r="GA256" i="39"/>
  <c r="FZ256" i="39"/>
  <c r="FY256" i="39"/>
  <c r="FX256" i="39"/>
  <c r="FW256" i="39"/>
  <c r="FV256" i="39"/>
  <c r="FU256" i="39"/>
  <c r="GM255" i="39"/>
  <c r="GL255" i="39"/>
  <c r="GK255" i="39"/>
  <c r="GJ255" i="39"/>
  <c r="GI255" i="39"/>
  <c r="GH255" i="39"/>
  <c r="GG255" i="39"/>
  <c r="GF255" i="39"/>
  <c r="GE255" i="39"/>
  <c r="GD255" i="39"/>
  <c r="GC255" i="39"/>
  <c r="GB255" i="39"/>
  <c r="GA255" i="39"/>
  <c r="FZ255" i="39"/>
  <c r="FY255" i="39"/>
  <c r="FX255" i="39"/>
  <c r="FW255" i="39"/>
  <c r="FV255" i="39"/>
  <c r="FU255" i="39"/>
  <c r="GM254" i="39"/>
  <c r="GL254" i="39"/>
  <c r="GK254" i="39"/>
  <c r="GJ254" i="39"/>
  <c r="GI254" i="39"/>
  <c r="GH254" i="39"/>
  <c r="GG254" i="39"/>
  <c r="GF254" i="39"/>
  <c r="GE254" i="39"/>
  <c r="GD254" i="39"/>
  <c r="GC254" i="39"/>
  <c r="GB254" i="39"/>
  <c r="GA254" i="39"/>
  <c r="FZ254" i="39"/>
  <c r="FY254" i="39"/>
  <c r="FX254" i="39"/>
  <c r="FW254" i="39"/>
  <c r="FV254" i="39"/>
  <c r="FU254" i="39"/>
  <c r="GM253" i="39"/>
  <c r="GL253" i="39"/>
  <c r="GK253" i="39"/>
  <c r="GJ253" i="39"/>
  <c r="GI253" i="39"/>
  <c r="GH253" i="39"/>
  <c r="GG253" i="39"/>
  <c r="GF253" i="39"/>
  <c r="GE253" i="39"/>
  <c r="GD253" i="39"/>
  <c r="GC253" i="39"/>
  <c r="GB253" i="39"/>
  <c r="GA253" i="39"/>
  <c r="FZ253" i="39"/>
  <c r="FY253" i="39"/>
  <c r="FX253" i="39"/>
  <c r="FW253" i="39"/>
  <c r="FV253" i="39"/>
  <c r="FU253" i="39"/>
  <c r="GM252" i="39"/>
  <c r="GL252" i="39"/>
  <c r="GK252" i="39"/>
  <c r="GJ252" i="39"/>
  <c r="GI252" i="39"/>
  <c r="GH252" i="39"/>
  <c r="GG252" i="39"/>
  <c r="GF252" i="39"/>
  <c r="GE252" i="39"/>
  <c r="GD252" i="39"/>
  <c r="GC252" i="39"/>
  <c r="GB252" i="39"/>
  <c r="GA252" i="39"/>
  <c r="FZ252" i="39"/>
  <c r="FY252" i="39"/>
  <c r="FX252" i="39"/>
  <c r="FW252" i="39"/>
  <c r="FV252" i="39"/>
  <c r="FU252" i="39"/>
  <c r="GM251" i="39"/>
  <c r="GL251" i="39"/>
  <c r="GK251" i="39"/>
  <c r="GJ251" i="39"/>
  <c r="GI251" i="39"/>
  <c r="GH251" i="39"/>
  <c r="GG251" i="39"/>
  <c r="GF251" i="39"/>
  <c r="GE251" i="39"/>
  <c r="GD251" i="39"/>
  <c r="GC251" i="39"/>
  <c r="GB251" i="39"/>
  <c r="GA251" i="39"/>
  <c r="FZ251" i="39"/>
  <c r="FY251" i="39"/>
  <c r="FX251" i="39"/>
  <c r="FW251" i="39"/>
  <c r="FV251" i="39"/>
  <c r="FU251" i="39"/>
  <c r="GM250" i="39"/>
  <c r="GL250" i="39"/>
  <c r="GK250" i="39"/>
  <c r="GJ250" i="39"/>
  <c r="GI250" i="39"/>
  <c r="GH250" i="39"/>
  <c r="GG250" i="39"/>
  <c r="GF250" i="39"/>
  <c r="GE250" i="39"/>
  <c r="GD250" i="39"/>
  <c r="GC250" i="39"/>
  <c r="GB250" i="39"/>
  <c r="GA250" i="39"/>
  <c r="FZ250" i="39"/>
  <c r="FY250" i="39"/>
  <c r="FX250" i="39"/>
  <c r="FW250" i="39"/>
  <c r="FV250" i="39"/>
  <c r="FU250" i="39"/>
  <c r="GM249" i="39"/>
  <c r="GL249" i="39"/>
  <c r="GK249" i="39"/>
  <c r="GJ249" i="39"/>
  <c r="GI249" i="39"/>
  <c r="GH249" i="39"/>
  <c r="GG249" i="39"/>
  <c r="GF249" i="39"/>
  <c r="GE249" i="39"/>
  <c r="GD249" i="39"/>
  <c r="GC249" i="39"/>
  <c r="GB249" i="39"/>
  <c r="GA249" i="39"/>
  <c r="FZ249" i="39"/>
  <c r="FY249" i="39"/>
  <c r="FX249" i="39"/>
  <c r="FW249" i="39"/>
  <c r="FV249" i="39"/>
  <c r="FU249" i="39"/>
  <c r="GM248" i="39"/>
  <c r="GL248" i="39"/>
  <c r="GK248" i="39"/>
  <c r="GJ248" i="39"/>
  <c r="GI248" i="39"/>
  <c r="GH248" i="39"/>
  <c r="GG248" i="39"/>
  <c r="GF248" i="39"/>
  <c r="GE248" i="39"/>
  <c r="GD248" i="39"/>
  <c r="GC248" i="39"/>
  <c r="GB248" i="39"/>
  <c r="GA248" i="39"/>
  <c r="FZ248" i="39"/>
  <c r="FY248" i="39"/>
  <c r="FX248" i="39"/>
  <c r="FW248" i="39"/>
  <c r="FV248" i="39"/>
  <c r="FU248" i="39"/>
  <c r="GM246" i="39"/>
  <c r="GL246" i="39"/>
  <c r="GK246" i="39"/>
  <c r="GJ246" i="39"/>
  <c r="GI246" i="39"/>
  <c r="GH246" i="39"/>
  <c r="GG246" i="39"/>
  <c r="GF246" i="39"/>
  <c r="GE246" i="39"/>
  <c r="GD246" i="39"/>
  <c r="GC246" i="39"/>
  <c r="GB246" i="39"/>
  <c r="GA246" i="39"/>
  <c r="FZ246" i="39"/>
  <c r="FY246" i="39"/>
  <c r="FX246" i="39"/>
  <c r="FW246" i="39"/>
  <c r="FV246" i="39"/>
  <c r="FU246" i="39"/>
  <c r="GM245" i="39"/>
  <c r="GL245" i="39"/>
  <c r="GK245" i="39"/>
  <c r="GJ245" i="39"/>
  <c r="GI245" i="39"/>
  <c r="GH245" i="39"/>
  <c r="GG245" i="39"/>
  <c r="GF245" i="39"/>
  <c r="GE245" i="39"/>
  <c r="GD245" i="39"/>
  <c r="GC245" i="39"/>
  <c r="GB245" i="39"/>
  <c r="GA245" i="39"/>
  <c r="FZ245" i="39"/>
  <c r="FY245" i="39"/>
  <c r="FX245" i="39"/>
  <c r="FW245" i="39"/>
  <c r="FV245" i="39"/>
  <c r="FU245" i="39"/>
  <c r="GM244" i="39"/>
  <c r="GL244" i="39"/>
  <c r="GK244" i="39"/>
  <c r="GJ244" i="39"/>
  <c r="GI244" i="39"/>
  <c r="GH244" i="39"/>
  <c r="GG244" i="39"/>
  <c r="GF244" i="39"/>
  <c r="GE244" i="39"/>
  <c r="GD244" i="39"/>
  <c r="GC244" i="39"/>
  <c r="GB244" i="39"/>
  <c r="GA244" i="39"/>
  <c r="FZ244" i="39"/>
  <c r="FY244" i="39"/>
  <c r="FX244" i="39"/>
  <c r="FW244" i="39"/>
  <c r="FV244" i="39"/>
  <c r="FU244" i="39"/>
  <c r="GM243" i="39"/>
  <c r="GL243" i="39"/>
  <c r="GK243" i="39"/>
  <c r="GJ243" i="39"/>
  <c r="GI243" i="39"/>
  <c r="GH243" i="39"/>
  <c r="GG243" i="39"/>
  <c r="GF243" i="39"/>
  <c r="GE243" i="39"/>
  <c r="GD243" i="39"/>
  <c r="GC243" i="39"/>
  <c r="GB243" i="39"/>
  <c r="GA243" i="39"/>
  <c r="FZ243" i="39"/>
  <c r="FY243" i="39"/>
  <c r="FX243" i="39"/>
  <c r="FW243" i="39"/>
  <c r="FV243" i="39"/>
  <c r="FU243" i="39"/>
  <c r="GM242" i="39"/>
  <c r="GL242" i="39"/>
  <c r="GK242" i="39"/>
  <c r="GJ242" i="39"/>
  <c r="GI242" i="39"/>
  <c r="GH242" i="39"/>
  <c r="GG242" i="39"/>
  <c r="GF242" i="39"/>
  <c r="GE242" i="39"/>
  <c r="GD242" i="39"/>
  <c r="GC242" i="39"/>
  <c r="GB242" i="39"/>
  <c r="GA242" i="39"/>
  <c r="FZ242" i="39"/>
  <c r="FY242" i="39"/>
  <c r="FX242" i="39"/>
  <c r="FW242" i="39"/>
  <c r="FV242" i="39"/>
  <c r="FU242" i="39"/>
  <c r="GM241" i="39"/>
  <c r="GL241" i="39"/>
  <c r="GK241" i="39"/>
  <c r="GJ241" i="39"/>
  <c r="GI241" i="39"/>
  <c r="GH241" i="39"/>
  <c r="GG241" i="39"/>
  <c r="GF241" i="39"/>
  <c r="GE241" i="39"/>
  <c r="GD241" i="39"/>
  <c r="GC241" i="39"/>
  <c r="GB241" i="39"/>
  <c r="GA241" i="39"/>
  <c r="FZ241" i="39"/>
  <c r="FY241" i="39"/>
  <c r="FX241" i="39"/>
  <c r="FW241" i="39"/>
  <c r="FV241" i="39"/>
  <c r="FU241" i="39"/>
  <c r="GM240" i="39"/>
  <c r="GL240" i="39"/>
  <c r="GK240" i="39"/>
  <c r="GJ240" i="39"/>
  <c r="GI240" i="39"/>
  <c r="GH240" i="39"/>
  <c r="GG240" i="39"/>
  <c r="GF240" i="39"/>
  <c r="GE240" i="39"/>
  <c r="GD240" i="39"/>
  <c r="GC240" i="39"/>
  <c r="GB240" i="39"/>
  <c r="GA240" i="39"/>
  <c r="FZ240" i="39"/>
  <c r="FY240" i="39"/>
  <c r="FX240" i="39"/>
  <c r="FW240" i="39"/>
  <c r="FV240" i="39"/>
  <c r="FU240" i="39"/>
  <c r="GM239" i="39"/>
  <c r="GL239" i="39"/>
  <c r="GK239" i="39"/>
  <c r="GJ239" i="39"/>
  <c r="GI239" i="39"/>
  <c r="GH239" i="39"/>
  <c r="GG239" i="39"/>
  <c r="GF239" i="39"/>
  <c r="GE239" i="39"/>
  <c r="GD239" i="39"/>
  <c r="GC239" i="39"/>
  <c r="GB239" i="39"/>
  <c r="GA239" i="39"/>
  <c r="FZ239" i="39"/>
  <c r="FY239" i="39"/>
  <c r="FX239" i="39"/>
  <c r="FW239" i="39"/>
  <c r="FV239" i="39"/>
  <c r="FU239" i="39"/>
  <c r="GM238" i="39"/>
  <c r="GL238" i="39"/>
  <c r="GK238" i="39"/>
  <c r="GJ238" i="39"/>
  <c r="GI238" i="39"/>
  <c r="GH238" i="39"/>
  <c r="GG238" i="39"/>
  <c r="GF238" i="39"/>
  <c r="GE238" i="39"/>
  <c r="GD238" i="39"/>
  <c r="GC238" i="39"/>
  <c r="GB238" i="39"/>
  <c r="GA238" i="39"/>
  <c r="FZ238" i="39"/>
  <c r="FY238" i="39"/>
  <c r="FX238" i="39"/>
  <c r="FW238" i="39"/>
  <c r="FV238" i="39"/>
  <c r="FU238" i="39"/>
  <c r="GM236" i="39"/>
  <c r="GL236" i="39"/>
  <c r="GK236" i="39"/>
  <c r="GJ236" i="39"/>
  <c r="GI236" i="39"/>
  <c r="GH236" i="39"/>
  <c r="GG236" i="39"/>
  <c r="GF236" i="39"/>
  <c r="GE236" i="39"/>
  <c r="GD236" i="39"/>
  <c r="GC236" i="39"/>
  <c r="GB236" i="39"/>
  <c r="GA236" i="39"/>
  <c r="FZ236" i="39"/>
  <c r="FY236" i="39"/>
  <c r="FX236" i="39"/>
  <c r="FW236" i="39"/>
  <c r="FV236" i="39"/>
  <c r="FU236" i="39"/>
  <c r="GM235" i="39"/>
  <c r="GL235" i="39"/>
  <c r="GK235" i="39"/>
  <c r="GJ235" i="39"/>
  <c r="GI235" i="39"/>
  <c r="GH235" i="39"/>
  <c r="GG235" i="39"/>
  <c r="GF235" i="39"/>
  <c r="GE235" i="39"/>
  <c r="GD235" i="39"/>
  <c r="GC235" i="39"/>
  <c r="GB235" i="39"/>
  <c r="GA235" i="39"/>
  <c r="FZ235" i="39"/>
  <c r="FY235" i="39"/>
  <c r="FX235" i="39"/>
  <c r="FW235" i="39"/>
  <c r="FV235" i="39"/>
  <c r="FU235" i="39"/>
  <c r="GM234" i="39"/>
  <c r="GL234" i="39"/>
  <c r="GK234" i="39"/>
  <c r="GJ234" i="39"/>
  <c r="GI234" i="39"/>
  <c r="GH234" i="39"/>
  <c r="GG234" i="39"/>
  <c r="GF234" i="39"/>
  <c r="GE234" i="39"/>
  <c r="GD234" i="39"/>
  <c r="GC234" i="39"/>
  <c r="GB234" i="39"/>
  <c r="GA234" i="39"/>
  <c r="FZ234" i="39"/>
  <c r="FY234" i="39"/>
  <c r="FX234" i="39"/>
  <c r="FW234" i="39"/>
  <c r="FV234" i="39"/>
  <c r="FU234" i="39"/>
  <c r="GM233" i="39"/>
  <c r="GL233" i="39"/>
  <c r="GK233" i="39"/>
  <c r="GJ233" i="39"/>
  <c r="GI233" i="39"/>
  <c r="GH233" i="39"/>
  <c r="GG233" i="39"/>
  <c r="GF233" i="39"/>
  <c r="GE233" i="39"/>
  <c r="GD233" i="39"/>
  <c r="GC233" i="39"/>
  <c r="GB233" i="39"/>
  <c r="GA233" i="39"/>
  <c r="FZ233" i="39"/>
  <c r="FY233" i="39"/>
  <c r="FX233" i="39"/>
  <c r="FW233" i="39"/>
  <c r="FV233" i="39"/>
  <c r="FU233" i="39"/>
  <c r="GM232" i="39"/>
  <c r="GL232" i="39"/>
  <c r="GK232" i="39"/>
  <c r="GJ232" i="39"/>
  <c r="GI232" i="39"/>
  <c r="GH232" i="39"/>
  <c r="GG232" i="39"/>
  <c r="GF232" i="39"/>
  <c r="GE232" i="39"/>
  <c r="GD232" i="39"/>
  <c r="GC232" i="39"/>
  <c r="GB232" i="39"/>
  <c r="GA232" i="39"/>
  <c r="FZ232" i="39"/>
  <c r="FY232" i="39"/>
  <c r="FX232" i="39"/>
  <c r="FW232" i="39"/>
  <c r="FV232" i="39"/>
  <c r="FU232" i="39"/>
  <c r="GM231" i="39"/>
  <c r="GL231" i="39"/>
  <c r="GK231" i="39"/>
  <c r="GJ231" i="39"/>
  <c r="GI231" i="39"/>
  <c r="GH231" i="39"/>
  <c r="GG231" i="39"/>
  <c r="GF231" i="39"/>
  <c r="GE231" i="39"/>
  <c r="GD231" i="39"/>
  <c r="GC231" i="39"/>
  <c r="GB231" i="39"/>
  <c r="GA231" i="39"/>
  <c r="FZ231" i="39"/>
  <c r="FY231" i="39"/>
  <c r="FX231" i="39"/>
  <c r="FW231" i="39"/>
  <c r="FV231" i="39"/>
  <c r="FU231" i="39"/>
  <c r="GM230" i="39"/>
  <c r="GL230" i="39"/>
  <c r="GK230" i="39"/>
  <c r="GJ230" i="39"/>
  <c r="GI230" i="39"/>
  <c r="GH230" i="39"/>
  <c r="GG230" i="39"/>
  <c r="GF230" i="39"/>
  <c r="GE230" i="39"/>
  <c r="GD230" i="39"/>
  <c r="GC230" i="39"/>
  <c r="GB230" i="39"/>
  <c r="GA230" i="39"/>
  <c r="FZ230" i="39"/>
  <c r="FY230" i="39"/>
  <c r="FX230" i="39"/>
  <c r="FW230" i="39"/>
  <c r="FV230" i="39"/>
  <c r="FU230" i="39"/>
  <c r="GM229" i="39"/>
  <c r="GL229" i="39"/>
  <c r="GK229" i="39"/>
  <c r="GJ229" i="39"/>
  <c r="GI229" i="39"/>
  <c r="GH229" i="39"/>
  <c r="GG229" i="39"/>
  <c r="GF229" i="39"/>
  <c r="GE229" i="39"/>
  <c r="GD229" i="39"/>
  <c r="GC229" i="39"/>
  <c r="GB229" i="39"/>
  <c r="GA229" i="39"/>
  <c r="FZ229" i="39"/>
  <c r="FY229" i="39"/>
  <c r="FX229" i="39"/>
  <c r="FW229" i="39"/>
  <c r="FV229" i="39"/>
  <c r="FU229" i="39"/>
  <c r="GM228" i="39"/>
  <c r="GL228" i="39"/>
  <c r="GK228" i="39"/>
  <c r="GJ228" i="39"/>
  <c r="GI228" i="39"/>
  <c r="GH228" i="39"/>
  <c r="GG228" i="39"/>
  <c r="GF228" i="39"/>
  <c r="GE228" i="39"/>
  <c r="GD228" i="39"/>
  <c r="GC228" i="39"/>
  <c r="GB228" i="39"/>
  <c r="GA228" i="39"/>
  <c r="FZ228" i="39"/>
  <c r="FY228" i="39"/>
  <c r="FX228" i="39"/>
  <c r="FW228" i="39"/>
  <c r="FV228" i="39"/>
  <c r="FU228" i="39"/>
  <c r="GM227" i="39"/>
  <c r="GL227" i="39"/>
  <c r="GK227" i="39"/>
  <c r="GJ227" i="39"/>
  <c r="GI227" i="39"/>
  <c r="GH227" i="39"/>
  <c r="GG227" i="39"/>
  <c r="GF227" i="39"/>
  <c r="GE227" i="39"/>
  <c r="GD227" i="39"/>
  <c r="GC227" i="39"/>
  <c r="GB227" i="39"/>
  <c r="GA227" i="39"/>
  <c r="FZ227" i="39"/>
  <c r="FY227" i="39"/>
  <c r="FX227" i="39"/>
  <c r="FW227" i="39"/>
  <c r="FV227" i="39"/>
  <c r="FU227" i="39"/>
  <c r="GM226" i="39"/>
  <c r="GL226" i="39"/>
  <c r="GK226" i="39"/>
  <c r="GJ226" i="39"/>
  <c r="GI226" i="39"/>
  <c r="GH226" i="39"/>
  <c r="GG226" i="39"/>
  <c r="GF226" i="39"/>
  <c r="GE226" i="39"/>
  <c r="GD226" i="39"/>
  <c r="GC226" i="39"/>
  <c r="GB226" i="39"/>
  <c r="GA226" i="39"/>
  <c r="FZ226" i="39"/>
  <c r="FY226" i="39"/>
  <c r="FX226" i="39"/>
  <c r="FW226" i="39"/>
  <c r="FV226" i="39"/>
  <c r="FU226" i="39"/>
  <c r="GM225" i="39"/>
  <c r="GL225" i="39"/>
  <c r="GK225" i="39"/>
  <c r="GJ225" i="39"/>
  <c r="GI225" i="39"/>
  <c r="GH225" i="39"/>
  <c r="GG225" i="39"/>
  <c r="GF225" i="39"/>
  <c r="GE225" i="39"/>
  <c r="GD225" i="39"/>
  <c r="GC225" i="39"/>
  <c r="GB225" i="39"/>
  <c r="GA225" i="39"/>
  <c r="FZ225" i="39"/>
  <c r="FY225" i="39"/>
  <c r="FX225" i="39"/>
  <c r="FW225" i="39"/>
  <c r="FV225" i="39"/>
  <c r="FU225" i="39"/>
  <c r="GM224" i="39"/>
  <c r="GL224" i="39"/>
  <c r="GK224" i="39"/>
  <c r="GJ224" i="39"/>
  <c r="GI224" i="39"/>
  <c r="GH224" i="39"/>
  <c r="GG224" i="39"/>
  <c r="GF224" i="39"/>
  <c r="GE224" i="39"/>
  <c r="GD224" i="39"/>
  <c r="GC224" i="39"/>
  <c r="GB224" i="39"/>
  <c r="GA224" i="39"/>
  <c r="FZ224" i="39"/>
  <c r="FY224" i="39"/>
  <c r="FX224" i="39"/>
  <c r="FW224" i="39"/>
  <c r="FV224" i="39"/>
  <c r="FU224" i="39"/>
  <c r="GM223" i="39"/>
  <c r="GL223" i="39"/>
  <c r="GK223" i="39"/>
  <c r="GJ223" i="39"/>
  <c r="GI223" i="39"/>
  <c r="GH223" i="39"/>
  <c r="GG223" i="39"/>
  <c r="GF223" i="39"/>
  <c r="GE223" i="39"/>
  <c r="GD223" i="39"/>
  <c r="GC223" i="39"/>
  <c r="GB223" i="39"/>
  <c r="GA223" i="39"/>
  <c r="FZ223" i="39"/>
  <c r="FY223" i="39"/>
  <c r="FX223" i="39"/>
  <c r="FW223" i="39"/>
  <c r="FV223" i="39"/>
  <c r="FU223" i="39"/>
  <c r="GM222" i="39"/>
  <c r="GL222" i="39"/>
  <c r="GK222" i="39"/>
  <c r="GJ222" i="39"/>
  <c r="GI222" i="39"/>
  <c r="GH222" i="39"/>
  <c r="GG222" i="39"/>
  <c r="GF222" i="39"/>
  <c r="GE222" i="39"/>
  <c r="GD222" i="39"/>
  <c r="GC222" i="39"/>
  <c r="GB222" i="39"/>
  <c r="GA222" i="39"/>
  <c r="FZ222" i="39"/>
  <c r="FY222" i="39"/>
  <c r="FX222" i="39"/>
  <c r="FW222" i="39"/>
  <c r="FV222" i="39"/>
  <c r="FU222" i="39"/>
  <c r="GM221" i="39"/>
  <c r="GL221" i="39"/>
  <c r="GK221" i="39"/>
  <c r="GJ221" i="39"/>
  <c r="GI221" i="39"/>
  <c r="GH221" i="39"/>
  <c r="GG221" i="39"/>
  <c r="GF221" i="39"/>
  <c r="GE221" i="39"/>
  <c r="GD221" i="39"/>
  <c r="GC221" i="39"/>
  <c r="GB221" i="39"/>
  <c r="GA221" i="39"/>
  <c r="FZ221" i="39"/>
  <c r="FY221" i="39"/>
  <c r="FX221" i="39"/>
  <c r="FW221" i="39"/>
  <c r="FV221" i="39"/>
  <c r="FU221" i="39"/>
  <c r="GM220" i="39"/>
  <c r="GL220" i="39"/>
  <c r="GK220" i="39"/>
  <c r="GJ220" i="39"/>
  <c r="GI220" i="39"/>
  <c r="GH220" i="39"/>
  <c r="GG220" i="39"/>
  <c r="GF220" i="39"/>
  <c r="GE220" i="39"/>
  <c r="GD220" i="39"/>
  <c r="GC220" i="39"/>
  <c r="GB220" i="39"/>
  <c r="GA220" i="39"/>
  <c r="FZ220" i="39"/>
  <c r="FY220" i="39"/>
  <c r="FX220" i="39"/>
  <c r="FW220" i="39"/>
  <c r="FV220" i="39"/>
  <c r="FU220" i="39"/>
  <c r="GM219" i="39"/>
  <c r="GL219" i="39"/>
  <c r="GK219" i="39"/>
  <c r="GJ219" i="39"/>
  <c r="GI219" i="39"/>
  <c r="GH219" i="39"/>
  <c r="GG219" i="39"/>
  <c r="GF219" i="39"/>
  <c r="GE219" i="39"/>
  <c r="GD219" i="39"/>
  <c r="GC219" i="39"/>
  <c r="GB219" i="39"/>
  <c r="GA219" i="39"/>
  <c r="FZ219" i="39"/>
  <c r="FY219" i="39"/>
  <c r="FX219" i="39"/>
  <c r="FW219" i="39"/>
  <c r="FV219" i="39"/>
  <c r="FU219" i="39"/>
  <c r="GM218" i="39"/>
  <c r="GL218" i="39"/>
  <c r="GK218" i="39"/>
  <c r="GJ218" i="39"/>
  <c r="GI218" i="39"/>
  <c r="GH218" i="39"/>
  <c r="GG218" i="39"/>
  <c r="GF218" i="39"/>
  <c r="GE218" i="39"/>
  <c r="GD218" i="39"/>
  <c r="GC218" i="39"/>
  <c r="GB218" i="39"/>
  <c r="GA218" i="39"/>
  <c r="FZ218" i="39"/>
  <c r="FY218" i="39"/>
  <c r="FX218" i="39"/>
  <c r="FW218" i="39"/>
  <c r="FV218" i="39"/>
  <c r="FU218" i="39"/>
  <c r="GM217" i="39"/>
  <c r="GL217" i="39"/>
  <c r="GK217" i="39"/>
  <c r="GJ217" i="39"/>
  <c r="GI217" i="39"/>
  <c r="GH217" i="39"/>
  <c r="GG217" i="39"/>
  <c r="GF217" i="39"/>
  <c r="GE217" i="39"/>
  <c r="GD217" i="39"/>
  <c r="GC217" i="39"/>
  <c r="GB217" i="39"/>
  <c r="GA217" i="39"/>
  <c r="FZ217" i="39"/>
  <c r="FY217" i="39"/>
  <c r="FX217" i="39"/>
  <c r="FW217" i="39"/>
  <c r="FV217" i="39"/>
  <c r="FU217" i="39"/>
  <c r="GM216" i="39"/>
  <c r="GL216" i="39"/>
  <c r="GK216" i="39"/>
  <c r="GJ216" i="39"/>
  <c r="GI216" i="39"/>
  <c r="GH216" i="39"/>
  <c r="GG216" i="39"/>
  <c r="GF216" i="39"/>
  <c r="GE216" i="39"/>
  <c r="GD216" i="39"/>
  <c r="GC216" i="39"/>
  <c r="GB216" i="39"/>
  <c r="GA216" i="39"/>
  <c r="FZ216" i="39"/>
  <c r="FY216" i="39"/>
  <c r="FX216" i="39"/>
  <c r="FW216" i="39"/>
  <c r="FV216" i="39"/>
  <c r="FU216" i="39"/>
  <c r="GM215" i="39"/>
  <c r="GL215" i="39"/>
  <c r="GK215" i="39"/>
  <c r="GJ215" i="39"/>
  <c r="GI215" i="39"/>
  <c r="GH215" i="39"/>
  <c r="GG215" i="39"/>
  <c r="GF215" i="39"/>
  <c r="GE215" i="39"/>
  <c r="GD215" i="39"/>
  <c r="GC215" i="39"/>
  <c r="GB215" i="39"/>
  <c r="GA215" i="39"/>
  <c r="FZ215" i="39"/>
  <c r="FY215" i="39"/>
  <c r="FX215" i="39"/>
  <c r="FW215" i="39"/>
  <c r="FV215" i="39"/>
  <c r="FU215" i="39"/>
  <c r="GM214" i="39"/>
  <c r="GL214" i="39"/>
  <c r="GK214" i="39"/>
  <c r="GJ214" i="39"/>
  <c r="GI214" i="39"/>
  <c r="GH214" i="39"/>
  <c r="GG214" i="39"/>
  <c r="GF214" i="39"/>
  <c r="GE214" i="39"/>
  <c r="GD214" i="39"/>
  <c r="GC214" i="39"/>
  <c r="GB214" i="39"/>
  <c r="GA214" i="39"/>
  <c r="FZ214" i="39"/>
  <c r="FY214" i="39"/>
  <c r="FX214" i="39"/>
  <c r="FW214" i="39"/>
  <c r="FV214" i="39"/>
  <c r="FU214" i="39"/>
  <c r="GM213" i="39"/>
  <c r="GL213" i="39"/>
  <c r="GK213" i="39"/>
  <c r="GJ213" i="39"/>
  <c r="GI213" i="39"/>
  <c r="GH213" i="39"/>
  <c r="GG213" i="39"/>
  <c r="GF213" i="39"/>
  <c r="GE213" i="39"/>
  <c r="GD213" i="39"/>
  <c r="GC213" i="39"/>
  <c r="GB213" i="39"/>
  <c r="GA213" i="39"/>
  <c r="FZ213" i="39"/>
  <c r="FY213" i="39"/>
  <c r="FX213" i="39"/>
  <c r="FW213" i="39"/>
  <c r="FV213" i="39"/>
  <c r="FU213" i="39"/>
  <c r="GM212" i="39"/>
  <c r="GL212" i="39"/>
  <c r="GK212" i="39"/>
  <c r="GJ212" i="39"/>
  <c r="GI212" i="39"/>
  <c r="GH212" i="39"/>
  <c r="GG212" i="39"/>
  <c r="GF212" i="39"/>
  <c r="GE212" i="39"/>
  <c r="GD212" i="39"/>
  <c r="GC212" i="39"/>
  <c r="GB212" i="39"/>
  <c r="GA212" i="39"/>
  <c r="FZ212" i="39"/>
  <c r="FY212" i="39"/>
  <c r="FX212" i="39"/>
  <c r="FW212" i="39"/>
  <c r="FV212" i="39"/>
  <c r="FU212" i="39"/>
  <c r="GM211" i="39"/>
  <c r="GL211" i="39"/>
  <c r="GK211" i="39"/>
  <c r="GJ211" i="39"/>
  <c r="GI211" i="39"/>
  <c r="GH211" i="39"/>
  <c r="GG211" i="39"/>
  <c r="GF211" i="39"/>
  <c r="GE211" i="39"/>
  <c r="GD211" i="39"/>
  <c r="GC211" i="39"/>
  <c r="GB211" i="39"/>
  <c r="GA211" i="39"/>
  <c r="FZ211" i="39"/>
  <c r="FY211" i="39"/>
  <c r="FX211" i="39"/>
  <c r="FW211" i="39"/>
  <c r="FV211" i="39"/>
  <c r="FU211" i="39"/>
  <c r="GM210" i="39"/>
  <c r="GL210" i="39"/>
  <c r="GK210" i="39"/>
  <c r="GJ210" i="39"/>
  <c r="GI210" i="39"/>
  <c r="GH210" i="39"/>
  <c r="GG210" i="39"/>
  <c r="GF210" i="39"/>
  <c r="GE210" i="39"/>
  <c r="GD210" i="39"/>
  <c r="GC210" i="39"/>
  <c r="GB210" i="39"/>
  <c r="GA210" i="39"/>
  <c r="FZ210" i="39"/>
  <c r="FY210" i="39"/>
  <c r="FX210" i="39"/>
  <c r="FW210" i="39"/>
  <c r="FV210" i="39"/>
  <c r="FU210" i="39"/>
  <c r="GM209" i="39"/>
  <c r="GL209" i="39"/>
  <c r="GK209" i="39"/>
  <c r="GJ209" i="39"/>
  <c r="GI209" i="39"/>
  <c r="GH209" i="39"/>
  <c r="GG209" i="39"/>
  <c r="GF209" i="39"/>
  <c r="GE209" i="39"/>
  <c r="GD209" i="39"/>
  <c r="GC209" i="39"/>
  <c r="GB209" i="39"/>
  <c r="GA209" i="39"/>
  <c r="FZ209" i="39"/>
  <c r="FY209" i="39"/>
  <c r="FX209" i="39"/>
  <c r="FW209" i="39"/>
  <c r="FV209" i="39"/>
  <c r="FU209" i="39"/>
  <c r="GM208" i="39"/>
  <c r="GL208" i="39"/>
  <c r="GK208" i="39"/>
  <c r="GJ208" i="39"/>
  <c r="GI208" i="39"/>
  <c r="GH208" i="39"/>
  <c r="GG208" i="39"/>
  <c r="GF208" i="39"/>
  <c r="GE208" i="39"/>
  <c r="GD208" i="39"/>
  <c r="GC208" i="39"/>
  <c r="GB208" i="39"/>
  <c r="GA208" i="39"/>
  <c r="FZ208" i="39"/>
  <c r="FY208" i="39"/>
  <c r="FX208" i="39"/>
  <c r="FW208" i="39"/>
  <c r="FV208" i="39"/>
  <c r="FU208" i="39"/>
  <c r="GM207" i="39"/>
  <c r="GL207" i="39"/>
  <c r="GK207" i="39"/>
  <c r="GJ207" i="39"/>
  <c r="GI207" i="39"/>
  <c r="GH207" i="39"/>
  <c r="GG207" i="39"/>
  <c r="GF207" i="39"/>
  <c r="GE207" i="39"/>
  <c r="GD207" i="39"/>
  <c r="GC207" i="39"/>
  <c r="GB207" i="39"/>
  <c r="GA207" i="39"/>
  <c r="FZ207" i="39"/>
  <c r="FY207" i="39"/>
  <c r="FX207" i="39"/>
  <c r="FW207" i="39"/>
  <c r="FV207" i="39"/>
  <c r="FU207" i="39"/>
  <c r="GM206" i="39"/>
  <c r="GL206" i="39"/>
  <c r="GK206" i="39"/>
  <c r="GJ206" i="39"/>
  <c r="GI206" i="39"/>
  <c r="GH206" i="39"/>
  <c r="GG206" i="39"/>
  <c r="GF206" i="39"/>
  <c r="GE206" i="39"/>
  <c r="GD206" i="39"/>
  <c r="GC206" i="39"/>
  <c r="GB206" i="39"/>
  <c r="GA206" i="39"/>
  <c r="FZ206" i="39"/>
  <c r="FY206" i="39"/>
  <c r="FX206" i="39"/>
  <c r="FW206" i="39"/>
  <c r="FV206" i="39"/>
  <c r="FU206" i="39"/>
  <c r="GM205" i="39"/>
  <c r="GL205" i="39"/>
  <c r="GK205" i="39"/>
  <c r="GJ205" i="39"/>
  <c r="GI205" i="39"/>
  <c r="GH205" i="39"/>
  <c r="GG205" i="39"/>
  <c r="GF205" i="39"/>
  <c r="GE205" i="39"/>
  <c r="GD205" i="39"/>
  <c r="GC205" i="39"/>
  <c r="GB205" i="39"/>
  <c r="GA205" i="39"/>
  <c r="FZ205" i="39"/>
  <c r="FY205" i="39"/>
  <c r="FX205" i="39"/>
  <c r="FW205" i="39"/>
  <c r="FV205" i="39"/>
  <c r="FU205" i="39"/>
  <c r="GM204" i="39"/>
  <c r="GL204" i="39"/>
  <c r="GK204" i="39"/>
  <c r="GJ204" i="39"/>
  <c r="GI204" i="39"/>
  <c r="GH204" i="39"/>
  <c r="GG204" i="39"/>
  <c r="GF204" i="39"/>
  <c r="GE204" i="39"/>
  <c r="GD204" i="39"/>
  <c r="GC204" i="39"/>
  <c r="GB204" i="39"/>
  <c r="GA204" i="39"/>
  <c r="FZ204" i="39"/>
  <c r="FY204" i="39"/>
  <c r="FX204" i="39"/>
  <c r="FW204" i="39"/>
  <c r="FV204" i="39"/>
  <c r="FU204" i="39"/>
  <c r="GM203" i="39"/>
  <c r="GL203" i="39"/>
  <c r="GK203" i="39"/>
  <c r="GJ203" i="39"/>
  <c r="GI203" i="39"/>
  <c r="GH203" i="39"/>
  <c r="GG203" i="39"/>
  <c r="GF203" i="39"/>
  <c r="GE203" i="39"/>
  <c r="GD203" i="39"/>
  <c r="GC203" i="39"/>
  <c r="GB203" i="39"/>
  <c r="GA203" i="39"/>
  <c r="FZ203" i="39"/>
  <c r="FY203" i="39"/>
  <c r="FX203" i="39"/>
  <c r="FW203" i="39"/>
  <c r="FV203" i="39"/>
  <c r="FU203" i="39"/>
  <c r="GM202" i="39"/>
  <c r="GL202" i="39"/>
  <c r="GK202" i="39"/>
  <c r="GJ202" i="39"/>
  <c r="GI202" i="39"/>
  <c r="GH202" i="39"/>
  <c r="GG202" i="39"/>
  <c r="GF202" i="39"/>
  <c r="GE202" i="39"/>
  <c r="GD202" i="39"/>
  <c r="GC202" i="39"/>
  <c r="GB202" i="39"/>
  <c r="GA202" i="39"/>
  <c r="FZ202" i="39"/>
  <c r="FY202" i="39"/>
  <c r="FX202" i="39"/>
  <c r="FW202" i="39"/>
  <c r="FV202" i="39"/>
  <c r="FU202" i="39"/>
  <c r="GM201" i="39"/>
  <c r="GL201" i="39"/>
  <c r="GK201" i="39"/>
  <c r="GJ201" i="39"/>
  <c r="GI201" i="39"/>
  <c r="GH201" i="39"/>
  <c r="GG201" i="39"/>
  <c r="GF201" i="39"/>
  <c r="GE201" i="39"/>
  <c r="GD201" i="39"/>
  <c r="GC201" i="39"/>
  <c r="GB201" i="39"/>
  <c r="GA201" i="39"/>
  <c r="FZ201" i="39"/>
  <c r="FY201" i="39"/>
  <c r="FX201" i="39"/>
  <c r="FW201" i="39"/>
  <c r="FV201" i="39"/>
  <c r="FU201" i="39"/>
  <c r="GM200" i="39"/>
  <c r="GL200" i="39"/>
  <c r="GK200" i="39"/>
  <c r="GJ200" i="39"/>
  <c r="GI200" i="39"/>
  <c r="GH200" i="39"/>
  <c r="GG200" i="39"/>
  <c r="GF200" i="39"/>
  <c r="GE200" i="39"/>
  <c r="GD200" i="39"/>
  <c r="GC200" i="39"/>
  <c r="GB200" i="39"/>
  <c r="GA200" i="39"/>
  <c r="FZ200" i="39"/>
  <c r="FY200" i="39"/>
  <c r="FX200" i="39"/>
  <c r="FW200" i="39"/>
  <c r="FV200" i="39"/>
  <c r="FU200" i="39"/>
  <c r="GM199" i="39"/>
  <c r="GL199" i="39"/>
  <c r="GK199" i="39"/>
  <c r="GJ199" i="39"/>
  <c r="GI199" i="39"/>
  <c r="GH199" i="39"/>
  <c r="GG199" i="39"/>
  <c r="GF199" i="39"/>
  <c r="GE199" i="39"/>
  <c r="GD199" i="39"/>
  <c r="GC199" i="39"/>
  <c r="GB199" i="39"/>
  <c r="GA199" i="39"/>
  <c r="FZ199" i="39"/>
  <c r="FY199" i="39"/>
  <c r="FX199" i="39"/>
  <c r="FW199" i="39"/>
  <c r="FV199" i="39"/>
  <c r="FU199" i="39"/>
  <c r="GM198" i="39"/>
  <c r="GL198" i="39"/>
  <c r="GK198" i="39"/>
  <c r="GJ198" i="39"/>
  <c r="GI198" i="39"/>
  <c r="GH198" i="39"/>
  <c r="GG198" i="39"/>
  <c r="GF198" i="39"/>
  <c r="GE198" i="39"/>
  <c r="GD198" i="39"/>
  <c r="GC198" i="39"/>
  <c r="GB198" i="39"/>
  <c r="GA198" i="39"/>
  <c r="FZ198" i="39"/>
  <c r="FY198" i="39"/>
  <c r="FX198" i="39"/>
  <c r="FW198" i="39"/>
  <c r="FV198" i="39"/>
  <c r="FU198" i="39"/>
  <c r="GM197" i="39"/>
  <c r="GL197" i="39"/>
  <c r="GK197" i="39"/>
  <c r="GJ197" i="39"/>
  <c r="GI197" i="39"/>
  <c r="GH197" i="39"/>
  <c r="GG197" i="39"/>
  <c r="GF197" i="39"/>
  <c r="GE197" i="39"/>
  <c r="GD197" i="39"/>
  <c r="GC197" i="39"/>
  <c r="GB197" i="39"/>
  <c r="GA197" i="39"/>
  <c r="FZ197" i="39"/>
  <c r="FY197" i="39"/>
  <c r="FX197" i="39"/>
  <c r="FW197" i="39"/>
  <c r="FV197" i="39"/>
  <c r="FU197" i="39"/>
  <c r="GM196" i="39"/>
  <c r="GL196" i="39"/>
  <c r="GK196" i="39"/>
  <c r="GJ196" i="39"/>
  <c r="GI196" i="39"/>
  <c r="GH196" i="39"/>
  <c r="GG196" i="39"/>
  <c r="GF196" i="39"/>
  <c r="GE196" i="39"/>
  <c r="GD196" i="39"/>
  <c r="GC196" i="39"/>
  <c r="GB196" i="39"/>
  <c r="GA196" i="39"/>
  <c r="FZ196" i="39"/>
  <c r="FY196" i="39"/>
  <c r="FX196" i="39"/>
  <c r="FW196" i="39"/>
  <c r="FV196" i="39"/>
  <c r="FU196" i="39"/>
  <c r="GM195" i="39"/>
  <c r="GL195" i="39"/>
  <c r="GK195" i="39"/>
  <c r="GJ195" i="39"/>
  <c r="GI195" i="39"/>
  <c r="GH195" i="39"/>
  <c r="GG195" i="39"/>
  <c r="GF195" i="39"/>
  <c r="GE195" i="39"/>
  <c r="GD195" i="39"/>
  <c r="GC195" i="39"/>
  <c r="GB195" i="39"/>
  <c r="GA195" i="39"/>
  <c r="FZ195" i="39"/>
  <c r="FY195" i="39"/>
  <c r="FX195" i="39"/>
  <c r="FW195" i="39"/>
  <c r="FV195" i="39"/>
  <c r="FU195" i="39"/>
  <c r="GM194" i="39"/>
  <c r="GL194" i="39"/>
  <c r="GK194" i="39"/>
  <c r="GJ194" i="39"/>
  <c r="GI194" i="39"/>
  <c r="GH194" i="39"/>
  <c r="GG194" i="39"/>
  <c r="GF194" i="39"/>
  <c r="GE194" i="39"/>
  <c r="GD194" i="39"/>
  <c r="GC194" i="39"/>
  <c r="GB194" i="39"/>
  <c r="GA194" i="39"/>
  <c r="FZ194" i="39"/>
  <c r="FY194" i="39"/>
  <c r="FX194" i="39"/>
  <c r="FW194" i="39"/>
  <c r="FV194" i="39"/>
  <c r="FU194" i="39"/>
  <c r="GM193" i="39"/>
  <c r="GL193" i="39"/>
  <c r="GK193" i="39"/>
  <c r="GJ193" i="39"/>
  <c r="GI193" i="39"/>
  <c r="GH193" i="39"/>
  <c r="GG193" i="39"/>
  <c r="GF193" i="39"/>
  <c r="GE193" i="39"/>
  <c r="GD193" i="39"/>
  <c r="GC193" i="39"/>
  <c r="GB193" i="39"/>
  <c r="GA193" i="39"/>
  <c r="FZ193" i="39"/>
  <c r="FY193" i="39"/>
  <c r="FX193" i="39"/>
  <c r="FW193" i="39"/>
  <c r="FV193" i="39"/>
  <c r="FU193" i="39"/>
  <c r="GM192" i="39"/>
  <c r="GL192" i="39"/>
  <c r="GK192" i="39"/>
  <c r="GJ192" i="39"/>
  <c r="GI192" i="39"/>
  <c r="GH192" i="39"/>
  <c r="GG192" i="39"/>
  <c r="GF192" i="39"/>
  <c r="GE192" i="39"/>
  <c r="GD192" i="39"/>
  <c r="GC192" i="39"/>
  <c r="GB192" i="39"/>
  <c r="GA192" i="39"/>
  <c r="FZ192" i="39"/>
  <c r="FY192" i="39"/>
  <c r="FX192" i="39"/>
  <c r="FW192" i="39"/>
  <c r="FV192" i="39"/>
  <c r="FU192" i="39"/>
  <c r="GM191" i="39"/>
  <c r="GL191" i="39"/>
  <c r="GK191" i="39"/>
  <c r="GJ191" i="39"/>
  <c r="GI191" i="39"/>
  <c r="GH191" i="39"/>
  <c r="GG191" i="39"/>
  <c r="GF191" i="39"/>
  <c r="GE191" i="39"/>
  <c r="GD191" i="39"/>
  <c r="GC191" i="39"/>
  <c r="GB191" i="39"/>
  <c r="GA191" i="39"/>
  <c r="FZ191" i="39"/>
  <c r="FY191" i="39"/>
  <c r="FX191" i="39"/>
  <c r="FW191" i="39"/>
  <c r="FV191" i="39"/>
  <c r="FU191" i="39"/>
  <c r="GM190" i="39"/>
  <c r="GL190" i="39"/>
  <c r="GK190" i="39"/>
  <c r="GJ190" i="39"/>
  <c r="GI190" i="39"/>
  <c r="GH190" i="39"/>
  <c r="GG190" i="39"/>
  <c r="GF190" i="39"/>
  <c r="GE190" i="39"/>
  <c r="GD190" i="39"/>
  <c r="GC190" i="39"/>
  <c r="GB190" i="39"/>
  <c r="GA190" i="39"/>
  <c r="FZ190" i="39"/>
  <c r="FY190" i="39"/>
  <c r="FX190" i="39"/>
  <c r="FW190" i="39"/>
  <c r="FV190" i="39"/>
  <c r="FU190" i="39"/>
  <c r="GM189" i="39"/>
  <c r="GL189" i="39"/>
  <c r="GK189" i="39"/>
  <c r="GJ189" i="39"/>
  <c r="GI189" i="39"/>
  <c r="GH189" i="39"/>
  <c r="GG189" i="39"/>
  <c r="GF189" i="39"/>
  <c r="GE189" i="39"/>
  <c r="GD189" i="39"/>
  <c r="GC189" i="39"/>
  <c r="GB189" i="39"/>
  <c r="GA189" i="39"/>
  <c r="FZ189" i="39"/>
  <c r="FY189" i="39"/>
  <c r="FX189" i="39"/>
  <c r="FW189" i="39"/>
  <c r="FV189" i="39"/>
  <c r="FU189" i="39"/>
  <c r="GM188" i="39"/>
  <c r="GL188" i="39"/>
  <c r="GK188" i="39"/>
  <c r="GJ188" i="39"/>
  <c r="GI188" i="39"/>
  <c r="GH188" i="39"/>
  <c r="GG188" i="39"/>
  <c r="GF188" i="39"/>
  <c r="GE188" i="39"/>
  <c r="GD188" i="39"/>
  <c r="GC188" i="39"/>
  <c r="GB188" i="39"/>
  <c r="GA188" i="39"/>
  <c r="FZ188" i="39"/>
  <c r="FY188" i="39"/>
  <c r="FX188" i="39"/>
  <c r="FW188" i="39"/>
  <c r="FV188" i="39"/>
  <c r="FU188" i="39"/>
  <c r="GM187" i="39"/>
  <c r="GL187" i="39"/>
  <c r="GK187" i="39"/>
  <c r="GJ187" i="39"/>
  <c r="GI187" i="39"/>
  <c r="GH187" i="39"/>
  <c r="GG187" i="39"/>
  <c r="GF187" i="39"/>
  <c r="GE187" i="39"/>
  <c r="GD187" i="39"/>
  <c r="GC187" i="39"/>
  <c r="GB187" i="39"/>
  <c r="GA187" i="39"/>
  <c r="FZ187" i="39"/>
  <c r="FY187" i="39"/>
  <c r="FX187" i="39"/>
  <c r="FW187" i="39"/>
  <c r="FV187" i="39"/>
  <c r="FU187" i="39"/>
  <c r="GM186" i="39"/>
  <c r="GL186" i="39"/>
  <c r="GK186" i="39"/>
  <c r="GJ186" i="39"/>
  <c r="GI186" i="39"/>
  <c r="GH186" i="39"/>
  <c r="GG186" i="39"/>
  <c r="GF186" i="39"/>
  <c r="GE186" i="39"/>
  <c r="GD186" i="39"/>
  <c r="GC186" i="39"/>
  <c r="GB186" i="39"/>
  <c r="GA186" i="39"/>
  <c r="FZ186" i="39"/>
  <c r="FY186" i="39"/>
  <c r="FX186" i="39"/>
  <c r="FW186" i="39"/>
  <c r="FV186" i="39"/>
  <c r="FU186" i="39"/>
  <c r="GM185" i="39"/>
  <c r="GL185" i="39"/>
  <c r="GK185" i="39"/>
  <c r="GJ185" i="39"/>
  <c r="GI185" i="39"/>
  <c r="GH185" i="39"/>
  <c r="GG185" i="39"/>
  <c r="GF185" i="39"/>
  <c r="GE185" i="39"/>
  <c r="GD185" i="39"/>
  <c r="GC185" i="39"/>
  <c r="GB185" i="39"/>
  <c r="GA185" i="39"/>
  <c r="FZ185" i="39"/>
  <c r="FY185" i="39"/>
  <c r="FX185" i="39"/>
  <c r="FW185" i="39"/>
  <c r="FV185" i="39"/>
  <c r="FU185" i="39"/>
  <c r="GM184" i="39"/>
  <c r="GL184" i="39"/>
  <c r="GK184" i="39"/>
  <c r="GJ184" i="39"/>
  <c r="GI184" i="39"/>
  <c r="GH184" i="39"/>
  <c r="GG184" i="39"/>
  <c r="GF184" i="39"/>
  <c r="GE184" i="39"/>
  <c r="GD184" i="39"/>
  <c r="GC184" i="39"/>
  <c r="GB184" i="39"/>
  <c r="GA184" i="39"/>
  <c r="FZ184" i="39"/>
  <c r="FY184" i="39"/>
  <c r="FX184" i="39"/>
  <c r="FW184" i="39"/>
  <c r="FV184" i="39"/>
  <c r="FU184" i="39"/>
  <c r="GM183" i="39"/>
  <c r="GL183" i="39"/>
  <c r="GK183" i="39"/>
  <c r="GJ183" i="39"/>
  <c r="GI183" i="39"/>
  <c r="GH183" i="39"/>
  <c r="GG183" i="39"/>
  <c r="GF183" i="39"/>
  <c r="GE183" i="39"/>
  <c r="GD183" i="39"/>
  <c r="GC183" i="39"/>
  <c r="GB183" i="39"/>
  <c r="GA183" i="39"/>
  <c r="FZ183" i="39"/>
  <c r="FY183" i="39"/>
  <c r="FX183" i="39"/>
  <c r="FW183" i="39"/>
  <c r="FV183" i="39"/>
  <c r="FU183" i="39"/>
  <c r="GM182" i="39"/>
  <c r="GL182" i="39"/>
  <c r="GK182" i="39"/>
  <c r="GJ182" i="39"/>
  <c r="GI182" i="39"/>
  <c r="GH182" i="39"/>
  <c r="GG182" i="39"/>
  <c r="GF182" i="39"/>
  <c r="GE182" i="39"/>
  <c r="GD182" i="39"/>
  <c r="GC182" i="39"/>
  <c r="GB182" i="39"/>
  <c r="GA182" i="39"/>
  <c r="FZ182" i="39"/>
  <c r="FY182" i="39"/>
  <c r="FX182" i="39"/>
  <c r="FW182" i="39"/>
  <c r="FV182" i="39"/>
  <c r="FU182" i="39"/>
  <c r="GM181" i="39"/>
  <c r="GL181" i="39"/>
  <c r="GK181" i="39"/>
  <c r="GJ181" i="39"/>
  <c r="GI181" i="39"/>
  <c r="GH181" i="39"/>
  <c r="GG181" i="39"/>
  <c r="GF181" i="39"/>
  <c r="GE181" i="39"/>
  <c r="GD181" i="39"/>
  <c r="GC181" i="39"/>
  <c r="GB181" i="39"/>
  <c r="GA181" i="39"/>
  <c r="FZ181" i="39"/>
  <c r="FY181" i="39"/>
  <c r="FX181" i="39"/>
  <c r="FW181" i="39"/>
  <c r="FV181" i="39"/>
  <c r="FU181" i="39"/>
  <c r="GM180" i="39"/>
  <c r="GL180" i="39"/>
  <c r="GK180" i="39"/>
  <c r="GJ180" i="39"/>
  <c r="GI180" i="39"/>
  <c r="GH180" i="39"/>
  <c r="GG180" i="39"/>
  <c r="GF180" i="39"/>
  <c r="GE180" i="39"/>
  <c r="GD180" i="39"/>
  <c r="GC180" i="39"/>
  <c r="GB180" i="39"/>
  <c r="GA180" i="39"/>
  <c r="FZ180" i="39"/>
  <c r="FY180" i="39"/>
  <c r="FX180" i="39"/>
  <c r="FW180" i="39"/>
  <c r="FV180" i="39"/>
  <c r="FU180" i="39"/>
  <c r="GM179" i="39"/>
  <c r="GL179" i="39"/>
  <c r="GK179" i="39"/>
  <c r="GJ179" i="39"/>
  <c r="GI179" i="39"/>
  <c r="GH179" i="39"/>
  <c r="GG179" i="39"/>
  <c r="GF179" i="39"/>
  <c r="GE179" i="39"/>
  <c r="GD179" i="39"/>
  <c r="GC179" i="39"/>
  <c r="GB179" i="39"/>
  <c r="GA179" i="39"/>
  <c r="FZ179" i="39"/>
  <c r="FY179" i="39"/>
  <c r="FX179" i="39"/>
  <c r="FW179" i="39"/>
  <c r="FV179" i="39"/>
  <c r="FU179" i="39"/>
  <c r="GM178" i="39"/>
  <c r="GL178" i="39"/>
  <c r="GK178" i="39"/>
  <c r="GJ178" i="39"/>
  <c r="GI178" i="39"/>
  <c r="GH178" i="39"/>
  <c r="GG178" i="39"/>
  <c r="GF178" i="39"/>
  <c r="GE178" i="39"/>
  <c r="GD178" i="39"/>
  <c r="GC178" i="39"/>
  <c r="GB178" i="39"/>
  <c r="GA178" i="39"/>
  <c r="FZ178" i="39"/>
  <c r="FY178" i="39"/>
  <c r="FX178" i="39"/>
  <c r="FW178" i="39"/>
  <c r="FV178" i="39"/>
  <c r="FU178" i="39"/>
  <c r="GM175" i="39"/>
  <c r="GL175" i="39"/>
  <c r="GK175" i="39"/>
  <c r="GJ175" i="39"/>
  <c r="GI175" i="39"/>
  <c r="GH175" i="39"/>
  <c r="GG175" i="39"/>
  <c r="GF175" i="39"/>
  <c r="GE175" i="39"/>
  <c r="GD175" i="39"/>
  <c r="GC175" i="39"/>
  <c r="GB175" i="39"/>
  <c r="GA175" i="39"/>
  <c r="FZ175" i="39"/>
  <c r="FY175" i="39"/>
  <c r="FX175" i="39"/>
  <c r="FW175" i="39"/>
  <c r="FV175" i="39"/>
  <c r="FU175" i="39"/>
  <c r="GM173" i="39"/>
  <c r="GL173" i="39"/>
  <c r="GK173" i="39"/>
  <c r="GJ173" i="39"/>
  <c r="GI173" i="39"/>
  <c r="GH173" i="39"/>
  <c r="GG173" i="39"/>
  <c r="GF173" i="39"/>
  <c r="GE173" i="39"/>
  <c r="GD173" i="39"/>
  <c r="GC173" i="39"/>
  <c r="GB173" i="39"/>
  <c r="GA173" i="39"/>
  <c r="FZ173" i="39"/>
  <c r="FY173" i="39"/>
  <c r="FX173" i="39"/>
  <c r="FW173" i="39"/>
  <c r="FV173" i="39"/>
  <c r="FU173" i="39"/>
  <c r="GM172" i="39"/>
  <c r="GL172" i="39"/>
  <c r="GK172" i="39"/>
  <c r="GJ172" i="39"/>
  <c r="GI172" i="39"/>
  <c r="GH172" i="39"/>
  <c r="GG172" i="39"/>
  <c r="GF172" i="39"/>
  <c r="GE172" i="39"/>
  <c r="GD172" i="39"/>
  <c r="GC172" i="39"/>
  <c r="GB172" i="39"/>
  <c r="GA172" i="39"/>
  <c r="FZ172" i="39"/>
  <c r="FY172" i="39"/>
  <c r="FX172" i="39"/>
  <c r="FW172" i="39"/>
  <c r="FV172" i="39"/>
  <c r="FU172" i="39"/>
  <c r="GM171" i="39"/>
  <c r="GL171" i="39"/>
  <c r="GK171" i="39"/>
  <c r="GJ171" i="39"/>
  <c r="GI171" i="39"/>
  <c r="GH171" i="39"/>
  <c r="GG171" i="39"/>
  <c r="GF171" i="39"/>
  <c r="GE171" i="39"/>
  <c r="GD171" i="39"/>
  <c r="GC171" i="39"/>
  <c r="GB171" i="39"/>
  <c r="GA171" i="39"/>
  <c r="FZ171" i="39"/>
  <c r="FY171" i="39"/>
  <c r="FX171" i="39"/>
  <c r="FW171" i="39"/>
  <c r="FV171" i="39"/>
  <c r="FU171" i="39"/>
  <c r="GM170" i="39"/>
  <c r="GL170" i="39"/>
  <c r="GK170" i="39"/>
  <c r="GJ170" i="39"/>
  <c r="GI170" i="39"/>
  <c r="GH170" i="39"/>
  <c r="GG170" i="39"/>
  <c r="GF170" i="39"/>
  <c r="GE170" i="39"/>
  <c r="GD170" i="39"/>
  <c r="GC170" i="39"/>
  <c r="GB170" i="39"/>
  <c r="GA170" i="39"/>
  <c r="FZ170" i="39"/>
  <c r="FY170" i="39"/>
  <c r="FX170" i="39"/>
  <c r="FW170" i="39"/>
  <c r="FV170" i="39"/>
  <c r="FU170" i="39"/>
  <c r="GM169" i="39"/>
  <c r="GL169" i="39"/>
  <c r="GK169" i="39"/>
  <c r="GJ169" i="39"/>
  <c r="GI169" i="39"/>
  <c r="GH169" i="39"/>
  <c r="GG169" i="39"/>
  <c r="GF169" i="39"/>
  <c r="GE169" i="39"/>
  <c r="GD169" i="39"/>
  <c r="GC169" i="39"/>
  <c r="GB169" i="39"/>
  <c r="GA169" i="39"/>
  <c r="FZ169" i="39"/>
  <c r="FY169" i="39"/>
  <c r="FX169" i="39"/>
  <c r="FW169" i="39"/>
  <c r="FV169" i="39"/>
  <c r="FU169" i="39"/>
  <c r="GM168" i="39"/>
  <c r="GL168" i="39"/>
  <c r="GK168" i="39"/>
  <c r="GJ168" i="39"/>
  <c r="GI168" i="39"/>
  <c r="GH168" i="39"/>
  <c r="GG168" i="39"/>
  <c r="GF168" i="39"/>
  <c r="GE168" i="39"/>
  <c r="GD168" i="39"/>
  <c r="GC168" i="39"/>
  <c r="GB168" i="39"/>
  <c r="GA168" i="39"/>
  <c r="FZ168" i="39"/>
  <c r="FY168" i="39"/>
  <c r="FX168" i="39"/>
  <c r="FW168" i="39"/>
  <c r="FV168" i="39"/>
  <c r="FU168" i="39"/>
  <c r="GM167" i="39"/>
  <c r="GL167" i="39"/>
  <c r="GK167" i="39"/>
  <c r="GJ167" i="39"/>
  <c r="GI167" i="39"/>
  <c r="GH167" i="39"/>
  <c r="GG167" i="39"/>
  <c r="GF167" i="39"/>
  <c r="GE167" i="39"/>
  <c r="GD167" i="39"/>
  <c r="GC167" i="39"/>
  <c r="GB167" i="39"/>
  <c r="GA167" i="39"/>
  <c r="FZ167" i="39"/>
  <c r="FY167" i="39"/>
  <c r="FX167" i="39"/>
  <c r="FW167" i="39"/>
  <c r="FV167" i="39"/>
  <c r="FU167" i="39"/>
  <c r="GM165" i="39"/>
  <c r="GL165" i="39"/>
  <c r="GK165" i="39"/>
  <c r="GJ165" i="39"/>
  <c r="GI165" i="39"/>
  <c r="GH165" i="39"/>
  <c r="GG165" i="39"/>
  <c r="GF165" i="39"/>
  <c r="GE165" i="39"/>
  <c r="GD165" i="39"/>
  <c r="GC165" i="39"/>
  <c r="GB165" i="39"/>
  <c r="GA165" i="39"/>
  <c r="FZ165" i="39"/>
  <c r="FY165" i="39"/>
  <c r="FX165" i="39"/>
  <c r="FW165" i="39"/>
  <c r="FV165" i="39"/>
  <c r="FU165" i="39"/>
  <c r="GM164" i="39"/>
  <c r="GL164" i="39"/>
  <c r="GK164" i="39"/>
  <c r="GJ164" i="39"/>
  <c r="GI164" i="39"/>
  <c r="GH164" i="39"/>
  <c r="GG164" i="39"/>
  <c r="GF164" i="39"/>
  <c r="GE164" i="39"/>
  <c r="GD164" i="39"/>
  <c r="GC164" i="39"/>
  <c r="GB164" i="39"/>
  <c r="GA164" i="39"/>
  <c r="FZ164" i="39"/>
  <c r="FY164" i="39"/>
  <c r="FX164" i="39"/>
  <c r="FW164" i="39"/>
  <c r="FV164" i="39"/>
  <c r="FU164" i="39"/>
  <c r="GM160" i="39"/>
  <c r="GL160" i="39"/>
  <c r="GK160" i="39"/>
  <c r="GJ160" i="39"/>
  <c r="GI160" i="39"/>
  <c r="GH160" i="39"/>
  <c r="GG160" i="39"/>
  <c r="GF160" i="39"/>
  <c r="GE160" i="39"/>
  <c r="GD160" i="39"/>
  <c r="GC160" i="39"/>
  <c r="GB160" i="39"/>
  <c r="GA160" i="39"/>
  <c r="FZ160" i="39"/>
  <c r="FY160" i="39"/>
  <c r="FX160" i="39"/>
  <c r="FW160" i="39"/>
  <c r="FV160" i="39"/>
  <c r="FU160" i="39"/>
  <c r="GM159" i="39"/>
  <c r="GL159" i="39"/>
  <c r="GK159" i="39"/>
  <c r="GJ159" i="39"/>
  <c r="GI159" i="39"/>
  <c r="GH159" i="39"/>
  <c r="GG159" i="39"/>
  <c r="GF159" i="39"/>
  <c r="GE159" i="39"/>
  <c r="GD159" i="39"/>
  <c r="GC159" i="39"/>
  <c r="GB159" i="39"/>
  <c r="GA159" i="39"/>
  <c r="FZ159" i="39"/>
  <c r="FY159" i="39"/>
  <c r="FX159" i="39"/>
  <c r="FW159" i="39"/>
  <c r="FV159" i="39"/>
  <c r="FU159" i="39"/>
  <c r="GM158" i="39"/>
  <c r="GL158" i="39"/>
  <c r="GK158" i="39"/>
  <c r="GJ158" i="39"/>
  <c r="GI158" i="39"/>
  <c r="GH158" i="39"/>
  <c r="GG158" i="39"/>
  <c r="GF158" i="39"/>
  <c r="GE158" i="39"/>
  <c r="GD158" i="39"/>
  <c r="GB158" i="39"/>
  <c r="FX158" i="39"/>
  <c r="FW158" i="39"/>
  <c r="FV158" i="39"/>
  <c r="FU158" i="39"/>
  <c r="GM157" i="39"/>
  <c r="GL157" i="39"/>
  <c r="GK157" i="39"/>
  <c r="GJ157" i="39"/>
  <c r="GI157" i="39"/>
  <c r="GF157" i="39"/>
  <c r="GE157" i="39"/>
  <c r="GC157" i="39"/>
  <c r="GB157" i="39"/>
  <c r="FX157" i="39"/>
  <c r="FW157" i="39"/>
  <c r="FV157" i="39"/>
  <c r="FU157" i="39"/>
  <c r="GM156" i="39"/>
  <c r="GL156" i="39"/>
  <c r="GK156" i="39"/>
  <c r="GJ156" i="39"/>
  <c r="GI156" i="39"/>
  <c r="GH156" i="39"/>
  <c r="GG156" i="39"/>
  <c r="GF156" i="39"/>
  <c r="GE156" i="39"/>
  <c r="GD156" i="39"/>
  <c r="GC156" i="39"/>
  <c r="GB156" i="39"/>
  <c r="GA156" i="39"/>
  <c r="FZ156" i="39"/>
  <c r="FY156" i="39"/>
  <c r="FX156" i="39"/>
  <c r="FW156" i="39"/>
  <c r="FV156" i="39"/>
  <c r="FU156" i="39"/>
  <c r="GM155" i="39"/>
  <c r="GL155" i="39"/>
  <c r="GK155" i="39"/>
  <c r="GJ155" i="39"/>
  <c r="GI155" i="39"/>
  <c r="GH155" i="39"/>
  <c r="GG155" i="39"/>
  <c r="GF155" i="39"/>
  <c r="GE155" i="39"/>
  <c r="GD155" i="39"/>
  <c r="GC155" i="39"/>
  <c r="GB155" i="39"/>
  <c r="GA155" i="39"/>
  <c r="FZ155" i="39"/>
  <c r="FY155" i="39"/>
  <c r="FX155" i="39"/>
  <c r="FW155" i="39"/>
  <c r="FV155" i="39"/>
  <c r="FU155" i="39"/>
  <c r="GM154" i="39"/>
  <c r="GK154" i="39"/>
  <c r="GH154" i="39"/>
  <c r="GF154" i="39"/>
  <c r="GE154" i="39"/>
  <c r="GC154" i="39"/>
  <c r="GB154" i="39"/>
  <c r="FX154" i="39"/>
  <c r="FW154" i="39"/>
  <c r="FV154" i="39"/>
  <c r="FU154" i="39"/>
  <c r="GM153" i="39"/>
  <c r="GL153" i="39"/>
  <c r="GJ153" i="39"/>
  <c r="GH153" i="39"/>
  <c r="GF153" i="39"/>
  <c r="GE153" i="39"/>
  <c r="GC153" i="39"/>
  <c r="GB153" i="39"/>
  <c r="FX153" i="39"/>
  <c r="FW153" i="39"/>
  <c r="FV153" i="39"/>
  <c r="FU153" i="39"/>
  <c r="GM152" i="39"/>
  <c r="GL152" i="39"/>
  <c r="GK152" i="39"/>
  <c r="GJ152" i="39"/>
  <c r="GI152" i="39"/>
  <c r="GF152" i="39"/>
  <c r="GE152" i="39"/>
  <c r="GC152" i="39"/>
  <c r="GB152" i="39"/>
  <c r="FX152" i="39"/>
  <c r="FW152" i="39"/>
  <c r="FV152" i="39"/>
  <c r="FU152" i="39"/>
  <c r="GM151" i="39"/>
  <c r="GL151" i="39"/>
  <c r="GK151" i="39"/>
  <c r="GJ151" i="39"/>
  <c r="GI151" i="39"/>
  <c r="GH151" i="39"/>
  <c r="GG151" i="39"/>
  <c r="GF151" i="39"/>
  <c r="GC151" i="39"/>
  <c r="GB151" i="39"/>
  <c r="FX151" i="39"/>
  <c r="FW151" i="39"/>
  <c r="FV151" i="39"/>
  <c r="FU151" i="39"/>
  <c r="GM150" i="39"/>
  <c r="GL150" i="39"/>
  <c r="GK150" i="39"/>
  <c r="GJ150" i="39"/>
  <c r="GI150" i="39"/>
  <c r="GH150" i="39"/>
  <c r="GG150" i="39"/>
  <c r="GF150" i="39"/>
  <c r="GE150" i="39"/>
  <c r="GD150" i="39"/>
  <c r="GC150" i="39"/>
  <c r="GA150" i="39"/>
  <c r="FX150" i="39"/>
  <c r="FW150" i="39"/>
  <c r="FV150" i="39"/>
  <c r="FU150" i="39"/>
  <c r="GM149" i="39"/>
  <c r="GL149" i="39"/>
  <c r="GK149" i="39"/>
  <c r="GJ149" i="39"/>
  <c r="GI149" i="39"/>
  <c r="GH149" i="39"/>
  <c r="GG149" i="39"/>
  <c r="GE149" i="39"/>
  <c r="GC149" i="39"/>
  <c r="GB149" i="39"/>
  <c r="FX149" i="39"/>
  <c r="FW149" i="39"/>
  <c r="FV149" i="39"/>
  <c r="FU149" i="39"/>
  <c r="GM148" i="39"/>
  <c r="GL148" i="39"/>
  <c r="GK148" i="39"/>
  <c r="GJ148" i="39"/>
  <c r="GI148" i="39"/>
  <c r="GH148" i="39"/>
  <c r="GG148" i="39"/>
  <c r="GE148" i="39"/>
  <c r="GC148" i="39"/>
  <c r="GB148" i="39"/>
  <c r="FX148" i="39"/>
  <c r="FW148" i="39"/>
  <c r="FV148" i="39"/>
  <c r="FU148" i="39"/>
  <c r="GM147" i="39"/>
  <c r="GL147" i="39"/>
  <c r="GK147" i="39"/>
  <c r="GJ147" i="39"/>
  <c r="GI147" i="39"/>
  <c r="GH147" i="39"/>
  <c r="GG147" i="39"/>
  <c r="GF147" i="39"/>
  <c r="GE147" i="39"/>
  <c r="GD147" i="39"/>
  <c r="GB147" i="39"/>
  <c r="FX147" i="39"/>
  <c r="FW147" i="39"/>
  <c r="FV147" i="39"/>
  <c r="FU147" i="39"/>
  <c r="GM146" i="39"/>
  <c r="GL146" i="39"/>
  <c r="GK146" i="39"/>
  <c r="GJ146" i="39"/>
  <c r="GI146" i="39"/>
  <c r="GH146" i="39"/>
  <c r="GG146" i="39"/>
  <c r="GF146" i="39"/>
  <c r="GE146" i="39"/>
  <c r="GD146" i="39"/>
  <c r="GB146" i="39"/>
  <c r="FX146" i="39"/>
  <c r="FW146" i="39"/>
  <c r="FV146" i="39"/>
  <c r="FU146" i="39"/>
  <c r="GM145" i="39"/>
  <c r="GL145" i="39"/>
  <c r="GK145" i="39"/>
  <c r="GJ145" i="39"/>
  <c r="GI145" i="39"/>
  <c r="GH145" i="39"/>
  <c r="GG145" i="39"/>
  <c r="GF145" i="39"/>
  <c r="GE145" i="39"/>
  <c r="GD145" i="39"/>
  <c r="GC145" i="39"/>
  <c r="GB145" i="39"/>
  <c r="GA145" i="39"/>
  <c r="FZ145" i="39"/>
  <c r="FY145" i="39"/>
  <c r="FX145" i="39"/>
  <c r="FW145" i="39"/>
  <c r="FV145" i="39"/>
  <c r="FU145" i="39"/>
  <c r="GM144" i="39"/>
  <c r="GL144" i="39"/>
  <c r="GK144" i="39"/>
  <c r="GJ144" i="39"/>
  <c r="GI144" i="39"/>
  <c r="GH144" i="39"/>
  <c r="GG144" i="39"/>
  <c r="GF144" i="39"/>
  <c r="GE144" i="39"/>
  <c r="GD144" i="39"/>
  <c r="GC144" i="39"/>
  <c r="GB144" i="39"/>
  <c r="GA144" i="39"/>
  <c r="FZ144" i="39"/>
  <c r="FY144" i="39"/>
  <c r="FX144" i="39"/>
  <c r="FW144" i="39"/>
  <c r="FV144" i="39"/>
  <c r="FU144" i="39"/>
  <c r="GM143" i="39"/>
  <c r="GL143" i="39"/>
  <c r="GK143" i="39"/>
  <c r="GJ143" i="39"/>
  <c r="GI143" i="39"/>
  <c r="GH143" i="39"/>
  <c r="GG143" i="39"/>
  <c r="GF143" i="39"/>
  <c r="GE143" i="39"/>
  <c r="GD143" i="39"/>
  <c r="GC143" i="39"/>
  <c r="GB143" i="39"/>
  <c r="GA143" i="39"/>
  <c r="FZ143" i="39"/>
  <c r="FY143" i="39"/>
  <c r="FX143" i="39"/>
  <c r="FW143" i="39"/>
  <c r="FV143" i="39"/>
  <c r="FU143" i="39"/>
  <c r="GM142" i="39"/>
  <c r="GK142" i="39"/>
  <c r="GH142" i="39"/>
  <c r="GF142" i="39"/>
  <c r="GE142" i="39"/>
  <c r="GC142" i="39"/>
  <c r="GB142" i="39"/>
  <c r="FX142" i="39"/>
  <c r="FW142" i="39"/>
  <c r="FV142" i="39"/>
  <c r="FU142" i="39"/>
  <c r="GM141" i="39"/>
  <c r="GL141" i="39"/>
  <c r="GJ141" i="39"/>
  <c r="GH141" i="39"/>
  <c r="GF141" i="39"/>
  <c r="GE141" i="39"/>
  <c r="GC141" i="39"/>
  <c r="GB141" i="39"/>
  <c r="FX141" i="39"/>
  <c r="FW141" i="39"/>
  <c r="FV141" i="39"/>
  <c r="FU141" i="39"/>
  <c r="GM140" i="39"/>
  <c r="GL140" i="39"/>
  <c r="GK140" i="39"/>
  <c r="GJ140" i="39"/>
  <c r="GI140" i="39"/>
  <c r="GF140" i="39"/>
  <c r="GE140" i="39"/>
  <c r="GC140" i="39"/>
  <c r="GB140" i="39"/>
  <c r="FX140" i="39"/>
  <c r="FW140" i="39"/>
  <c r="FV140" i="39"/>
  <c r="FU140" i="39"/>
  <c r="GM139" i="39"/>
  <c r="GL139" i="39"/>
  <c r="GK139" i="39"/>
  <c r="GJ139" i="39"/>
  <c r="GI139" i="39"/>
  <c r="GH139" i="39"/>
  <c r="GG139" i="39"/>
  <c r="GF139" i="39"/>
  <c r="GC139" i="39"/>
  <c r="GB139" i="39"/>
  <c r="FX139" i="39"/>
  <c r="FW139" i="39"/>
  <c r="FV139" i="39"/>
  <c r="FU139" i="39"/>
  <c r="GM138" i="39"/>
  <c r="GL138" i="39"/>
  <c r="GK138" i="39"/>
  <c r="GJ138" i="39"/>
  <c r="GI138" i="39"/>
  <c r="GH138" i="39"/>
  <c r="GG138" i="39"/>
  <c r="GF138" i="39"/>
  <c r="GE138" i="39"/>
  <c r="GD138" i="39"/>
  <c r="GC138" i="39"/>
  <c r="GA138" i="39"/>
  <c r="FX138" i="39"/>
  <c r="FW138" i="39"/>
  <c r="FV138" i="39"/>
  <c r="FU138" i="39"/>
  <c r="GM137" i="39"/>
  <c r="GL137" i="39"/>
  <c r="GK137" i="39"/>
  <c r="GJ137" i="39"/>
  <c r="GI137" i="39"/>
  <c r="GH137" i="39"/>
  <c r="GG137" i="39"/>
  <c r="GE137" i="39"/>
  <c r="GC137" i="39"/>
  <c r="GB137" i="39"/>
  <c r="FX137" i="39"/>
  <c r="FW137" i="39"/>
  <c r="FV137" i="39"/>
  <c r="FU137" i="39"/>
  <c r="GM136" i="39"/>
  <c r="GL136" i="39"/>
  <c r="GK136" i="39"/>
  <c r="GJ136" i="39"/>
  <c r="GI136" i="39"/>
  <c r="GH136" i="39"/>
  <c r="GG136" i="39"/>
  <c r="GE136" i="39"/>
  <c r="GC136" i="39"/>
  <c r="GB136" i="39"/>
  <c r="FX136" i="39"/>
  <c r="FW136" i="39"/>
  <c r="FV136" i="39"/>
  <c r="FU136" i="39"/>
  <c r="GM135" i="39"/>
  <c r="GL135" i="39"/>
  <c r="GK135" i="39"/>
  <c r="GJ135" i="39"/>
  <c r="GI135" i="39"/>
  <c r="GH135" i="39"/>
  <c r="GG135" i="39"/>
  <c r="GF135" i="39"/>
  <c r="GE135" i="39"/>
  <c r="GD135" i="39"/>
  <c r="GB135" i="39"/>
  <c r="FX135" i="39"/>
  <c r="FW135" i="39"/>
  <c r="FV135" i="39"/>
  <c r="FU135" i="39"/>
  <c r="GM134" i="39"/>
  <c r="GL134" i="39"/>
  <c r="GK134" i="39"/>
  <c r="GJ134" i="39"/>
  <c r="GI134" i="39"/>
  <c r="GH134" i="39"/>
  <c r="GG134" i="39"/>
  <c r="GF134" i="39"/>
  <c r="GE134" i="39"/>
  <c r="GD134" i="39"/>
  <c r="GB134" i="39"/>
  <c r="FX134" i="39"/>
  <c r="FW134" i="39"/>
  <c r="FV134" i="39"/>
  <c r="FU134" i="39"/>
  <c r="GM133" i="39"/>
  <c r="GL133" i="39"/>
  <c r="GK133" i="39"/>
  <c r="GJ133" i="39"/>
  <c r="GI133" i="39"/>
  <c r="GH133" i="39"/>
  <c r="GG133" i="39"/>
  <c r="GF133" i="39"/>
  <c r="GE133" i="39"/>
  <c r="GD133" i="39"/>
  <c r="GC133" i="39"/>
  <c r="GB133" i="39"/>
  <c r="GA133" i="39"/>
  <c r="FZ133" i="39"/>
  <c r="FY133" i="39"/>
  <c r="FX133" i="39"/>
  <c r="FW133" i="39"/>
  <c r="FV133" i="39"/>
  <c r="FU133" i="39"/>
  <c r="GM132" i="39"/>
  <c r="GL132" i="39"/>
  <c r="GK132" i="39"/>
  <c r="GJ132" i="39"/>
  <c r="GI132" i="39"/>
  <c r="GH132" i="39"/>
  <c r="GG132" i="39"/>
  <c r="GF132" i="39"/>
  <c r="GE132" i="39"/>
  <c r="GD132" i="39"/>
  <c r="GC132" i="39"/>
  <c r="GB132" i="39"/>
  <c r="GA132" i="39"/>
  <c r="FZ132" i="39"/>
  <c r="FY132" i="39"/>
  <c r="FX132" i="39"/>
  <c r="FW132" i="39"/>
  <c r="FV132" i="39"/>
  <c r="FU132" i="39"/>
  <c r="GM131" i="39"/>
  <c r="GL131" i="39"/>
  <c r="GK131" i="39"/>
  <c r="GJ131" i="39"/>
  <c r="GI131" i="39"/>
  <c r="GH131" i="39"/>
  <c r="GG131" i="39"/>
  <c r="GF131" i="39"/>
  <c r="GE131" i="39"/>
  <c r="GD131" i="39"/>
  <c r="GC131" i="39"/>
  <c r="GB131" i="39"/>
  <c r="GA131" i="39"/>
  <c r="FZ131" i="39"/>
  <c r="FX131" i="39"/>
  <c r="FW131" i="39"/>
  <c r="FV131" i="39"/>
  <c r="FU131" i="39"/>
  <c r="GM130" i="39"/>
  <c r="GL130" i="39"/>
  <c r="GK130" i="39"/>
  <c r="GH130" i="39"/>
  <c r="GF130" i="39"/>
  <c r="GE130" i="39"/>
  <c r="GC130" i="39"/>
  <c r="GB130" i="39"/>
  <c r="FX130" i="39"/>
  <c r="FW130" i="39"/>
  <c r="FV130" i="39"/>
  <c r="FU130" i="39"/>
  <c r="GM129" i="39"/>
  <c r="GL129" i="39"/>
  <c r="GK129" i="39"/>
  <c r="GH129" i="39"/>
  <c r="GF129" i="39"/>
  <c r="GE129" i="39"/>
  <c r="GC129" i="39"/>
  <c r="GB129" i="39"/>
  <c r="FX129" i="39"/>
  <c r="FW129" i="39"/>
  <c r="FV129" i="39"/>
  <c r="FU129" i="39"/>
  <c r="GM128" i="39"/>
  <c r="GL128" i="39"/>
  <c r="GK128" i="39"/>
  <c r="GJ128" i="39"/>
  <c r="GI128" i="39"/>
  <c r="GH128" i="39"/>
  <c r="GG128" i="39"/>
  <c r="GF128" i="39"/>
  <c r="GE128" i="39"/>
  <c r="GD128" i="39"/>
  <c r="GC128" i="39"/>
  <c r="GB128" i="39"/>
  <c r="GA128" i="39"/>
  <c r="FZ128" i="39"/>
  <c r="FY128" i="39"/>
  <c r="FX128" i="39"/>
  <c r="FW128" i="39"/>
  <c r="FV128" i="39"/>
  <c r="FU128" i="39"/>
  <c r="GM127" i="39"/>
  <c r="GL127" i="39"/>
  <c r="GK127" i="39"/>
  <c r="GJ127" i="39"/>
  <c r="GI127" i="39"/>
  <c r="GH127" i="39"/>
  <c r="GG127" i="39"/>
  <c r="GF127" i="39"/>
  <c r="GE127" i="39"/>
  <c r="GD127" i="39"/>
  <c r="GC127" i="39"/>
  <c r="GB127" i="39"/>
  <c r="GA127" i="39"/>
  <c r="FZ127" i="39"/>
  <c r="FY127" i="39"/>
  <c r="FX127" i="39"/>
  <c r="FW127" i="39"/>
  <c r="FV127" i="39"/>
  <c r="FU127" i="39"/>
  <c r="GM126" i="39"/>
  <c r="GL126" i="39"/>
  <c r="GK126" i="39"/>
  <c r="GJ126" i="39"/>
  <c r="GI126" i="39"/>
  <c r="GH126" i="39"/>
  <c r="GG126" i="39"/>
  <c r="GF126" i="39"/>
  <c r="GE126" i="39"/>
  <c r="GD126" i="39"/>
  <c r="GC126" i="39"/>
  <c r="GB126" i="39"/>
  <c r="GA126" i="39"/>
  <c r="FZ126" i="39"/>
  <c r="FY126" i="39"/>
  <c r="FX126" i="39"/>
  <c r="FW126" i="39"/>
  <c r="FV126" i="39"/>
  <c r="FU126" i="39"/>
  <c r="GM125" i="39"/>
  <c r="GL125" i="39"/>
  <c r="GK125" i="39"/>
  <c r="GJ125" i="39"/>
  <c r="GI125" i="39"/>
  <c r="GH125" i="39"/>
  <c r="GG125" i="39"/>
  <c r="GF125" i="39"/>
  <c r="GE125" i="39"/>
  <c r="GD125" i="39"/>
  <c r="GC125" i="39"/>
  <c r="GB125" i="39"/>
  <c r="GA125" i="39"/>
  <c r="FZ125" i="39"/>
  <c r="FY125" i="39"/>
  <c r="FX125" i="39"/>
  <c r="FW125" i="39"/>
  <c r="FV125" i="39"/>
  <c r="FU125" i="39"/>
  <c r="GM124" i="39"/>
  <c r="GK124" i="39"/>
  <c r="GH124" i="39"/>
  <c r="GF124" i="39"/>
  <c r="GE124" i="39"/>
  <c r="GC124" i="39"/>
  <c r="GB124" i="39"/>
  <c r="FX124" i="39"/>
  <c r="FW124" i="39"/>
  <c r="FV124" i="39"/>
  <c r="FU124" i="39"/>
  <c r="GM123" i="39"/>
  <c r="GL123" i="39"/>
  <c r="GJ123" i="39"/>
  <c r="GH123" i="39"/>
  <c r="GF123" i="39"/>
  <c r="GE123" i="39"/>
  <c r="GC123" i="39"/>
  <c r="GB123" i="39"/>
  <c r="FX123" i="39"/>
  <c r="FW123" i="39"/>
  <c r="FV123" i="39"/>
  <c r="FU123" i="39"/>
  <c r="GM122" i="39"/>
  <c r="GL122" i="39"/>
  <c r="GK122" i="39"/>
  <c r="GJ122" i="39"/>
  <c r="GI122" i="39"/>
  <c r="GF122" i="39"/>
  <c r="GE122" i="39"/>
  <c r="GC122" i="39"/>
  <c r="GB122" i="39"/>
  <c r="FX122" i="39"/>
  <c r="FW122" i="39"/>
  <c r="FV122" i="39"/>
  <c r="FU122" i="39"/>
  <c r="GM121" i="39"/>
  <c r="GL121" i="39"/>
  <c r="GK121" i="39"/>
  <c r="GJ121" i="39"/>
  <c r="GI121" i="39"/>
  <c r="GH121" i="39"/>
  <c r="GG121" i="39"/>
  <c r="GF121" i="39"/>
  <c r="GC121" i="39"/>
  <c r="GB121" i="39"/>
  <c r="FX121" i="39"/>
  <c r="FW121" i="39"/>
  <c r="FV121" i="39"/>
  <c r="FU121" i="39"/>
  <c r="GM120" i="39"/>
  <c r="GL120" i="39"/>
  <c r="GK120" i="39"/>
  <c r="GJ120" i="39"/>
  <c r="GI120" i="39"/>
  <c r="GH120" i="39"/>
  <c r="GG120" i="39"/>
  <c r="GF120" i="39"/>
  <c r="GE120" i="39"/>
  <c r="GD120" i="39"/>
  <c r="GC120" i="39"/>
  <c r="GA120" i="39"/>
  <c r="FX120" i="39"/>
  <c r="FW120" i="39"/>
  <c r="FV120" i="39"/>
  <c r="FU120" i="39"/>
  <c r="GM119" i="39"/>
  <c r="GL119" i="39"/>
  <c r="GK119" i="39"/>
  <c r="GJ119" i="39"/>
  <c r="GI119" i="39"/>
  <c r="GH119" i="39"/>
  <c r="GG119" i="39"/>
  <c r="GE119" i="39"/>
  <c r="GC119" i="39"/>
  <c r="GB119" i="39"/>
  <c r="FX119" i="39"/>
  <c r="FW119" i="39"/>
  <c r="FV119" i="39"/>
  <c r="FU119" i="39"/>
  <c r="GM118" i="39"/>
  <c r="GL118" i="39"/>
  <c r="GK118" i="39"/>
  <c r="GJ118" i="39"/>
  <c r="GI118" i="39"/>
  <c r="GH118" i="39"/>
  <c r="GG118" i="39"/>
  <c r="GE118" i="39"/>
  <c r="GC118" i="39"/>
  <c r="GB118" i="39"/>
  <c r="FX118" i="39"/>
  <c r="FW118" i="39"/>
  <c r="FV118" i="39"/>
  <c r="FU118" i="39"/>
  <c r="GM117" i="39"/>
  <c r="GL117" i="39"/>
  <c r="GK117" i="39"/>
  <c r="GJ117" i="39"/>
  <c r="GI117" i="39"/>
  <c r="GH117" i="39"/>
  <c r="GG117" i="39"/>
  <c r="GF117" i="39"/>
  <c r="GE117" i="39"/>
  <c r="GD117" i="39"/>
  <c r="GB117" i="39"/>
  <c r="FX117" i="39"/>
  <c r="FW117" i="39"/>
  <c r="FV117" i="39"/>
  <c r="FU117" i="39"/>
  <c r="GM116" i="39"/>
  <c r="GL116" i="39"/>
  <c r="GK116" i="39"/>
  <c r="GJ116" i="39"/>
  <c r="GI116" i="39"/>
  <c r="GH116" i="39"/>
  <c r="GG116" i="39"/>
  <c r="GF116" i="39"/>
  <c r="GE116" i="39"/>
  <c r="GD116" i="39"/>
  <c r="GB116" i="39"/>
  <c r="FX116" i="39"/>
  <c r="FW116" i="39"/>
  <c r="FV116" i="39"/>
  <c r="FU116" i="39"/>
  <c r="GM115" i="39"/>
  <c r="GL115" i="39"/>
  <c r="GK115" i="39"/>
  <c r="GJ115" i="39"/>
  <c r="GI115" i="39"/>
  <c r="GH115" i="39"/>
  <c r="GG115" i="39"/>
  <c r="GF115" i="39"/>
  <c r="GE115" i="39"/>
  <c r="GD115" i="39"/>
  <c r="GC115" i="39"/>
  <c r="GB115" i="39"/>
  <c r="GA115" i="39"/>
  <c r="FZ115" i="39"/>
  <c r="FY115" i="39"/>
  <c r="FX115" i="39"/>
  <c r="FW115" i="39"/>
  <c r="FV115" i="39"/>
  <c r="FU115" i="39"/>
  <c r="GM114" i="39"/>
  <c r="GL114" i="39"/>
  <c r="GK114" i="39"/>
  <c r="GJ114" i="39"/>
  <c r="GI114" i="39"/>
  <c r="GH114" i="39"/>
  <c r="GG114" i="39"/>
  <c r="GF114" i="39"/>
  <c r="GE114" i="39"/>
  <c r="GD114" i="39"/>
  <c r="GC114" i="39"/>
  <c r="GB114" i="39"/>
  <c r="GA114" i="39"/>
  <c r="FZ114" i="39"/>
  <c r="FY114" i="39"/>
  <c r="FX114" i="39"/>
  <c r="FW114" i="39"/>
  <c r="FV114" i="39"/>
  <c r="FU114" i="39"/>
  <c r="GM113" i="39"/>
  <c r="GL113" i="39"/>
  <c r="GK113" i="39"/>
  <c r="GJ113" i="39"/>
  <c r="GI113" i="39"/>
  <c r="GH113" i="39"/>
  <c r="GG113" i="39"/>
  <c r="GF113" i="39"/>
  <c r="GE113" i="39"/>
  <c r="GD113" i="39"/>
  <c r="GC113" i="39"/>
  <c r="GB113" i="39"/>
  <c r="GA113" i="39"/>
  <c r="FZ113" i="39"/>
  <c r="FY113" i="39"/>
  <c r="FX113" i="39"/>
  <c r="FW113" i="39"/>
  <c r="FV113" i="39"/>
  <c r="FU113" i="39"/>
  <c r="GL112" i="39"/>
  <c r="GK112" i="39"/>
  <c r="GJ112" i="39"/>
  <c r="GI112" i="39"/>
  <c r="GH112" i="39"/>
  <c r="GG112" i="39"/>
  <c r="GF112" i="39"/>
  <c r="GE112" i="39"/>
  <c r="GD112" i="39"/>
  <c r="GC112" i="39"/>
  <c r="GB112" i="39"/>
  <c r="GA112" i="39"/>
  <c r="FZ112" i="39"/>
  <c r="FY112" i="39"/>
  <c r="FX112" i="39"/>
  <c r="FW112" i="39"/>
  <c r="FV112" i="39"/>
  <c r="GM111" i="39"/>
  <c r="GL111" i="39"/>
  <c r="GK111" i="39"/>
  <c r="GJ111" i="39"/>
  <c r="GI111" i="39"/>
  <c r="GH111" i="39"/>
  <c r="GG111" i="39"/>
  <c r="GF111" i="39"/>
  <c r="GE111" i="39"/>
  <c r="GD111" i="39"/>
  <c r="GB111" i="39"/>
  <c r="FX111" i="39"/>
  <c r="FW111" i="39"/>
  <c r="FV111" i="39"/>
  <c r="FU111" i="39"/>
  <c r="GM110" i="39"/>
  <c r="GL110" i="39"/>
  <c r="GK110" i="39"/>
  <c r="GJ110" i="39"/>
  <c r="GI110" i="39"/>
  <c r="GH110" i="39"/>
  <c r="GG110" i="39"/>
  <c r="GF110" i="39"/>
  <c r="GE110" i="39"/>
  <c r="GD110" i="39"/>
  <c r="GC110" i="39"/>
  <c r="GB110" i="39"/>
  <c r="GA110" i="39"/>
  <c r="FZ110" i="39"/>
  <c r="FY110" i="39"/>
  <c r="FX110" i="39"/>
  <c r="FW110" i="39"/>
  <c r="FV110" i="39"/>
  <c r="FU110" i="39"/>
  <c r="GM109" i="39"/>
  <c r="GL109" i="39"/>
  <c r="GK109" i="39"/>
  <c r="GJ109" i="39"/>
  <c r="GI109" i="39"/>
  <c r="GH109" i="39"/>
  <c r="GG109" i="39"/>
  <c r="GF109" i="39"/>
  <c r="GE109" i="39"/>
  <c r="GD109" i="39"/>
  <c r="GC109" i="39"/>
  <c r="GB109" i="39"/>
  <c r="GA109" i="39"/>
  <c r="FZ109" i="39"/>
  <c r="FY109" i="39"/>
  <c r="FX109" i="39"/>
  <c r="FW109" i="39"/>
  <c r="FV109" i="39"/>
  <c r="FU109" i="39"/>
  <c r="GM108" i="39"/>
  <c r="GL108" i="39"/>
  <c r="GK108" i="39"/>
  <c r="GJ108" i="39"/>
  <c r="GI108" i="39"/>
  <c r="GH108" i="39"/>
  <c r="GG108" i="39"/>
  <c r="GF108" i="39"/>
  <c r="GE108" i="39"/>
  <c r="GD108" i="39"/>
  <c r="GC108" i="39"/>
  <c r="GB108" i="39"/>
  <c r="GA108" i="39"/>
  <c r="FZ108" i="39"/>
  <c r="FY108" i="39"/>
  <c r="FX108" i="39"/>
  <c r="FW108" i="39"/>
  <c r="FV108" i="39"/>
  <c r="FU108" i="39"/>
  <c r="GM107" i="39"/>
  <c r="GL107" i="39"/>
  <c r="GK107" i="39"/>
  <c r="GJ107" i="39"/>
  <c r="GI107" i="39"/>
  <c r="GH107" i="39"/>
  <c r="GG107" i="39"/>
  <c r="GF107" i="39"/>
  <c r="GE107" i="39"/>
  <c r="GD107" i="39"/>
  <c r="GC107" i="39"/>
  <c r="GB107" i="39"/>
  <c r="GA107" i="39"/>
  <c r="FZ107" i="39"/>
  <c r="FY107" i="39"/>
  <c r="FX107" i="39"/>
  <c r="FW107" i="39"/>
  <c r="FV107" i="39"/>
  <c r="FU107" i="39"/>
  <c r="GM106" i="39"/>
  <c r="GL106" i="39"/>
  <c r="GK106" i="39"/>
  <c r="GJ106" i="39"/>
  <c r="GI106" i="39"/>
  <c r="GH106" i="39"/>
  <c r="GG106" i="39"/>
  <c r="GF106" i="39"/>
  <c r="GE106" i="39"/>
  <c r="GD106" i="39"/>
  <c r="GC106" i="39"/>
  <c r="GB106" i="39"/>
  <c r="GA106" i="39"/>
  <c r="FZ106" i="39"/>
  <c r="FY106" i="39"/>
  <c r="FX106" i="39"/>
  <c r="FW106" i="39"/>
  <c r="FV106" i="39"/>
  <c r="FU106" i="39"/>
  <c r="GM105" i="39"/>
  <c r="GL105" i="39"/>
  <c r="GK105" i="39"/>
  <c r="GJ105" i="39"/>
  <c r="GI105" i="39"/>
  <c r="GH105" i="39"/>
  <c r="GG105" i="39"/>
  <c r="GF105" i="39"/>
  <c r="GE105" i="39"/>
  <c r="GD105" i="39"/>
  <c r="GC105" i="39"/>
  <c r="GB105" i="39"/>
  <c r="GA105" i="39"/>
  <c r="FZ105" i="39"/>
  <c r="FY105" i="39"/>
  <c r="FX105" i="39"/>
  <c r="FW105" i="39"/>
  <c r="FV105" i="39"/>
  <c r="FU105" i="39"/>
  <c r="GM104" i="39"/>
  <c r="GL104" i="39"/>
  <c r="GK104" i="39"/>
  <c r="GJ104" i="39"/>
  <c r="GI104" i="39"/>
  <c r="GH104" i="39"/>
  <c r="GG104" i="39"/>
  <c r="GF104" i="39"/>
  <c r="GE104" i="39"/>
  <c r="GD104" i="39"/>
  <c r="GC104" i="39"/>
  <c r="GB104" i="39"/>
  <c r="GA104" i="39"/>
  <c r="FZ104" i="39"/>
  <c r="FY104" i="39"/>
  <c r="FX104" i="39"/>
  <c r="FW104" i="39"/>
  <c r="FV104" i="39"/>
  <c r="FU104" i="39"/>
  <c r="GM103" i="39"/>
  <c r="GK103" i="39"/>
  <c r="GH103" i="39"/>
  <c r="GF103" i="39"/>
  <c r="GE103" i="39"/>
  <c r="GC103" i="39"/>
  <c r="GB103" i="39"/>
  <c r="FX103" i="39"/>
  <c r="FW103" i="39"/>
  <c r="FV103" i="39"/>
  <c r="FU103" i="39"/>
  <c r="GM102" i="39"/>
  <c r="GL102" i="39"/>
  <c r="GK102" i="39"/>
  <c r="GJ102" i="39"/>
  <c r="GI102" i="39"/>
  <c r="GH102" i="39"/>
  <c r="GG102" i="39"/>
  <c r="GF102" i="39"/>
  <c r="GC102" i="39"/>
  <c r="GB102" i="39"/>
  <c r="FX102" i="39"/>
  <c r="FW102" i="39"/>
  <c r="FV102" i="39"/>
  <c r="FU102" i="39"/>
  <c r="GM101" i="39"/>
  <c r="GL101" i="39"/>
  <c r="GJ101" i="39"/>
  <c r="GH101" i="39"/>
  <c r="GF101" i="39"/>
  <c r="GE101" i="39"/>
  <c r="GC101" i="39"/>
  <c r="GB101" i="39"/>
  <c r="FX101" i="39"/>
  <c r="FW101" i="39"/>
  <c r="FV101" i="39"/>
  <c r="FU101" i="39"/>
  <c r="GM100" i="39"/>
  <c r="GL100" i="39"/>
  <c r="GK100" i="39"/>
  <c r="GJ100" i="39"/>
  <c r="GI100" i="39"/>
  <c r="GF100" i="39"/>
  <c r="GE100" i="39"/>
  <c r="GC100" i="39"/>
  <c r="GB100" i="39"/>
  <c r="FX100" i="39"/>
  <c r="FW100" i="39"/>
  <c r="FV100" i="39"/>
  <c r="FU100" i="39"/>
  <c r="GM95" i="39"/>
  <c r="GL95" i="39"/>
  <c r="GK95" i="39"/>
  <c r="GJ95" i="39"/>
  <c r="GI95" i="39"/>
  <c r="GH95" i="39"/>
  <c r="GG95" i="39"/>
  <c r="GE95" i="39"/>
  <c r="GC95" i="39"/>
  <c r="GB95" i="39"/>
  <c r="FX95" i="39"/>
  <c r="FW95" i="39"/>
  <c r="FV95" i="39"/>
  <c r="FU95" i="39"/>
  <c r="GM94" i="39"/>
  <c r="GL94" i="39"/>
  <c r="GK94" i="39"/>
  <c r="GJ94" i="39"/>
  <c r="GI94" i="39"/>
  <c r="GH94" i="39"/>
  <c r="GG94" i="39"/>
  <c r="GE94" i="39"/>
  <c r="GC94" i="39"/>
  <c r="GB94" i="39"/>
  <c r="FX94" i="39"/>
  <c r="FW94" i="39"/>
  <c r="FV94" i="39"/>
  <c r="FU94" i="39"/>
  <c r="GM93" i="39"/>
  <c r="GL93" i="39"/>
  <c r="GK93" i="39"/>
  <c r="GJ93" i="39"/>
  <c r="GI93" i="39"/>
  <c r="GH93" i="39"/>
  <c r="GG93" i="39"/>
  <c r="GE93" i="39"/>
  <c r="GC93" i="39"/>
  <c r="GB93" i="39"/>
  <c r="FX93" i="39"/>
  <c r="FW93" i="39"/>
  <c r="FV93" i="39"/>
  <c r="FU93" i="39"/>
  <c r="GM92" i="39"/>
  <c r="GL92" i="39"/>
  <c r="GK92" i="39"/>
  <c r="GJ92" i="39"/>
  <c r="GI92" i="39"/>
  <c r="GH92" i="39"/>
  <c r="GG92" i="39"/>
  <c r="GE92" i="39"/>
  <c r="GC92" i="39"/>
  <c r="GB92" i="39"/>
  <c r="FX92" i="39"/>
  <c r="FW92" i="39"/>
  <c r="FV92" i="39"/>
  <c r="FU92" i="39"/>
  <c r="GM91" i="39"/>
  <c r="GL91" i="39"/>
  <c r="GK91" i="39"/>
  <c r="GJ91" i="39"/>
  <c r="GI91" i="39"/>
  <c r="GH91" i="39"/>
  <c r="GG91" i="39"/>
  <c r="GE91" i="39"/>
  <c r="GC91" i="39"/>
  <c r="GB91" i="39"/>
  <c r="FX91" i="39"/>
  <c r="FW91" i="39"/>
  <c r="FV91" i="39"/>
  <c r="FU91" i="39"/>
  <c r="GM90" i="39"/>
  <c r="GL90" i="39"/>
  <c r="GK90" i="39"/>
  <c r="GJ90" i="39"/>
  <c r="GI90" i="39"/>
  <c r="GH90" i="39"/>
  <c r="GG90" i="39"/>
  <c r="GE90" i="39"/>
  <c r="GC90" i="39"/>
  <c r="GB90" i="39"/>
  <c r="FX90" i="39"/>
  <c r="FW90" i="39"/>
  <c r="FV90" i="39"/>
  <c r="FU90" i="39"/>
  <c r="GM89" i="39"/>
  <c r="GL89" i="39"/>
  <c r="GK89" i="39"/>
  <c r="GJ89" i="39"/>
  <c r="GI89" i="39"/>
  <c r="GH89" i="39"/>
  <c r="GG89" i="39"/>
  <c r="GE89" i="39"/>
  <c r="GC89" i="39"/>
  <c r="GB89" i="39"/>
  <c r="FX89" i="39"/>
  <c r="FW89" i="39"/>
  <c r="FV89" i="39"/>
  <c r="FU89" i="39"/>
  <c r="GM88" i="39"/>
  <c r="GL88" i="39"/>
  <c r="GK88" i="39"/>
  <c r="GJ88" i="39"/>
  <c r="GI88" i="39"/>
  <c r="GH88" i="39"/>
  <c r="GG88" i="39"/>
  <c r="GE88" i="39"/>
  <c r="GC88" i="39"/>
  <c r="GB88" i="39"/>
  <c r="FX88" i="39"/>
  <c r="FW88" i="39"/>
  <c r="FV88" i="39"/>
  <c r="FU88" i="39"/>
  <c r="GM87" i="39"/>
  <c r="GL87" i="39"/>
  <c r="GK87" i="39"/>
  <c r="GJ87" i="39"/>
  <c r="GI87" i="39"/>
  <c r="GH87" i="39"/>
  <c r="GG87" i="39"/>
  <c r="GE87" i="39"/>
  <c r="GC87" i="39"/>
  <c r="GB87" i="39"/>
  <c r="FX87" i="39"/>
  <c r="FW87" i="39"/>
  <c r="FV87" i="39"/>
  <c r="FU87" i="39"/>
  <c r="GM86" i="39"/>
  <c r="GL86" i="39"/>
  <c r="GK86" i="39"/>
  <c r="GJ86" i="39"/>
  <c r="GI86" i="39"/>
  <c r="GH86" i="39"/>
  <c r="GG86" i="39"/>
  <c r="GF86" i="39"/>
  <c r="GE86" i="39"/>
  <c r="GD86" i="39"/>
  <c r="GB86" i="39"/>
  <c r="FX86" i="39"/>
  <c r="FW86" i="39"/>
  <c r="FV86" i="39"/>
  <c r="FU86" i="39"/>
  <c r="GM85" i="39"/>
  <c r="GL85" i="39"/>
  <c r="GK85" i="39"/>
  <c r="GJ85" i="39"/>
  <c r="GI85" i="39"/>
  <c r="GH85" i="39"/>
  <c r="GG85" i="39"/>
  <c r="GF85" i="39"/>
  <c r="GE85" i="39"/>
  <c r="GD85" i="39"/>
  <c r="GC85" i="39"/>
  <c r="GB85" i="39"/>
  <c r="GA85" i="39"/>
  <c r="FZ85" i="39"/>
  <c r="FY85" i="39"/>
  <c r="FX85" i="39"/>
  <c r="FW85" i="39"/>
  <c r="FV85" i="39"/>
  <c r="FU85" i="39"/>
  <c r="GM84" i="39"/>
  <c r="GL84" i="39"/>
  <c r="GK84" i="39"/>
  <c r="GJ84" i="39"/>
  <c r="GI84" i="39"/>
  <c r="GH84" i="39"/>
  <c r="GG84" i="39"/>
  <c r="GF84" i="39"/>
  <c r="GE84" i="39"/>
  <c r="GD84" i="39"/>
  <c r="GC84" i="39"/>
  <c r="GB84" i="39"/>
  <c r="GA84" i="39"/>
  <c r="FZ84" i="39"/>
  <c r="FY84" i="39"/>
  <c r="FX84" i="39"/>
  <c r="FW84" i="39"/>
  <c r="FV84" i="39"/>
  <c r="FU84" i="39"/>
  <c r="GM83" i="39"/>
  <c r="GL83" i="39"/>
  <c r="GK83" i="39"/>
  <c r="GJ83" i="39"/>
  <c r="GI83" i="39"/>
  <c r="GH83" i="39"/>
  <c r="GG83" i="39"/>
  <c r="GF83" i="39"/>
  <c r="GE83" i="39"/>
  <c r="GD83" i="39"/>
  <c r="GC83" i="39"/>
  <c r="GB83" i="39"/>
  <c r="GA83" i="39"/>
  <c r="FZ83" i="39"/>
  <c r="FY83" i="39"/>
  <c r="FX83" i="39"/>
  <c r="FW83" i="39"/>
  <c r="FV83" i="39"/>
  <c r="FU83" i="39"/>
  <c r="GM82" i="39"/>
  <c r="GL82" i="39"/>
  <c r="GK82" i="39"/>
  <c r="GJ82" i="39"/>
  <c r="GI82" i="39"/>
  <c r="GH82" i="39"/>
  <c r="GG82" i="39"/>
  <c r="GF82" i="39"/>
  <c r="GE82" i="39"/>
  <c r="GD82" i="39"/>
  <c r="GC82" i="39"/>
  <c r="GB82" i="39"/>
  <c r="GA82" i="39"/>
  <c r="FZ82" i="39"/>
  <c r="FY82" i="39"/>
  <c r="FX82" i="39"/>
  <c r="FW82" i="39"/>
  <c r="FV82" i="39"/>
  <c r="FU82" i="39"/>
  <c r="GM81" i="39"/>
  <c r="GL81" i="39"/>
  <c r="GK81" i="39"/>
  <c r="GJ81" i="39"/>
  <c r="GI81" i="39"/>
  <c r="GH81" i="39"/>
  <c r="GG81" i="39"/>
  <c r="GF81" i="39"/>
  <c r="GE81" i="39"/>
  <c r="GD81" i="39"/>
  <c r="GC81" i="39"/>
  <c r="GB81" i="39"/>
  <c r="GA81" i="39"/>
  <c r="FZ81" i="39"/>
  <c r="FY81" i="39"/>
  <c r="FX81" i="39"/>
  <c r="FW81" i="39"/>
  <c r="FV81" i="39"/>
  <c r="FU81" i="39"/>
  <c r="GM80" i="39"/>
  <c r="GL80" i="39"/>
  <c r="GK80" i="39"/>
  <c r="GJ80" i="39"/>
  <c r="GI80" i="39"/>
  <c r="GH80" i="39"/>
  <c r="GG80" i="39"/>
  <c r="GF80" i="39"/>
  <c r="GE80" i="39"/>
  <c r="GD80" i="39"/>
  <c r="GC80" i="39"/>
  <c r="GB80" i="39"/>
  <c r="GA80" i="39"/>
  <c r="FZ80" i="39"/>
  <c r="FY80" i="39"/>
  <c r="FX80" i="39"/>
  <c r="FW80" i="39"/>
  <c r="FV80" i="39"/>
  <c r="FU80" i="39"/>
  <c r="GM79" i="39"/>
  <c r="GL79" i="39"/>
  <c r="GK79" i="39"/>
  <c r="GJ79" i="39"/>
  <c r="GI79" i="39"/>
  <c r="GH79" i="39"/>
  <c r="GG79" i="39"/>
  <c r="GF79" i="39"/>
  <c r="GE79" i="39"/>
  <c r="GD79" i="39"/>
  <c r="GC79" i="39"/>
  <c r="GB79" i="39"/>
  <c r="GA79" i="39"/>
  <c r="FZ79" i="39"/>
  <c r="FY79" i="39"/>
  <c r="FX79" i="39"/>
  <c r="FW79" i="39"/>
  <c r="FV79" i="39"/>
  <c r="FU79" i="39"/>
  <c r="GM78" i="39"/>
  <c r="GL78" i="39"/>
  <c r="GK78" i="39"/>
  <c r="GJ78" i="39"/>
  <c r="GI78" i="39"/>
  <c r="GH78" i="39"/>
  <c r="GG78" i="39"/>
  <c r="GF78" i="39"/>
  <c r="GE78" i="39"/>
  <c r="GD78" i="39"/>
  <c r="GC78" i="39"/>
  <c r="GB78" i="39"/>
  <c r="GA78" i="39"/>
  <c r="FZ78" i="39"/>
  <c r="FY78" i="39"/>
  <c r="FX78" i="39"/>
  <c r="FW78" i="39"/>
  <c r="FV78" i="39"/>
  <c r="FU78" i="39"/>
  <c r="GM77" i="39"/>
  <c r="GL77" i="39"/>
  <c r="GK77" i="39"/>
  <c r="GJ77" i="39"/>
  <c r="GI77" i="39"/>
  <c r="GH77" i="39"/>
  <c r="GG77" i="39"/>
  <c r="GF77" i="39"/>
  <c r="GE77" i="39"/>
  <c r="GD77" i="39"/>
  <c r="GC77" i="39"/>
  <c r="GB77" i="39"/>
  <c r="GA77" i="39"/>
  <c r="FZ77" i="39"/>
  <c r="FY77" i="39"/>
  <c r="FX77" i="39"/>
  <c r="FW77" i="39"/>
  <c r="FV77" i="39"/>
  <c r="FU77" i="39"/>
  <c r="GM76" i="39"/>
  <c r="GL76" i="39"/>
  <c r="GK76" i="39"/>
  <c r="GJ76" i="39"/>
  <c r="GI76" i="39"/>
  <c r="GH76" i="39"/>
  <c r="GG76" i="39"/>
  <c r="GF76" i="39"/>
  <c r="GE76" i="39"/>
  <c r="GD76" i="39"/>
  <c r="GC76" i="39"/>
  <c r="GB76" i="39"/>
  <c r="GA76" i="39"/>
  <c r="FZ76" i="39"/>
  <c r="FY76" i="39"/>
  <c r="FX76" i="39"/>
  <c r="FW76" i="39"/>
  <c r="FV76" i="39"/>
  <c r="FU76" i="39"/>
  <c r="GM73" i="39"/>
  <c r="GL73" i="39"/>
  <c r="GK73" i="39"/>
  <c r="GJ73" i="39"/>
  <c r="GI73" i="39"/>
  <c r="GH73" i="39"/>
  <c r="GG73" i="39"/>
  <c r="GF73" i="39"/>
  <c r="GE73" i="39"/>
  <c r="GD73" i="39"/>
  <c r="GC73" i="39"/>
  <c r="GB73" i="39"/>
  <c r="GA73" i="39"/>
  <c r="FZ73" i="39"/>
  <c r="FY73" i="39"/>
  <c r="GM72" i="39"/>
  <c r="GL72" i="39"/>
  <c r="GK72" i="39"/>
  <c r="GJ72" i="39"/>
  <c r="GI72" i="39"/>
  <c r="GH72" i="39"/>
  <c r="GG72" i="39"/>
  <c r="GF72" i="39"/>
  <c r="GE72" i="39"/>
  <c r="GD72" i="39"/>
  <c r="GC72" i="39"/>
  <c r="GB72" i="39"/>
  <c r="GA72" i="39"/>
  <c r="FZ72" i="39"/>
  <c r="FY72" i="39"/>
  <c r="GM71" i="39"/>
  <c r="GL71" i="39"/>
  <c r="GK71" i="39"/>
  <c r="GJ71" i="39"/>
  <c r="GI71" i="39"/>
  <c r="GH71" i="39"/>
  <c r="GG71" i="39"/>
  <c r="GF71" i="39"/>
  <c r="GE71" i="39"/>
  <c r="GD71" i="39"/>
  <c r="GC71" i="39"/>
  <c r="GB71" i="39"/>
  <c r="GA71" i="39"/>
  <c r="FZ71" i="39"/>
  <c r="FY71" i="39"/>
  <c r="GM70" i="39"/>
  <c r="GL70" i="39"/>
  <c r="GK70" i="39"/>
  <c r="GJ70" i="39"/>
  <c r="GI70" i="39"/>
  <c r="GH70" i="39"/>
  <c r="GG70" i="39"/>
  <c r="GF70" i="39"/>
  <c r="GE70" i="39"/>
  <c r="GD70" i="39"/>
  <c r="GC70" i="39"/>
  <c r="GB70" i="39"/>
  <c r="GA70" i="39"/>
  <c r="FZ70" i="39"/>
  <c r="FY70" i="39"/>
  <c r="GM69" i="39"/>
  <c r="GL69" i="39"/>
  <c r="GK69" i="39"/>
  <c r="GJ69" i="39"/>
  <c r="GI69" i="39"/>
  <c r="GH69" i="39"/>
  <c r="GG69" i="39"/>
  <c r="GF69" i="39"/>
  <c r="GE69" i="39"/>
  <c r="GD69" i="39"/>
  <c r="GC69" i="39"/>
  <c r="GB69" i="39"/>
  <c r="GA69" i="39"/>
  <c r="FZ69" i="39"/>
  <c r="FY69" i="39"/>
  <c r="GM68" i="39"/>
  <c r="GL68" i="39"/>
  <c r="GK68" i="39"/>
  <c r="GJ68" i="39"/>
  <c r="GI68" i="39"/>
  <c r="GH68" i="39"/>
  <c r="GG68" i="39"/>
  <c r="GF68" i="39"/>
  <c r="GE68" i="39"/>
  <c r="GD68" i="39"/>
  <c r="GC68" i="39"/>
  <c r="GB68" i="39"/>
  <c r="GA68" i="39"/>
  <c r="FZ68" i="39"/>
  <c r="FY68" i="39"/>
  <c r="GM67" i="39"/>
  <c r="GL67" i="39"/>
  <c r="GK67" i="39"/>
  <c r="GJ67" i="39"/>
  <c r="GI67" i="39"/>
  <c r="GH67" i="39"/>
  <c r="GG67" i="39"/>
  <c r="GF67" i="39"/>
  <c r="GE67" i="39"/>
  <c r="GD67" i="39"/>
  <c r="GC67" i="39"/>
  <c r="GB67" i="39"/>
  <c r="GA67" i="39"/>
  <c r="FZ67" i="39"/>
  <c r="FY67" i="39"/>
  <c r="GM66" i="39"/>
  <c r="GL66" i="39"/>
  <c r="GK66" i="39"/>
  <c r="GJ66" i="39"/>
  <c r="GI66" i="39"/>
  <c r="GH66" i="39"/>
  <c r="GG66" i="39"/>
  <c r="GF66" i="39"/>
  <c r="GE66" i="39"/>
  <c r="GD66" i="39"/>
  <c r="GC66" i="39"/>
  <c r="GB66" i="39"/>
  <c r="GA66" i="39"/>
  <c r="FZ66" i="39"/>
  <c r="FY66" i="39"/>
  <c r="GM65" i="39"/>
  <c r="GL65" i="39"/>
  <c r="GK65" i="39"/>
  <c r="GJ65" i="39"/>
  <c r="GI65" i="39"/>
  <c r="GH65" i="39"/>
  <c r="GG65" i="39"/>
  <c r="GF65" i="39"/>
  <c r="GE65" i="39"/>
  <c r="GD65" i="39"/>
  <c r="GC65" i="39"/>
  <c r="GB65" i="39"/>
  <c r="GA65" i="39"/>
  <c r="FZ65" i="39"/>
  <c r="FY65" i="39"/>
  <c r="GM64" i="39"/>
  <c r="GL64" i="39"/>
  <c r="GK64" i="39"/>
  <c r="GJ64" i="39"/>
  <c r="GI64" i="39"/>
  <c r="GH64" i="39"/>
  <c r="GG64" i="39"/>
  <c r="GF64" i="39"/>
  <c r="GE64" i="39"/>
  <c r="GD64" i="39"/>
  <c r="GC64" i="39"/>
  <c r="GB64" i="39"/>
  <c r="GA64" i="39"/>
  <c r="FZ64" i="39"/>
  <c r="FY64" i="39"/>
  <c r="GM63" i="39"/>
  <c r="GL63" i="39"/>
  <c r="GK63" i="39"/>
  <c r="GJ63" i="39"/>
  <c r="GI63" i="39"/>
  <c r="GH63" i="39"/>
  <c r="GG63" i="39"/>
  <c r="GF63" i="39"/>
  <c r="GE63" i="39"/>
  <c r="GD63" i="39"/>
  <c r="GC63" i="39"/>
  <c r="GB63" i="39"/>
  <c r="GA63" i="39"/>
  <c r="FZ63" i="39"/>
  <c r="FY63" i="39"/>
  <c r="FX63" i="39"/>
  <c r="FW63" i="39"/>
  <c r="FV63" i="39"/>
  <c r="FU63" i="39"/>
  <c r="GM60" i="39"/>
  <c r="GL60" i="39"/>
  <c r="GK60" i="39"/>
  <c r="GJ60" i="39"/>
  <c r="GI60" i="39"/>
  <c r="GH60" i="39"/>
  <c r="GG60" i="39"/>
  <c r="GF60" i="39"/>
  <c r="GE60" i="39"/>
  <c r="GD60" i="39"/>
  <c r="GC60" i="39"/>
  <c r="GB60" i="39"/>
  <c r="GA60" i="39"/>
  <c r="FZ60" i="39"/>
  <c r="FY60" i="39"/>
  <c r="FX60" i="39"/>
  <c r="FW60" i="39"/>
  <c r="GM59" i="39"/>
  <c r="GL59" i="39"/>
  <c r="GK59" i="39"/>
  <c r="GJ59" i="39"/>
  <c r="GI59" i="39"/>
  <c r="GH59" i="39"/>
  <c r="GG59" i="39"/>
  <c r="GF59" i="39"/>
  <c r="GE59" i="39"/>
  <c r="GD59" i="39"/>
  <c r="GC59" i="39"/>
  <c r="GB59" i="39"/>
  <c r="GA59" i="39"/>
  <c r="FZ59" i="39"/>
  <c r="FY59" i="39"/>
  <c r="FX59" i="39"/>
  <c r="FW59" i="39"/>
  <c r="GM58" i="39"/>
  <c r="GL58" i="39"/>
  <c r="GK58" i="39"/>
  <c r="GJ58" i="39"/>
  <c r="GI58" i="39"/>
  <c r="GH58" i="39"/>
  <c r="GG58" i="39"/>
  <c r="GF58" i="39"/>
  <c r="GE58" i="39"/>
  <c r="GD58" i="39"/>
  <c r="GC58" i="39"/>
  <c r="GB58" i="39"/>
  <c r="GA58" i="39"/>
  <c r="FZ58" i="39"/>
  <c r="FY58" i="39"/>
  <c r="FX58" i="39"/>
  <c r="FW58" i="39"/>
  <c r="GM57" i="39"/>
  <c r="GL57" i="39"/>
  <c r="GK57" i="39"/>
  <c r="GJ57" i="39"/>
  <c r="GI57" i="39"/>
  <c r="GH57" i="39"/>
  <c r="GG57" i="39"/>
  <c r="GF57" i="39"/>
  <c r="GE57" i="39"/>
  <c r="GD57" i="39"/>
  <c r="GC57" i="39"/>
  <c r="GB57" i="39"/>
  <c r="GA57" i="39"/>
  <c r="FZ57" i="39"/>
  <c r="FY57" i="39"/>
  <c r="FX57" i="39"/>
  <c r="FW57" i="39"/>
  <c r="GM56" i="39"/>
  <c r="GL56" i="39"/>
  <c r="GK56" i="39"/>
  <c r="GJ56" i="39"/>
  <c r="GI56" i="39"/>
  <c r="GH56" i="39"/>
  <c r="GG56" i="39"/>
  <c r="GF56" i="39"/>
  <c r="GE56" i="39"/>
  <c r="GD56" i="39"/>
  <c r="GC56" i="39"/>
  <c r="GB56" i="39"/>
  <c r="GA56" i="39"/>
  <c r="FZ56" i="39"/>
  <c r="FY56" i="39"/>
  <c r="FX56" i="39"/>
  <c r="FW56" i="39"/>
  <c r="GM55" i="39"/>
  <c r="GL55" i="39"/>
  <c r="GK55" i="39"/>
  <c r="GJ55" i="39"/>
  <c r="GI55" i="39"/>
  <c r="GH55" i="39"/>
  <c r="GG55" i="39"/>
  <c r="GF55" i="39"/>
  <c r="GE55" i="39"/>
  <c r="GD55" i="39"/>
  <c r="GC55" i="39"/>
  <c r="GB55" i="39"/>
  <c r="GA55" i="39"/>
  <c r="FZ55" i="39"/>
  <c r="FY55" i="39"/>
  <c r="FX55" i="39"/>
  <c r="FW55" i="39"/>
  <c r="GM54" i="39"/>
  <c r="GL54" i="39"/>
  <c r="GK54" i="39"/>
  <c r="GJ54" i="39"/>
  <c r="GI54" i="39"/>
  <c r="GH54" i="39"/>
  <c r="GG54" i="39"/>
  <c r="GF54" i="39"/>
  <c r="GE54" i="39"/>
  <c r="GD54" i="39"/>
  <c r="GC54" i="39"/>
  <c r="GB54" i="39"/>
  <c r="GA54" i="39"/>
  <c r="FZ54" i="39"/>
  <c r="FY54" i="39"/>
  <c r="FX54" i="39"/>
  <c r="FW54" i="39"/>
  <c r="GM53" i="39"/>
  <c r="GL53" i="39"/>
  <c r="GK53" i="39"/>
  <c r="GJ53" i="39"/>
  <c r="GI53" i="39"/>
  <c r="GH53" i="39"/>
  <c r="GG53" i="39"/>
  <c r="GF53" i="39"/>
  <c r="GE53" i="39"/>
  <c r="GD53" i="39"/>
  <c r="GC53" i="39"/>
  <c r="GB53" i="39"/>
  <c r="GA53" i="39"/>
  <c r="FZ53" i="39"/>
  <c r="FY53" i="39"/>
  <c r="FX53" i="39"/>
  <c r="FW53" i="39"/>
  <c r="GM52" i="39"/>
  <c r="GL52" i="39"/>
  <c r="GK52" i="39"/>
  <c r="GJ52" i="39"/>
  <c r="GI52" i="39"/>
  <c r="GH52" i="39"/>
  <c r="GG52" i="39"/>
  <c r="GF52" i="39"/>
  <c r="GE52" i="39"/>
  <c r="GD52" i="39"/>
  <c r="GC52" i="39"/>
  <c r="GB52" i="39"/>
  <c r="GA52" i="39"/>
  <c r="FZ52" i="39"/>
  <c r="FY52" i="39"/>
  <c r="FX52" i="39"/>
  <c r="FW52" i="39"/>
  <c r="GM51" i="39"/>
  <c r="GL51" i="39"/>
  <c r="GK51" i="39"/>
  <c r="GJ51" i="39"/>
  <c r="GI51" i="39"/>
  <c r="GH51" i="39"/>
  <c r="GG51" i="39"/>
  <c r="GF51" i="39"/>
  <c r="GE51" i="39"/>
  <c r="GD51" i="39"/>
  <c r="GC51" i="39"/>
  <c r="GB51" i="39"/>
  <c r="GA51" i="39"/>
  <c r="FZ51" i="39"/>
  <c r="FY51" i="39"/>
  <c r="FX51" i="39"/>
  <c r="FW51" i="39"/>
  <c r="GM50" i="39"/>
  <c r="GL50" i="39"/>
  <c r="GK50" i="39"/>
  <c r="GJ50" i="39"/>
  <c r="GI50" i="39"/>
  <c r="GH50" i="39"/>
  <c r="GG50" i="39"/>
  <c r="GF50" i="39"/>
  <c r="GE50" i="39"/>
  <c r="GD50" i="39"/>
  <c r="GC50" i="39"/>
  <c r="GB50" i="39"/>
  <c r="GA50" i="39"/>
  <c r="FZ50" i="39"/>
  <c r="FY50" i="39"/>
  <c r="FX50" i="39"/>
  <c r="FW50" i="39"/>
  <c r="GM49" i="39"/>
  <c r="GL49" i="39"/>
  <c r="GK49" i="39"/>
  <c r="GJ49" i="39"/>
  <c r="GI49" i="39"/>
  <c r="GH49" i="39"/>
  <c r="GG49" i="39"/>
  <c r="GF49" i="39"/>
  <c r="GE49" i="39"/>
  <c r="GD49" i="39"/>
  <c r="GC49" i="39"/>
  <c r="GB49" i="39"/>
  <c r="GA49" i="39"/>
  <c r="FZ49" i="39"/>
  <c r="FY49" i="39"/>
  <c r="FX49" i="39"/>
  <c r="FW49" i="39"/>
  <c r="GM48" i="39"/>
  <c r="GL48" i="39"/>
  <c r="GK48" i="39"/>
  <c r="GJ48" i="39"/>
  <c r="GI48" i="39"/>
  <c r="GH48" i="39"/>
  <c r="GG48" i="39"/>
  <c r="GF48" i="39"/>
  <c r="GE48" i="39"/>
  <c r="GD48" i="39"/>
  <c r="GC48" i="39"/>
  <c r="GB48" i="39"/>
  <c r="GA48" i="39"/>
  <c r="FZ48" i="39"/>
  <c r="FY48" i="39"/>
  <c r="FX48" i="39"/>
  <c r="FW48" i="39"/>
  <c r="GM46" i="39"/>
  <c r="GL46" i="39"/>
  <c r="GK46" i="39"/>
  <c r="GJ46" i="39"/>
  <c r="GI46" i="39"/>
  <c r="GH46" i="39"/>
  <c r="GG46" i="39"/>
  <c r="GF46" i="39"/>
  <c r="GE46" i="39"/>
  <c r="GD46" i="39"/>
  <c r="GC46" i="39"/>
  <c r="GB46" i="39"/>
  <c r="GA46" i="39"/>
  <c r="FZ46" i="39"/>
  <c r="FY46" i="39"/>
  <c r="FX46" i="39"/>
  <c r="FW46" i="39"/>
  <c r="GM45" i="39"/>
  <c r="GL45" i="39"/>
  <c r="GK45" i="39"/>
  <c r="GJ45" i="39"/>
  <c r="GI45" i="39"/>
  <c r="GH45" i="39"/>
  <c r="GG45" i="39"/>
  <c r="GF45" i="39"/>
  <c r="GE45" i="39"/>
  <c r="GD45" i="39"/>
  <c r="GC45" i="39"/>
  <c r="GB45" i="39"/>
  <c r="GA45" i="39"/>
  <c r="FZ45" i="39"/>
  <c r="FY45" i="39"/>
  <c r="FX45" i="39"/>
  <c r="FW45" i="39"/>
  <c r="FV45" i="39"/>
  <c r="FU45" i="39"/>
  <c r="GM40" i="39"/>
  <c r="GL40" i="39"/>
  <c r="GK40" i="39"/>
  <c r="GJ40" i="39"/>
  <c r="GI40" i="39"/>
  <c r="GH40" i="39"/>
  <c r="GG40" i="39"/>
  <c r="GF40" i="39"/>
  <c r="GE40" i="39"/>
  <c r="GD40" i="39"/>
  <c r="GC40" i="39"/>
  <c r="GA40" i="39"/>
  <c r="FX40" i="39"/>
  <c r="FW40" i="39"/>
  <c r="FV40" i="39"/>
  <c r="FU40" i="39"/>
  <c r="GM39" i="39"/>
  <c r="GL39" i="39"/>
  <c r="GK39" i="39"/>
  <c r="GJ39" i="39"/>
  <c r="GI39" i="39"/>
  <c r="GH39" i="39"/>
  <c r="GG39" i="39"/>
  <c r="GF39" i="39"/>
  <c r="GE39" i="39"/>
  <c r="GD39" i="39"/>
  <c r="GC39" i="39"/>
  <c r="GA39" i="39"/>
  <c r="FX39" i="39"/>
  <c r="FW39" i="39"/>
  <c r="FV39" i="39"/>
  <c r="FU39" i="39"/>
  <c r="GM38" i="39"/>
  <c r="GL38" i="39"/>
  <c r="GK38" i="39"/>
  <c r="GJ38" i="39"/>
  <c r="GI38" i="39"/>
  <c r="GH38" i="39"/>
  <c r="GG38" i="39"/>
  <c r="GF38" i="39"/>
  <c r="GE38" i="39"/>
  <c r="GD38" i="39"/>
  <c r="GC38" i="39"/>
  <c r="GA38" i="39"/>
  <c r="FX38" i="39"/>
  <c r="FW38" i="39"/>
  <c r="FV38" i="39"/>
  <c r="FU38" i="39"/>
  <c r="GM37" i="39"/>
  <c r="GL37" i="39"/>
  <c r="GK37" i="39"/>
  <c r="GJ37" i="39"/>
  <c r="GI37" i="39"/>
  <c r="GH37" i="39"/>
  <c r="GG37" i="39"/>
  <c r="GF37" i="39"/>
  <c r="GE37" i="39"/>
  <c r="GD37" i="39"/>
  <c r="GC37" i="39"/>
  <c r="GA37" i="39"/>
  <c r="FX37" i="39"/>
  <c r="FW37" i="39"/>
  <c r="FV37" i="39"/>
  <c r="FU37" i="39"/>
  <c r="GM36" i="39"/>
  <c r="GL36" i="39"/>
  <c r="GK36" i="39"/>
  <c r="GJ36" i="39"/>
  <c r="GI36" i="39"/>
  <c r="GH36" i="39"/>
  <c r="GG36" i="39"/>
  <c r="GF36" i="39"/>
  <c r="GE36" i="39"/>
  <c r="GD36" i="39"/>
  <c r="GC36" i="39"/>
  <c r="GA36" i="39"/>
  <c r="FX36" i="39"/>
  <c r="FW36" i="39"/>
  <c r="FV36" i="39"/>
  <c r="FU36" i="39"/>
  <c r="GM35" i="39"/>
  <c r="GL35" i="39"/>
  <c r="GK35" i="39"/>
  <c r="GJ35" i="39"/>
  <c r="GI35" i="39"/>
  <c r="GH35" i="39"/>
  <c r="GG35" i="39"/>
  <c r="GF35" i="39"/>
  <c r="GE35" i="39"/>
  <c r="GD35" i="39"/>
  <c r="GC35" i="39"/>
  <c r="GA35" i="39"/>
  <c r="FX35" i="39"/>
  <c r="FW35" i="39"/>
  <c r="FV35" i="39"/>
  <c r="FU35" i="39"/>
  <c r="GM34" i="39"/>
  <c r="GL34" i="39"/>
  <c r="GK34" i="39"/>
  <c r="GJ34" i="39"/>
  <c r="GI34" i="39"/>
  <c r="GH34" i="39"/>
  <c r="GG34" i="39"/>
  <c r="GF34" i="39"/>
  <c r="GE34" i="39"/>
  <c r="GD34" i="39"/>
  <c r="GC34" i="39"/>
  <c r="GA34" i="39"/>
  <c r="FX34" i="39"/>
  <c r="FW34" i="39"/>
  <c r="FV34" i="39"/>
  <c r="FU34" i="39"/>
  <c r="GM33" i="39"/>
  <c r="GL33" i="39"/>
  <c r="GK33" i="39"/>
  <c r="GJ33" i="39"/>
  <c r="GI33" i="39"/>
  <c r="GH33" i="39"/>
  <c r="GG33" i="39"/>
  <c r="GF33" i="39"/>
  <c r="GE33" i="39"/>
  <c r="GD33" i="39"/>
  <c r="GC33" i="39"/>
  <c r="GA33" i="39"/>
  <c r="FX33" i="39"/>
  <c r="FW33" i="39"/>
  <c r="FV33" i="39"/>
  <c r="FU33" i="39"/>
  <c r="GM32" i="39"/>
  <c r="GL32" i="39"/>
  <c r="GK32" i="39"/>
  <c r="GJ32" i="39"/>
  <c r="GI32" i="39"/>
  <c r="GH32" i="39"/>
  <c r="GG32" i="39"/>
  <c r="GF32" i="39"/>
  <c r="GE32" i="39"/>
  <c r="GD32" i="39"/>
  <c r="GC32" i="39"/>
  <c r="GA32" i="39"/>
  <c r="FX32" i="39"/>
  <c r="FW32" i="39"/>
  <c r="FV32" i="39"/>
  <c r="FU32" i="39"/>
  <c r="GM31" i="39"/>
  <c r="GL31" i="39"/>
  <c r="GK31" i="39"/>
  <c r="GJ31" i="39"/>
  <c r="GI31" i="39"/>
  <c r="GH31" i="39"/>
  <c r="GG31" i="39"/>
  <c r="GF31" i="39"/>
  <c r="GE31" i="39"/>
  <c r="GD31" i="39"/>
  <c r="GC31" i="39"/>
  <c r="GA31" i="39"/>
  <c r="FX31" i="39"/>
  <c r="FW31" i="39"/>
  <c r="FV31" i="39"/>
  <c r="FU31" i="39"/>
  <c r="GM30" i="39"/>
  <c r="GL30" i="39"/>
  <c r="GK30" i="39"/>
  <c r="GJ30" i="39"/>
  <c r="GI30" i="39"/>
  <c r="GH30" i="39"/>
  <c r="GG30" i="39"/>
  <c r="GF30" i="39"/>
  <c r="GE30" i="39"/>
  <c r="GD30" i="39"/>
  <c r="GC30" i="39"/>
  <c r="GA30" i="39"/>
  <c r="FX30" i="39"/>
  <c r="FW30" i="39"/>
  <c r="FV30" i="39"/>
  <c r="FU30" i="39"/>
  <c r="GM29" i="39"/>
  <c r="GL29" i="39"/>
  <c r="GK29" i="39"/>
  <c r="GJ29" i="39"/>
  <c r="GI29" i="39"/>
  <c r="GH29" i="39"/>
  <c r="GG29" i="39"/>
  <c r="GF29" i="39"/>
  <c r="GE29" i="39"/>
  <c r="GD29" i="39"/>
  <c r="GC29" i="39"/>
  <c r="GA29" i="39"/>
  <c r="FX29" i="39"/>
  <c r="FW29" i="39"/>
  <c r="FV29" i="39"/>
  <c r="FU29" i="39"/>
  <c r="GM28" i="39"/>
  <c r="GL28" i="39"/>
  <c r="GK28" i="39"/>
  <c r="GJ28" i="39"/>
  <c r="GI28" i="39"/>
  <c r="GH28" i="39"/>
  <c r="GG28" i="39"/>
  <c r="GF28" i="39"/>
  <c r="GE28" i="39"/>
  <c r="GD28" i="39"/>
  <c r="GC28" i="39"/>
  <c r="GA28" i="39"/>
  <c r="FX28" i="39"/>
  <c r="FW28" i="39"/>
  <c r="FV28" i="39"/>
  <c r="FU28" i="39"/>
  <c r="GM27" i="39"/>
  <c r="GL27" i="39"/>
  <c r="GK27" i="39"/>
  <c r="GJ27" i="39"/>
  <c r="GI27" i="39"/>
  <c r="GH27" i="39"/>
  <c r="GG27" i="39"/>
  <c r="GF27" i="39"/>
  <c r="GE27" i="39"/>
  <c r="GD27" i="39"/>
  <c r="GC27" i="39"/>
  <c r="GA27" i="39"/>
  <c r="FX27" i="39"/>
  <c r="FW27" i="39"/>
  <c r="FV27" i="39"/>
  <c r="FU27" i="39"/>
  <c r="GM26" i="39"/>
  <c r="GL26" i="39"/>
  <c r="GK26" i="39"/>
  <c r="GJ26" i="39"/>
  <c r="GI26" i="39"/>
  <c r="GH26" i="39"/>
  <c r="GG26" i="39"/>
  <c r="GF26" i="39"/>
  <c r="GE26" i="39"/>
  <c r="GD26" i="39"/>
  <c r="GC26" i="39"/>
  <c r="GA26" i="39"/>
  <c r="FX26" i="39"/>
  <c r="FW26" i="39"/>
  <c r="FV26" i="39"/>
  <c r="FU26" i="39"/>
  <c r="GM25" i="39"/>
  <c r="GL25" i="39"/>
  <c r="GK25" i="39"/>
  <c r="GJ25" i="39"/>
  <c r="GI25" i="39"/>
  <c r="GH25" i="39"/>
  <c r="GG25" i="39"/>
  <c r="GF25" i="39"/>
  <c r="GE25" i="39"/>
  <c r="GD25" i="39"/>
  <c r="GC25" i="39"/>
  <c r="GA25" i="39"/>
  <c r="FX25" i="39"/>
  <c r="FW25" i="39"/>
  <c r="FV25" i="39"/>
  <c r="FU25" i="39"/>
  <c r="GM24" i="39"/>
  <c r="GL24" i="39"/>
  <c r="GK24" i="39"/>
  <c r="GJ24" i="39"/>
  <c r="GI24" i="39"/>
  <c r="GH24" i="39"/>
  <c r="GG24" i="39"/>
  <c r="GF24" i="39"/>
  <c r="GE24" i="39"/>
  <c r="GD24" i="39"/>
  <c r="GC24" i="39"/>
  <c r="GA24" i="39"/>
  <c r="FX24" i="39"/>
  <c r="FW24" i="39"/>
  <c r="FV24" i="39"/>
  <c r="FU24" i="39"/>
  <c r="GM23" i="39"/>
  <c r="GL23" i="39"/>
  <c r="GK23" i="39"/>
  <c r="GJ23" i="39"/>
  <c r="GI23" i="39"/>
  <c r="GH23" i="39"/>
  <c r="GG23" i="39"/>
  <c r="GF23" i="39"/>
  <c r="GE23" i="39"/>
  <c r="GD23" i="39"/>
  <c r="GC23" i="39"/>
  <c r="GA23" i="39"/>
  <c r="FX23" i="39"/>
  <c r="FW23" i="39"/>
  <c r="FV23" i="39"/>
  <c r="FU23" i="39"/>
  <c r="GM22" i="39"/>
  <c r="GL22" i="39"/>
  <c r="GK22" i="39"/>
  <c r="GJ22" i="39"/>
  <c r="GI22" i="39"/>
  <c r="GH22" i="39"/>
  <c r="GG22" i="39"/>
  <c r="GF22" i="39"/>
  <c r="GE22" i="39"/>
  <c r="GD22" i="39"/>
  <c r="GC22" i="39"/>
  <c r="GA22" i="39"/>
  <c r="FX22" i="39"/>
  <c r="FW22" i="39"/>
  <c r="FV22" i="39"/>
  <c r="FU22" i="39"/>
  <c r="GM21" i="39"/>
  <c r="GL21" i="39"/>
  <c r="GK21" i="39"/>
  <c r="GJ21" i="39"/>
  <c r="GI21" i="39"/>
  <c r="GH21" i="39"/>
  <c r="GG21" i="39"/>
  <c r="GF21" i="39"/>
  <c r="GE21" i="39"/>
  <c r="GD21" i="39"/>
  <c r="GC21" i="39"/>
  <c r="GA21" i="39"/>
  <c r="FX21" i="39"/>
  <c r="FW21" i="39"/>
  <c r="FV21" i="39"/>
  <c r="FU21" i="39"/>
  <c r="GM20" i="39"/>
  <c r="GL20" i="39"/>
  <c r="GK20" i="39"/>
  <c r="GJ20" i="39"/>
  <c r="GI20" i="39"/>
  <c r="GH20" i="39"/>
  <c r="GG20" i="39"/>
  <c r="GF20" i="39"/>
  <c r="GE20" i="39"/>
  <c r="GD20" i="39"/>
  <c r="GC20" i="39"/>
  <c r="GA20" i="39"/>
  <c r="FX20" i="39"/>
  <c r="FW20" i="39"/>
  <c r="FV20" i="39"/>
  <c r="FU20" i="39"/>
  <c r="GM19" i="39"/>
  <c r="GL19" i="39"/>
  <c r="GK19" i="39"/>
  <c r="GJ19" i="39"/>
  <c r="GI19" i="39"/>
  <c r="GH19" i="39"/>
  <c r="GG19" i="39"/>
  <c r="GF19" i="39"/>
  <c r="GE19" i="39"/>
  <c r="GD19" i="39"/>
  <c r="GC19" i="39"/>
  <c r="GA19" i="39"/>
  <c r="FX19" i="39"/>
  <c r="FW19" i="39"/>
  <c r="FV19" i="39"/>
  <c r="FU19" i="39"/>
  <c r="GM18" i="39"/>
  <c r="GL18" i="39"/>
  <c r="GK18" i="39"/>
  <c r="GJ18" i="39"/>
  <c r="GI18" i="39"/>
  <c r="GH18" i="39"/>
  <c r="GG18" i="39"/>
  <c r="GF18" i="39"/>
  <c r="GE18" i="39"/>
  <c r="GD18" i="39"/>
  <c r="GC18" i="39"/>
  <c r="GA18" i="39"/>
  <c r="FX18" i="39"/>
  <c r="FW18" i="39"/>
  <c r="FV18" i="39"/>
  <c r="FU18" i="39"/>
  <c r="GM17" i="39"/>
  <c r="GL17" i="39"/>
  <c r="GK17" i="39"/>
  <c r="GJ17" i="39"/>
  <c r="GI17" i="39"/>
  <c r="GH17" i="39"/>
  <c r="GG17" i="39"/>
  <c r="GF17" i="39"/>
  <c r="GE17" i="39"/>
  <c r="GD17" i="39"/>
  <c r="GC17" i="39"/>
  <c r="GA17" i="39"/>
  <c r="FX17" i="39"/>
  <c r="FW17" i="39"/>
  <c r="FV17" i="39"/>
  <c r="FU17" i="39"/>
  <c r="GM16" i="39"/>
  <c r="GL16" i="39"/>
  <c r="GK16" i="39"/>
  <c r="GJ16" i="39"/>
  <c r="GI16" i="39"/>
  <c r="GH16" i="39"/>
  <c r="GG16" i="39"/>
  <c r="GF16" i="39"/>
  <c r="GE16" i="39"/>
  <c r="GD16" i="39"/>
  <c r="GC16" i="39"/>
  <c r="GB16" i="39"/>
  <c r="GA16" i="39"/>
  <c r="FZ16" i="39"/>
  <c r="FY16" i="39"/>
  <c r="FX16" i="39"/>
  <c r="FW16" i="39"/>
  <c r="FV16" i="39"/>
  <c r="FU16" i="39"/>
  <c r="GM15" i="39"/>
  <c r="GL15" i="39"/>
  <c r="GK15" i="39"/>
  <c r="GJ15" i="39"/>
  <c r="GI15" i="39"/>
  <c r="GH15" i="39"/>
  <c r="GG15" i="39"/>
  <c r="GF15" i="39"/>
  <c r="GE15" i="39"/>
  <c r="GD15" i="39"/>
  <c r="GC15" i="39"/>
  <c r="GB15" i="39"/>
  <c r="GA15" i="39"/>
  <c r="FZ15" i="39"/>
  <c r="FY15" i="39"/>
  <c r="GM14" i="39"/>
  <c r="GL14" i="39"/>
  <c r="GK14" i="39"/>
  <c r="GJ14" i="39"/>
  <c r="GI14" i="39"/>
  <c r="GH14" i="39"/>
  <c r="GG14" i="39"/>
  <c r="GF14" i="39"/>
  <c r="GE14" i="39"/>
  <c r="GD14" i="39"/>
  <c r="GC14" i="39"/>
  <c r="GB14" i="39"/>
  <c r="GA14" i="39"/>
  <c r="FZ14" i="39"/>
  <c r="FY14" i="39"/>
  <c r="GM13" i="39"/>
  <c r="GL13" i="39"/>
  <c r="GK13" i="39"/>
  <c r="GJ13" i="39"/>
  <c r="GI13" i="39"/>
  <c r="GH13" i="39"/>
  <c r="GG13" i="39"/>
  <c r="GF13" i="39"/>
  <c r="GE13" i="39"/>
  <c r="GD13" i="39"/>
  <c r="GC13" i="39"/>
  <c r="GB13" i="39"/>
  <c r="GA13" i="39"/>
  <c r="FZ13" i="39"/>
  <c r="FY13" i="39"/>
  <c r="GM12" i="39"/>
  <c r="GL12" i="39"/>
  <c r="GK12" i="39"/>
  <c r="GJ12" i="39"/>
  <c r="GI12" i="39"/>
  <c r="GH12" i="39"/>
  <c r="GG12" i="39"/>
  <c r="GF12" i="39"/>
  <c r="GE12" i="39"/>
  <c r="GD12" i="39"/>
  <c r="GC12" i="39"/>
  <c r="GB12" i="39"/>
  <c r="GA12" i="39"/>
  <c r="FZ12" i="39"/>
  <c r="FY12" i="39"/>
  <c r="GM11" i="39"/>
  <c r="GL11" i="39"/>
  <c r="GK11" i="39"/>
  <c r="GJ11" i="39"/>
  <c r="GI11" i="39"/>
  <c r="GH11" i="39"/>
  <c r="GG11" i="39"/>
  <c r="GF11" i="39"/>
  <c r="GE11" i="39"/>
  <c r="GD11" i="39"/>
  <c r="GC11" i="39"/>
  <c r="GB11" i="39"/>
  <c r="GA11" i="39"/>
  <c r="FZ11" i="39"/>
  <c r="FY11" i="39"/>
  <c r="GM10" i="39"/>
  <c r="GL10" i="39"/>
  <c r="GK10" i="39"/>
  <c r="GJ10" i="39"/>
  <c r="GI10" i="39"/>
  <c r="GH10" i="39"/>
  <c r="GG10" i="39"/>
  <c r="GF10" i="39"/>
  <c r="GE10" i="39"/>
  <c r="GD10" i="39"/>
  <c r="GC10" i="39"/>
  <c r="GB10" i="39"/>
  <c r="GA10" i="39"/>
  <c r="FZ10" i="39"/>
  <c r="FY10" i="39"/>
  <c r="GM9" i="39"/>
  <c r="GL9" i="39"/>
  <c r="GK9" i="39"/>
  <c r="GJ9" i="39"/>
  <c r="GI9" i="39"/>
  <c r="GH9" i="39"/>
  <c r="GG9" i="39"/>
  <c r="GF9" i="39"/>
  <c r="GE9" i="39"/>
  <c r="GD9" i="39"/>
  <c r="GC9" i="39"/>
  <c r="GB9" i="39"/>
  <c r="GA9" i="39"/>
  <c r="FZ9" i="39"/>
  <c r="FY9" i="39"/>
  <c r="GM8" i="39"/>
  <c r="GL8" i="39"/>
  <c r="GK8" i="39"/>
  <c r="GJ8" i="39"/>
  <c r="GI8" i="39"/>
  <c r="GH8" i="39"/>
  <c r="GG8" i="39"/>
  <c r="GF8" i="39"/>
  <c r="GE8" i="39"/>
  <c r="GD8" i="39"/>
  <c r="GC8" i="39"/>
  <c r="GB8" i="39"/>
  <c r="GA8" i="39"/>
  <c r="FZ8" i="39"/>
  <c r="FY8" i="39"/>
  <c r="GM7" i="39"/>
  <c r="GL7" i="39"/>
  <c r="GK7" i="39"/>
  <c r="GJ7" i="39"/>
  <c r="GI7" i="39"/>
  <c r="GH7" i="39"/>
  <c r="GG7" i="39"/>
  <c r="GF7" i="39"/>
  <c r="GE7" i="39"/>
  <c r="GD7" i="39"/>
  <c r="GC7" i="39"/>
  <c r="GB7" i="39"/>
  <c r="GA7" i="39"/>
  <c r="FZ7" i="39"/>
  <c r="FY7" i="39"/>
  <c r="FX7" i="39"/>
  <c r="FW7" i="39"/>
  <c r="FV7" i="39"/>
  <c r="FU7" i="39"/>
  <c r="GM6" i="39"/>
  <c r="GL6" i="39"/>
  <c r="GK6" i="39"/>
  <c r="GJ6" i="39"/>
  <c r="GI6" i="39"/>
  <c r="GH6" i="39"/>
  <c r="GG6" i="39"/>
  <c r="GF6" i="39"/>
  <c r="GE6" i="39"/>
  <c r="GD6" i="39"/>
  <c r="GC6" i="39"/>
  <c r="GB6" i="39"/>
  <c r="GA6" i="39"/>
  <c r="FZ6" i="39"/>
  <c r="FY6" i="39"/>
  <c r="FX6" i="39"/>
  <c r="FW6" i="39"/>
  <c r="FV6" i="39"/>
  <c r="FU6" i="39"/>
  <c r="FX5" i="39"/>
  <c r="FW5" i="39"/>
  <c r="FV5" i="39"/>
  <c r="FU5" i="39"/>
  <c r="GL443" i="44"/>
  <c r="GL442" i="44"/>
  <c r="GL441" i="44"/>
  <c r="GL440" i="44"/>
  <c r="GL439" i="44"/>
  <c r="GL438" i="44"/>
  <c r="GL436" i="44"/>
  <c r="GL435" i="44"/>
  <c r="GL434" i="44"/>
  <c r="GL433" i="44"/>
  <c r="GL432" i="44"/>
  <c r="GL431" i="44"/>
  <c r="GL430" i="44"/>
  <c r="GL429" i="44"/>
  <c r="GL428" i="44"/>
  <c r="GL427" i="44"/>
  <c r="GL426" i="44"/>
  <c r="GL425" i="44"/>
  <c r="GL424" i="44"/>
  <c r="GL423" i="44"/>
  <c r="GL422" i="44"/>
  <c r="GL421" i="44"/>
  <c r="GL420" i="44"/>
  <c r="GL419" i="44"/>
  <c r="GL418" i="44"/>
  <c r="GL417" i="44"/>
  <c r="GL416" i="44"/>
  <c r="GL415" i="44"/>
  <c r="GL414" i="44"/>
  <c r="GL413" i="44"/>
  <c r="GL412" i="44"/>
  <c r="GL411" i="44"/>
  <c r="GL410" i="44"/>
  <c r="GL409" i="44"/>
  <c r="GL408" i="44"/>
  <c r="GL407" i="44"/>
  <c r="GL406" i="44"/>
  <c r="GL405" i="44"/>
  <c r="GL404" i="44"/>
  <c r="GL403" i="44"/>
  <c r="GL402" i="44"/>
  <c r="GL401" i="44"/>
  <c r="GL400" i="44"/>
  <c r="GL399" i="44"/>
  <c r="GL398" i="44"/>
  <c r="GL397" i="44"/>
  <c r="GL396" i="44"/>
  <c r="GL395" i="44"/>
  <c r="GL394" i="44"/>
  <c r="GL393" i="44"/>
  <c r="GL392" i="44"/>
  <c r="GL391" i="44"/>
  <c r="GL390" i="44"/>
  <c r="GL389" i="44"/>
  <c r="GL388" i="44"/>
  <c r="GL387" i="44"/>
  <c r="GL386" i="44"/>
  <c r="GL385" i="44"/>
  <c r="GL384" i="44"/>
  <c r="GL383" i="44"/>
  <c r="GL382" i="44"/>
  <c r="GL381" i="44"/>
  <c r="GL380" i="44"/>
  <c r="GL379" i="44"/>
  <c r="GL378" i="44"/>
  <c r="GL377" i="44"/>
  <c r="GL376" i="44"/>
  <c r="GL375" i="44"/>
  <c r="GL374" i="44"/>
  <c r="GL373" i="44"/>
  <c r="GL372" i="44"/>
  <c r="GL371" i="44"/>
  <c r="GL370" i="44"/>
  <c r="GL369" i="44"/>
  <c r="GL368" i="44"/>
  <c r="GL367" i="44"/>
  <c r="GL366" i="44"/>
  <c r="GL365" i="44"/>
  <c r="GL364" i="44"/>
  <c r="GL363" i="44"/>
  <c r="GL362" i="44"/>
  <c r="GL361" i="44"/>
  <c r="GL360" i="44"/>
  <c r="GL359" i="44"/>
  <c r="GL358" i="44"/>
  <c r="GL357" i="44"/>
  <c r="GL356" i="44"/>
  <c r="GL355" i="44"/>
  <c r="GL354" i="44"/>
  <c r="GL353" i="44"/>
  <c r="GL352" i="44"/>
  <c r="GL351" i="44"/>
  <c r="GL350" i="44"/>
  <c r="GL349" i="44"/>
  <c r="GL348" i="44"/>
  <c r="GL347" i="44"/>
  <c r="GL346" i="44"/>
  <c r="GL339" i="44"/>
  <c r="GL338" i="44"/>
  <c r="GL337" i="44"/>
  <c r="GL336" i="44"/>
  <c r="GL335" i="44"/>
  <c r="GL334" i="44"/>
  <c r="GL333" i="44"/>
  <c r="GL332" i="44"/>
  <c r="GL331" i="44"/>
  <c r="GL330" i="44"/>
  <c r="GL329" i="44"/>
  <c r="GL328" i="44"/>
  <c r="GL327" i="44"/>
  <c r="GL315" i="44"/>
  <c r="GL314" i="44"/>
  <c r="GL313" i="44"/>
  <c r="GL312" i="44"/>
  <c r="GL311" i="44"/>
  <c r="GL310" i="44"/>
  <c r="GL309" i="44"/>
  <c r="GL308" i="44"/>
  <c r="GL307" i="44"/>
  <c r="GL302" i="44"/>
  <c r="GL301" i="44"/>
  <c r="GL300" i="44"/>
  <c r="GL299" i="44"/>
  <c r="GL298" i="44"/>
  <c r="GL297" i="44"/>
  <c r="GL296" i="44"/>
  <c r="GL295" i="44"/>
  <c r="GL294" i="44"/>
  <c r="GL293" i="44"/>
  <c r="GL292" i="44"/>
  <c r="GL291" i="44"/>
  <c r="GL290" i="44"/>
  <c r="GL289" i="44"/>
  <c r="GL288" i="44"/>
  <c r="GL287" i="44"/>
  <c r="GL286" i="44"/>
  <c r="GL285" i="44"/>
  <c r="GL284" i="44"/>
  <c r="GL283" i="44"/>
  <c r="GL282" i="44"/>
  <c r="GL281" i="44"/>
  <c r="GL280" i="44"/>
  <c r="GL279" i="44"/>
  <c r="GL278" i="44"/>
  <c r="GL277" i="44"/>
  <c r="GL276" i="44"/>
  <c r="GL275" i="44"/>
  <c r="GL274" i="44"/>
  <c r="GL273" i="44"/>
  <c r="GL272" i="44"/>
  <c r="GL271" i="44"/>
  <c r="GL270" i="44"/>
  <c r="GL269" i="44"/>
  <c r="GL268" i="44"/>
  <c r="GL267" i="44"/>
  <c r="GL266" i="44"/>
  <c r="GL265" i="44"/>
  <c r="GL261" i="44"/>
  <c r="GL257" i="44"/>
  <c r="GL253" i="44"/>
  <c r="GL252" i="44"/>
  <c r="GL251" i="44"/>
  <c r="GL250" i="44"/>
  <c r="GL249" i="44"/>
  <c r="GL247" i="44"/>
  <c r="GL246" i="44"/>
  <c r="GL245" i="44"/>
  <c r="GL244" i="44"/>
  <c r="GL243" i="44"/>
  <c r="GL242" i="44"/>
  <c r="GL241" i="44"/>
  <c r="GL240" i="44"/>
  <c r="GL239" i="44"/>
  <c r="GL238" i="44"/>
  <c r="GL235" i="44"/>
  <c r="GL231" i="44"/>
  <c r="GL228" i="44"/>
  <c r="GL224" i="44"/>
  <c r="GL220" i="44"/>
  <c r="GL217" i="44"/>
  <c r="GL215" i="44"/>
  <c r="GL208" i="44"/>
  <c r="GL207" i="44"/>
  <c r="GL206" i="44"/>
  <c r="GL205" i="44"/>
  <c r="GL204" i="44"/>
  <c r="GL203" i="44"/>
  <c r="GL202" i="44"/>
  <c r="GL201" i="44"/>
  <c r="GL194" i="44"/>
  <c r="GL193" i="44"/>
  <c r="GL192" i="44"/>
  <c r="GL191" i="44"/>
  <c r="GL190" i="44"/>
  <c r="GL185" i="44"/>
  <c r="GL184" i="44"/>
  <c r="GL183" i="44"/>
  <c r="GL182" i="44"/>
  <c r="GL181" i="44"/>
  <c r="GL180" i="44"/>
  <c r="GL179" i="44"/>
  <c r="GL178" i="44"/>
  <c r="GL177" i="44"/>
  <c r="GL176" i="44"/>
  <c r="GL175" i="44"/>
  <c r="GL174" i="44"/>
  <c r="GL173" i="44"/>
  <c r="GL172" i="44"/>
  <c r="GL171" i="44"/>
  <c r="GL170" i="44"/>
  <c r="GL169" i="44"/>
  <c r="GL168" i="44"/>
  <c r="GL167" i="44"/>
  <c r="GL166" i="44"/>
  <c r="GL165" i="44"/>
  <c r="GL164" i="44"/>
  <c r="GL163" i="44"/>
  <c r="GL162" i="44"/>
  <c r="GL161" i="44"/>
  <c r="GL160" i="44"/>
  <c r="GL159" i="44"/>
  <c r="GL157" i="44"/>
  <c r="GL156" i="44"/>
  <c r="GL155" i="44"/>
  <c r="GL154" i="44"/>
  <c r="GL153" i="44"/>
  <c r="GL152" i="44"/>
  <c r="GL151" i="44"/>
  <c r="GL150" i="44"/>
  <c r="GL149" i="44"/>
  <c r="GL148" i="44"/>
  <c r="GL147" i="44"/>
  <c r="GL146" i="44"/>
  <c r="GL145" i="44"/>
  <c r="GL144" i="44"/>
  <c r="GL143" i="44"/>
  <c r="GL142" i="44"/>
  <c r="GL141" i="44"/>
  <c r="GL140" i="44"/>
  <c r="GL139" i="44"/>
  <c r="GL138" i="44"/>
  <c r="GL137" i="44"/>
  <c r="GL136" i="44"/>
  <c r="GL135" i="44"/>
  <c r="GL134" i="44"/>
  <c r="GL133" i="44"/>
  <c r="GL132" i="44"/>
  <c r="GL131" i="44"/>
  <c r="GL130" i="44"/>
  <c r="GL129" i="44"/>
  <c r="GL128" i="44"/>
  <c r="GL127" i="44"/>
  <c r="GL126" i="44"/>
  <c r="GL125" i="44"/>
  <c r="GL124" i="44"/>
  <c r="GL123" i="44"/>
  <c r="GL122" i="44"/>
  <c r="GL121" i="44"/>
  <c r="GL120" i="44"/>
  <c r="GL119" i="44"/>
  <c r="GL118" i="44"/>
  <c r="GL117" i="44"/>
  <c r="GL116" i="44"/>
  <c r="GL115" i="44"/>
  <c r="GL114" i="44"/>
  <c r="GL107" i="44"/>
  <c r="GL106" i="44"/>
  <c r="GL105" i="44"/>
  <c r="GL104" i="44"/>
  <c r="GL103" i="44"/>
  <c r="GL102" i="44"/>
  <c r="GL101" i="44"/>
  <c r="GL100" i="44"/>
  <c r="GL99" i="44"/>
  <c r="GL98" i="44"/>
  <c r="GL97" i="44"/>
  <c r="GL96" i="44"/>
  <c r="GL95" i="44"/>
  <c r="GL94" i="44"/>
  <c r="GL92" i="44"/>
  <c r="GL91" i="44"/>
  <c r="GL90" i="44"/>
  <c r="GL89" i="44"/>
  <c r="GL88" i="44"/>
  <c r="GL87" i="44"/>
  <c r="GL86" i="44"/>
  <c r="GL84" i="44"/>
  <c r="GL83" i="44"/>
  <c r="GL82" i="44"/>
  <c r="GL81" i="44"/>
  <c r="GL80" i="44"/>
  <c r="GL79" i="44"/>
  <c r="GL78" i="44"/>
  <c r="GL77" i="44"/>
  <c r="GL76" i="44"/>
  <c r="GL75" i="44"/>
  <c r="GL74" i="44"/>
  <c r="GL73" i="44"/>
  <c r="GL72" i="44"/>
  <c r="GL71" i="44"/>
  <c r="GL70" i="44"/>
  <c r="GL69" i="44"/>
  <c r="GL68" i="44"/>
  <c r="GL67" i="44"/>
  <c r="GL64" i="44"/>
  <c r="GL63" i="44"/>
  <c r="GL62" i="44"/>
  <c r="GL60" i="44"/>
  <c r="GL59" i="44"/>
  <c r="GL58" i="44"/>
  <c r="GL55" i="44"/>
  <c r="GL54" i="44"/>
  <c r="GL53" i="44"/>
  <c r="GL52" i="44"/>
  <c r="GL51" i="44"/>
  <c r="GL50" i="44"/>
  <c r="GL49" i="44"/>
  <c r="GL48" i="44"/>
  <c r="GL47" i="44"/>
  <c r="GL46" i="44"/>
  <c r="GL45" i="44"/>
  <c r="GL44" i="44"/>
  <c r="GL43" i="44"/>
  <c r="GL36" i="44"/>
  <c r="GL35" i="44"/>
  <c r="GL34" i="44"/>
  <c r="GL30" i="44"/>
  <c r="GL29" i="44"/>
  <c r="GL28" i="44"/>
  <c r="GL27" i="44"/>
  <c r="GL26" i="44"/>
  <c r="GL25" i="44"/>
  <c r="GL24" i="44"/>
  <c r="GL23" i="44"/>
  <c r="GL20" i="44"/>
  <c r="GL19" i="44"/>
  <c r="GL18" i="44"/>
  <c r="GL17" i="44"/>
  <c r="GL16" i="44"/>
  <c r="GL15" i="44"/>
  <c r="GL14" i="44"/>
  <c r="GL13" i="44"/>
  <c r="GL12" i="44"/>
  <c r="GL11" i="44"/>
  <c r="FX443" i="44"/>
  <c r="FW443" i="44"/>
  <c r="FV443" i="44"/>
  <c r="FU443" i="44"/>
  <c r="FX442" i="44"/>
  <c r="FW442" i="44"/>
  <c r="FV442" i="44"/>
  <c r="FU442" i="44"/>
  <c r="FX441" i="44"/>
  <c r="FW441" i="44"/>
  <c r="FV441" i="44"/>
  <c r="FU441" i="44"/>
  <c r="FX440" i="44"/>
  <c r="FW440" i="44"/>
  <c r="FV440" i="44"/>
  <c r="FU440" i="44"/>
  <c r="FX439" i="44"/>
  <c r="FW439" i="44"/>
  <c r="FV439" i="44"/>
  <c r="FU439" i="44"/>
  <c r="FX438" i="44"/>
  <c r="FW438" i="44"/>
  <c r="FV438" i="44"/>
  <c r="FU438" i="44"/>
  <c r="FX436" i="44"/>
  <c r="FW436" i="44"/>
  <c r="FV436" i="44"/>
  <c r="FU436" i="44"/>
  <c r="FX435" i="44"/>
  <c r="FW435" i="44"/>
  <c r="FV435" i="44"/>
  <c r="FU435" i="44"/>
  <c r="FX434" i="44"/>
  <c r="FW434" i="44"/>
  <c r="FV434" i="44"/>
  <c r="FU434" i="44"/>
  <c r="FX433" i="44"/>
  <c r="FW433" i="44"/>
  <c r="FV433" i="44"/>
  <c r="FU433" i="44"/>
  <c r="FX432" i="44"/>
  <c r="FW432" i="44"/>
  <c r="FV432" i="44"/>
  <c r="FU432" i="44"/>
  <c r="FX431" i="44"/>
  <c r="FW431" i="44"/>
  <c r="FV431" i="44"/>
  <c r="FU431" i="44"/>
  <c r="FX430" i="44"/>
  <c r="FW430" i="44"/>
  <c r="FV430" i="44"/>
  <c r="FU430" i="44"/>
  <c r="FX429" i="44"/>
  <c r="FW429" i="44"/>
  <c r="FV429" i="44"/>
  <c r="FU429" i="44"/>
  <c r="FX428" i="44"/>
  <c r="FW428" i="44"/>
  <c r="FV428" i="44"/>
  <c r="FU428" i="44"/>
  <c r="FX427" i="44"/>
  <c r="FW427" i="44"/>
  <c r="FV427" i="44"/>
  <c r="FU427" i="44"/>
  <c r="FX426" i="44"/>
  <c r="FW426" i="44"/>
  <c r="FV426" i="44"/>
  <c r="FU426" i="44"/>
  <c r="FX425" i="44"/>
  <c r="FW425" i="44"/>
  <c r="FV425" i="44"/>
  <c r="FU425" i="44"/>
  <c r="FX424" i="44"/>
  <c r="FW424" i="44"/>
  <c r="FV424" i="44"/>
  <c r="FU424" i="44"/>
  <c r="FX423" i="44"/>
  <c r="FW423" i="44"/>
  <c r="FV423" i="44"/>
  <c r="FU423" i="44"/>
  <c r="FX422" i="44"/>
  <c r="FW422" i="44"/>
  <c r="FV422" i="44"/>
  <c r="FU422" i="44"/>
  <c r="FX421" i="44"/>
  <c r="FW421" i="44"/>
  <c r="FV421" i="44"/>
  <c r="FU421" i="44"/>
  <c r="FX420" i="44"/>
  <c r="FW420" i="44"/>
  <c r="FV420" i="44"/>
  <c r="FU420" i="44"/>
  <c r="FX419" i="44"/>
  <c r="FW419" i="44"/>
  <c r="FV419" i="44"/>
  <c r="FU419" i="44"/>
  <c r="FX418" i="44"/>
  <c r="FW418" i="44"/>
  <c r="FV418" i="44"/>
  <c r="FU418" i="44"/>
  <c r="FX417" i="44"/>
  <c r="FW417" i="44"/>
  <c r="FV417" i="44"/>
  <c r="FU417" i="44"/>
  <c r="FX416" i="44"/>
  <c r="FW416" i="44"/>
  <c r="FV416" i="44"/>
  <c r="FU416" i="44"/>
  <c r="FX415" i="44"/>
  <c r="FW415" i="44"/>
  <c r="FV415" i="44"/>
  <c r="FU415" i="44"/>
  <c r="FX414" i="44"/>
  <c r="FW414" i="44"/>
  <c r="FV414" i="44"/>
  <c r="FU414" i="44"/>
  <c r="FX413" i="44"/>
  <c r="FW413" i="44"/>
  <c r="FV413" i="44"/>
  <c r="FU413" i="44"/>
  <c r="FX412" i="44"/>
  <c r="FW412" i="44"/>
  <c r="FV412" i="44"/>
  <c r="FU412" i="44"/>
  <c r="FX411" i="44"/>
  <c r="FW411" i="44"/>
  <c r="FV411" i="44"/>
  <c r="FU411" i="44"/>
  <c r="FX410" i="44"/>
  <c r="FW410" i="44"/>
  <c r="FV410" i="44"/>
  <c r="FU410" i="44"/>
  <c r="FX409" i="44"/>
  <c r="FW409" i="44"/>
  <c r="FV409" i="44"/>
  <c r="FU409" i="44"/>
  <c r="FX408" i="44"/>
  <c r="FW408" i="44"/>
  <c r="FV408" i="44"/>
  <c r="FU408" i="44"/>
  <c r="FX407" i="44"/>
  <c r="FW407" i="44"/>
  <c r="FV407" i="44"/>
  <c r="FU407" i="44"/>
  <c r="FX406" i="44"/>
  <c r="FW406" i="44"/>
  <c r="FV406" i="44"/>
  <c r="FU406" i="44"/>
  <c r="FX405" i="44"/>
  <c r="FW405" i="44"/>
  <c r="FV405" i="44"/>
  <c r="FU405" i="44"/>
  <c r="FX404" i="44"/>
  <c r="FW404" i="44"/>
  <c r="FV404" i="44"/>
  <c r="FU404" i="44"/>
  <c r="FX403" i="44"/>
  <c r="FW403" i="44"/>
  <c r="FV403" i="44"/>
  <c r="FU403" i="44"/>
  <c r="FX402" i="44"/>
  <c r="FW402" i="44"/>
  <c r="FV402" i="44"/>
  <c r="FU402" i="44"/>
  <c r="FX401" i="44"/>
  <c r="FW401" i="44"/>
  <c r="FV401" i="44"/>
  <c r="FU401" i="44"/>
  <c r="FX400" i="44"/>
  <c r="FW400" i="44"/>
  <c r="FV400" i="44"/>
  <c r="FU400" i="44"/>
  <c r="FX399" i="44"/>
  <c r="FW399" i="44"/>
  <c r="FV399" i="44"/>
  <c r="FU399" i="44"/>
  <c r="FX398" i="44"/>
  <c r="FW398" i="44"/>
  <c r="FV398" i="44"/>
  <c r="FU398" i="44"/>
  <c r="FX397" i="44"/>
  <c r="FW397" i="44"/>
  <c r="FV397" i="44"/>
  <c r="FU397" i="44"/>
  <c r="FX396" i="44"/>
  <c r="FW396" i="44"/>
  <c r="FV396" i="44"/>
  <c r="FU396" i="44"/>
  <c r="FX395" i="44"/>
  <c r="FW395" i="44"/>
  <c r="FV395" i="44"/>
  <c r="FU395" i="44"/>
  <c r="FX394" i="44"/>
  <c r="FW394" i="44"/>
  <c r="FV394" i="44"/>
  <c r="FU394" i="44"/>
  <c r="FX393" i="44"/>
  <c r="FW393" i="44"/>
  <c r="FV393" i="44"/>
  <c r="FU393" i="44"/>
  <c r="FX392" i="44"/>
  <c r="FW392" i="44"/>
  <c r="FV392" i="44"/>
  <c r="FU392" i="44"/>
  <c r="FX391" i="44"/>
  <c r="FW391" i="44"/>
  <c r="FV391" i="44"/>
  <c r="FU391" i="44"/>
  <c r="FX390" i="44"/>
  <c r="FW390" i="44"/>
  <c r="FV390" i="44"/>
  <c r="FU390" i="44"/>
  <c r="FX389" i="44"/>
  <c r="FW389" i="44"/>
  <c r="FV389" i="44"/>
  <c r="FU389" i="44"/>
  <c r="FX388" i="44"/>
  <c r="FW388" i="44"/>
  <c r="FV388" i="44"/>
  <c r="FU388" i="44"/>
  <c r="FX387" i="44"/>
  <c r="FW387" i="44"/>
  <c r="FV387" i="44"/>
  <c r="FU387" i="44"/>
  <c r="FX386" i="44"/>
  <c r="FW386" i="44"/>
  <c r="FV386" i="44"/>
  <c r="FU386" i="44"/>
  <c r="FX385" i="44"/>
  <c r="FW385" i="44"/>
  <c r="FV385" i="44"/>
  <c r="FU385" i="44"/>
  <c r="FX384" i="44"/>
  <c r="FW384" i="44"/>
  <c r="FV384" i="44"/>
  <c r="FU384" i="44"/>
  <c r="FX383" i="44"/>
  <c r="FW383" i="44"/>
  <c r="FV383" i="44"/>
  <c r="FU383" i="44"/>
  <c r="FX382" i="44"/>
  <c r="FW382" i="44"/>
  <c r="FV382" i="44"/>
  <c r="FU382" i="44"/>
  <c r="FX381" i="44"/>
  <c r="FW381" i="44"/>
  <c r="FV381" i="44"/>
  <c r="FU381" i="44"/>
  <c r="FX380" i="44"/>
  <c r="FW380" i="44"/>
  <c r="FV380" i="44"/>
  <c r="FU380" i="44"/>
  <c r="FX379" i="44"/>
  <c r="FW379" i="44"/>
  <c r="FV379" i="44"/>
  <c r="FU379" i="44"/>
  <c r="FX378" i="44"/>
  <c r="FW378" i="44"/>
  <c r="FV378" i="44"/>
  <c r="FU378" i="44"/>
  <c r="FX377" i="44"/>
  <c r="FW377" i="44"/>
  <c r="FV377" i="44"/>
  <c r="FU377" i="44"/>
  <c r="FX376" i="44"/>
  <c r="FW376" i="44"/>
  <c r="FV376" i="44"/>
  <c r="FU376" i="44"/>
  <c r="FX375" i="44"/>
  <c r="FW375" i="44"/>
  <c r="FV375" i="44"/>
  <c r="FU375" i="44"/>
  <c r="FX374" i="44"/>
  <c r="FW374" i="44"/>
  <c r="FV374" i="44"/>
  <c r="FU374" i="44"/>
  <c r="FX373" i="44"/>
  <c r="FW373" i="44"/>
  <c r="FV373" i="44"/>
  <c r="FU373" i="44"/>
  <c r="FX372" i="44"/>
  <c r="FW372" i="44"/>
  <c r="FV372" i="44"/>
  <c r="FU372" i="44"/>
  <c r="FX371" i="44"/>
  <c r="FW371" i="44"/>
  <c r="FV371" i="44"/>
  <c r="FU371" i="44"/>
  <c r="FX370" i="44"/>
  <c r="FW370" i="44"/>
  <c r="FV370" i="44"/>
  <c r="FU370" i="44"/>
  <c r="FX369" i="44"/>
  <c r="FW369" i="44"/>
  <c r="FV369" i="44"/>
  <c r="FU369" i="44"/>
  <c r="FX368" i="44"/>
  <c r="FW368" i="44"/>
  <c r="FV368" i="44"/>
  <c r="FU368" i="44"/>
  <c r="FX367" i="44"/>
  <c r="FW367" i="44"/>
  <c r="FV367" i="44"/>
  <c r="FU367" i="44"/>
  <c r="FX366" i="44"/>
  <c r="FW366" i="44"/>
  <c r="FV366" i="44"/>
  <c r="FU366" i="44"/>
  <c r="FX365" i="44"/>
  <c r="FW365" i="44"/>
  <c r="FV365" i="44"/>
  <c r="FU365" i="44"/>
  <c r="FX364" i="44"/>
  <c r="FW364" i="44"/>
  <c r="FV364" i="44"/>
  <c r="FU364" i="44"/>
  <c r="FX363" i="44"/>
  <c r="FW363" i="44"/>
  <c r="FV363" i="44"/>
  <c r="FU363" i="44"/>
  <c r="FX362" i="44"/>
  <c r="FW362" i="44"/>
  <c r="FV362" i="44"/>
  <c r="FU362" i="44"/>
  <c r="FX361" i="44"/>
  <c r="FW361" i="44"/>
  <c r="FV361" i="44"/>
  <c r="FU361" i="44"/>
  <c r="FX360" i="44"/>
  <c r="FW360" i="44"/>
  <c r="FV360" i="44"/>
  <c r="FU360" i="44"/>
  <c r="FX359" i="44"/>
  <c r="FW359" i="44"/>
  <c r="FV359" i="44"/>
  <c r="FU359" i="44"/>
  <c r="FX358" i="44"/>
  <c r="FW358" i="44"/>
  <c r="FV358" i="44"/>
  <c r="FU358" i="44"/>
  <c r="FX357" i="44"/>
  <c r="FW357" i="44"/>
  <c r="FV357" i="44"/>
  <c r="FU357" i="44"/>
  <c r="FX356" i="44"/>
  <c r="FW356" i="44"/>
  <c r="FV356" i="44"/>
  <c r="FU356" i="44"/>
  <c r="FX355" i="44"/>
  <c r="FW355" i="44"/>
  <c r="FV355" i="44"/>
  <c r="FU355" i="44"/>
  <c r="FX354" i="44"/>
  <c r="FW354" i="44"/>
  <c r="FV354" i="44"/>
  <c r="FU354" i="44"/>
  <c r="FX353" i="44"/>
  <c r="FW353" i="44"/>
  <c r="FV353" i="44"/>
  <c r="FU353" i="44"/>
  <c r="FX352" i="44"/>
  <c r="FW352" i="44"/>
  <c r="FV352" i="44"/>
  <c r="FU352" i="44"/>
  <c r="FX351" i="44"/>
  <c r="FW351" i="44"/>
  <c r="FV351" i="44"/>
  <c r="FU351" i="44"/>
  <c r="FX350" i="44"/>
  <c r="FW350" i="44"/>
  <c r="FV350" i="44"/>
  <c r="FU350" i="44"/>
  <c r="FX349" i="44"/>
  <c r="FW349" i="44"/>
  <c r="FV349" i="44"/>
  <c r="FU349" i="44"/>
  <c r="FX348" i="44"/>
  <c r="FW348" i="44"/>
  <c r="FV348" i="44"/>
  <c r="FU348" i="44"/>
  <c r="FX347" i="44"/>
  <c r="FW347" i="44"/>
  <c r="FV347" i="44"/>
  <c r="FU347" i="44"/>
  <c r="FX346" i="44"/>
  <c r="FW346" i="44"/>
  <c r="FV346" i="44"/>
  <c r="FU346" i="44"/>
  <c r="FX339" i="44"/>
  <c r="FW339" i="44"/>
  <c r="FV339" i="44"/>
  <c r="FU339" i="44"/>
  <c r="FX338" i="44"/>
  <c r="FW338" i="44"/>
  <c r="FV338" i="44"/>
  <c r="FU338" i="44"/>
  <c r="FX337" i="44"/>
  <c r="FW337" i="44"/>
  <c r="FV337" i="44"/>
  <c r="FU337" i="44"/>
  <c r="FX336" i="44"/>
  <c r="FW336" i="44"/>
  <c r="FV336" i="44"/>
  <c r="FU336" i="44"/>
  <c r="FX335" i="44"/>
  <c r="FW335" i="44"/>
  <c r="FV335" i="44"/>
  <c r="FU335" i="44"/>
  <c r="FX334" i="44"/>
  <c r="FW334" i="44"/>
  <c r="FV334" i="44"/>
  <c r="FU334" i="44"/>
  <c r="FX333" i="44"/>
  <c r="FW333" i="44"/>
  <c r="FV333" i="44"/>
  <c r="FU333" i="44"/>
  <c r="FX332" i="44"/>
  <c r="FW332" i="44"/>
  <c r="FV332" i="44"/>
  <c r="FU332" i="44"/>
  <c r="FX331" i="44"/>
  <c r="FW331" i="44"/>
  <c r="FV331" i="44"/>
  <c r="FU331" i="44"/>
  <c r="FX330" i="44"/>
  <c r="FW330" i="44"/>
  <c r="FV330" i="44"/>
  <c r="FU330" i="44"/>
  <c r="FX329" i="44"/>
  <c r="FW329" i="44"/>
  <c r="FV329" i="44"/>
  <c r="FU329" i="44"/>
  <c r="FX328" i="44"/>
  <c r="FW328" i="44"/>
  <c r="FV328" i="44"/>
  <c r="FU328" i="44"/>
  <c r="FX327" i="44"/>
  <c r="FW327" i="44"/>
  <c r="FV327" i="44"/>
  <c r="FU327" i="44"/>
  <c r="FX315" i="44"/>
  <c r="FW315" i="44"/>
  <c r="FV315" i="44"/>
  <c r="FU315" i="44"/>
  <c r="FX314" i="44"/>
  <c r="FW314" i="44"/>
  <c r="FV314" i="44"/>
  <c r="FU314" i="44"/>
  <c r="FX313" i="44"/>
  <c r="FW313" i="44"/>
  <c r="FV313" i="44"/>
  <c r="FU313" i="44"/>
  <c r="FX312" i="44"/>
  <c r="FW312" i="44"/>
  <c r="FV312" i="44"/>
  <c r="FU312" i="44"/>
  <c r="FX311" i="44"/>
  <c r="FW311" i="44"/>
  <c r="FV311" i="44"/>
  <c r="FU311" i="44"/>
  <c r="FX310" i="44"/>
  <c r="FW310" i="44"/>
  <c r="FV310" i="44"/>
  <c r="FU310" i="44"/>
  <c r="FX309" i="44"/>
  <c r="FW309" i="44"/>
  <c r="FV309" i="44"/>
  <c r="FU309" i="44"/>
  <c r="FX308" i="44"/>
  <c r="FW308" i="44"/>
  <c r="FV308" i="44"/>
  <c r="FU308" i="44"/>
  <c r="FX307" i="44"/>
  <c r="FW307" i="44"/>
  <c r="FV307" i="44"/>
  <c r="FU307" i="44"/>
  <c r="FX302" i="44"/>
  <c r="FW302" i="44"/>
  <c r="FV302" i="44"/>
  <c r="FU302" i="44"/>
  <c r="FX301" i="44"/>
  <c r="FW301" i="44"/>
  <c r="FV301" i="44"/>
  <c r="FU301" i="44"/>
  <c r="FX300" i="44"/>
  <c r="FW300" i="44"/>
  <c r="FV300" i="44"/>
  <c r="FU300" i="44"/>
  <c r="FX299" i="44"/>
  <c r="FW299" i="44"/>
  <c r="FV299" i="44"/>
  <c r="FU299" i="44"/>
  <c r="FX298" i="44"/>
  <c r="FW298" i="44"/>
  <c r="FV298" i="44"/>
  <c r="FU298" i="44"/>
  <c r="FX297" i="44"/>
  <c r="FW297" i="44"/>
  <c r="FV297" i="44"/>
  <c r="FU297" i="44"/>
  <c r="FX296" i="44"/>
  <c r="FW296" i="44"/>
  <c r="FV296" i="44"/>
  <c r="FU296" i="44"/>
  <c r="FX295" i="44"/>
  <c r="FW295" i="44"/>
  <c r="FV295" i="44"/>
  <c r="FU295" i="44"/>
  <c r="FX294" i="44"/>
  <c r="FW294" i="44"/>
  <c r="FV294" i="44"/>
  <c r="FU294" i="44"/>
  <c r="FX293" i="44"/>
  <c r="FW293" i="44"/>
  <c r="FV293" i="44"/>
  <c r="FU293" i="44"/>
  <c r="FX292" i="44"/>
  <c r="FW292" i="44"/>
  <c r="FV292" i="44"/>
  <c r="FU292" i="44"/>
  <c r="FX291" i="44"/>
  <c r="FW291" i="44"/>
  <c r="FV291" i="44"/>
  <c r="FU291" i="44"/>
  <c r="FX290" i="44"/>
  <c r="FW290" i="44"/>
  <c r="FV290" i="44"/>
  <c r="FU290" i="44"/>
  <c r="FX289" i="44"/>
  <c r="FW289" i="44"/>
  <c r="FV289" i="44"/>
  <c r="FU289" i="44"/>
  <c r="FX288" i="44"/>
  <c r="FW288" i="44"/>
  <c r="FV288" i="44"/>
  <c r="FU288" i="44"/>
  <c r="FX287" i="44"/>
  <c r="FW287" i="44"/>
  <c r="FV287" i="44"/>
  <c r="FU287" i="44"/>
  <c r="FX286" i="44"/>
  <c r="FW286" i="44"/>
  <c r="FV286" i="44"/>
  <c r="FU286" i="44"/>
  <c r="FX285" i="44"/>
  <c r="FW285" i="44"/>
  <c r="FV285" i="44"/>
  <c r="FU285" i="44"/>
  <c r="FX284" i="44"/>
  <c r="FW284" i="44"/>
  <c r="FV284" i="44"/>
  <c r="FU284" i="44"/>
  <c r="FX283" i="44"/>
  <c r="FW283" i="44"/>
  <c r="FV283" i="44"/>
  <c r="FU283" i="44"/>
  <c r="FX282" i="44"/>
  <c r="FW282" i="44"/>
  <c r="FV282" i="44"/>
  <c r="FU282" i="44"/>
  <c r="FX281" i="44"/>
  <c r="FW281" i="44"/>
  <c r="FV281" i="44"/>
  <c r="FU281" i="44"/>
  <c r="FX280" i="44"/>
  <c r="FW280" i="44"/>
  <c r="FV280" i="44"/>
  <c r="FU280" i="44"/>
  <c r="FX279" i="44"/>
  <c r="FW279" i="44"/>
  <c r="FV279" i="44"/>
  <c r="FU279" i="44"/>
  <c r="FX278" i="44"/>
  <c r="FW278" i="44"/>
  <c r="FV278" i="44"/>
  <c r="FU278" i="44"/>
  <c r="FX277" i="44"/>
  <c r="FW277" i="44"/>
  <c r="FV277" i="44"/>
  <c r="FU277" i="44"/>
  <c r="FX276" i="44"/>
  <c r="FW276" i="44"/>
  <c r="FV276" i="44"/>
  <c r="FU276" i="44"/>
  <c r="FX275" i="44"/>
  <c r="FW275" i="44"/>
  <c r="FV275" i="44"/>
  <c r="FU275" i="44"/>
  <c r="FX274" i="44"/>
  <c r="FW274" i="44"/>
  <c r="FV274" i="44"/>
  <c r="FU274" i="44"/>
  <c r="FX273" i="44"/>
  <c r="FW273" i="44"/>
  <c r="FV273" i="44"/>
  <c r="FU273" i="44"/>
  <c r="FX272" i="44"/>
  <c r="FW272" i="44"/>
  <c r="FV272" i="44"/>
  <c r="FU272" i="44"/>
  <c r="FX271" i="44"/>
  <c r="FW271" i="44"/>
  <c r="FV271" i="44"/>
  <c r="FU271" i="44"/>
  <c r="FX270" i="44"/>
  <c r="FW270" i="44"/>
  <c r="FV270" i="44"/>
  <c r="FU270" i="44"/>
  <c r="FX269" i="44"/>
  <c r="FW269" i="44"/>
  <c r="FV269" i="44"/>
  <c r="FU269" i="44"/>
  <c r="FX268" i="44"/>
  <c r="FW268" i="44"/>
  <c r="FV268" i="44"/>
  <c r="FU268" i="44"/>
  <c r="FX267" i="44"/>
  <c r="FW267" i="44"/>
  <c r="FV267" i="44"/>
  <c r="FU267" i="44"/>
  <c r="FX266" i="44"/>
  <c r="FW266" i="44"/>
  <c r="FV266" i="44"/>
  <c r="FU266" i="44"/>
  <c r="FX265" i="44"/>
  <c r="FW265" i="44"/>
  <c r="FV265" i="44"/>
  <c r="FU265" i="44"/>
  <c r="FX261" i="44"/>
  <c r="FW261" i="44"/>
  <c r="FV261" i="44"/>
  <c r="FU261" i="44"/>
  <c r="FX257" i="44"/>
  <c r="FW257" i="44"/>
  <c r="FV257" i="44"/>
  <c r="FU257" i="44"/>
  <c r="FX253" i="44"/>
  <c r="FW253" i="44"/>
  <c r="FV253" i="44"/>
  <c r="FU253" i="44"/>
  <c r="FX252" i="44"/>
  <c r="FW252" i="44"/>
  <c r="FV252" i="44"/>
  <c r="FU252" i="44"/>
  <c r="FX251" i="44"/>
  <c r="FW251" i="44"/>
  <c r="FV251" i="44"/>
  <c r="FU251" i="44"/>
  <c r="FX250" i="44"/>
  <c r="FW250" i="44"/>
  <c r="FV250" i="44"/>
  <c r="FU250" i="44"/>
  <c r="FX249" i="44"/>
  <c r="FW249" i="44"/>
  <c r="FV249" i="44"/>
  <c r="FU249" i="44"/>
  <c r="FX247" i="44"/>
  <c r="FW247" i="44"/>
  <c r="FV247" i="44"/>
  <c r="FU247" i="44"/>
  <c r="FX246" i="44"/>
  <c r="FW246" i="44"/>
  <c r="FV246" i="44"/>
  <c r="FU246" i="44"/>
  <c r="FX245" i="44"/>
  <c r="FW245" i="44"/>
  <c r="FV245" i="44"/>
  <c r="FU245" i="44"/>
  <c r="FX244" i="44"/>
  <c r="FW244" i="44"/>
  <c r="FV244" i="44"/>
  <c r="FU244" i="44"/>
  <c r="FX243" i="44"/>
  <c r="FW243" i="44"/>
  <c r="FV243" i="44"/>
  <c r="FU243" i="44"/>
  <c r="FX242" i="44"/>
  <c r="FW242" i="44"/>
  <c r="FV242" i="44"/>
  <c r="FU242" i="44"/>
  <c r="FX241" i="44"/>
  <c r="FW241" i="44"/>
  <c r="FV241" i="44"/>
  <c r="FU241" i="44"/>
  <c r="FX240" i="44"/>
  <c r="FW240" i="44"/>
  <c r="FV240" i="44"/>
  <c r="FU240" i="44"/>
  <c r="FX239" i="44"/>
  <c r="FW239" i="44"/>
  <c r="FV239" i="44"/>
  <c r="FU239" i="44"/>
  <c r="FX238" i="44"/>
  <c r="FW238" i="44"/>
  <c r="FV238" i="44"/>
  <c r="FU238" i="44"/>
  <c r="FX235" i="44"/>
  <c r="FW235" i="44"/>
  <c r="FV235" i="44"/>
  <c r="FU235" i="44"/>
  <c r="FX231" i="44"/>
  <c r="FW231" i="44"/>
  <c r="FV231" i="44"/>
  <c r="FU231" i="44"/>
  <c r="FX228" i="44"/>
  <c r="FW228" i="44"/>
  <c r="FV228" i="44"/>
  <c r="FU228" i="44"/>
  <c r="FX224" i="44"/>
  <c r="FW224" i="44"/>
  <c r="FV224" i="44"/>
  <c r="FU224" i="44"/>
  <c r="FX220" i="44"/>
  <c r="FW220" i="44"/>
  <c r="FV220" i="44"/>
  <c r="FU220" i="44"/>
  <c r="FX217" i="44"/>
  <c r="FW217" i="44"/>
  <c r="FV217" i="44"/>
  <c r="FU217" i="44"/>
  <c r="FX215" i="44"/>
  <c r="FW215" i="44"/>
  <c r="FV215" i="44"/>
  <c r="FU215" i="44"/>
  <c r="FX208" i="44"/>
  <c r="FW208" i="44"/>
  <c r="FV208" i="44"/>
  <c r="FU208" i="44"/>
  <c r="FX207" i="44"/>
  <c r="FW207" i="44"/>
  <c r="FV207" i="44"/>
  <c r="FU207" i="44"/>
  <c r="FX206" i="44"/>
  <c r="FW206" i="44"/>
  <c r="FV206" i="44"/>
  <c r="FU206" i="44"/>
  <c r="FX205" i="44"/>
  <c r="FW205" i="44"/>
  <c r="FV205" i="44"/>
  <c r="FU205" i="44"/>
  <c r="FX204" i="44"/>
  <c r="FW204" i="44"/>
  <c r="FV204" i="44"/>
  <c r="FU204" i="44"/>
  <c r="FX203" i="44"/>
  <c r="FW203" i="44"/>
  <c r="FV203" i="44"/>
  <c r="FU203" i="44"/>
  <c r="FX202" i="44"/>
  <c r="FW202" i="44"/>
  <c r="FV202" i="44"/>
  <c r="FU202" i="44"/>
  <c r="FX201" i="44"/>
  <c r="FW201" i="44"/>
  <c r="FV201" i="44"/>
  <c r="FU201" i="44"/>
  <c r="FX194" i="44"/>
  <c r="FW194" i="44"/>
  <c r="FV194" i="44"/>
  <c r="FU194" i="44"/>
  <c r="FX193" i="44"/>
  <c r="FW193" i="44"/>
  <c r="FV193" i="44"/>
  <c r="FU193" i="44"/>
  <c r="FX192" i="44"/>
  <c r="FW192" i="44"/>
  <c r="FV192" i="44"/>
  <c r="FU192" i="44"/>
  <c r="FX191" i="44"/>
  <c r="FW191" i="44"/>
  <c r="FV191" i="44"/>
  <c r="FU191" i="44"/>
  <c r="FX190" i="44"/>
  <c r="FW190" i="44"/>
  <c r="FV190" i="44"/>
  <c r="FU190" i="44"/>
  <c r="FX185" i="44"/>
  <c r="FW185" i="44"/>
  <c r="FV185" i="44"/>
  <c r="FU185" i="44"/>
  <c r="FX184" i="44"/>
  <c r="FW184" i="44"/>
  <c r="FV184" i="44"/>
  <c r="FU184" i="44"/>
  <c r="FX183" i="44"/>
  <c r="FW183" i="44"/>
  <c r="FV183" i="44"/>
  <c r="FU183" i="44"/>
  <c r="FX182" i="44"/>
  <c r="FW182" i="44"/>
  <c r="FV182" i="44"/>
  <c r="FU182" i="44"/>
  <c r="FX181" i="44"/>
  <c r="FW181" i="44"/>
  <c r="FV181" i="44"/>
  <c r="FU181" i="44"/>
  <c r="FX180" i="44"/>
  <c r="FW180" i="44"/>
  <c r="FV180" i="44"/>
  <c r="FU180" i="44"/>
  <c r="FX179" i="44"/>
  <c r="FW179" i="44"/>
  <c r="FV179" i="44"/>
  <c r="FU179" i="44"/>
  <c r="FX178" i="44"/>
  <c r="FW178" i="44"/>
  <c r="FV178" i="44"/>
  <c r="FU178" i="44"/>
  <c r="FX177" i="44"/>
  <c r="FW177" i="44"/>
  <c r="FV177" i="44"/>
  <c r="FU177" i="44"/>
  <c r="FX176" i="44"/>
  <c r="FW176" i="44"/>
  <c r="FV176" i="44"/>
  <c r="FU176" i="44"/>
  <c r="FX175" i="44"/>
  <c r="FW175" i="44"/>
  <c r="FV175" i="44"/>
  <c r="FU175" i="44"/>
  <c r="FX174" i="44"/>
  <c r="FW174" i="44"/>
  <c r="FV174" i="44"/>
  <c r="FU174" i="44"/>
  <c r="FX173" i="44"/>
  <c r="FW173" i="44"/>
  <c r="FV173" i="44"/>
  <c r="FU173" i="44"/>
  <c r="FX172" i="44"/>
  <c r="FW172" i="44"/>
  <c r="FV172" i="44"/>
  <c r="FU172" i="44"/>
  <c r="FX171" i="44"/>
  <c r="FW171" i="44"/>
  <c r="FV171" i="44"/>
  <c r="FU171" i="44"/>
  <c r="FX170" i="44"/>
  <c r="FW170" i="44"/>
  <c r="FV170" i="44"/>
  <c r="FU170" i="44"/>
  <c r="FX169" i="44"/>
  <c r="FW169" i="44"/>
  <c r="FV169" i="44"/>
  <c r="FU169" i="44"/>
  <c r="FX168" i="44"/>
  <c r="FW168" i="44"/>
  <c r="FV168" i="44"/>
  <c r="FU168" i="44"/>
  <c r="FX167" i="44"/>
  <c r="FW167" i="44"/>
  <c r="FV167" i="44"/>
  <c r="FU167" i="44"/>
  <c r="FX166" i="44"/>
  <c r="FW166" i="44"/>
  <c r="FV166" i="44"/>
  <c r="FU166" i="44"/>
  <c r="FX165" i="44"/>
  <c r="FW165" i="44"/>
  <c r="FV165" i="44"/>
  <c r="FU165" i="44"/>
  <c r="FX164" i="44"/>
  <c r="FW164" i="44"/>
  <c r="FV164" i="44"/>
  <c r="FU164" i="44"/>
  <c r="FX163" i="44"/>
  <c r="FW163" i="44"/>
  <c r="FV163" i="44"/>
  <c r="FU163" i="44"/>
  <c r="FX162" i="44"/>
  <c r="FW162" i="44"/>
  <c r="FV162" i="44"/>
  <c r="FU162" i="44"/>
  <c r="FX161" i="44"/>
  <c r="FW161" i="44"/>
  <c r="FV161" i="44"/>
  <c r="FU161" i="44"/>
  <c r="FX160" i="44"/>
  <c r="FW160" i="44"/>
  <c r="FV160" i="44"/>
  <c r="FU160" i="44"/>
  <c r="FX159" i="44"/>
  <c r="FW159" i="44"/>
  <c r="FV159" i="44"/>
  <c r="FU159" i="44"/>
  <c r="FX157" i="44"/>
  <c r="FW157" i="44"/>
  <c r="FV157" i="44"/>
  <c r="FU157" i="44"/>
  <c r="FX156" i="44"/>
  <c r="FW156" i="44"/>
  <c r="FV156" i="44"/>
  <c r="FU156" i="44"/>
  <c r="FX155" i="44"/>
  <c r="FW155" i="44"/>
  <c r="FV155" i="44"/>
  <c r="FU155" i="44"/>
  <c r="FX154" i="44"/>
  <c r="FW154" i="44"/>
  <c r="FV154" i="44"/>
  <c r="FU154" i="44"/>
  <c r="FX153" i="44"/>
  <c r="FW153" i="44"/>
  <c r="FV153" i="44"/>
  <c r="FU153" i="44"/>
  <c r="FX152" i="44"/>
  <c r="FW152" i="44"/>
  <c r="FV152" i="44"/>
  <c r="FU152" i="44"/>
  <c r="FX151" i="44"/>
  <c r="FW151" i="44"/>
  <c r="FV151" i="44"/>
  <c r="FU151" i="44"/>
  <c r="FX150" i="44"/>
  <c r="FW150" i="44"/>
  <c r="FV150" i="44"/>
  <c r="FU150" i="44"/>
  <c r="FX149" i="44"/>
  <c r="FW149" i="44"/>
  <c r="FV149" i="44"/>
  <c r="FU149" i="44"/>
  <c r="FX148" i="44"/>
  <c r="FW148" i="44"/>
  <c r="FV148" i="44"/>
  <c r="FU148" i="44"/>
  <c r="FX147" i="44"/>
  <c r="FW147" i="44"/>
  <c r="FV147" i="44"/>
  <c r="FU147" i="44"/>
  <c r="FX146" i="44"/>
  <c r="FW146" i="44"/>
  <c r="FV146" i="44"/>
  <c r="FU146" i="44"/>
  <c r="FX145" i="44"/>
  <c r="FW145" i="44"/>
  <c r="FV145" i="44"/>
  <c r="FU145" i="44"/>
  <c r="FX144" i="44"/>
  <c r="FW144" i="44"/>
  <c r="FV144" i="44"/>
  <c r="FU144" i="44"/>
  <c r="FX143" i="44"/>
  <c r="FW143" i="44"/>
  <c r="FV143" i="44"/>
  <c r="FU143" i="44"/>
  <c r="FX142" i="44"/>
  <c r="FW142" i="44"/>
  <c r="FV142" i="44"/>
  <c r="FU142" i="44"/>
  <c r="FX141" i="44"/>
  <c r="FW141" i="44"/>
  <c r="FV141" i="44"/>
  <c r="FU141" i="44"/>
  <c r="FX140" i="44"/>
  <c r="FW140" i="44"/>
  <c r="FV140" i="44"/>
  <c r="FU140" i="44"/>
  <c r="FX139" i="44"/>
  <c r="FW139" i="44"/>
  <c r="FV139" i="44"/>
  <c r="FU139" i="44"/>
  <c r="FX138" i="44"/>
  <c r="FW138" i="44"/>
  <c r="FV138" i="44"/>
  <c r="FU138" i="44"/>
  <c r="FX137" i="44"/>
  <c r="FW137" i="44"/>
  <c r="FV137" i="44"/>
  <c r="FU137" i="44"/>
  <c r="FX136" i="44"/>
  <c r="FW136" i="44"/>
  <c r="FV136" i="44"/>
  <c r="FU136" i="44"/>
  <c r="FX135" i="44"/>
  <c r="FW135" i="44"/>
  <c r="FV135" i="44"/>
  <c r="FU135" i="44"/>
  <c r="FX134" i="44"/>
  <c r="FW134" i="44"/>
  <c r="FV134" i="44"/>
  <c r="FU134" i="44"/>
  <c r="FX133" i="44"/>
  <c r="FW133" i="44"/>
  <c r="FV133" i="44"/>
  <c r="FU133" i="44"/>
  <c r="FX132" i="44"/>
  <c r="FW132" i="44"/>
  <c r="FV132" i="44"/>
  <c r="FU132" i="44"/>
  <c r="FX131" i="44"/>
  <c r="FW131" i="44"/>
  <c r="FV131" i="44"/>
  <c r="FU131" i="44"/>
  <c r="FX130" i="44"/>
  <c r="FW130" i="44"/>
  <c r="FV130" i="44"/>
  <c r="FU130" i="44"/>
  <c r="FX129" i="44"/>
  <c r="FW129" i="44"/>
  <c r="FV129" i="44"/>
  <c r="FU129" i="44"/>
  <c r="FX128" i="44"/>
  <c r="FW128" i="44"/>
  <c r="FV128" i="44"/>
  <c r="FU128" i="44"/>
  <c r="FX127" i="44"/>
  <c r="FW127" i="44"/>
  <c r="FV127" i="44"/>
  <c r="FU127" i="44"/>
  <c r="FX126" i="44"/>
  <c r="FW126" i="44"/>
  <c r="FV126" i="44"/>
  <c r="FU126" i="44"/>
  <c r="FX125" i="44"/>
  <c r="FW125" i="44"/>
  <c r="FV125" i="44"/>
  <c r="FU125" i="44"/>
  <c r="FX124" i="44"/>
  <c r="FW124" i="44"/>
  <c r="FV124" i="44"/>
  <c r="FU124" i="44"/>
  <c r="FX123" i="44"/>
  <c r="FW123" i="44"/>
  <c r="FV123" i="44"/>
  <c r="FU123" i="44"/>
  <c r="FX122" i="44"/>
  <c r="FW122" i="44"/>
  <c r="FV122" i="44"/>
  <c r="FU122" i="44"/>
  <c r="FX121" i="44"/>
  <c r="FW121" i="44"/>
  <c r="FV121" i="44"/>
  <c r="FU121" i="44"/>
  <c r="FX120" i="44"/>
  <c r="FW120" i="44"/>
  <c r="FV120" i="44"/>
  <c r="FU120" i="44"/>
  <c r="FX119" i="44"/>
  <c r="FW119" i="44"/>
  <c r="FV119" i="44"/>
  <c r="FU119" i="44"/>
  <c r="FX118" i="44"/>
  <c r="FW118" i="44"/>
  <c r="FV118" i="44"/>
  <c r="FU118" i="44"/>
  <c r="FX117" i="44"/>
  <c r="FW117" i="44"/>
  <c r="FV117" i="44"/>
  <c r="FU117" i="44"/>
  <c r="FX116" i="44"/>
  <c r="FW116" i="44"/>
  <c r="FV116" i="44"/>
  <c r="FU116" i="44"/>
  <c r="FX115" i="44"/>
  <c r="FW115" i="44"/>
  <c r="FV115" i="44"/>
  <c r="FU115" i="44"/>
  <c r="FX114" i="44"/>
  <c r="FW114" i="44"/>
  <c r="FV114" i="44"/>
  <c r="FU114" i="44"/>
  <c r="FX107" i="44"/>
  <c r="FW107" i="44"/>
  <c r="FV107" i="44"/>
  <c r="FU107" i="44"/>
  <c r="FX106" i="44"/>
  <c r="FW106" i="44"/>
  <c r="FV106" i="44"/>
  <c r="FU106" i="44"/>
  <c r="FX105" i="44"/>
  <c r="FW105" i="44"/>
  <c r="FV105" i="44"/>
  <c r="FU105" i="44"/>
  <c r="FX104" i="44"/>
  <c r="FW104" i="44"/>
  <c r="FV104" i="44"/>
  <c r="FU104" i="44"/>
  <c r="FX103" i="44"/>
  <c r="FW103" i="44"/>
  <c r="FV103" i="44"/>
  <c r="FU103" i="44"/>
  <c r="FX102" i="44"/>
  <c r="FW102" i="44"/>
  <c r="FV102" i="44"/>
  <c r="FU102" i="44"/>
  <c r="FX101" i="44"/>
  <c r="FW101" i="44"/>
  <c r="FV101" i="44"/>
  <c r="FU101" i="44"/>
  <c r="FX100" i="44"/>
  <c r="FW100" i="44"/>
  <c r="FV100" i="44"/>
  <c r="FU100" i="44"/>
  <c r="FX99" i="44"/>
  <c r="FW99" i="44"/>
  <c r="FV99" i="44"/>
  <c r="FU99" i="44"/>
  <c r="FX98" i="44"/>
  <c r="FW98" i="44"/>
  <c r="FV98" i="44"/>
  <c r="FU98" i="44"/>
  <c r="FX97" i="44"/>
  <c r="FW97" i="44"/>
  <c r="FV97" i="44"/>
  <c r="FU97" i="44"/>
  <c r="FX96" i="44"/>
  <c r="FW96" i="44"/>
  <c r="FV96" i="44"/>
  <c r="FU96" i="44"/>
  <c r="FX95" i="44"/>
  <c r="FW95" i="44"/>
  <c r="FV95" i="44"/>
  <c r="FU95" i="44"/>
  <c r="FX94" i="44"/>
  <c r="FW94" i="44"/>
  <c r="FV94" i="44"/>
  <c r="FU94" i="44"/>
  <c r="FX92" i="44"/>
  <c r="FW92" i="44"/>
  <c r="FV92" i="44"/>
  <c r="FU92" i="44"/>
  <c r="FX91" i="44"/>
  <c r="FW91" i="44"/>
  <c r="FV91" i="44"/>
  <c r="FU91" i="44"/>
  <c r="FX90" i="44"/>
  <c r="FW90" i="44"/>
  <c r="FV90" i="44"/>
  <c r="FU90" i="44"/>
  <c r="FX89" i="44"/>
  <c r="FW89" i="44"/>
  <c r="FV89" i="44"/>
  <c r="FU89" i="44"/>
  <c r="FX88" i="44"/>
  <c r="FW88" i="44"/>
  <c r="FV88" i="44"/>
  <c r="FU88" i="44"/>
  <c r="FX87" i="44"/>
  <c r="FW87" i="44"/>
  <c r="FV87" i="44"/>
  <c r="FU87" i="44"/>
  <c r="FX86" i="44"/>
  <c r="FW86" i="44"/>
  <c r="FV86" i="44"/>
  <c r="FU86" i="44"/>
  <c r="FX84" i="44"/>
  <c r="FW84" i="44"/>
  <c r="FV84" i="44"/>
  <c r="FU84" i="44"/>
  <c r="FX83" i="44"/>
  <c r="FW83" i="44"/>
  <c r="FV83" i="44"/>
  <c r="FU83" i="44"/>
  <c r="FX82" i="44"/>
  <c r="FW82" i="44"/>
  <c r="FV82" i="44"/>
  <c r="FU82" i="44"/>
  <c r="FX81" i="44"/>
  <c r="FW81" i="44"/>
  <c r="FV81" i="44"/>
  <c r="FU81" i="44"/>
  <c r="FX80" i="44"/>
  <c r="FW80" i="44"/>
  <c r="FV80" i="44"/>
  <c r="FU80" i="44"/>
  <c r="FX79" i="44"/>
  <c r="FW79" i="44"/>
  <c r="FV79" i="44"/>
  <c r="FU79" i="44"/>
  <c r="FX78" i="44"/>
  <c r="FW78" i="44"/>
  <c r="FV78" i="44"/>
  <c r="FU78" i="44"/>
  <c r="FX77" i="44"/>
  <c r="FW77" i="44"/>
  <c r="FV77" i="44"/>
  <c r="FU77" i="44"/>
  <c r="FX76" i="44"/>
  <c r="FW76" i="44"/>
  <c r="FV76" i="44"/>
  <c r="FU76" i="44"/>
  <c r="FX75" i="44"/>
  <c r="FW75" i="44"/>
  <c r="FV75" i="44"/>
  <c r="FU75" i="44"/>
  <c r="FX74" i="44"/>
  <c r="FW74" i="44"/>
  <c r="FV74" i="44"/>
  <c r="FU74" i="44"/>
  <c r="FX73" i="44"/>
  <c r="FW73" i="44"/>
  <c r="FV73" i="44"/>
  <c r="FU73" i="44"/>
  <c r="FX72" i="44"/>
  <c r="FW72" i="44"/>
  <c r="FV72" i="44"/>
  <c r="FU72" i="44"/>
  <c r="FX71" i="44"/>
  <c r="FW71" i="44"/>
  <c r="FV71" i="44"/>
  <c r="FU71" i="44"/>
  <c r="FX70" i="44"/>
  <c r="FW70" i="44"/>
  <c r="FV70" i="44"/>
  <c r="FU70" i="44"/>
  <c r="FX69" i="44"/>
  <c r="FW69" i="44"/>
  <c r="FV69" i="44"/>
  <c r="FU69" i="44"/>
  <c r="FX68" i="44"/>
  <c r="FW68" i="44"/>
  <c r="FV68" i="44"/>
  <c r="FU68" i="44"/>
  <c r="FX67" i="44"/>
  <c r="FW67" i="44"/>
  <c r="FV67" i="44"/>
  <c r="FU67" i="44"/>
  <c r="FX64" i="44"/>
  <c r="FW64" i="44"/>
  <c r="FV64" i="44"/>
  <c r="FU64" i="44"/>
  <c r="FX63" i="44"/>
  <c r="FW63" i="44"/>
  <c r="FV63" i="44"/>
  <c r="FU63" i="44"/>
  <c r="FX62" i="44"/>
  <c r="FW62" i="44"/>
  <c r="FV62" i="44"/>
  <c r="FU62" i="44"/>
  <c r="FX60" i="44"/>
  <c r="FW60" i="44"/>
  <c r="FV60" i="44"/>
  <c r="FU60" i="44"/>
  <c r="FX59" i="44"/>
  <c r="FW59" i="44"/>
  <c r="FV59" i="44"/>
  <c r="FU59" i="44"/>
  <c r="FX58" i="44"/>
  <c r="FW58" i="44"/>
  <c r="FV58" i="44"/>
  <c r="FU58" i="44"/>
  <c r="FX55" i="44"/>
  <c r="FW55" i="44"/>
  <c r="FV55" i="44"/>
  <c r="FU55" i="44"/>
  <c r="FX54" i="44"/>
  <c r="FW54" i="44"/>
  <c r="FV54" i="44"/>
  <c r="FU54" i="44"/>
  <c r="FX53" i="44"/>
  <c r="FW53" i="44"/>
  <c r="FV53" i="44"/>
  <c r="FU53" i="44"/>
  <c r="FX52" i="44"/>
  <c r="FW52" i="44"/>
  <c r="FV52" i="44"/>
  <c r="FU52" i="44"/>
  <c r="FX51" i="44"/>
  <c r="FW51" i="44"/>
  <c r="FV51" i="44"/>
  <c r="FU51" i="44"/>
  <c r="FX50" i="44"/>
  <c r="FW50" i="44"/>
  <c r="FV50" i="44"/>
  <c r="FU50" i="44"/>
  <c r="FX49" i="44"/>
  <c r="FW49" i="44"/>
  <c r="FV49" i="44"/>
  <c r="FU49" i="44"/>
  <c r="FX48" i="44"/>
  <c r="FW48" i="44"/>
  <c r="FV48" i="44"/>
  <c r="FU48" i="44"/>
  <c r="FX47" i="44"/>
  <c r="FW47" i="44"/>
  <c r="FV47" i="44"/>
  <c r="FU47" i="44"/>
  <c r="FX46" i="44"/>
  <c r="FW46" i="44"/>
  <c r="FV46" i="44"/>
  <c r="FU46" i="44"/>
  <c r="FX45" i="44"/>
  <c r="FW45" i="44"/>
  <c r="FV45" i="44"/>
  <c r="FU45" i="44"/>
  <c r="FX44" i="44"/>
  <c r="FW44" i="44"/>
  <c r="FV44" i="44"/>
  <c r="FU44" i="44"/>
  <c r="FX43" i="44"/>
  <c r="FW43" i="44"/>
  <c r="FV43" i="44"/>
  <c r="FU43" i="44"/>
  <c r="FX36" i="44"/>
  <c r="FW36" i="44"/>
  <c r="FV36" i="44"/>
  <c r="FU36" i="44"/>
  <c r="FX35" i="44"/>
  <c r="FW35" i="44"/>
  <c r="FV35" i="44"/>
  <c r="FU35" i="44"/>
  <c r="FX34" i="44"/>
  <c r="FW34" i="44"/>
  <c r="FV34" i="44"/>
  <c r="FU34" i="44"/>
  <c r="FX30" i="44"/>
  <c r="FW30" i="44"/>
  <c r="FV30" i="44"/>
  <c r="FU30" i="44"/>
  <c r="FX29" i="44"/>
  <c r="FW29" i="44"/>
  <c r="FV29" i="44"/>
  <c r="FU29" i="44"/>
  <c r="FX28" i="44"/>
  <c r="FW28" i="44"/>
  <c r="FV28" i="44"/>
  <c r="FU28" i="44"/>
  <c r="FX27" i="44"/>
  <c r="FW27" i="44"/>
  <c r="FV27" i="44"/>
  <c r="FU27" i="44"/>
  <c r="FX26" i="44"/>
  <c r="FW26" i="44"/>
  <c r="FV26" i="44"/>
  <c r="FU26" i="44"/>
  <c r="FX25" i="44"/>
  <c r="FW25" i="44"/>
  <c r="FV25" i="44"/>
  <c r="FU25" i="44"/>
  <c r="FX24" i="44"/>
  <c r="FW24" i="44"/>
  <c r="FV24" i="44"/>
  <c r="FU24" i="44"/>
  <c r="FX23" i="44"/>
  <c r="FW23" i="44"/>
  <c r="FV23" i="44"/>
  <c r="FU23" i="44"/>
  <c r="FX20" i="44"/>
  <c r="FW20" i="44"/>
  <c r="FV20" i="44"/>
  <c r="FU20" i="44"/>
  <c r="FX19" i="44"/>
  <c r="FW19" i="44"/>
  <c r="FV19" i="44"/>
  <c r="FU19" i="44"/>
  <c r="FX18" i="44"/>
  <c r="FW18" i="44"/>
  <c r="FV18" i="44"/>
  <c r="FU18" i="44"/>
  <c r="FX17" i="44"/>
  <c r="FW17" i="44"/>
  <c r="FV17" i="44"/>
  <c r="FU17" i="44"/>
  <c r="FX16" i="44"/>
  <c r="FW16" i="44"/>
  <c r="FV16" i="44"/>
  <c r="FU16" i="44"/>
  <c r="FX15" i="44"/>
  <c r="FW15" i="44"/>
  <c r="FV15" i="44"/>
  <c r="FU15" i="44"/>
  <c r="FX14" i="44"/>
  <c r="FW14" i="44"/>
  <c r="FV14" i="44"/>
  <c r="FU14" i="44"/>
  <c r="FX13" i="44"/>
  <c r="FW13" i="44"/>
  <c r="FV13" i="44"/>
  <c r="FU13" i="44"/>
  <c r="FX12" i="44"/>
  <c r="FW12" i="44"/>
  <c r="FV12" i="44"/>
  <c r="FU12" i="44"/>
  <c r="FX11" i="44"/>
  <c r="FW11" i="44"/>
  <c r="FV11" i="44"/>
  <c r="FU11" i="44"/>
  <c r="FX82" i="31"/>
  <c r="FW82" i="31"/>
  <c r="FV82" i="31"/>
  <c r="FU82" i="31"/>
  <c r="FX81" i="31"/>
  <c r="FW81" i="31"/>
  <c r="FV81" i="31"/>
  <c r="FU81" i="31"/>
  <c r="FX80" i="31"/>
  <c r="FW80" i="31"/>
  <c r="FV80" i="31"/>
  <c r="FU80" i="31"/>
  <c r="FX79" i="31"/>
  <c r="FW79" i="31"/>
  <c r="FV79" i="31"/>
  <c r="FU79" i="31"/>
  <c r="FX78" i="31"/>
  <c r="FW78" i="31"/>
  <c r="FV78" i="31"/>
  <c r="FU78" i="31"/>
  <c r="FX77" i="31"/>
  <c r="FW77" i="31"/>
  <c r="FV77" i="31"/>
  <c r="FU77" i="31"/>
  <c r="FX76" i="31"/>
  <c r="FW76" i="31"/>
  <c r="FV76" i="31"/>
  <c r="FU76" i="31"/>
  <c r="FX75" i="31"/>
  <c r="FW75" i="31"/>
  <c r="FV75" i="31"/>
  <c r="FU75" i="31"/>
  <c r="FX74" i="31"/>
  <c r="FW74" i="31"/>
  <c r="FV74" i="31"/>
  <c r="FU74" i="31"/>
  <c r="FX73" i="31"/>
  <c r="FW73" i="31"/>
  <c r="FV73" i="31"/>
  <c r="FU73" i="31"/>
  <c r="FX72" i="31"/>
  <c r="FW72" i="31"/>
  <c r="FV72" i="31"/>
  <c r="FU72" i="31"/>
  <c r="FX71" i="31"/>
  <c r="FW71" i="31"/>
  <c r="FV71" i="31"/>
  <c r="FU71" i="31"/>
  <c r="FX70" i="31"/>
  <c r="FW70" i="31"/>
  <c r="FV70" i="31"/>
  <c r="FU70" i="31"/>
  <c r="FX69" i="31"/>
  <c r="FW69" i="31"/>
  <c r="FV69" i="31"/>
  <c r="FU69" i="31"/>
  <c r="FX68" i="31"/>
  <c r="FW68" i="31"/>
  <c r="FV68" i="31"/>
  <c r="FU68" i="31"/>
  <c r="FX67" i="31"/>
  <c r="FW67" i="31"/>
  <c r="FV67" i="31"/>
  <c r="FU67" i="31"/>
  <c r="FX66" i="31"/>
  <c r="FW66" i="31"/>
  <c r="FV66" i="31"/>
  <c r="FU66" i="31"/>
  <c r="FX65" i="31"/>
  <c r="FW65" i="31"/>
  <c r="FV65" i="31"/>
  <c r="FU65" i="31"/>
  <c r="FX64" i="31"/>
  <c r="FW64" i="31"/>
  <c r="FV64" i="31"/>
  <c r="FU64" i="31"/>
  <c r="FX63" i="31"/>
  <c r="FW63" i="31"/>
  <c r="FV63" i="31"/>
  <c r="FU63" i="31"/>
  <c r="FX62" i="31"/>
  <c r="FW62" i="31"/>
  <c r="FV62" i="31"/>
  <c r="FU62" i="31"/>
  <c r="FX61" i="31"/>
  <c r="FW61" i="31"/>
  <c r="FV61" i="31"/>
  <c r="FU61" i="31"/>
  <c r="FX60" i="31"/>
  <c r="FW60" i="31"/>
  <c r="FV60" i="31"/>
  <c r="FU60" i="31"/>
  <c r="FX59" i="31"/>
  <c r="FW59" i="31"/>
  <c r="FV59" i="31"/>
  <c r="FU59" i="31"/>
  <c r="FX58" i="31"/>
  <c r="FW58" i="31"/>
  <c r="FV58" i="31"/>
  <c r="FU58" i="31"/>
  <c r="FX57" i="31"/>
  <c r="FW57" i="31"/>
  <c r="FV57" i="31"/>
  <c r="FU57" i="31"/>
  <c r="FX56" i="31"/>
  <c r="FW56" i="31"/>
  <c r="FV56" i="31"/>
  <c r="FU56" i="31"/>
  <c r="FX55" i="31"/>
  <c r="FW55" i="31"/>
  <c r="FV55" i="31"/>
  <c r="FU55" i="31"/>
  <c r="FX54" i="31"/>
  <c r="FW54" i="31"/>
  <c r="FV54" i="31"/>
  <c r="FU54" i="31"/>
  <c r="FX53" i="31"/>
  <c r="FW53" i="31"/>
  <c r="FV53" i="31"/>
  <c r="FU53" i="31"/>
  <c r="FX52" i="31"/>
  <c r="FW52" i="31"/>
  <c r="FV52" i="31"/>
  <c r="FU52" i="31"/>
  <c r="FX51" i="31"/>
  <c r="FW51" i="31"/>
  <c r="FV51" i="31"/>
  <c r="FU51" i="31"/>
  <c r="FX50" i="31"/>
  <c r="FW50" i="31"/>
  <c r="FV50" i="31"/>
  <c r="FU50" i="31"/>
  <c r="FX49" i="31"/>
  <c r="FW49" i="31"/>
  <c r="FV49" i="31"/>
  <c r="FU49" i="31"/>
  <c r="FX48" i="31"/>
  <c r="FW48" i="31"/>
  <c r="FV48" i="31"/>
  <c r="FU48" i="31"/>
  <c r="FX47" i="31"/>
  <c r="FW47" i="31"/>
  <c r="FV47" i="31"/>
  <c r="FU47" i="31"/>
  <c r="FX46" i="31"/>
  <c r="FW46" i="31"/>
  <c r="FV46" i="31"/>
  <c r="FU46" i="31"/>
  <c r="FX44" i="31"/>
  <c r="FW44" i="31"/>
  <c r="FV44" i="31"/>
  <c r="FU44" i="31"/>
  <c r="FX43" i="31"/>
  <c r="FW43" i="31"/>
  <c r="FV43" i="31"/>
  <c r="FU43" i="31"/>
  <c r="FX42" i="31"/>
  <c r="FW42" i="31"/>
  <c r="FV42" i="31"/>
  <c r="FU42" i="31"/>
  <c r="FX41" i="31"/>
  <c r="FW41" i="31"/>
  <c r="FV41" i="31"/>
  <c r="FU41" i="31"/>
  <c r="FX40" i="31"/>
  <c r="FW40" i="31"/>
  <c r="FV40" i="31"/>
  <c r="FU40" i="31"/>
  <c r="FX39" i="31"/>
  <c r="FW39" i="31"/>
  <c r="FV39" i="31"/>
  <c r="FU39" i="31"/>
  <c r="FX38" i="31"/>
  <c r="FW38" i="31"/>
  <c r="FV38" i="31"/>
  <c r="FU38" i="31"/>
  <c r="FX37" i="31"/>
  <c r="FW37" i="31"/>
  <c r="FV37" i="31"/>
  <c r="FU37" i="31"/>
  <c r="FX36" i="31"/>
  <c r="FW36" i="31"/>
  <c r="FV36" i="31"/>
  <c r="FU36" i="31"/>
  <c r="FX35" i="31"/>
  <c r="FW35" i="31"/>
  <c r="FV35" i="31"/>
  <c r="FU35" i="31"/>
  <c r="FX34" i="31"/>
  <c r="FW34" i="31"/>
  <c r="FV34" i="31"/>
  <c r="FU34" i="31"/>
  <c r="FX33" i="31"/>
  <c r="FW33" i="31"/>
  <c r="FV33" i="31"/>
  <c r="FU33" i="31"/>
  <c r="FX32" i="31"/>
  <c r="FW32" i="31"/>
  <c r="FV32" i="31"/>
  <c r="FU32" i="31"/>
  <c r="FX31" i="31"/>
  <c r="FW31" i="31"/>
  <c r="FV31" i="31"/>
  <c r="FU31" i="31"/>
  <c r="FX30" i="31"/>
  <c r="FW30" i="31"/>
  <c r="FV30" i="31"/>
  <c r="FU30" i="31"/>
  <c r="FX29" i="31"/>
  <c r="FW29" i="31"/>
  <c r="FV29" i="31"/>
  <c r="FU29" i="31"/>
  <c r="FX28" i="31"/>
  <c r="FW28" i="31"/>
  <c r="FV28" i="31"/>
  <c r="FU28" i="31"/>
  <c r="FX27" i="31"/>
  <c r="FW27" i="31"/>
  <c r="FV27" i="31"/>
  <c r="FU27" i="31"/>
  <c r="FX26" i="31"/>
  <c r="FW26" i="31"/>
  <c r="FV26" i="31"/>
  <c r="FU26" i="31"/>
  <c r="FX25" i="31"/>
  <c r="FW25" i="31"/>
  <c r="FV25" i="31"/>
  <c r="FU25" i="31"/>
  <c r="FX24" i="31"/>
  <c r="FW24" i="31"/>
  <c r="FV24" i="31"/>
  <c r="FU24" i="31"/>
  <c r="FX23" i="31"/>
  <c r="FW23" i="31"/>
  <c r="FV23" i="31"/>
  <c r="FU23" i="31"/>
  <c r="FX22" i="31"/>
  <c r="FW22" i="31"/>
  <c r="FV22" i="31"/>
  <c r="FU22" i="31"/>
  <c r="FX21" i="31"/>
  <c r="FW21" i="31"/>
  <c r="FV21" i="31"/>
  <c r="FU21" i="31"/>
  <c r="FX20" i="31"/>
  <c r="FW20" i="31"/>
  <c r="FV20" i="31"/>
  <c r="FU20" i="31"/>
  <c r="FX19" i="31"/>
  <c r="FW19" i="31"/>
  <c r="FV19" i="31"/>
  <c r="FU19" i="31"/>
  <c r="FX18" i="31"/>
  <c r="FW18" i="31"/>
  <c r="FV18" i="31"/>
  <c r="FU18" i="31"/>
  <c r="FX17" i="31"/>
  <c r="FW17" i="31"/>
  <c r="FV17" i="31"/>
  <c r="FU17" i="31"/>
  <c r="FX16" i="31"/>
  <c r="FW16" i="31"/>
  <c r="FV16" i="31"/>
  <c r="FU16" i="31"/>
  <c r="FX15" i="31"/>
  <c r="FW15" i="31"/>
  <c r="FV15" i="31"/>
  <c r="FU15" i="31"/>
  <c r="FX14" i="31"/>
  <c r="FW14" i="31"/>
  <c r="FV14" i="31"/>
  <c r="FU14" i="31"/>
  <c r="FX13" i="31"/>
  <c r="FW13" i="31"/>
  <c r="FV13" i="31"/>
  <c r="FU13" i="31"/>
  <c r="FX12" i="31"/>
  <c r="FW12" i="31"/>
  <c r="FV12" i="31"/>
  <c r="FU12" i="31"/>
  <c r="FX11" i="31"/>
  <c r="FW11" i="31"/>
  <c r="FV11" i="31"/>
  <c r="FU11" i="31"/>
  <c r="FX10" i="31"/>
  <c r="FW10" i="31"/>
  <c r="FV10" i="31"/>
  <c r="FU10" i="31"/>
  <c r="FX7" i="31"/>
  <c r="FW7" i="31"/>
  <c r="FV7" i="31"/>
  <c r="FU7" i="31"/>
  <c r="FX6" i="31"/>
  <c r="FW6" i="31"/>
  <c r="FV6" i="31"/>
  <c r="FU6" i="31"/>
  <c r="BA414" i="44"/>
  <c r="BA413" i="44"/>
  <c r="BA395" i="44"/>
  <c r="BA392" i="44"/>
  <c r="BA386" i="44"/>
  <c r="BA382" i="44"/>
  <c r="BA371" i="44"/>
  <c r="BA367" i="44"/>
  <c r="BA366" i="44"/>
  <c r="BA365" i="44"/>
  <c r="BA364" i="44"/>
  <c r="BA363" i="44"/>
  <c r="BA362" i="44"/>
  <c r="BA361" i="44"/>
  <c r="BA360" i="44"/>
  <c r="BA359" i="44"/>
  <c r="BA358" i="44"/>
  <c r="BA357" i="44"/>
  <c r="BA356" i="44"/>
  <c r="BA355" i="44"/>
  <c r="BA354" i="44"/>
  <c r="BA353" i="44"/>
  <c r="BA352" i="44"/>
  <c r="BA348" i="44"/>
  <c r="BA347" i="44"/>
  <c r="BA346" i="44"/>
  <c r="BA339" i="44"/>
  <c r="BA338" i="44"/>
  <c r="BA337" i="44"/>
  <c r="BA336" i="44"/>
  <c r="BA335" i="44"/>
  <c r="BA334" i="44"/>
  <c r="BA333" i="44"/>
  <c r="BA332" i="44"/>
  <c r="BA331" i="44"/>
  <c r="BA330" i="44"/>
  <c r="BA329" i="44"/>
  <c r="BA328" i="44"/>
  <c r="BA327" i="44"/>
  <c r="BA315" i="44"/>
  <c r="BA314" i="44"/>
  <c r="BA313" i="44"/>
  <c r="BA312" i="44"/>
  <c r="BA311" i="44"/>
  <c r="BA310" i="44"/>
  <c r="BA309" i="44"/>
  <c r="BA308" i="44"/>
  <c r="BA289" i="44"/>
  <c r="BA288" i="44"/>
  <c r="BA286" i="44"/>
  <c r="BA285" i="44"/>
  <c r="BA284" i="44"/>
  <c r="BA283" i="44"/>
  <c r="BA282" i="44"/>
  <c r="BA281" i="44"/>
  <c r="BA280" i="44"/>
  <c r="BA279" i="44"/>
  <c r="BA278" i="44"/>
  <c r="BA277" i="44"/>
  <c r="BA275" i="44"/>
  <c r="BA260" i="44"/>
  <c r="BA259" i="44"/>
  <c r="BA258" i="44"/>
  <c r="BA246" i="44"/>
  <c r="BA216" i="44"/>
  <c r="BA215" i="44"/>
  <c r="BA214" i="44"/>
  <c r="BA213" i="44"/>
  <c r="BA212" i="44"/>
  <c r="BA211" i="44"/>
  <c r="BA210" i="44"/>
  <c r="BA209" i="44"/>
  <c r="BA207" i="44"/>
  <c r="BA201" i="44"/>
  <c r="BA200" i="44"/>
  <c r="BA199" i="44"/>
  <c r="BA198" i="44"/>
  <c r="BA197" i="44"/>
  <c r="BA196" i="44"/>
  <c r="BA195" i="44"/>
  <c r="BA190" i="44"/>
  <c r="BA189" i="44"/>
  <c r="BA188" i="44"/>
  <c r="BA187" i="44"/>
  <c r="BA186" i="44"/>
  <c r="BA183" i="44"/>
  <c r="BA181" i="44"/>
  <c r="BA175" i="44"/>
  <c r="BA164" i="44"/>
  <c r="BA163" i="44"/>
  <c r="BA162" i="44"/>
  <c r="BA151" i="44"/>
  <c r="BA150" i="44"/>
  <c r="BA149" i="44"/>
  <c r="BA148" i="44"/>
  <c r="BA147" i="44"/>
  <c r="BA146" i="44"/>
  <c r="BA145" i="44"/>
  <c r="BA144" i="44"/>
  <c r="BA143" i="44"/>
  <c r="BA142" i="44"/>
  <c r="BA141" i="44"/>
  <c r="BA140" i="44"/>
  <c r="BA126" i="44"/>
  <c r="BA113" i="44"/>
  <c r="BA112" i="44"/>
  <c r="BA111" i="44"/>
  <c r="BA110" i="44"/>
  <c r="BA109" i="44"/>
  <c r="BA108" i="44"/>
  <c r="BA107" i="44"/>
  <c r="BA94" i="44"/>
  <c r="BA82" i="44"/>
  <c r="BA58" i="44"/>
  <c r="BA43" i="44"/>
  <c r="BA42" i="44"/>
  <c r="BA41" i="44"/>
  <c r="BA40" i="44"/>
  <c r="BA39" i="44"/>
  <c r="BA38" i="44"/>
  <c r="BA37" i="44"/>
  <c r="BA8" i="45"/>
  <c r="GB102" i="45" l="1"/>
  <c r="GB108" i="45" s="1"/>
  <c r="ET90" i="31"/>
  <c r="ET88" i="31"/>
  <c r="ET93" i="31" s="1"/>
  <c r="ET87" i="31"/>
  <c r="ET291" i="39"/>
  <c r="ET286" i="39"/>
  <c r="ET292" i="39" s="1"/>
  <c r="ET288" i="39"/>
  <c r="ET285" i="39"/>
  <c r="GC102" i="45"/>
  <c r="GC108" i="45" s="1"/>
  <c r="FX102" i="45"/>
  <c r="FX107" i="45" s="1"/>
  <c r="GJ102" i="45"/>
  <c r="GJ107" i="45" s="1"/>
  <c r="GA102" i="45"/>
  <c r="GA105" i="45" s="1"/>
  <c r="GA111" i="45" s="1"/>
  <c r="GM102" i="45"/>
  <c r="GM108" i="45" s="1"/>
  <c r="FY102" i="45"/>
  <c r="FY104" i="45" s="1"/>
  <c r="GK102" i="45"/>
  <c r="GK110" i="45" s="1"/>
  <c r="FZ102" i="45"/>
  <c r="FZ104" i="45" s="1"/>
  <c r="GL102" i="45"/>
  <c r="GL104" i="45" s="1"/>
  <c r="GD102" i="45"/>
  <c r="GD105" i="45" s="1"/>
  <c r="GD111" i="45" s="1"/>
  <c r="GE102" i="45"/>
  <c r="GE105" i="45" s="1"/>
  <c r="GE111" i="45" s="1"/>
  <c r="GF102" i="45"/>
  <c r="GF110" i="45" s="1"/>
  <c r="FU102" i="45"/>
  <c r="FU105" i="45" s="1"/>
  <c r="FU111" i="45" s="1"/>
  <c r="GG102" i="45"/>
  <c r="GG110" i="45" s="1"/>
  <c r="FV102" i="45"/>
  <c r="FV110" i="45" s="1"/>
  <c r="GH102" i="45"/>
  <c r="GH110" i="45" s="1"/>
  <c r="FW102" i="45"/>
  <c r="FW105" i="45" s="1"/>
  <c r="FW111" i="45" s="1"/>
  <c r="GI102" i="45"/>
  <c r="GI105" i="45" s="1"/>
  <c r="GI111" i="45" s="1"/>
  <c r="FU448" i="44"/>
  <c r="FU453" i="44" s="1"/>
  <c r="FV85" i="31"/>
  <c r="FV90" i="31" s="1"/>
  <c r="FW85" i="31"/>
  <c r="FW91" i="31" s="1"/>
  <c r="GL85" i="31"/>
  <c r="GL87" i="31" s="1"/>
  <c r="FU85" i="31"/>
  <c r="FU90" i="31" s="1"/>
  <c r="FV448" i="44"/>
  <c r="FV453" i="44" s="1"/>
  <c r="FW448" i="44"/>
  <c r="FW450" i="44" s="1"/>
  <c r="FX448" i="44"/>
  <c r="FX453" i="44" s="1"/>
  <c r="GL448" i="44"/>
  <c r="GL454" i="44" s="1"/>
  <c r="FX105" i="45"/>
  <c r="FX111" i="45" s="1"/>
  <c r="FX85" i="31"/>
  <c r="FX90" i="31" s="1"/>
  <c r="GF104" i="45" l="1"/>
  <c r="GF107" i="45"/>
  <c r="GG107" i="45"/>
  <c r="FX110" i="45"/>
  <c r="GJ110" i="45"/>
  <c r="GA108" i="45"/>
  <c r="GM104" i="45"/>
  <c r="GA104" i="45"/>
  <c r="GA107" i="45"/>
  <c r="GK104" i="45"/>
  <c r="FU108" i="45"/>
  <c r="GH105" i="45"/>
  <c r="GH111" i="45" s="1"/>
  <c r="FV105" i="45"/>
  <c r="FV111" i="45" s="1"/>
  <c r="FV104" i="45"/>
  <c r="GB105" i="45"/>
  <c r="GB111" i="45" s="1"/>
  <c r="GB110" i="45"/>
  <c r="GB104" i="45"/>
  <c r="GB107" i="45"/>
  <c r="FU104" i="45"/>
  <c r="FW108" i="45"/>
  <c r="ET94" i="31"/>
  <c r="GA110" i="45"/>
  <c r="GM110" i="45"/>
  <c r="GH108" i="45"/>
  <c r="GL108" i="45"/>
  <c r="GL107" i="45"/>
  <c r="GE108" i="45"/>
  <c r="GL105" i="45"/>
  <c r="GL111" i="45" s="1"/>
  <c r="GE110" i="45"/>
  <c r="GL110" i="45"/>
  <c r="FZ105" i="45"/>
  <c r="FZ111" i="45" s="1"/>
  <c r="GM105" i="45"/>
  <c r="GM111" i="45" s="1"/>
  <c r="GD108" i="45"/>
  <c r="FZ107" i="45"/>
  <c r="GE104" i="45"/>
  <c r="GK108" i="45"/>
  <c r="GD110" i="45"/>
  <c r="GI107" i="45"/>
  <c r="GD104" i="45"/>
  <c r="FY110" i="45"/>
  <c r="FZ108" i="45"/>
  <c r="GD107" i="45"/>
  <c r="GH107" i="45"/>
  <c r="GK107" i="45"/>
  <c r="GH104" i="45"/>
  <c r="GK105" i="45"/>
  <c r="GK111" i="45" s="1"/>
  <c r="FW107" i="45"/>
  <c r="FW87" i="31"/>
  <c r="FW88" i="31"/>
  <c r="FW93" i="31" s="1"/>
  <c r="FW90" i="31"/>
  <c r="GL88" i="31"/>
  <c r="GL93" i="31" s="1"/>
  <c r="GL91" i="31"/>
  <c r="GL90" i="31"/>
  <c r="FU107" i="45"/>
  <c r="FX108" i="45"/>
  <c r="FU110" i="45"/>
  <c r="FV107" i="45"/>
  <c r="GI110" i="45"/>
  <c r="GC105" i="45"/>
  <c r="GC111" i="45" s="1"/>
  <c r="GI104" i="45"/>
  <c r="GI108" i="45"/>
  <c r="GF105" i="45"/>
  <c r="GF111" i="45" s="1"/>
  <c r="GM107" i="45"/>
  <c r="GJ104" i="45"/>
  <c r="FW104" i="45"/>
  <c r="FW110" i="45"/>
  <c r="GF108" i="45"/>
  <c r="GC110" i="45"/>
  <c r="FZ110" i="45"/>
  <c r="GJ108" i="45"/>
  <c r="FX104" i="45"/>
  <c r="GC104" i="45"/>
  <c r="FV108" i="45"/>
  <c r="GG104" i="45"/>
  <c r="GC107" i="45"/>
  <c r="FY105" i="45"/>
  <c r="FY111" i="45" s="1"/>
  <c r="FY108" i="45"/>
  <c r="GJ105" i="45"/>
  <c r="GJ111" i="45" s="1"/>
  <c r="GG105" i="45"/>
  <c r="GG111" i="45" s="1"/>
  <c r="GE107" i="45"/>
  <c r="GG108" i="45"/>
  <c r="FY107" i="45"/>
  <c r="FV87" i="31"/>
  <c r="FU91" i="31"/>
  <c r="FU88" i="31"/>
  <c r="FU94" i="31" s="1"/>
  <c r="FV91" i="31"/>
  <c r="FV88" i="31"/>
  <c r="FV94" i="31" s="1"/>
  <c r="FU451" i="44"/>
  <c r="FU457" i="44" s="1"/>
  <c r="FU454" i="44"/>
  <c r="FU450" i="44"/>
  <c r="FX450" i="44"/>
  <c r="FX451" i="44"/>
  <c r="FX457" i="44" s="1"/>
  <c r="FW451" i="44"/>
  <c r="FW457" i="44" s="1"/>
  <c r="FW453" i="44"/>
  <c r="FV454" i="44"/>
  <c r="GL453" i="44"/>
  <c r="FW454" i="44"/>
  <c r="GL451" i="44"/>
  <c r="GL456" i="44" s="1"/>
  <c r="FV450" i="44"/>
  <c r="FV451" i="44"/>
  <c r="FV457" i="44" s="1"/>
  <c r="FU87" i="31"/>
  <c r="FX91" i="31"/>
  <c r="GL450" i="44"/>
  <c r="FX454" i="44"/>
  <c r="FX87" i="31"/>
  <c r="FX88" i="31" s="1"/>
  <c r="FX94" i="31" s="1"/>
  <c r="GL94" i="31" l="1"/>
  <c r="FW94" i="31"/>
  <c r="FV93" i="31"/>
  <c r="FW456" i="44"/>
  <c r="FU456" i="44"/>
  <c r="FU93" i="31"/>
  <c r="FX456" i="44"/>
  <c r="GL457" i="44"/>
  <c r="FV456" i="44"/>
  <c r="FX93" i="31"/>
  <c r="AD131" i="39" l="1"/>
  <c r="BA10" i="44"/>
  <c r="BA9" i="44"/>
  <c r="BA8" i="44"/>
  <c r="BA7" i="44"/>
  <c r="AW39" i="45" l="1"/>
  <c r="AW38" i="45"/>
  <c r="AW37" i="45"/>
  <c r="AW36" i="45"/>
  <c r="AW260" i="39"/>
  <c r="AW259" i="39"/>
  <c r="AW29" i="39"/>
  <c r="AW194" i="44"/>
  <c r="AW193" i="44"/>
  <c r="AW192" i="44"/>
  <c r="AW191" i="44"/>
  <c r="AW173" i="44"/>
  <c r="AW171" i="44"/>
  <c r="AW133" i="44"/>
  <c r="AW84" i="44"/>
  <c r="AW64" i="44"/>
  <c r="AW60" i="44"/>
  <c r="AW49" i="44"/>
  <c r="AW48" i="44"/>
  <c r="AW47" i="44"/>
  <c r="AW46" i="44"/>
  <c r="AW45" i="44"/>
  <c r="AW44" i="44"/>
  <c r="AW28" i="44"/>
  <c r="AW27" i="44"/>
  <c r="AW26" i="44"/>
  <c r="AW25" i="44"/>
  <c r="AW24" i="44"/>
  <c r="AW23" i="44"/>
  <c r="AV23" i="44"/>
  <c r="AV24" i="44"/>
  <c r="AV25" i="44"/>
  <c r="AV26" i="44"/>
  <c r="AV27" i="44"/>
  <c r="AV28" i="44"/>
  <c r="AV44" i="44"/>
  <c r="AV45" i="44"/>
  <c r="AV46" i="44"/>
  <c r="AV47" i="44"/>
  <c r="AV48" i="44"/>
  <c r="AV49" i="44"/>
  <c r="AV60" i="44"/>
  <c r="AV64" i="44"/>
  <c r="AV84" i="44"/>
  <c r="AV133" i="44"/>
  <c r="AV171" i="44"/>
  <c r="AV173" i="44"/>
  <c r="AV191" i="44"/>
  <c r="AV192" i="44"/>
  <c r="AV193" i="44"/>
  <c r="AV194" i="44"/>
  <c r="AM291" i="39"/>
  <c r="AM290" i="39"/>
  <c r="AS21" i="31"/>
  <c r="AS20" i="31"/>
  <c r="FR73" i="39"/>
  <c r="FP73" i="39"/>
  <c r="FO73" i="39"/>
  <c r="FN73" i="39"/>
  <c r="FM73" i="39"/>
  <c r="FL73" i="39"/>
  <c r="FK73" i="39"/>
  <c r="FJ73" i="39"/>
  <c r="FI73" i="39"/>
  <c r="FH73" i="39"/>
  <c r="FG73" i="39"/>
  <c r="FF73" i="39"/>
  <c r="FE73" i="39"/>
  <c r="FD73" i="39"/>
  <c r="FC73" i="39"/>
  <c r="FB73" i="39"/>
  <c r="FA73" i="39"/>
  <c r="EZ73" i="39"/>
  <c r="EY73" i="39"/>
  <c r="EX73" i="39"/>
  <c r="EW73" i="39"/>
  <c r="EV73" i="39"/>
  <c r="EU73" i="39"/>
  <c r="ES73" i="39"/>
  <c r="ER73" i="39"/>
  <c r="EQ73" i="39"/>
  <c r="EP73" i="39"/>
  <c r="EO73" i="39"/>
  <c r="EN73" i="39"/>
  <c r="EM73" i="39"/>
  <c r="EL73" i="39"/>
  <c r="EK73" i="39"/>
  <c r="EJ73" i="39"/>
  <c r="EI73" i="39"/>
  <c r="EH73" i="39"/>
  <c r="EF73" i="39"/>
  <c r="EE73" i="39"/>
  <c r="ED73" i="39"/>
  <c r="EC73" i="39"/>
  <c r="EB73" i="39"/>
  <c r="EA73" i="39"/>
  <c r="DZ73" i="39"/>
  <c r="DY73" i="39"/>
  <c r="DX73" i="39"/>
  <c r="DW73" i="39"/>
  <c r="C73" i="39"/>
  <c r="FR71" i="39"/>
  <c r="FP71" i="39"/>
  <c r="FO71" i="39"/>
  <c r="FN71" i="39"/>
  <c r="FM71" i="39"/>
  <c r="FL71" i="39"/>
  <c r="FK71" i="39"/>
  <c r="FJ71" i="39"/>
  <c r="FI71" i="39"/>
  <c r="FH71" i="39"/>
  <c r="FG71" i="39"/>
  <c r="FF71" i="39"/>
  <c r="FE71" i="39"/>
  <c r="FD71" i="39"/>
  <c r="FC71" i="39"/>
  <c r="FB71" i="39"/>
  <c r="FA71" i="39"/>
  <c r="EZ71" i="39"/>
  <c r="EY71" i="39"/>
  <c r="EX71" i="39"/>
  <c r="EW71" i="39"/>
  <c r="EV71" i="39"/>
  <c r="EU71" i="39"/>
  <c r="ES71" i="39"/>
  <c r="ER71" i="39"/>
  <c r="EQ71" i="39"/>
  <c r="EP71" i="39"/>
  <c r="EO71" i="39"/>
  <c r="EN71" i="39"/>
  <c r="EM71" i="39"/>
  <c r="EL71" i="39"/>
  <c r="EK71" i="39"/>
  <c r="EJ71" i="39"/>
  <c r="EI71" i="39"/>
  <c r="EH71" i="39"/>
  <c r="EF71" i="39"/>
  <c r="EE71" i="39"/>
  <c r="ED71" i="39"/>
  <c r="EC71" i="39"/>
  <c r="EB71" i="39"/>
  <c r="EA71" i="39"/>
  <c r="DZ71" i="39"/>
  <c r="DY71" i="39"/>
  <c r="DX71" i="39"/>
  <c r="DW71" i="39"/>
  <c r="C71" i="39"/>
  <c r="FR69" i="39"/>
  <c r="FP69" i="39"/>
  <c r="FO69" i="39"/>
  <c r="FN69" i="39"/>
  <c r="FM69" i="39"/>
  <c r="FL69" i="39"/>
  <c r="FK69" i="39"/>
  <c r="FJ69" i="39"/>
  <c r="FI69" i="39"/>
  <c r="FH69" i="39"/>
  <c r="FG69" i="39"/>
  <c r="FF69" i="39"/>
  <c r="FE69" i="39"/>
  <c r="FD69" i="39"/>
  <c r="FC69" i="39"/>
  <c r="FB69" i="39"/>
  <c r="FA69" i="39"/>
  <c r="EZ69" i="39"/>
  <c r="EY69" i="39"/>
  <c r="EX69" i="39"/>
  <c r="EW69" i="39"/>
  <c r="EV69" i="39"/>
  <c r="EU69" i="39"/>
  <c r="ES69" i="39"/>
  <c r="ER69" i="39"/>
  <c r="EQ69" i="39"/>
  <c r="EP69" i="39"/>
  <c r="EO69" i="39"/>
  <c r="EN69" i="39"/>
  <c r="EM69" i="39"/>
  <c r="EL69" i="39"/>
  <c r="EK69" i="39"/>
  <c r="EJ69" i="39"/>
  <c r="EI69" i="39"/>
  <c r="EH69" i="39"/>
  <c r="EF69" i="39"/>
  <c r="EE69" i="39"/>
  <c r="ED69" i="39"/>
  <c r="EC69" i="39"/>
  <c r="EB69" i="39"/>
  <c r="EA69" i="39"/>
  <c r="DZ69" i="39"/>
  <c r="DY69" i="39"/>
  <c r="DX69" i="39"/>
  <c r="DW69" i="39"/>
  <c r="C69" i="39"/>
  <c r="FR67" i="39"/>
  <c r="FP67" i="39"/>
  <c r="FO67" i="39"/>
  <c r="FN67" i="39"/>
  <c r="FM67" i="39"/>
  <c r="FL67" i="39"/>
  <c r="FK67" i="39"/>
  <c r="FJ67" i="39"/>
  <c r="FI67" i="39"/>
  <c r="FH67" i="39"/>
  <c r="FG67" i="39"/>
  <c r="FF67" i="39"/>
  <c r="FE67" i="39"/>
  <c r="FD67" i="39"/>
  <c r="FC67" i="39"/>
  <c r="FB67" i="39"/>
  <c r="FA67" i="39"/>
  <c r="EZ67" i="39"/>
  <c r="EY67" i="39"/>
  <c r="EX67" i="39"/>
  <c r="EW67" i="39"/>
  <c r="EV67" i="39"/>
  <c r="EU67" i="39"/>
  <c r="ES67" i="39"/>
  <c r="ER67" i="39"/>
  <c r="EQ67" i="39"/>
  <c r="EP67" i="39"/>
  <c r="EO67" i="39"/>
  <c r="EN67" i="39"/>
  <c r="EM67" i="39"/>
  <c r="EL67" i="39"/>
  <c r="EK67" i="39"/>
  <c r="EJ67" i="39"/>
  <c r="EI67" i="39"/>
  <c r="EH67" i="39"/>
  <c r="EF67" i="39"/>
  <c r="EE67" i="39"/>
  <c r="ED67" i="39"/>
  <c r="EC67" i="39"/>
  <c r="EB67" i="39"/>
  <c r="EA67" i="39"/>
  <c r="DZ67" i="39"/>
  <c r="DY67" i="39"/>
  <c r="DX67" i="39"/>
  <c r="DW67" i="39"/>
  <c r="C67" i="39"/>
  <c r="W205" i="44"/>
  <c r="BB205" i="44" s="1"/>
  <c r="S205" i="44"/>
  <c r="P205" i="44"/>
  <c r="O205" i="44"/>
  <c r="N205" i="44"/>
  <c r="W203" i="44"/>
  <c r="AB203" i="44" s="1"/>
  <c r="S203" i="44"/>
  <c r="P203" i="44"/>
  <c r="O203" i="44"/>
  <c r="N203" i="44"/>
  <c r="GM205" i="44"/>
  <c r="GK205" i="44"/>
  <c r="GJ205" i="44"/>
  <c r="GI205" i="44"/>
  <c r="GH205" i="44"/>
  <c r="GG205" i="44"/>
  <c r="GF205" i="44"/>
  <c r="GE205" i="44"/>
  <c r="GD205" i="44"/>
  <c r="GC205" i="44"/>
  <c r="GB205" i="44"/>
  <c r="GA205" i="44"/>
  <c r="FZ205" i="44"/>
  <c r="FY205" i="44"/>
  <c r="FT205" i="44"/>
  <c r="FS205" i="44"/>
  <c r="FR205" i="44"/>
  <c r="FQ205" i="44"/>
  <c r="FP205" i="44"/>
  <c r="FO205" i="44"/>
  <c r="FN205" i="44"/>
  <c r="FM205" i="44"/>
  <c r="FL205" i="44"/>
  <c r="FK205" i="44"/>
  <c r="FJ205" i="44"/>
  <c r="FI205" i="44"/>
  <c r="FH205" i="44"/>
  <c r="FG205" i="44"/>
  <c r="FF205" i="44"/>
  <c r="FE205" i="44"/>
  <c r="FD205" i="44"/>
  <c r="FC205" i="44"/>
  <c r="FB205" i="44"/>
  <c r="FA205" i="44"/>
  <c r="EZ205" i="44"/>
  <c r="EY205" i="44"/>
  <c r="EX205" i="44"/>
  <c r="EW205" i="44"/>
  <c r="EV205" i="44"/>
  <c r="EU205" i="44"/>
  <c r="ES205" i="44"/>
  <c r="ER205" i="44"/>
  <c r="EQ205" i="44"/>
  <c r="EP205" i="44"/>
  <c r="EO205" i="44"/>
  <c r="EN205" i="44"/>
  <c r="EM205" i="44"/>
  <c r="EL205" i="44"/>
  <c r="EG205" i="44"/>
  <c r="EE205" i="44"/>
  <c r="ED205" i="44"/>
  <c r="EC205" i="44"/>
  <c r="DZ205" i="44"/>
  <c r="DY205" i="44"/>
  <c r="DW205" i="44"/>
  <c r="AM205" i="44"/>
  <c r="AL205" i="44"/>
  <c r="AK205" i="44"/>
  <c r="AJ205" i="44"/>
  <c r="AI205" i="44"/>
  <c r="AE205" i="44"/>
  <c r="AD205" i="44"/>
  <c r="AC205" i="44"/>
  <c r="GM203" i="44"/>
  <c r="GK203" i="44"/>
  <c r="GJ203" i="44"/>
  <c r="GI203" i="44"/>
  <c r="GH203" i="44"/>
  <c r="GG203" i="44"/>
  <c r="GF203" i="44"/>
  <c r="GE203" i="44"/>
  <c r="GD203" i="44"/>
  <c r="GC203" i="44"/>
  <c r="GB203" i="44"/>
  <c r="GA203" i="44"/>
  <c r="FZ203" i="44"/>
  <c r="FY203" i="44"/>
  <c r="FT203" i="44"/>
  <c r="FS203" i="44"/>
  <c r="FR203" i="44"/>
  <c r="FQ203" i="44"/>
  <c r="FP203" i="44"/>
  <c r="FO203" i="44"/>
  <c r="FN203" i="44"/>
  <c r="FM203" i="44"/>
  <c r="FL203" i="44"/>
  <c r="FK203" i="44"/>
  <c r="FJ203" i="44"/>
  <c r="FI203" i="44"/>
  <c r="FH203" i="44"/>
  <c r="FG203" i="44"/>
  <c r="FF203" i="44"/>
  <c r="FE203" i="44"/>
  <c r="FD203" i="44"/>
  <c r="FC203" i="44"/>
  <c r="FB203" i="44"/>
  <c r="FA203" i="44"/>
  <c r="EZ203" i="44"/>
  <c r="EY203" i="44"/>
  <c r="EX203" i="44"/>
  <c r="EW203" i="44"/>
  <c r="EV203" i="44"/>
  <c r="EU203" i="44"/>
  <c r="ES203" i="44"/>
  <c r="ER203" i="44"/>
  <c r="EQ203" i="44"/>
  <c r="EP203" i="44"/>
  <c r="EO203" i="44"/>
  <c r="EN203" i="44"/>
  <c r="EM203" i="44"/>
  <c r="EL203" i="44"/>
  <c r="EG203" i="44"/>
  <c r="EE203" i="44"/>
  <c r="ED203" i="44"/>
  <c r="EC203" i="44"/>
  <c r="DZ203" i="44"/>
  <c r="DY203" i="44"/>
  <c r="DW203" i="44"/>
  <c r="AM203" i="44"/>
  <c r="AL203" i="44"/>
  <c r="AK203" i="44"/>
  <c r="AJ203" i="44"/>
  <c r="AI203" i="44"/>
  <c r="AE203" i="44"/>
  <c r="AD203" i="44"/>
  <c r="AC203" i="44"/>
  <c r="W170" i="44"/>
  <c r="BB170" i="44" s="1"/>
  <c r="S170" i="44"/>
  <c r="P170" i="44"/>
  <c r="O170" i="44"/>
  <c r="N170" i="44"/>
  <c r="W168" i="44"/>
  <c r="BB168" i="44" s="1"/>
  <c r="S168" i="44"/>
  <c r="P168" i="44"/>
  <c r="O168" i="44"/>
  <c r="N168" i="44"/>
  <c r="GM170" i="44"/>
  <c r="GK170" i="44"/>
  <c r="GJ170" i="44"/>
  <c r="GI170" i="44"/>
  <c r="GH170" i="44"/>
  <c r="GG170" i="44"/>
  <c r="GF170" i="44"/>
  <c r="GE170" i="44"/>
  <c r="GD170" i="44"/>
  <c r="GC170" i="44"/>
  <c r="GB170" i="44"/>
  <c r="GA170" i="44"/>
  <c r="FZ170" i="44"/>
  <c r="FY170" i="44"/>
  <c r="FT170" i="44"/>
  <c r="FS170" i="44"/>
  <c r="FR170" i="44"/>
  <c r="FQ170" i="44"/>
  <c r="FP170" i="44"/>
  <c r="FO170" i="44"/>
  <c r="FN170" i="44"/>
  <c r="FM170" i="44"/>
  <c r="FL170" i="44"/>
  <c r="FK170" i="44"/>
  <c r="FJ170" i="44"/>
  <c r="FI170" i="44"/>
  <c r="FH170" i="44"/>
  <c r="FG170" i="44"/>
  <c r="FF170" i="44"/>
  <c r="FE170" i="44"/>
  <c r="FD170" i="44"/>
  <c r="FC170" i="44"/>
  <c r="FB170" i="44"/>
  <c r="FA170" i="44"/>
  <c r="EZ170" i="44"/>
  <c r="EY170" i="44"/>
  <c r="EX170" i="44"/>
  <c r="EW170" i="44"/>
  <c r="EV170" i="44"/>
  <c r="EU170" i="44"/>
  <c r="ES170" i="44"/>
  <c r="ER170" i="44"/>
  <c r="EQ170" i="44"/>
  <c r="EP170" i="44"/>
  <c r="EO170" i="44"/>
  <c r="EN170" i="44"/>
  <c r="EM170" i="44"/>
  <c r="EG170" i="44"/>
  <c r="EE170" i="44"/>
  <c r="ED170" i="44"/>
  <c r="EC170" i="44"/>
  <c r="DZ170" i="44"/>
  <c r="DY170" i="44"/>
  <c r="DW170" i="44"/>
  <c r="AM170" i="44"/>
  <c r="AL170" i="44"/>
  <c r="AK170" i="44"/>
  <c r="AJ170" i="44"/>
  <c r="AI170" i="44"/>
  <c r="AE170" i="44"/>
  <c r="AD170" i="44"/>
  <c r="AC170" i="44"/>
  <c r="C170" i="44"/>
  <c r="GM168" i="44"/>
  <c r="GK168" i="44"/>
  <c r="GJ168" i="44"/>
  <c r="GI168" i="44"/>
  <c r="GH168" i="44"/>
  <c r="GG168" i="44"/>
  <c r="GF168" i="44"/>
  <c r="GE168" i="44"/>
  <c r="GD168" i="44"/>
  <c r="GC168" i="44"/>
  <c r="GB168" i="44"/>
  <c r="GA168" i="44"/>
  <c r="FZ168" i="44"/>
  <c r="FY168" i="44"/>
  <c r="FT168" i="44"/>
  <c r="FS168" i="44"/>
  <c r="FR168" i="44"/>
  <c r="FQ168" i="44"/>
  <c r="FP168" i="44"/>
  <c r="FO168" i="44"/>
  <c r="FN168" i="44"/>
  <c r="FM168" i="44"/>
  <c r="FL168" i="44"/>
  <c r="FK168" i="44"/>
  <c r="FJ168" i="44"/>
  <c r="FI168" i="44"/>
  <c r="FH168" i="44"/>
  <c r="FG168" i="44"/>
  <c r="FF168" i="44"/>
  <c r="FE168" i="44"/>
  <c r="FD168" i="44"/>
  <c r="FC168" i="44"/>
  <c r="FB168" i="44"/>
  <c r="FA168" i="44"/>
  <c r="EZ168" i="44"/>
  <c r="EY168" i="44"/>
  <c r="EX168" i="44"/>
  <c r="EW168" i="44"/>
  <c r="EV168" i="44"/>
  <c r="EU168" i="44"/>
  <c r="ES168" i="44"/>
  <c r="ER168" i="44"/>
  <c r="EQ168" i="44"/>
  <c r="EP168" i="44"/>
  <c r="EO168" i="44"/>
  <c r="EN168" i="44"/>
  <c r="EM168" i="44"/>
  <c r="EG168" i="44"/>
  <c r="EE168" i="44"/>
  <c r="ED168" i="44"/>
  <c r="EC168" i="44"/>
  <c r="DZ168" i="44"/>
  <c r="DY168" i="44"/>
  <c r="DW168" i="44"/>
  <c r="AM168" i="44"/>
  <c r="AL168" i="44"/>
  <c r="AK168" i="44"/>
  <c r="AJ168" i="44"/>
  <c r="AI168" i="44"/>
  <c r="AE168" i="44"/>
  <c r="AD168" i="44"/>
  <c r="AC168" i="44"/>
  <c r="C168" i="44"/>
  <c r="W155" i="44"/>
  <c r="AB155" i="44" s="1"/>
  <c r="S155" i="44"/>
  <c r="P155" i="44"/>
  <c r="O155" i="44"/>
  <c r="N155" i="44"/>
  <c r="W153" i="44"/>
  <c r="AB153" i="44" s="1"/>
  <c r="S153" i="44"/>
  <c r="P153" i="44"/>
  <c r="O153" i="44"/>
  <c r="N153" i="44"/>
  <c r="GM155" i="44"/>
  <c r="GK155" i="44"/>
  <c r="GJ155" i="44"/>
  <c r="GI155" i="44"/>
  <c r="GH155" i="44"/>
  <c r="GG155" i="44"/>
  <c r="GF155" i="44"/>
  <c r="GE155" i="44"/>
  <c r="GD155" i="44"/>
  <c r="GC155" i="44"/>
  <c r="GB155" i="44"/>
  <c r="GA155" i="44"/>
  <c r="FZ155" i="44"/>
  <c r="FY155" i="44"/>
  <c r="FT155" i="44"/>
  <c r="FS155" i="44"/>
  <c r="FR155" i="44"/>
  <c r="FQ155" i="44"/>
  <c r="FP155" i="44"/>
  <c r="FO155" i="44"/>
  <c r="FN155" i="44"/>
  <c r="FM155" i="44"/>
  <c r="FL155" i="44"/>
  <c r="FK155" i="44"/>
  <c r="FJ155" i="44"/>
  <c r="FI155" i="44"/>
  <c r="FH155" i="44"/>
  <c r="FG155" i="44"/>
  <c r="FF155" i="44"/>
  <c r="FE155" i="44"/>
  <c r="FD155" i="44"/>
  <c r="FC155" i="44"/>
  <c r="FB155" i="44"/>
  <c r="FA155" i="44"/>
  <c r="EZ155" i="44"/>
  <c r="EY155" i="44"/>
  <c r="EX155" i="44"/>
  <c r="EW155" i="44"/>
  <c r="EV155" i="44"/>
  <c r="EU155" i="44"/>
  <c r="ES155" i="44"/>
  <c r="ER155" i="44"/>
  <c r="EQ155" i="44"/>
  <c r="EP155" i="44"/>
  <c r="EO155" i="44"/>
  <c r="EN155" i="44"/>
  <c r="EM155" i="44"/>
  <c r="EL155" i="44"/>
  <c r="EK155" i="44"/>
  <c r="EJ155" i="44"/>
  <c r="EG155" i="44"/>
  <c r="EE155" i="44"/>
  <c r="ED155" i="44"/>
  <c r="EC155" i="44"/>
  <c r="DZ155" i="44"/>
  <c r="DY155" i="44"/>
  <c r="DW155" i="44"/>
  <c r="AM155" i="44"/>
  <c r="AL155" i="44"/>
  <c r="AK155" i="44"/>
  <c r="AJ155" i="44"/>
  <c r="AI155" i="44"/>
  <c r="AE155" i="44"/>
  <c r="AD155" i="44"/>
  <c r="AC155" i="44"/>
  <c r="GM153" i="44"/>
  <c r="GK153" i="44"/>
  <c r="GJ153" i="44"/>
  <c r="GI153" i="44"/>
  <c r="GH153" i="44"/>
  <c r="GG153" i="44"/>
  <c r="GF153" i="44"/>
  <c r="GE153" i="44"/>
  <c r="GD153" i="44"/>
  <c r="GC153" i="44"/>
  <c r="GB153" i="44"/>
  <c r="GA153" i="44"/>
  <c r="FZ153" i="44"/>
  <c r="FY153" i="44"/>
  <c r="FT153" i="44"/>
  <c r="FS153" i="44"/>
  <c r="FR153" i="44"/>
  <c r="FQ153" i="44"/>
  <c r="FP153" i="44"/>
  <c r="FO153" i="44"/>
  <c r="FN153" i="44"/>
  <c r="FM153" i="44"/>
  <c r="FL153" i="44"/>
  <c r="FK153" i="44"/>
  <c r="FJ153" i="44"/>
  <c r="FI153" i="44"/>
  <c r="FH153" i="44"/>
  <c r="FG153" i="44"/>
  <c r="FF153" i="44"/>
  <c r="FE153" i="44"/>
  <c r="FD153" i="44"/>
  <c r="FC153" i="44"/>
  <c r="FB153" i="44"/>
  <c r="FA153" i="44"/>
  <c r="EZ153" i="44"/>
  <c r="EY153" i="44"/>
  <c r="EX153" i="44"/>
  <c r="EW153" i="44"/>
  <c r="EV153" i="44"/>
  <c r="EU153" i="44"/>
  <c r="ES153" i="44"/>
  <c r="ER153" i="44"/>
  <c r="EQ153" i="44"/>
  <c r="EP153" i="44"/>
  <c r="EO153" i="44"/>
  <c r="EN153" i="44"/>
  <c r="EM153" i="44"/>
  <c r="EL153" i="44"/>
  <c r="EK153" i="44"/>
  <c r="EJ153" i="44"/>
  <c r="EG153" i="44"/>
  <c r="EE153" i="44"/>
  <c r="ED153" i="44"/>
  <c r="EC153" i="44"/>
  <c r="DZ153" i="44"/>
  <c r="DY153" i="44"/>
  <c r="DW153" i="44"/>
  <c r="AM153" i="44"/>
  <c r="AL153" i="44"/>
  <c r="AK153" i="44"/>
  <c r="AJ153" i="44"/>
  <c r="AI153" i="44"/>
  <c r="AE153" i="44"/>
  <c r="AD153" i="44"/>
  <c r="AC153" i="44"/>
  <c r="AN170" i="44" l="1"/>
  <c r="AN205" i="44"/>
  <c r="AN203" i="44"/>
  <c r="AB205" i="44"/>
  <c r="X205" i="44"/>
  <c r="Z205" i="44"/>
  <c r="AA205" i="44"/>
  <c r="AG205" i="44"/>
  <c r="AH205" i="44" s="1"/>
  <c r="AA203" i="44"/>
  <c r="BB203" i="44"/>
  <c r="AG203" i="44"/>
  <c r="AH203" i="44" s="1"/>
  <c r="X203" i="44"/>
  <c r="Z203" i="44"/>
  <c r="AN168" i="44"/>
  <c r="X170" i="44"/>
  <c r="Z170" i="44"/>
  <c r="AA170" i="44"/>
  <c r="AB170" i="44"/>
  <c r="AG170" i="44"/>
  <c r="AH170" i="44" s="1"/>
  <c r="Z168" i="44"/>
  <c r="X168" i="44"/>
  <c r="AA168" i="44"/>
  <c r="AB168" i="44"/>
  <c r="AG168" i="44"/>
  <c r="AH168" i="44" s="1"/>
  <c r="AG153" i="44"/>
  <c r="AH153" i="44" s="1"/>
  <c r="AN155" i="44"/>
  <c r="AN153" i="44"/>
  <c r="Z155" i="44"/>
  <c r="BB155" i="44"/>
  <c r="AG155" i="44"/>
  <c r="AH155" i="44" s="1"/>
  <c r="X155" i="44"/>
  <c r="AA155" i="44"/>
  <c r="X153" i="44"/>
  <c r="BB153" i="44"/>
  <c r="Z153" i="44"/>
  <c r="AA153" i="44"/>
  <c r="AO168" i="44" l="1"/>
  <c r="AO205" i="44"/>
  <c r="AP205" i="44" s="1"/>
  <c r="AO170" i="44"/>
  <c r="AO203" i="44"/>
  <c r="AP203" i="44" s="1"/>
  <c r="AT170" i="44"/>
  <c r="AU170" i="44" s="1"/>
  <c r="AT168" i="44"/>
  <c r="AU168" i="44" s="1"/>
  <c r="AO153" i="44"/>
  <c r="AP153" i="44" s="1"/>
  <c r="AW153" i="44" s="1"/>
  <c r="AO155" i="44"/>
  <c r="AP155" i="44" s="1"/>
  <c r="AW155" i="44" s="1"/>
  <c r="AP168" i="44" l="1"/>
  <c r="AW168" i="44" s="1"/>
  <c r="AP170" i="44"/>
  <c r="AW170" i="44" s="1"/>
  <c r="AV205" i="44"/>
  <c r="AW205" i="44"/>
  <c r="AV203" i="44"/>
  <c r="AW203" i="44"/>
  <c r="AQ155" i="44"/>
  <c r="AV155" i="44"/>
  <c r="AT153" i="44"/>
  <c r="AU153" i="44" s="1"/>
  <c r="AV153" i="44"/>
  <c r="BC205" i="44"/>
  <c r="AZ205" i="44"/>
  <c r="AQ205" i="44"/>
  <c r="AX205" i="44"/>
  <c r="AR205" i="44"/>
  <c r="AS205" i="44" s="1"/>
  <c r="AT205" i="44"/>
  <c r="AU205" i="44" s="1"/>
  <c r="BC203" i="44"/>
  <c r="AZ203" i="44"/>
  <c r="AQ203" i="44"/>
  <c r="AT203" i="44"/>
  <c r="AU203" i="44" s="1"/>
  <c r="AR203" i="44"/>
  <c r="AS203" i="44" s="1"/>
  <c r="AX203" i="44"/>
  <c r="BC155" i="44"/>
  <c r="AZ155" i="44"/>
  <c r="AT155" i="44"/>
  <c r="AU155" i="44" s="1"/>
  <c r="AX155" i="44"/>
  <c r="AR155" i="44"/>
  <c r="AS155" i="44" s="1"/>
  <c r="AQ153" i="44"/>
  <c r="AZ153" i="44"/>
  <c r="BC153" i="44"/>
  <c r="AX153" i="44"/>
  <c r="AR153" i="44"/>
  <c r="AS153" i="44" s="1"/>
  <c r="AD289" i="44"/>
  <c r="AC289" i="44"/>
  <c r="AD288" i="44"/>
  <c r="AD286" i="44"/>
  <c r="AD276" i="44"/>
  <c r="AC156" i="44"/>
  <c r="BA161" i="39"/>
  <c r="BA162" i="39"/>
  <c r="BA163" i="39"/>
  <c r="BA166" i="39"/>
  <c r="AM11" i="31"/>
  <c r="AL11" i="31"/>
  <c r="AK11" i="31"/>
  <c r="AJ11" i="31"/>
  <c r="AI11" i="31"/>
  <c r="AF11" i="31"/>
  <c r="AE11" i="31"/>
  <c r="BA45" i="31"/>
  <c r="AX170" i="44" l="1"/>
  <c r="BC170" i="44"/>
  <c r="EB170" i="44" s="1"/>
  <c r="AZ170" i="44"/>
  <c r="BC168" i="44"/>
  <c r="EF168" i="44" s="1"/>
  <c r="AQ168" i="44"/>
  <c r="AR168" i="44"/>
  <c r="AS168" i="44" s="1"/>
  <c r="AX168" i="44"/>
  <c r="AZ168" i="44"/>
  <c r="AV168" i="44"/>
  <c r="AQ170" i="44"/>
  <c r="AV170" i="44"/>
  <c r="AR170" i="44"/>
  <c r="AS170" i="44" s="1"/>
  <c r="FU67" i="39"/>
  <c r="FX67" i="39"/>
  <c r="FW67" i="39"/>
  <c r="FV67" i="39"/>
  <c r="FU73" i="39"/>
  <c r="FX73" i="39"/>
  <c r="FW73" i="39"/>
  <c r="FV73" i="39"/>
  <c r="FU69" i="39"/>
  <c r="FX69" i="39"/>
  <c r="FW69" i="39"/>
  <c r="FV69" i="39"/>
  <c r="FU71" i="39"/>
  <c r="FX71" i="39"/>
  <c r="FW71" i="39"/>
  <c r="FV71" i="39"/>
  <c r="FT73" i="39"/>
  <c r="EG73" i="39"/>
  <c r="FQ73" i="39"/>
  <c r="FT69" i="39"/>
  <c r="EG69" i="39"/>
  <c r="FQ69" i="39"/>
  <c r="EG67" i="39"/>
  <c r="FQ67" i="39"/>
  <c r="FT67" i="39"/>
  <c r="FT71" i="39"/>
  <c r="FQ71" i="39"/>
  <c r="EG71" i="39"/>
  <c r="EK203" i="44"/>
  <c r="EJ203" i="44"/>
  <c r="DX203" i="44"/>
  <c r="EA203" i="44"/>
  <c r="EI203" i="44"/>
  <c r="EH203" i="44"/>
  <c r="EF203" i="44"/>
  <c r="EB203" i="44"/>
  <c r="EH153" i="44"/>
  <c r="DX153" i="44"/>
  <c r="EI153" i="44"/>
  <c r="EA153" i="44"/>
  <c r="EF153" i="44"/>
  <c r="EB153" i="44"/>
  <c r="DX155" i="44"/>
  <c r="EI155" i="44"/>
  <c r="EH155" i="44"/>
  <c r="EB155" i="44"/>
  <c r="EF155" i="44"/>
  <c r="EA155" i="44"/>
  <c r="EA205" i="44"/>
  <c r="EK205" i="44"/>
  <c r="EJ205" i="44"/>
  <c r="DX205" i="44"/>
  <c r="EI205" i="44"/>
  <c r="EH205" i="44"/>
  <c r="EF205" i="44"/>
  <c r="EB205" i="44"/>
  <c r="AN11" i="31"/>
  <c r="FS73" i="39"/>
  <c r="FS71" i="39"/>
  <c r="FS69" i="39"/>
  <c r="FS67" i="39"/>
  <c r="AG11" i="31"/>
  <c r="AH11" i="31" s="1"/>
  <c r="W77" i="31"/>
  <c r="P77" i="31"/>
  <c r="O77" i="31"/>
  <c r="N77" i="31"/>
  <c r="W75" i="31"/>
  <c r="P75" i="31"/>
  <c r="O75" i="31"/>
  <c r="N75" i="31"/>
  <c r="W73" i="31"/>
  <c r="P73" i="31"/>
  <c r="O73" i="31"/>
  <c r="N73" i="31"/>
  <c r="GM77" i="31"/>
  <c r="GK77" i="31"/>
  <c r="GJ77" i="31"/>
  <c r="GI77" i="31"/>
  <c r="GH77" i="31"/>
  <c r="GG77" i="31"/>
  <c r="GF77" i="31"/>
  <c r="GE77" i="31"/>
  <c r="GD77" i="31"/>
  <c r="GC77" i="31"/>
  <c r="GB77" i="31"/>
  <c r="GA77" i="31"/>
  <c r="FZ77" i="31"/>
  <c r="FY77" i="31"/>
  <c r="FT77" i="31"/>
  <c r="FS77" i="31"/>
  <c r="FR77" i="31"/>
  <c r="FQ77" i="31"/>
  <c r="FP77" i="31"/>
  <c r="FO77" i="31"/>
  <c r="FN77" i="31"/>
  <c r="FM77" i="31"/>
  <c r="FL77" i="31"/>
  <c r="FK77" i="31"/>
  <c r="FJ77" i="31"/>
  <c r="FI77" i="31"/>
  <c r="FH77" i="31"/>
  <c r="FG77" i="31"/>
  <c r="FF77" i="31"/>
  <c r="FE77" i="31"/>
  <c r="FD77" i="31"/>
  <c r="FC77" i="31"/>
  <c r="FB77" i="31"/>
  <c r="FA77" i="31"/>
  <c r="EZ77" i="31"/>
  <c r="EY77" i="31"/>
  <c r="EX77" i="31"/>
  <c r="EV77" i="31"/>
  <c r="ES77" i="31"/>
  <c r="EP77" i="31"/>
  <c r="EO77" i="31"/>
  <c r="EN77" i="31"/>
  <c r="EM77" i="31"/>
  <c r="EL77" i="31"/>
  <c r="EK77" i="31"/>
  <c r="EJ77" i="31"/>
  <c r="EI77" i="31"/>
  <c r="EH77" i="31"/>
  <c r="EG77" i="31"/>
  <c r="EF77" i="31"/>
  <c r="EE77" i="31"/>
  <c r="ED77" i="31"/>
  <c r="EC77" i="31"/>
  <c r="EB77" i="31"/>
  <c r="EA77" i="31"/>
  <c r="DZ77" i="31"/>
  <c r="DY77" i="31"/>
  <c r="DX77" i="31"/>
  <c r="DW77" i="31"/>
  <c r="AM77" i="31"/>
  <c r="AL77" i="31"/>
  <c r="AK77" i="31"/>
  <c r="AJ77" i="31"/>
  <c r="AI77" i="31"/>
  <c r="AG77" i="31"/>
  <c r="AH77" i="31" s="1"/>
  <c r="C77" i="31"/>
  <c r="GM75" i="31"/>
  <c r="GK75" i="31"/>
  <c r="GJ75" i="31"/>
  <c r="GI75" i="31"/>
  <c r="GH75" i="31"/>
  <c r="GG75" i="31"/>
  <c r="GF75" i="31"/>
  <c r="GE75" i="31"/>
  <c r="GD75" i="31"/>
  <c r="GC75" i="31"/>
  <c r="GB75" i="31"/>
  <c r="GA75" i="31"/>
  <c r="FZ75" i="31"/>
  <c r="FY75" i="31"/>
  <c r="FT75" i="31"/>
  <c r="FS75" i="31"/>
  <c r="FR75" i="31"/>
  <c r="FQ75" i="31"/>
  <c r="FP75" i="31"/>
  <c r="FO75" i="31"/>
  <c r="FN75" i="31"/>
  <c r="FM75" i="31"/>
  <c r="FL75" i="31"/>
  <c r="FK75" i="31"/>
  <c r="FJ75" i="31"/>
  <c r="FI75" i="31"/>
  <c r="FH75" i="31"/>
  <c r="FG75" i="31"/>
  <c r="FF75" i="31"/>
  <c r="FE75" i="31"/>
  <c r="FD75" i="31"/>
  <c r="FC75" i="31"/>
  <c r="FB75" i="31"/>
  <c r="FA75" i="31"/>
  <c r="EZ75" i="31"/>
  <c r="EY75" i="31"/>
  <c r="EX75" i="31"/>
  <c r="EV75" i="31"/>
  <c r="ES75" i="31"/>
  <c r="EP75" i="31"/>
  <c r="EO75" i="31"/>
  <c r="EN75" i="31"/>
  <c r="EM75" i="31"/>
  <c r="EL75" i="31"/>
  <c r="EK75" i="31"/>
  <c r="EJ75" i="31"/>
  <c r="EI75" i="31"/>
  <c r="EH75" i="31"/>
  <c r="EG75" i="31"/>
  <c r="EF75" i="31"/>
  <c r="EE75" i="31"/>
  <c r="ED75" i="31"/>
  <c r="EC75" i="31"/>
  <c r="EB75" i="31"/>
  <c r="EA75" i="31"/>
  <c r="DZ75" i="31"/>
  <c r="DY75" i="31"/>
  <c r="DX75" i="31"/>
  <c r="DW75" i="31"/>
  <c r="AM75" i="31"/>
  <c r="AL75" i="31"/>
  <c r="AK75" i="31"/>
  <c r="AJ75" i="31"/>
  <c r="AI75" i="31"/>
  <c r="AG75" i="31"/>
  <c r="AH75" i="31" s="1"/>
  <c r="C75" i="31"/>
  <c r="GM73" i="31"/>
  <c r="GK73" i="31"/>
  <c r="GJ73" i="31"/>
  <c r="GI73" i="31"/>
  <c r="GH73" i="31"/>
  <c r="GG73" i="31"/>
  <c r="GF73" i="31"/>
  <c r="GE73" i="31"/>
  <c r="GD73" i="31"/>
  <c r="GC73" i="31"/>
  <c r="GB73" i="31"/>
  <c r="GA73" i="31"/>
  <c r="FZ73" i="31"/>
  <c r="FY73" i="31"/>
  <c r="FT73" i="31"/>
  <c r="FS73" i="31"/>
  <c r="FR73" i="31"/>
  <c r="FQ73" i="31"/>
  <c r="FP73" i="31"/>
  <c r="FO73" i="31"/>
  <c r="FN73" i="31"/>
  <c r="FM73" i="31"/>
  <c r="FL73" i="31"/>
  <c r="FK73" i="31"/>
  <c r="FJ73" i="31"/>
  <c r="FI73" i="31"/>
  <c r="FH73" i="31"/>
  <c r="FG73" i="31"/>
  <c r="FF73" i="31"/>
  <c r="FE73" i="31"/>
  <c r="FD73" i="31"/>
  <c r="FC73" i="31"/>
  <c r="FB73" i="31"/>
  <c r="FA73" i="31"/>
  <c r="EZ73" i="31"/>
  <c r="EY73" i="31"/>
  <c r="EX73" i="31"/>
  <c r="EV73" i="31"/>
  <c r="ES73" i="31"/>
  <c r="EP73" i="31"/>
  <c r="EO73" i="31"/>
  <c r="EN73" i="31"/>
  <c r="EM73" i="31"/>
  <c r="EL73" i="31"/>
  <c r="EK73" i="31"/>
  <c r="EJ73" i="31"/>
  <c r="EI73" i="31"/>
  <c r="EH73" i="31"/>
  <c r="EG73" i="31"/>
  <c r="EF73" i="31"/>
  <c r="EE73" i="31"/>
  <c r="ED73" i="31"/>
  <c r="EC73" i="31"/>
  <c r="EB73" i="31"/>
  <c r="EA73" i="31"/>
  <c r="DZ73" i="31"/>
  <c r="DY73" i="31"/>
  <c r="DX73" i="31"/>
  <c r="DW73" i="31"/>
  <c r="AM73" i="31"/>
  <c r="AL73" i="31"/>
  <c r="AK73" i="31"/>
  <c r="AJ73" i="31"/>
  <c r="AI73" i="31"/>
  <c r="AG73" i="31"/>
  <c r="AH73" i="31" s="1"/>
  <c r="C73" i="31"/>
  <c r="DW78" i="31"/>
  <c r="DX78" i="31"/>
  <c r="DY78" i="31"/>
  <c r="DZ78" i="31"/>
  <c r="EA78" i="31"/>
  <c r="EB78" i="31"/>
  <c r="EC78" i="31"/>
  <c r="ED78" i="31"/>
  <c r="EE78" i="31"/>
  <c r="EF78" i="31"/>
  <c r="EG78" i="31"/>
  <c r="EH78" i="31"/>
  <c r="EI78" i="31"/>
  <c r="EJ78" i="31"/>
  <c r="EK78" i="31"/>
  <c r="EL78" i="31"/>
  <c r="EM78" i="31"/>
  <c r="EN78" i="31"/>
  <c r="EO78" i="31"/>
  <c r="EP78" i="31"/>
  <c r="EQ78" i="31"/>
  <c r="ER78" i="31"/>
  <c r="ES78" i="31"/>
  <c r="EV78" i="31"/>
  <c r="EW78" i="31"/>
  <c r="EX78" i="31"/>
  <c r="EY78" i="31"/>
  <c r="EZ78" i="31"/>
  <c r="FA78" i="31"/>
  <c r="FB78" i="31"/>
  <c r="FC78" i="31"/>
  <c r="FD78" i="31"/>
  <c r="FE78" i="31"/>
  <c r="FF78" i="31"/>
  <c r="FG78" i="31"/>
  <c r="FH78" i="31"/>
  <c r="FI78" i="31"/>
  <c r="FJ78" i="31"/>
  <c r="FK78" i="31"/>
  <c r="FL78" i="31"/>
  <c r="FM78" i="31"/>
  <c r="FN78" i="31"/>
  <c r="FO78" i="31"/>
  <c r="FP78" i="31"/>
  <c r="FQ78" i="31"/>
  <c r="FR78" i="31"/>
  <c r="FS78" i="31"/>
  <c r="FT78" i="31"/>
  <c r="FY78" i="31"/>
  <c r="FZ78" i="31"/>
  <c r="GA78" i="31"/>
  <c r="GB78" i="31"/>
  <c r="GC78" i="31"/>
  <c r="GD78" i="31"/>
  <c r="GE78" i="31"/>
  <c r="GF78" i="31"/>
  <c r="GG78" i="31"/>
  <c r="GH78" i="31"/>
  <c r="GI78" i="31"/>
  <c r="GJ78" i="31"/>
  <c r="GK78" i="31"/>
  <c r="GM78" i="31"/>
  <c r="W70" i="31"/>
  <c r="X70" i="31" s="1"/>
  <c r="P70" i="31"/>
  <c r="O70" i="31"/>
  <c r="N70" i="31"/>
  <c r="W68" i="31"/>
  <c r="P68" i="31"/>
  <c r="O68" i="31"/>
  <c r="N68" i="31"/>
  <c r="W66" i="31"/>
  <c r="P66" i="31"/>
  <c r="O66" i="31"/>
  <c r="N66" i="31"/>
  <c r="GM70" i="31"/>
  <c r="GK70" i="31"/>
  <c r="GJ70" i="31"/>
  <c r="GI70" i="31"/>
  <c r="GH70" i="31"/>
  <c r="GG70" i="31"/>
  <c r="GF70" i="31"/>
  <c r="GE70" i="31"/>
  <c r="GD70" i="31"/>
  <c r="GC70" i="31"/>
  <c r="GB70" i="31"/>
  <c r="GA70" i="31"/>
  <c r="FZ70" i="31"/>
  <c r="FY70" i="31"/>
  <c r="FT70" i="31"/>
  <c r="FS70" i="31"/>
  <c r="FR70" i="31"/>
  <c r="FQ70" i="31"/>
  <c r="FP70" i="31"/>
  <c r="FO70" i="31"/>
  <c r="FN70" i="31"/>
  <c r="FM70" i="31"/>
  <c r="FL70" i="31"/>
  <c r="FK70" i="31"/>
  <c r="FJ70" i="31"/>
  <c r="FI70" i="31"/>
  <c r="FH70" i="31"/>
  <c r="FG70" i="31"/>
  <c r="FF70" i="31"/>
  <c r="FE70" i="31"/>
  <c r="FD70" i="31"/>
  <c r="FC70" i="31"/>
  <c r="FB70" i="31"/>
  <c r="FA70" i="31"/>
  <c r="EZ70" i="31"/>
  <c r="EY70" i="31"/>
  <c r="EX70" i="31"/>
  <c r="EW70" i="31"/>
  <c r="EV70" i="31"/>
  <c r="ES70" i="31"/>
  <c r="ER70" i="31"/>
  <c r="EQ70" i="31"/>
  <c r="EO70" i="31"/>
  <c r="EN70" i="31"/>
  <c r="EM70" i="31"/>
  <c r="EL70" i="31"/>
  <c r="EK70" i="31"/>
  <c r="EJ70" i="31"/>
  <c r="EI70" i="31"/>
  <c r="EH70" i="31"/>
  <c r="EG70" i="31"/>
  <c r="EF70" i="31"/>
  <c r="EE70" i="31"/>
  <c r="ED70" i="31"/>
  <c r="EC70" i="31"/>
  <c r="EB70" i="31"/>
  <c r="EA70" i="31"/>
  <c r="DZ70" i="31"/>
  <c r="DY70" i="31"/>
  <c r="DX70" i="31"/>
  <c r="DW70" i="31"/>
  <c r="AM70" i="31"/>
  <c r="AL70" i="31"/>
  <c r="AK70" i="31"/>
  <c r="AJ70" i="31"/>
  <c r="AI70" i="31"/>
  <c r="AG70" i="31"/>
  <c r="AH70" i="31" s="1"/>
  <c r="C70" i="31"/>
  <c r="GM68" i="31"/>
  <c r="GK68" i="31"/>
  <c r="GJ68" i="31"/>
  <c r="GI68" i="31"/>
  <c r="GH68" i="31"/>
  <c r="GG68" i="31"/>
  <c r="GF68" i="31"/>
  <c r="GE68" i="31"/>
  <c r="GD68" i="31"/>
  <c r="GC68" i="31"/>
  <c r="GB68" i="31"/>
  <c r="GA68" i="31"/>
  <c r="FZ68" i="31"/>
  <c r="FY68" i="31"/>
  <c r="FT68" i="31"/>
  <c r="FS68" i="31"/>
  <c r="FR68" i="31"/>
  <c r="FQ68" i="31"/>
  <c r="FP68" i="31"/>
  <c r="FO68" i="31"/>
  <c r="FN68" i="31"/>
  <c r="FM68" i="31"/>
  <c r="FL68" i="31"/>
  <c r="FK68" i="31"/>
  <c r="FJ68" i="31"/>
  <c r="FI68" i="31"/>
  <c r="FH68" i="31"/>
  <c r="FG68" i="31"/>
  <c r="FF68" i="31"/>
  <c r="FE68" i="31"/>
  <c r="FD68" i="31"/>
  <c r="FC68" i="31"/>
  <c r="FB68" i="31"/>
  <c r="FA68" i="31"/>
  <c r="EZ68" i="31"/>
  <c r="EY68" i="31"/>
  <c r="EX68" i="31"/>
  <c r="EW68" i="31"/>
  <c r="EV68" i="31"/>
  <c r="ES68" i="31"/>
  <c r="ER68" i="31"/>
  <c r="EQ68" i="31"/>
  <c r="EO68" i="31"/>
  <c r="EN68" i="31"/>
  <c r="EM68" i="31"/>
  <c r="EL68" i="31"/>
  <c r="EK68" i="31"/>
  <c r="EJ68" i="31"/>
  <c r="EI68" i="31"/>
  <c r="EH68" i="31"/>
  <c r="EG68" i="31"/>
  <c r="EF68" i="31"/>
  <c r="EE68" i="31"/>
  <c r="ED68" i="31"/>
  <c r="EC68" i="31"/>
  <c r="EB68" i="31"/>
  <c r="EA68" i="31"/>
  <c r="DZ68" i="31"/>
  <c r="DY68" i="31"/>
  <c r="DX68" i="31"/>
  <c r="DW68" i="31"/>
  <c r="AM68" i="31"/>
  <c r="AL68" i="31"/>
  <c r="AK68" i="31"/>
  <c r="AJ68" i="31"/>
  <c r="AI68" i="31"/>
  <c r="AG68" i="31"/>
  <c r="AH68" i="31" s="1"/>
  <c r="C68" i="31"/>
  <c r="GM66" i="31"/>
  <c r="GK66" i="31"/>
  <c r="GJ66" i="31"/>
  <c r="GI66" i="31"/>
  <c r="GH66" i="31"/>
  <c r="GG66" i="31"/>
  <c r="GF66" i="31"/>
  <c r="GE66" i="31"/>
  <c r="GD66" i="31"/>
  <c r="GC66" i="31"/>
  <c r="GB66" i="31"/>
  <c r="GA66" i="31"/>
  <c r="FZ66" i="31"/>
  <c r="FY66" i="31"/>
  <c r="FT66" i="31"/>
  <c r="FS66" i="31"/>
  <c r="FR66" i="31"/>
  <c r="FQ66" i="31"/>
  <c r="FP66" i="31"/>
  <c r="FO66" i="31"/>
  <c r="FN66" i="31"/>
  <c r="FM66" i="31"/>
  <c r="FL66" i="31"/>
  <c r="FK66" i="31"/>
  <c r="FJ66" i="31"/>
  <c r="FI66" i="31"/>
  <c r="FH66" i="31"/>
  <c r="FG66" i="31"/>
  <c r="FF66" i="31"/>
  <c r="FE66" i="31"/>
  <c r="FD66" i="31"/>
  <c r="FC66" i="31"/>
  <c r="FB66" i="31"/>
  <c r="FA66" i="31"/>
  <c r="EZ66" i="31"/>
  <c r="EY66" i="31"/>
  <c r="EX66" i="31"/>
  <c r="EW66" i="31"/>
  <c r="EV66" i="31"/>
  <c r="ES66" i="31"/>
  <c r="ER66" i="31"/>
  <c r="EQ66" i="31"/>
  <c r="EO66" i="31"/>
  <c r="EN66" i="31"/>
  <c r="EM66" i="31"/>
  <c r="EL66" i="31"/>
  <c r="EK66" i="31"/>
  <c r="EJ66" i="31"/>
  <c r="EI66" i="31"/>
  <c r="EH66" i="31"/>
  <c r="EG66" i="31"/>
  <c r="EF66" i="31"/>
  <c r="EE66" i="31"/>
  <c r="ED66" i="31"/>
  <c r="EC66" i="31"/>
  <c r="EB66" i="31"/>
  <c r="EA66" i="31"/>
  <c r="DZ66" i="31"/>
  <c r="DY66" i="31"/>
  <c r="DX66" i="31"/>
  <c r="DW66" i="31"/>
  <c r="AM66" i="31"/>
  <c r="AL66" i="31"/>
  <c r="AK66" i="31"/>
  <c r="AJ66" i="31"/>
  <c r="AI66" i="31"/>
  <c r="AG66" i="31"/>
  <c r="AH66" i="31" s="1"/>
  <c r="C66" i="31"/>
  <c r="W44" i="31"/>
  <c r="P44" i="31"/>
  <c r="O44" i="31"/>
  <c r="N44" i="31"/>
  <c r="W42" i="31"/>
  <c r="P42" i="31"/>
  <c r="O42" i="31"/>
  <c r="N42" i="31"/>
  <c r="GM44" i="31"/>
  <c r="GK44" i="31"/>
  <c r="GJ44" i="31"/>
  <c r="GI44" i="31"/>
  <c r="GH44" i="31"/>
  <c r="GG44" i="31"/>
  <c r="GF44" i="31"/>
  <c r="GE44" i="31"/>
  <c r="GD44" i="31"/>
  <c r="GC44" i="31"/>
  <c r="GB44" i="31"/>
  <c r="GA44" i="31"/>
  <c r="FZ44" i="31"/>
  <c r="FY44" i="31"/>
  <c r="FT44" i="31"/>
  <c r="FS44" i="31"/>
  <c r="FR44" i="31"/>
  <c r="FQ44" i="31"/>
  <c r="FP44" i="31"/>
  <c r="FO44" i="31"/>
  <c r="FN44" i="31"/>
  <c r="FM44" i="31"/>
  <c r="FL44" i="31"/>
  <c r="FK44" i="31"/>
  <c r="FJ44" i="31"/>
  <c r="FI44" i="31"/>
  <c r="FH44" i="31"/>
  <c r="FG44" i="31"/>
  <c r="FF44" i="31"/>
  <c r="FE44" i="31"/>
  <c r="FD44" i="31"/>
  <c r="FC44" i="31"/>
  <c r="FB44" i="31"/>
  <c r="FA44" i="31"/>
  <c r="EZ44" i="31"/>
  <c r="EY44" i="31"/>
  <c r="EX44" i="31"/>
  <c r="EW44" i="31"/>
  <c r="EV44" i="31"/>
  <c r="ES44" i="31"/>
  <c r="ER44" i="31"/>
  <c r="EQ44" i="31"/>
  <c r="EP44" i="31"/>
  <c r="EO44" i="31"/>
  <c r="EN44" i="31"/>
  <c r="EM44" i="31"/>
  <c r="EL44" i="31"/>
  <c r="EK44" i="31"/>
  <c r="EJ44" i="31"/>
  <c r="EI44" i="31"/>
  <c r="EH44" i="31"/>
  <c r="EG44" i="31"/>
  <c r="EF44" i="31"/>
  <c r="EB44" i="31"/>
  <c r="DZ44" i="31"/>
  <c r="DY44" i="31"/>
  <c r="DW44" i="31"/>
  <c r="AM44" i="31"/>
  <c r="AL44" i="31"/>
  <c r="AK44" i="31"/>
  <c r="AJ44" i="31"/>
  <c r="AI44" i="31"/>
  <c r="AF44" i="31"/>
  <c r="AE44" i="31"/>
  <c r="AD44" i="31"/>
  <c r="C44" i="31"/>
  <c r="GM42" i="31"/>
  <c r="GK42" i="31"/>
  <c r="GJ42" i="31"/>
  <c r="GI42" i="31"/>
  <c r="GH42" i="31"/>
  <c r="GG42" i="31"/>
  <c r="GF42" i="31"/>
  <c r="GE42" i="31"/>
  <c r="GD42" i="31"/>
  <c r="GC42" i="31"/>
  <c r="GB42" i="31"/>
  <c r="GA42" i="31"/>
  <c r="FZ42" i="31"/>
  <c r="FY42" i="31"/>
  <c r="FT42" i="31"/>
  <c r="FS42" i="31"/>
  <c r="FR42" i="31"/>
  <c r="FQ42" i="31"/>
  <c r="FP42" i="31"/>
  <c r="FO42" i="31"/>
  <c r="FN42" i="31"/>
  <c r="FM42" i="31"/>
  <c r="FL42" i="31"/>
  <c r="FK42" i="31"/>
  <c r="FJ42" i="31"/>
  <c r="FI42" i="31"/>
  <c r="FH42" i="31"/>
  <c r="FG42" i="31"/>
  <c r="FF42" i="31"/>
  <c r="FE42" i="31"/>
  <c r="FD42" i="31"/>
  <c r="FC42" i="31"/>
  <c r="FB42" i="31"/>
  <c r="FA42" i="31"/>
  <c r="EZ42" i="31"/>
  <c r="EY42" i="31"/>
  <c r="EX42" i="31"/>
  <c r="EW42" i="31"/>
  <c r="EV42" i="31"/>
  <c r="ES42" i="31"/>
  <c r="ER42" i="31"/>
  <c r="EQ42" i="31"/>
  <c r="EP42" i="31"/>
  <c r="EO42" i="31"/>
  <c r="EN42" i="31"/>
  <c r="EM42" i="31"/>
  <c r="EL42" i="31"/>
  <c r="EK42" i="31"/>
  <c r="EJ42" i="31"/>
  <c r="EI42" i="31"/>
  <c r="EH42" i="31"/>
  <c r="EG42" i="31"/>
  <c r="EF42" i="31"/>
  <c r="EB42" i="31"/>
  <c r="DZ42" i="31"/>
  <c r="DY42" i="31"/>
  <c r="DW42" i="31"/>
  <c r="AM42" i="31"/>
  <c r="AL42" i="31"/>
  <c r="AK42" i="31"/>
  <c r="AJ42" i="31"/>
  <c r="AI42" i="31"/>
  <c r="AF42" i="31"/>
  <c r="AE42" i="31"/>
  <c r="AD42" i="31"/>
  <c r="C42" i="31"/>
  <c r="W39" i="31"/>
  <c r="P39" i="31"/>
  <c r="O39" i="31"/>
  <c r="N39" i="31"/>
  <c r="W37" i="31"/>
  <c r="P37" i="31"/>
  <c r="O37" i="31"/>
  <c r="N37" i="31"/>
  <c r="W35" i="31"/>
  <c r="P35" i="31"/>
  <c r="O35" i="31"/>
  <c r="N35" i="31"/>
  <c r="W33" i="31"/>
  <c r="P33" i="31"/>
  <c r="O33" i="31"/>
  <c r="N33" i="31"/>
  <c r="W31" i="31"/>
  <c r="P31" i="31"/>
  <c r="N31" i="31"/>
  <c r="O31" i="31" s="1"/>
  <c r="GM39" i="31"/>
  <c r="GK39" i="31"/>
  <c r="GJ39" i="31"/>
  <c r="GI39" i="31"/>
  <c r="GH39" i="31"/>
  <c r="GG39" i="31"/>
  <c r="GF39" i="31"/>
  <c r="GE39" i="31"/>
  <c r="GD39" i="31"/>
  <c r="GC39" i="31"/>
  <c r="GB39" i="31"/>
  <c r="GA39" i="31"/>
  <c r="FT39" i="31"/>
  <c r="FS39" i="31"/>
  <c r="FQ39" i="31"/>
  <c r="FO39" i="31"/>
  <c r="FN39" i="31"/>
  <c r="FM39" i="31"/>
  <c r="FL39" i="31"/>
  <c r="FK39" i="31"/>
  <c r="FJ39" i="31"/>
  <c r="FI39" i="31"/>
  <c r="FH39" i="31"/>
  <c r="FG39" i="31"/>
  <c r="FF39" i="31"/>
  <c r="FE39" i="31"/>
  <c r="FD39" i="31"/>
  <c r="FC39" i="31"/>
  <c r="FB39" i="31"/>
  <c r="FA39" i="31"/>
  <c r="EZ39" i="31"/>
  <c r="EY39" i="31"/>
  <c r="EX39" i="31"/>
  <c r="EW39" i="31"/>
  <c r="EV39" i="31"/>
  <c r="ES39" i="31"/>
  <c r="ER39" i="31"/>
  <c r="EQ39" i="31"/>
  <c r="EP39" i="31"/>
  <c r="EO39" i="31"/>
  <c r="EN39" i="31"/>
  <c r="EM39" i="31"/>
  <c r="EL39" i="31"/>
  <c r="EK39" i="31"/>
  <c r="EJ39" i="31"/>
  <c r="EI39" i="31"/>
  <c r="EH39" i="31"/>
  <c r="EG39" i="31"/>
  <c r="EF39" i="31"/>
  <c r="EE39" i="31"/>
  <c r="ED39" i="31"/>
  <c r="EC39" i="31"/>
  <c r="EB39" i="31"/>
  <c r="EA39" i="31"/>
  <c r="DZ39" i="31"/>
  <c r="DY39" i="31"/>
  <c r="DW39" i="31"/>
  <c r="AM39" i="31"/>
  <c r="AL39" i="31"/>
  <c r="AK39" i="31"/>
  <c r="AJ39" i="31"/>
  <c r="AI39" i="31"/>
  <c r="C39" i="31"/>
  <c r="GM37" i="31"/>
  <c r="GK37" i="31"/>
  <c r="GJ37" i="31"/>
  <c r="GI37" i="31"/>
  <c r="GH37" i="31"/>
  <c r="GG37" i="31"/>
  <c r="GF37" i="31"/>
  <c r="GE37" i="31"/>
  <c r="GD37" i="31"/>
  <c r="GC37" i="31"/>
  <c r="GB37" i="31"/>
  <c r="GA37" i="31"/>
  <c r="FT37" i="31"/>
  <c r="FS37" i="31"/>
  <c r="FQ37" i="31"/>
  <c r="FO37" i="31"/>
  <c r="FN37" i="31"/>
  <c r="FM37" i="31"/>
  <c r="FL37" i="31"/>
  <c r="FK37" i="31"/>
  <c r="FJ37" i="31"/>
  <c r="FI37" i="31"/>
  <c r="FH37" i="31"/>
  <c r="FG37" i="31"/>
  <c r="FF37" i="31"/>
  <c r="FE37" i="31"/>
  <c r="FD37" i="31"/>
  <c r="FC37" i="31"/>
  <c r="FB37" i="31"/>
  <c r="FA37" i="31"/>
  <c r="EZ37" i="31"/>
  <c r="EY37" i="31"/>
  <c r="EX37" i="31"/>
  <c r="EW37" i="31"/>
  <c r="EV37" i="31"/>
  <c r="ES37" i="31"/>
  <c r="ER37" i="31"/>
  <c r="EQ37" i="31"/>
  <c r="EP37" i="31"/>
  <c r="EO37" i="31"/>
  <c r="EN37" i="31"/>
  <c r="EM37" i="31"/>
  <c r="EL37" i="31"/>
  <c r="EK37" i="31"/>
  <c r="EJ37" i="31"/>
  <c r="EI37" i="31"/>
  <c r="EH37" i="31"/>
  <c r="EG37" i="31"/>
  <c r="EF37" i="31"/>
  <c r="EE37" i="31"/>
  <c r="ED37" i="31"/>
  <c r="EC37" i="31"/>
  <c r="EB37" i="31"/>
  <c r="EA37" i="31"/>
  <c r="DZ37" i="31"/>
  <c r="DY37" i="31"/>
  <c r="DW37" i="31"/>
  <c r="AM37" i="31"/>
  <c r="AL37" i="31"/>
  <c r="AK37" i="31"/>
  <c r="AJ37" i="31"/>
  <c r="AI37" i="31"/>
  <c r="C37" i="31"/>
  <c r="GM35" i="31"/>
  <c r="GK35" i="31"/>
  <c r="GJ35" i="31"/>
  <c r="GI35" i="31"/>
  <c r="GH35" i="31"/>
  <c r="GG35" i="31"/>
  <c r="GF35" i="31"/>
  <c r="GE35" i="31"/>
  <c r="GD35" i="31"/>
  <c r="GC35" i="31"/>
  <c r="GB35" i="31"/>
  <c r="GA35" i="31"/>
  <c r="FT35" i="31"/>
  <c r="FS35" i="31"/>
  <c r="FQ35" i="31"/>
  <c r="FO35" i="31"/>
  <c r="FN35" i="31"/>
  <c r="FM35" i="31"/>
  <c r="FL35" i="31"/>
  <c r="FK35" i="31"/>
  <c r="FJ35" i="31"/>
  <c r="FI35" i="31"/>
  <c r="FH35" i="31"/>
  <c r="FG35" i="31"/>
  <c r="FF35" i="31"/>
  <c r="FE35" i="31"/>
  <c r="FD35" i="31"/>
  <c r="FC35" i="31"/>
  <c r="FB35" i="31"/>
  <c r="FA35" i="31"/>
  <c r="EZ35" i="31"/>
  <c r="EY35" i="31"/>
  <c r="EX35" i="31"/>
  <c r="EW35" i="31"/>
  <c r="EV35" i="31"/>
  <c r="ES35" i="31"/>
  <c r="ER35" i="31"/>
  <c r="EQ35" i="31"/>
  <c r="EP35" i="31"/>
  <c r="EO35" i="31"/>
  <c r="EN35" i="31"/>
  <c r="EM35" i="31"/>
  <c r="EL35" i="31"/>
  <c r="EK35" i="31"/>
  <c r="EJ35" i="31"/>
  <c r="EI35" i="31"/>
  <c r="EH35" i="31"/>
  <c r="EG35" i="31"/>
  <c r="EF35" i="31"/>
  <c r="EE35" i="31"/>
  <c r="ED35" i="31"/>
  <c r="EC35" i="31"/>
  <c r="EB35" i="31"/>
  <c r="EA35" i="31"/>
  <c r="DZ35" i="31"/>
  <c r="DY35" i="31"/>
  <c r="DW35" i="31"/>
  <c r="AM35" i="31"/>
  <c r="AL35" i="31"/>
  <c r="AK35" i="31"/>
  <c r="AJ35" i="31"/>
  <c r="AI35" i="31"/>
  <c r="C35" i="31"/>
  <c r="GM33" i="31"/>
  <c r="GK33" i="31"/>
  <c r="GJ33" i="31"/>
  <c r="GI33" i="31"/>
  <c r="GH33" i="31"/>
  <c r="GG33" i="31"/>
  <c r="GF33" i="31"/>
  <c r="GE33" i="31"/>
  <c r="GD33" i="31"/>
  <c r="GC33" i="31"/>
  <c r="GB33" i="31"/>
  <c r="GA33" i="31"/>
  <c r="FT33" i="31"/>
  <c r="FS33" i="31"/>
  <c r="FQ33" i="31"/>
  <c r="FO33" i="31"/>
  <c r="FN33" i="31"/>
  <c r="FM33" i="31"/>
  <c r="FL33" i="31"/>
  <c r="FK33" i="31"/>
  <c r="FJ33" i="31"/>
  <c r="FI33" i="31"/>
  <c r="FH33" i="31"/>
  <c r="FG33" i="31"/>
  <c r="FF33" i="31"/>
  <c r="FE33" i="31"/>
  <c r="FD33" i="31"/>
  <c r="FC33" i="31"/>
  <c r="FB33" i="31"/>
  <c r="FA33" i="31"/>
  <c r="EZ33" i="31"/>
  <c r="EY33" i="31"/>
  <c r="EX33" i="31"/>
  <c r="EW33" i="31"/>
  <c r="EV33" i="31"/>
  <c r="ES33" i="31"/>
  <c r="ER33" i="31"/>
  <c r="EQ33" i="31"/>
  <c r="EP33" i="31"/>
  <c r="EO33" i="31"/>
  <c r="EN33" i="31"/>
  <c r="EM33" i="31"/>
  <c r="EL33" i="31"/>
  <c r="EK33" i="31"/>
  <c r="EJ33" i="31"/>
  <c r="EI33" i="31"/>
  <c r="EH33" i="31"/>
  <c r="EG33" i="31"/>
  <c r="EF33" i="31"/>
  <c r="EE33" i="31"/>
  <c r="ED33" i="31"/>
  <c r="EC33" i="31"/>
  <c r="EB33" i="31"/>
  <c r="EA33" i="31"/>
  <c r="DZ33" i="31"/>
  <c r="DY33" i="31"/>
  <c r="DW33" i="31"/>
  <c r="AM33" i="31"/>
  <c r="AL33" i="31"/>
  <c r="AK33" i="31"/>
  <c r="AJ33" i="31"/>
  <c r="AI33" i="31"/>
  <c r="C33" i="31"/>
  <c r="GM31" i="31"/>
  <c r="GK31" i="31"/>
  <c r="GJ31" i="31"/>
  <c r="GI31" i="31"/>
  <c r="GH31" i="31"/>
  <c r="GG31" i="31"/>
  <c r="GF31" i="31"/>
  <c r="GE31" i="31"/>
  <c r="GD31" i="31"/>
  <c r="GC31" i="31"/>
  <c r="GB31" i="31"/>
  <c r="GA31" i="31"/>
  <c r="FZ31" i="31"/>
  <c r="FY31" i="31"/>
  <c r="FT31" i="31"/>
  <c r="FS31" i="31"/>
  <c r="FR31" i="31"/>
  <c r="FQ31" i="31"/>
  <c r="FP31" i="31"/>
  <c r="FO31" i="31"/>
  <c r="FN31" i="31"/>
  <c r="FM31" i="31"/>
  <c r="FL31" i="31"/>
  <c r="FK31" i="31"/>
  <c r="FJ31" i="31"/>
  <c r="FI31" i="31"/>
  <c r="FH31" i="31"/>
  <c r="FG31" i="31"/>
  <c r="FF31" i="31"/>
  <c r="FE31" i="31"/>
  <c r="FD31" i="31"/>
  <c r="FC31" i="31"/>
  <c r="FB31" i="31"/>
  <c r="FA31" i="31"/>
  <c r="EZ31" i="31"/>
  <c r="EY31" i="31"/>
  <c r="EX31" i="31"/>
  <c r="EW31" i="31"/>
  <c r="EV31" i="31"/>
  <c r="ES31" i="31"/>
  <c r="ER31" i="31"/>
  <c r="EQ31" i="31"/>
  <c r="EP31" i="31"/>
  <c r="EO31" i="31"/>
  <c r="EN31" i="31"/>
  <c r="EM31" i="31"/>
  <c r="EL31" i="31"/>
  <c r="EK31" i="31"/>
  <c r="EJ31" i="31"/>
  <c r="EG31" i="31"/>
  <c r="EE31" i="31"/>
  <c r="ED31" i="31"/>
  <c r="EC31" i="31"/>
  <c r="DZ31" i="31"/>
  <c r="DY31" i="31"/>
  <c r="DW31" i="31"/>
  <c r="AM31" i="31"/>
  <c r="AL31" i="31"/>
  <c r="AK31" i="31"/>
  <c r="AJ31" i="31"/>
  <c r="AI31" i="31"/>
  <c r="AF31" i="31"/>
  <c r="AE31" i="31"/>
  <c r="C31" i="31"/>
  <c r="W29" i="31"/>
  <c r="P29" i="31"/>
  <c r="O29" i="31"/>
  <c r="N29" i="31"/>
  <c r="W27" i="31"/>
  <c r="P27" i="31"/>
  <c r="O27" i="31"/>
  <c r="N27" i="31"/>
  <c r="W25" i="31"/>
  <c r="P25" i="31"/>
  <c r="O25" i="31"/>
  <c r="N25" i="31"/>
  <c r="W23" i="31"/>
  <c r="P23" i="31"/>
  <c r="O23" i="31"/>
  <c r="N23" i="31"/>
  <c r="GM29" i="31"/>
  <c r="GK29" i="31"/>
  <c r="GJ29" i="31"/>
  <c r="GI29" i="31"/>
  <c r="GH29" i="31"/>
  <c r="GG29" i="31"/>
  <c r="GF29" i="31"/>
  <c r="GE29" i="31"/>
  <c r="GD29" i="31"/>
  <c r="GC29" i="31"/>
  <c r="GB29" i="31"/>
  <c r="GA29" i="31"/>
  <c r="FZ29" i="31"/>
  <c r="FY29" i="31"/>
  <c r="FT29" i="31"/>
  <c r="FS29" i="31"/>
  <c r="FR29" i="31"/>
  <c r="FQ29" i="31"/>
  <c r="FP29" i="31"/>
  <c r="FO29" i="31"/>
  <c r="FN29" i="31"/>
  <c r="FM29" i="31"/>
  <c r="FL29" i="31"/>
  <c r="FK29" i="31"/>
  <c r="FJ29" i="31"/>
  <c r="FI29" i="31"/>
  <c r="FH29" i="31"/>
  <c r="FG29" i="31"/>
  <c r="FF29" i="31"/>
  <c r="FE29" i="31"/>
  <c r="FD29" i="31"/>
  <c r="FC29" i="31"/>
  <c r="FB29" i="31"/>
  <c r="FA29" i="31"/>
  <c r="EZ29" i="31"/>
  <c r="EY29" i="31"/>
  <c r="EX29" i="31"/>
  <c r="EW29" i="31"/>
  <c r="EV29" i="31"/>
  <c r="ES29" i="31"/>
  <c r="ER29" i="31"/>
  <c r="EQ29" i="31"/>
  <c r="EP29" i="31"/>
  <c r="EO29" i="31"/>
  <c r="EN29" i="31"/>
  <c r="EM29" i="31"/>
  <c r="EL29" i="31"/>
  <c r="EK29" i="31"/>
  <c r="EJ29" i="31"/>
  <c r="EI29" i="31"/>
  <c r="EG29" i="31"/>
  <c r="EE29" i="31"/>
  <c r="ED29" i="31"/>
  <c r="EC29" i="31"/>
  <c r="DZ29" i="31"/>
  <c r="DY29" i="31"/>
  <c r="DW29" i="31"/>
  <c r="AM29" i="31"/>
  <c r="AL29" i="31"/>
  <c r="AK29" i="31"/>
  <c r="AJ29" i="31"/>
  <c r="AI29" i="31"/>
  <c r="AF29" i="31"/>
  <c r="AE29" i="31"/>
  <c r="C29" i="31"/>
  <c r="GM27" i="31"/>
  <c r="GK27" i="31"/>
  <c r="GJ27" i="31"/>
  <c r="GI27" i="31"/>
  <c r="GH27" i="31"/>
  <c r="GG27" i="31"/>
  <c r="GF27" i="31"/>
  <c r="GE27" i="31"/>
  <c r="GD27" i="31"/>
  <c r="GC27" i="31"/>
  <c r="GB27" i="31"/>
  <c r="GA27" i="31"/>
  <c r="FZ27" i="31"/>
  <c r="FY27" i="31"/>
  <c r="FT27" i="31"/>
  <c r="FS27" i="31"/>
  <c r="FR27" i="31"/>
  <c r="FQ27" i="31"/>
  <c r="FP27" i="31"/>
  <c r="FO27" i="31"/>
  <c r="FN27" i="31"/>
  <c r="FM27" i="31"/>
  <c r="FL27" i="31"/>
  <c r="FK27" i="31"/>
  <c r="FJ27" i="31"/>
  <c r="FI27" i="31"/>
  <c r="FH27" i="31"/>
  <c r="FG27" i="31"/>
  <c r="FF27" i="31"/>
  <c r="FE27" i="31"/>
  <c r="FD27" i="31"/>
  <c r="FC27" i="31"/>
  <c r="FB27" i="31"/>
  <c r="FA27" i="31"/>
  <c r="EZ27" i="31"/>
  <c r="EY27" i="31"/>
  <c r="EX27" i="31"/>
  <c r="EW27" i="31"/>
  <c r="EV27" i="31"/>
  <c r="ES27" i="31"/>
  <c r="ER27" i="31"/>
  <c r="EQ27" i="31"/>
  <c r="EP27" i="31"/>
  <c r="EO27" i="31"/>
  <c r="EN27" i="31"/>
  <c r="EM27" i="31"/>
  <c r="EL27" i="31"/>
  <c r="EK27" i="31"/>
  <c r="EJ27" i="31"/>
  <c r="EG27" i="31"/>
  <c r="EE27" i="31"/>
  <c r="ED27" i="31"/>
  <c r="EC27" i="31"/>
  <c r="DZ27" i="31"/>
  <c r="DY27" i="31"/>
  <c r="DW27" i="31"/>
  <c r="AM27" i="31"/>
  <c r="AL27" i="31"/>
  <c r="AK27" i="31"/>
  <c r="AJ27" i="31"/>
  <c r="AI27" i="31"/>
  <c r="AF27" i="31"/>
  <c r="AE27" i="31"/>
  <c r="C27" i="31"/>
  <c r="GM25" i="31"/>
  <c r="GK25" i="31"/>
  <c r="GJ25" i="31"/>
  <c r="GI25" i="31"/>
  <c r="GH25" i="31"/>
  <c r="GG25" i="31"/>
  <c r="GF25" i="31"/>
  <c r="GE25" i="31"/>
  <c r="GD25" i="31"/>
  <c r="GC25" i="31"/>
  <c r="GB25" i="31"/>
  <c r="GA25" i="31"/>
  <c r="FZ25" i="31"/>
  <c r="FY25" i="31"/>
  <c r="FT25" i="31"/>
  <c r="FS25" i="31"/>
  <c r="FR25" i="31"/>
  <c r="FQ25" i="31"/>
  <c r="FP25" i="31"/>
  <c r="FO25" i="31"/>
  <c r="FN25" i="31"/>
  <c r="FM25" i="31"/>
  <c r="FL25" i="31"/>
  <c r="FK25" i="31"/>
  <c r="FJ25" i="31"/>
  <c r="FI25" i="31"/>
  <c r="FH25" i="31"/>
  <c r="FG25" i="31"/>
  <c r="FF25" i="31"/>
  <c r="FE25" i="31"/>
  <c r="FD25" i="31"/>
  <c r="FC25" i="31"/>
  <c r="FB25" i="31"/>
  <c r="FA25" i="31"/>
  <c r="EZ25" i="31"/>
  <c r="EY25" i="31"/>
  <c r="EX25" i="31"/>
  <c r="EW25" i="31"/>
  <c r="EV25" i="31"/>
  <c r="ES25" i="31"/>
  <c r="ER25" i="31"/>
  <c r="EQ25" i="31"/>
  <c r="EP25" i="31"/>
  <c r="EO25" i="31"/>
  <c r="EN25" i="31"/>
  <c r="EM25" i="31"/>
  <c r="EL25" i="31"/>
  <c r="EK25" i="31"/>
  <c r="EJ25" i="31"/>
  <c r="EI25" i="31"/>
  <c r="EG25" i="31"/>
  <c r="EE25" i="31"/>
  <c r="ED25" i="31"/>
  <c r="EC25" i="31"/>
  <c r="DZ25" i="31"/>
  <c r="DY25" i="31"/>
  <c r="DW25" i="31"/>
  <c r="AM25" i="31"/>
  <c r="AL25" i="31"/>
  <c r="AK25" i="31"/>
  <c r="AJ25" i="31"/>
  <c r="AI25" i="31"/>
  <c r="AF25" i="31"/>
  <c r="AE25" i="31"/>
  <c r="C25" i="31"/>
  <c r="GM23" i="31"/>
  <c r="GK23" i="31"/>
  <c r="GJ23" i="31"/>
  <c r="GI23" i="31"/>
  <c r="GH23" i="31"/>
  <c r="GG23" i="31"/>
  <c r="GF23" i="31"/>
  <c r="GE23" i="31"/>
  <c r="GD23" i="31"/>
  <c r="GC23" i="31"/>
  <c r="GB23" i="31"/>
  <c r="GA23" i="31"/>
  <c r="FZ23" i="31"/>
  <c r="FY23" i="31"/>
  <c r="FT23" i="31"/>
  <c r="FS23" i="31"/>
  <c r="FR23" i="31"/>
  <c r="FQ23" i="31"/>
  <c r="FP23" i="31"/>
  <c r="FO23" i="31"/>
  <c r="FN23" i="31"/>
  <c r="FM23" i="31"/>
  <c r="FL23" i="31"/>
  <c r="FK23" i="31"/>
  <c r="FJ23" i="31"/>
  <c r="FI23" i="31"/>
  <c r="FH23" i="31"/>
  <c r="FG23" i="31"/>
  <c r="FF23" i="31"/>
  <c r="FE23" i="31"/>
  <c r="FD23" i="31"/>
  <c r="FC23" i="31"/>
  <c r="FB23" i="31"/>
  <c r="FA23" i="31"/>
  <c r="EZ23" i="31"/>
  <c r="EY23" i="31"/>
  <c r="EX23" i="31"/>
  <c r="EW23" i="31"/>
  <c r="EV23" i="31"/>
  <c r="ES23" i="31"/>
  <c r="ER23" i="31"/>
  <c r="EQ23" i="31"/>
  <c r="EP23" i="31"/>
  <c r="EO23" i="31"/>
  <c r="EN23" i="31"/>
  <c r="EM23" i="31"/>
  <c r="EL23" i="31"/>
  <c r="EK23" i="31"/>
  <c r="EG23" i="31"/>
  <c r="EE23" i="31"/>
  <c r="ED23" i="31"/>
  <c r="EC23" i="31"/>
  <c r="DZ23" i="31"/>
  <c r="DY23" i="31"/>
  <c r="DW23" i="31"/>
  <c r="AM23" i="31"/>
  <c r="AL23" i="31"/>
  <c r="AK23" i="31"/>
  <c r="AJ23" i="31"/>
  <c r="AI23" i="31"/>
  <c r="AF23" i="31"/>
  <c r="AE23" i="31"/>
  <c r="C23" i="31"/>
  <c r="W19" i="31"/>
  <c r="P19" i="31"/>
  <c r="O19" i="31"/>
  <c r="N19" i="31"/>
  <c r="W17" i="31"/>
  <c r="P17" i="31"/>
  <c r="O17" i="31"/>
  <c r="N17" i="31"/>
  <c r="W15" i="31"/>
  <c r="P15" i="31"/>
  <c r="O15" i="31"/>
  <c r="N15" i="31"/>
  <c r="W13" i="31"/>
  <c r="P13" i="31"/>
  <c r="O13" i="31"/>
  <c r="N13" i="31"/>
  <c r="W11" i="31"/>
  <c r="P11" i="31"/>
  <c r="O11" i="31"/>
  <c r="AT11" i="31" s="1"/>
  <c r="AU11" i="31" s="1"/>
  <c r="N11" i="31"/>
  <c r="GM19" i="31"/>
  <c r="GK19" i="31"/>
  <c r="GJ19" i="31"/>
  <c r="GI19" i="31"/>
  <c r="GH19" i="31"/>
  <c r="GG19" i="31"/>
  <c r="GF19" i="31"/>
  <c r="GE19" i="31"/>
  <c r="GD19" i="31"/>
  <c r="GC19" i="31"/>
  <c r="GB19" i="31"/>
  <c r="GA19" i="31"/>
  <c r="FZ19" i="31"/>
  <c r="FY19" i="31"/>
  <c r="FT19" i="31"/>
  <c r="FS19" i="31"/>
  <c r="FR19" i="31"/>
  <c r="FQ19" i="31"/>
  <c r="FP19" i="31"/>
  <c r="FO19" i="31"/>
  <c r="FN19" i="31"/>
  <c r="FM19" i="31"/>
  <c r="FL19" i="31"/>
  <c r="FK19" i="31"/>
  <c r="FJ19" i="31"/>
  <c r="FI19" i="31"/>
  <c r="FH19" i="31"/>
  <c r="FG19" i="31"/>
  <c r="FF19" i="31"/>
  <c r="FE19" i="31"/>
  <c r="FD19" i="31"/>
  <c r="FC19" i="31"/>
  <c r="FB19" i="31"/>
  <c r="FA19" i="31"/>
  <c r="EZ19" i="31"/>
  <c r="EY19" i="31"/>
  <c r="EX19" i="31"/>
  <c r="EW19" i="31"/>
  <c r="EV19" i="31"/>
  <c r="ES19" i="31"/>
  <c r="ER19" i="31"/>
  <c r="EQ19" i="31"/>
  <c r="EP19" i="31"/>
  <c r="EO19" i="31"/>
  <c r="EN19" i="31"/>
  <c r="EM19" i="31"/>
  <c r="EG19" i="31"/>
  <c r="EE19" i="31"/>
  <c r="ED19" i="31"/>
  <c r="EC19" i="31"/>
  <c r="DZ19" i="31"/>
  <c r="DY19" i="31"/>
  <c r="DW19" i="31"/>
  <c r="AM19" i="31"/>
  <c r="AL19" i="31"/>
  <c r="AK19" i="31"/>
  <c r="AJ19" i="31"/>
  <c r="AI19" i="31"/>
  <c r="AF19" i="31"/>
  <c r="AE19" i="31"/>
  <c r="C19" i="31"/>
  <c r="GM17" i="31"/>
  <c r="GK17" i="31"/>
  <c r="GJ17" i="31"/>
  <c r="GI17" i="31"/>
  <c r="GH17" i="31"/>
  <c r="GG17" i="31"/>
  <c r="GF17" i="31"/>
  <c r="GE17" i="31"/>
  <c r="GD17" i="31"/>
  <c r="GC17" i="31"/>
  <c r="GB17" i="31"/>
  <c r="GA17" i="31"/>
  <c r="FZ17" i="31"/>
  <c r="FY17" i="31"/>
  <c r="FT17" i="31"/>
  <c r="FS17" i="31"/>
  <c r="FR17" i="31"/>
  <c r="FQ17" i="31"/>
  <c r="FP17" i="31"/>
  <c r="FO17" i="31"/>
  <c r="FN17" i="31"/>
  <c r="FM17" i="31"/>
  <c r="FL17" i="31"/>
  <c r="FK17" i="31"/>
  <c r="FJ17" i="31"/>
  <c r="FI17" i="31"/>
  <c r="FH17" i="31"/>
  <c r="FG17" i="31"/>
  <c r="FF17" i="31"/>
  <c r="FE17" i="31"/>
  <c r="FD17" i="31"/>
  <c r="FC17" i="31"/>
  <c r="FB17" i="31"/>
  <c r="FA17" i="31"/>
  <c r="EZ17" i="31"/>
  <c r="EY17" i="31"/>
  <c r="EX17" i="31"/>
  <c r="EW17" i="31"/>
  <c r="ES17" i="31"/>
  <c r="EQ17" i="31"/>
  <c r="EP17" i="31"/>
  <c r="EM17" i="31"/>
  <c r="EL17" i="31"/>
  <c r="EK17" i="31"/>
  <c r="EJ17" i="31"/>
  <c r="EI17" i="31"/>
  <c r="EH17" i="31"/>
  <c r="EG17" i="31"/>
  <c r="EE17" i="31"/>
  <c r="ED17" i="31"/>
  <c r="EC17" i="31"/>
  <c r="DZ17" i="31"/>
  <c r="DY17" i="31"/>
  <c r="DW17" i="31"/>
  <c r="AM17" i="31"/>
  <c r="AL17" i="31"/>
  <c r="AK17" i="31"/>
  <c r="AJ17" i="31"/>
  <c r="AI17" i="31"/>
  <c r="AF17" i="31"/>
  <c r="AE17" i="31"/>
  <c r="C17" i="31"/>
  <c r="GM15" i="31"/>
  <c r="GK15" i="31"/>
  <c r="GJ15" i="31"/>
  <c r="GI15" i="31"/>
  <c r="GH15" i="31"/>
  <c r="GG15" i="31"/>
  <c r="GF15" i="31"/>
  <c r="GE15" i="31"/>
  <c r="GD15" i="31"/>
  <c r="GC15" i="31"/>
  <c r="GB15" i="31"/>
  <c r="GA15" i="31"/>
  <c r="FZ15" i="31"/>
  <c r="FY15" i="31"/>
  <c r="FT15" i="31"/>
  <c r="FS15" i="31"/>
  <c r="FR15" i="31"/>
  <c r="FQ15" i="31"/>
  <c r="FP15" i="31"/>
  <c r="FO15" i="31"/>
  <c r="FN15" i="31"/>
  <c r="FM15" i="31"/>
  <c r="FL15" i="31"/>
  <c r="FK15" i="31"/>
  <c r="FJ15" i="31"/>
  <c r="FI15" i="31"/>
  <c r="FH15" i="31"/>
  <c r="FG15" i="31"/>
  <c r="FF15" i="31"/>
  <c r="FE15" i="31"/>
  <c r="FD15" i="31"/>
  <c r="FC15" i="31"/>
  <c r="FB15" i="31"/>
  <c r="FA15" i="31"/>
  <c r="EZ15" i="31"/>
  <c r="EY15" i="31"/>
  <c r="EX15" i="31"/>
  <c r="EW15" i="31"/>
  <c r="ES15" i="31"/>
  <c r="EQ15" i="31"/>
  <c r="EP15" i="31"/>
  <c r="EM15" i="31"/>
  <c r="EL15" i="31"/>
  <c r="EK15" i="31"/>
  <c r="EJ15" i="31"/>
  <c r="EI15" i="31"/>
  <c r="EH15" i="31"/>
  <c r="EG15" i="31"/>
  <c r="EE15" i="31"/>
  <c r="ED15" i="31"/>
  <c r="EC15" i="31"/>
  <c r="DZ15" i="31"/>
  <c r="DY15" i="31"/>
  <c r="DW15" i="31"/>
  <c r="AM15" i="31"/>
  <c r="AL15" i="31"/>
  <c r="AK15" i="31"/>
  <c r="AJ15" i="31"/>
  <c r="AI15" i="31"/>
  <c r="AF15" i="31"/>
  <c r="AE15" i="31"/>
  <c r="C15" i="31"/>
  <c r="GM13" i="31"/>
  <c r="GK13" i="31"/>
  <c r="GJ13" i="31"/>
  <c r="GI13" i="31"/>
  <c r="GH13" i="31"/>
  <c r="GG13" i="31"/>
  <c r="GF13" i="31"/>
  <c r="GE13" i="31"/>
  <c r="GD13" i="31"/>
  <c r="GC13" i="31"/>
  <c r="GB13" i="31"/>
  <c r="GA13" i="31"/>
  <c r="FZ13" i="31"/>
  <c r="FY13" i="31"/>
  <c r="FT13" i="31"/>
  <c r="FS13" i="31"/>
  <c r="FR13" i="31"/>
  <c r="FQ13" i="31"/>
  <c r="FP13" i="31"/>
  <c r="FO13" i="31"/>
  <c r="FN13" i="31"/>
  <c r="FM13" i="31"/>
  <c r="FL13" i="31"/>
  <c r="FK13" i="31"/>
  <c r="FJ13" i="31"/>
  <c r="FI13" i="31"/>
  <c r="FH13" i="31"/>
  <c r="FG13" i="31"/>
  <c r="FF13" i="31"/>
  <c r="FE13" i="31"/>
  <c r="FD13" i="31"/>
  <c r="FC13" i="31"/>
  <c r="FB13" i="31"/>
  <c r="FA13" i="31"/>
  <c r="EZ13" i="31"/>
  <c r="EY13" i="31"/>
  <c r="EX13" i="31"/>
  <c r="EW13" i="31"/>
  <c r="ES13" i="31"/>
  <c r="EQ13" i="31"/>
  <c r="EP13" i="31"/>
  <c r="EM13" i="31"/>
  <c r="EL13" i="31"/>
  <c r="EK13" i="31"/>
  <c r="EJ13" i="31"/>
  <c r="EI13" i="31"/>
  <c r="EH13" i="31"/>
  <c r="EG13" i="31"/>
  <c r="EE13" i="31"/>
  <c r="ED13" i="31"/>
  <c r="EC13" i="31"/>
  <c r="DZ13" i="31"/>
  <c r="DY13" i="31"/>
  <c r="DW13" i="31"/>
  <c r="AM13" i="31"/>
  <c r="AL13" i="31"/>
  <c r="AK13" i="31"/>
  <c r="AJ13" i="31"/>
  <c r="AI13" i="31"/>
  <c r="AF13" i="31"/>
  <c r="AE13" i="31"/>
  <c r="C13" i="31"/>
  <c r="GM11" i="31"/>
  <c r="GK11" i="31"/>
  <c r="GJ11" i="31"/>
  <c r="GI11" i="31"/>
  <c r="GH11" i="31"/>
  <c r="GG11" i="31"/>
  <c r="GF11" i="31"/>
  <c r="GE11" i="31"/>
  <c r="GD11" i="31"/>
  <c r="GC11" i="31"/>
  <c r="GB11" i="31"/>
  <c r="GA11" i="31"/>
  <c r="FZ11" i="31"/>
  <c r="FY11" i="31"/>
  <c r="FT11" i="31"/>
  <c r="FS11" i="31"/>
  <c r="FR11" i="31"/>
  <c r="FQ11" i="31"/>
  <c r="FP11" i="31"/>
  <c r="FO11" i="31"/>
  <c r="FN11" i="31"/>
  <c r="FM11" i="31"/>
  <c r="FL11" i="31"/>
  <c r="FK11" i="31"/>
  <c r="FJ11" i="31"/>
  <c r="FI11" i="31"/>
  <c r="FH11" i="31"/>
  <c r="FG11" i="31"/>
  <c r="FF11" i="31"/>
  <c r="FE11" i="31"/>
  <c r="FD11" i="31"/>
  <c r="FC11" i="31"/>
  <c r="FB11" i="31"/>
  <c r="FA11" i="31"/>
  <c r="EZ11" i="31"/>
  <c r="EY11" i="31"/>
  <c r="EX11" i="31"/>
  <c r="EW11" i="31"/>
  <c r="ES11" i="31"/>
  <c r="EQ11" i="31"/>
  <c r="EP11" i="31"/>
  <c r="EM11" i="31"/>
  <c r="EL11" i="31"/>
  <c r="EK11" i="31"/>
  <c r="EJ11" i="31"/>
  <c r="EI11" i="31"/>
  <c r="EH11" i="31"/>
  <c r="EG11" i="31"/>
  <c r="EE11" i="31"/>
  <c r="ED11" i="31"/>
  <c r="EC11" i="31"/>
  <c r="DZ11" i="31"/>
  <c r="DY11" i="31"/>
  <c r="DW11" i="31"/>
  <c r="C11" i="31"/>
  <c r="W11" i="39"/>
  <c r="BB11" i="39" s="1"/>
  <c r="S11" i="39"/>
  <c r="P11" i="39"/>
  <c r="O11" i="39"/>
  <c r="N11" i="39"/>
  <c r="W9" i="39"/>
  <c r="X9" i="39" s="1"/>
  <c r="S9" i="39"/>
  <c r="P9" i="39"/>
  <c r="O9" i="39"/>
  <c r="N9" i="39"/>
  <c r="FR11" i="39"/>
  <c r="FP11" i="39"/>
  <c r="FO11" i="39"/>
  <c r="FN11" i="39"/>
  <c r="FM11" i="39"/>
  <c r="FL11" i="39"/>
  <c r="FK11" i="39"/>
  <c r="FJ11" i="39"/>
  <c r="FI11" i="39"/>
  <c r="FH11" i="39"/>
  <c r="FG11" i="39"/>
  <c r="FF11" i="39"/>
  <c r="FE11" i="39"/>
  <c r="FD11" i="39"/>
  <c r="FC11" i="39"/>
  <c r="FB11" i="39"/>
  <c r="FA11" i="39"/>
  <c r="EZ11" i="39"/>
  <c r="EY11" i="39"/>
  <c r="EX11" i="39"/>
  <c r="EW11" i="39"/>
  <c r="EV11" i="39"/>
  <c r="EU11" i="39"/>
  <c r="ES11" i="39"/>
  <c r="ER11" i="39"/>
  <c r="EQ11" i="39"/>
  <c r="EP11" i="39"/>
  <c r="EO11" i="39"/>
  <c r="EN11" i="39"/>
  <c r="EM11" i="39"/>
  <c r="EL11" i="39"/>
  <c r="EK11" i="39"/>
  <c r="EJ11" i="39"/>
  <c r="EI11" i="39"/>
  <c r="EH11" i="39"/>
  <c r="EF11" i="39"/>
  <c r="EE11" i="39"/>
  <c r="ED11" i="39"/>
  <c r="EC11" i="39"/>
  <c r="EB11" i="39"/>
  <c r="EA11" i="39"/>
  <c r="DZ11" i="39"/>
  <c r="DY11" i="39"/>
  <c r="DX11" i="39"/>
  <c r="DW11" i="39"/>
  <c r="AM11" i="39"/>
  <c r="AL11" i="39"/>
  <c r="AK11" i="39"/>
  <c r="AJ11" i="39"/>
  <c r="AI11" i="39"/>
  <c r="AD11" i="39"/>
  <c r="AC11" i="39"/>
  <c r="C11" i="39"/>
  <c r="FR9" i="39"/>
  <c r="FP9" i="39"/>
  <c r="FO9" i="39"/>
  <c r="FN9" i="39"/>
  <c r="FM9" i="39"/>
  <c r="FL9" i="39"/>
  <c r="FK9" i="39"/>
  <c r="FJ9" i="39"/>
  <c r="FI9" i="39"/>
  <c r="FH9" i="39"/>
  <c r="FG9" i="39"/>
  <c r="FF9" i="39"/>
  <c r="FE9" i="39"/>
  <c r="FD9" i="39"/>
  <c r="FC9" i="39"/>
  <c r="FB9" i="39"/>
  <c r="FA9" i="39"/>
  <c r="EZ9" i="39"/>
  <c r="EY9" i="39"/>
  <c r="EX9" i="39"/>
  <c r="EW9" i="39"/>
  <c r="EV9" i="39"/>
  <c r="EU9" i="39"/>
  <c r="ES9" i="39"/>
  <c r="ER9" i="39"/>
  <c r="EQ9" i="39"/>
  <c r="EP9" i="39"/>
  <c r="EO9" i="39"/>
  <c r="EN9" i="39"/>
  <c r="EM9" i="39"/>
  <c r="EL9" i="39"/>
  <c r="EK9" i="39"/>
  <c r="EJ9" i="39"/>
  <c r="EI9" i="39"/>
  <c r="EH9" i="39"/>
  <c r="EF9" i="39"/>
  <c r="EE9" i="39"/>
  <c r="ED9" i="39"/>
  <c r="EC9" i="39"/>
  <c r="EB9" i="39"/>
  <c r="EA9" i="39"/>
  <c r="DZ9" i="39"/>
  <c r="DY9" i="39"/>
  <c r="DX9" i="39"/>
  <c r="DW9" i="39"/>
  <c r="AM9" i="39"/>
  <c r="AL9" i="39"/>
  <c r="AK9" i="39"/>
  <c r="AJ9" i="39"/>
  <c r="AI9" i="39"/>
  <c r="AD9" i="39"/>
  <c r="AG9" i="39" s="1"/>
  <c r="AH9" i="39" s="1"/>
  <c r="C9" i="39"/>
  <c r="W93" i="39"/>
  <c r="AA93" i="39" s="1"/>
  <c r="S93" i="39"/>
  <c r="P93" i="39"/>
  <c r="O93" i="39"/>
  <c r="N93" i="39"/>
  <c r="W89" i="39"/>
  <c r="AA89" i="39" s="1"/>
  <c r="S89" i="39"/>
  <c r="P89" i="39"/>
  <c r="O89" i="39"/>
  <c r="N89" i="39"/>
  <c r="FT93" i="39"/>
  <c r="FR93" i="39"/>
  <c r="FQ93" i="39"/>
  <c r="FP93" i="39"/>
  <c r="FO93" i="39"/>
  <c r="FN93" i="39"/>
  <c r="FM93" i="39"/>
  <c r="FL93" i="39"/>
  <c r="FK93" i="39"/>
  <c r="FJ93" i="39"/>
  <c r="FI93" i="39"/>
  <c r="FH93" i="39"/>
  <c r="FG93" i="39"/>
  <c r="FF93" i="39"/>
  <c r="FE93" i="39"/>
  <c r="FD93" i="39"/>
  <c r="FC93" i="39"/>
  <c r="FB93" i="39"/>
  <c r="FA93" i="39"/>
  <c r="EZ93" i="39"/>
  <c r="EY93" i="39"/>
  <c r="EX93" i="39"/>
  <c r="EW93" i="39"/>
  <c r="EV93" i="39"/>
  <c r="EU93" i="39"/>
  <c r="ES93" i="39"/>
  <c r="ER93" i="39"/>
  <c r="EQ93" i="39"/>
  <c r="EP93" i="39"/>
  <c r="EO93" i="39"/>
  <c r="EN93" i="39"/>
  <c r="EM93" i="39"/>
  <c r="EL93" i="39"/>
  <c r="EK93" i="39"/>
  <c r="EJ93" i="39"/>
  <c r="EI93" i="39"/>
  <c r="EH93" i="39"/>
  <c r="EG93" i="39"/>
  <c r="EF93" i="39"/>
  <c r="EE93" i="39"/>
  <c r="ED93" i="39"/>
  <c r="EC93" i="39"/>
  <c r="EB93" i="39"/>
  <c r="EA93" i="39"/>
  <c r="DZ93" i="39"/>
  <c r="DY93" i="39"/>
  <c r="DX93" i="39"/>
  <c r="DW93" i="39"/>
  <c r="AM93" i="39"/>
  <c r="AL93" i="39"/>
  <c r="AK93" i="39"/>
  <c r="AJ93" i="39"/>
  <c r="AI93" i="39"/>
  <c r="AD93" i="39"/>
  <c r="AC93" i="39"/>
  <c r="C93" i="39"/>
  <c r="FT89" i="39"/>
  <c r="FR89" i="39"/>
  <c r="FQ89" i="39"/>
  <c r="FP89" i="39"/>
  <c r="FO89" i="39"/>
  <c r="FN89" i="39"/>
  <c r="FM89" i="39"/>
  <c r="FL89" i="39"/>
  <c r="FK89" i="39"/>
  <c r="FJ89" i="39"/>
  <c r="FI89" i="39"/>
  <c r="FH89" i="39"/>
  <c r="FG89" i="39"/>
  <c r="FF89" i="39"/>
  <c r="FE89" i="39"/>
  <c r="FD89" i="39"/>
  <c r="FC89" i="39"/>
  <c r="FB89" i="39"/>
  <c r="FA89" i="39"/>
  <c r="EZ89" i="39"/>
  <c r="EY89" i="39"/>
  <c r="EX89" i="39"/>
  <c r="EW89" i="39"/>
  <c r="EV89" i="39"/>
  <c r="EU89" i="39"/>
  <c r="ES89" i="39"/>
  <c r="ER89" i="39"/>
  <c r="EQ89" i="39"/>
  <c r="EP89" i="39"/>
  <c r="EO89" i="39"/>
  <c r="EN89" i="39"/>
  <c r="EM89" i="39"/>
  <c r="EL89" i="39"/>
  <c r="EK89" i="39"/>
  <c r="EJ89" i="39"/>
  <c r="EI89" i="39"/>
  <c r="EH89" i="39"/>
  <c r="EG89" i="39"/>
  <c r="EF89" i="39"/>
  <c r="EE89" i="39"/>
  <c r="ED89" i="39"/>
  <c r="EC89" i="39"/>
  <c r="EB89" i="39"/>
  <c r="EA89" i="39"/>
  <c r="DZ89" i="39"/>
  <c r="DY89" i="39"/>
  <c r="DX89" i="39"/>
  <c r="DW89" i="39"/>
  <c r="AM89" i="39"/>
  <c r="AL89" i="39"/>
  <c r="AK89" i="39"/>
  <c r="AJ89" i="39"/>
  <c r="AI89" i="39"/>
  <c r="AD89" i="39"/>
  <c r="AC89" i="39"/>
  <c r="C89" i="39"/>
  <c r="W40" i="39"/>
  <c r="X40" i="39" s="1"/>
  <c r="S40" i="39"/>
  <c r="P40" i="39"/>
  <c r="O40" i="39"/>
  <c r="N40" i="39"/>
  <c r="W38" i="39"/>
  <c r="BB38" i="39" s="1"/>
  <c r="S38" i="39"/>
  <c r="P38" i="39"/>
  <c r="O38" i="39"/>
  <c r="N38" i="39"/>
  <c r="W36" i="39"/>
  <c r="BB36" i="39" s="1"/>
  <c r="S36" i="39"/>
  <c r="P36" i="39"/>
  <c r="O36" i="39"/>
  <c r="N36" i="39"/>
  <c r="W34" i="39"/>
  <c r="X34" i="39" s="1"/>
  <c r="S34" i="39"/>
  <c r="P34" i="39"/>
  <c r="O34" i="39"/>
  <c r="N34" i="39"/>
  <c r="W32" i="39"/>
  <c r="AB32" i="39" s="1"/>
  <c r="S32" i="39"/>
  <c r="P32" i="39"/>
  <c r="O32" i="39"/>
  <c r="N32" i="39"/>
  <c r="FT40" i="39"/>
  <c r="FR40" i="39"/>
  <c r="FQ40" i="39"/>
  <c r="FP40" i="39"/>
  <c r="FO40" i="39"/>
  <c r="FN40" i="39"/>
  <c r="FM40" i="39"/>
  <c r="FL40" i="39"/>
  <c r="FK40" i="39"/>
  <c r="FJ40" i="39"/>
  <c r="FI40" i="39"/>
  <c r="FH40" i="39"/>
  <c r="FG40" i="39"/>
  <c r="FF40" i="39"/>
  <c r="FE40" i="39"/>
  <c r="FD40" i="39"/>
  <c r="FC40" i="39"/>
  <c r="FB40" i="39"/>
  <c r="FA40" i="39"/>
  <c r="EZ40" i="39"/>
  <c r="EY40" i="39"/>
  <c r="EX40" i="39"/>
  <c r="EW40" i="39"/>
  <c r="EV40" i="39"/>
  <c r="EU40" i="39"/>
  <c r="ES40" i="39"/>
  <c r="ER40" i="39"/>
  <c r="EQ40" i="39"/>
  <c r="EP40" i="39"/>
  <c r="EO40" i="39"/>
  <c r="EN40" i="39"/>
  <c r="EM40" i="39"/>
  <c r="EL40" i="39"/>
  <c r="EK40" i="39"/>
  <c r="EJ40" i="39"/>
  <c r="EI40" i="39"/>
  <c r="EH40" i="39"/>
  <c r="EG40" i="39"/>
  <c r="EF40" i="39"/>
  <c r="EE40" i="39"/>
  <c r="ED40" i="39"/>
  <c r="EC40" i="39"/>
  <c r="EB40" i="39"/>
  <c r="EA40" i="39"/>
  <c r="DZ40" i="39"/>
  <c r="DY40" i="39"/>
  <c r="DX40" i="39"/>
  <c r="DW40" i="39"/>
  <c r="AM40" i="39"/>
  <c r="AL40" i="39"/>
  <c r="AK40" i="39"/>
  <c r="AJ40" i="39"/>
  <c r="AI40" i="39"/>
  <c r="AD40" i="39"/>
  <c r="AC40" i="39"/>
  <c r="C40" i="39"/>
  <c r="FT38" i="39"/>
  <c r="FR38" i="39"/>
  <c r="FQ38" i="39"/>
  <c r="FP38" i="39"/>
  <c r="FO38" i="39"/>
  <c r="FN38" i="39"/>
  <c r="FM38" i="39"/>
  <c r="FL38" i="39"/>
  <c r="FK38" i="39"/>
  <c r="FJ38" i="39"/>
  <c r="FI38" i="39"/>
  <c r="FH38" i="39"/>
  <c r="FG38" i="39"/>
  <c r="FF38" i="39"/>
  <c r="FE38" i="39"/>
  <c r="FD38" i="39"/>
  <c r="FC38" i="39"/>
  <c r="FB38" i="39"/>
  <c r="FA38" i="39"/>
  <c r="EZ38" i="39"/>
  <c r="EY38" i="39"/>
  <c r="EX38" i="39"/>
  <c r="EW38" i="39"/>
  <c r="EV38" i="39"/>
  <c r="EU38" i="39"/>
  <c r="ES38" i="39"/>
  <c r="ER38" i="39"/>
  <c r="EQ38" i="39"/>
  <c r="EP38" i="39"/>
  <c r="EO38" i="39"/>
  <c r="EN38" i="39"/>
  <c r="EM38" i="39"/>
  <c r="EL38" i="39"/>
  <c r="EK38" i="39"/>
  <c r="EJ38" i="39"/>
  <c r="EI38" i="39"/>
  <c r="EH38" i="39"/>
  <c r="EG38" i="39"/>
  <c r="EF38" i="39"/>
  <c r="EE38" i="39"/>
  <c r="ED38" i="39"/>
  <c r="EC38" i="39"/>
  <c r="EB38" i="39"/>
  <c r="EA38" i="39"/>
  <c r="DZ38" i="39"/>
  <c r="DY38" i="39"/>
  <c r="DX38" i="39"/>
  <c r="DW38" i="39"/>
  <c r="AM38" i="39"/>
  <c r="AL38" i="39"/>
  <c r="AK38" i="39"/>
  <c r="AJ38" i="39"/>
  <c r="AI38" i="39"/>
  <c r="AD38" i="39"/>
  <c r="C38" i="39"/>
  <c r="FT36" i="39"/>
  <c r="FR36" i="39"/>
  <c r="FQ36" i="39"/>
  <c r="FP36" i="39"/>
  <c r="FO36" i="39"/>
  <c r="FN36" i="39"/>
  <c r="FM36" i="39"/>
  <c r="FL36" i="39"/>
  <c r="FK36" i="39"/>
  <c r="FJ36" i="39"/>
  <c r="FI36" i="39"/>
  <c r="FH36" i="39"/>
  <c r="FG36" i="39"/>
  <c r="FF36" i="39"/>
  <c r="FE36" i="39"/>
  <c r="FD36" i="39"/>
  <c r="FC36" i="39"/>
  <c r="FB36" i="39"/>
  <c r="FA36" i="39"/>
  <c r="EZ36" i="39"/>
  <c r="EY36" i="39"/>
  <c r="EX36" i="39"/>
  <c r="EW36" i="39"/>
  <c r="EV36" i="39"/>
  <c r="EU36" i="39"/>
  <c r="ES36" i="39"/>
  <c r="ER36" i="39"/>
  <c r="EQ36" i="39"/>
  <c r="EP36" i="39"/>
  <c r="EO36" i="39"/>
  <c r="EN36" i="39"/>
  <c r="EM36" i="39"/>
  <c r="EL36" i="39"/>
  <c r="EK36" i="39"/>
  <c r="EJ36" i="39"/>
  <c r="EI36" i="39"/>
  <c r="EH36" i="39"/>
  <c r="EG36" i="39"/>
  <c r="EF36" i="39"/>
  <c r="EE36" i="39"/>
  <c r="ED36" i="39"/>
  <c r="EC36" i="39"/>
  <c r="EB36" i="39"/>
  <c r="EA36" i="39"/>
  <c r="DZ36" i="39"/>
  <c r="DY36" i="39"/>
  <c r="DX36" i="39"/>
  <c r="DW36" i="39"/>
  <c r="AM36" i="39"/>
  <c r="AL36" i="39"/>
  <c r="AK36" i="39"/>
  <c r="AJ36" i="39"/>
  <c r="AI36" i="39"/>
  <c r="AD36" i="39"/>
  <c r="FT34" i="39"/>
  <c r="FR34" i="39"/>
  <c r="FQ34" i="39"/>
  <c r="FP34" i="39"/>
  <c r="FO34" i="39"/>
  <c r="FN34" i="39"/>
  <c r="FM34" i="39"/>
  <c r="FL34" i="39"/>
  <c r="FK34" i="39"/>
  <c r="FJ34" i="39"/>
  <c r="FI34" i="39"/>
  <c r="FH34" i="39"/>
  <c r="FG34" i="39"/>
  <c r="FF34" i="39"/>
  <c r="FE34" i="39"/>
  <c r="FD34" i="39"/>
  <c r="FC34" i="39"/>
  <c r="FB34" i="39"/>
  <c r="FA34" i="39"/>
  <c r="EZ34" i="39"/>
  <c r="EY34" i="39"/>
  <c r="EX34" i="39"/>
  <c r="EW34" i="39"/>
  <c r="EV34" i="39"/>
  <c r="EU34" i="39"/>
  <c r="ES34" i="39"/>
  <c r="ER34" i="39"/>
  <c r="EQ34" i="39"/>
  <c r="EP34" i="39"/>
  <c r="EO34" i="39"/>
  <c r="EN34" i="39"/>
  <c r="EM34" i="39"/>
  <c r="EL34" i="39"/>
  <c r="EK34" i="39"/>
  <c r="EJ34" i="39"/>
  <c r="EI34" i="39"/>
  <c r="EH34" i="39"/>
  <c r="EG34" i="39"/>
  <c r="EF34" i="39"/>
  <c r="EE34" i="39"/>
  <c r="ED34" i="39"/>
  <c r="EC34" i="39"/>
  <c r="EB34" i="39"/>
  <c r="EA34" i="39"/>
  <c r="DZ34" i="39"/>
  <c r="DY34" i="39"/>
  <c r="DX34" i="39"/>
  <c r="DW34" i="39"/>
  <c r="AM34" i="39"/>
  <c r="AL34" i="39"/>
  <c r="AK34" i="39"/>
  <c r="AJ34" i="39"/>
  <c r="AI34" i="39"/>
  <c r="AD34" i="39"/>
  <c r="AC34" i="39"/>
  <c r="C34" i="39"/>
  <c r="FT32" i="39"/>
  <c r="FR32" i="39"/>
  <c r="FQ32" i="39"/>
  <c r="FP32" i="39"/>
  <c r="FO32" i="39"/>
  <c r="FN32" i="39"/>
  <c r="FM32" i="39"/>
  <c r="FL32" i="39"/>
  <c r="FK32" i="39"/>
  <c r="FJ32" i="39"/>
  <c r="FI32" i="39"/>
  <c r="FH32" i="39"/>
  <c r="FG32" i="39"/>
  <c r="FF32" i="39"/>
  <c r="FE32" i="39"/>
  <c r="FD32" i="39"/>
  <c r="FC32" i="39"/>
  <c r="FB32" i="39"/>
  <c r="FA32" i="39"/>
  <c r="EZ32" i="39"/>
  <c r="EY32" i="39"/>
  <c r="EX32" i="39"/>
  <c r="EW32" i="39"/>
  <c r="EV32" i="39"/>
  <c r="EU32" i="39"/>
  <c r="ES32" i="39"/>
  <c r="ER32" i="39"/>
  <c r="EQ32" i="39"/>
  <c r="EP32" i="39"/>
  <c r="EO32" i="39"/>
  <c r="EN32" i="39"/>
  <c r="EM32" i="39"/>
  <c r="EL32" i="39"/>
  <c r="EK32" i="39"/>
  <c r="EJ32" i="39"/>
  <c r="EI32" i="39"/>
  <c r="EH32" i="39"/>
  <c r="EG32" i="39"/>
  <c r="EF32" i="39"/>
  <c r="EE32" i="39"/>
  <c r="ED32" i="39"/>
  <c r="EC32" i="39"/>
  <c r="EB32" i="39"/>
  <c r="EA32" i="39"/>
  <c r="DZ32" i="39"/>
  <c r="DY32" i="39"/>
  <c r="DX32" i="39"/>
  <c r="DW32" i="39"/>
  <c r="AM32" i="39"/>
  <c r="AL32" i="39"/>
  <c r="AK32" i="39"/>
  <c r="AJ32" i="39"/>
  <c r="AI32" i="39"/>
  <c r="AD32" i="39"/>
  <c r="C32" i="39"/>
  <c r="W313" i="44"/>
  <c r="S313" i="44"/>
  <c r="P313" i="44"/>
  <c r="O313" i="44"/>
  <c r="N313" i="44"/>
  <c r="W309" i="44"/>
  <c r="S309" i="44"/>
  <c r="P309" i="44"/>
  <c r="N309" i="44"/>
  <c r="O309" i="44" s="1"/>
  <c r="W300" i="44"/>
  <c r="AA300" i="44" s="1"/>
  <c r="S300" i="44"/>
  <c r="P300" i="44"/>
  <c r="O300" i="44"/>
  <c r="N300" i="44"/>
  <c r="W296" i="44"/>
  <c r="AA296" i="44" s="1"/>
  <c r="S296" i="44"/>
  <c r="P296" i="44"/>
  <c r="O296" i="44"/>
  <c r="N296" i="44"/>
  <c r="GM313" i="44"/>
  <c r="GK313" i="44"/>
  <c r="GJ313" i="44"/>
  <c r="GI313" i="44"/>
  <c r="GH313" i="44"/>
  <c r="GG313" i="44"/>
  <c r="GF313" i="44"/>
  <c r="GE313" i="44"/>
  <c r="GD313" i="44"/>
  <c r="GC313" i="44"/>
  <c r="GB313" i="44"/>
  <c r="GA313" i="44"/>
  <c r="FZ313" i="44"/>
  <c r="FY313" i="44"/>
  <c r="FT313" i="44"/>
  <c r="FS313" i="44"/>
  <c r="FR313" i="44"/>
  <c r="FQ313" i="44"/>
  <c r="FP313" i="44"/>
  <c r="FO313" i="44"/>
  <c r="FN313" i="44"/>
  <c r="FM313" i="44"/>
  <c r="FL313" i="44"/>
  <c r="FK313" i="44"/>
  <c r="FJ313" i="44"/>
  <c r="FI313" i="44"/>
  <c r="FH313" i="44"/>
  <c r="FG313" i="44"/>
  <c r="FF313" i="44"/>
  <c r="FE313" i="44"/>
  <c r="FD313" i="44"/>
  <c r="FC313" i="44"/>
  <c r="FB313" i="44"/>
  <c r="FA313" i="44"/>
  <c r="EZ313" i="44"/>
  <c r="EY313" i="44"/>
  <c r="EX313" i="44"/>
  <c r="EW313" i="44"/>
  <c r="EV313" i="44"/>
  <c r="EU313" i="44"/>
  <c r="ES313" i="44"/>
  <c r="ER313" i="44"/>
  <c r="EQ313" i="44"/>
  <c r="EP313" i="44"/>
  <c r="EO313" i="44"/>
  <c r="EN313" i="44"/>
  <c r="EM313" i="44"/>
  <c r="EL313" i="44"/>
  <c r="EK313" i="44"/>
  <c r="EJ313" i="44"/>
  <c r="EI313" i="44"/>
  <c r="EH313" i="44"/>
  <c r="EG313" i="44"/>
  <c r="EF313" i="44"/>
  <c r="EE313" i="44"/>
  <c r="ED313" i="44"/>
  <c r="EC313" i="44"/>
  <c r="EB313" i="44"/>
  <c r="EA313" i="44"/>
  <c r="DZ313" i="44"/>
  <c r="DY313" i="44"/>
  <c r="DX313" i="44"/>
  <c r="DW313" i="44"/>
  <c r="AM313" i="44"/>
  <c r="AL313" i="44"/>
  <c r="AK313" i="44"/>
  <c r="AJ313" i="44"/>
  <c r="AI313" i="44"/>
  <c r="AD313" i="44"/>
  <c r="AC313" i="44"/>
  <c r="C313" i="44"/>
  <c r="GM309" i="44"/>
  <c r="GK309" i="44"/>
  <c r="GJ309" i="44"/>
  <c r="GI309" i="44"/>
  <c r="GH309" i="44"/>
  <c r="GG309" i="44"/>
  <c r="GF309" i="44"/>
  <c r="GE309" i="44"/>
  <c r="GD309" i="44"/>
  <c r="GC309" i="44"/>
  <c r="GB309" i="44"/>
  <c r="GA309" i="44"/>
  <c r="FZ309" i="44"/>
  <c r="FY309" i="44"/>
  <c r="FT309" i="44"/>
  <c r="FS309" i="44"/>
  <c r="FR309" i="44"/>
  <c r="FQ309" i="44"/>
  <c r="FP309" i="44"/>
  <c r="FO309" i="44"/>
  <c r="FN309" i="44"/>
  <c r="FM309" i="44"/>
  <c r="FL309" i="44"/>
  <c r="FK309" i="44"/>
  <c r="FJ309" i="44"/>
  <c r="FI309" i="44"/>
  <c r="FH309" i="44"/>
  <c r="FG309" i="44"/>
  <c r="FF309" i="44"/>
  <c r="FE309" i="44"/>
  <c r="FD309" i="44"/>
  <c r="FC309" i="44"/>
  <c r="FB309" i="44"/>
  <c r="FA309" i="44"/>
  <c r="EZ309" i="44"/>
  <c r="EY309" i="44"/>
  <c r="EX309" i="44"/>
  <c r="EW309" i="44"/>
  <c r="EV309" i="44"/>
  <c r="EU309" i="44"/>
  <c r="ES309" i="44"/>
  <c r="ER309" i="44"/>
  <c r="EQ309" i="44"/>
  <c r="EP309" i="44"/>
  <c r="EO309" i="44"/>
  <c r="EN309" i="44"/>
  <c r="EM309" i="44"/>
  <c r="EL309" i="44"/>
  <c r="EK309" i="44"/>
  <c r="EJ309" i="44"/>
  <c r="EI309" i="44"/>
  <c r="EH309" i="44"/>
  <c r="EG309" i="44"/>
  <c r="EF309" i="44"/>
  <c r="EE309" i="44"/>
  <c r="ED309" i="44"/>
  <c r="EC309" i="44"/>
  <c r="EB309" i="44"/>
  <c r="EA309" i="44"/>
  <c r="DZ309" i="44"/>
  <c r="DY309" i="44"/>
  <c r="DX309" i="44"/>
  <c r="DW309" i="44"/>
  <c r="AM309" i="44"/>
  <c r="AL309" i="44"/>
  <c r="AK309" i="44"/>
  <c r="AJ309" i="44"/>
  <c r="AI309" i="44"/>
  <c r="AD309" i="44"/>
  <c r="AC309" i="44"/>
  <c r="C309" i="44"/>
  <c r="GM300" i="44"/>
  <c r="GK300" i="44"/>
  <c r="GJ300" i="44"/>
  <c r="GI300" i="44"/>
  <c r="GH300" i="44"/>
  <c r="GG300" i="44"/>
  <c r="GF300" i="44"/>
  <c r="GE300" i="44"/>
  <c r="GD300" i="44"/>
  <c r="GC300" i="44"/>
  <c r="GB300" i="44"/>
  <c r="GA300" i="44"/>
  <c r="FZ300" i="44"/>
  <c r="FY300" i="44"/>
  <c r="FT300" i="44"/>
  <c r="FS300" i="44"/>
  <c r="FR300" i="44"/>
  <c r="FQ300" i="44"/>
  <c r="FP300" i="44"/>
  <c r="FO300" i="44"/>
  <c r="FN300" i="44"/>
  <c r="FM300" i="44"/>
  <c r="FL300" i="44"/>
  <c r="FK300" i="44"/>
  <c r="FJ300" i="44"/>
  <c r="FI300" i="44"/>
  <c r="FH300" i="44"/>
  <c r="FG300" i="44"/>
  <c r="FF300" i="44"/>
  <c r="FE300" i="44"/>
  <c r="FD300" i="44"/>
  <c r="FC300" i="44"/>
  <c r="FB300" i="44"/>
  <c r="FA300" i="44"/>
  <c r="EZ300" i="44"/>
  <c r="EY300" i="44"/>
  <c r="EX300" i="44"/>
  <c r="EW300" i="44"/>
  <c r="EV300" i="44"/>
  <c r="EU300" i="44"/>
  <c r="ES300" i="44"/>
  <c r="ER300" i="44"/>
  <c r="EQ300" i="44"/>
  <c r="EP300" i="44"/>
  <c r="EO300" i="44"/>
  <c r="EN300" i="44"/>
  <c r="EM300" i="44"/>
  <c r="EL300" i="44"/>
  <c r="EK300" i="44"/>
  <c r="EJ300" i="44"/>
  <c r="EI300" i="44"/>
  <c r="EH300" i="44"/>
  <c r="EG300" i="44"/>
  <c r="EF300" i="44"/>
  <c r="EE300" i="44"/>
  <c r="ED300" i="44"/>
  <c r="EC300" i="44"/>
  <c r="EB300" i="44"/>
  <c r="EA300" i="44"/>
  <c r="DW300" i="44"/>
  <c r="AM300" i="44"/>
  <c r="AL300" i="44"/>
  <c r="AK300" i="44"/>
  <c r="AJ300" i="44"/>
  <c r="AI300" i="44"/>
  <c r="AD300" i="44"/>
  <c r="AC300" i="44"/>
  <c r="C300" i="44"/>
  <c r="GM296" i="44"/>
  <c r="GK296" i="44"/>
  <c r="GJ296" i="44"/>
  <c r="GI296" i="44"/>
  <c r="GH296" i="44"/>
  <c r="GG296" i="44"/>
  <c r="GF296" i="44"/>
  <c r="GE296" i="44"/>
  <c r="GD296" i="44"/>
  <c r="GC296" i="44"/>
  <c r="GB296" i="44"/>
  <c r="GA296" i="44"/>
  <c r="FZ296" i="44"/>
  <c r="FY296" i="44"/>
  <c r="FT296" i="44"/>
  <c r="FS296" i="44"/>
  <c r="FR296" i="44"/>
  <c r="FQ296" i="44"/>
  <c r="FP296" i="44"/>
  <c r="FO296" i="44"/>
  <c r="FN296" i="44"/>
  <c r="FM296" i="44"/>
  <c r="FL296" i="44"/>
  <c r="FK296" i="44"/>
  <c r="FJ296" i="44"/>
  <c r="FI296" i="44"/>
  <c r="FH296" i="44"/>
  <c r="FG296" i="44"/>
  <c r="FF296" i="44"/>
  <c r="FE296" i="44"/>
  <c r="FD296" i="44"/>
  <c r="FC296" i="44"/>
  <c r="FB296" i="44"/>
  <c r="FA296" i="44"/>
  <c r="EZ296" i="44"/>
  <c r="EY296" i="44"/>
  <c r="EX296" i="44"/>
  <c r="EW296" i="44"/>
  <c r="EV296" i="44"/>
  <c r="EU296" i="44"/>
  <c r="ES296" i="44"/>
  <c r="ER296" i="44"/>
  <c r="EQ296" i="44"/>
  <c r="EP296" i="44"/>
  <c r="EO296" i="44"/>
  <c r="EN296" i="44"/>
  <c r="EM296" i="44"/>
  <c r="EL296" i="44"/>
  <c r="EK296" i="44"/>
  <c r="EJ296" i="44"/>
  <c r="EI296" i="44"/>
  <c r="EH296" i="44"/>
  <c r="EG296" i="44"/>
  <c r="EF296" i="44"/>
  <c r="EE296" i="44"/>
  <c r="ED296" i="44"/>
  <c r="EC296" i="44"/>
  <c r="EB296" i="44"/>
  <c r="EA296" i="44"/>
  <c r="DW296" i="44"/>
  <c r="AM296" i="44"/>
  <c r="AL296" i="44"/>
  <c r="AK296" i="44"/>
  <c r="AJ296" i="44"/>
  <c r="AI296" i="44"/>
  <c r="AD296" i="44"/>
  <c r="AC296" i="44"/>
  <c r="C296" i="44"/>
  <c r="W252" i="44"/>
  <c r="AA252" i="44" s="1"/>
  <c r="S252" i="44"/>
  <c r="P252" i="44"/>
  <c r="O252" i="44"/>
  <c r="N252" i="44"/>
  <c r="W250" i="44"/>
  <c r="BB250" i="44" s="1"/>
  <c r="S250" i="44"/>
  <c r="P250" i="44"/>
  <c r="O250" i="44"/>
  <c r="N250" i="44"/>
  <c r="GM252" i="44"/>
  <c r="GK252" i="44"/>
  <c r="GJ252" i="44"/>
  <c r="GI252" i="44"/>
  <c r="GH252" i="44"/>
  <c r="GG252" i="44"/>
  <c r="GF252" i="44"/>
  <c r="GE252" i="44"/>
  <c r="GD252" i="44"/>
  <c r="GC252" i="44"/>
  <c r="GB252" i="44"/>
  <c r="GA252" i="44"/>
  <c r="FZ252" i="44"/>
  <c r="FY252" i="44"/>
  <c r="FT252" i="44"/>
  <c r="FS252" i="44"/>
  <c r="FR252" i="44"/>
  <c r="FQ252" i="44"/>
  <c r="FP252" i="44"/>
  <c r="FO252" i="44"/>
  <c r="FN252" i="44"/>
  <c r="FM252" i="44"/>
  <c r="FL252" i="44"/>
  <c r="FK252" i="44"/>
  <c r="FJ252" i="44"/>
  <c r="FI252" i="44"/>
  <c r="FH252" i="44"/>
  <c r="FG252" i="44"/>
  <c r="FF252" i="44"/>
  <c r="FE252" i="44"/>
  <c r="FD252" i="44"/>
  <c r="FC252" i="44"/>
  <c r="FB252" i="44"/>
  <c r="FA252" i="44"/>
  <c r="EZ252" i="44"/>
  <c r="EY252" i="44"/>
  <c r="EX252" i="44"/>
  <c r="EW252" i="44"/>
  <c r="EV252" i="44"/>
  <c r="EU252" i="44"/>
  <c r="ES252" i="44"/>
  <c r="ER252" i="44"/>
  <c r="EQ252" i="44"/>
  <c r="EP252" i="44"/>
  <c r="EO252" i="44"/>
  <c r="EN252" i="44"/>
  <c r="EM252" i="44"/>
  <c r="EL252" i="44"/>
  <c r="EK252" i="44"/>
  <c r="EJ252" i="44"/>
  <c r="EG252" i="44"/>
  <c r="EE252" i="44"/>
  <c r="ED252" i="44"/>
  <c r="EC252" i="44"/>
  <c r="DZ252" i="44"/>
  <c r="DY252" i="44"/>
  <c r="DW252" i="44"/>
  <c r="AM252" i="44"/>
  <c r="AL252" i="44"/>
  <c r="AK252" i="44"/>
  <c r="AJ252" i="44"/>
  <c r="AI252" i="44"/>
  <c r="AE252" i="44"/>
  <c r="AD252" i="44"/>
  <c r="AC252" i="44"/>
  <c r="C252" i="44"/>
  <c r="GM250" i="44"/>
  <c r="GK250" i="44"/>
  <c r="GJ250" i="44"/>
  <c r="GI250" i="44"/>
  <c r="GH250" i="44"/>
  <c r="GG250" i="44"/>
  <c r="GF250" i="44"/>
  <c r="GE250" i="44"/>
  <c r="GD250" i="44"/>
  <c r="GC250" i="44"/>
  <c r="GB250" i="44"/>
  <c r="GA250" i="44"/>
  <c r="FZ250" i="44"/>
  <c r="FY250" i="44"/>
  <c r="FT250" i="44"/>
  <c r="FS250" i="44"/>
  <c r="FR250" i="44"/>
  <c r="FQ250" i="44"/>
  <c r="FP250" i="44"/>
  <c r="FO250" i="44"/>
  <c r="FN250" i="44"/>
  <c r="FM250" i="44"/>
  <c r="FL250" i="44"/>
  <c r="FK250" i="44"/>
  <c r="FJ250" i="44"/>
  <c r="FI250" i="44"/>
  <c r="FH250" i="44"/>
  <c r="FG250" i="44"/>
  <c r="FF250" i="44"/>
  <c r="FE250" i="44"/>
  <c r="FD250" i="44"/>
  <c r="FC250" i="44"/>
  <c r="FB250" i="44"/>
  <c r="FA250" i="44"/>
  <c r="EZ250" i="44"/>
  <c r="EY250" i="44"/>
  <c r="EX250" i="44"/>
  <c r="EW250" i="44"/>
  <c r="EV250" i="44"/>
  <c r="EU250" i="44"/>
  <c r="ES250" i="44"/>
  <c r="ER250" i="44"/>
  <c r="EQ250" i="44"/>
  <c r="EP250" i="44"/>
  <c r="EO250" i="44"/>
  <c r="EN250" i="44"/>
  <c r="EM250" i="44"/>
  <c r="EL250" i="44"/>
  <c r="EK250" i="44"/>
  <c r="EJ250" i="44"/>
  <c r="EG250" i="44"/>
  <c r="EE250" i="44"/>
  <c r="ED250" i="44"/>
  <c r="EC250" i="44"/>
  <c r="DZ250" i="44"/>
  <c r="DY250" i="44"/>
  <c r="DW250" i="44"/>
  <c r="AM250" i="44"/>
  <c r="AL250" i="44"/>
  <c r="AK250" i="44"/>
  <c r="AJ250" i="44"/>
  <c r="AI250" i="44"/>
  <c r="AE250" i="44"/>
  <c r="AD250" i="44"/>
  <c r="AC250" i="44"/>
  <c r="C250" i="44"/>
  <c r="W194" i="44"/>
  <c r="BB194" i="44" s="1"/>
  <c r="BC194" i="44" s="1"/>
  <c r="S194" i="44"/>
  <c r="P194" i="44"/>
  <c r="O194" i="44"/>
  <c r="N194" i="44"/>
  <c r="W192" i="44"/>
  <c r="BB192" i="44" s="1"/>
  <c r="BC192" i="44" s="1"/>
  <c r="S192" i="44"/>
  <c r="P192" i="44"/>
  <c r="O192" i="44"/>
  <c r="N192" i="44"/>
  <c r="GM194" i="44"/>
  <c r="GK194" i="44"/>
  <c r="GJ194" i="44"/>
  <c r="GI194" i="44"/>
  <c r="GH194" i="44"/>
  <c r="GG194" i="44"/>
  <c r="GF194" i="44"/>
  <c r="GE194" i="44"/>
  <c r="GD194" i="44"/>
  <c r="GC194" i="44"/>
  <c r="GB194" i="44"/>
  <c r="GA194" i="44"/>
  <c r="FZ194" i="44"/>
  <c r="FY194" i="44"/>
  <c r="FT194" i="44"/>
  <c r="FS194" i="44"/>
  <c r="FR194" i="44"/>
  <c r="FQ194" i="44"/>
  <c r="FP194" i="44"/>
  <c r="FO194" i="44"/>
  <c r="FN194" i="44"/>
  <c r="FM194" i="44"/>
  <c r="FL194" i="44"/>
  <c r="FK194" i="44"/>
  <c r="FJ194" i="44"/>
  <c r="FI194" i="44"/>
  <c r="FH194" i="44"/>
  <c r="FG194" i="44"/>
  <c r="FF194" i="44"/>
  <c r="FE194" i="44"/>
  <c r="FD194" i="44"/>
  <c r="FC194" i="44"/>
  <c r="FB194" i="44"/>
  <c r="FA194" i="44"/>
  <c r="EZ194" i="44"/>
  <c r="EY194" i="44"/>
  <c r="EX194" i="44"/>
  <c r="EW194" i="44"/>
  <c r="EV194" i="44"/>
  <c r="EU194" i="44"/>
  <c r="ES194" i="44"/>
  <c r="ER194" i="44"/>
  <c r="EQ194" i="44"/>
  <c r="EP194" i="44"/>
  <c r="EO194" i="44"/>
  <c r="EN194" i="44"/>
  <c r="EM194" i="44"/>
  <c r="EL194" i="44"/>
  <c r="EG194" i="44"/>
  <c r="EE194" i="44"/>
  <c r="ED194" i="44"/>
  <c r="EC194" i="44"/>
  <c r="DZ194" i="44"/>
  <c r="DY194" i="44"/>
  <c r="DW194" i="44"/>
  <c r="AZ194" i="44"/>
  <c r="AM194" i="44"/>
  <c r="AL194" i="44"/>
  <c r="AK194" i="44"/>
  <c r="AJ194" i="44"/>
  <c r="AI194" i="44"/>
  <c r="AE194" i="44"/>
  <c r="AD194" i="44"/>
  <c r="AC194" i="44"/>
  <c r="C194" i="44"/>
  <c r="GM192" i="44"/>
  <c r="GK192" i="44"/>
  <c r="GJ192" i="44"/>
  <c r="GI192" i="44"/>
  <c r="GH192" i="44"/>
  <c r="GG192" i="44"/>
  <c r="GF192" i="44"/>
  <c r="GE192" i="44"/>
  <c r="GD192" i="44"/>
  <c r="GC192" i="44"/>
  <c r="GB192" i="44"/>
  <c r="GA192" i="44"/>
  <c r="FZ192" i="44"/>
  <c r="FY192" i="44"/>
  <c r="FT192" i="44"/>
  <c r="FS192" i="44"/>
  <c r="FR192" i="44"/>
  <c r="FQ192" i="44"/>
  <c r="FP192" i="44"/>
  <c r="FO192" i="44"/>
  <c r="FN192" i="44"/>
  <c r="FM192" i="44"/>
  <c r="FL192" i="44"/>
  <c r="FK192" i="44"/>
  <c r="FJ192" i="44"/>
  <c r="FI192" i="44"/>
  <c r="FH192" i="44"/>
  <c r="FG192" i="44"/>
  <c r="FF192" i="44"/>
  <c r="FE192" i="44"/>
  <c r="FD192" i="44"/>
  <c r="FC192" i="44"/>
  <c r="FB192" i="44"/>
  <c r="FA192" i="44"/>
  <c r="EZ192" i="44"/>
  <c r="EY192" i="44"/>
  <c r="EX192" i="44"/>
  <c r="EW192" i="44"/>
  <c r="EV192" i="44"/>
  <c r="EU192" i="44"/>
  <c r="ES192" i="44"/>
  <c r="ER192" i="44"/>
  <c r="EQ192" i="44"/>
  <c r="EP192" i="44"/>
  <c r="EO192" i="44"/>
  <c r="EN192" i="44"/>
  <c r="EM192" i="44"/>
  <c r="EL192" i="44"/>
  <c r="EG192" i="44"/>
  <c r="EE192" i="44"/>
  <c r="ED192" i="44"/>
  <c r="EC192" i="44"/>
  <c r="DZ192" i="44"/>
  <c r="DY192" i="44"/>
  <c r="DW192" i="44"/>
  <c r="AZ192" i="44"/>
  <c r="AM192" i="44"/>
  <c r="AL192" i="44"/>
  <c r="AK192" i="44"/>
  <c r="AJ192" i="44"/>
  <c r="AI192" i="44"/>
  <c r="AE192" i="44"/>
  <c r="AD192" i="44"/>
  <c r="AC192" i="44"/>
  <c r="C192" i="44"/>
  <c r="W174" i="44"/>
  <c r="BB174" i="44" s="1"/>
  <c r="S174" i="44"/>
  <c r="P174" i="44"/>
  <c r="O174" i="44"/>
  <c r="N174" i="44"/>
  <c r="W172" i="44"/>
  <c r="AB172" i="44" s="1"/>
  <c r="S172" i="44"/>
  <c r="P172" i="44"/>
  <c r="O172" i="44"/>
  <c r="N172" i="44"/>
  <c r="GM174" i="44"/>
  <c r="GK174" i="44"/>
  <c r="GJ174" i="44"/>
  <c r="GI174" i="44"/>
  <c r="GH174" i="44"/>
  <c r="GG174" i="44"/>
  <c r="GF174" i="44"/>
  <c r="GE174" i="44"/>
  <c r="GD174" i="44"/>
  <c r="GC174" i="44"/>
  <c r="GB174" i="44"/>
  <c r="GA174" i="44"/>
  <c r="FZ174" i="44"/>
  <c r="FY174" i="44"/>
  <c r="FT174" i="44"/>
  <c r="FS174" i="44"/>
  <c r="FR174" i="44"/>
  <c r="FQ174" i="44"/>
  <c r="FP174" i="44"/>
  <c r="FO174" i="44"/>
  <c r="FN174" i="44"/>
  <c r="FM174" i="44"/>
  <c r="FL174" i="44"/>
  <c r="FK174" i="44"/>
  <c r="FJ174" i="44"/>
  <c r="FI174" i="44"/>
  <c r="FH174" i="44"/>
  <c r="FG174" i="44"/>
  <c r="FF174" i="44"/>
  <c r="FE174" i="44"/>
  <c r="FD174" i="44"/>
  <c r="FC174" i="44"/>
  <c r="FB174" i="44"/>
  <c r="FA174" i="44"/>
  <c r="EZ174" i="44"/>
  <c r="EY174" i="44"/>
  <c r="EX174" i="44"/>
  <c r="EW174" i="44"/>
  <c r="EV174" i="44"/>
  <c r="EU174" i="44"/>
  <c r="ES174" i="44"/>
  <c r="ER174" i="44"/>
  <c r="EQ174" i="44"/>
  <c r="EP174" i="44"/>
  <c r="EO174" i="44"/>
  <c r="EN174" i="44"/>
  <c r="EM174" i="44"/>
  <c r="EL174" i="44"/>
  <c r="EK174" i="44"/>
  <c r="EG174" i="44"/>
  <c r="EE174" i="44"/>
  <c r="ED174" i="44"/>
  <c r="EC174" i="44"/>
  <c r="DZ174" i="44"/>
  <c r="DY174" i="44"/>
  <c r="DW174" i="44"/>
  <c r="AM174" i="44"/>
  <c r="AL174" i="44"/>
  <c r="AK174" i="44"/>
  <c r="AJ174" i="44"/>
  <c r="AI174" i="44"/>
  <c r="AE174" i="44"/>
  <c r="AD174" i="44"/>
  <c r="AC174" i="44"/>
  <c r="GM172" i="44"/>
  <c r="GK172" i="44"/>
  <c r="GJ172" i="44"/>
  <c r="GI172" i="44"/>
  <c r="GH172" i="44"/>
  <c r="GG172" i="44"/>
  <c r="GF172" i="44"/>
  <c r="GE172" i="44"/>
  <c r="GD172" i="44"/>
  <c r="GC172" i="44"/>
  <c r="GB172" i="44"/>
  <c r="GA172" i="44"/>
  <c r="FZ172" i="44"/>
  <c r="FY172" i="44"/>
  <c r="FT172" i="44"/>
  <c r="FS172" i="44"/>
  <c r="FR172" i="44"/>
  <c r="FQ172" i="44"/>
  <c r="FP172" i="44"/>
  <c r="FO172" i="44"/>
  <c r="FN172" i="44"/>
  <c r="FM172" i="44"/>
  <c r="FL172" i="44"/>
  <c r="FK172" i="44"/>
  <c r="FJ172" i="44"/>
  <c r="FI172" i="44"/>
  <c r="FH172" i="44"/>
  <c r="FG172" i="44"/>
  <c r="FF172" i="44"/>
  <c r="FE172" i="44"/>
  <c r="FD172" i="44"/>
  <c r="FC172" i="44"/>
  <c r="FB172" i="44"/>
  <c r="FA172" i="44"/>
  <c r="EZ172" i="44"/>
  <c r="EY172" i="44"/>
  <c r="EX172" i="44"/>
  <c r="EW172" i="44"/>
  <c r="EV172" i="44"/>
  <c r="EU172" i="44"/>
  <c r="ES172" i="44"/>
  <c r="ER172" i="44"/>
  <c r="EQ172" i="44"/>
  <c r="EP172" i="44"/>
  <c r="EO172" i="44"/>
  <c r="EN172" i="44"/>
  <c r="EM172" i="44"/>
  <c r="EL172" i="44"/>
  <c r="EK172" i="44"/>
  <c r="EG172" i="44"/>
  <c r="EE172" i="44"/>
  <c r="ED172" i="44"/>
  <c r="EC172" i="44"/>
  <c r="DZ172" i="44"/>
  <c r="DY172" i="44"/>
  <c r="DW172" i="44"/>
  <c r="AM172" i="44"/>
  <c r="AL172" i="44"/>
  <c r="AK172" i="44"/>
  <c r="AJ172" i="44"/>
  <c r="AI172" i="44"/>
  <c r="AE172" i="44"/>
  <c r="AD172" i="44"/>
  <c r="AC172" i="44"/>
  <c r="W49" i="44"/>
  <c r="Z49" i="44" s="1"/>
  <c r="S49" i="44"/>
  <c r="P49" i="44"/>
  <c r="O49" i="44"/>
  <c r="N49" i="44"/>
  <c r="GM49" i="44"/>
  <c r="GK49" i="44"/>
  <c r="GJ49" i="44"/>
  <c r="GI49" i="44"/>
  <c r="GH49" i="44"/>
  <c r="GG49" i="44"/>
  <c r="GF49" i="44"/>
  <c r="GE49" i="44"/>
  <c r="GD49" i="44"/>
  <c r="GC49" i="44"/>
  <c r="GB49" i="44"/>
  <c r="GA49" i="44"/>
  <c r="FZ49" i="44"/>
  <c r="FY49" i="44"/>
  <c r="FT49" i="44"/>
  <c r="FS49" i="44"/>
  <c r="FR49" i="44"/>
  <c r="FQ49" i="44"/>
  <c r="FP49" i="44"/>
  <c r="FO49" i="44"/>
  <c r="FN49" i="44"/>
  <c r="FM49" i="44"/>
  <c r="FL49" i="44"/>
  <c r="FK49" i="44"/>
  <c r="FJ49" i="44"/>
  <c r="FI49" i="44"/>
  <c r="FH49" i="44"/>
  <c r="FG49" i="44"/>
  <c r="FF49" i="44"/>
  <c r="FE49" i="44"/>
  <c r="FD49" i="44"/>
  <c r="FC49" i="44"/>
  <c r="FB49" i="44"/>
  <c r="FA49" i="44"/>
  <c r="EZ49" i="44"/>
  <c r="EY49" i="44"/>
  <c r="EX49" i="44"/>
  <c r="EW49" i="44"/>
  <c r="EV49" i="44"/>
  <c r="EU49" i="44"/>
  <c r="ES49" i="44"/>
  <c r="ER49" i="44"/>
  <c r="EQ49" i="44"/>
  <c r="EP49" i="44"/>
  <c r="EO49" i="44"/>
  <c r="EN49" i="44"/>
  <c r="EM49" i="44"/>
  <c r="EG49" i="44"/>
  <c r="EE49" i="44"/>
  <c r="ED49" i="44"/>
  <c r="EC49" i="44"/>
  <c r="DZ49" i="44"/>
  <c r="DY49" i="44"/>
  <c r="DW49" i="44"/>
  <c r="AZ49" i="44"/>
  <c r="AM49" i="44"/>
  <c r="AL49" i="44"/>
  <c r="AK49" i="44"/>
  <c r="AJ49" i="44"/>
  <c r="AI49" i="44"/>
  <c r="AE49" i="44"/>
  <c r="AD49" i="44"/>
  <c r="AC49" i="44"/>
  <c r="W47" i="44"/>
  <c r="AA47" i="44" s="1"/>
  <c r="S47" i="44"/>
  <c r="P47" i="44"/>
  <c r="O47" i="44"/>
  <c r="N47" i="44"/>
  <c r="GM47" i="44"/>
  <c r="GK47" i="44"/>
  <c r="GJ47" i="44"/>
  <c r="GI47" i="44"/>
  <c r="GH47" i="44"/>
  <c r="GG47" i="44"/>
  <c r="GF47" i="44"/>
  <c r="GE47" i="44"/>
  <c r="GD47" i="44"/>
  <c r="GC47" i="44"/>
  <c r="GB47" i="44"/>
  <c r="GA47" i="44"/>
  <c r="FZ47" i="44"/>
  <c r="FY47" i="44"/>
  <c r="FT47" i="44"/>
  <c r="FS47" i="44"/>
  <c r="FR47" i="44"/>
  <c r="FQ47" i="44"/>
  <c r="FP47" i="44"/>
  <c r="FO47" i="44"/>
  <c r="FN47" i="44"/>
  <c r="FM47" i="44"/>
  <c r="FL47" i="44"/>
  <c r="FK47" i="44"/>
  <c r="FJ47" i="44"/>
  <c r="FI47" i="44"/>
  <c r="FH47" i="44"/>
  <c r="FG47" i="44"/>
  <c r="FF47" i="44"/>
  <c r="FE47" i="44"/>
  <c r="FD47" i="44"/>
  <c r="FC47" i="44"/>
  <c r="FB47" i="44"/>
  <c r="FA47" i="44"/>
  <c r="EZ47" i="44"/>
  <c r="EY47" i="44"/>
  <c r="EX47" i="44"/>
  <c r="EW47" i="44"/>
  <c r="EV47" i="44"/>
  <c r="EU47" i="44"/>
  <c r="ES47" i="44"/>
  <c r="ER47" i="44"/>
  <c r="EQ47" i="44"/>
  <c r="EP47" i="44"/>
  <c r="EO47" i="44"/>
  <c r="EN47" i="44"/>
  <c r="EM47" i="44"/>
  <c r="EG47" i="44"/>
  <c r="EE47" i="44"/>
  <c r="ED47" i="44"/>
  <c r="EC47" i="44"/>
  <c r="DZ47" i="44"/>
  <c r="DY47" i="44"/>
  <c r="DW47" i="44"/>
  <c r="AZ47" i="44"/>
  <c r="AM47" i="44"/>
  <c r="AL47" i="44"/>
  <c r="AK47" i="44"/>
  <c r="AJ47" i="44"/>
  <c r="AI47" i="44"/>
  <c r="AE47" i="44"/>
  <c r="AD47" i="44"/>
  <c r="AC47" i="44"/>
  <c r="W28" i="44"/>
  <c r="BB28" i="44" s="1"/>
  <c r="BC28" i="44" s="1"/>
  <c r="FI28" i="44" s="1"/>
  <c r="S28" i="44"/>
  <c r="P28" i="44"/>
  <c r="O28" i="44"/>
  <c r="N28" i="44"/>
  <c r="GM28" i="44"/>
  <c r="GK28" i="44"/>
  <c r="GJ28" i="44"/>
  <c r="GI28" i="44"/>
  <c r="GH28" i="44"/>
  <c r="GG28" i="44"/>
  <c r="GF28" i="44"/>
  <c r="GE28" i="44"/>
  <c r="GD28" i="44"/>
  <c r="GC28" i="44"/>
  <c r="GB28" i="44"/>
  <c r="GA28" i="44"/>
  <c r="FZ28" i="44"/>
  <c r="FY28" i="44"/>
  <c r="FT28" i="44"/>
  <c r="FS28" i="44"/>
  <c r="FR28" i="44"/>
  <c r="FQ28" i="44"/>
  <c r="FP28" i="44"/>
  <c r="FO28" i="44"/>
  <c r="FN28" i="44"/>
  <c r="FM28" i="44"/>
  <c r="FL28" i="44"/>
  <c r="FK28" i="44"/>
  <c r="FJ28" i="44"/>
  <c r="FG28" i="44"/>
  <c r="FF28" i="44"/>
  <c r="FE28" i="44"/>
  <c r="FD28" i="44"/>
  <c r="FC28" i="44"/>
  <c r="FB28" i="44"/>
  <c r="FA28" i="44"/>
  <c r="EZ28" i="44"/>
  <c r="EY28" i="44"/>
  <c r="EW28" i="44"/>
  <c r="EV28" i="44"/>
  <c r="EU28" i="44"/>
  <c r="ES28" i="44"/>
  <c r="ER28" i="44"/>
  <c r="EQ28" i="44"/>
  <c r="EP28" i="44"/>
  <c r="EO28" i="44"/>
  <c r="EN28" i="44"/>
  <c r="EM28" i="44"/>
  <c r="EL28" i="44"/>
  <c r="EK28" i="44"/>
  <c r="EJ28" i="44"/>
  <c r="EI28" i="44"/>
  <c r="EH28" i="44"/>
  <c r="EG28" i="44"/>
  <c r="EF28" i="44"/>
  <c r="ED28" i="44"/>
  <c r="EC28" i="44"/>
  <c r="EB28" i="44"/>
  <c r="EA28" i="44"/>
  <c r="DZ28" i="44"/>
  <c r="DY28" i="44"/>
  <c r="DX28" i="44"/>
  <c r="DW28" i="44"/>
  <c r="AZ28" i="44"/>
  <c r="AM28" i="44"/>
  <c r="AL28" i="44"/>
  <c r="AK28" i="44"/>
  <c r="AJ28" i="44"/>
  <c r="AI28" i="44"/>
  <c r="AE28" i="44"/>
  <c r="AD28" i="44"/>
  <c r="AC28" i="44"/>
  <c r="C28" i="44"/>
  <c r="W26" i="44"/>
  <c r="AB26" i="44" s="1"/>
  <c r="S26" i="44"/>
  <c r="P26" i="44"/>
  <c r="N26" i="44"/>
  <c r="O26" i="44" s="1"/>
  <c r="GM26" i="44"/>
  <c r="GK26" i="44"/>
  <c r="GJ26" i="44"/>
  <c r="GI26" i="44"/>
  <c r="GH26" i="44"/>
  <c r="GG26" i="44"/>
  <c r="GF26" i="44"/>
  <c r="GE26" i="44"/>
  <c r="GD26" i="44"/>
  <c r="GC26" i="44"/>
  <c r="GB26" i="44"/>
  <c r="GA26" i="44"/>
  <c r="FZ26" i="44"/>
  <c r="FY26" i="44"/>
  <c r="FT26" i="44"/>
  <c r="FS26" i="44"/>
  <c r="FR26" i="44"/>
  <c r="FQ26" i="44"/>
  <c r="FP26" i="44"/>
  <c r="FO26" i="44"/>
  <c r="FN26" i="44"/>
  <c r="FM26" i="44"/>
  <c r="FL26" i="44"/>
  <c r="FK26" i="44"/>
  <c r="FJ26" i="44"/>
  <c r="FG26" i="44"/>
  <c r="FF26" i="44"/>
  <c r="FE26" i="44"/>
  <c r="FD26" i="44"/>
  <c r="FC26" i="44"/>
  <c r="FB26" i="44"/>
  <c r="FA26" i="44"/>
  <c r="EZ26" i="44"/>
  <c r="EY26" i="44"/>
  <c r="EW26" i="44"/>
  <c r="EV26" i="44"/>
  <c r="EU26" i="44"/>
  <c r="ES26" i="44"/>
  <c r="ER26" i="44"/>
  <c r="EQ26" i="44"/>
  <c r="EP26" i="44"/>
  <c r="EO26" i="44"/>
  <c r="EN26" i="44"/>
  <c r="EM26" i="44"/>
  <c r="EL26" i="44"/>
  <c r="EK26" i="44"/>
  <c r="EJ26" i="44"/>
  <c r="EI26" i="44"/>
  <c r="EH26" i="44"/>
  <c r="EG26" i="44"/>
  <c r="EF26" i="44"/>
  <c r="ED26" i="44"/>
  <c r="EC26" i="44"/>
  <c r="EB26" i="44"/>
  <c r="EA26" i="44"/>
  <c r="DZ26" i="44"/>
  <c r="DY26" i="44"/>
  <c r="DX26" i="44"/>
  <c r="DW26" i="44"/>
  <c r="AZ26" i="44"/>
  <c r="AM26" i="44"/>
  <c r="AL26" i="44"/>
  <c r="AK26" i="44"/>
  <c r="AJ26" i="44"/>
  <c r="AI26" i="44"/>
  <c r="AE26" i="44"/>
  <c r="AD26" i="44"/>
  <c r="AC26" i="44"/>
  <c r="C26" i="44"/>
  <c r="GM24" i="44"/>
  <c r="GK24" i="44"/>
  <c r="GJ24" i="44"/>
  <c r="GI24" i="44"/>
  <c r="GH24" i="44"/>
  <c r="GG24" i="44"/>
  <c r="GF24" i="44"/>
  <c r="GE24" i="44"/>
  <c r="GD24" i="44"/>
  <c r="GC24" i="44"/>
  <c r="GB24" i="44"/>
  <c r="GA24" i="44"/>
  <c r="FZ24" i="44"/>
  <c r="FY24" i="44"/>
  <c r="FT24" i="44"/>
  <c r="FS24" i="44"/>
  <c r="FR24" i="44"/>
  <c r="FQ24" i="44"/>
  <c r="FP24" i="44"/>
  <c r="FO24" i="44"/>
  <c r="FN24" i="44"/>
  <c r="FM24" i="44"/>
  <c r="FL24" i="44"/>
  <c r="FK24" i="44"/>
  <c r="FJ24" i="44"/>
  <c r="FG24" i="44"/>
  <c r="FF24" i="44"/>
  <c r="FE24" i="44"/>
  <c r="FD24" i="44"/>
  <c r="FC24" i="44"/>
  <c r="FB24" i="44"/>
  <c r="FA24" i="44"/>
  <c r="EZ24" i="44"/>
  <c r="EY24" i="44"/>
  <c r="EW24" i="44"/>
  <c r="EV24" i="44"/>
  <c r="EU24" i="44"/>
  <c r="ES24" i="44"/>
  <c r="ER24" i="44"/>
  <c r="EQ24" i="44"/>
  <c r="EP24" i="44"/>
  <c r="EO24" i="44"/>
  <c r="EN24" i="44"/>
  <c r="EM24" i="44"/>
  <c r="EL24" i="44"/>
  <c r="EK24" i="44"/>
  <c r="EJ24" i="44"/>
  <c r="EI24" i="44"/>
  <c r="EH24" i="44"/>
  <c r="EG24" i="44"/>
  <c r="EF24" i="44"/>
  <c r="ED24" i="44"/>
  <c r="EC24" i="44"/>
  <c r="EB24" i="44"/>
  <c r="EA24" i="44"/>
  <c r="DZ24" i="44"/>
  <c r="DY24" i="44"/>
  <c r="DX24" i="44"/>
  <c r="DW24" i="44"/>
  <c r="AZ24" i="44"/>
  <c r="AM24" i="44"/>
  <c r="AL24" i="44"/>
  <c r="AK24" i="44"/>
  <c r="AJ24" i="44"/>
  <c r="AI24" i="44"/>
  <c r="AE24" i="44"/>
  <c r="AD24" i="44"/>
  <c r="AC24" i="44"/>
  <c r="W24" i="44"/>
  <c r="AA24" i="44" s="1"/>
  <c r="S24" i="44"/>
  <c r="P24" i="44"/>
  <c r="O24" i="44"/>
  <c r="N24" i="44"/>
  <c r="C24" i="44"/>
  <c r="W259" i="39"/>
  <c r="A10" i="45"/>
  <c r="A11" i="45" s="1"/>
  <c r="A12" i="45" s="1"/>
  <c r="A13" i="45" s="1"/>
  <c r="A14" i="45" s="1"/>
  <c r="A15" i="45" s="1"/>
  <c r="A16" i="45" s="1"/>
  <c r="A8" i="39"/>
  <c r="A17" i="45" l="1"/>
  <c r="A18" i="45" s="1"/>
  <c r="A19" i="45" s="1"/>
  <c r="A21" i="45" s="1"/>
  <c r="A22" i="45" s="1"/>
  <c r="A23" i="45" s="1"/>
  <c r="A24" i="45" s="1"/>
  <c r="A25" i="45" s="1"/>
  <c r="A26" i="45" s="1"/>
  <c r="A27" i="45" s="1"/>
  <c r="A30" i="45" s="1"/>
  <c r="A31" i="45" s="1"/>
  <c r="A32" i="45" s="1"/>
  <c r="A33" i="45" s="1"/>
  <c r="A34" i="45" s="1"/>
  <c r="A35" i="45" s="1"/>
  <c r="A41" i="45" s="1"/>
  <c r="A42" i="45" s="1"/>
  <c r="A43" i="45" s="1"/>
  <c r="A44" i="45" s="1"/>
  <c r="A45" i="45" s="1"/>
  <c r="A46" i="45" s="1"/>
  <c r="A47" i="45" s="1"/>
  <c r="A48" i="45" s="1"/>
  <c r="A50" i="45" s="1"/>
  <c r="A51" i="45" s="1"/>
  <c r="A52" i="45" s="1"/>
  <c r="A53" i="45" s="1"/>
  <c r="A54" i="45" s="1"/>
  <c r="A56" i="45" s="1"/>
  <c r="A57" i="45" s="1"/>
  <c r="A58" i="45" s="1"/>
  <c r="A59" i="45" s="1"/>
  <c r="A61" i="45" s="1"/>
  <c r="A62" i="45" s="1"/>
  <c r="A63" i="45" s="1"/>
  <c r="A64" i="45" s="1"/>
  <c r="EH168" i="44"/>
  <c r="EA168" i="44"/>
  <c r="EI168" i="44"/>
  <c r="EL168" i="44"/>
  <c r="DX168" i="44"/>
  <c r="EJ168" i="44"/>
  <c r="EI170" i="44"/>
  <c r="EK168" i="44"/>
  <c r="EL170" i="44"/>
  <c r="EH170" i="44"/>
  <c r="DX170" i="44"/>
  <c r="EK170" i="44"/>
  <c r="EF170" i="44"/>
  <c r="EB168" i="44"/>
  <c r="EA170" i="44"/>
  <c r="EJ170" i="44"/>
  <c r="AG11" i="39"/>
  <c r="AH11" i="39" s="1"/>
  <c r="A9" i="39"/>
  <c r="A10" i="39" s="1"/>
  <c r="A11" i="39" s="1"/>
  <c r="A12" i="39" s="1"/>
  <c r="A13" i="39" s="1"/>
  <c r="A14" i="39" s="1"/>
  <c r="A15"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39" i="39" s="1"/>
  <c r="A40" i="39" s="1"/>
  <c r="A41" i="39" s="1"/>
  <c r="A42" i="39" s="1"/>
  <c r="A46" i="39" s="1"/>
  <c r="BB70" i="31"/>
  <c r="BB15" i="31"/>
  <c r="X15" i="31"/>
  <c r="BB17" i="31"/>
  <c r="X17" i="31"/>
  <c r="BB19" i="31"/>
  <c r="X19" i="31"/>
  <c r="AA23" i="31"/>
  <c r="X23" i="31"/>
  <c r="BB25" i="31"/>
  <c r="X25" i="31"/>
  <c r="AB27" i="31"/>
  <c r="X27" i="31"/>
  <c r="BB29" i="31"/>
  <c r="X29" i="31"/>
  <c r="AA31" i="31"/>
  <c r="X31" i="31"/>
  <c r="AA33" i="31"/>
  <c r="X33" i="31"/>
  <c r="BB35" i="31"/>
  <c r="X35" i="31"/>
  <c r="AB37" i="31"/>
  <c r="X37" i="31"/>
  <c r="BB39" i="31"/>
  <c r="X39" i="31"/>
  <c r="AB42" i="31"/>
  <c r="X42" i="31"/>
  <c r="AB44" i="31"/>
  <c r="X44" i="31"/>
  <c r="AB66" i="31"/>
  <c r="X66" i="31"/>
  <c r="AB68" i="31"/>
  <c r="X68" i="31"/>
  <c r="AA73" i="31"/>
  <c r="X73" i="31"/>
  <c r="Z75" i="31"/>
  <c r="X75" i="31"/>
  <c r="AB77" i="31"/>
  <c r="X77" i="31"/>
  <c r="X13" i="31"/>
  <c r="BB13" i="31"/>
  <c r="X11" i="31"/>
  <c r="Z11" i="31"/>
  <c r="AO11" i="31" s="1"/>
  <c r="AP11" i="31" s="1"/>
  <c r="BB11" i="31"/>
  <c r="AB11" i="31"/>
  <c r="AA11" i="31"/>
  <c r="AG300" i="44"/>
  <c r="AH300" i="44" s="1"/>
  <c r="AN250" i="44"/>
  <c r="AN77" i="31"/>
  <c r="AA11" i="39"/>
  <c r="X93" i="39"/>
  <c r="AB11" i="39"/>
  <c r="AA75" i="31"/>
  <c r="AB75" i="31"/>
  <c r="BB75" i="31"/>
  <c r="AN75" i="31"/>
  <c r="AN73" i="31"/>
  <c r="Z77" i="31"/>
  <c r="BB77" i="31"/>
  <c r="AA77" i="31"/>
  <c r="Z73" i="31"/>
  <c r="BB73" i="31"/>
  <c r="AB73" i="31"/>
  <c r="AN68" i="31"/>
  <c r="AN70" i="31"/>
  <c r="AN15" i="31"/>
  <c r="AB23" i="31"/>
  <c r="AN66" i="31"/>
  <c r="AA70" i="31"/>
  <c r="Z70" i="31"/>
  <c r="AB70" i="31"/>
  <c r="Z68" i="31"/>
  <c r="BB68" i="31"/>
  <c r="AA68" i="31"/>
  <c r="Z66" i="31"/>
  <c r="BB66" i="31"/>
  <c r="AA66" i="31"/>
  <c r="AN23" i="31"/>
  <c r="AN17" i="31"/>
  <c r="BB23" i="31"/>
  <c r="AN25" i="31"/>
  <c r="AN29" i="31"/>
  <c r="AN44" i="31"/>
  <c r="AN42" i="31"/>
  <c r="Z44" i="31"/>
  <c r="AA44" i="31"/>
  <c r="BB44" i="31"/>
  <c r="AG44" i="31"/>
  <c r="AH44" i="31" s="1"/>
  <c r="BB42" i="31"/>
  <c r="AA42" i="31"/>
  <c r="AN39" i="31"/>
  <c r="AA27" i="31"/>
  <c r="Z42" i="31"/>
  <c r="AG42" i="31"/>
  <c r="AH42" i="31" s="1"/>
  <c r="BB27" i="31"/>
  <c r="AN31" i="31"/>
  <c r="AN35" i="31"/>
  <c r="AN37" i="31"/>
  <c r="AN33" i="31"/>
  <c r="Z39" i="31"/>
  <c r="AA39" i="31"/>
  <c r="AG39" i="31"/>
  <c r="AH39" i="31" s="1"/>
  <c r="AB39" i="31"/>
  <c r="Z37" i="31"/>
  <c r="BB37" i="31"/>
  <c r="AG37" i="31"/>
  <c r="AH37" i="31" s="1"/>
  <c r="AA37" i="31"/>
  <c r="AG35" i="31"/>
  <c r="AH35" i="31" s="1"/>
  <c r="Z35" i="31"/>
  <c r="AO35" i="31" s="1"/>
  <c r="AA35" i="31"/>
  <c r="AB35" i="31"/>
  <c r="Z33" i="31"/>
  <c r="BB33" i="31"/>
  <c r="AB33" i="31"/>
  <c r="AG33" i="31"/>
  <c r="AH33" i="31" s="1"/>
  <c r="Z31" i="31"/>
  <c r="AB31" i="31"/>
  <c r="BB31" i="31"/>
  <c r="AG31" i="31"/>
  <c r="AH31" i="31" s="1"/>
  <c r="AN27" i="31"/>
  <c r="Z29" i="31"/>
  <c r="AA29" i="31"/>
  <c r="AB29" i="31"/>
  <c r="AG29" i="31"/>
  <c r="AH29" i="31" s="1"/>
  <c r="Z27" i="31"/>
  <c r="AG27" i="31"/>
  <c r="AH27" i="31" s="1"/>
  <c r="Z25" i="31"/>
  <c r="AA25" i="31"/>
  <c r="AB25" i="31"/>
  <c r="AG25" i="31"/>
  <c r="AH25" i="31" s="1"/>
  <c r="Z23" i="31"/>
  <c r="AG23" i="31"/>
  <c r="AH23" i="31" s="1"/>
  <c r="AG17" i="31"/>
  <c r="AH17" i="31" s="1"/>
  <c r="AN19" i="31"/>
  <c r="AN13" i="31"/>
  <c r="Z19" i="31"/>
  <c r="AA19" i="31"/>
  <c r="AB19" i="31"/>
  <c r="AG19" i="31"/>
  <c r="AH19" i="31" s="1"/>
  <c r="Z17" i="31"/>
  <c r="AA17" i="31"/>
  <c r="AB17" i="31"/>
  <c r="AT17" i="31"/>
  <c r="AU17" i="31" s="1"/>
  <c r="Z15" i="31"/>
  <c r="AB15" i="31"/>
  <c r="AA15" i="31"/>
  <c r="AG15" i="31"/>
  <c r="AH15" i="31" s="1"/>
  <c r="AB13" i="31"/>
  <c r="Z13" i="31"/>
  <c r="AA13" i="31"/>
  <c r="AG13" i="31"/>
  <c r="AH13" i="31" s="1"/>
  <c r="AN313" i="44"/>
  <c r="AB93" i="39"/>
  <c r="BB93" i="39"/>
  <c r="Z93" i="39"/>
  <c r="AN9" i="39"/>
  <c r="X11" i="39"/>
  <c r="Z11" i="39"/>
  <c r="AN36" i="39"/>
  <c r="AN11" i="39"/>
  <c r="AT11" i="39"/>
  <c r="AU11" i="39" s="1"/>
  <c r="AB9" i="39"/>
  <c r="AT9" i="39"/>
  <c r="AU9" i="39" s="1"/>
  <c r="Z9" i="39"/>
  <c r="AA9" i="39"/>
  <c r="BB9" i="39"/>
  <c r="AN93" i="39"/>
  <c r="AN300" i="44"/>
  <c r="AN309" i="44"/>
  <c r="AN89" i="39"/>
  <c r="AG93" i="39"/>
  <c r="AH93" i="39" s="1"/>
  <c r="X89" i="39"/>
  <c r="AB89" i="39"/>
  <c r="BB89" i="39"/>
  <c r="AG89" i="39"/>
  <c r="AH89" i="39" s="1"/>
  <c r="Z89" i="39"/>
  <c r="X32" i="39"/>
  <c r="AN38" i="39"/>
  <c r="AN40" i="39"/>
  <c r="AG34" i="39"/>
  <c r="AH34" i="39" s="1"/>
  <c r="AN34" i="39"/>
  <c r="BB32" i="39"/>
  <c r="AA32" i="39"/>
  <c r="Z32" i="39"/>
  <c r="AN32" i="39"/>
  <c r="Z40" i="39"/>
  <c r="AA40" i="39"/>
  <c r="AB40" i="39"/>
  <c r="BB40" i="39"/>
  <c r="AG40" i="39"/>
  <c r="AH40" i="39" s="1"/>
  <c r="AA38" i="39"/>
  <c r="AB38" i="39"/>
  <c r="X38" i="39"/>
  <c r="Z38" i="39"/>
  <c r="AG38" i="39"/>
  <c r="AH38" i="39" s="1"/>
  <c r="X36" i="39"/>
  <c r="Z36" i="39"/>
  <c r="AA36" i="39"/>
  <c r="AB36" i="39"/>
  <c r="AG36" i="39"/>
  <c r="AH36" i="39" s="1"/>
  <c r="Z34" i="39"/>
  <c r="AA34" i="39"/>
  <c r="AB34" i="39"/>
  <c r="BB34" i="39"/>
  <c r="AG32" i="39"/>
  <c r="AH32" i="39" s="1"/>
  <c r="AN296" i="44"/>
  <c r="Z313" i="44"/>
  <c r="AG313" i="44"/>
  <c r="AH313" i="44" s="1"/>
  <c r="X313" i="44"/>
  <c r="AA313" i="44"/>
  <c r="AB313" i="44"/>
  <c r="X309" i="44"/>
  <c r="Z309" i="44"/>
  <c r="AA309" i="44"/>
  <c r="AB309" i="44"/>
  <c r="AG309" i="44"/>
  <c r="AH309" i="44" s="1"/>
  <c r="X300" i="44"/>
  <c r="Z300" i="44"/>
  <c r="AT300" i="44"/>
  <c r="AU300" i="44" s="1"/>
  <c r="AB300" i="44"/>
  <c r="BB300" i="44"/>
  <c r="Z296" i="44"/>
  <c r="AB296" i="44"/>
  <c r="X296" i="44"/>
  <c r="BB296" i="44"/>
  <c r="AG296" i="44"/>
  <c r="AH296" i="44" s="1"/>
  <c r="AN174" i="44"/>
  <c r="AG49" i="44"/>
  <c r="AH49" i="44" s="1"/>
  <c r="AG194" i="44"/>
  <c r="AH194" i="44" s="1"/>
  <c r="AG28" i="44"/>
  <c r="AH28" i="44" s="1"/>
  <c r="AG192" i="44"/>
  <c r="AH192" i="44" s="1"/>
  <c r="AN252" i="44"/>
  <c r="BB252" i="44"/>
  <c r="X252" i="44"/>
  <c r="AB252" i="44"/>
  <c r="Z252" i="44"/>
  <c r="AG252" i="44"/>
  <c r="AH252" i="44" s="1"/>
  <c r="X250" i="44"/>
  <c r="Z250" i="44"/>
  <c r="AA250" i="44"/>
  <c r="AG250" i="44"/>
  <c r="AH250" i="44" s="1"/>
  <c r="AB250" i="44"/>
  <c r="AG174" i="44"/>
  <c r="AH174" i="44" s="1"/>
  <c r="X192" i="44"/>
  <c r="Z192" i="44"/>
  <c r="AA192" i="44"/>
  <c r="AB192" i="44"/>
  <c r="AN172" i="44"/>
  <c r="AN194" i="44"/>
  <c r="AN192" i="44"/>
  <c r="EK194" i="44"/>
  <c r="EJ194" i="44"/>
  <c r="DX194" i="44"/>
  <c r="EF194" i="44"/>
  <c r="EB194" i="44"/>
  <c r="EA194" i="44"/>
  <c r="EI194" i="44"/>
  <c r="EH194" i="44"/>
  <c r="AT194" i="44"/>
  <c r="AU194" i="44" s="1"/>
  <c r="Z194" i="44"/>
  <c r="AB194" i="44"/>
  <c r="X194" i="44"/>
  <c r="AA194" i="44"/>
  <c r="EK192" i="44"/>
  <c r="EI192" i="44"/>
  <c r="EH192" i="44"/>
  <c r="EF192" i="44"/>
  <c r="EJ192" i="44"/>
  <c r="DX192" i="44"/>
  <c r="EB192" i="44"/>
  <c r="EA192" i="44"/>
  <c r="AT192" i="44"/>
  <c r="AU192" i="44" s="1"/>
  <c r="AG172" i="44"/>
  <c r="AH172" i="44" s="1"/>
  <c r="X174" i="44"/>
  <c r="AB174" i="44"/>
  <c r="Z174" i="44"/>
  <c r="AA174" i="44"/>
  <c r="Z172" i="44"/>
  <c r="BB172" i="44"/>
  <c r="X172" i="44"/>
  <c r="AA172" i="44"/>
  <c r="BB26" i="44"/>
  <c r="BC26" i="44" s="1"/>
  <c r="AN49" i="44"/>
  <c r="AO49" i="44" s="1"/>
  <c r="AQ49" i="44" s="1"/>
  <c r="AG47" i="44"/>
  <c r="AH47" i="44" s="1"/>
  <c r="AN47" i="44"/>
  <c r="BB49" i="44"/>
  <c r="BC49" i="44" s="1"/>
  <c r="AA49" i="44"/>
  <c r="AB49" i="44"/>
  <c r="X49" i="44"/>
  <c r="AB47" i="44"/>
  <c r="BB47" i="44"/>
  <c r="BC47" i="44" s="1"/>
  <c r="X47" i="44"/>
  <c r="Z47" i="44"/>
  <c r="AN24" i="44"/>
  <c r="AN26" i="44"/>
  <c r="AG24" i="44"/>
  <c r="AH24" i="44" s="1"/>
  <c r="AG26" i="44"/>
  <c r="AH26" i="44" s="1"/>
  <c r="X26" i="44"/>
  <c r="Z26" i="44"/>
  <c r="AA26" i="44"/>
  <c r="AN28" i="44"/>
  <c r="AT28" i="44"/>
  <c r="AU28" i="44" s="1"/>
  <c r="EX28" i="44"/>
  <c r="FH28" i="44"/>
  <c r="EE28" i="44"/>
  <c r="Z28" i="44"/>
  <c r="X28" i="44"/>
  <c r="AB28" i="44"/>
  <c r="AA28" i="44"/>
  <c r="AT26" i="44"/>
  <c r="AU26" i="44" s="1"/>
  <c r="X24" i="44"/>
  <c r="Z24" i="44"/>
  <c r="AB24" i="44"/>
  <c r="AT24" i="44" s="1"/>
  <c r="AU24" i="44" s="1"/>
  <c r="BB24" i="44"/>
  <c r="BC24" i="44" s="1"/>
  <c r="FI24" i="44" s="1"/>
  <c r="N50" i="31"/>
  <c r="EB47" i="44" l="1"/>
  <c r="EA47" i="44"/>
  <c r="EL47" i="44"/>
  <c r="EK47" i="44"/>
  <c r="EJ47" i="44"/>
  <c r="DX47" i="44"/>
  <c r="EI47" i="44"/>
  <c r="EH47" i="44"/>
  <c r="EF47" i="44"/>
  <c r="EI49" i="44"/>
  <c r="EH49" i="44"/>
  <c r="EF49" i="44"/>
  <c r="DX49" i="44"/>
  <c r="EJ49" i="44"/>
  <c r="EB49" i="44"/>
  <c r="EA49" i="44"/>
  <c r="EL49" i="44"/>
  <c r="EK49" i="44"/>
  <c r="EX26" i="44"/>
  <c r="FI26" i="44"/>
  <c r="AX11" i="31"/>
  <c r="AW11" i="31"/>
  <c r="AX26" i="44"/>
  <c r="AX192" i="44"/>
  <c r="AX28" i="44"/>
  <c r="AX24" i="44"/>
  <c r="AX194" i="44"/>
  <c r="AX47" i="44"/>
  <c r="AX49" i="44"/>
  <c r="AO93" i="39"/>
  <c r="AP93" i="39" s="1"/>
  <c r="AR11" i="31"/>
  <c r="AS11" i="31" s="1"/>
  <c r="AQ11" i="31"/>
  <c r="AO77" i="31"/>
  <c r="AP77" i="31" s="1"/>
  <c r="AO75" i="31"/>
  <c r="AP75" i="31" s="1"/>
  <c r="AV11" i="31"/>
  <c r="AZ11" i="31"/>
  <c r="BC11" i="31"/>
  <c r="AO36" i="39"/>
  <c r="AP36" i="39" s="1"/>
  <c r="AO250" i="44"/>
  <c r="AP250" i="44" s="1"/>
  <c r="AO66" i="31"/>
  <c r="AP66" i="31" s="1"/>
  <c r="AO73" i="31"/>
  <c r="AP73" i="31" s="1"/>
  <c r="AO68" i="31"/>
  <c r="AP68" i="31" s="1"/>
  <c r="AW68" i="31" s="1"/>
  <c r="AT77" i="31"/>
  <c r="AU77" i="31" s="1"/>
  <c r="AT75" i="31"/>
  <c r="AU75" i="31" s="1"/>
  <c r="AT73" i="31"/>
  <c r="AU73" i="31" s="1"/>
  <c r="AO15" i="31"/>
  <c r="AP15" i="31" s="1"/>
  <c r="AW15" i="31" s="1"/>
  <c r="AO29" i="31"/>
  <c r="AP29" i="31" s="1"/>
  <c r="AO44" i="31"/>
  <c r="AP44" i="31" s="1"/>
  <c r="AW44" i="31" s="1"/>
  <c r="AO70" i="31"/>
  <c r="AP70" i="31" s="1"/>
  <c r="AO17" i="31"/>
  <c r="AP17" i="31" s="1"/>
  <c r="AO23" i="31"/>
  <c r="AP23" i="31" s="1"/>
  <c r="AW23" i="31" s="1"/>
  <c r="AT70" i="31"/>
  <c r="AU70" i="31" s="1"/>
  <c r="AT68" i="31"/>
  <c r="AU68" i="31" s="1"/>
  <c r="AT66" i="31"/>
  <c r="AU66" i="31" s="1"/>
  <c r="AO33" i="31"/>
  <c r="AP33" i="31" s="1"/>
  <c r="AO25" i="31"/>
  <c r="AP25" i="31" s="1"/>
  <c r="AW25" i="31" s="1"/>
  <c r="AO39" i="31"/>
  <c r="AP39" i="31" s="1"/>
  <c r="AO42" i="31"/>
  <c r="AP42" i="31" s="1"/>
  <c r="AO37" i="31"/>
  <c r="AP37" i="31" s="1"/>
  <c r="AO27" i="31"/>
  <c r="AP27" i="31" s="1"/>
  <c r="AW27" i="31" s="1"/>
  <c r="AO31" i="31"/>
  <c r="AP31" i="31" s="1"/>
  <c r="AO13" i="31"/>
  <c r="AP13" i="31" s="1"/>
  <c r="AT39" i="31"/>
  <c r="AU39" i="31" s="1"/>
  <c r="AT37" i="31"/>
  <c r="AU37" i="31" s="1"/>
  <c r="AP35" i="31"/>
  <c r="AT33" i="31"/>
  <c r="AU33" i="31" s="1"/>
  <c r="AT29" i="31"/>
  <c r="AU29" i="31" s="1"/>
  <c r="AT27" i="31"/>
  <c r="AU27" i="31" s="1"/>
  <c r="AO19" i="31"/>
  <c r="AP19" i="31" s="1"/>
  <c r="AW19" i="31" s="1"/>
  <c r="AO9" i="39"/>
  <c r="AP9" i="39" s="1"/>
  <c r="AO313" i="44"/>
  <c r="AP313" i="44" s="1"/>
  <c r="AW313" i="44" s="1"/>
  <c r="AO300" i="44"/>
  <c r="AP300" i="44" s="1"/>
  <c r="AO309" i="44"/>
  <c r="AP309" i="44" s="1"/>
  <c r="AO296" i="44"/>
  <c r="AP296" i="44" s="1"/>
  <c r="AO89" i="39"/>
  <c r="AP89" i="39" s="1"/>
  <c r="AO11" i="39"/>
  <c r="AP11" i="39" s="1"/>
  <c r="AO38" i="39"/>
  <c r="AP38" i="39" s="1"/>
  <c r="AW38" i="39" s="1"/>
  <c r="AT93" i="39"/>
  <c r="AU93" i="39" s="1"/>
  <c r="AO32" i="39"/>
  <c r="AP32" i="39" s="1"/>
  <c r="AO40" i="39"/>
  <c r="AP40" i="39" s="1"/>
  <c r="AO34" i="39"/>
  <c r="AP34" i="39" s="1"/>
  <c r="AW34" i="39" s="1"/>
  <c r="AT36" i="39"/>
  <c r="AU36" i="39" s="1"/>
  <c r="AT32" i="39"/>
  <c r="AU32" i="39" s="1"/>
  <c r="A47" i="39"/>
  <c r="AO194" i="44"/>
  <c r="AQ194" i="44" s="1"/>
  <c r="AO174" i="44"/>
  <c r="AT296" i="44"/>
  <c r="AU296" i="44" s="1"/>
  <c r="AO252" i="44"/>
  <c r="AP252" i="44" s="1"/>
  <c r="AO192" i="44"/>
  <c r="AQ192" i="44" s="1"/>
  <c r="AR192" i="44"/>
  <c r="AS192" i="44" s="1"/>
  <c r="AO172" i="44"/>
  <c r="AO26" i="44"/>
  <c r="AQ26" i="44" s="1"/>
  <c r="AR194" i="44"/>
  <c r="AS194" i="44" s="1"/>
  <c r="EE26" i="44"/>
  <c r="FH26" i="44"/>
  <c r="AO24" i="44"/>
  <c r="AQ24" i="44" s="1"/>
  <c r="AT174" i="44"/>
  <c r="AU174" i="44" s="1"/>
  <c r="AT172" i="44"/>
  <c r="AU172" i="44" s="1"/>
  <c r="AO47" i="44"/>
  <c r="AQ47" i="44" s="1"/>
  <c r="AR26" i="44"/>
  <c r="AS26" i="44" s="1"/>
  <c r="AR49" i="44"/>
  <c r="AS49" i="44" s="1"/>
  <c r="AT49" i="44"/>
  <c r="AU49" i="44" s="1"/>
  <c r="AT47" i="44"/>
  <c r="AU47" i="44" s="1"/>
  <c r="AR47" i="44"/>
  <c r="AS47" i="44" s="1"/>
  <c r="AR28" i="44"/>
  <c r="AS28" i="44" s="1"/>
  <c r="AO28" i="44"/>
  <c r="AQ28" i="44" s="1"/>
  <c r="EX24" i="44"/>
  <c r="FH24" i="44"/>
  <c r="EE24" i="44"/>
  <c r="AR24" i="44"/>
  <c r="AS24" i="44" s="1"/>
  <c r="AP174" i="44" l="1"/>
  <c r="AP172" i="44"/>
  <c r="AR89" i="39"/>
  <c r="AS89" i="39" s="1"/>
  <c r="AW89" i="39"/>
  <c r="AV36" i="39"/>
  <c r="AW36" i="39"/>
  <c r="AR11" i="39"/>
  <c r="AS11" i="39" s="1"/>
  <c r="AW11" i="39"/>
  <c r="AX9" i="39"/>
  <c r="AW9" i="39"/>
  <c r="AX40" i="39"/>
  <c r="AW40" i="39"/>
  <c r="AR32" i="39"/>
  <c r="AS32" i="39" s="1"/>
  <c r="AW32" i="39"/>
  <c r="AQ93" i="39"/>
  <c r="AW93" i="39"/>
  <c r="BC17" i="31"/>
  <c r="ER17" i="31" s="1"/>
  <c r="AW17" i="31"/>
  <c r="AX73" i="31"/>
  <c r="AW73" i="31"/>
  <c r="AR66" i="31"/>
  <c r="AS66" i="31" s="1"/>
  <c r="AW66" i="31"/>
  <c r="AZ70" i="31"/>
  <c r="AW70" i="31"/>
  <c r="AX37" i="31"/>
  <c r="AW37" i="31"/>
  <c r="AX29" i="31"/>
  <c r="AW29" i="31"/>
  <c r="AQ42" i="31"/>
  <c r="AW42" i="31"/>
  <c r="BC13" i="31"/>
  <c r="AW13" i="31"/>
  <c r="AR39" i="31"/>
  <c r="AS39" i="31" s="1"/>
  <c r="AW39" i="31"/>
  <c r="AZ75" i="31"/>
  <c r="AW75" i="31"/>
  <c r="BC33" i="31"/>
  <c r="FZ33" i="31" s="1"/>
  <c r="AW33" i="31"/>
  <c r="AR35" i="31"/>
  <c r="AS35" i="31" s="1"/>
  <c r="AW35" i="31"/>
  <c r="AQ31" i="31"/>
  <c r="AW31" i="31"/>
  <c r="AZ77" i="31"/>
  <c r="AW77" i="31"/>
  <c r="AV252" i="44"/>
  <c r="AW252" i="44"/>
  <c r="AV250" i="44"/>
  <c r="AW250" i="44"/>
  <c r="AQ296" i="44"/>
  <c r="AW296" i="44"/>
  <c r="AT309" i="44"/>
  <c r="AU309" i="44" s="1"/>
  <c r="AW309" i="44"/>
  <c r="BC300" i="44"/>
  <c r="DZ300" i="44" s="1"/>
  <c r="AW300" i="44"/>
  <c r="AR77" i="31"/>
  <c r="AS77" i="31" s="1"/>
  <c r="AQ75" i="31"/>
  <c r="AX75" i="31"/>
  <c r="BC77" i="31"/>
  <c r="EQ77" i="31" s="1"/>
  <c r="AR73" i="31"/>
  <c r="AS73" i="31" s="1"/>
  <c r="AR75" i="31"/>
  <c r="AS75" i="31" s="1"/>
  <c r="BC75" i="31"/>
  <c r="EQ75" i="31" s="1"/>
  <c r="AV75" i="31"/>
  <c r="AQ66" i="31"/>
  <c r="AV77" i="31"/>
  <c r="AR36" i="39"/>
  <c r="AS36" i="39" s="1"/>
  <c r="AX93" i="39"/>
  <c r="BC93" i="39"/>
  <c r="AX36" i="39"/>
  <c r="AV93" i="39"/>
  <c r="AZ36" i="39"/>
  <c r="BC36" i="39"/>
  <c r="AZ93" i="39"/>
  <c r="AQ77" i="31"/>
  <c r="AX66" i="31"/>
  <c r="AV66" i="31"/>
  <c r="BC73" i="31"/>
  <c r="EQ73" i="31" s="1"/>
  <c r="AX77" i="31"/>
  <c r="AR93" i="39"/>
  <c r="AS93" i="39" s="1"/>
  <c r="BC11" i="39"/>
  <c r="AZ66" i="31"/>
  <c r="BC66" i="31"/>
  <c r="EP66" i="31" s="1"/>
  <c r="AZ73" i="31"/>
  <c r="AQ36" i="39"/>
  <c r="BC9" i="39"/>
  <c r="AV300" i="44"/>
  <c r="AX300" i="44"/>
  <c r="AQ73" i="31"/>
  <c r="AV73" i="31"/>
  <c r="BC70" i="31"/>
  <c r="EP70" i="31" s="1"/>
  <c r="AR70" i="31"/>
  <c r="AS70" i="31" s="1"/>
  <c r="AX70" i="31"/>
  <c r="AV70" i="31"/>
  <c r="AR9" i="39"/>
  <c r="AS9" i="39" s="1"/>
  <c r="AZ9" i="39"/>
  <c r="AQ9" i="39"/>
  <c r="AV9" i="39"/>
  <c r="AR300" i="44"/>
  <c r="AS300" i="44" s="1"/>
  <c r="AR17" i="31"/>
  <c r="AS17" i="31" s="1"/>
  <c r="AX17" i="31"/>
  <c r="AZ17" i="31"/>
  <c r="AQ70" i="31"/>
  <c r="AQ17" i="31"/>
  <c r="AV17" i="31"/>
  <c r="AR33" i="31"/>
  <c r="AS33" i="31" s="1"/>
  <c r="BC37" i="31"/>
  <c r="AX33" i="31"/>
  <c r="AV39" i="31"/>
  <c r="AV33" i="31"/>
  <c r="AZ39" i="31"/>
  <c r="AZ33" i="31"/>
  <c r="BC39" i="31"/>
  <c r="FR39" i="31" s="1"/>
  <c r="AQ33" i="31"/>
  <c r="AQ39" i="31"/>
  <c r="AX39" i="31"/>
  <c r="BC68" i="31"/>
  <c r="EP68" i="31" s="1"/>
  <c r="AV68" i="31"/>
  <c r="AZ68" i="31"/>
  <c r="AX68" i="31"/>
  <c r="AQ68" i="31"/>
  <c r="AR68" i="31"/>
  <c r="AS68" i="31" s="1"/>
  <c r="AV27" i="31"/>
  <c r="AZ37" i="31"/>
  <c r="AQ37" i="31"/>
  <c r="AZ27" i="31"/>
  <c r="BC27" i="31"/>
  <c r="EB27" i="31" s="1"/>
  <c r="AV37" i="31"/>
  <c r="AX27" i="31"/>
  <c r="AR27" i="31"/>
  <c r="AS27" i="31" s="1"/>
  <c r="AR37" i="31"/>
  <c r="AS37" i="31" s="1"/>
  <c r="AQ27" i="31"/>
  <c r="AZ44" i="31"/>
  <c r="BC44" i="31"/>
  <c r="AV44" i="31"/>
  <c r="AQ44" i="31"/>
  <c r="AX44" i="31"/>
  <c r="AT44" i="31"/>
  <c r="AU44" i="31" s="1"/>
  <c r="AR44" i="31"/>
  <c r="AS44" i="31" s="1"/>
  <c r="BC42" i="31"/>
  <c r="AZ42" i="31"/>
  <c r="AV42" i="31"/>
  <c r="AT42" i="31"/>
  <c r="AU42" i="31" s="1"/>
  <c r="AX42" i="31"/>
  <c r="AR42" i="31"/>
  <c r="AS42" i="31" s="1"/>
  <c r="BC35" i="31"/>
  <c r="FZ35" i="31" s="1"/>
  <c r="AZ35" i="31"/>
  <c r="AV35" i="31"/>
  <c r="AQ35" i="31"/>
  <c r="AT35" i="31"/>
  <c r="AU35" i="31" s="1"/>
  <c r="AX35" i="31"/>
  <c r="BC31" i="31"/>
  <c r="AZ31" i="31"/>
  <c r="AV31" i="31"/>
  <c r="AT31" i="31"/>
  <c r="AU31" i="31" s="1"/>
  <c r="AX31" i="31"/>
  <c r="AR31" i="31"/>
  <c r="AS31" i="31" s="1"/>
  <c r="AQ29" i="31"/>
  <c r="BC29" i="31"/>
  <c r="AZ29" i="31"/>
  <c r="AV29" i="31"/>
  <c r="AR29" i="31"/>
  <c r="AS29" i="31" s="1"/>
  <c r="AZ25" i="31"/>
  <c r="BC25" i="31"/>
  <c r="AV25" i="31"/>
  <c r="AQ25" i="31"/>
  <c r="AR25" i="31"/>
  <c r="AS25" i="31" s="1"/>
  <c r="AX25" i="31"/>
  <c r="AT25" i="31"/>
  <c r="AU25" i="31" s="1"/>
  <c r="BC23" i="31"/>
  <c r="AZ23" i="31"/>
  <c r="AV23" i="31"/>
  <c r="AQ23" i="31"/>
  <c r="AX23" i="31"/>
  <c r="AT23" i="31"/>
  <c r="AU23" i="31" s="1"/>
  <c r="AR23" i="31"/>
  <c r="AS23" i="31" s="1"/>
  <c r="BC19" i="31"/>
  <c r="AZ19" i="31"/>
  <c r="AV19" i="31"/>
  <c r="AQ19" i="31"/>
  <c r="AX19" i="31"/>
  <c r="AT19" i="31"/>
  <c r="AU19" i="31" s="1"/>
  <c r="AR19" i="31"/>
  <c r="AS19" i="31" s="1"/>
  <c r="BC15" i="31"/>
  <c r="AZ15" i="31"/>
  <c r="AV15" i="31"/>
  <c r="AQ15" i="31"/>
  <c r="AT15" i="31"/>
  <c r="AU15" i="31" s="1"/>
  <c r="AR15" i="31"/>
  <c r="AS15" i="31" s="1"/>
  <c r="AX15" i="31"/>
  <c r="AV13" i="31"/>
  <c r="AZ13" i="31"/>
  <c r="AQ13" i="31"/>
  <c r="AT13" i="31"/>
  <c r="AU13" i="31" s="1"/>
  <c r="AX13" i="31"/>
  <c r="AR13" i="31"/>
  <c r="AS13" i="31" s="1"/>
  <c r="AQ11" i="39"/>
  <c r="AV11" i="39"/>
  <c r="AQ300" i="44"/>
  <c r="AZ300" i="44"/>
  <c r="AZ11" i="39"/>
  <c r="AX11" i="39"/>
  <c r="AQ32" i="39"/>
  <c r="AV32" i="39"/>
  <c r="AZ32" i="39"/>
  <c r="BC32" i="39"/>
  <c r="AX32" i="39"/>
  <c r="AQ89" i="39"/>
  <c r="AT89" i="39"/>
  <c r="AU89" i="39" s="1"/>
  <c r="AZ89" i="39"/>
  <c r="AV89" i="39"/>
  <c r="BC89" i="39"/>
  <c r="AX89" i="39"/>
  <c r="A48" i="39"/>
  <c r="A49" i="39" s="1"/>
  <c r="A50" i="39" s="1"/>
  <c r="A51" i="39" s="1"/>
  <c r="A52" i="39" s="1"/>
  <c r="A53" i="39" s="1"/>
  <c r="A54" i="39" s="1"/>
  <c r="A55" i="39" s="1"/>
  <c r="A56" i="39" s="1"/>
  <c r="A57" i="39" s="1"/>
  <c r="A58" i="39" s="1"/>
  <c r="A59" i="39" s="1"/>
  <c r="A60" i="39" s="1"/>
  <c r="A61" i="39" s="1"/>
  <c r="A62" i="39" s="1"/>
  <c r="A74" i="39" s="1"/>
  <c r="A75" i="39" s="1"/>
  <c r="A77" i="39" s="1"/>
  <c r="AQ40" i="39"/>
  <c r="AT40" i="39"/>
  <c r="AU40" i="39" s="1"/>
  <c r="BC40" i="39"/>
  <c r="AZ40" i="39"/>
  <c r="AV40" i="39"/>
  <c r="AR40" i="39"/>
  <c r="AS40" i="39" s="1"/>
  <c r="AV38" i="39"/>
  <c r="BC38" i="39"/>
  <c r="AZ38" i="39"/>
  <c r="AR38" i="39"/>
  <c r="AS38" i="39" s="1"/>
  <c r="AX38" i="39"/>
  <c r="AQ38" i="39"/>
  <c r="AT38" i="39"/>
  <c r="AU38" i="39" s="1"/>
  <c r="AV34" i="39"/>
  <c r="BC34" i="39"/>
  <c r="AZ34" i="39"/>
  <c r="AX34" i="39"/>
  <c r="AT34" i="39"/>
  <c r="AU34" i="39" s="1"/>
  <c r="AR34" i="39"/>
  <c r="AS34" i="39" s="1"/>
  <c r="AQ34" i="39"/>
  <c r="AQ309" i="44"/>
  <c r="AR309" i="44"/>
  <c r="AS309" i="44" s="1"/>
  <c r="AV313" i="44"/>
  <c r="AQ313" i="44"/>
  <c r="AR313" i="44"/>
  <c r="AS313" i="44" s="1"/>
  <c r="AT313" i="44"/>
  <c r="AU313" i="44" s="1"/>
  <c r="AV309" i="44"/>
  <c r="AZ296" i="44"/>
  <c r="AV296" i="44"/>
  <c r="BC296" i="44"/>
  <c r="AX296" i="44"/>
  <c r="AR296" i="44"/>
  <c r="AS296" i="44" s="1"/>
  <c r="BC252" i="44"/>
  <c r="EI252" i="44" s="1"/>
  <c r="AZ252" i="44"/>
  <c r="AQ252" i="44"/>
  <c r="AX252" i="44"/>
  <c r="AT252" i="44"/>
  <c r="AU252" i="44" s="1"/>
  <c r="AR252" i="44"/>
  <c r="AS252" i="44" s="1"/>
  <c r="BC250" i="44"/>
  <c r="EI250" i="44" s="1"/>
  <c r="AZ250" i="44"/>
  <c r="AQ250" i="44"/>
  <c r="AT250" i="44"/>
  <c r="AU250" i="44" s="1"/>
  <c r="AX250" i="44"/>
  <c r="AR250" i="44"/>
  <c r="AS250" i="44" s="1"/>
  <c r="N63" i="45"/>
  <c r="N62" i="45"/>
  <c r="N61" i="45"/>
  <c r="N58" i="45"/>
  <c r="N57" i="45"/>
  <c r="N56" i="45"/>
  <c r="N53" i="45"/>
  <c r="N52" i="45"/>
  <c r="N51" i="45"/>
  <c r="N50" i="45"/>
  <c r="N122" i="39"/>
  <c r="W148" i="39"/>
  <c r="N158" i="39"/>
  <c r="N157" i="39"/>
  <c r="N156" i="39"/>
  <c r="N155" i="39"/>
  <c r="N154" i="39"/>
  <c r="N153" i="39"/>
  <c r="N152" i="39"/>
  <c r="N151" i="39"/>
  <c r="N150" i="39"/>
  <c r="N149" i="39"/>
  <c r="N148" i="39"/>
  <c r="AE270" i="44"/>
  <c r="AD270" i="44"/>
  <c r="AE242" i="44"/>
  <c r="AD242" i="44"/>
  <c r="AC123" i="44"/>
  <c r="AC124" i="44"/>
  <c r="AC125" i="44"/>
  <c r="AG70" i="44"/>
  <c r="AH70" i="44" s="1"/>
  <c r="EB17" i="31" l="1"/>
  <c r="EF17" i="31"/>
  <c r="EN17" i="31"/>
  <c r="EO17" i="31"/>
  <c r="EA17" i="31"/>
  <c r="EV17" i="31"/>
  <c r="DX17" i="31"/>
  <c r="AW172" i="44"/>
  <c r="AV172" i="44"/>
  <c r="AZ172" i="44"/>
  <c r="BC172" i="44"/>
  <c r="AR172" i="44"/>
  <c r="AS172" i="44" s="1"/>
  <c r="AX172" i="44"/>
  <c r="AQ172" i="44"/>
  <c r="AV174" i="44"/>
  <c r="AW174" i="44"/>
  <c r="AZ174" i="44"/>
  <c r="BC174" i="44"/>
  <c r="AX174" i="44"/>
  <c r="AR174" i="44"/>
  <c r="AS174" i="44" s="1"/>
  <c r="AQ174" i="44"/>
  <c r="GD89" i="39"/>
  <c r="FZ89" i="39"/>
  <c r="FY89" i="39"/>
  <c r="GA89" i="39"/>
  <c r="GF89" i="39"/>
  <c r="FX9" i="39"/>
  <c r="FU9" i="39"/>
  <c r="FW9" i="39"/>
  <c r="FV9" i="39"/>
  <c r="FZ38" i="39"/>
  <c r="FY38" i="39"/>
  <c r="GB38" i="39"/>
  <c r="GB36" i="39"/>
  <c r="FZ36" i="39"/>
  <c r="FY36" i="39"/>
  <c r="GB32" i="39"/>
  <c r="FY32" i="39"/>
  <c r="FZ32" i="39"/>
  <c r="FX11" i="39"/>
  <c r="FW11" i="39"/>
  <c r="FV11" i="39"/>
  <c r="FU11" i="39"/>
  <c r="GA93" i="39"/>
  <c r="FZ93" i="39"/>
  <c r="FY93" i="39"/>
  <c r="GD93" i="39"/>
  <c r="GF93" i="39"/>
  <c r="FY34" i="39"/>
  <c r="GB34" i="39"/>
  <c r="FZ34" i="39"/>
  <c r="FY40" i="39"/>
  <c r="GB40" i="39"/>
  <c r="FZ40" i="39"/>
  <c r="FT9" i="39"/>
  <c r="EG9" i="39"/>
  <c r="FQ9" i="39"/>
  <c r="FS36" i="39"/>
  <c r="FT11" i="39"/>
  <c r="EG11" i="39"/>
  <c r="FQ11" i="39"/>
  <c r="DX33" i="31"/>
  <c r="FY33" i="31"/>
  <c r="FP33" i="31"/>
  <c r="FR33" i="31"/>
  <c r="DY300" i="44"/>
  <c r="DX300" i="44"/>
  <c r="ER75" i="31"/>
  <c r="EW75" i="31"/>
  <c r="EW73" i="31"/>
  <c r="EW77" i="31"/>
  <c r="ER77" i="31"/>
  <c r="ER73" i="31"/>
  <c r="FS93" i="39"/>
  <c r="A78" i="39"/>
  <c r="A79" i="39" s="1"/>
  <c r="A80" i="39" s="1"/>
  <c r="A81" i="39" s="1"/>
  <c r="FS11" i="39"/>
  <c r="FS9" i="39"/>
  <c r="DX39" i="31"/>
  <c r="FZ39" i="31"/>
  <c r="FR37" i="31"/>
  <c r="FZ37" i="31"/>
  <c r="FY39" i="31"/>
  <c r="FP37" i="31"/>
  <c r="DX37" i="31"/>
  <c r="FY37" i="31"/>
  <c r="FP39" i="31"/>
  <c r="EH27" i="31"/>
  <c r="EI27" i="31"/>
  <c r="DX27" i="31"/>
  <c r="EA27" i="31"/>
  <c r="EF27" i="31"/>
  <c r="EE44" i="31"/>
  <c r="DX44" i="31"/>
  <c r="EA44" i="31"/>
  <c r="ED44" i="31"/>
  <c r="EC44" i="31"/>
  <c r="DX42" i="31"/>
  <c r="EE42" i="31"/>
  <c r="ED42" i="31"/>
  <c r="EC42" i="31"/>
  <c r="EA42" i="31"/>
  <c r="FR35" i="31"/>
  <c r="FY35" i="31"/>
  <c r="DX35" i="31"/>
  <c r="FP35" i="31"/>
  <c r="DX31" i="31"/>
  <c r="EH31" i="31"/>
  <c r="EF31" i="31"/>
  <c r="EI31" i="31"/>
  <c r="EA31" i="31"/>
  <c r="EB31" i="31"/>
  <c r="EH29" i="31"/>
  <c r="EF29" i="31"/>
  <c r="DX29" i="31"/>
  <c r="EB29" i="31"/>
  <c r="EA29" i="31"/>
  <c r="EF25" i="31"/>
  <c r="EA25" i="31"/>
  <c r="DX25" i="31"/>
  <c r="EH25" i="31"/>
  <c r="EB25" i="31"/>
  <c r="EJ23" i="31"/>
  <c r="DX23" i="31"/>
  <c r="EI23" i="31"/>
  <c r="EH23" i="31"/>
  <c r="EF23" i="31"/>
  <c r="EB23" i="31"/>
  <c r="EA23" i="31"/>
  <c r="EK19" i="31"/>
  <c r="EJ19" i="31"/>
  <c r="DX19" i="31"/>
  <c r="EI19" i="31"/>
  <c r="EH19" i="31"/>
  <c r="EF19" i="31"/>
  <c r="EB19" i="31"/>
  <c r="EA19" i="31"/>
  <c r="EL19" i="31"/>
  <c r="DX15" i="31"/>
  <c r="EF15" i="31"/>
  <c r="EN15" i="31"/>
  <c r="EV15" i="31"/>
  <c r="ER15" i="31"/>
  <c r="EO15" i="31"/>
  <c r="EB15" i="31"/>
  <c r="EA15" i="31"/>
  <c r="DX13" i="31"/>
  <c r="EV13" i="31"/>
  <c r="EF13" i="31"/>
  <c r="EA13" i="31"/>
  <c r="EB13" i="31"/>
  <c r="ER13" i="31"/>
  <c r="EO13" i="31"/>
  <c r="EN13" i="31"/>
  <c r="DX11" i="31"/>
  <c r="EV11" i="31"/>
  <c r="ER11" i="31"/>
  <c r="EF11" i="31"/>
  <c r="EO11" i="31"/>
  <c r="EN11" i="31"/>
  <c r="EB11" i="31"/>
  <c r="EA11" i="31"/>
  <c r="FS32" i="39"/>
  <c r="FS89" i="39"/>
  <c r="FS40" i="39"/>
  <c r="FS38" i="39"/>
  <c r="FS34" i="39"/>
  <c r="DY296" i="44"/>
  <c r="DX296" i="44"/>
  <c r="DZ296" i="44"/>
  <c r="DX252" i="44"/>
  <c r="EH252" i="44"/>
  <c r="EF252" i="44"/>
  <c r="EB252" i="44"/>
  <c r="EA252" i="44"/>
  <c r="EH250" i="44"/>
  <c r="EF250" i="44"/>
  <c r="DX250" i="44"/>
  <c r="EB250" i="44"/>
  <c r="EA250" i="44"/>
  <c r="N404" i="44"/>
  <c r="N403" i="44"/>
  <c r="N402" i="44"/>
  <c r="N401" i="44"/>
  <c r="N400" i="44"/>
  <c r="N399" i="44"/>
  <c r="N398" i="44"/>
  <c r="N397" i="44"/>
  <c r="N396" i="44"/>
  <c r="N395" i="44"/>
  <c r="N392" i="44"/>
  <c r="N391" i="44"/>
  <c r="N390" i="44"/>
  <c r="N389" i="44"/>
  <c r="N388" i="44"/>
  <c r="N387" i="44"/>
  <c r="N386" i="44"/>
  <c r="N382" i="44"/>
  <c r="N381" i="44"/>
  <c r="N380" i="44"/>
  <c r="N379" i="44"/>
  <c r="N378" i="44"/>
  <c r="N377" i="44"/>
  <c r="N375" i="44"/>
  <c r="N374" i="44"/>
  <c r="N373" i="44"/>
  <c r="N372" i="44"/>
  <c r="N371" i="44"/>
  <c r="AE404" i="44"/>
  <c r="AE403" i="44"/>
  <c r="AD404" i="44"/>
  <c r="AE400" i="44"/>
  <c r="AE399" i="44"/>
  <c r="AD399" i="44"/>
  <c r="AE398" i="44"/>
  <c r="AD398" i="44"/>
  <c r="AE397" i="44"/>
  <c r="AE391" i="44"/>
  <c r="AE390" i="44"/>
  <c r="AD390" i="44"/>
  <c r="AE389" i="44"/>
  <c r="AD389" i="44"/>
  <c r="AE388" i="44"/>
  <c r="AE376" i="44"/>
  <c r="AE375" i="44"/>
  <c r="AD375" i="44"/>
  <c r="AE374" i="44"/>
  <c r="AD374" i="44"/>
  <c r="AE373" i="44"/>
  <c r="A82" i="39" l="1"/>
  <c r="A85" i="39" s="1"/>
  <c r="A86" i="39" s="1"/>
  <c r="A87" i="39" s="1"/>
  <c r="A88" i="39" s="1"/>
  <c r="A89" i="39" s="1"/>
  <c r="A90" i="39" s="1"/>
  <c r="A91" i="39" s="1"/>
  <c r="A92" i="39" s="1"/>
  <c r="A93" i="39" s="1"/>
  <c r="A94" i="39" s="1"/>
  <c r="A95" i="39" s="1"/>
  <c r="EA174" i="44"/>
  <c r="EI174" i="44"/>
  <c r="EB174" i="44"/>
  <c r="EF174" i="44"/>
  <c r="EH174" i="44"/>
  <c r="DX174" i="44"/>
  <c r="EJ174" i="44"/>
  <c r="DX172" i="44"/>
  <c r="EI172" i="44"/>
  <c r="EB172" i="44"/>
  <c r="EH172" i="44"/>
  <c r="EF172" i="44"/>
  <c r="EA172" i="44"/>
  <c r="EJ172" i="44"/>
  <c r="AD381" i="44"/>
  <c r="AD380" i="44"/>
  <c r="AD379" i="44"/>
  <c r="AD378" i="44"/>
  <c r="A100" i="39" l="1"/>
  <c r="A101" i="39" s="1"/>
  <c r="A102" i="39" s="1"/>
  <c r="A96" i="39"/>
  <c r="A97" i="39" s="1"/>
  <c r="A98" i="39" s="1"/>
  <c r="A99" i="39" s="1"/>
  <c r="AE106" i="44"/>
  <c r="AE105" i="44"/>
  <c r="AE104" i="44"/>
  <c r="AE103" i="44"/>
  <c r="AE102" i="44"/>
  <c r="A103" i="39" l="1"/>
  <c r="A105" i="39" s="1"/>
  <c r="A106" i="39" s="1"/>
  <c r="A107" i="39" s="1"/>
  <c r="A108" i="39" s="1"/>
  <c r="A109" i="39" s="1"/>
  <c r="A110" i="39" s="1"/>
  <c r="A111" i="39" s="1"/>
  <c r="A113" i="39" s="1"/>
  <c r="A12" i="44"/>
  <c r="A13" i="44" s="1"/>
  <c r="A14" i="44" s="1"/>
  <c r="A15" i="44" s="1"/>
  <c r="A16" i="44" s="1"/>
  <c r="A17" i="44" s="1"/>
  <c r="A18" i="44" s="1"/>
  <c r="A19" i="44" s="1"/>
  <c r="A20" i="44" s="1"/>
  <c r="A21" i="44" s="1"/>
  <c r="A22" i="44" s="1"/>
  <c r="A23" i="44" s="1"/>
  <c r="AI8" i="39"/>
  <c r="AT95" i="45"/>
  <c r="AT94" i="45"/>
  <c r="AT93" i="45"/>
  <c r="AT92" i="45"/>
  <c r="AT91" i="45"/>
  <c r="AT90" i="45"/>
  <c r="AT89" i="45"/>
  <c r="AT88" i="45"/>
  <c r="AT87" i="45"/>
  <c r="AT86" i="45"/>
  <c r="AT85" i="45"/>
  <c r="AT84" i="45"/>
  <c r="AT83" i="45"/>
  <c r="AT82" i="45"/>
  <c r="AT81" i="45"/>
  <c r="AT80" i="45"/>
  <c r="AT79" i="45"/>
  <c r="AT78" i="45"/>
  <c r="AT77" i="45"/>
  <c r="AT76" i="45"/>
  <c r="AT75" i="45"/>
  <c r="AT74" i="45"/>
  <c r="AT73" i="45"/>
  <c r="AT72" i="45"/>
  <c r="AT71" i="45"/>
  <c r="AT70" i="45"/>
  <c r="AT69" i="45"/>
  <c r="AT68" i="45"/>
  <c r="AT67" i="45"/>
  <c r="AT66" i="45"/>
  <c r="AT63" i="45"/>
  <c r="AT62" i="45"/>
  <c r="AT61" i="45"/>
  <c r="AT58" i="45"/>
  <c r="AT57" i="45"/>
  <c r="AT56" i="45"/>
  <c r="AT53" i="45"/>
  <c r="AT52" i="45"/>
  <c r="AT51" i="45"/>
  <c r="AT50" i="45"/>
  <c r="AT46" i="45"/>
  <c r="AT45" i="45"/>
  <c r="AT44" i="45"/>
  <c r="AT43" i="45"/>
  <c r="AT42" i="45"/>
  <c r="AT41" i="45"/>
  <c r="AT39" i="45"/>
  <c r="AT38" i="45"/>
  <c r="AT37" i="45"/>
  <c r="AT36" i="45"/>
  <c r="AT35" i="45"/>
  <c r="AT34" i="45"/>
  <c r="AT33" i="45"/>
  <c r="AT32" i="45"/>
  <c r="AT31" i="45"/>
  <c r="AT30" i="45"/>
  <c r="AT25" i="45"/>
  <c r="AT24" i="45"/>
  <c r="AT23" i="45"/>
  <c r="AT22" i="45"/>
  <c r="AT21" i="45"/>
  <c r="AT16" i="45"/>
  <c r="AT15" i="45"/>
  <c r="AT10" i="45"/>
  <c r="AT9" i="45"/>
  <c r="S106" i="44"/>
  <c r="P106" i="44"/>
  <c r="O106" i="44"/>
  <c r="N106" i="44"/>
  <c r="S105" i="44"/>
  <c r="P105" i="44"/>
  <c r="O105" i="44"/>
  <c r="N105" i="44"/>
  <c r="S104" i="44"/>
  <c r="P104" i="44"/>
  <c r="O104" i="44"/>
  <c r="N104" i="44"/>
  <c r="S103" i="44"/>
  <c r="P103" i="44"/>
  <c r="O103" i="44"/>
  <c r="N103" i="44"/>
  <c r="S102" i="44"/>
  <c r="P102" i="44"/>
  <c r="O102" i="44"/>
  <c r="N102" i="44"/>
  <c r="N101" i="44"/>
  <c r="O101" i="44"/>
  <c r="P101" i="44"/>
  <c r="S101" i="44"/>
  <c r="N422" i="44"/>
  <c r="AT58" i="31"/>
  <c r="AT7" i="31"/>
  <c r="AT20" i="31"/>
  <c r="AT21" i="31"/>
  <c r="AT79" i="31"/>
  <c r="AT80" i="31"/>
  <c r="AT60" i="31"/>
  <c r="AT61" i="31"/>
  <c r="AT62" i="31"/>
  <c r="AT50" i="31"/>
  <c r="AT51" i="31"/>
  <c r="AT52" i="31"/>
  <c r="AT53" i="31"/>
  <c r="AT54" i="31"/>
  <c r="AT55" i="31"/>
  <c r="AT56" i="31"/>
  <c r="AT47" i="31"/>
  <c r="AT48" i="31"/>
  <c r="AT45" i="31"/>
  <c r="N230" i="44"/>
  <c r="AT442" i="44"/>
  <c r="AT441" i="44"/>
  <c r="AT440" i="44"/>
  <c r="AT439" i="44"/>
  <c r="AT438" i="44"/>
  <c r="AT437" i="44"/>
  <c r="AT436" i="44"/>
  <c r="AT435" i="44"/>
  <c r="AT434" i="44"/>
  <c r="AT433" i="44"/>
  <c r="AT432" i="44"/>
  <c r="AT431" i="44"/>
  <c r="AT430" i="44"/>
  <c r="AT429" i="44"/>
  <c r="AT428" i="44"/>
  <c r="AT427" i="44"/>
  <c r="AT426" i="44"/>
  <c r="AT425" i="44"/>
  <c r="AT424" i="44"/>
  <c r="AT423" i="44"/>
  <c r="AT422" i="44"/>
  <c r="AT421" i="44"/>
  <c r="AT420" i="44"/>
  <c r="AT419" i="44"/>
  <c r="AT418" i="44"/>
  <c r="AT414" i="44"/>
  <c r="AT413" i="44"/>
  <c r="AT412" i="44"/>
  <c r="AT411" i="44"/>
  <c r="AT410" i="44"/>
  <c r="AT409" i="44"/>
  <c r="AT408" i="44"/>
  <c r="AT407" i="44"/>
  <c r="AT404" i="44"/>
  <c r="AT403" i="44"/>
  <c r="AT402" i="44"/>
  <c r="AT401" i="44"/>
  <c r="AT400" i="44"/>
  <c r="AT399" i="44"/>
  <c r="AT398" i="44"/>
  <c r="AT397" i="44"/>
  <c r="AT396" i="44"/>
  <c r="AT395" i="44"/>
  <c r="AT392" i="44"/>
  <c r="AT391" i="44"/>
  <c r="AT390" i="44"/>
  <c r="AT389" i="44"/>
  <c r="AT388" i="44"/>
  <c r="AT387" i="44"/>
  <c r="AT386" i="44"/>
  <c r="AT382" i="44"/>
  <c r="AT381" i="44"/>
  <c r="AT380" i="44"/>
  <c r="AT379" i="44"/>
  <c r="AT378" i="44"/>
  <c r="AT377" i="44"/>
  <c r="AT376" i="44"/>
  <c r="AT375" i="44"/>
  <c r="AT374" i="44"/>
  <c r="AT373" i="44"/>
  <c r="AT372" i="44"/>
  <c r="AT371" i="44"/>
  <c r="AT367" i="44"/>
  <c r="AT366" i="44"/>
  <c r="AT365" i="44"/>
  <c r="AT364" i="44"/>
  <c r="AT363" i="44"/>
  <c r="AT362" i="44"/>
  <c r="AT361" i="44"/>
  <c r="AT360" i="44"/>
  <c r="AT359" i="44"/>
  <c r="AT348" i="44"/>
  <c r="AT352" i="44"/>
  <c r="AT358" i="44"/>
  <c r="AT357" i="44"/>
  <c r="AT356" i="44"/>
  <c r="AT355" i="44"/>
  <c r="AT354" i="44"/>
  <c r="AT353" i="44"/>
  <c r="AT347" i="44"/>
  <c r="AT339" i="44"/>
  <c r="AT338" i="44"/>
  <c r="AT337" i="44"/>
  <c r="AT336" i="44"/>
  <c r="AT335" i="44"/>
  <c r="AT334" i="44"/>
  <c r="AT333" i="44"/>
  <c r="AT332" i="44"/>
  <c r="AT331" i="44"/>
  <c r="AT330" i="44"/>
  <c r="AT329" i="44"/>
  <c r="AT328" i="44"/>
  <c r="AT327" i="44"/>
  <c r="AT315" i="44"/>
  <c r="AT314" i="44"/>
  <c r="AT311" i="44"/>
  <c r="AT310" i="44"/>
  <c r="AT307" i="44"/>
  <c r="AT302" i="44"/>
  <c r="AT301" i="44"/>
  <c r="AT298" i="44"/>
  <c r="AT297" i="44"/>
  <c r="AT289" i="44"/>
  <c r="AT288" i="44"/>
  <c r="AT287" i="44"/>
  <c r="AT286" i="44"/>
  <c r="AT285" i="44"/>
  <c r="AT284" i="44"/>
  <c r="AT283" i="44"/>
  <c r="AT282" i="44"/>
  <c r="AT281" i="44"/>
  <c r="AT280" i="44"/>
  <c r="AT274" i="44"/>
  <c r="AT273" i="44"/>
  <c r="AT272" i="44"/>
  <c r="AT271" i="44"/>
  <c r="AT270" i="44"/>
  <c r="AT269" i="44"/>
  <c r="AT268" i="44"/>
  <c r="AT267" i="44"/>
  <c r="AT266" i="44"/>
  <c r="AT265" i="44"/>
  <c r="AT264" i="44"/>
  <c r="AT263" i="44"/>
  <c r="AT262" i="44"/>
  <c r="AT256" i="44"/>
  <c r="AT255" i="44"/>
  <c r="AT254" i="44"/>
  <c r="AT245" i="44"/>
  <c r="AT244" i="44"/>
  <c r="AT243" i="44"/>
  <c r="AT241" i="44"/>
  <c r="AT240" i="44"/>
  <c r="AT239" i="44"/>
  <c r="AT237" i="44"/>
  <c r="AT236" i="44"/>
  <c r="AT235" i="44"/>
  <c r="AT234" i="44"/>
  <c r="AT233" i="44"/>
  <c r="AT232" i="44"/>
  <c r="AT226" i="44"/>
  <c r="AT225" i="44"/>
  <c r="AT224" i="44"/>
  <c r="AT223" i="44"/>
  <c r="AT222" i="44"/>
  <c r="AT221" i="44"/>
  <c r="AT214" i="44"/>
  <c r="AT213" i="44"/>
  <c r="AT212" i="44"/>
  <c r="AT200" i="44"/>
  <c r="AT199" i="44"/>
  <c r="AT189" i="44"/>
  <c r="AT149" i="44"/>
  <c r="AT176" i="44"/>
  <c r="AT163" i="44"/>
  <c r="AT162" i="44"/>
  <c r="AT185" i="44"/>
  <c r="AT184" i="44"/>
  <c r="AT182" i="44"/>
  <c r="AT180" i="44"/>
  <c r="AT179" i="44"/>
  <c r="AT178" i="44"/>
  <c r="AT177" i="44"/>
  <c r="AT148" i="44"/>
  <c r="AT147" i="44"/>
  <c r="AT146" i="44"/>
  <c r="AT145" i="44"/>
  <c r="AT144" i="44"/>
  <c r="AT143" i="44"/>
  <c r="AT142" i="44"/>
  <c r="AT141" i="44"/>
  <c r="AT139" i="44"/>
  <c r="AT138" i="44"/>
  <c r="AT137" i="44"/>
  <c r="AT136" i="44"/>
  <c r="AT135" i="44"/>
  <c r="AT134" i="44"/>
  <c r="AT133" i="44"/>
  <c r="AT132" i="44"/>
  <c r="AT131" i="44"/>
  <c r="AT130" i="44"/>
  <c r="AT129" i="44"/>
  <c r="AT128" i="44"/>
  <c r="AT127" i="44"/>
  <c r="AT125" i="44"/>
  <c r="AT124" i="44"/>
  <c r="AT123" i="44"/>
  <c r="AT122" i="44"/>
  <c r="AT121" i="44"/>
  <c r="AT120" i="44"/>
  <c r="AT119" i="44"/>
  <c r="AT118" i="44"/>
  <c r="AT117" i="44"/>
  <c r="AT116" i="44"/>
  <c r="AT115" i="44"/>
  <c r="AT114" i="44"/>
  <c r="AT106" i="44"/>
  <c r="AT105" i="44"/>
  <c r="AT104" i="44"/>
  <c r="AT103" i="44"/>
  <c r="AT102" i="44"/>
  <c r="AT101" i="44"/>
  <c r="AT100" i="44"/>
  <c r="AT99" i="44"/>
  <c r="AT95" i="44"/>
  <c r="AT92" i="44"/>
  <c r="AT91" i="44"/>
  <c r="AT90" i="44"/>
  <c r="AT88" i="44"/>
  <c r="AT87" i="44"/>
  <c r="AT86" i="44"/>
  <c r="AT84" i="44"/>
  <c r="AT83" i="44"/>
  <c r="AT81" i="44"/>
  <c r="AT80" i="44"/>
  <c r="AT75" i="44"/>
  <c r="AT74" i="44"/>
  <c r="AT73" i="44"/>
  <c r="AT72" i="44"/>
  <c r="AT70" i="44"/>
  <c r="AT68" i="44"/>
  <c r="AT67" i="44"/>
  <c r="AT44" i="44"/>
  <c r="AT64" i="44"/>
  <c r="AT63" i="44"/>
  <c r="AT62" i="44"/>
  <c r="AT60" i="44"/>
  <c r="AT59" i="44"/>
  <c r="AT53" i="44"/>
  <c r="AT50" i="44"/>
  <c r="AT45" i="44"/>
  <c r="AT36" i="44"/>
  <c r="AT30" i="44"/>
  <c r="AT29" i="44"/>
  <c r="AT280" i="39"/>
  <c r="AT279" i="39"/>
  <c r="AT278" i="39"/>
  <c r="AT277" i="39"/>
  <c r="AT276" i="39"/>
  <c r="AT275" i="39"/>
  <c r="AT274" i="39"/>
  <c r="AT273" i="39"/>
  <c r="AT272" i="39"/>
  <c r="AT269" i="39"/>
  <c r="AT268" i="39"/>
  <c r="AT267" i="39"/>
  <c r="AT266" i="39"/>
  <c r="AT265" i="39"/>
  <c r="AT264" i="39"/>
  <c r="AT263" i="39"/>
  <c r="AT262" i="39"/>
  <c r="AT261" i="39"/>
  <c r="AT258" i="39"/>
  <c r="AT257" i="39"/>
  <c r="AT256" i="39"/>
  <c r="AT255" i="39"/>
  <c r="AT254" i="39"/>
  <c r="AT253" i="39"/>
  <c r="AT252" i="39"/>
  <c r="AT249" i="39"/>
  <c r="AT248" i="39"/>
  <c r="AT246" i="39"/>
  <c r="AT245" i="39"/>
  <c r="AT244" i="39"/>
  <c r="AT243" i="39"/>
  <c r="AT242" i="39"/>
  <c r="AT241" i="39"/>
  <c r="AT240" i="39"/>
  <c r="AT239" i="39"/>
  <c r="AT238" i="39"/>
  <c r="AT236" i="39"/>
  <c r="AT235" i="39"/>
  <c r="AT234" i="39"/>
  <c r="AT231" i="39"/>
  <c r="AT230" i="39"/>
  <c r="AT229" i="39"/>
  <c r="AT228" i="39"/>
  <c r="AT227" i="39"/>
  <c r="AT226" i="39"/>
  <c r="AT225" i="39"/>
  <c r="AT224" i="39"/>
  <c r="AT223" i="39"/>
  <c r="AT222" i="39"/>
  <c r="AT221" i="39"/>
  <c r="AT220" i="39"/>
  <c r="AT219" i="39"/>
  <c r="AT218" i="39"/>
  <c r="AT217" i="39"/>
  <c r="AT216" i="39"/>
  <c r="AT215" i="39"/>
  <c r="AT212" i="39"/>
  <c r="AT211" i="39"/>
  <c r="AT210" i="39"/>
  <c r="AT209" i="39"/>
  <c r="AT208" i="39"/>
  <c r="AT207" i="39"/>
  <c r="AT206" i="39"/>
  <c r="AT205" i="39"/>
  <c r="AT204" i="39"/>
  <c r="AT203" i="39"/>
  <c r="AT202" i="39"/>
  <c r="AT201" i="39"/>
  <c r="AT200" i="39"/>
  <c r="AT199" i="39"/>
  <c r="AT198" i="39"/>
  <c r="AT195" i="39"/>
  <c r="AT194" i="39"/>
  <c r="AT193" i="39"/>
  <c r="AT192" i="39"/>
  <c r="AT191" i="39"/>
  <c r="AT190" i="39"/>
  <c r="AT189" i="39"/>
  <c r="AT188" i="39"/>
  <c r="AT187" i="39"/>
  <c r="AT186" i="39"/>
  <c r="AT185" i="39"/>
  <c r="AT184" i="39"/>
  <c r="AT183" i="39"/>
  <c r="AT182" i="39"/>
  <c r="AT181" i="39"/>
  <c r="AT180" i="39"/>
  <c r="AT179" i="39"/>
  <c r="AT178" i="39"/>
  <c r="AT175" i="39"/>
  <c r="AT173" i="39"/>
  <c r="AT172" i="39"/>
  <c r="AT171" i="39"/>
  <c r="AT170" i="39"/>
  <c r="AT169" i="39"/>
  <c r="AT165" i="39"/>
  <c r="AT164" i="39"/>
  <c r="AT158" i="39"/>
  <c r="AT157" i="39"/>
  <c r="AT156" i="39"/>
  <c r="AT155" i="39"/>
  <c r="AT154" i="39"/>
  <c r="AT153" i="39"/>
  <c r="AT152" i="39"/>
  <c r="AT151" i="39"/>
  <c r="AT150" i="39"/>
  <c r="AT149" i="39"/>
  <c r="AT148" i="39"/>
  <c r="AT147" i="39"/>
  <c r="AT146" i="39"/>
  <c r="AT143" i="39"/>
  <c r="AT142" i="39"/>
  <c r="AT141" i="39"/>
  <c r="AT140" i="39"/>
  <c r="AT139" i="39"/>
  <c r="AT138" i="39"/>
  <c r="AT137" i="39"/>
  <c r="AT136" i="39"/>
  <c r="AT135" i="39"/>
  <c r="AT134" i="39"/>
  <c r="AT131" i="39"/>
  <c r="AT130" i="39"/>
  <c r="AT129" i="39"/>
  <c r="AT128" i="39"/>
  <c r="AT127" i="39"/>
  <c r="AT126" i="39"/>
  <c r="AT125" i="39"/>
  <c r="AT124" i="39"/>
  <c r="AT123" i="39"/>
  <c r="AT122" i="39"/>
  <c r="AT121" i="39"/>
  <c r="AT120" i="39"/>
  <c r="AT119" i="39"/>
  <c r="AT118" i="39"/>
  <c r="AT117" i="39"/>
  <c r="AT116" i="39"/>
  <c r="AT110" i="39"/>
  <c r="AT109" i="39"/>
  <c r="AT108" i="39"/>
  <c r="AT107" i="39"/>
  <c r="AT106" i="39"/>
  <c r="AT105" i="39"/>
  <c r="AT103" i="39"/>
  <c r="AT102" i="39"/>
  <c r="AT101" i="39"/>
  <c r="AT100" i="39"/>
  <c r="AT95" i="39"/>
  <c r="AT94" i="39"/>
  <c r="AT91" i="39"/>
  <c r="AT90" i="39"/>
  <c r="AT87" i="39"/>
  <c r="AT86" i="39"/>
  <c r="AT85" i="39"/>
  <c r="AT80" i="39"/>
  <c r="AT79" i="39"/>
  <c r="AT78" i="39"/>
  <c r="AT77" i="39"/>
  <c r="AT30" i="39"/>
  <c r="AT28" i="39"/>
  <c r="AT26" i="39"/>
  <c r="AT24" i="39"/>
  <c r="AT22" i="39"/>
  <c r="AT20" i="39"/>
  <c r="AT18" i="39"/>
  <c r="A112" i="39" l="1"/>
  <c r="A114" i="39" s="1"/>
  <c r="A116" i="39" s="1"/>
  <c r="A117" i="39" s="1"/>
  <c r="A118" i="39" s="1"/>
  <c r="A119" i="39" s="1"/>
  <c r="A120" i="39" s="1"/>
  <c r="A121" i="39" s="1"/>
  <c r="A122" i="39" s="1"/>
  <c r="A123" i="39" s="1"/>
  <c r="A124" i="39" s="1"/>
  <c r="A125" i="39" s="1"/>
  <c r="A126" i="39" s="1"/>
  <c r="A127" i="39" s="1"/>
  <c r="A128" i="39" s="1"/>
  <c r="A129" i="39" s="1"/>
  <c r="A130" i="39" s="1"/>
  <c r="A131" i="39" s="1"/>
  <c r="A132" i="39" s="1"/>
  <c r="A134" i="39" s="1"/>
  <c r="A135" i="39" s="1"/>
  <c r="A136" i="39" s="1"/>
  <c r="A137" i="39" s="1"/>
  <c r="A138" i="39" s="1"/>
  <c r="A139" i="39" s="1"/>
  <c r="A140" i="39" s="1"/>
  <c r="A141" i="39" s="1"/>
  <c r="A142" i="39" s="1"/>
  <c r="A143" i="39" s="1"/>
  <c r="A144" i="39" s="1"/>
  <c r="A146" i="39" s="1"/>
  <c r="A147" i="39" s="1"/>
  <c r="A148" i="39" s="1"/>
  <c r="A149" i="39" s="1"/>
  <c r="A150" i="39" s="1"/>
  <c r="A151" i="39" s="1"/>
  <c r="A152" i="39" s="1"/>
  <c r="A153" i="39" s="1"/>
  <c r="A154" i="39" s="1"/>
  <c r="A155" i="39" s="1"/>
  <c r="A156" i="39" s="1"/>
  <c r="A157" i="39" s="1"/>
  <c r="A158" i="39" s="1"/>
  <c r="A159" i="39" s="1"/>
  <c r="A164" i="39" s="1"/>
  <c r="A165" i="39" s="1"/>
  <c r="A167" i="39" s="1"/>
  <c r="A169" i="39" s="1"/>
  <c r="A170" i="39" s="1"/>
  <c r="A171" i="39" s="1"/>
  <c r="A172" i="39" s="1"/>
  <c r="A173" i="39" s="1"/>
  <c r="A175" i="39" s="1"/>
  <c r="A178" i="39" s="1"/>
  <c r="A179" i="39" s="1"/>
  <c r="A180" i="39" s="1"/>
  <c r="A181" i="39" s="1"/>
  <c r="A182" i="39" s="1"/>
  <c r="A183" i="39" s="1"/>
  <c r="A184" i="39" s="1"/>
  <c r="A185" i="39" s="1"/>
  <c r="A186" i="39" s="1"/>
  <c r="A187" i="39" s="1"/>
  <c r="A188" i="39" s="1"/>
  <c r="A189" i="39" s="1"/>
  <c r="A190" i="39" s="1"/>
  <c r="A191" i="39" s="1"/>
  <c r="A192" i="39" s="1"/>
  <c r="A193" i="39" s="1"/>
  <c r="A194" i="39" s="1"/>
  <c r="A195" i="39" s="1"/>
  <c r="A196" i="39" s="1"/>
  <c r="A198" i="39" s="1"/>
  <c r="A199" i="39" s="1"/>
  <c r="A200" i="39" s="1"/>
  <c r="A201" i="39" s="1"/>
  <c r="A202" i="39" s="1"/>
  <c r="A203" i="39" s="1"/>
  <c r="A204" i="39" s="1"/>
  <c r="A205" i="39" s="1"/>
  <c r="A206" i="39" s="1"/>
  <c r="A207" i="39" s="1"/>
  <c r="A208" i="39" s="1"/>
  <c r="A209" i="39" s="1"/>
  <c r="A210" i="39" s="1"/>
  <c r="A211" i="39" s="1"/>
  <c r="A212" i="39" s="1"/>
  <c r="A213" i="39" s="1"/>
  <c r="A215" i="39" s="1"/>
  <c r="A216" i="39" s="1"/>
  <c r="A217" i="39" s="1"/>
  <c r="A218" i="39" s="1"/>
  <c r="A219" i="39" s="1"/>
  <c r="A220" i="39" s="1"/>
  <c r="A221" i="39" s="1"/>
  <c r="A222" i="39" s="1"/>
  <c r="A223" i="39" s="1"/>
  <c r="A224" i="39" s="1"/>
  <c r="A225" i="39" s="1"/>
  <c r="A226" i="39" s="1"/>
  <c r="A227" i="39" s="1"/>
  <c r="A228" i="39" s="1"/>
  <c r="A24" i="44"/>
  <c r="A25" i="44" s="1"/>
  <c r="A26" i="44" s="1"/>
  <c r="A27" i="44" s="1"/>
  <c r="A28" i="44" s="1"/>
  <c r="A29" i="44" s="1"/>
  <c r="A30" i="44" s="1"/>
  <c r="N8" i="39"/>
  <c r="A229" i="39" l="1"/>
  <c r="A230" i="39" s="1"/>
  <c r="A231" i="39" s="1"/>
  <c r="A232" i="39" s="1"/>
  <c r="A234" i="39" s="1"/>
  <c r="A235" i="39" s="1"/>
  <c r="A236" i="39" s="1"/>
  <c r="A238" i="39" s="1"/>
  <c r="A239" i="39" s="1"/>
  <c r="A240" i="39" s="1"/>
  <c r="A241" i="39" s="1"/>
  <c r="A242" i="39" s="1"/>
  <c r="A243" i="39" s="1"/>
  <c r="A244" i="39" s="1"/>
  <c r="A245" i="39" s="1"/>
  <c r="A246" i="39" s="1"/>
  <c r="A248" i="39" s="1"/>
  <c r="A249" i="39" s="1"/>
  <c r="A250" i="39" s="1"/>
  <c r="A252" i="39" s="1"/>
  <c r="A253" i="39" s="1"/>
  <c r="A254" i="39" s="1"/>
  <c r="A255" i="39" s="1"/>
  <c r="A256" i="39" s="1"/>
  <c r="A257" i="39" s="1"/>
  <c r="A258" i="39" s="1"/>
  <c r="A261" i="39" s="1"/>
  <c r="A262" i="39" s="1"/>
  <c r="A263" i="39" s="1"/>
  <c r="A264" i="39" s="1"/>
  <c r="A265" i="39" s="1"/>
  <c r="A266" i="39" s="1"/>
  <c r="A267" i="39" s="1"/>
  <c r="A268" i="39" s="1"/>
  <c r="A269" i="39" s="1"/>
  <c r="A270" i="39" s="1"/>
  <c r="A272" i="39" s="1"/>
  <c r="A273" i="39" s="1"/>
  <c r="A274" i="39" s="1"/>
  <c r="A275" i="39" s="1"/>
  <c r="A276" i="39" s="1"/>
  <c r="A277" i="39" s="1"/>
  <c r="A278" i="39" s="1"/>
  <c r="A279" i="39" s="1"/>
  <c r="A280" i="39" s="1"/>
  <c r="A281" i="39" s="1"/>
  <c r="A31" i="44"/>
  <c r="A32" i="44" s="1"/>
  <c r="A33" i="44" s="1"/>
  <c r="A34" i="44" s="1"/>
  <c r="A35" i="44" s="1"/>
  <c r="BA446" i="44"/>
  <c r="BA445" i="44"/>
  <c r="BA444" i="44"/>
  <c r="BA282" i="39"/>
  <c r="FT98" i="45"/>
  <c r="FS98" i="45"/>
  <c r="FR98" i="45"/>
  <c r="FQ98" i="45"/>
  <c r="FP98" i="45"/>
  <c r="FO98" i="45"/>
  <c r="FN98" i="45"/>
  <c r="FM98" i="45"/>
  <c r="FL98" i="45"/>
  <c r="FK98" i="45"/>
  <c r="FJ98" i="45"/>
  <c r="FI98" i="45"/>
  <c r="FH98" i="45"/>
  <c r="FG98" i="45"/>
  <c r="FF98" i="45"/>
  <c r="FE98" i="45"/>
  <c r="FD98" i="45"/>
  <c r="FC98" i="45"/>
  <c r="FB98" i="45"/>
  <c r="FA98" i="45"/>
  <c r="EZ98" i="45"/>
  <c r="EY98" i="45"/>
  <c r="EX98" i="45"/>
  <c r="EW98" i="45"/>
  <c r="EV98" i="45"/>
  <c r="EU98" i="45"/>
  <c r="ES98" i="45"/>
  <c r="ER98" i="45"/>
  <c r="EQ98" i="45"/>
  <c r="EP98" i="45"/>
  <c r="EO98" i="45"/>
  <c r="EN98" i="45"/>
  <c r="EM98" i="45"/>
  <c r="EL98" i="45"/>
  <c r="EK98" i="45"/>
  <c r="EJ98" i="45"/>
  <c r="EI98" i="45"/>
  <c r="EH98" i="45"/>
  <c r="EG98" i="45"/>
  <c r="EF98" i="45"/>
  <c r="EE98" i="45"/>
  <c r="ED98" i="45"/>
  <c r="EC98" i="45"/>
  <c r="EB98" i="45"/>
  <c r="EA98" i="45"/>
  <c r="DZ98" i="45"/>
  <c r="DY98" i="45"/>
  <c r="DX98" i="45"/>
  <c r="DW98" i="45"/>
  <c r="FT97" i="45"/>
  <c r="FS97" i="45"/>
  <c r="FR97" i="45"/>
  <c r="FQ97" i="45"/>
  <c r="FP97" i="45"/>
  <c r="FO97" i="45"/>
  <c r="FN97" i="45"/>
  <c r="FM97" i="45"/>
  <c r="FL97" i="45"/>
  <c r="FK97" i="45"/>
  <c r="FJ97" i="45"/>
  <c r="FI97" i="45"/>
  <c r="FH97" i="45"/>
  <c r="FG97" i="45"/>
  <c r="FF97" i="45"/>
  <c r="FE97" i="45"/>
  <c r="FD97" i="45"/>
  <c r="FC97" i="45"/>
  <c r="FB97" i="45"/>
  <c r="FA97" i="45"/>
  <c r="EZ97" i="45"/>
  <c r="EY97" i="45"/>
  <c r="EX97" i="45"/>
  <c r="EW97" i="45"/>
  <c r="EV97" i="45"/>
  <c r="EU97" i="45"/>
  <c r="ES97" i="45"/>
  <c r="ER97" i="45"/>
  <c r="EQ97" i="45"/>
  <c r="EP97" i="45"/>
  <c r="EO97" i="45"/>
  <c r="EN97" i="45"/>
  <c r="EM97" i="45"/>
  <c r="EL97" i="45"/>
  <c r="EK97" i="45"/>
  <c r="EJ97" i="45"/>
  <c r="EI97" i="45"/>
  <c r="EH97" i="45"/>
  <c r="EG97" i="45"/>
  <c r="EF97" i="45"/>
  <c r="EE97" i="45"/>
  <c r="ED97" i="45"/>
  <c r="EC97" i="45"/>
  <c r="EB97" i="45"/>
  <c r="EA97" i="45"/>
  <c r="DZ97" i="45"/>
  <c r="DY97" i="45"/>
  <c r="DX97" i="45"/>
  <c r="DW97" i="45"/>
  <c r="FT96" i="45"/>
  <c r="FS96" i="45"/>
  <c r="FR96" i="45"/>
  <c r="FQ96" i="45"/>
  <c r="FP96" i="45"/>
  <c r="FO96" i="45"/>
  <c r="FN96" i="45"/>
  <c r="FM96" i="45"/>
  <c r="FL96" i="45"/>
  <c r="FK96" i="45"/>
  <c r="FJ96" i="45"/>
  <c r="FI96" i="45"/>
  <c r="FH96" i="45"/>
  <c r="FG96" i="45"/>
  <c r="FF96" i="45"/>
  <c r="FE96" i="45"/>
  <c r="FD96" i="45"/>
  <c r="FC96" i="45"/>
  <c r="FB96" i="45"/>
  <c r="FA96" i="45"/>
  <c r="EZ96" i="45"/>
  <c r="EY96" i="45"/>
  <c r="EX96" i="45"/>
  <c r="EW96" i="45"/>
  <c r="EV96" i="45"/>
  <c r="EU96" i="45"/>
  <c r="ES96" i="45"/>
  <c r="ER96" i="45"/>
  <c r="EQ96" i="45"/>
  <c r="EP96" i="45"/>
  <c r="EO96" i="45"/>
  <c r="EN96" i="45"/>
  <c r="EM96" i="45"/>
  <c r="EL96" i="45"/>
  <c r="EK96" i="45"/>
  <c r="EJ96" i="45"/>
  <c r="EI96" i="45"/>
  <c r="EH96" i="45"/>
  <c r="EG96" i="45"/>
  <c r="EF96" i="45"/>
  <c r="EE96" i="45"/>
  <c r="ED96" i="45"/>
  <c r="EC96" i="45"/>
  <c r="EB96" i="45"/>
  <c r="EA96" i="45"/>
  <c r="DZ96" i="45"/>
  <c r="DY96" i="45"/>
  <c r="DX96" i="45"/>
  <c r="DW96" i="45"/>
  <c r="FT95" i="45"/>
  <c r="FS95" i="45"/>
  <c r="FR95" i="45"/>
  <c r="FQ95" i="45"/>
  <c r="FP95" i="45"/>
  <c r="FO95" i="45"/>
  <c r="FN95" i="45"/>
  <c r="FM95" i="45"/>
  <c r="FL95" i="45"/>
  <c r="FK95" i="45"/>
  <c r="FJ95" i="45"/>
  <c r="FI95" i="45"/>
  <c r="FH95" i="45"/>
  <c r="FG95" i="45"/>
  <c r="FF95" i="45"/>
  <c r="FE95" i="45"/>
  <c r="FD95" i="45"/>
  <c r="FC95" i="45"/>
  <c r="FB95" i="45"/>
  <c r="FA95" i="45"/>
  <c r="EZ95" i="45"/>
  <c r="EY95" i="45"/>
  <c r="EX95" i="45"/>
  <c r="EW95" i="45"/>
  <c r="EV95" i="45"/>
  <c r="EU95" i="45"/>
  <c r="ES95" i="45"/>
  <c r="ER95" i="45"/>
  <c r="EQ95" i="45"/>
  <c r="EP95" i="45"/>
  <c r="EO95" i="45"/>
  <c r="EN95" i="45"/>
  <c r="EM95" i="45"/>
  <c r="EL95" i="45"/>
  <c r="EK95" i="45"/>
  <c r="EJ95" i="45"/>
  <c r="EI95" i="45"/>
  <c r="EH95" i="45"/>
  <c r="EG95" i="45"/>
  <c r="EF95" i="45"/>
  <c r="EE95" i="45"/>
  <c r="ED95" i="45"/>
  <c r="EC95" i="45"/>
  <c r="EB95" i="45"/>
  <c r="EA95" i="45"/>
  <c r="DZ95" i="45"/>
  <c r="DY95" i="45"/>
  <c r="DX95" i="45"/>
  <c r="DW95" i="45"/>
  <c r="FT94" i="45"/>
  <c r="FS94" i="45"/>
  <c r="FR94" i="45"/>
  <c r="FQ94" i="45"/>
  <c r="FP94" i="45"/>
  <c r="FO94" i="45"/>
  <c r="FN94" i="45"/>
  <c r="FM94" i="45"/>
  <c r="FL94" i="45"/>
  <c r="FK94" i="45"/>
  <c r="FJ94" i="45"/>
  <c r="FI94" i="45"/>
  <c r="FH94" i="45"/>
  <c r="FG94" i="45"/>
  <c r="FF94" i="45"/>
  <c r="FE94" i="45"/>
  <c r="FD94" i="45"/>
  <c r="FC94" i="45"/>
  <c r="FB94" i="45"/>
  <c r="FA94" i="45"/>
  <c r="EZ94" i="45"/>
  <c r="EY94" i="45"/>
  <c r="EX94" i="45"/>
  <c r="EW94" i="45"/>
  <c r="EV94" i="45"/>
  <c r="EU94" i="45"/>
  <c r="ES94" i="45"/>
  <c r="ER94" i="45"/>
  <c r="EQ94" i="45"/>
  <c r="EP94" i="45"/>
  <c r="EO94" i="45"/>
  <c r="EN94" i="45"/>
  <c r="EM94" i="45"/>
  <c r="EL94" i="45"/>
  <c r="EK94" i="45"/>
  <c r="EJ94" i="45"/>
  <c r="EI94" i="45"/>
  <c r="EH94" i="45"/>
  <c r="EG94" i="45"/>
  <c r="EF94" i="45"/>
  <c r="EE94" i="45"/>
  <c r="ED94" i="45"/>
  <c r="EC94" i="45"/>
  <c r="EB94" i="45"/>
  <c r="EA94" i="45"/>
  <c r="DZ94" i="45"/>
  <c r="DY94" i="45"/>
  <c r="DX94" i="45"/>
  <c r="DW94" i="45"/>
  <c r="FT93" i="45"/>
  <c r="FS93" i="45"/>
  <c r="FR93" i="45"/>
  <c r="FQ93" i="45"/>
  <c r="FP93" i="45"/>
  <c r="FO93" i="45"/>
  <c r="FN93" i="45"/>
  <c r="FM93" i="45"/>
  <c r="FL93" i="45"/>
  <c r="FK93" i="45"/>
  <c r="FJ93" i="45"/>
  <c r="FI93" i="45"/>
  <c r="FH93" i="45"/>
  <c r="FG93" i="45"/>
  <c r="FF93" i="45"/>
  <c r="FE93" i="45"/>
  <c r="FD93" i="45"/>
  <c r="FC93" i="45"/>
  <c r="FB93" i="45"/>
  <c r="FA93" i="45"/>
  <c r="EZ93" i="45"/>
  <c r="EY93" i="45"/>
  <c r="EX93" i="45"/>
  <c r="EW93" i="45"/>
  <c r="EV93" i="45"/>
  <c r="EU93" i="45"/>
  <c r="ES93" i="45"/>
  <c r="ER93" i="45"/>
  <c r="EQ93" i="45"/>
  <c r="EP93" i="45"/>
  <c r="EO93" i="45"/>
  <c r="EN93" i="45"/>
  <c r="EM93" i="45"/>
  <c r="EL93" i="45"/>
  <c r="EK93" i="45"/>
  <c r="EJ93" i="45"/>
  <c r="EI93" i="45"/>
  <c r="EH93" i="45"/>
  <c r="EG93" i="45"/>
  <c r="EF93" i="45"/>
  <c r="EE93" i="45"/>
  <c r="ED93" i="45"/>
  <c r="EC93" i="45"/>
  <c r="EB93" i="45"/>
  <c r="EA93" i="45"/>
  <c r="DZ93" i="45"/>
  <c r="DY93" i="45"/>
  <c r="DX93" i="45"/>
  <c r="DW93" i="45"/>
  <c r="FT92" i="45"/>
  <c r="FS92" i="45"/>
  <c r="FR92" i="45"/>
  <c r="FQ92" i="45"/>
  <c r="FP92" i="45"/>
  <c r="FO92" i="45"/>
  <c r="FN92" i="45"/>
  <c r="FM92" i="45"/>
  <c r="FL92" i="45"/>
  <c r="FK92" i="45"/>
  <c r="FJ92" i="45"/>
  <c r="FI92" i="45"/>
  <c r="FH92" i="45"/>
  <c r="FG92" i="45"/>
  <c r="FF92" i="45"/>
  <c r="FE92" i="45"/>
  <c r="FD92" i="45"/>
  <c r="FC92" i="45"/>
  <c r="FB92" i="45"/>
  <c r="FA92" i="45"/>
  <c r="EZ92" i="45"/>
  <c r="EY92" i="45"/>
  <c r="EX92" i="45"/>
  <c r="EW92" i="45"/>
  <c r="EV92" i="45"/>
  <c r="EU92" i="45"/>
  <c r="ES92" i="45"/>
  <c r="ER92" i="45"/>
  <c r="EQ92" i="45"/>
  <c r="EP92" i="45"/>
  <c r="EO92" i="45"/>
  <c r="EN92" i="45"/>
  <c r="EM92" i="45"/>
  <c r="EL92" i="45"/>
  <c r="EK92" i="45"/>
  <c r="EJ92" i="45"/>
  <c r="EI92" i="45"/>
  <c r="EH92" i="45"/>
  <c r="EG92" i="45"/>
  <c r="EF92" i="45"/>
  <c r="EE92" i="45"/>
  <c r="ED92" i="45"/>
  <c r="EC92" i="45"/>
  <c r="EB92" i="45"/>
  <c r="EA92" i="45"/>
  <c r="DZ92" i="45"/>
  <c r="DY92" i="45"/>
  <c r="DX92" i="45"/>
  <c r="DW92" i="45"/>
  <c r="FT91" i="45"/>
  <c r="FS91" i="45"/>
  <c r="FR91" i="45"/>
  <c r="FQ91" i="45"/>
  <c r="FP91" i="45"/>
  <c r="FO91" i="45"/>
  <c r="FN91" i="45"/>
  <c r="FM91" i="45"/>
  <c r="FL91" i="45"/>
  <c r="FK91" i="45"/>
  <c r="FJ91" i="45"/>
  <c r="FI91" i="45"/>
  <c r="FH91" i="45"/>
  <c r="FG91" i="45"/>
  <c r="FF91" i="45"/>
  <c r="FE91" i="45"/>
  <c r="FD91" i="45"/>
  <c r="FC91" i="45"/>
  <c r="FB91" i="45"/>
  <c r="FA91" i="45"/>
  <c r="EZ91" i="45"/>
  <c r="EY91" i="45"/>
  <c r="EX91" i="45"/>
  <c r="EW91" i="45"/>
  <c r="EV91" i="45"/>
  <c r="EU91" i="45"/>
  <c r="ES91" i="45"/>
  <c r="ER91" i="45"/>
  <c r="EQ91" i="45"/>
  <c r="EP91" i="45"/>
  <c r="EO91" i="45"/>
  <c r="EN91" i="45"/>
  <c r="EM91" i="45"/>
  <c r="EL91" i="45"/>
  <c r="EK91" i="45"/>
  <c r="EJ91" i="45"/>
  <c r="EI91" i="45"/>
  <c r="EH91" i="45"/>
  <c r="EG91" i="45"/>
  <c r="EF91" i="45"/>
  <c r="EE91" i="45"/>
  <c r="ED91" i="45"/>
  <c r="EC91" i="45"/>
  <c r="EB91" i="45"/>
  <c r="EA91" i="45"/>
  <c r="DZ91" i="45"/>
  <c r="DY91" i="45"/>
  <c r="DX91" i="45"/>
  <c r="DW91" i="45"/>
  <c r="FT90" i="45"/>
  <c r="FS90" i="45"/>
  <c r="FR90" i="45"/>
  <c r="FQ90" i="45"/>
  <c r="FP90" i="45"/>
  <c r="FO90" i="45"/>
  <c r="FN90" i="45"/>
  <c r="FM90" i="45"/>
  <c r="FL90" i="45"/>
  <c r="FK90" i="45"/>
  <c r="FJ90" i="45"/>
  <c r="FI90" i="45"/>
  <c r="FH90" i="45"/>
  <c r="FG90" i="45"/>
  <c r="FF90" i="45"/>
  <c r="FE90" i="45"/>
  <c r="FD90" i="45"/>
  <c r="FC90" i="45"/>
  <c r="FB90" i="45"/>
  <c r="FA90" i="45"/>
  <c r="EZ90" i="45"/>
  <c r="EY90" i="45"/>
  <c r="EX90" i="45"/>
  <c r="EW90" i="45"/>
  <c r="EV90" i="45"/>
  <c r="EU90" i="45"/>
  <c r="ES90" i="45"/>
  <c r="ER90" i="45"/>
  <c r="EQ90" i="45"/>
  <c r="EP90" i="45"/>
  <c r="EO90" i="45"/>
  <c r="EN90" i="45"/>
  <c r="EM90" i="45"/>
  <c r="EL90" i="45"/>
  <c r="EK90" i="45"/>
  <c r="EJ90" i="45"/>
  <c r="EI90" i="45"/>
  <c r="EH90" i="45"/>
  <c r="EG90" i="45"/>
  <c r="EF90" i="45"/>
  <c r="EE90" i="45"/>
  <c r="ED90" i="45"/>
  <c r="EC90" i="45"/>
  <c r="EB90" i="45"/>
  <c r="EA90" i="45"/>
  <c r="DZ90" i="45"/>
  <c r="DY90" i="45"/>
  <c r="DX90" i="45"/>
  <c r="DW90" i="45"/>
  <c r="FT89" i="45"/>
  <c r="FS89" i="45"/>
  <c r="FR89" i="45"/>
  <c r="FQ89" i="45"/>
  <c r="FP89" i="45"/>
  <c r="FO89" i="45"/>
  <c r="FN89" i="45"/>
  <c r="FM89" i="45"/>
  <c r="FL89" i="45"/>
  <c r="FK89" i="45"/>
  <c r="FJ89" i="45"/>
  <c r="FI89" i="45"/>
  <c r="FH89" i="45"/>
  <c r="FG89" i="45"/>
  <c r="FF89" i="45"/>
  <c r="FE89" i="45"/>
  <c r="FD89" i="45"/>
  <c r="FC89" i="45"/>
  <c r="FB89" i="45"/>
  <c r="FA89" i="45"/>
  <c r="EZ89" i="45"/>
  <c r="EY89" i="45"/>
  <c r="EX89" i="45"/>
  <c r="EW89" i="45"/>
  <c r="EV89" i="45"/>
  <c r="EU89" i="45"/>
  <c r="ES89" i="45"/>
  <c r="ER89" i="45"/>
  <c r="EQ89" i="45"/>
  <c r="EP89" i="45"/>
  <c r="EO89" i="45"/>
  <c r="EN89" i="45"/>
  <c r="EM89" i="45"/>
  <c r="EL89" i="45"/>
  <c r="EK89" i="45"/>
  <c r="EJ89" i="45"/>
  <c r="EI89" i="45"/>
  <c r="EH89" i="45"/>
  <c r="EG89" i="45"/>
  <c r="EF89" i="45"/>
  <c r="EE89" i="45"/>
  <c r="ED89" i="45"/>
  <c r="EC89" i="45"/>
  <c r="EB89" i="45"/>
  <c r="EA89" i="45"/>
  <c r="DZ89" i="45"/>
  <c r="DY89" i="45"/>
  <c r="DX89" i="45"/>
  <c r="DW89" i="45"/>
  <c r="FT88" i="45"/>
  <c r="FS88" i="45"/>
  <c r="FR88" i="45"/>
  <c r="FQ88" i="45"/>
  <c r="FP88" i="45"/>
  <c r="FO88" i="45"/>
  <c r="FN88" i="45"/>
  <c r="FM88" i="45"/>
  <c r="FL88" i="45"/>
  <c r="FK88" i="45"/>
  <c r="FJ88" i="45"/>
  <c r="FI88" i="45"/>
  <c r="FH88" i="45"/>
  <c r="FG88" i="45"/>
  <c r="FF88" i="45"/>
  <c r="FE88" i="45"/>
  <c r="FD88" i="45"/>
  <c r="FC88" i="45"/>
  <c r="FB88" i="45"/>
  <c r="FA88" i="45"/>
  <c r="EZ88" i="45"/>
  <c r="EY88" i="45"/>
  <c r="EX88" i="45"/>
  <c r="EW88" i="45"/>
  <c r="EV88" i="45"/>
  <c r="EU88" i="45"/>
  <c r="ES88" i="45"/>
  <c r="ER88" i="45"/>
  <c r="EQ88" i="45"/>
  <c r="EP88" i="45"/>
  <c r="EO88" i="45"/>
  <c r="EN88" i="45"/>
  <c r="EM88" i="45"/>
  <c r="EL88" i="45"/>
  <c r="EK88" i="45"/>
  <c r="EJ88" i="45"/>
  <c r="EI88" i="45"/>
  <c r="EH88" i="45"/>
  <c r="EG88" i="45"/>
  <c r="EF88" i="45"/>
  <c r="EE88" i="45"/>
  <c r="ED88" i="45"/>
  <c r="EC88" i="45"/>
  <c r="EB88" i="45"/>
  <c r="EA88" i="45"/>
  <c r="DZ88" i="45"/>
  <c r="DY88" i="45"/>
  <c r="DX88" i="45"/>
  <c r="DW88" i="45"/>
  <c r="FT87" i="45"/>
  <c r="FS87" i="45"/>
  <c r="FR87" i="45"/>
  <c r="FQ87" i="45"/>
  <c r="FP87" i="45"/>
  <c r="FO87" i="45"/>
  <c r="FN87" i="45"/>
  <c r="FM87" i="45"/>
  <c r="FL87" i="45"/>
  <c r="FK87" i="45"/>
  <c r="FJ87" i="45"/>
  <c r="FI87" i="45"/>
  <c r="FH87" i="45"/>
  <c r="FG87" i="45"/>
  <c r="FF87" i="45"/>
  <c r="FE87" i="45"/>
  <c r="FD87" i="45"/>
  <c r="FC87" i="45"/>
  <c r="FB87" i="45"/>
  <c r="FA87" i="45"/>
  <c r="EZ87" i="45"/>
  <c r="EY87" i="45"/>
  <c r="EX87" i="45"/>
  <c r="EW87" i="45"/>
  <c r="EV87" i="45"/>
  <c r="EU87" i="45"/>
  <c r="ES87" i="45"/>
  <c r="ER87" i="45"/>
  <c r="EQ87" i="45"/>
  <c r="EP87" i="45"/>
  <c r="EO87" i="45"/>
  <c r="EN87" i="45"/>
  <c r="EM87" i="45"/>
  <c r="EL87" i="45"/>
  <c r="EK87" i="45"/>
  <c r="EJ87" i="45"/>
  <c r="EI87" i="45"/>
  <c r="EH87" i="45"/>
  <c r="EG87" i="45"/>
  <c r="EF87" i="45"/>
  <c r="EE87" i="45"/>
  <c r="ED87" i="45"/>
  <c r="EC87" i="45"/>
  <c r="EB87" i="45"/>
  <c r="EA87" i="45"/>
  <c r="DZ87" i="45"/>
  <c r="DY87" i="45"/>
  <c r="DX87" i="45"/>
  <c r="DW87" i="45"/>
  <c r="FT86" i="45"/>
  <c r="FS86" i="45"/>
  <c r="FR86" i="45"/>
  <c r="FQ86" i="45"/>
  <c r="FP86" i="45"/>
  <c r="FO86" i="45"/>
  <c r="FN86" i="45"/>
  <c r="FM86" i="45"/>
  <c r="FL86" i="45"/>
  <c r="FK86" i="45"/>
  <c r="FJ86" i="45"/>
  <c r="FI86" i="45"/>
  <c r="FH86" i="45"/>
  <c r="FG86" i="45"/>
  <c r="FF86" i="45"/>
  <c r="FE86" i="45"/>
  <c r="FD86" i="45"/>
  <c r="FC86" i="45"/>
  <c r="FB86" i="45"/>
  <c r="FA86" i="45"/>
  <c r="EZ86" i="45"/>
  <c r="EY86" i="45"/>
  <c r="EX86" i="45"/>
  <c r="EW86" i="45"/>
  <c r="EV86" i="45"/>
  <c r="EU86" i="45"/>
  <c r="ES86" i="45"/>
  <c r="ER86" i="45"/>
  <c r="EQ86" i="45"/>
  <c r="EP86" i="45"/>
  <c r="EO86" i="45"/>
  <c r="EN86" i="45"/>
  <c r="EM86" i="45"/>
  <c r="EL86" i="45"/>
  <c r="EK86" i="45"/>
  <c r="EJ86" i="45"/>
  <c r="EI86" i="45"/>
  <c r="EH86" i="45"/>
  <c r="EG86" i="45"/>
  <c r="EF86" i="45"/>
  <c r="EE86" i="45"/>
  <c r="ED86" i="45"/>
  <c r="EC86" i="45"/>
  <c r="EB86" i="45"/>
  <c r="EA86" i="45"/>
  <c r="DZ86" i="45"/>
  <c r="DY86" i="45"/>
  <c r="DX86" i="45"/>
  <c r="DW86" i="45"/>
  <c r="FT85" i="45"/>
  <c r="FS85" i="45"/>
  <c r="FR85" i="45"/>
  <c r="FQ85" i="45"/>
  <c r="FP85" i="45"/>
  <c r="FO85" i="45"/>
  <c r="FN85" i="45"/>
  <c r="FM85" i="45"/>
  <c r="FL85" i="45"/>
  <c r="FK85" i="45"/>
  <c r="FJ85" i="45"/>
  <c r="FI85" i="45"/>
  <c r="FH85" i="45"/>
  <c r="FG85" i="45"/>
  <c r="FF85" i="45"/>
  <c r="FE85" i="45"/>
  <c r="FD85" i="45"/>
  <c r="FC85" i="45"/>
  <c r="FB85" i="45"/>
  <c r="FA85" i="45"/>
  <c r="EZ85" i="45"/>
  <c r="EY85" i="45"/>
  <c r="EX85" i="45"/>
  <c r="EW85" i="45"/>
  <c r="EV85" i="45"/>
  <c r="EU85" i="45"/>
  <c r="ES85" i="45"/>
  <c r="ER85" i="45"/>
  <c r="EQ85" i="45"/>
  <c r="EP85" i="45"/>
  <c r="EO85" i="45"/>
  <c r="EN85" i="45"/>
  <c r="EM85" i="45"/>
  <c r="EL85" i="45"/>
  <c r="EK85" i="45"/>
  <c r="EJ85" i="45"/>
  <c r="EI85" i="45"/>
  <c r="EH85" i="45"/>
  <c r="EG85" i="45"/>
  <c r="EF85" i="45"/>
  <c r="EE85" i="45"/>
  <c r="ED85" i="45"/>
  <c r="EC85" i="45"/>
  <c r="EB85" i="45"/>
  <c r="EA85" i="45"/>
  <c r="DZ85" i="45"/>
  <c r="DY85" i="45"/>
  <c r="DX85" i="45"/>
  <c r="DW85" i="45"/>
  <c r="FT84" i="45"/>
  <c r="FS84" i="45"/>
  <c r="FR84" i="45"/>
  <c r="FQ84" i="45"/>
  <c r="FP84" i="45"/>
  <c r="FO84" i="45"/>
  <c r="FN84" i="45"/>
  <c r="FM84" i="45"/>
  <c r="FL84" i="45"/>
  <c r="FK84" i="45"/>
  <c r="FJ84" i="45"/>
  <c r="FI84" i="45"/>
  <c r="FH84" i="45"/>
  <c r="FG84" i="45"/>
  <c r="FF84" i="45"/>
  <c r="FE84" i="45"/>
  <c r="FD84" i="45"/>
  <c r="FC84" i="45"/>
  <c r="FB84" i="45"/>
  <c r="FA84" i="45"/>
  <c r="EZ84" i="45"/>
  <c r="EY84" i="45"/>
  <c r="EX84" i="45"/>
  <c r="EW84" i="45"/>
  <c r="EV84" i="45"/>
  <c r="EU84" i="45"/>
  <c r="ES84" i="45"/>
  <c r="ER84" i="45"/>
  <c r="EQ84" i="45"/>
  <c r="EP84" i="45"/>
  <c r="EO84" i="45"/>
  <c r="EN84" i="45"/>
  <c r="EM84" i="45"/>
  <c r="EL84" i="45"/>
  <c r="EK84" i="45"/>
  <c r="EJ84" i="45"/>
  <c r="EI84" i="45"/>
  <c r="EH84" i="45"/>
  <c r="EG84" i="45"/>
  <c r="EF84" i="45"/>
  <c r="EE84" i="45"/>
  <c r="ED84" i="45"/>
  <c r="EC84" i="45"/>
  <c r="EB84" i="45"/>
  <c r="EA84" i="45"/>
  <c r="DZ84" i="45"/>
  <c r="DY84" i="45"/>
  <c r="DX84" i="45"/>
  <c r="DW84" i="45"/>
  <c r="FT83" i="45"/>
  <c r="FS83" i="45"/>
  <c r="FR83" i="45"/>
  <c r="FQ83" i="45"/>
  <c r="FP83" i="45"/>
  <c r="FO83" i="45"/>
  <c r="FN83" i="45"/>
  <c r="FM83" i="45"/>
  <c r="FL83" i="45"/>
  <c r="FK83" i="45"/>
  <c r="FJ83" i="45"/>
  <c r="FI83" i="45"/>
  <c r="FH83" i="45"/>
  <c r="FG83" i="45"/>
  <c r="FF83" i="45"/>
  <c r="FE83" i="45"/>
  <c r="FD83" i="45"/>
  <c r="FC83" i="45"/>
  <c r="FB83" i="45"/>
  <c r="FA83" i="45"/>
  <c r="EZ83" i="45"/>
  <c r="EY83" i="45"/>
  <c r="EX83" i="45"/>
  <c r="EW83" i="45"/>
  <c r="EV83" i="45"/>
  <c r="EU83" i="45"/>
  <c r="ES83" i="45"/>
  <c r="ER83" i="45"/>
  <c r="EQ83" i="45"/>
  <c r="EP83" i="45"/>
  <c r="EO83" i="45"/>
  <c r="EN83" i="45"/>
  <c r="EM83" i="45"/>
  <c r="EL83" i="45"/>
  <c r="EK83" i="45"/>
  <c r="EJ83" i="45"/>
  <c r="EI83" i="45"/>
  <c r="EH83" i="45"/>
  <c r="EG83" i="45"/>
  <c r="EF83" i="45"/>
  <c r="EE83" i="45"/>
  <c r="ED83" i="45"/>
  <c r="EC83" i="45"/>
  <c r="EB83" i="45"/>
  <c r="EA83" i="45"/>
  <c r="DZ83" i="45"/>
  <c r="DY83" i="45"/>
  <c r="DX83" i="45"/>
  <c r="DW83" i="45"/>
  <c r="FT82" i="45"/>
  <c r="FS82" i="45"/>
  <c r="FR82" i="45"/>
  <c r="FQ82" i="45"/>
  <c r="FP82" i="45"/>
  <c r="FO82" i="45"/>
  <c r="FN82" i="45"/>
  <c r="FM82" i="45"/>
  <c r="FL82" i="45"/>
  <c r="FK82" i="45"/>
  <c r="FJ82" i="45"/>
  <c r="FI82" i="45"/>
  <c r="FH82" i="45"/>
  <c r="FG82" i="45"/>
  <c r="FF82" i="45"/>
  <c r="FE82" i="45"/>
  <c r="FD82" i="45"/>
  <c r="FC82" i="45"/>
  <c r="FB82" i="45"/>
  <c r="FA82" i="45"/>
  <c r="EZ82" i="45"/>
  <c r="EY82" i="45"/>
  <c r="EX82" i="45"/>
  <c r="EW82" i="45"/>
  <c r="EV82" i="45"/>
  <c r="EU82" i="45"/>
  <c r="ES82" i="45"/>
  <c r="ER82" i="45"/>
  <c r="EQ82" i="45"/>
  <c r="EP82" i="45"/>
  <c r="EO82" i="45"/>
  <c r="EN82" i="45"/>
  <c r="EM82" i="45"/>
  <c r="EL82" i="45"/>
  <c r="EK82" i="45"/>
  <c r="EJ82" i="45"/>
  <c r="EI82" i="45"/>
  <c r="EH82" i="45"/>
  <c r="EG82" i="45"/>
  <c r="EF82" i="45"/>
  <c r="EE82" i="45"/>
  <c r="ED82" i="45"/>
  <c r="EC82" i="45"/>
  <c r="EB82" i="45"/>
  <c r="EA82" i="45"/>
  <c r="DZ82" i="45"/>
  <c r="DY82" i="45"/>
  <c r="DX82" i="45"/>
  <c r="DW82" i="45"/>
  <c r="FT81" i="45"/>
  <c r="FS81" i="45"/>
  <c r="FR81" i="45"/>
  <c r="FQ81" i="45"/>
  <c r="FP81" i="45"/>
  <c r="FO81" i="45"/>
  <c r="FN81" i="45"/>
  <c r="FM81" i="45"/>
  <c r="FL81" i="45"/>
  <c r="FK81" i="45"/>
  <c r="FJ81" i="45"/>
  <c r="FI81" i="45"/>
  <c r="FH81" i="45"/>
  <c r="FG81" i="45"/>
  <c r="FF81" i="45"/>
  <c r="FE81" i="45"/>
  <c r="FD81" i="45"/>
  <c r="FC81" i="45"/>
  <c r="FB81" i="45"/>
  <c r="FA81" i="45"/>
  <c r="EZ81" i="45"/>
  <c r="EY81" i="45"/>
  <c r="EX81" i="45"/>
  <c r="EW81" i="45"/>
  <c r="EV81" i="45"/>
  <c r="EU81" i="45"/>
  <c r="ES81" i="45"/>
  <c r="ER81" i="45"/>
  <c r="EQ81" i="45"/>
  <c r="EP81" i="45"/>
  <c r="EO81" i="45"/>
  <c r="EN81" i="45"/>
  <c r="EM81" i="45"/>
  <c r="EL81" i="45"/>
  <c r="EK81" i="45"/>
  <c r="EJ81" i="45"/>
  <c r="EI81" i="45"/>
  <c r="EH81" i="45"/>
  <c r="EG81" i="45"/>
  <c r="EF81" i="45"/>
  <c r="EE81" i="45"/>
  <c r="ED81" i="45"/>
  <c r="EC81" i="45"/>
  <c r="EB81" i="45"/>
  <c r="EA81" i="45"/>
  <c r="DZ81" i="45"/>
  <c r="DY81" i="45"/>
  <c r="DX81" i="45"/>
  <c r="DW81" i="45"/>
  <c r="FT80" i="45"/>
  <c r="FS80" i="45"/>
  <c r="FR80" i="45"/>
  <c r="FQ80" i="45"/>
  <c r="FP80" i="45"/>
  <c r="FO80" i="45"/>
  <c r="FN80" i="45"/>
  <c r="FM80" i="45"/>
  <c r="FL80" i="45"/>
  <c r="FK80" i="45"/>
  <c r="FJ80" i="45"/>
  <c r="FI80" i="45"/>
  <c r="FH80" i="45"/>
  <c r="FG80" i="45"/>
  <c r="FF80" i="45"/>
  <c r="FE80" i="45"/>
  <c r="FD80" i="45"/>
  <c r="FC80" i="45"/>
  <c r="FB80" i="45"/>
  <c r="FA80" i="45"/>
  <c r="EZ80" i="45"/>
  <c r="EY80" i="45"/>
  <c r="EX80" i="45"/>
  <c r="EW80" i="45"/>
  <c r="EV80" i="45"/>
  <c r="EU80" i="45"/>
  <c r="ES80" i="45"/>
  <c r="ER80" i="45"/>
  <c r="EQ80" i="45"/>
  <c r="EP80" i="45"/>
  <c r="EO80" i="45"/>
  <c r="EN80" i="45"/>
  <c r="EM80" i="45"/>
  <c r="EL80" i="45"/>
  <c r="EK80" i="45"/>
  <c r="EJ80" i="45"/>
  <c r="EI80" i="45"/>
  <c r="EH80" i="45"/>
  <c r="EG80" i="45"/>
  <c r="EF80" i="45"/>
  <c r="EE80" i="45"/>
  <c r="ED80" i="45"/>
  <c r="EC80" i="45"/>
  <c r="EB80" i="45"/>
  <c r="EA80" i="45"/>
  <c r="DZ80" i="45"/>
  <c r="DY80" i="45"/>
  <c r="DX80" i="45"/>
  <c r="DW80" i="45"/>
  <c r="FT79" i="45"/>
  <c r="FS79" i="45"/>
  <c r="FR79" i="45"/>
  <c r="FQ79" i="45"/>
  <c r="FP79" i="45"/>
  <c r="FO79" i="45"/>
  <c r="FN79" i="45"/>
  <c r="FM79" i="45"/>
  <c r="FL79" i="45"/>
  <c r="FK79" i="45"/>
  <c r="FJ79" i="45"/>
  <c r="FI79" i="45"/>
  <c r="FH79" i="45"/>
  <c r="FG79" i="45"/>
  <c r="FF79" i="45"/>
  <c r="FE79" i="45"/>
  <c r="FD79" i="45"/>
  <c r="FC79" i="45"/>
  <c r="FB79" i="45"/>
  <c r="FA79" i="45"/>
  <c r="EZ79" i="45"/>
  <c r="EY79" i="45"/>
  <c r="EX79" i="45"/>
  <c r="EW79" i="45"/>
  <c r="EV79" i="45"/>
  <c r="EU79" i="45"/>
  <c r="ES79" i="45"/>
  <c r="ER79" i="45"/>
  <c r="EQ79" i="45"/>
  <c r="EP79" i="45"/>
  <c r="EO79" i="45"/>
  <c r="EN79" i="45"/>
  <c r="EM79" i="45"/>
  <c r="EL79" i="45"/>
  <c r="EK79" i="45"/>
  <c r="EJ79" i="45"/>
  <c r="EI79" i="45"/>
  <c r="EH79" i="45"/>
  <c r="EG79" i="45"/>
  <c r="EF79" i="45"/>
  <c r="EE79" i="45"/>
  <c r="ED79" i="45"/>
  <c r="EC79" i="45"/>
  <c r="EB79" i="45"/>
  <c r="EA79" i="45"/>
  <c r="DZ79" i="45"/>
  <c r="DY79" i="45"/>
  <c r="DX79" i="45"/>
  <c r="DW79" i="45"/>
  <c r="FT78" i="45"/>
  <c r="FS78" i="45"/>
  <c r="FR78" i="45"/>
  <c r="FQ78" i="45"/>
  <c r="FP78" i="45"/>
  <c r="FO78" i="45"/>
  <c r="FN78" i="45"/>
  <c r="FM78" i="45"/>
  <c r="FL78" i="45"/>
  <c r="FK78" i="45"/>
  <c r="FJ78" i="45"/>
  <c r="FI78" i="45"/>
  <c r="FH78" i="45"/>
  <c r="FG78" i="45"/>
  <c r="FF78" i="45"/>
  <c r="FE78" i="45"/>
  <c r="FD78" i="45"/>
  <c r="FC78" i="45"/>
  <c r="FB78" i="45"/>
  <c r="FA78" i="45"/>
  <c r="EZ78" i="45"/>
  <c r="EY78" i="45"/>
  <c r="EX78" i="45"/>
  <c r="EW78" i="45"/>
  <c r="EV78" i="45"/>
  <c r="EU78" i="45"/>
  <c r="ES78" i="45"/>
  <c r="ER78" i="45"/>
  <c r="EQ78" i="45"/>
  <c r="EP78" i="45"/>
  <c r="EO78" i="45"/>
  <c r="EN78" i="45"/>
  <c r="EM78" i="45"/>
  <c r="EL78" i="45"/>
  <c r="EK78" i="45"/>
  <c r="EJ78" i="45"/>
  <c r="EI78" i="45"/>
  <c r="EH78" i="45"/>
  <c r="EG78" i="45"/>
  <c r="EF78" i="45"/>
  <c r="EE78" i="45"/>
  <c r="ED78" i="45"/>
  <c r="EC78" i="45"/>
  <c r="EB78" i="45"/>
  <c r="EA78" i="45"/>
  <c r="DZ78" i="45"/>
  <c r="DY78" i="45"/>
  <c r="DX78" i="45"/>
  <c r="DW78" i="45"/>
  <c r="FT77" i="45"/>
  <c r="FS77" i="45"/>
  <c r="FR77" i="45"/>
  <c r="FQ77" i="45"/>
  <c r="FP77" i="45"/>
  <c r="FO77" i="45"/>
  <c r="FN77" i="45"/>
  <c r="FM77" i="45"/>
  <c r="FL77" i="45"/>
  <c r="FK77" i="45"/>
  <c r="FJ77" i="45"/>
  <c r="FI77" i="45"/>
  <c r="FH77" i="45"/>
  <c r="FG77" i="45"/>
  <c r="FF77" i="45"/>
  <c r="FE77" i="45"/>
  <c r="FD77" i="45"/>
  <c r="FC77" i="45"/>
  <c r="FB77" i="45"/>
  <c r="FA77" i="45"/>
  <c r="EZ77" i="45"/>
  <c r="EY77" i="45"/>
  <c r="EX77" i="45"/>
  <c r="EW77" i="45"/>
  <c r="EV77" i="45"/>
  <c r="EU77" i="45"/>
  <c r="ES77" i="45"/>
  <c r="ER77" i="45"/>
  <c r="EQ77" i="45"/>
  <c r="EP77" i="45"/>
  <c r="EO77" i="45"/>
  <c r="EN77" i="45"/>
  <c r="EM77" i="45"/>
  <c r="EL77" i="45"/>
  <c r="EK77" i="45"/>
  <c r="EJ77" i="45"/>
  <c r="EI77" i="45"/>
  <c r="EH77" i="45"/>
  <c r="EG77" i="45"/>
  <c r="EF77" i="45"/>
  <c r="EE77" i="45"/>
  <c r="ED77" i="45"/>
  <c r="EC77" i="45"/>
  <c r="EB77" i="45"/>
  <c r="EA77" i="45"/>
  <c r="DZ77" i="45"/>
  <c r="DY77" i="45"/>
  <c r="DX77" i="45"/>
  <c r="DW77" i="45"/>
  <c r="FT76" i="45"/>
  <c r="FS76" i="45"/>
  <c r="FR76" i="45"/>
  <c r="FQ76" i="45"/>
  <c r="FP76" i="45"/>
  <c r="FO76" i="45"/>
  <c r="FN76" i="45"/>
  <c r="FM76" i="45"/>
  <c r="FL76" i="45"/>
  <c r="FK76" i="45"/>
  <c r="FJ76" i="45"/>
  <c r="FI76" i="45"/>
  <c r="FH76" i="45"/>
  <c r="FG76" i="45"/>
  <c r="FF76" i="45"/>
  <c r="FE76" i="45"/>
  <c r="FD76" i="45"/>
  <c r="FC76" i="45"/>
  <c r="FB76" i="45"/>
  <c r="FA76" i="45"/>
  <c r="EZ76" i="45"/>
  <c r="EY76" i="45"/>
  <c r="EX76" i="45"/>
  <c r="EW76" i="45"/>
  <c r="EV76" i="45"/>
  <c r="EU76" i="45"/>
  <c r="ES76" i="45"/>
  <c r="ER76" i="45"/>
  <c r="EQ76" i="45"/>
  <c r="EP76" i="45"/>
  <c r="EO76" i="45"/>
  <c r="EN76" i="45"/>
  <c r="EM76" i="45"/>
  <c r="EL76" i="45"/>
  <c r="EK76" i="45"/>
  <c r="EJ76" i="45"/>
  <c r="EI76" i="45"/>
  <c r="EH76" i="45"/>
  <c r="EG76" i="45"/>
  <c r="EF76" i="45"/>
  <c r="EE76" i="45"/>
  <c r="ED76" i="45"/>
  <c r="EC76" i="45"/>
  <c r="EB76" i="45"/>
  <c r="EA76" i="45"/>
  <c r="DZ76" i="45"/>
  <c r="DY76" i="45"/>
  <c r="DX76" i="45"/>
  <c r="DW76" i="45"/>
  <c r="FT75" i="45"/>
  <c r="FS75" i="45"/>
  <c r="FR75" i="45"/>
  <c r="FQ75" i="45"/>
  <c r="FP75" i="45"/>
  <c r="FO75" i="45"/>
  <c r="FN75" i="45"/>
  <c r="FM75" i="45"/>
  <c r="FL75" i="45"/>
  <c r="FK75" i="45"/>
  <c r="FJ75" i="45"/>
  <c r="FI75" i="45"/>
  <c r="FH75" i="45"/>
  <c r="FG75" i="45"/>
  <c r="FF75" i="45"/>
  <c r="FE75" i="45"/>
  <c r="FD75" i="45"/>
  <c r="FC75" i="45"/>
  <c r="FB75" i="45"/>
  <c r="FA75" i="45"/>
  <c r="EZ75" i="45"/>
  <c r="EY75" i="45"/>
  <c r="EX75" i="45"/>
  <c r="EW75" i="45"/>
  <c r="EV75" i="45"/>
  <c r="EU75" i="45"/>
  <c r="ES75" i="45"/>
  <c r="ER75" i="45"/>
  <c r="EQ75" i="45"/>
  <c r="EP75" i="45"/>
  <c r="EO75" i="45"/>
  <c r="EN75" i="45"/>
  <c r="EM75" i="45"/>
  <c r="EL75" i="45"/>
  <c r="EK75" i="45"/>
  <c r="EJ75" i="45"/>
  <c r="EI75" i="45"/>
  <c r="EH75" i="45"/>
  <c r="EG75" i="45"/>
  <c r="EF75" i="45"/>
  <c r="EE75" i="45"/>
  <c r="ED75" i="45"/>
  <c r="EC75" i="45"/>
  <c r="EB75" i="45"/>
  <c r="EA75" i="45"/>
  <c r="DZ75" i="45"/>
  <c r="DY75" i="45"/>
  <c r="DX75" i="45"/>
  <c r="DW75" i="45"/>
  <c r="FT74" i="45"/>
  <c r="FS74" i="45"/>
  <c r="FR74" i="45"/>
  <c r="FQ74" i="45"/>
  <c r="FP74" i="45"/>
  <c r="FO74" i="45"/>
  <c r="FN74" i="45"/>
  <c r="FM74" i="45"/>
  <c r="FL74" i="45"/>
  <c r="FK74" i="45"/>
  <c r="FJ74" i="45"/>
  <c r="FI74" i="45"/>
  <c r="FH74" i="45"/>
  <c r="FG74" i="45"/>
  <c r="FF74" i="45"/>
  <c r="FE74" i="45"/>
  <c r="FD74" i="45"/>
  <c r="FC74" i="45"/>
  <c r="FB74" i="45"/>
  <c r="FA74" i="45"/>
  <c r="EZ74" i="45"/>
  <c r="EY74" i="45"/>
  <c r="EX74" i="45"/>
  <c r="EW74" i="45"/>
  <c r="EV74" i="45"/>
  <c r="EU74" i="45"/>
  <c r="ES74" i="45"/>
  <c r="ER74" i="45"/>
  <c r="EQ74" i="45"/>
  <c r="EP74" i="45"/>
  <c r="EO74" i="45"/>
  <c r="EN74" i="45"/>
  <c r="EM74" i="45"/>
  <c r="EL74" i="45"/>
  <c r="EK74" i="45"/>
  <c r="EJ74" i="45"/>
  <c r="EI74" i="45"/>
  <c r="EH74" i="45"/>
  <c r="EG74" i="45"/>
  <c r="EF74" i="45"/>
  <c r="EE74" i="45"/>
  <c r="ED74" i="45"/>
  <c r="EC74" i="45"/>
  <c r="EB74" i="45"/>
  <c r="EA74" i="45"/>
  <c r="DZ74" i="45"/>
  <c r="DY74" i="45"/>
  <c r="DX74" i="45"/>
  <c r="DW74" i="45"/>
  <c r="FT73" i="45"/>
  <c r="FS73" i="45"/>
  <c r="FR73" i="45"/>
  <c r="FQ73" i="45"/>
  <c r="FP73" i="45"/>
  <c r="FO73" i="45"/>
  <c r="FN73" i="45"/>
  <c r="FM73" i="45"/>
  <c r="FL73" i="45"/>
  <c r="FK73" i="45"/>
  <c r="FJ73" i="45"/>
  <c r="FI73" i="45"/>
  <c r="FH73" i="45"/>
  <c r="FG73" i="45"/>
  <c r="FF73" i="45"/>
  <c r="FE73" i="45"/>
  <c r="FD73" i="45"/>
  <c r="FC73" i="45"/>
  <c r="FB73" i="45"/>
  <c r="FA73" i="45"/>
  <c r="EZ73" i="45"/>
  <c r="EY73" i="45"/>
  <c r="EX73" i="45"/>
  <c r="EW73" i="45"/>
  <c r="EV73" i="45"/>
  <c r="EU73" i="45"/>
  <c r="ES73" i="45"/>
  <c r="ER73" i="45"/>
  <c r="EQ73" i="45"/>
  <c r="EP73" i="45"/>
  <c r="EO73" i="45"/>
  <c r="EN73" i="45"/>
  <c r="EM73" i="45"/>
  <c r="EL73" i="45"/>
  <c r="EK73" i="45"/>
  <c r="EJ73" i="45"/>
  <c r="EI73" i="45"/>
  <c r="EH73" i="45"/>
  <c r="EG73" i="45"/>
  <c r="EF73" i="45"/>
  <c r="EE73" i="45"/>
  <c r="ED73" i="45"/>
  <c r="EC73" i="45"/>
  <c r="EB73" i="45"/>
  <c r="EA73" i="45"/>
  <c r="DZ73" i="45"/>
  <c r="DY73" i="45"/>
  <c r="DX73" i="45"/>
  <c r="DW73" i="45"/>
  <c r="FT72" i="45"/>
  <c r="FS72" i="45"/>
  <c r="FR72" i="45"/>
  <c r="FQ72" i="45"/>
  <c r="FP72" i="45"/>
  <c r="FO72" i="45"/>
  <c r="FN72" i="45"/>
  <c r="FM72" i="45"/>
  <c r="FL72" i="45"/>
  <c r="FK72" i="45"/>
  <c r="FJ72" i="45"/>
  <c r="FI72" i="45"/>
  <c r="FH72" i="45"/>
  <c r="FG72" i="45"/>
  <c r="FF72" i="45"/>
  <c r="FE72" i="45"/>
  <c r="FD72" i="45"/>
  <c r="FC72" i="45"/>
  <c r="FB72" i="45"/>
  <c r="FA72" i="45"/>
  <c r="EZ72" i="45"/>
  <c r="EY72" i="45"/>
  <c r="EX72" i="45"/>
  <c r="EW72" i="45"/>
  <c r="EV72" i="45"/>
  <c r="EU72" i="45"/>
  <c r="ES72" i="45"/>
  <c r="ER72" i="45"/>
  <c r="EQ72" i="45"/>
  <c r="EP72" i="45"/>
  <c r="EO72" i="45"/>
  <c r="EN72" i="45"/>
  <c r="EM72" i="45"/>
  <c r="EL72" i="45"/>
  <c r="EK72" i="45"/>
  <c r="EJ72" i="45"/>
  <c r="EI72" i="45"/>
  <c r="EH72" i="45"/>
  <c r="EG72" i="45"/>
  <c r="EF72" i="45"/>
  <c r="EE72" i="45"/>
  <c r="ED72" i="45"/>
  <c r="EC72" i="45"/>
  <c r="EB72" i="45"/>
  <c r="EA72" i="45"/>
  <c r="DZ72" i="45"/>
  <c r="DY72" i="45"/>
  <c r="DX72" i="45"/>
  <c r="DW72" i="45"/>
  <c r="FT71" i="45"/>
  <c r="FS71" i="45"/>
  <c r="FR71" i="45"/>
  <c r="FQ71" i="45"/>
  <c r="FP71" i="45"/>
  <c r="FO71" i="45"/>
  <c r="FN71" i="45"/>
  <c r="FM71" i="45"/>
  <c r="FL71" i="45"/>
  <c r="FK71" i="45"/>
  <c r="FJ71" i="45"/>
  <c r="FI71" i="45"/>
  <c r="FH71" i="45"/>
  <c r="FG71" i="45"/>
  <c r="FF71" i="45"/>
  <c r="FE71" i="45"/>
  <c r="FD71" i="45"/>
  <c r="FC71" i="45"/>
  <c r="FB71" i="45"/>
  <c r="FA71" i="45"/>
  <c r="EZ71" i="45"/>
  <c r="EY71" i="45"/>
  <c r="EX71" i="45"/>
  <c r="EW71" i="45"/>
  <c r="EV71" i="45"/>
  <c r="EU71" i="45"/>
  <c r="ES71" i="45"/>
  <c r="ER71" i="45"/>
  <c r="EQ71" i="45"/>
  <c r="EP71" i="45"/>
  <c r="EO71" i="45"/>
  <c r="EN71" i="45"/>
  <c r="EM71" i="45"/>
  <c r="EL71" i="45"/>
  <c r="EK71" i="45"/>
  <c r="EJ71" i="45"/>
  <c r="EI71" i="45"/>
  <c r="EH71" i="45"/>
  <c r="EG71" i="45"/>
  <c r="EF71" i="45"/>
  <c r="EE71" i="45"/>
  <c r="ED71" i="45"/>
  <c r="EC71" i="45"/>
  <c r="EB71" i="45"/>
  <c r="EA71" i="45"/>
  <c r="DZ71" i="45"/>
  <c r="DY71" i="45"/>
  <c r="DX71" i="45"/>
  <c r="DW71" i="45"/>
  <c r="FT70" i="45"/>
  <c r="FS70" i="45"/>
  <c r="FR70" i="45"/>
  <c r="FQ70" i="45"/>
  <c r="FP70" i="45"/>
  <c r="FO70" i="45"/>
  <c r="FN70" i="45"/>
  <c r="FM70" i="45"/>
  <c r="FL70" i="45"/>
  <c r="FK70" i="45"/>
  <c r="FJ70" i="45"/>
  <c r="FI70" i="45"/>
  <c r="FH70" i="45"/>
  <c r="FG70" i="45"/>
  <c r="FF70" i="45"/>
  <c r="FE70" i="45"/>
  <c r="FD70" i="45"/>
  <c r="FC70" i="45"/>
  <c r="FB70" i="45"/>
  <c r="FA70" i="45"/>
  <c r="EZ70" i="45"/>
  <c r="EY70" i="45"/>
  <c r="EX70" i="45"/>
  <c r="EW70" i="45"/>
  <c r="EV70" i="45"/>
  <c r="EU70" i="45"/>
  <c r="ES70" i="45"/>
  <c r="ER70" i="45"/>
  <c r="EQ70" i="45"/>
  <c r="EP70" i="45"/>
  <c r="EO70" i="45"/>
  <c r="EN70" i="45"/>
  <c r="EM70" i="45"/>
  <c r="EL70" i="45"/>
  <c r="EK70" i="45"/>
  <c r="EJ70" i="45"/>
  <c r="EI70" i="45"/>
  <c r="EH70" i="45"/>
  <c r="EG70" i="45"/>
  <c r="EF70" i="45"/>
  <c r="EE70" i="45"/>
  <c r="ED70" i="45"/>
  <c r="EC70" i="45"/>
  <c r="EB70" i="45"/>
  <c r="EA70" i="45"/>
  <c r="DZ70" i="45"/>
  <c r="DY70" i="45"/>
  <c r="DX70" i="45"/>
  <c r="DW70" i="45"/>
  <c r="FT69" i="45"/>
  <c r="FS69" i="45"/>
  <c r="FR69" i="45"/>
  <c r="FQ69" i="45"/>
  <c r="FP69" i="45"/>
  <c r="FO69" i="45"/>
  <c r="FN69" i="45"/>
  <c r="FM69" i="45"/>
  <c r="FL69" i="45"/>
  <c r="FK69" i="45"/>
  <c r="FJ69" i="45"/>
  <c r="FI69" i="45"/>
  <c r="FH69" i="45"/>
  <c r="FG69" i="45"/>
  <c r="FF69" i="45"/>
  <c r="FE69" i="45"/>
  <c r="FD69" i="45"/>
  <c r="FC69" i="45"/>
  <c r="FB69" i="45"/>
  <c r="FA69" i="45"/>
  <c r="EZ69" i="45"/>
  <c r="EY69" i="45"/>
  <c r="EX69" i="45"/>
  <c r="EW69" i="45"/>
  <c r="EV69" i="45"/>
  <c r="EU69" i="45"/>
  <c r="ES69" i="45"/>
  <c r="ER69" i="45"/>
  <c r="EQ69" i="45"/>
  <c r="EP69" i="45"/>
  <c r="EO69" i="45"/>
  <c r="EN69" i="45"/>
  <c r="EM69" i="45"/>
  <c r="EL69" i="45"/>
  <c r="EK69" i="45"/>
  <c r="EJ69" i="45"/>
  <c r="EI69" i="45"/>
  <c r="EH69" i="45"/>
  <c r="EG69" i="45"/>
  <c r="EF69" i="45"/>
  <c r="EE69" i="45"/>
  <c r="ED69" i="45"/>
  <c r="EC69" i="45"/>
  <c r="EB69" i="45"/>
  <c r="EA69" i="45"/>
  <c r="DZ69" i="45"/>
  <c r="DY69" i="45"/>
  <c r="DX69" i="45"/>
  <c r="DW69" i="45"/>
  <c r="FT68" i="45"/>
  <c r="FS68" i="45"/>
  <c r="FR68" i="45"/>
  <c r="FQ68" i="45"/>
  <c r="FP68" i="45"/>
  <c r="FO68" i="45"/>
  <c r="FN68" i="45"/>
  <c r="FM68" i="45"/>
  <c r="FL68" i="45"/>
  <c r="FK68" i="45"/>
  <c r="FJ68" i="45"/>
  <c r="FI68" i="45"/>
  <c r="FH68" i="45"/>
  <c r="FG68" i="45"/>
  <c r="FF68" i="45"/>
  <c r="FE68" i="45"/>
  <c r="FD68" i="45"/>
  <c r="FC68" i="45"/>
  <c r="FB68" i="45"/>
  <c r="FA68" i="45"/>
  <c r="EZ68" i="45"/>
  <c r="EY68" i="45"/>
  <c r="EX68" i="45"/>
  <c r="EW68" i="45"/>
  <c r="EV68" i="45"/>
  <c r="EU68" i="45"/>
  <c r="ES68" i="45"/>
  <c r="ER68" i="45"/>
  <c r="EQ68" i="45"/>
  <c r="EP68" i="45"/>
  <c r="EO68" i="45"/>
  <c r="EN68" i="45"/>
  <c r="EM68" i="45"/>
  <c r="EL68" i="45"/>
  <c r="EK68" i="45"/>
  <c r="EJ68" i="45"/>
  <c r="EI68" i="45"/>
  <c r="EH68" i="45"/>
  <c r="EG68" i="45"/>
  <c r="EF68" i="45"/>
  <c r="EE68" i="45"/>
  <c r="ED68" i="45"/>
  <c r="EC68" i="45"/>
  <c r="EB68" i="45"/>
  <c r="EA68" i="45"/>
  <c r="DZ68" i="45"/>
  <c r="DY68" i="45"/>
  <c r="DX68" i="45"/>
  <c r="DW68" i="45"/>
  <c r="FT67" i="45"/>
  <c r="FS67" i="45"/>
  <c r="FR67" i="45"/>
  <c r="FQ67" i="45"/>
  <c r="FP67" i="45"/>
  <c r="FO67" i="45"/>
  <c r="FN67" i="45"/>
  <c r="FM67" i="45"/>
  <c r="FL67" i="45"/>
  <c r="FK67" i="45"/>
  <c r="FJ67" i="45"/>
  <c r="FI67" i="45"/>
  <c r="FH67" i="45"/>
  <c r="FG67" i="45"/>
  <c r="FF67" i="45"/>
  <c r="FE67" i="45"/>
  <c r="FD67" i="45"/>
  <c r="FC67" i="45"/>
  <c r="FB67" i="45"/>
  <c r="FA67" i="45"/>
  <c r="EZ67" i="45"/>
  <c r="EY67" i="45"/>
  <c r="EX67" i="45"/>
  <c r="EW67" i="45"/>
  <c r="EV67" i="45"/>
  <c r="EU67" i="45"/>
  <c r="ES67" i="45"/>
  <c r="ER67" i="45"/>
  <c r="EQ67" i="45"/>
  <c r="EP67" i="45"/>
  <c r="EO67" i="45"/>
  <c r="EN67" i="45"/>
  <c r="EM67" i="45"/>
  <c r="EL67" i="45"/>
  <c r="EK67" i="45"/>
  <c r="EJ67" i="45"/>
  <c r="EI67" i="45"/>
  <c r="EH67" i="45"/>
  <c r="EG67" i="45"/>
  <c r="EF67" i="45"/>
  <c r="EE67" i="45"/>
  <c r="ED67" i="45"/>
  <c r="EC67" i="45"/>
  <c r="EB67" i="45"/>
  <c r="EA67" i="45"/>
  <c r="DZ67" i="45"/>
  <c r="DY67" i="45"/>
  <c r="DX67" i="45"/>
  <c r="DW67" i="45"/>
  <c r="FT66" i="45"/>
  <c r="FS66" i="45"/>
  <c r="FR66" i="45"/>
  <c r="FQ66" i="45"/>
  <c r="FP66" i="45"/>
  <c r="FO66" i="45"/>
  <c r="FN66" i="45"/>
  <c r="FM66" i="45"/>
  <c r="FL66" i="45"/>
  <c r="FK66" i="45"/>
  <c r="FJ66" i="45"/>
  <c r="FI66" i="45"/>
  <c r="FH66" i="45"/>
  <c r="FG66" i="45"/>
  <c r="FF66" i="45"/>
  <c r="FE66" i="45"/>
  <c r="FD66" i="45"/>
  <c r="FC66" i="45"/>
  <c r="FB66" i="45"/>
  <c r="FA66" i="45"/>
  <c r="EZ66" i="45"/>
  <c r="EY66" i="45"/>
  <c r="EX66" i="45"/>
  <c r="EW66" i="45"/>
  <c r="EV66" i="45"/>
  <c r="EU66" i="45"/>
  <c r="ES66" i="45"/>
  <c r="ER66" i="45"/>
  <c r="EQ66" i="45"/>
  <c r="EP66" i="45"/>
  <c r="EO66" i="45"/>
  <c r="EN66" i="45"/>
  <c r="EM66" i="45"/>
  <c r="EL66" i="45"/>
  <c r="EK66" i="45"/>
  <c r="EJ66" i="45"/>
  <c r="EI66" i="45"/>
  <c r="EH66" i="45"/>
  <c r="EG66" i="45"/>
  <c r="EF66" i="45"/>
  <c r="EE66" i="45"/>
  <c r="ED66" i="45"/>
  <c r="EC66" i="45"/>
  <c r="EB66" i="45"/>
  <c r="EA66" i="45"/>
  <c r="DZ66" i="45"/>
  <c r="DY66" i="45"/>
  <c r="DX66" i="45"/>
  <c r="DW66" i="45"/>
  <c r="FT65" i="45"/>
  <c r="FS65" i="45"/>
  <c r="FR65" i="45"/>
  <c r="FQ65" i="45"/>
  <c r="FP65" i="45"/>
  <c r="FO65" i="45"/>
  <c r="FN65" i="45"/>
  <c r="FM65" i="45"/>
  <c r="FL65" i="45"/>
  <c r="FK65" i="45"/>
  <c r="FJ65" i="45"/>
  <c r="FI65" i="45"/>
  <c r="FH65" i="45"/>
  <c r="FG65" i="45"/>
  <c r="FF65" i="45"/>
  <c r="FE65" i="45"/>
  <c r="FD65" i="45"/>
  <c r="FC65" i="45"/>
  <c r="FB65" i="45"/>
  <c r="FA65" i="45"/>
  <c r="EZ65" i="45"/>
  <c r="EY65" i="45"/>
  <c r="EX65" i="45"/>
  <c r="EW65" i="45"/>
  <c r="EV65" i="45"/>
  <c r="EU65" i="45"/>
  <c r="ES65" i="45"/>
  <c r="ER65" i="45"/>
  <c r="EQ65" i="45"/>
  <c r="EP65" i="45"/>
  <c r="EO65" i="45"/>
  <c r="EN65" i="45"/>
  <c r="EM65" i="45"/>
  <c r="EL65" i="45"/>
  <c r="EK65" i="45"/>
  <c r="EJ65" i="45"/>
  <c r="EI65" i="45"/>
  <c r="EH65" i="45"/>
  <c r="EG65" i="45"/>
  <c r="EF65" i="45"/>
  <c r="EE65" i="45"/>
  <c r="ED65" i="45"/>
  <c r="EC65" i="45"/>
  <c r="EB65" i="45"/>
  <c r="EA65" i="45"/>
  <c r="DZ65" i="45"/>
  <c r="DY65" i="45"/>
  <c r="DX65" i="45"/>
  <c r="DW65" i="45"/>
  <c r="FT64" i="45"/>
  <c r="FS64" i="45"/>
  <c r="FR64" i="45"/>
  <c r="FQ64" i="45"/>
  <c r="FP64" i="45"/>
  <c r="FO64" i="45"/>
  <c r="FN64" i="45"/>
  <c r="FM64" i="45"/>
  <c r="FL64" i="45"/>
  <c r="FK64" i="45"/>
  <c r="FJ64" i="45"/>
  <c r="FI64" i="45"/>
  <c r="FH64" i="45"/>
  <c r="FG64" i="45"/>
  <c r="FF64" i="45"/>
  <c r="FE64" i="45"/>
  <c r="FD64" i="45"/>
  <c r="FC64" i="45"/>
  <c r="FB64" i="45"/>
  <c r="FA64" i="45"/>
  <c r="EZ64" i="45"/>
  <c r="EY64" i="45"/>
  <c r="EX64" i="45"/>
  <c r="EW64" i="45"/>
  <c r="EV64" i="45"/>
  <c r="EU64" i="45"/>
  <c r="ES64" i="45"/>
  <c r="ER64" i="45"/>
  <c r="EQ64" i="45"/>
  <c r="EP64" i="45"/>
  <c r="EO64" i="45"/>
  <c r="EN64" i="45"/>
  <c r="EM64" i="45"/>
  <c r="EL64" i="45"/>
  <c r="EK64" i="45"/>
  <c r="EJ64" i="45"/>
  <c r="EI64" i="45"/>
  <c r="EH64" i="45"/>
  <c r="EG64" i="45"/>
  <c r="EF64" i="45"/>
  <c r="EE64" i="45"/>
  <c r="ED64" i="45"/>
  <c r="EC64" i="45"/>
  <c r="EB64" i="45"/>
  <c r="EA64" i="45"/>
  <c r="DZ64" i="45"/>
  <c r="DY64" i="45"/>
  <c r="DX64" i="45"/>
  <c r="DW64" i="45"/>
  <c r="FT63" i="45"/>
  <c r="FS63" i="45"/>
  <c r="FR63" i="45"/>
  <c r="FQ63" i="45"/>
  <c r="FP63" i="45"/>
  <c r="FO63" i="45"/>
  <c r="FN63" i="45"/>
  <c r="FM63" i="45"/>
  <c r="FL63" i="45"/>
  <c r="FK63" i="45"/>
  <c r="FJ63" i="45"/>
  <c r="FI63" i="45"/>
  <c r="FH63" i="45"/>
  <c r="FG63" i="45"/>
  <c r="FF63" i="45"/>
  <c r="FE63" i="45"/>
  <c r="FD63" i="45"/>
  <c r="FC63" i="45"/>
  <c r="FB63" i="45"/>
  <c r="FA63" i="45"/>
  <c r="EZ63" i="45"/>
  <c r="EY63" i="45"/>
  <c r="EX63" i="45"/>
  <c r="EW63" i="45"/>
  <c r="EV63" i="45"/>
  <c r="EU63" i="45"/>
  <c r="ES63" i="45"/>
  <c r="ER63" i="45"/>
  <c r="EQ63" i="45"/>
  <c r="EP63" i="45"/>
  <c r="EO63" i="45"/>
  <c r="EN63" i="45"/>
  <c r="EM63" i="45"/>
  <c r="EL63" i="45"/>
  <c r="EK63" i="45"/>
  <c r="EJ63" i="45"/>
  <c r="EI63" i="45"/>
  <c r="EH63" i="45"/>
  <c r="EG63" i="45"/>
  <c r="EF63" i="45"/>
  <c r="EE63" i="45"/>
  <c r="ED63" i="45"/>
  <c r="EC63" i="45"/>
  <c r="EB63" i="45"/>
  <c r="EA63" i="45"/>
  <c r="DZ63" i="45"/>
  <c r="DY63" i="45"/>
  <c r="DX63" i="45"/>
  <c r="DW63" i="45"/>
  <c r="FT62" i="45"/>
  <c r="FS62" i="45"/>
  <c r="FR62" i="45"/>
  <c r="FQ62" i="45"/>
  <c r="FP62" i="45"/>
  <c r="FO62" i="45"/>
  <c r="FN62" i="45"/>
  <c r="FM62" i="45"/>
  <c r="FL62" i="45"/>
  <c r="FK62" i="45"/>
  <c r="FJ62" i="45"/>
  <c r="FI62" i="45"/>
  <c r="FH62" i="45"/>
  <c r="FG62" i="45"/>
  <c r="FF62" i="45"/>
  <c r="FE62" i="45"/>
  <c r="FD62" i="45"/>
  <c r="FC62" i="45"/>
  <c r="FB62" i="45"/>
  <c r="FA62" i="45"/>
  <c r="EZ62" i="45"/>
  <c r="EY62" i="45"/>
  <c r="EX62" i="45"/>
  <c r="EW62" i="45"/>
  <c r="EV62" i="45"/>
  <c r="EU62" i="45"/>
  <c r="ES62" i="45"/>
  <c r="ER62" i="45"/>
  <c r="EQ62" i="45"/>
  <c r="EP62" i="45"/>
  <c r="EO62" i="45"/>
  <c r="EN62" i="45"/>
  <c r="EM62" i="45"/>
  <c r="EL62" i="45"/>
  <c r="EK62" i="45"/>
  <c r="EJ62" i="45"/>
  <c r="EI62" i="45"/>
  <c r="EH62" i="45"/>
  <c r="EG62" i="45"/>
  <c r="EF62" i="45"/>
  <c r="EE62" i="45"/>
  <c r="ED62" i="45"/>
  <c r="EC62" i="45"/>
  <c r="EB62" i="45"/>
  <c r="EA62" i="45"/>
  <c r="DZ62" i="45"/>
  <c r="DY62" i="45"/>
  <c r="DX62" i="45"/>
  <c r="DW62" i="45"/>
  <c r="FT61" i="45"/>
  <c r="FS61" i="45"/>
  <c r="FR61" i="45"/>
  <c r="FQ61" i="45"/>
  <c r="FP61" i="45"/>
  <c r="FO61" i="45"/>
  <c r="FN61" i="45"/>
  <c r="FM61" i="45"/>
  <c r="FL61" i="45"/>
  <c r="FK61" i="45"/>
  <c r="FJ61" i="45"/>
  <c r="FI61" i="45"/>
  <c r="FH61" i="45"/>
  <c r="FG61" i="45"/>
  <c r="FF61" i="45"/>
  <c r="FE61" i="45"/>
  <c r="FD61" i="45"/>
  <c r="FC61" i="45"/>
  <c r="FB61" i="45"/>
  <c r="FA61" i="45"/>
  <c r="EZ61" i="45"/>
  <c r="EY61" i="45"/>
  <c r="EX61" i="45"/>
  <c r="EW61" i="45"/>
  <c r="EV61" i="45"/>
  <c r="EU61" i="45"/>
  <c r="ES61" i="45"/>
  <c r="ER61" i="45"/>
  <c r="EQ61" i="45"/>
  <c r="EP61" i="45"/>
  <c r="EO61" i="45"/>
  <c r="EN61" i="45"/>
  <c r="EM61" i="45"/>
  <c r="EL61" i="45"/>
  <c r="EK61" i="45"/>
  <c r="EJ61" i="45"/>
  <c r="EI61" i="45"/>
  <c r="EH61" i="45"/>
  <c r="EG61" i="45"/>
  <c r="EF61" i="45"/>
  <c r="EE61" i="45"/>
  <c r="ED61" i="45"/>
  <c r="EC61" i="45"/>
  <c r="EB61" i="45"/>
  <c r="EA61" i="45"/>
  <c r="DZ61" i="45"/>
  <c r="DY61" i="45"/>
  <c r="DX61" i="45"/>
  <c r="DW61" i="45"/>
  <c r="FT60" i="45"/>
  <c r="FS60" i="45"/>
  <c r="FR60" i="45"/>
  <c r="FQ60" i="45"/>
  <c r="FP60" i="45"/>
  <c r="FO60" i="45"/>
  <c r="FN60" i="45"/>
  <c r="FM60" i="45"/>
  <c r="FL60" i="45"/>
  <c r="FK60" i="45"/>
  <c r="FJ60" i="45"/>
  <c r="FI60" i="45"/>
  <c r="FH60" i="45"/>
  <c r="FG60" i="45"/>
  <c r="FF60" i="45"/>
  <c r="FE60" i="45"/>
  <c r="FD60" i="45"/>
  <c r="FC60" i="45"/>
  <c r="FB60" i="45"/>
  <c r="FA60" i="45"/>
  <c r="EZ60" i="45"/>
  <c r="EY60" i="45"/>
  <c r="EX60" i="45"/>
  <c r="EW60" i="45"/>
  <c r="EV60" i="45"/>
  <c r="EU60" i="45"/>
  <c r="ES60" i="45"/>
  <c r="ER60" i="45"/>
  <c r="EQ60" i="45"/>
  <c r="EP60" i="45"/>
  <c r="EO60" i="45"/>
  <c r="EN60" i="45"/>
  <c r="EM60" i="45"/>
  <c r="EL60" i="45"/>
  <c r="EK60" i="45"/>
  <c r="EJ60" i="45"/>
  <c r="EI60" i="45"/>
  <c r="EH60" i="45"/>
  <c r="EG60" i="45"/>
  <c r="EF60" i="45"/>
  <c r="EE60" i="45"/>
  <c r="ED60" i="45"/>
  <c r="EC60" i="45"/>
  <c r="EB60" i="45"/>
  <c r="EA60" i="45"/>
  <c r="DZ60" i="45"/>
  <c r="DY60" i="45"/>
  <c r="DX60" i="45"/>
  <c r="DW60" i="45"/>
  <c r="FT59" i="45"/>
  <c r="FS59" i="45"/>
  <c r="FR59" i="45"/>
  <c r="FQ59" i="45"/>
  <c r="FP59" i="45"/>
  <c r="FO59" i="45"/>
  <c r="FN59" i="45"/>
  <c r="FM59" i="45"/>
  <c r="FL59" i="45"/>
  <c r="FK59" i="45"/>
  <c r="FJ59" i="45"/>
  <c r="FI59" i="45"/>
  <c r="FH59" i="45"/>
  <c r="FG59" i="45"/>
  <c r="FF59" i="45"/>
  <c r="FE59" i="45"/>
  <c r="FD59" i="45"/>
  <c r="FC59" i="45"/>
  <c r="FB59" i="45"/>
  <c r="FA59" i="45"/>
  <c r="EZ59" i="45"/>
  <c r="EY59" i="45"/>
  <c r="EX59" i="45"/>
  <c r="EW59" i="45"/>
  <c r="EV59" i="45"/>
  <c r="EU59" i="45"/>
  <c r="ES59" i="45"/>
  <c r="ER59" i="45"/>
  <c r="EQ59" i="45"/>
  <c r="EP59" i="45"/>
  <c r="EO59" i="45"/>
  <c r="EN59" i="45"/>
  <c r="EM59" i="45"/>
  <c r="EL59" i="45"/>
  <c r="EK59" i="45"/>
  <c r="EJ59" i="45"/>
  <c r="EI59" i="45"/>
  <c r="EH59" i="45"/>
  <c r="EG59" i="45"/>
  <c r="EF59" i="45"/>
  <c r="EE59" i="45"/>
  <c r="ED59" i="45"/>
  <c r="EC59" i="45"/>
  <c r="EB59" i="45"/>
  <c r="EA59" i="45"/>
  <c r="DZ59" i="45"/>
  <c r="DY59" i="45"/>
  <c r="DX59" i="45"/>
  <c r="DW59" i="45"/>
  <c r="FT58" i="45"/>
  <c r="FS58" i="45"/>
  <c r="FR58" i="45"/>
  <c r="FQ58" i="45"/>
  <c r="FP58" i="45"/>
  <c r="FO58" i="45"/>
  <c r="FN58" i="45"/>
  <c r="FM58" i="45"/>
  <c r="FL58" i="45"/>
  <c r="FK58" i="45"/>
  <c r="FJ58" i="45"/>
  <c r="FI58" i="45"/>
  <c r="FH58" i="45"/>
  <c r="FG58" i="45"/>
  <c r="FF58" i="45"/>
  <c r="FE58" i="45"/>
  <c r="FD58" i="45"/>
  <c r="FC58" i="45"/>
  <c r="FB58" i="45"/>
  <c r="FA58" i="45"/>
  <c r="EZ58" i="45"/>
  <c r="EY58" i="45"/>
  <c r="EX58" i="45"/>
  <c r="EW58" i="45"/>
  <c r="EV58" i="45"/>
  <c r="EU58" i="45"/>
  <c r="ES58" i="45"/>
  <c r="ER58" i="45"/>
  <c r="EQ58" i="45"/>
  <c r="EP58" i="45"/>
  <c r="EO58" i="45"/>
  <c r="EN58" i="45"/>
  <c r="EM58" i="45"/>
  <c r="EL58" i="45"/>
  <c r="EK58" i="45"/>
  <c r="EJ58" i="45"/>
  <c r="EI58" i="45"/>
  <c r="EH58" i="45"/>
  <c r="EG58" i="45"/>
  <c r="EF58" i="45"/>
  <c r="EE58" i="45"/>
  <c r="ED58" i="45"/>
  <c r="EC58" i="45"/>
  <c r="EB58" i="45"/>
  <c r="EA58" i="45"/>
  <c r="DZ58" i="45"/>
  <c r="DY58" i="45"/>
  <c r="DX58" i="45"/>
  <c r="DW58" i="45"/>
  <c r="FT57" i="45"/>
  <c r="FS57" i="45"/>
  <c r="FR57" i="45"/>
  <c r="FQ57" i="45"/>
  <c r="FP57" i="45"/>
  <c r="FO57" i="45"/>
  <c r="FN57" i="45"/>
  <c r="FM57" i="45"/>
  <c r="FL57" i="45"/>
  <c r="FK57" i="45"/>
  <c r="FJ57" i="45"/>
  <c r="FI57" i="45"/>
  <c r="FH57" i="45"/>
  <c r="FG57" i="45"/>
  <c r="FF57" i="45"/>
  <c r="FE57" i="45"/>
  <c r="FD57" i="45"/>
  <c r="FC57" i="45"/>
  <c r="FB57" i="45"/>
  <c r="FA57" i="45"/>
  <c r="EZ57" i="45"/>
  <c r="EY57" i="45"/>
  <c r="EX57" i="45"/>
  <c r="EW57" i="45"/>
  <c r="EV57" i="45"/>
  <c r="EU57" i="45"/>
  <c r="ES57" i="45"/>
  <c r="ER57" i="45"/>
  <c r="EQ57" i="45"/>
  <c r="EP57" i="45"/>
  <c r="EO57" i="45"/>
  <c r="EN57" i="45"/>
  <c r="EM57" i="45"/>
  <c r="EL57" i="45"/>
  <c r="EK57" i="45"/>
  <c r="EJ57" i="45"/>
  <c r="EI57" i="45"/>
  <c r="EH57" i="45"/>
  <c r="EG57" i="45"/>
  <c r="EF57" i="45"/>
  <c r="EE57" i="45"/>
  <c r="ED57" i="45"/>
  <c r="EC57" i="45"/>
  <c r="EB57" i="45"/>
  <c r="EA57" i="45"/>
  <c r="DZ57" i="45"/>
  <c r="DY57" i="45"/>
  <c r="DX57" i="45"/>
  <c r="DW57" i="45"/>
  <c r="FT56" i="45"/>
  <c r="FS56" i="45"/>
  <c r="FR56" i="45"/>
  <c r="FQ56" i="45"/>
  <c r="FP56" i="45"/>
  <c r="FO56" i="45"/>
  <c r="FN56" i="45"/>
  <c r="FM56" i="45"/>
  <c r="FL56" i="45"/>
  <c r="FK56" i="45"/>
  <c r="FJ56" i="45"/>
  <c r="FI56" i="45"/>
  <c r="FH56" i="45"/>
  <c r="FG56" i="45"/>
  <c r="FF56" i="45"/>
  <c r="FE56" i="45"/>
  <c r="FD56" i="45"/>
  <c r="FC56" i="45"/>
  <c r="FB56" i="45"/>
  <c r="FA56" i="45"/>
  <c r="EZ56" i="45"/>
  <c r="EY56" i="45"/>
  <c r="EX56" i="45"/>
  <c r="EW56" i="45"/>
  <c r="EV56" i="45"/>
  <c r="EU56" i="45"/>
  <c r="ES56" i="45"/>
  <c r="ER56" i="45"/>
  <c r="EQ56" i="45"/>
  <c r="EP56" i="45"/>
  <c r="EO56" i="45"/>
  <c r="EN56" i="45"/>
  <c r="EM56" i="45"/>
  <c r="EL56" i="45"/>
  <c r="EK56" i="45"/>
  <c r="EJ56" i="45"/>
  <c r="EI56" i="45"/>
  <c r="EH56" i="45"/>
  <c r="EG56" i="45"/>
  <c r="EF56" i="45"/>
  <c r="EE56" i="45"/>
  <c r="ED56" i="45"/>
  <c r="EC56" i="45"/>
  <c r="EB56" i="45"/>
  <c r="EA56" i="45"/>
  <c r="DZ56" i="45"/>
  <c r="DY56" i="45"/>
  <c r="DX56" i="45"/>
  <c r="DW56" i="45"/>
  <c r="FT55" i="45"/>
  <c r="FS55" i="45"/>
  <c r="FR55" i="45"/>
  <c r="FQ55" i="45"/>
  <c r="FP55" i="45"/>
  <c r="FO55" i="45"/>
  <c r="FN55" i="45"/>
  <c r="FM55" i="45"/>
  <c r="FL55" i="45"/>
  <c r="FK55" i="45"/>
  <c r="FJ55" i="45"/>
  <c r="FI55" i="45"/>
  <c r="FH55" i="45"/>
  <c r="FG55" i="45"/>
  <c r="FF55" i="45"/>
  <c r="FE55" i="45"/>
  <c r="FD55" i="45"/>
  <c r="FC55" i="45"/>
  <c r="FB55" i="45"/>
  <c r="FA55" i="45"/>
  <c r="EZ55" i="45"/>
  <c r="EY55" i="45"/>
  <c r="EX55" i="45"/>
  <c r="EW55" i="45"/>
  <c r="EV55" i="45"/>
  <c r="EU55" i="45"/>
  <c r="ES55" i="45"/>
  <c r="ER55" i="45"/>
  <c r="EQ55" i="45"/>
  <c r="EP55" i="45"/>
  <c r="EO55" i="45"/>
  <c r="EN55" i="45"/>
  <c r="EM55" i="45"/>
  <c r="EL55" i="45"/>
  <c r="EK55" i="45"/>
  <c r="EJ55" i="45"/>
  <c r="EI55" i="45"/>
  <c r="EH55" i="45"/>
  <c r="EG55" i="45"/>
  <c r="EF55" i="45"/>
  <c r="EE55" i="45"/>
  <c r="ED55" i="45"/>
  <c r="EC55" i="45"/>
  <c r="EB55" i="45"/>
  <c r="EA55" i="45"/>
  <c r="DZ55" i="45"/>
  <c r="DY55" i="45"/>
  <c r="DX55" i="45"/>
  <c r="DW55" i="45"/>
  <c r="FT54" i="45"/>
  <c r="FS54" i="45"/>
  <c r="FR54" i="45"/>
  <c r="FQ54" i="45"/>
  <c r="FP54" i="45"/>
  <c r="FO54" i="45"/>
  <c r="FN54" i="45"/>
  <c r="FM54" i="45"/>
  <c r="FL54" i="45"/>
  <c r="FK54" i="45"/>
  <c r="FJ54" i="45"/>
  <c r="FI54" i="45"/>
  <c r="FH54" i="45"/>
  <c r="FG54" i="45"/>
  <c r="FF54" i="45"/>
  <c r="FE54" i="45"/>
  <c r="FD54" i="45"/>
  <c r="FC54" i="45"/>
  <c r="FB54" i="45"/>
  <c r="FA54" i="45"/>
  <c r="EZ54" i="45"/>
  <c r="EY54" i="45"/>
  <c r="EX54" i="45"/>
  <c r="EW54" i="45"/>
  <c r="EV54" i="45"/>
  <c r="EU54" i="45"/>
  <c r="ES54" i="45"/>
  <c r="ER54" i="45"/>
  <c r="EQ54" i="45"/>
  <c r="EP54" i="45"/>
  <c r="EO54" i="45"/>
  <c r="EN54" i="45"/>
  <c r="EM54" i="45"/>
  <c r="EL54" i="45"/>
  <c r="EK54" i="45"/>
  <c r="EJ54" i="45"/>
  <c r="EI54" i="45"/>
  <c r="EH54" i="45"/>
  <c r="EG54" i="45"/>
  <c r="EF54" i="45"/>
  <c r="EE54" i="45"/>
  <c r="ED54" i="45"/>
  <c r="EC54" i="45"/>
  <c r="EB54" i="45"/>
  <c r="EA54" i="45"/>
  <c r="DZ54" i="45"/>
  <c r="DY54" i="45"/>
  <c r="DX54" i="45"/>
  <c r="DW54" i="45"/>
  <c r="FT53" i="45"/>
  <c r="FS53" i="45"/>
  <c r="FR53" i="45"/>
  <c r="FQ53" i="45"/>
  <c r="FP53" i="45"/>
  <c r="FO53" i="45"/>
  <c r="FN53" i="45"/>
  <c r="FM53" i="45"/>
  <c r="FL53" i="45"/>
  <c r="FK53" i="45"/>
  <c r="FJ53" i="45"/>
  <c r="FI53" i="45"/>
  <c r="FH53" i="45"/>
  <c r="FG53" i="45"/>
  <c r="FF53" i="45"/>
  <c r="FE53" i="45"/>
  <c r="FD53" i="45"/>
  <c r="FC53" i="45"/>
  <c r="FB53" i="45"/>
  <c r="FA53" i="45"/>
  <c r="EZ53" i="45"/>
  <c r="EY53" i="45"/>
  <c r="EX53" i="45"/>
  <c r="EW53" i="45"/>
  <c r="EV53" i="45"/>
  <c r="EU53" i="45"/>
  <c r="ES53" i="45"/>
  <c r="ER53" i="45"/>
  <c r="EQ53" i="45"/>
  <c r="EP53" i="45"/>
  <c r="EO53" i="45"/>
  <c r="EN53" i="45"/>
  <c r="EM53" i="45"/>
  <c r="EL53" i="45"/>
  <c r="EK53" i="45"/>
  <c r="EJ53" i="45"/>
  <c r="EI53" i="45"/>
  <c r="EH53" i="45"/>
  <c r="EG53" i="45"/>
  <c r="EF53" i="45"/>
  <c r="EE53" i="45"/>
  <c r="ED53" i="45"/>
  <c r="EC53" i="45"/>
  <c r="EB53" i="45"/>
  <c r="EA53" i="45"/>
  <c r="DZ53" i="45"/>
  <c r="DY53" i="45"/>
  <c r="DX53" i="45"/>
  <c r="DW53" i="45"/>
  <c r="FT52" i="45"/>
  <c r="FS52" i="45"/>
  <c r="FR52" i="45"/>
  <c r="FQ52" i="45"/>
  <c r="FP52" i="45"/>
  <c r="FO52" i="45"/>
  <c r="FN52" i="45"/>
  <c r="FM52" i="45"/>
  <c r="FL52" i="45"/>
  <c r="FK52" i="45"/>
  <c r="FJ52" i="45"/>
  <c r="FI52" i="45"/>
  <c r="FH52" i="45"/>
  <c r="FG52" i="45"/>
  <c r="FF52" i="45"/>
  <c r="FE52" i="45"/>
  <c r="FD52" i="45"/>
  <c r="FC52" i="45"/>
  <c r="FB52" i="45"/>
  <c r="FA52" i="45"/>
  <c r="EZ52" i="45"/>
  <c r="EY52" i="45"/>
  <c r="EX52" i="45"/>
  <c r="EW52" i="45"/>
  <c r="EV52" i="45"/>
  <c r="EU52" i="45"/>
  <c r="ES52" i="45"/>
  <c r="ER52" i="45"/>
  <c r="EQ52" i="45"/>
  <c r="EP52" i="45"/>
  <c r="EO52" i="45"/>
  <c r="EN52" i="45"/>
  <c r="EM52" i="45"/>
  <c r="EL52" i="45"/>
  <c r="EK52" i="45"/>
  <c r="EJ52" i="45"/>
  <c r="EI52" i="45"/>
  <c r="EH52" i="45"/>
  <c r="EG52" i="45"/>
  <c r="EF52" i="45"/>
  <c r="EE52" i="45"/>
  <c r="ED52" i="45"/>
  <c r="EC52" i="45"/>
  <c r="EB52" i="45"/>
  <c r="EA52" i="45"/>
  <c r="DZ52" i="45"/>
  <c r="DY52" i="45"/>
  <c r="DX52" i="45"/>
  <c r="DW52" i="45"/>
  <c r="FT51" i="45"/>
  <c r="FS51" i="45"/>
  <c r="FR51" i="45"/>
  <c r="FQ51" i="45"/>
  <c r="FP51" i="45"/>
  <c r="FO51" i="45"/>
  <c r="FN51" i="45"/>
  <c r="FM51" i="45"/>
  <c r="FL51" i="45"/>
  <c r="FK51" i="45"/>
  <c r="FJ51" i="45"/>
  <c r="FI51" i="45"/>
  <c r="FH51" i="45"/>
  <c r="FG51" i="45"/>
  <c r="FF51" i="45"/>
  <c r="FE51" i="45"/>
  <c r="FD51" i="45"/>
  <c r="FC51" i="45"/>
  <c r="FB51" i="45"/>
  <c r="FA51" i="45"/>
  <c r="EZ51" i="45"/>
  <c r="EY51" i="45"/>
  <c r="EX51" i="45"/>
  <c r="EW51" i="45"/>
  <c r="EV51" i="45"/>
  <c r="EU51" i="45"/>
  <c r="ES51" i="45"/>
  <c r="ER51" i="45"/>
  <c r="EQ51" i="45"/>
  <c r="EP51" i="45"/>
  <c r="EO51" i="45"/>
  <c r="EN51" i="45"/>
  <c r="EM51" i="45"/>
  <c r="EL51" i="45"/>
  <c r="EK51" i="45"/>
  <c r="EJ51" i="45"/>
  <c r="EI51" i="45"/>
  <c r="EH51" i="45"/>
  <c r="EG51" i="45"/>
  <c r="EF51" i="45"/>
  <c r="EE51" i="45"/>
  <c r="ED51" i="45"/>
  <c r="EC51" i="45"/>
  <c r="EB51" i="45"/>
  <c r="EA51" i="45"/>
  <c r="DZ51" i="45"/>
  <c r="DY51" i="45"/>
  <c r="DX51" i="45"/>
  <c r="DW51" i="45"/>
  <c r="FT50" i="45"/>
  <c r="FS50" i="45"/>
  <c r="FR50" i="45"/>
  <c r="FQ50" i="45"/>
  <c r="FP50" i="45"/>
  <c r="FO50" i="45"/>
  <c r="FN50" i="45"/>
  <c r="FM50" i="45"/>
  <c r="FL50" i="45"/>
  <c r="FK50" i="45"/>
  <c r="FJ50" i="45"/>
  <c r="FI50" i="45"/>
  <c r="FH50" i="45"/>
  <c r="FG50" i="45"/>
  <c r="FF50" i="45"/>
  <c r="FE50" i="45"/>
  <c r="FD50" i="45"/>
  <c r="FC50" i="45"/>
  <c r="FB50" i="45"/>
  <c r="FA50" i="45"/>
  <c r="EZ50" i="45"/>
  <c r="EY50" i="45"/>
  <c r="EX50" i="45"/>
  <c r="EW50" i="45"/>
  <c r="EV50" i="45"/>
  <c r="EU50" i="45"/>
  <c r="ES50" i="45"/>
  <c r="ER50" i="45"/>
  <c r="EQ50" i="45"/>
  <c r="EP50" i="45"/>
  <c r="EO50" i="45"/>
  <c r="EN50" i="45"/>
  <c r="EM50" i="45"/>
  <c r="EL50" i="45"/>
  <c r="EK50" i="45"/>
  <c r="EJ50" i="45"/>
  <c r="EI50" i="45"/>
  <c r="EH50" i="45"/>
  <c r="EG50" i="45"/>
  <c r="EF50" i="45"/>
  <c r="EE50" i="45"/>
  <c r="ED50" i="45"/>
  <c r="EC50" i="45"/>
  <c r="EB50" i="45"/>
  <c r="EA50" i="45"/>
  <c r="DZ50" i="45"/>
  <c r="DY50" i="45"/>
  <c r="DX50" i="45"/>
  <c r="DW50" i="45"/>
  <c r="FT49" i="45"/>
  <c r="FS49" i="45"/>
  <c r="FR49" i="45"/>
  <c r="FQ49" i="45"/>
  <c r="FP49" i="45"/>
  <c r="FO49" i="45"/>
  <c r="FN49" i="45"/>
  <c r="FM49" i="45"/>
  <c r="FL49" i="45"/>
  <c r="FK49" i="45"/>
  <c r="FJ49" i="45"/>
  <c r="FI49" i="45"/>
  <c r="FH49" i="45"/>
  <c r="FG49" i="45"/>
  <c r="FF49" i="45"/>
  <c r="FE49" i="45"/>
  <c r="FD49" i="45"/>
  <c r="FC49" i="45"/>
  <c r="FB49" i="45"/>
  <c r="FA49" i="45"/>
  <c r="EZ49" i="45"/>
  <c r="EY49" i="45"/>
  <c r="EX49" i="45"/>
  <c r="EW49" i="45"/>
  <c r="EV49" i="45"/>
  <c r="EU49" i="45"/>
  <c r="ES49" i="45"/>
  <c r="ER49" i="45"/>
  <c r="EQ49" i="45"/>
  <c r="EP49" i="45"/>
  <c r="EO49" i="45"/>
  <c r="EN49" i="45"/>
  <c r="EM49" i="45"/>
  <c r="EL49" i="45"/>
  <c r="EK49" i="45"/>
  <c r="EJ49" i="45"/>
  <c r="EI49" i="45"/>
  <c r="EH49" i="45"/>
  <c r="EG49" i="45"/>
  <c r="EF49" i="45"/>
  <c r="EE49" i="45"/>
  <c r="ED49" i="45"/>
  <c r="EC49" i="45"/>
  <c r="EB49" i="45"/>
  <c r="EA49" i="45"/>
  <c r="DZ49" i="45"/>
  <c r="DY49" i="45"/>
  <c r="DX49" i="45"/>
  <c r="DW49" i="45"/>
  <c r="FT48" i="45"/>
  <c r="FS48" i="45"/>
  <c r="FR48" i="45"/>
  <c r="FQ48" i="45"/>
  <c r="FP48" i="45"/>
  <c r="FO48" i="45"/>
  <c r="FN48" i="45"/>
  <c r="FM48" i="45"/>
  <c r="FL48" i="45"/>
  <c r="FK48" i="45"/>
  <c r="FJ48" i="45"/>
  <c r="FI48" i="45"/>
  <c r="FH48" i="45"/>
  <c r="FG48" i="45"/>
  <c r="FF48" i="45"/>
  <c r="FE48" i="45"/>
  <c r="FD48" i="45"/>
  <c r="FC48" i="45"/>
  <c r="FB48" i="45"/>
  <c r="FA48" i="45"/>
  <c r="EZ48" i="45"/>
  <c r="EY48" i="45"/>
  <c r="EX48" i="45"/>
  <c r="EW48" i="45"/>
  <c r="EV48" i="45"/>
  <c r="EU48" i="45"/>
  <c r="ES48" i="45"/>
  <c r="ER48" i="45"/>
  <c r="EQ48" i="45"/>
  <c r="EP48" i="45"/>
  <c r="EO48" i="45"/>
  <c r="EN48" i="45"/>
  <c r="EM48" i="45"/>
  <c r="EL48" i="45"/>
  <c r="EK48" i="45"/>
  <c r="EJ48" i="45"/>
  <c r="EI48" i="45"/>
  <c r="EH48" i="45"/>
  <c r="EG48" i="45"/>
  <c r="EF48" i="45"/>
  <c r="EE48" i="45"/>
  <c r="ED48" i="45"/>
  <c r="EC48" i="45"/>
  <c r="EB48" i="45"/>
  <c r="EA48" i="45"/>
  <c r="DZ48" i="45"/>
  <c r="DY48" i="45"/>
  <c r="DX48" i="45"/>
  <c r="DW48" i="45"/>
  <c r="FT47" i="45"/>
  <c r="FS47" i="45"/>
  <c r="FR47" i="45"/>
  <c r="FQ47" i="45"/>
  <c r="FP47" i="45"/>
  <c r="FO47" i="45"/>
  <c r="FN47" i="45"/>
  <c r="FM47" i="45"/>
  <c r="FL47" i="45"/>
  <c r="FK47" i="45"/>
  <c r="FJ47" i="45"/>
  <c r="FI47" i="45"/>
  <c r="FH47" i="45"/>
  <c r="FG47" i="45"/>
  <c r="FF47" i="45"/>
  <c r="FE47" i="45"/>
  <c r="FD47" i="45"/>
  <c r="FC47" i="45"/>
  <c r="FB47" i="45"/>
  <c r="FA47" i="45"/>
  <c r="EZ47" i="45"/>
  <c r="EY47" i="45"/>
  <c r="EX47" i="45"/>
  <c r="EW47" i="45"/>
  <c r="EV47" i="45"/>
  <c r="EU47" i="45"/>
  <c r="ES47" i="45"/>
  <c r="ER47" i="45"/>
  <c r="EQ47" i="45"/>
  <c r="EP47" i="45"/>
  <c r="EO47" i="45"/>
  <c r="EN47" i="45"/>
  <c r="EM47" i="45"/>
  <c r="EL47" i="45"/>
  <c r="EK47" i="45"/>
  <c r="EJ47" i="45"/>
  <c r="EI47" i="45"/>
  <c r="EH47" i="45"/>
  <c r="EG47" i="45"/>
  <c r="EF47" i="45"/>
  <c r="EE47" i="45"/>
  <c r="ED47" i="45"/>
  <c r="EC47" i="45"/>
  <c r="EB47" i="45"/>
  <c r="EA47" i="45"/>
  <c r="DZ47" i="45"/>
  <c r="DY47" i="45"/>
  <c r="DX47" i="45"/>
  <c r="DW47" i="45"/>
  <c r="FT46" i="45"/>
  <c r="FS46" i="45"/>
  <c r="FR46" i="45"/>
  <c r="FQ46" i="45"/>
  <c r="FP46" i="45"/>
  <c r="FO46" i="45"/>
  <c r="FN46" i="45"/>
  <c r="FM46" i="45"/>
  <c r="FL46" i="45"/>
  <c r="FK46" i="45"/>
  <c r="FJ46" i="45"/>
  <c r="FI46" i="45"/>
  <c r="FH46" i="45"/>
  <c r="FG46" i="45"/>
  <c r="FF46" i="45"/>
  <c r="FE46" i="45"/>
  <c r="FD46" i="45"/>
  <c r="FC46" i="45"/>
  <c r="FB46" i="45"/>
  <c r="FA46" i="45"/>
  <c r="EZ46" i="45"/>
  <c r="EY46" i="45"/>
  <c r="EX46" i="45"/>
  <c r="EW46" i="45"/>
  <c r="EV46" i="45"/>
  <c r="EU46" i="45"/>
  <c r="ES46" i="45"/>
  <c r="ER46" i="45"/>
  <c r="EQ46" i="45"/>
  <c r="EP46" i="45"/>
  <c r="EO46" i="45"/>
  <c r="EN46" i="45"/>
  <c r="EM46" i="45"/>
  <c r="EL46" i="45"/>
  <c r="EK46" i="45"/>
  <c r="EJ46" i="45"/>
  <c r="EI46" i="45"/>
  <c r="EH46" i="45"/>
  <c r="EG46" i="45"/>
  <c r="EF46" i="45"/>
  <c r="EE46" i="45"/>
  <c r="ED46" i="45"/>
  <c r="EC46" i="45"/>
  <c r="EB46" i="45"/>
  <c r="EA46" i="45"/>
  <c r="DZ46" i="45"/>
  <c r="DY46" i="45"/>
  <c r="DX46" i="45"/>
  <c r="DW46" i="45"/>
  <c r="FT45" i="45"/>
  <c r="FS45" i="45"/>
  <c r="FR45" i="45"/>
  <c r="FQ45" i="45"/>
  <c r="FP45" i="45"/>
  <c r="FO45" i="45"/>
  <c r="FN45" i="45"/>
  <c r="FM45" i="45"/>
  <c r="FL45" i="45"/>
  <c r="FK45" i="45"/>
  <c r="FJ45" i="45"/>
  <c r="FI45" i="45"/>
  <c r="FH45" i="45"/>
  <c r="FG45" i="45"/>
  <c r="FF45" i="45"/>
  <c r="FE45" i="45"/>
  <c r="FD45" i="45"/>
  <c r="FC45" i="45"/>
  <c r="FB45" i="45"/>
  <c r="FA45" i="45"/>
  <c r="EZ45" i="45"/>
  <c r="EY45" i="45"/>
  <c r="EX45" i="45"/>
  <c r="EW45" i="45"/>
  <c r="EV45" i="45"/>
  <c r="EU45" i="45"/>
  <c r="ES45" i="45"/>
  <c r="ER45" i="45"/>
  <c r="EQ45" i="45"/>
  <c r="EP45" i="45"/>
  <c r="EO45" i="45"/>
  <c r="EN45" i="45"/>
  <c r="EM45" i="45"/>
  <c r="EL45" i="45"/>
  <c r="EK45" i="45"/>
  <c r="EJ45" i="45"/>
  <c r="EI45" i="45"/>
  <c r="EH45" i="45"/>
  <c r="EG45" i="45"/>
  <c r="EF45" i="45"/>
  <c r="EE45" i="45"/>
  <c r="ED45" i="45"/>
  <c r="EC45" i="45"/>
  <c r="EB45" i="45"/>
  <c r="EA45" i="45"/>
  <c r="DZ45" i="45"/>
  <c r="DY45" i="45"/>
  <c r="DX45" i="45"/>
  <c r="DW45" i="45"/>
  <c r="FT44" i="45"/>
  <c r="FS44" i="45"/>
  <c r="FR44" i="45"/>
  <c r="FQ44" i="45"/>
  <c r="FP44" i="45"/>
  <c r="FO44" i="45"/>
  <c r="FN44" i="45"/>
  <c r="FM44" i="45"/>
  <c r="FL44" i="45"/>
  <c r="FK44" i="45"/>
  <c r="FJ44" i="45"/>
  <c r="FI44" i="45"/>
  <c r="FH44" i="45"/>
  <c r="FG44" i="45"/>
  <c r="FF44" i="45"/>
  <c r="FE44" i="45"/>
  <c r="FD44" i="45"/>
  <c r="FC44" i="45"/>
  <c r="FB44" i="45"/>
  <c r="FA44" i="45"/>
  <c r="EZ44" i="45"/>
  <c r="EY44" i="45"/>
  <c r="EX44" i="45"/>
  <c r="EW44" i="45"/>
  <c r="EV44" i="45"/>
  <c r="EU44" i="45"/>
  <c r="ES44" i="45"/>
  <c r="ER44" i="45"/>
  <c r="EQ44" i="45"/>
  <c r="EP44" i="45"/>
  <c r="EO44" i="45"/>
  <c r="EN44" i="45"/>
  <c r="EM44" i="45"/>
  <c r="EL44" i="45"/>
  <c r="EK44" i="45"/>
  <c r="EJ44" i="45"/>
  <c r="EI44" i="45"/>
  <c r="EH44" i="45"/>
  <c r="EG44" i="45"/>
  <c r="EF44" i="45"/>
  <c r="EE44" i="45"/>
  <c r="ED44" i="45"/>
  <c r="EC44" i="45"/>
  <c r="EB44" i="45"/>
  <c r="EA44" i="45"/>
  <c r="DZ44" i="45"/>
  <c r="DY44" i="45"/>
  <c r="DX44" i="45"/>
  <c r="DW44" i="45"/>
  <c r="FT43" i="45"/>
  <c r="FS43" i="45"/>
  <c r="FR43" i="45"/>
  <c r="FQ43" i="45"/>
  <c r="FP43" i="45"/>
  <c r="FO43" i="45"/>
  <c r="FN43" i="45"/>
  <c r="FM43" i="45"/>
  <c r="FL43" i="45"/>
  <c r="FK43" i="45"/>
  <c r="FJ43" i="45"/>
  <c r="FI43" i="45"/>
  <c r="FH43" i="45"/>
  <c r="FG43" i="45"/>
  <c r="FF43" i="45"/>
  <c r="FE43" i="45"/>
  <c r="FD43" i="45"/>
  <c r="FC43" i="45"/>
  <c r="FB43" i="45"/>
  <c r="FA43" i="45"/>
  <c r="EZ43" i="45"/>
  <c r="EY43" i="45"/>
  <c r="EX43" i="45"/>
  <c r="EW43" i="45"/>
  <c r="EV43" i="45"/>
  <c r="EU43" i="45"/>
  <c r="ES43" i="45"/>
  <c r="ER43" i="45"/>
  <c r="EQ43" i="45"/>
  <c r="EP43" i="45"/>
  <c r="EO43" i="45"/>
  <c r="EN43" i="45"/>
  <c r="EM43" i="45"/>
  <c r="EL43" i="45"/>
  <c r="EK43" i="45"/>
  <c r="EJ43" i="45"/>
  <c r="EI43" i="45"/>
  <c r="EH43" i="45"/>
  <c r="EG43" i="45"/>
  <c r="EF43" i="45"/>
  <c r="EE43" i="45"/>
  <c r="ED43" i="45"/>
  <c r="EC43" i="45"/>
  <c r="EB43" i="45"/>
  <c r="EA43" i="45"/>
  <c r="DZ43" i="45"/>
  <c r="DY43" i="45"/>
  <c r="DX43" i="45"/>
  <c r="DW43" i="45"/>
  <c r="FT42" i="45"/>
  <c r="FS42" i="45"/>
  <c r="FR42" i="45"/>
  <c r="FQ42" i="45"/>
  <c r="FP42" i="45"/>
  <c r="FO42" i="45"/>
  <c r="FN42" i="45"/>
  <c r="FM42" i="45"/>
  <c r="FL42" i="45"/>
  <c r="FK42" i="45"/>
  <c r="FJ42" i="45"/>
  <c r="FI42" i="45"/>
  <c r="FH42" i="45"/>
  <c r="FG42" i="45"/>
  <c r="FF42" i="45"/>
  <c r="FE42" i="45"/>
  <c r="FD42" i="45"/>
  <c r="FC42" i="45"/>
  <c r="FB42" i="45"/>
  <c r="FA42" i="45"/>
  <c r="EZ42" i="45"/>
  <c r="EY42" i="45"/>
  <c r="EX42" i="45"/>
  <c r="EW42" i="45"/>
  <c r="EV42" i="45"/>
  <c r="EU42" i="45"/>
  <c r="ES42" i="45"/>
  <c r="ER42" i="45"/>
  <c r="EQ42" i="45"/>
  <c r="EP42" i="45"/>
  <c r="EO42" i="45"/>
  <c r="EN42" i="45"/>
  <c r="EM42" i="45"/>
  <c r="EL42" i="45"/>
  <c r="EK42" i="45"/>
  <c r="EJ42" i="45"/>
  <c r="EI42" i="45"/>
  <c r="EH42" i="45"/>
  <c r="EG42" i="45"/>
  <c r="EF42" i="45"/>
  <c r="EE42" i="45"/>
  <c r="ED42" i="45"/>
  <c r="EC42" i="45"/>
  <c r="EB42" i="45"/>
  <c r="EA42" i="45"/>
  <c r="DZ42" i="45"/>
  <c r="DY42" i="45"/>
  <c r="DX42" i="45"/>
  <c r="DW42" i="45"/>
  <c r="FT41" i="45"/>
  <c r="FS41" i="45"/>
  <c r="FR41" i="45"/>
  <c r="FQ41" i="45"/>
  <c r="FP41" i="45"/>
  <c r="FO41" i="45"/>
  <c r="FN41" i="45"/>
  <c r="FM41" i="45"/>
  <c r="FL41" i="45"/>
  <c r="FK41" i="45"/>
  <c r="FJ41" i="45"/>
  <c r="FI41" i="45"/>
  <c r="FH41" i="45"/>
  <c r="FG41" i="45"/>
  <c r="FF41" i="45"/>
  <c r="FE41" i="45"/>
  <c r="FD41" i="45"/>
  <c r="FC41" i="45"/>
  <c r="FB41" i="45"/>
  <c r="FA41" i="45"/>
  <c r="EZ41" i="45"/>
  <c r="EY41" i="45"/>
  <c r="EX41" i="45"/>
  <c r="EW41" i="45"/>
  <c r="EV41" i="45"/>
  <c r="EU41" i="45"/>
  <c r="ES41" i="45"/>
  <c r="ER41" i="45"/>
  <c r="EQ41" i="45"/>
  <c r="EP41" i="45"/>
  <c r="EO41" i="45"/>
  <c r="EN41" i="45"/>
  <c r="EM41" i="45"/>
  <c r="EL41" i="45"/>
  <c r="EK41" i="45"/>
  <c r="EJ41" i="45"/>
  <c r="EI41" i="45"/>
  <c r="EH41" i="45"/>
  <c r="EG41" i="45"/>
  <c r="EF41" i="45"/>
  <c r="EE41" i="45"/>
  <c r="ED41" i="45"/>
  <c r="EC41" i="45"/>
  <c r="EB41" i="45"/>
  <c r="EA41" i="45"/>
  <c r="DZ41" i="45"/>
  <c r="DY41" i="45"/>
  <c r="DX41" i="45"/>
  <c r="DW41" i="45"/>
  <c r="FT40" i="45"/>
  <c r="FS40" i="45"/>
  <c r="FR40" i="45"/>
  <c r="FQ40" i="45"/>
  <c r="FP40" i="45"/>
  <c r="FO40" i="45"/>
  <c r="FN40" i="45"/>
  <c r="FM40" i="45"/>
  <c r="FL40" i="45"/>
  <c r="FK40" i="45"/>
  <c r="FJ40" i="45"/>
  <c r="FI40" i="45"/>
  <c r="FH40" i="45"/>
  <c r="FG40" i="45"/>
  <c r="FF40" i="45"/>
  <c r="FE40" i="45"/>
  <c r="FD40" i="45"/>
  <c r="FC40" i="45"/>
  <c r="FB40" i="45"/>
  <c r="FA40" i="45"/>
  <c r="EZ40" i="45"/>
  <c r="EY40" i="45"/>
  <c r="EX40" i="45"/>
  <c r="EW40" i="45"/>
  <c r="EV40" i="45"/>
  <c r="EU40" i="45"/>
  <c r="ES40" i="45"/>
  <c r="ER40" i="45"/>
  <c r="EQ40" i="45"/>
  <c r="EP40" i="45"/>
  <c r="EO40" i="45"/>
  <c r="EN40" i="45"/>
  <c r="EM40" i="45"/>
  <c r="EL40" i="45"/>
  <c r="EK40" i="45"/>
  <c r="EJ40" i="45"/>
  <c r="EI40" i="45"/>
  <c r="EH40" i="45"/>
  <c r="EG40" i="45"/>
  <c r="EF40" i="45"/>
  <c r="EE40" i="45"/>
  <c r="ED40" i="45"/>
  <c r="EC40" i="45"/>
  <c r="EB40" i="45"/>
  <c r="EA40" i="45"/>
  <c r="DZ40" i="45"/>
  <c r="DY40" i="45"/>
  <c r="DX40" i="45"/>
  <c r="DW40" i="45"/>
  <c r="FT39" i="45"/>
  <c r="FS39" i="45"/>
  <c r="FR39" i="45"/>
  <c r="FQ39" i="45"/>
  <c r="FP39" i="45"/>
  <c r="FO39" i="45"/>
  <c r="FN39" i="45"/>
  <c r="FM39" i="45"/>
  <c r="FL39" i="45"/>
  <c r="FK39" i="45"/>
  <c r="FJ39" i="45"/>
  <c r="FI39" i="45"/>
  <c r="FH39" i="45"/>
  <c r="FG39" i="45"/>
  <c r="FF39" i="45"/>
  <c r="FE39" i="45"/>
  <c r="FD39" i="45"/>
  <c r="FC39" i="45"/>
  <c r="FB39" i="45"/>
  <c r="FA39" i="45"/>
  <c r="EZ39" i="45"/>
  <c r="EY39" i="45"/>
  <c r="EX39" i="45"/>
  <c r="EW39" i="45"/>
  <c r="EV39" i="45"/>
  <c r="EU39" i="45"/>
  <c r="ES39" i="45"/>
  <c r="ER39" i="45"/>
  <c r="EQ39" i="45"/>
  <c r="EP39" i="45"/>
  <c r="EO39" i="45"/>
  <c r="EN39" i="45"/>
  <c r="EM39" i="45"/>
  <c r="EL39" i="45"/>
  <c r="EK39" i="45"/>
  <c r="EJ39" i="45"/>
  <c r="EI39" i="45"/>
  <c r="EH39" i="45"/>
  <c r="EG39" i="45"/>
  <c r="EF39" i="45"/>
  <c r="EE39" i="45"/>
  <c r="ED39" i="45"/>
  <c r="EC39" i="45"/>
  <c r="EB39" i="45"/>
  <c r="EA39" i="45"/>
  <c r="DZ39" i="45"/>
  <c r="DY39" i="45"/>
  <c r="DX39" i="45"/>
  <c r="DW39" i="45"/>
  <c r="FT38" i="45"/>
  <c r="FS38" i="45"/>
  <c r="FR38" i="45"/>
  <c r="FQ38" i="45"/>
  <c r="FP38" i="45"/>
  <c r="FO38" i="45"/>
  <c r="FN38" i="45"/>
  <c r="FM38" i="45"/>
  <c r="FL38" i="45"/>
  <c r="FK38" i="45"/>
  <c r="FJ38" i="45"/>
  <c r="FI38" i="45"/>
  <c r="FH38" i="45"/>
  <c r="FG38" i="45"/>
  <c r="FF38" i="45"/>
  <c r="FE38" i="45"/>
  <c r="FD38" i="45"/>
  <c r="FC38" i="45"/>
  <c r="FB38" i="45"/>
  <c r="FA38" i="45"/>
  <c r="EZ38" i="45"/>
  <c r="EY38" i="45"/>
  <c r="EX38" i="45"/>
  <c r="EW38" i="45"/>
  <c r="EV38" i="45"/>
  <c r="EU38" i="45"/>
  <c r="ES38" i="45"/>
  <c r="ER38" i="45"/>
  <c r="EQ38" i="45"/>
  <c r="EP38" i="45"/>
  <c r="EO38" i="45"/>
  <c r="EN38" i="45"/>
  <c r="EM38" i="45"/>
  <c r="EL38" i="45"/>
  <c r="EK38" i="45"/>
  <c r="EJ38" i="45"/>
  <c r="EI38" i="45"/>
  <c r="EH38" i="45"/>
  <c r="EG38" i="45"/>
  <c r="EF38" i="45"/>
  <c r="EE38" i="45"/>
  <c r="ED38" i="45"/>
  <c r="EC38" i="45"/>
  <c r="EB38" i="45"/>
  <c r="EA38" i="45"/>
  <c r="DZ38" i="45"/>
  <c r="DY38" i="45"/>
  <c r="DX38" i="45"/>
  <c r="DW38" i="45"/>
  <c r="FT37" i="45"/>
  <c r="FS37" i="45"/>
  <c r="FR37" i="45"/>
  <c r="FQ37" i="45"/>
  <c r="FP37" i="45"/>
  <c r="FO37" i="45"/>
  <c r="FN37" i="45"/>
  <c r="FM37" i="45"/>
  <c r="FL37" i="45"/>
  <c r="FK37" i="45"/>
  <c r="FJ37" i="45"/>
  <c r="FI37" i="45"/>
  <c r="FH37" i="45"/>
  <c r="FG37" i="45"/>
  <c r="FF37" i="45"/>
  <c r="FE37" i="45"/>
  <c r="FD37" i="45"/>
  <c r="FC37" i="45"/>
  <c r="FB37" i="45"/>
  <c r="FA37" i="45"/>
  <c r="EZ37" i="45"/>
  <c r="EY37" i="45"/>
  <c r="EX37" i="45"/>
  <c r="EW37" i="45"/>
  <c r="EV37" i="45"/>
  <c r="EU37" i="45"/>
  <c r="ES37" i="45"/>
  <c r="ER37" i="45"/>
  <c r="EQ37" i="45"/>
  <c r="EP37" i="45"/>
  <c r="EO37" i="45"/>
  <c r="EN37" i="45"/>
  <c r="EM37" i="45"/>
  <c r="EL37" i="45"/>
  <c r="EK37" i="45"/>
  <c r="EJ37" i="45"/>
  <c r="EI37" i="45"/>
  <c r="EH37" i="45"/>
  <c r="EG37" i="45"/>
  <c r="EF37" i="45"/>
  <c r="EE37" i="45"/>
  <c r="ED37" i="45"/>
  <c r="EC37" i="45"/>
  <c r="EB37" i="45"/>
  <c r="EA37" i="45"/>
  <c r="DZ37" i="45"/>
  <c r="DY37" i="45"/>
  <c r="DX37" i="45"/>
  <c r="DW37" i="45"/>
  <c r="FT36" i="45"/>
  <c r="FS36" i="45"/>
  <c r="FR36" i="45"/>
  <c r="FQ36" i="45"/>
  <c r="FP36" i="45"/>
  <c r="FO36" i="45"/>
  <c r="FN36" i="45"/>
  <c r="FM36" i="45"/>
  <c r="FL36" i="45"/>
  <c r="FK36" i="45"/>
  <c r="FJ36" i="45"/>
  <c r="FI36" i="45"/>
  <c r="FH36" i="45"/>
  <c r="FG36" i="45"/>
  <c r="FF36" i="45"/>
  <c r="FE36" i="45"/>
  <c r="FD36" i="45"/>
  <c r="FC36" i="45"/>
  <c r="FB36" i="45"/>
  <c r="FA36" i="45"/>
  <c r="EZ36" i="45"/>
  <c r="EY36" i="45"/>
  <c r="EX36" i="45"/>
  <c r="EW36" i="45"/>
  <c r="EV36" i="45"/>
  <c r="EU36" i="45"/>
  <c r="ES36" i="45"/>
  <c r="ER36" i="45"/>
  <c r="EQ36" i="45"/>
  <c r="EP36" i="45"/>
  <c r="EO36" i="45"/>
  <c r="EN36" i="45"/>
  <c r="EM36" i="45"/>
  <c r="EL36" i="45"/>
  <c r="EK36" i="45"/>
  <c r="EJ36" i="45"/>
  <c r="EI36" i="45"/>
  <c r="EH36" i="45"/>
  <c r="EG36" i="45"/>
  <c r="EF36" i="45"/>
  <c r="EE36" i="45"/>
  <c r="ED36" i="45"/>
  <c r="EC36" i="45"/>
  <c r="EB36" i="45"/>
  <c r="EA36" i="45"/>
  <c r="DZ36" i="45"/>
  <c r="DY36" i="45"/>
  <c r="DX36" i="45"/>
  <c r="DW36" i="45"/>
  <c r="FT35" i="45"/>
  <c r="FS35" i="45"/>
  <c r="FR35" i="45"/>
  <c r="FQ35" i="45"/>
  <c r="FP35" i="45"/>
  <c r="FO35" i="45"/>
  <c r="FN35" i="45"/>
  <c r="FM35" i="45"/>
  <c r="FL35" i="45"/>
  <c r="FK35" i="45"/>
  <c r="FJ35" i="45"/>
  <c r="FI35" i="45"/>
  <c r="FH35" i="45"/>
  <c r="FG35" i="45"/>
  <c r="FF35" i="45"/>
  <c r="FE35" i="45"/>
  <c r="FD35" i="45"/>
  <c r="FC35" i="45"/>
  <c r="FB35" i="45"/>
  <c r="FA35" i="45"/>
  <c r="EZ35" i="45"/>
  <c r="EY35" i="45"/>
  <c r="EX35" i="45"/>
  <c r="EW35" i="45"/>
  <c r="EV35" i="45"/>
  <c r="EU35" i="45"/>
  <c r="ES35" i="45"/>
  <c r="ER35" i="45"/>
  <c r="EQ35" i="45"/>
  <c r="EP35" i="45"/>
  <c r="EO35" i="45"/>
  <c r="EN35" i="45"/>
  <c r="EM35" i="45"/>
  <c r="EL35" i="45"/>
  <c r="EK35" i="45"/>
  <c r="EJ35" i="45"/>
  <c r="EI35" i="45"/>
  <c r="EH35" i="45"/>
  <c r="EG35" i="45"/>
  <c r="EF35" i="45"/>
  <c r="EE35" i="45"/>
  <c r="ED35" i="45"/>
  <c r="EC35" i="45"/>
  <c r="EB35" i="45"/>
  <c r="EA35" i="45"/>
  <c r="DZ35" i="45"/>
  <c r="DY35" i="45"/>
  <c r="DX35" i="45"/>
  <c r="DW35" i="45"/>
  <c r="FT34" i="45"/>
  <c r="FS34" i="45"/>
  <c r="FR34" i="45"/>
  <c r="FQ34" i="45"/>
  <c r="FP34" i="45"/>
  <c r="FO34" i="45"/>
  <c r="FN34" i="45"/>
  <c r="FM34" i="45"/>
  <c r="FL34" i="45"/>
  <c r="FK34" i="45"/>
  <c r="FJ34" i="45"/>
  <c r="FI34" i="45"/>
  <c r="FH34" i="45"/>
  <c r="FG34" i="45"/>
  <c r="FF34" i="45"/>
  <c r="FE34" i="45"/>
  <c r="FD34" i="45"/>
  <c r="FC34" i="45"/>
  <c r="FB34" i="45"/>
  <c r="FA34" i="45"/>
  <c r="EZ34" i="45"/>
  <c r="EY34" i="45"/>
  <c r="EX34" i="45"/>
  <c r="EW34" i="45"/>
  <c r="EV34" i="45"/>
  <c r="EU34" i="45"/>
  <c r="ES34" i="45"/>
  <c r="ER34" i="45"/>
  <c r="EQ34" i="45"/>
  <c r="EP34" i="45"/>
  <c r="EO34" i="45"/>
  <c r="EN34" i="45"/>
  <c r="EM34" i="45"/>
  <c r="EL34" i="45"/>
  <c r="EK34" i="45"/>
  <c r="EJ34" i="45"/>
  <c r="EI34" i="45"/>
  <c r="EH34" i="45"/>
  <c r="EG34" i="45"/>
  <c r="EF34" i="45"/>
  <c r="EE34" i="45"/>
  <c r="ED34" i="45"/>
  <c r="EC34" i="45"/>
  <c r="EB34" i="45"/>
  <c r="EA34" i="45"/>
  <c r="DZ34" i="45"/>
  <c r="DY34" i="45"/>
  <c r="DX34" i="45"/>
  <c r="DW34" i="45"/>
  <c r="FT33" i="45"/>
  <c r="FS33" i="45"/>
  <c r="FR33" i="45"/>
  <c r="FQ33" i="45"/>
  <c r="FP33" i="45"/>
  <c r="FO33" i="45"/>
  <c r="FN33" i="45"/>
  <c r="FM33" i="45"/>
  <c r="FL33" i="45"/>
  <c r="FK33" i="45"/>
  <c r="FJ33" i="45"/>
  <c r="FI33" i="45"/>
  <c r="FH33" i="45"/>
  <c r="FG33" i="45"/>
  <c r="FF33" i="45"/>
  <c r="FE33" i="45"/>
  <c r="FD33" i="45"/>
  <c r="FC33" i="45"/>
  <c r="FB33" i="45"/>
  <c r="FA33" i="45"/>
  <c r="EZ33" i="45"/>
  <c r="EY33" i="45"/>
  <c r="EX33" i="45"/>
  <c r="EW33" i="45"/>
  <c r="EV33" i="45"/>
  <c r="EU33" i="45"/>
  <c r="ES33" i="45"/>
  <c r="ER33" i="45"/>
  <c r="EQ33" i="45"/>
  <c r="EP33" i="45"/>
  <c r="EO33" i="45"/>
  <c r="EN33" i="45"/>
  <c r="EM33" i="45"/>
  <c r="EL33" i="45"/>
  <c r="EK33" i="45"/>
  <c r="EJ33" i="45"/>
  <c r="EI33" i="45"/>
  <c r="EH33" i="45"/>
  <c r="EG33" i="45"/>
  <c r="EF33" i="45"/>
  <c r="EE33" i="45"/>
  <c r="ED33" i="45"/>
  <c r="EC33" i="45"/>
  <c r="EB33" i="45"/>
  <c r="EA33" i="45"/>
  <c r="DZ33" i="45"/>
  <c r="DY33" i="45"/>
  <c r="DX33" i="45"/>
  <c r="DW33" i="45"/>
  <c r="FT32" i="45"/>
  <c r="FS32" i="45"/>
  <c r="FR32" i="45"/>
  <c r="FQ32" i="45"/>
  <c r="FP32" i="45"/>
  <c r="FO32" i="45"/>
  <c r="FN32" i="45"/>
  <c r="FM32" i="45"/>
  <c r="FL32" i="45"/>
  <c r="FK32" i="45"/>
  <c r="FJ32" i="45"/>
  <c r="FI32" i="45"/>
  <c r="FH32" i="45"/>
  <c r="FG32" i="45"/>
  <c r="FF32" i="45"/>
  <c r="FE32" i="45"/>
  <c r="FD32" i="45"/>
  <c r="FC32" i="45"/>
  <c r="FB32" i="45"/>
  <c r="FA32" i="45"/>
  <c r="EZ32" i="45"/>
  <c r="EY32" i="45"/>
  <c r="EX32" i="45"/>
  <c r="EW32" i="45"/>
  <c r="EV32" i="45"/>
  <c r="EU32" i="45"/>
  <c r="ES32" i="45"/>
  <c r="ER32" i="45"/>
  <c r="EQ32" i="45"/>
  <c r="EP32" i="45"/>
  <c r="EO32" i="45"/>
  <c r="EN32" i="45"/>
  <c r="EM32" i="45"/>
  <c r="EL32" i="45"/>
  <c r="EK32" i="45"/>
  <c r="EJ32" i="45"/>
  <c r="EI32" i="45"/>
  <c r="EH32" i="45"/>
  <c r="EG32" i="45"/>
  <c r="EF32" i="45"/>
  <c r="EE32" i="45"/>
  <c r="ED32" i="45"/>
  <c r="EC32" i="45"/>
  <c r="EB32" i="45"/>
  <c r="EA32" i="45"/>
  <c r="DZ32" i="45"/>
  <c r="DY32" i="45"/>
  <c r="DX32" i="45"/>
  <c r="DW32" i="45"/>
  <c r="FT31" i="45"/>
  <c r="FS31" i="45"/>
  <c r="FR31" i="45"/>
  <c r="FQ31" i="45"/>
  <c r="FP31" i="45"/>
  <c r="FO31" i="45"/>
  <c r="FN31" i="45"/>
  <c r="FM31" i="45"/>
  <c r="FL31" i="45"/>
  <c r="FK31" i="45"/>
  <c r="FJ31" i="45"/>
  <c r="FI31" i="45"/>
  <c r="FH31" i="45"/>
  <c r="FG31" i="45"/>
  <c r="FF31" i="45"/>
  <c r="FE31" i="45"/>
  <c r="FD31" i="45"/>
  <c r="FC31" i="45"/>
  <c r="FB31" i="45"/>
  <c r="FA31" i="45"/>
  <c r="EZ31" i="45"/>
  <c r="EY31" i="45"/>
  <c r="EX31" i="45"/>
  <c r="EW31" i="45"/>
  <c r="EV31" i="45"/>
  <c r="EU31" i="45"/>
  <c r="ES31" i="45"/>
  <c r="ER31" i="45"/>
  <c r="EQ31" i="45"/>
  <c r="EP31" i="45"/>
  <c r="EO31" i="45"/>
  <c r="EN31" i="45"/>
  <c r="EM31" i="45"/>
  <c r="EL31" i="45"/>
  <c r="EK31" i="45"/>
  <c r="EJ31" i="45"/>
  <c r="EI31" i="45"/>
  <c r="EH31" i="45"/>
  <c r="EG31" i="45"/>
  <c r="EF31" i="45"/>
  <c r="EE31" i="45"/>
  <c r="ED31" i="45"/>
  <c r="EC31" i="45"/>
  <c r="EB31" i="45"/>
  <c r="EA31" i="45"/>
  <c r="DZ31" i="45"/>
  <c r="DY31" i="45"/>
  <c r="DX31" i="45"/>
  <c r="DW31" i="45"/>
  <c r="FT30" i="45"/>
  <c r="FS30" i="45"/>
  <c r="FR30" i="45"/>
  <c r="FQ30" i="45"/>
  <c r="FP30" i="45"/>
  <c r="FO30" i="45"/>
  <c r="FN30" i="45"/>
  <c r="FM30" i="45"/>
  <c r="FL30" i="45"/>
  <c r="FK30" i="45"/>
  <c r="FJ30" i="45"/>
  <c r="FI30" i="45"/>
  <c r="FH30" i="45"/>
  <c r="FG30" i="45"/>
  <c r="FF30" i="45"/>
  <c r="FE30" i="45"/>
  <c r="FD30" i="45"/>
  <c r="FC30" i="45"/>
  <c r="FB30" i="45"/>
  <c r="FA30" i="45"/>
  <c r="EZ30" i="45"/>
  <c r="EY30" i="45"/>
  <c r="EX30" i="45"/>
  <c r="EW30" i="45"/>
  <c r="EV30" i="45"/>
  <c r="EU30" i="45"/>
  <c r="ES30" i="45"/>
  <c r="ER30" i="45"/>
  <c r="EQ30" i="45"/>
  <c r="EP30" i="45"/>
  <c r="EO30" i="45"/>
  <c r="EN30" i="45"/>
  <c r="EM30" i="45"/>
  <c r="EL30" i="45"/>
  <c r="EK30" i="45"/>
  <c r="EJ30" i="45"/>
  <c r="EI30" i="45"/>
  <c r="EH30" i="45"/>
  <c r="EG30" i="45"/>
  <c r="EF30" i="45"/>
  <c r="EE30" i="45"/>
  <c r="ED30" i="45"/>
  <c r="EC30" i="45"/>
  <c r="EB30" i="45"/>
  <c r="EA30" i="45"/>
  <c r="DZ30" i="45"/>
  <c r="DY30" i="45"/>
  <c r="DX30" i="45"/>
  <c r="DW30" i="45"/>
  <c r="FT29" i="45"/>
  <c r="FS29" i="45"/>
  <c r="FR29" i="45"/>
  <c r="FQ29" i="45"/>
  <c r="FP29" i="45"/>
  <c r="FO29" i="45"/>
  <c r="FN29" i="45"/>
  <c r="FM29" i="45"/>
  <c r="FL29" i="45"/>
  <c r="FK29" i="45"/>
  <c r="FJ29" i="45"/>
  <c r="FI29" i="45"/>
  <c r="FH29" i="45"/>
  <c r="FG29" i="45"/>
  <c r="FF29" i="45"/>
  <c r="FE29" i="45"/>
  <c r="FD29" i="45"/>
  <c r="FC29" i="45"/>
  <c r="FB29" i="45"/>
  <c r="FA29" i="45"/>
  <c r="EZ29" i="45"/>
  <c r="EY29" i="45"/>
  <c r="EX29" i="45"/>
  <c r="EW29" i="45"/>
  <c r="EV29" i="45"/>
  <c r="EU29" i="45"/>
  <c r="ES29" i="45"/>
  <c r="ER29" i="45"/>
  <c r="EQ29" i="45"/>
  <c r="EP29" i="45"/>
  <c r="EO29" i="45"/>
  <c r="EN29" i="45"/>
  <c r="EM29" i="45"/>
  <c r="EL29" i="45"/>
  <c r="EK29" i="45"/>
  <c r="EJ29" i="45"/>
  <c r="EI29" i="45"/>
  <c r="EH29" i="45"/>
  <c r="EG29" i="45"/>
  <c r="EF29" i="45"/>
  <c r="EE29" i="45"/>
  <c r="ED29" i="45"/>
  <c r="EC29" i="45"/>
  <c r="EB29" i="45"/>
  <c r="EA29" i="45"/>
  <c r="DZ29" i="45"/>
  <c r="DY29" i="45"/>
  <c r="DX29" i="45"/>
  <c r="DW29" i="45"/>
  <c r="FT28" i="45"/>
  <c r="FS28" i="45"/>
  <c r="FR28" i="45"/>
  <c r="FQ28" i="45"/>
  <c r="FP28" i="45"/>
  <c r="FO28" i="45"/>
  <c r="FN28" i="45"/>
  <c r="FM28" i="45"/>
  <c r="FL28" i="45"/>
  <c r="FK28" i="45"/>
  <c r="FJ28" i="45"/>
  <c r="FI28" i="45"/>
  <c r="FH28" i="45"/>
  <c r="FG28" i="45"/>
  <c r="FF28" i="45"/>
  <c r="FE28" i="45"/>
  <c r="FD28" i="45"/>
  <c r="FC28" i="45"/>
  <c r="FB28" i="45"/>
  <c r="FA28" i="45"/>
  <c r="EZ28" i="45"/>
  <c r="EY28" i="45"/>
  <c r="EX28" i="45"/>
  <c r="EW28" i="45"/>
  <c r="EV28" i="45"/>
  <c r="EU28" i="45"/>
  <c r="ES28" i="45"/>
  <c r="ER28" i="45"/>
  <c r="EQ28" i="45"/>
  <c r="EP28" i="45"/>
  <c r="EO28" i="45"/>
  <c r="EN28" i="45"/>
  <c r="EM28" i="45"/>
  <c r="EL28" i="45"/>
  <c r="EK28" i="45"/>
  <c r="EJ28" i="45"/>
  <c r="EI28" i="45"/>
  <c r="EH28" i="45"/>
  <c r="EG28" i="45"/>
  <c r="EF28" i="45"/>
  <c r="EE28" i="45"/>
  <c r="ED28" i="45"/>
  <c r="EC28" i="45"/>
  <c r="EB28" i="45"/>
  <c r="EA28" i="45"/>
  <c r="DZ28" i="45"/>
  <c r="DY28" i="45"/>
  <c r="DX28" i="45"/>
  <c r="DW28" i="45"/>
  <c r="FT27" i="45"/>
  <c r="FS27" i="45"/>
  <c r="FR27" i="45"/>
  <c r="FQ27" i="45"/>
  <c r="FP27" i="45"/>
  <c r="FO27" i="45"/>
  <c r="FN27" i="45"/>
  <c r="FM27" i="45"/>
  <c r="FL27" i="45"/>
  <c r="FK27" i="45"/>
  <c r="FJ27" i="45"/>
  <c r="FI27" i="45"/>
  <c r="FH27" i="45"/>
  <c r="FG27" i="45"/>
  <c r="FF27" i="45"/>
  <c r="FE27" i="45"/>
  <c r="FD27" i="45"/>
  <c r="FC27" i="45"/>
  <c r="FB27" i="45"/>
  <c r="FA27" i="45"/>
  <c r="EZ27" i="45"/>
  <c r="EY27" i="45"/>
  <c r="EX27" i="45"/>
  <c r="EW27" i="45"/>
  <c r="EV27" i="45"/>
  <c r="EU27" i="45"/>
  <c r="ES27" i="45"/>
  <c r="ER27" i="45"/>
  <c r="EQ27" i="45"/>
  <c r="EP27" i="45"/>
  <c r="EO27" i="45"/>
  <c r="EN27" i="45"/>
  <c r="EM27" i="45"/>
  <c r="EL27" i="45"/>
  <c r="EK27" i="45"/>
  <c r="EJ27" i="45"/>
  <c r="EI27" i="45"/>
  <c r="EH27" i="45"/>
  <c r="EG27" i="45"/>
  <c r="EF27" i="45"/>
  <c r="EE27" i="45"/>
  <c r="ED27" i="45"/>
  <c r="EC27" i="45"/>
  <c r="EB27" i="45"/>
  <c r="EA27" i="45"/>
  <c r="DZ27" i="45"/>
  <c r="DY27" i="45"/>
  <c r="DX27" i="45"/>
  <c r="DW27" i="45"/>
  <c r="FT26" i="45"/>
  <c r="FS26" i="45"/>
  <c r="FR26" i="45"/>
  <c r="FQ26" i="45"/>
  <c r="FP26" i="45"/>
  <c r="FO26" i="45"/>
  <c r="FN26" i="45"/>
  <c r="FM26" i="45"/>
  <c r="FL26" i="45"/>
  <c r="FK26" i="45"/>
  <c r="FJ26" i="45"/>
  <c r="FI26" i="45"/>
  <c r="FH26" i="45"/>
  <c r="FG26" i="45"/>
  <c r="FF26" i="45"/>
  <c r="FE26" i="45"/>
  <c r="FD26" i="45"/>
  <c r="FC26" i="45"/>
  <c r="FB26" i="45"/>
  <c r="FA26" i="45"/>
  <c r="EZ26" i="45"/>
  <c r="EY26" i="45"/>
  <c r="EX26" i="45"/>
  <c r="EW26" i="45"/>
  <c r="EV26" i="45"/>
  <c r="EU26" i="45"/>
  <c r="ES26" i="45"/>
  <c r="ER26" i="45"/>
  <c r="EQ26" i="45"/>
  <c r="EP26" i="45"/>
  <c r="EO26" i="45"/>
  <c r="EN26" i="45"/>
  <c r="EM26" i="45"/>
  <c r="EL26" i="45"/>
  <c r="EK26" i="45"/>
  <c r="EJ26" i="45"/>
  <c r="EI26" i="45"/>
  <c r="EH26" i="45"/>
  <c r="EG26" i="45"/>
  <c r="EF26" i="45"/>
  <c r="EE26" i="45"/>
  <c r="ED26" i="45"/>
  <c r="EC26" i="45"/>
  <c r="EB26" i="45"/>
  <c r="EA26" i="45"/>
  <c r="DZ26" i="45"/>
  <c r="DY26" i="45"/>
  <c r="DX26" i="45"/>
  <c r="DW26" i="45"/>
  <c r="FT25" i="45"/>
  <c r="FS25" i="45"/>
  <c r="FR25" i="45"/>
  <c r="FQ25" i="45"/>
  <c r="FP25" i="45"/>
  <c r="FO25" i="45"/>
  <c r="FN25" i="45"/>
  <c r="FM25" i="45"/>
  <c r="FL25" i="45"/>
  <c r="FK25" i="45"/>
  <c r="FJ25" i="45"/>
  <c r="FI25" i="45"/>
  <c r="FH25" i="45"/>
  <c r="FG25" i="45"/>
  <c r="FF25" i="45"/>
  <c r="FE25" i="45"/>
  <c r="FD25" i="45"/>
  <c r="FC25" i="45"/>
  <c r="FB25" i="45"/>
  <c r="FA25" i="45"/>
  <c r="EZ25" i="45"/>
  <c r="EY25" i="45"/>
  <c r="EX25" i="45"/>
  <c r="EW25" i="45"/>
  <c r="EU25" i="45"/>
  <c r="ES25" i="45"/>
  <c r="EQ25" i="45"/>
  <c r="EP25" i="45"/>
  <c r="EM25" i="45"/>
  <c r="EL25" i="45"/>
  <c r="EK25" i="45"/>
  <c r="EJ25" i="45"/>
  <c r="EI25" i="45"/>
  <c r="EH25" i="45"/>
  <c r="EG25" i="45"/>
  <c r="EE25" i="45"/>
  <c r="ED25" i="45"/>
  <c r="EC25" i="45"/>
  <c r="DZ25" i="45"/>
  <c r="DW25" i="45"/>
  <c r="FT24" i="45"/>
  <c r="FS24" i="45"/>
  <c r="FR24" i="45"/>
  <c r="FQ24" i="45"/>
  <c r="FP24" i="45"/>
  <c r="FO24" i="45"/>
  <c r="FN24" i="45"/>
  <c r="FM24" i="45"/>
  <c r="FL24" i="45"/>
  <c r="FK24" i="45"/>
  <c r="FJ24" i="45"/>
  <c r="FI24" i="45"/>
  <c r="FH24" i="45"/>
  <c r="FG24" i="45"/>
  <c r="FF24" i="45"/>
  <c r="FE24" i="45"/>
  <c r="FD24" i="45"/>
  <c r="FC24" i="45"/>
  <c r="FB24" i="45"/>
  <c r="FA24" i="45"/>
  <c r="EZ24" i="45"/>
  <c r="EY24" i="45"/>
  <c r="EX24" i="45"/>
  <c r="EW24" i="45"/>
  <c r="EU24" i="45"/>
  <c r="ES24" i="45"/>
  <c r="EQ24" i="45"/>
  <c r="EP24" i="45"/>
  <c r="EM24" i="45"/>
  <c r="EL24" i="45"/>
  <c r="EK24" i="45"/>
  <c r="EJ24" i="45"/>
  <c r="EI24" i="45"/>
  <c r="EH24" i="45"/>
  <c r="EG24" i="45"/>
  <c r="EE24" i="45"/>
  <c r="ED24" i="45"/>
  <c r="EC24" i="45"/>
  <c r="DZ24" i="45"/>
  <c r="DW24" i="45"/>
  <c r="FT23" i="45"/>
  <c r="FS23" i="45"/>
  <c r="FR23" i="45"/>
  <c r="FQ23" i="45"/>
  <c r="FP23" i="45"/>
  <c r="FO23" i="45"/>
  <c r="FN23" i="45"/>
  <c r="FM23" i="45"/>
  <c r="FL23" i="45"/>
  <c r="FK23" i="45"/>
  <c r="FJ23" i="45"/>
  <c r="FI23" i="45"/>
  <c r="FH23" i="45"/>
  <c r="FG23" i="45"/>
  <c r="FF23" i="45"/>
  <c r="FE23" i="45"/>
  <c r="FD23" i="45"/>
  <c r="FC23" i="45"/>
  <c r="FB23" i="45"/>
  <c r="FA23" i="45"/>
  <c r="EZ23" i="45"/>
  <c r="EY23" i="45"/>
  <c r="EX23" i="45"/>
  <c r="EW23" i="45"/>
  <c r="EU23" i="45"/>
  <c r="ES23" i="45"/>
  <c r="EQ23" i="45"/>
  <c r="EP23" i="45"/>
  <c r="EM23" i="45"/>
  <c r="EL23" i="45"/>
  <c r="EK23" i="45"/>
  <c r="EJ23" i="45"/>
  <c r="EI23" i="45"/>
  <c r="EH23" i="45"/>
  <c r="EG23" i="45"/>
  <c r="EE23" i="45"/>
  <c r="ED23" i="45"/>
  <c r="EC23" i="45"/>
  <c r="DZ23" i="45"/>
  <c r="DW23" i="45"/>
  <c r="FT22" i="45"/>
  <c r="FS22" i="45"/>
  <c r="FR22" i="45"/>
  <c r="FQ22" i="45"/>
  <c r="FP22" i="45"/>
  <c r="FO22" i="45"/>
  <c r="FN22" i="45"/>
  <c r="FM22" i="45"/>
  <c r="FL22" i="45"/>
  <c r="FK22" i="45"/>
  <c r="FJ22" i="45"/>
  <c r="FI22" i="45"/>
  <c r="FH22" i="45"/>
  <c r="FG22" i="45"/>
  <c r="FF22" i="45"/>
  <c r="FE22" i="45"/>
  <c r="FD22" i="45"/>
  <c r="FC22" i="45"/>
  <c r="FB22" i="45"/>
  <c r="FA22" i="45"/>
  <c r="EZ22" i="45"/>
  <c r="EY22" i="45"/>
  <c r="EX22" i="45"/>
  <c r="EW22" i="45"/>
  <c r="EU22" i="45"/>
  <c r="ES22" i="45"/>
  <c r="EQ22" i="45"/>
  <c r="EP22" i="45"/>
  <c r="EM22" i="45"/>
  <c r="EL22" i="45"/>
  <c r="EK22" i="45"/>
  <c r="EJ22" i="45"/>
  <c r="EI22" i="45"/>
  <c r="EH22" i="45"/>
  <c r="EG22" i="45"/>
  <c r="EE22" i="45"/>
  <c r="ED22" i="45"/>
  <c r="EC22" i="45"/>
  <c r="DZ22" i="45"/>
  <c r="DW22" i="45"/>
  <c r="FT21" i="45"/>
  <c r="FS21" i="45"/>
  <c r="FR21" i="45"/>
  <c r="FQ21" i="45"/>
  <c r="FP21" i="45"/>
  <c r="FO21" i="45"/>
  <c r="FN21" i="45"/>
  <c r="FM21" i="45"/>
  <c r="FL21" i="45"/>
  <c r="FK21" i="45"/>
  <c r="FJ21" i="45"/>
  <c r="FI21" i="45"/>
  <c r="FH21" i="45"/>
  <c r="FG21" i="45"/>
  <c r="FF21" i="45"/>
  <c r="FE21" i="45"/>
  <c r="FD21" i="45"/>
  <c r="FC21" i="45"/>
  <c r="FB21" i="45"/>
  <c r="FA21" i="45"/>
  <c r="EZ21" i="45"/>
  <c r="EY21" i="45"/>
  <c r="EX21" i="45"/>
  <c r="EW21" i="45"/>
  <c r="EU21" i="45"/>
  <c r="ES21" i="45"/>
  <c r="EQ21" i="45"/>
  <c r="EP21" i="45"/>
  <c r="EM21" i="45"/>
  <c r="EL21" i="45"/>
  <c r="EK21" i="45"/>
  <c r="EJ21" i="45"/>
  <c r="EI21" i="45"/>
  <c r="EH21" i="45"/>
  <c r="EG21" i="45"/>
  <c r="EE21" i="45"/>
  <c r="ED21" i="45"/>
  <c r="EC21" i="45"/>
  <c r="DZ21" i="45"/>
  <c r="DW21" i="45"/>
  <c r="FT20" i="45"/>
  <c r="FS20" i="45"/>
  <c r="FR20" i="45"/>
  <c r="FQ20" i="45"/>
  <c r="FP20" i="45"/>
  <c r="FO20" i="45"/>
  <c r="FN20" i="45"/>
  <c r="FM20" i="45"/>
  <c r="FL20" i="45"/>
  <c r="FK20" i="45"/>
  <c r="FJ20" i="45"/>
  <c r="FI20" i="45"/>
  <c r="FH20" i="45"/>
  <c r="FG20" i="45"/>
  <c r="FF20" i="45"/>
  <c r="FE20" i="45"/>
  <c r="FD20" i="45"/>
  <c r="FC20" i="45"/>
  <c r="FB20" i="45"/>
  <c r="FA20" i="45"/>
  <c r="EZ20" i="45"/>
  <c r="EY20" i="45"/>
  <c r="EX20" i="45"/>
  <c r="EW20" i="45"/>
  <c r="EV20" i="45"/>
  <c r="EU20" i="45"/>
  <c r="ES20" i="45"/>
  <c r="ER20" i="45"/>
  <c r="EQ20" i="45"/>
  <c r="EP20" i="45"/>
  <c r="EO20" i="45"/>
  <c r="EN20" i="45"/>
  <c r="EM20" i="45"/>
  <c r="EL20" i="45"/>
  <c r="EK20" i="45"/>
  <c r="EJ20" i="45"/>
  <c r="EI20" i="45"/>
  <c r="EH20" i="45"/>
  <c r="EG20" i="45"/>
  <c r="EF20" i="45"/>
  <c r="EE20" i="45"/>
  <c r="ED20" i="45"/>
  <c r="EC20" i="45"/>
  <c r="EB20" i="45"/>
  <c r="EA20" i="45"/>
  <c r="DZ20" i="45"/>
  <c r="DY20" i="45"/>
  <c r="DX20" i="45"/>
  <c r="DW20" i="45"/>
  <c r="FT19" i="45"/>
  <c r="FS19" i="45"/>
  <c r="FR19" i="45"/>
  <c r="FQ19" i="45"/>
  <c r="FP19" i="45"/>
  <c r="FO19" i="45"/>
  <c r="FN19" i="45"/>
  <c r="FM19" i="45"/>
  <c r="FL19" i="45"/>
  <c r="FK19" i="45"/>
  <c r="FJ19" i="45"/>
  <c r="FI19" i="45"/>
  <c r="FH19" i="45"/>
  <c r="FG19" i="45"/>
  <c r="FF19" i="45"/>
  <c r="FE19" i="45"/>
  <c r="FD19" i="45"/>
  <c r="FC19" i="45"/>
  <c r="FB19" i="45"/>
  <c r="FA19" i="45"/>
  <c r="EZ19" i="45"/>
  <c r="EY19" i="45"/>
  <c r="EX19" i="45"/>
  <c r="EW19" i="45"/>
  <c r="EU19" i="45"/>
  <c r="ES19" i="45"/>
  <c r="EQ19" i="45"/>
  <c r="EP19" i="45"/>
  <c r="EM19" i="45"/>
  <c r="EL19" i="45"/>
  <c r="EK19" i="45"/>
  <c r="EJ19" i="45"/>
  <c r="EI19" i="45"/>
  <c r="EH19" i="45"/>
  <c r="EG19" i="45"/>
  <c r="EE19" i="45"/>
  <c r="ED19" i="45"/>
  <c r="EC19" i="45"/>
  <c r="DZ19" i="45"/>
  <c r="DW19" i="45"/>
  <c r="FT16" i="45"/>
  <c r="FS16" i="45"/>
  <c r="FR16" i="45"/>
  <c r="FQ16" i="45"/>
  <c r="FP16" i="45"/>
  <c r="FO16" i="45"/>
  <c r="FN16" i="45"/>
  <c r="FM16" i="45"/>
  <c r="FL16" i="45"/>
  <c r="FK16" i="45"/>
  <c r="FJ16" i="45"/>
  <c r="FI16" i="45"/>
  <c r="FH16" i="45"/>
  <c r="FG16" i="45"/>
  <c r="FF16" i="45"/>
  <c r="FE16" i="45"/>
  <c r="FD16" i="45"/>
  <c r="FC16" i="45"/>
  <c r="FB16" i="45"/>
  <c r="FA16" i="45"/>
  <c r="EZ16" i="45"/>
  <c r="EY16" i="45"/>
  <c r="EX16" i="45"/>
  <c r="EW16" i="45"/>
  <c r="EU16" i="45"/>
  <c r="ES16" i="45"/>
  <c r="EQ16" i="45"/>
  <c r="EP16" i="45"/>
  <c r="EM16" i="45"/>
  <c r="EL16" i="45"/>
  <c r="EK16" i="45"/>
  <c r="EJ16" i="45"/>
  <c r="EI16" i="45"/>
  <c r="EH16" i="45"/>
  <c r="EG16" i="45"/>
  <c r="EE16" i="45"/>
  <c r="ED16" i="45"/>
  <c r="EC16" i="45"/>
  <c r="DZ16" i="45"/>
  <c r="DW16" i="45"/>
  <c r="FT15" i="45"/>
  <c r="FS15" i="45"/>
  <c r="FR15" i="45"/>
  <c r="FQ15" i="45"/>
  <c r="FP15" i="45"/>
  <c r="FO15" i="45"/>
  <c r="FN15" i="45"/>
  <c r="FM15" i="45"/>
  <c r="FL15" i="45"/>
  <c r="FK15" i="45"/>
  <c r="FJ15" i="45"/>
  <c r="FI15" i="45"/>
  <c r="FH15" i="45"/>
  <c r="FG15" i="45"/>
  <c r="FF15" i="45"/>
  <c r="FE15" i="45"/>
  <c r="FD15" i="45"/>
  <c r="FC15" i="45"/>
  <c r="FB15" i="45"/>
  <c r="FA15" i="45"/>
  <c r="EZ15" i="45"/>
  <c r="EY15" i="45"/>
  <c r="EX15" i="45"/>
  <c r="EW15" i="45"/>
  <c r="EU15" i="45"/>
  <c r="ES15" i="45"/>
  <c r="EQ15" i="45"/>
  <c r="EP15" i="45"/>
  <c r="EM15" i="45"/>
  <c r="EL15" i="45"/>
  <c r="EK15" i="45"/>
  <c r="EJ15" i="45"/>
  <c r="EI15" i="45"/>
  <c r="EH15" i="45"/>
  <c r="EG15" i="45"/>
  <c r="EE15" i="45"/>
  <c r="ED15" i="45"/>
  <c r="EC15" i="45"/>
  <c r="DZ15" i="45"/>
  <c r="DW15" i="45"/>
  <c r="FT14" i="45"/>
  <c r="FS14" i="45"/>
  <c r="FR14" i="45"/>
  <c r="FQ14" i="45"/>
  <c r="FP14" i="45"/>
  <c r="FO14" i="45"/>
  <c r="FN14" i="45"/>
  <c r="FM14" i="45"/>
  <c r="FL14" i="45"/>
  <c r="FK14" i="45"/>
  <c r="FJ14" i="45"/>
  <c r="FI14" i="45"/>
  <c r="FH14" i="45"/>
  <c r="FG14" i="45"/>
  <c r="FF14" i="45"/>
  <c r="FE14" i="45"/>
  <c r="FD14" i="45"/>
  <c r="FC14" i="45"/>
  <c r="FB14" i="45"/>
  <c r="FA14" i="45"/>
  <c r="EZ14" i="45"/>
  <c r="EY14" i="45"/>
  <c r="EX14" i="45"/>
  <c r="EW14" i="45"/>
  <c r="EU14" i="45"/>
  <c r="ES14" i="45"/>
  <c r="EQ14" i="45"/>
  <c r="EP14" i="45"/>
  <c r="EM14" i="45"/>
  <c r="EL14" i="45"/>
  <c r="EK14" i="45"/>
  <c r="EJ14" i="45"/>
  <c r="EI14" i="45"/>
  <c r="EH14" i="45"/>
  <c r="EG14" i="45"/>
  <c r="EE14" i="45"/>
  <c r="ED14" i="45"/>
  <c r="EC14" i="45"/>
  <c r="DZ14" i="45"/>
  <c r="DW14" i="45"/>
  <c r="FT13" i="45"/>
  <c r="FS13" i="45"/>
  <c r="FR13" i="45"/>
  <c r="FQ13" i="45"/>
  <c r="FP13" i="45"/>
  <c r="FO13" i="45"/>
  <c r="FN13" i="45"/>
  <c r="FM13" i="45"/>
  <c r="FL13" i="45"/>
  <c r="FK13" i="45"/>
  <c r="FJ13" i="45"/>
  <c r="FI13" i="45"/>
  <c r="FH13" i="45"/>
  <c r="FG13" i="45"/>
  <c r="FF13" i="45"/>
  <c r="FE13" i="45"/>
  <c r="FD13" i="45"/>
  <c r="FC13" i="45"/>
  <c r="FB13" i="45"/>
  <c r="FA13" i="45"/>
  <c r="EZ13" i="45"/>
  <c r="EY13" i="45"/>
  <c r="EX13" i="45"/>
  <c r="EW13" i="45"/>
  <c r="EU13" i="45"/>
  <c r="ES13" i="45"/>
  <c r="EQ13" i="45"/>
  <c r="EP13" i="45"/>
  <c r="EM13" i="45"/>
  <c r="EL13" i="45"/>
  <c r="EK13" i="45"/>
  <c r="EJ13" i="45"/>
  <c r="EI13" i="45"/>
  <c r="EH13" i="45"/>
  <c r="EG13" i="45"/>
  <c r="EE13" i="45"/>
  <c r="ED13" i="45"/>
  <c r="EC13" i="45"/>
  <c r="DZ13" i="45"/>
  <c r="DW13" i="45"/>
  <c r="FT12" i="45"/>
  <c r="FS12" i="45"/>
  <c r="FR12" i="45"/>
  <c r="FQ12" i="45"/>
  <c r="FP12" i="45"/>
  <c r="FO12" i="45"/>
  <c r="FN12" i="45"/>
  <c r="FM12" i="45"/>
  <c r="FL12" i="45"/>
  <c r="FK12" i="45"/>
  <c r="FJ12" i="45"/>
  <c r="FI12" i="45"/>
  <c r="FH12" i="45"/>
  <c r="FG12" i="45"/>
  <c r="FF12" i="45"/>
  <c r="FE12" i="45"/>
  <c r="FD12" i="45"/>
  <c r="FC12" i="45"/>
  <c r="FB12" i="45"/>
  <c r="FA12" i="45"/>
  <c r="EZ12" i="45"/>
  <c r="EY12" i="45"/>
  <c r="EX12" i="45"/>
  <c r="EW12" i="45"/>
  <c r="EU12" i="45"/>
  <c r="ES12" i="45"/>
  <c r="EQ12" i="45"/>
  <c r="EP12" i="45"/>
  <c r="EM12" i="45"/>
  <c r="EL12" i="45"/>
  <c r="EK12" i="45"/>
  <c r="EJ12" i="45"/>
  <c r="EI12" i="45"/>
  <c r="EH12" i="45"/>
  <c r="EG12" i="45"/>
  <c r="EE12" i="45"/>
  <c r="ED12" i="45"/>
  <c r="EC12" i="45"/>
  <c r="DZ12" i="45"/>
  <c r="DW12" i="45"/>
  <c r="FT11" i="45"/>
  <c r="FS11" i="45"/>
  <c r="FR11" i="45"/>
  <c r="FQ11" i="45"/>
  <c r="FP11" i="45"/>
  <c r="FO11" i="45"/>
  <c r="FN11" i="45"/>
  <c r="FM11" i="45"/>
  <c r="FL11" i="45"/>
  <c r="FK11" i="45"/>
  <c r="FJ11" i="45"/>
  <c r="FI11" i="45"/>
  <c r="FH11" i="45"/>
  <c r="FG11" i="45"/>
  <c r="FF11" i="45"/>
  <c r="FE11" i="45"/>
  <c r="FD11" i="45"/>
  <c r="FC11" i="45"/>
  <c r="FB11" i="45"/>
  <c r="FA11" i="45"/>
  <c r="EZ11" i="45"/>
  <c r="EY11" i="45"/>
  <c r="EX11" i="45"/>
  <c r="EW11" i="45"/>
  <c r="EU11" i="45"/>
  <c r="ES11" i="45"/>
  <c r="EQ11" i="45"/>
  <c r="EP11" i="45"/>
  <c r="EM11" i="45"/>
  <c r="EL11" i="45"/>
  <c r="EK11" i="45"/>
  <c r="EJ11" i="45"/>
  <c r="EI11" i="45"/>
  <c r="EH11" i="45"/>
  <c r="EG11" i="45"/>
  <c r="EE11" i="45"/>
  <c r="ED11" i="45"/>
  <c r="EC11" i="45"/>
  <c r="DZ11" i="45"/>
  <c r="DW11" i="45"/>
  <c r="FT10" i="45"/>
  <c r="FS10" i="45"/>
  <c r="FR10" i="45"/>
  <c r="FQ10" i="45"/>
  <c r="FP10" i="45"/>
  <c r="FO10" i="45"/>
  <c r="FN10" i="45"/>
  <c r="FM10" i="45"/>
  <c r="FL10" i="45"/>
  <c r="FK10" i="45"/>
  <c r="FJ10" i="45"/>
  <c r="FI10" i="45"/>
  <c r="FH10" i="45"/>
  <c r="FG10" i="45"/>
  <c r="FF10" i="45"/>
  <c r="FE10" i="45"/>
  <c r="FD10" i="45"/>
  <c r="FC10" i="45"/>
  <c r="FB10" i="45"/>
  <c r="FA10" i="45"/>
  <c r="EZ10" i="45"/>
  <c r="EY10" i="45"/>
  <c r="EX10" i="45"/>
  <c r="EW10" i="45"/>
  <c r="EU10" i="45"/>
  <c r="ES10" i="45"/>
  <c r="EQ10" i="45"/>
  <c r="EP10" i="45"/>
  <c r="EM10" i="45"/>
  <c r="EL10" i="45"/>
  <c r="EK10" i="45"/>
  <c r="EJ10" i="45"/>
  <c r="EI10" i="45"/>
  <c r="EH10" i="45"/>
  <c r="EG10" i="45"/>
  <c r="EE10" i="45"/>
  <c r="ED10" i="45"/>
  <c r="EC10" i="45"/>
  <c r="DZ10" i="45"/>
  <c r="DW10" i="45"/>
  <c r="FT9" i="45"/>
  <c r="FS9" i="45"/>
  <c r="FR9" i="45"/>
  <c r="FQ9" i="45"/>
  <c r="FP9" i="45"/>
  <c r="FO9" i="45"/>
  <c r="FN9" i="45"/>
  <c r="FM9" i="45"/>
  <c r="FL9" i="45"/>
  <c r="FK9" i="45"/>
  <c r="FJ9" i="45"/>
  <c r="FI9" i="45"/>
  <c r="FH9" i="45"/>
  <c r="FG9" i="45"/>
  <c r="FF9" i="45"/>
  <c r="FE9" i="45"/>
  <c r="FD9" i="45"/>
  <c r="FC9" i="45"/>
  <c r="FB9" i="45"/>
  <c r="FA9" i="45"/>
  <c r="EZ9" i="45"/>
  <c r="EY9" i="45"/>
  <c r="EX9" i="45"/>
  <c r="EW9" i="45"/>
  <c r="EU9" i="45"/>
  <c r="ES9" i="45"/>
  <c r="EQ9" i="45"/>
  <c r="EP9" i="45"/>
  <c r="EM9" i="45"/>
  <c r="EL9" i="45"/>
  <c r="EK9" i="45"/>
  <c r="EJ9" i="45"/>
  <c r="EI9" i="45"/>
  <c r="EH9" i="45"/>
  <c r="EG9" i="45"/>
  <c r="EE9" i="45"/>
  <c r="ED9" i="45"/>
  <c r="EC9" i="45"/>
  <c r="DZ9" i="45"/>
  <c r="FT8" i="45"/>
  <c r="FS8" i="45"/>
  <c r="FR8" i="45"/>
  <c r="FQ8" i="45"/>
  <c r="FP8" i="45"/>
  <c r="FO8" i="45"/>
  <c r="FN8" i="45"/>
  <c r="FM8" i="45"/>
  <c r="FL8" i="45"/>
  <c r="FK8" i="45"/>
  <c r="FJ8" i="45"/>
  <c r="FI8" i="45"/>
  <c r="FH8" i="45"/>
  <c r="FG8" i="45"/>
  <c r="FF8" i="45"/>
  <c r="FE8" i="45"/>
  <c r="FD8" i="45"/>
  <c r="FC8" i="45"/>
  <c r="FB8" i="45"/>
  <c r="FA8" i="45"/>
  <c r="EZ8" i="45"/>
  <c r="EY8" i="45"/>
  <c r="EX8" i="45"/>
  <c r="EV8" i="45"/>
  <c r="EU8" i="45"/>
  <c r="ES8" i="45"/>
  <c r="EQ8" i="45"/>
  <c r="EP8" i="45"/>
  <c r="EM8" i="45"/>
  <c r="EL8" i="45"/>
  <c r="EK8" i="45"/>
  <c r="EJ8" i="45"/>
  <c r="EI8" i="45"/>
  <c r="EH8" i="45"/>
  <c r="EG8" i="45"/>
  <c r="EE8" i="45"/>
  <c r="ED8" i="45"/>
  <c r="EC8" i="45"/>
  <c r="DZ8" i="45"/>
  <c r="DW8" i="45"/>
  <c r="GM260" i="39"/>
  <c r="GK260" i="39"/>
  <c r="GJ260" i="39"/>
  <c r="GI260" i="39"/>
  <c r="GH260" i="39"/>
  <c r="GG260" i="39"/>
  <c r="GF260" i="39"/>
  <c r="GE260" i="39"/>
  <c r="GD260" i="39"/>
  <c r="GC260" i="39"/>
  <c r="GB260" i="39"/>
  <c r="GA260" i="39"/>
  <c r="FZ260" i="39"/>
  <c r="GM259" i="39"/>
  <c r="GK259" i="39"/>
  <c r="GJ259" i="39"/>
  <c r="GI259" i="39"/>
  <c r="GH259" i="39"/>
  <c r="GG259" i="39"/>
  <c r="GF259" i="39"/>
  <c r="GE259" i="39"/>
  <c r="GD259" i="39"/>
  <c r="GC259" i="39"/>
  <c r="GB259" i="39"/>
  <c r="GA259" i="39"/>
  <c r="FZ259" i="39"/>
  <c r="GM247" i="39"/>
  <c r="GK247" i="39"/>
  <c r="GJ247" i="39"/>
  <c r="GI247" i="39"/>
  <c r="GH247" i="39"/>
  <c r="GG247" i="39"/>
  <c r="GF247" i="39"/>
  <c r="GE247" i="39"/>
  <c r="GD247" i="39"/>
  <c r="GC247" i="39"/>
  <c r="GB247" i="39"/>
  <c r="GA247" i="39"/>
  <c r="FZ247" i="39"/>
  <c r="GM237" i="39"/>
  <c r="GK237" i="39"/>
  <c r="GJ237" i="39"/>
  <c r="GI237" i="39"/>
  <c r="GH237" i="39"/>
  <c r="GG237" i="39"/>
  <c r="GF237" i="39"/>
  <c r="GE237" i="39"/>
  <c r="GD237" i="39"/>
  <c r="GC237" i="39"/>
  <c r="GB237" i="39"/>
  <c r="GA237" i="39"/>
  <c r="FZ237" i="39"/>
  <c r="GM177" i="39"/>
  <c r="GK177" i="39"/>
  <c r="GJ177" i="39"/>
  <c r="GI177" i="39"/>
  <c r="GH177" i="39"/>
  <c r="GG177" i="39"/>
  <c r="GF177" i="39"/>
  <c r="GE177" i="39"/>
  <c r="GD177" i="39"/>
  <c r="GC177" i="39"/>
  <c r="GB177" i="39"/>
  <c r="GA177" i="39"/>
  <c r="FZ177" i="39"/>
  <c r="GM176" i="39"/>
  <c r="GK176" i="39"/>
  <c r="GJ176" i="39"/>
  <c r="GI176" i="39"/>
  <c r="GH176" i="39"/>
  <c r="GG176" i="39"/>
  <c r="GF176" i="39"/>
  <c r="GE176" i="39"/>
  <c r="GD176" i="39"/>
  <c r="GC176" i="39"/>
  <c r="GB176" i="39"/>
  <c r="GA176" i="39"/>
  <c r="FZ176" i="39"/>
  <c r="GM174" i="39"/>
  <c r="GK174" i="39"/>
  <c r="GJ174" i="39"/>
  <c r="GI174" i="39"/>
  <c r="GH174" i="39"/>
  <c r="GG174" i="39"/>
  <c r="GF174" i="39"/>
  <c r="GE174" i="39"/>
  <c r="GD174" i="39"/>
  <c r="GC174" i="39"/>
  <c r="GB174" i="39"/>
  <c r="GA174" i="39"/>
  <c r="FZ174" i="39"/>
  <c r="GM166" i="39"/>
  <c r="GK166" i="39"/>
  <c r="GJ166" i="39"/>
  <c r="GI166" i="39"/>
  <c r="GH166" i="39"/>
  <c r="GG166" i="39"/>
  <c r="GF166" i="39"/>
  <c r="GE166" i="39"/>
  <c r="GD166" i="39"/>
  <c r="GC166" i="39"/>
  <c r="GB166" i="39"/>
  <c r="GA166" i="39"/>
  <c r="FZ166" i="39"/>
  <c r="GM163" i="39"/>
  <c r="GK163" i="39"/>
  <c r="GJ163" i="39"/>
  <c r="GI163" i="39"/>
  <c r="GH163" i="39"/>
  <c r="GG163" i="39"/>
  <c r="GF163" i="39"/>
  <c r="GE163" i="39"/>
  <c r="GD163" i="39"/>
  <c r="GC163" i="39"/>
  <c r="GB163" i="39"/>
  <c r="GA163" i="39"/>
  <c r="FZ163" i="39"/>
  <c r="GM162" i="39"/>
  <c r="GK162" i="39"/>
  <c r="GJ162" i="39"/>
  <c r="GI162" i="39"/>
  <c r="GH162" i="39"/>
  <c r="GG162" i="39"/>
  <c r="GF162" i="39"/>
  <c r="GE162" i="39"/>
  <c r="GD162" i="39"/>
  <c r="GC162" i="39"/>
  <c r="GB162" i="39"/>
  <c r="GA162" i="39"/>
  <c r="FZ162" i="39"/>
  <c r="GM161" i="39"/>
  <c r="GK161" i="39"/>
  <c r="GJ161" i="39"/>
  <c r="GI161" i="39"/>
  <c r="GH161" i="39"/>
  <c r="GG161" i="39"/>
  <c r="GF161" i="39"/>
  <c r="GE161" i="39"/>
  <c r="GD161" i="39"/>
  <c r="GC161" i="39"/>
  <c r="GB161" i="39"/>
  <c r="GA161" i="39"/>
  <c r="FZ161" i="39"/>
  <c r="GM44" i="39"/>
  <c r="GK44" i="39"/>
  <c r="GJ44" i="39"/>
  <c r="GI44" i="39"/>
  <c r="GH44" i="39"/>
  <c r="GG44" i="39"/>
  <c r="GF44" i="39"/>
  <c r="GE44" i="39"/>
  <c r="GD44" i="39"/>
  <c r="GC44" i="39"/>
  <c r="GB44" i="39"/>
  <c r="GA44" i="39"/>
  <c r="FZ44" i="39"/>
  <c r="GM5" i="39"/>
  <c r="GK5" i="39"/>
  <c r="GJ5" i="39"/>
  <c r="GI5" i="39"/>
  <c r="GH5" i="39"/>
  <c r="GG5" i="39"/>
  <c r="GF5" i="39"/>
  <c r="GE5" i="39"/>
  <c r="GD5" i="39"/>
  <c r="GC5" i="39"/>
  <c r="GB5" i="39"/>
  <c r="GA5" i="39"/>
  <c r="FZ5" i="39"/>
  <c r="FT281" i="39"/>
  <c r="FS281" i="39"/>
  <c r="FR281" i="39"/>
  <c r="FQ281" i="39"/>
  <c r="FP281" i="39"/>
  <c r="FO281" i="39"/>
  <c r="FN281" i="39"/>
  <c r="FM281" i="39"/>
  <c r="FL281" i="39"/>
  <c r="FK281" i="39"/>
  <c r="FJ281" i="39"/>
  <c r="FI281" i="39"/>
  <c r="FH281" i="39"/>
  <c r="FG281" i="39"/>
  <c r="FF281" i="39"/>
  <c r="FE281" i="39"/>
  <c r="FD281" i="39"/>
  <c r="FC281" i="39"/>
  <c r="FB281" i="39"/>
  <c r="FA281" i="39"/>
  <c r="EZ281" i="39"/>
  <c r="EY281" i="39"/>
  <c r="EX281" i="39"/>
  <c r="EW281" i="39"/>
  <c r="EV281" i="39"/>
  <c r="EU281" i="39"/>
  <c r="ES281" i="39"/>
  <c r="ER281" i="39"/>
  <c r="EQ281" i="39"/>
  <c r="EP281" i="39"/>
  <c r="EO281" i="39"/>
  <c r="EN281" i="39"/>
  <c r="EM281" i="39"/>
  <c r="EL281" i="39"/>
  <c r="EK281" i="39"/>
  <c r="EJ281" i="39"/>
  <c r="EI281" i="39"/>
  <c r="EH281" i="39"/>
  <c r="EG281" i="39"/>
  <c r="EF281" i="39"/>
  <c r="EE281" i="39"/>
  <c r="ED281" i="39"/>
  <c r="EC281" i="39"/>
  <c r="EB281" i="39"/>
  <c r="EA281" i="39"/>
  <c r="DZ281" i="39"/>
  <c r="DY281" i="39"/>
  <c r="DX281" i="39"/>
  <c r="DW281" i="39"/>
  <c r="FT280" i="39"/>
  <c r="FS280" i="39"/>
  <c r="FR280" i="39"/>
  <c r="FQ280" i="39"/>
  <c r="FP280" i="39"/>
  <c r="FO280" i="39"/>
  <c r="FN280" i="39"/>
  <c r="FM280" i="39"/>
  <c r="FL280" i="39"/>
  <c r="FK280" i="39"/>
  <c r="FJ280" i="39"/>
  <c r="FI280" i="39"/>
  <c r="FH280" i="39"/>
  <c r="FG280" i="39"/>
  <c r="FF280" i="39"/>
  <c r="FE280" i="39"/>
  <c r="FD280" i="39"/>
  <c r="FC280" i="39"/>
  <c r="FB280" i="39"/>
  <c r="FA280" i="39"/>
  <c r="EZ280" i="39"/>
  <c r="EY280" i="39"/>
  <c r="EX280" i="39"/>
  <c r="EW280" i="39"/>
  <c r="EV280" i="39"/>
  <c r="EU280" i="39"/>
  <c r="ES280" i="39"/>
  <c r="ER280" i="39"/>
  <c r="EQ280" i="39"/>
  <c r="EP280" i="39"/>
  <c r="EO280" i="39"/>
  <c r="EN280" i="39"/>
  <c r="EM280" i="39"/>
  <c r="EL280" i="39"/>
  <c r="EK280" i="39"/>
  <c r="EJ280" i="39"/>
  <c r="EI280" i="39"/>
  <c r="EH280" i="39"/>
  <c r="EG280" i="39"/>
  <c r="EF280" i="39"/>
  <c r="EE280" i="39"/>
  <c r="ED280" i="39"/>
  <c r="EC280" i="39"/>
  <c r="EB280" i="39"/>
  <c r="EA280" i="39"/>
  <c r="DZ280" i="39"/>
  <c r="DY280" i="39"/>
  <c r="DX280" i="39"/>
  <c r="DW280" i="39"/>
  <c r="FT279" i="39"/>
  <c r="FS279" i="39"/>
  <c r="FR279" i="39"/>
  <c r="FQ279" i="39"/>
  <c r="FP279" i="39"/>
  <c r="FO279" i="39"/>
  <c r="FN279" i="39"/>
  <c r="FM279" i="39"/>
  <c r="FL279" i="39"/>
  <c r="FK279" i="39"/>
  <c r="FJ279" i="39"/>
  <c r="FI279" i="39"/>
  <c r="FH279" i="39"/>
  <c r="FG279" i="39"/>
  <c r="FF279" i="39"/>
  <c r="FE279" i="39"/>
  <c r="FD279" i="39"/>
  <c r="FC279" i="39"/>
  <c r="FB279" i="39"/>
  <c r="FA279" i="39"/>
  <c r="EZ279" i="39"/>
  <c r="EY279" i="39"/>
  <c r="EX279" i="39"/>
  <c r="EW279" i="39"/>
  <c r="EV279" i="39"/>
  <c r="EU279" i="39"/>
  <c r="ES279" i="39"/>
  <c r="ER279" i="39"/>
  <c r="EQ279" i="39"/>
  <c r="EP279" i="39"/>
  <c r="EO279" i="39"/>
  <c r="EN279" i="39"/>
  <c r="EM279" i="39"/>
  <c r="EL279" i="39"/>
  <c r="EK279" i="39"/>
  <c r="EJ279" i="39"/>
  <c r="EI279" i="39"/>
  <c r="EH279" i="39"/>
  <c r="EG279" i="39"/>
  <c r="EF279" i="39"/>
  <c r="EE279" i="39"/>
  <c r="ED279" i="39"/>
  <c r="EC279" i="39"/>
  <c r="EB279" i="39"/>
  <c r="EA279" i="39"/>
  <c r="DZ279" i="39"/>
  <c r="DY279" i="39"/>
  <c r="DX279" i="39"/>
  <c r="DW279" i="39"/>
  <c r="FT278" i="39"/>
  <c r="FS278" i="39"/>
  <c r="FR278" i="39"/>
  <c r="FQ278" i="39"/>
  <c r="FP278" i="39"/>
  <c r="FO278" i="39"/>
  <c r="FN278" i="39"/>
  <c r="FM278" i="39"/>
  <c r="FL278" i="39"/>
  <c r="FK278" i="39"/>
  <c r="FJ278" i="39"/>
  <c r="FI278" i="39"/>
  <c r="FH278" i="39"/>
  <c r="FG278" i="39"/>
  <c r="FF278" i="39"/>
  <c r="FE278" i="39"/>
  <c r="FD278" i="39"/>
  <c r="FC278" i="39"/>
  <c r="FB278" i="39"/>
  <c r="FA278" i="39"/>
  <c r="EZ278" i="39"/>
  <c r="EY278" i="39"/>
  <c r="EX278" i="39"/>
  <c r="EW278" i="39"/>
  <c r="EV278" i="39"/>
  <c r="EU278" i="39"/>
  <c r="ES278" i="39"/>
  <c r="ER278" i="39"/>
  <c r="EQ278" i="39"/>
  <c r="EP278" i="39"/>
  <c r="EO278" i="39"/>
  <c r="EN278" i="39"/>
  <c r="EM278" i="39"/>
  <c r="EL278" i="39"/>
  <c r="EK278" i="39"/>
  <c r="EJ278" i="39"/>
  <c r="EI278" i="39"/>
  <c r="EH278" i="39"/>
  <c r="EG278" i="39"/>
  <c r="EF278" i="39"/>
  <c r="EE278" i="39"/>
  <c r="ED278" i="39"/>
  <c r="EC278" i="39"/>
  <c r="EB278" i="39"/>
  <c r="EA278" i="39"/>
  <c r="DZ278" i="39"/>
  <c r="DY278" i="39"/>
  <c r="DX278" i="39"/>
  <c r="DW278" i="39"/>
  <c r="FT277" i="39"/>
  <c r="FS277" i="39"/>
  <c r="FR277" i="39"/>
  <c r="FQ277" i="39"/>
  <c r="FP277" i="39"/>
  <c r="FO277" i="39"/>
  <c r="FN277" i="39"/>
  <c r="FM277" i="39"/>
  <c r="FL277" i="39"/>
  <c r="FK277" i="39"/>
  <c r="FJ277" i="39"/>
  <c r="FI277" i="39"/>
  <c r="FH277" i="39"/>
  <c r="FG277" i="39"/>
  <c r="FF277" i="39"/>
  <c r="FE277" i="39"/>
  <c r="FD277" i="39"/>
  <c r="FC277" i="39"/>
  <c r="FB277" i="39"/>
  <c r="FA277" i="39"/>
  <c r="EZ277" i="39"/>
  <c r="EY277" i="39"/>
  <c r="EX277" i="39"/>
  <c r="EW277" i="39"/>
  <c r="EV277" i="39"/>
  <c r="EU277" i="39"/>
  <c r="ES277" i="39"/>
  <c r="ER277" i="39"/>
  <c r="EQ277" i="39"/>
  <c r="EP277" i="39"/>
  <c r="EO277" i="39"/>
  <c r="EN277" i="39"/>
  <c r="EM277" i="39"/>
  <c r="EL277" i="39"/>
  <c r="EK277" i="39"/>
  <c r="EJ277" i="39"/>
  <c r="EI277" i="39"/>
  <c r="EH277" i="39"/>
  <c r="EG277" i="39"/>
  <c r="EF277" i="39"/>
  <c r="EE277" i="39"/>
  <c r="ED277" i="39"/>
  <c r="EC277" i="39"/>
  <c r="EB277" i="39"/>
  <c r="EA277" i="39"/>
  <c r="DZ277" i="39"/>
  <c r="DY277" i="39"/>
  <c r="DX277" i="39"/>
  <c r="DW277" i="39"/>
  <c r="FT276" i="39"/>
  <c r="FS276" i="39"/>
  <c r="FR276" i="39"/>
  <c r="FQ276" i="39"/>
  <c r="FP276" i="39"/>
  <c r="FO276" i="39"/>
  <c r="FN276" i="39"/>
  <c r="FM276" i="39"/>
  <c r="FL276" i="39"/>
  <c r="FK276" i="39"/>
  <c r="FJ276" i="39"/>
  <c r="FI276" i="39"/>
  <c r="FH276" i="39"/>
  <c r="FG276" i="39"/>
  <c r="FF276" i="39"/>
  <c r="FE276" i="39"/>
  <c r="FD276" i="39"/>
  <c r="FC276" i="39"/>
  <c r="FB276" i="39"/>
  <c r="FA276" i="39"/>
  <c r="EZ276" i="39"/>
  <c r="EY276" i="39"/>
  <c r="EX276" i="39"/>
  <c r="EW276" i="39"/>
  <c r="EV276" i="39"/>
  <c r="EU276" i="39"/>
  <c r="ES276" i="39"/>
  <c r="ER276" i="39"/>
  <c r="EQ276" i="39"/>
  <c r="EP276" i="39"/>
  <c r="EO276" i="39"/>
  <c r="EN276" i="39"/>
  <c r="EM276" i="39"/>
  <c r="EL276" i="39"/>
  <c r="EK276" i="39"/>
  <c r="EJ276" i="39"/>
  <c r="EI276" i="39"/>
  <c r="EH276" i="39"/>
  <c r="EG276" i="39"/>
  <c r="EF276" i="39"/>
  <c r="EE276" i="39"/>
  <c r="ED276" i="39"/>
  <c r="EC276" i="39"/>
  <c r="EB276" i="39"/>
  <c r="EA276" i="39"/>
  <c r="DZ276" i="39"/>
  <c r="DY276" i="39"/>
  <c r="DX276" i="39"/>
  <c r="DW276" i="39"/>
  <c r="FT275" i="39"/>
  <c r="FS275" i="39"/>
  <c r="FR275" i="39"/>
  <c r="FQ275" i="39"/>
  <c r="FP275" i="39"/>
  <c r="FO275" i="39"/>
  <c r="FN275" i="39"/>
  <c r="FM275" i="39"/>
  <c r="FL275" i="39"/>
  <c r="FK275" i="39"/>
  <c r="FJ275" i="39"/>
  <c r="FI275" i="39"/>
  <c r="FH275" i="39"/>
  <c r="FG275" i="39"/>
  <c r="FF275" i="39"/>
  <c r="FE275" i="39"/>
  <c r="FD275" i="39"/>
  <c r="FC275" i="39"/>
  <c r="FB275" i="39"/>
  <c r="FA275" i="39"/>
  <c r="EZ275" i="39"/>
  <c r="EY275" i="39"/>
  <c r="EX275" i="39"/>
  <c r="EW275" i="39"/>
  <c r="EV275" i="39"/>
  <c r="EU275" i="39"/>
  <c r="ES275" i="39"/>
  <c r="ER275" i="39"/>
  <c r="EQ275" i="39"/>
  <c r="EP275" i="39"/>
  <c r="EO275" i="39"/>
  <c r="EN275" i="39"/>
  <c r="EM275" i="39"/>
  <c r="EL275" i="39"/>
  <c r="EK275" i="39"/>
  <c r="EJ275" i="39"/>
  <c r="EI275" i="39"/>
  <c r="EH275" i="39"/>
  <c r="EG275" i="39"/>
  <c r="EF275" i="39"/>
  <c r="EE275" i="39"/>
  <c r="ED275" i="39"/>
  <c r="EC275" i="39"/>
  <c r="EB275" i="39"/>
  <c r="EA275" i="39"/>
  <c r="DZ275" i="39"/>
  <c r="DY275" i="39"/>
  <c r="DX275" i="39"/>
  <c r="DW275" i="39"/>
  <c r="FT274" i="39"/>
  <c r="FS274" i="39"/>
  <c r="FR274" i="39"/>
  <c r="FQ274" i="39"/>
  <c r="FP274" i="39"/>
  <c r="FO274" i="39"/>
  <c r="FN274" i="39"/>
  <c r="FM274" i="39"/>
  <c r="FL274" i="39"/>
  <c r="FK274" i="39"/>
  <c r="FJ274" i="39"/>
  <c r="FI274" i="39"/>
  <c r="FH274" i="39"/>
  <c r="FG274" i="39"/>
  <c r="FF274" i="39"/>
  <c r="FE274" i="39"/>
  <c r="FD274" i="39"/>
  <c r="FC274" i="39"/>
  <c r="FB274" i="39"/>
  <c r="FA274" i="39"/>
  <c r="EZ274" i="39"/>
  <c r="EY274" i="39"/>
  <c r="EX274" i="39"/>
  <c r="EW274" i="39"/>
  <c r="EV274" i="39"/>
  <c r="EU274" i="39"/>
  <c r="ES274" i="39"/>
  <c r="ER274" i="39"/>
  <c r="EQ274" i="39"/>
  <c r="EP274" i="39"/>
  <c r="EO274" i="39"/>
  <c r="EN274" i="39"/>
  <c r="EM274" i="39"/>
  <c r="EL274" i="39"/>
  <c r="EK274" i="39"/>
  <c r="EJ274" i="39"/>
  <c r="EI274" i="39"/>
  <c r="EH274" i="39"/>
  <c r="EG274" i="39"/>
  <c r="EF274" i="39"/>
  <c r="EE274" i="39"/>
  <c r="ED274" i="39"/>
  <c r="EC274" i="39"/>
  <c r="EB274" i="39"/>
  <c r="EA274" i="39"/>
  <c r="DZ274" i="39"/>
  <c r="DY274" i="39"/>
  <c r="DX274" i="39"/>
  <c r="DW274" i="39"/>
  <c r="FT273" i="39"/>
  <c r="FS273" i="39"/>
  <c r="FR273" i="39"/>
  <c r="FQ273" i="39"/>
  <c r="FP273" i="39"/>
  <c r="FO273" i="39"/>
  <c r="FN273" i="39"/>
  <c r="FM273" i="39"/>
  <c r="FL273" i="39"/>
  <c r="FK273" i="39"/>
  <c r="FJ273" i="39"/>
  <c r="FI273" i="39"/>
  <c r="FH273" i="39"/>
  <c r="FG273" i="39"/>
  <c r="FF273" i="39"/>
  <c r="FE273" i="39"/>
  <c r="FD273" i="39"/>
  <c r="FC273" i="39"/>
  <c r="FB273" i="39"/>
  <c r="FA273" i="39"/>
  <c r="EZ273" i="39"/>
  <c r="EY273" i="39"/>
  <c r="EX273" i="39"/>
  <c r="EW273" i="39"/>
  <c r="EV273" i="39"/>
  <c r="EU273" i="39"/>
  <c r="ES273" i="39"/>
  <c r="ER273" i="39"/>
  <c r="EQ273" i="39"/>
  <c r="EP273" i="39"/>
  <c r="EO273" i="39"/>
  <c r="EN273" i="39"/>
  <c r="EM273" i="39"/>
  <c r="EL273" i="39"/>
  <c r="EK273" i="39"/>
  <c r="EJ273" i="39"/>
  <c r="EI273" i="39"/>
  <c r="EH273" i="39"/>
  <c r="EG273" i="39"/>
  <c r="EF273" i="39"/>
  <c r="EE273" i="39"/>
  <c r="ED273" i="39"/>
  <c r="EC273" i="39"/>
  <c r="EB273" i="39"/>
  <c r="EA273" i="39"/>
  <c r="DZ273" i="39"/>
  <c r="DY273" i="39"/>
  <c r="DX273" i="39"/>
  <c r="DW273" i="39"/>
  <c r="FT272" i="39"/>
  <c r="FS272" i="39"/>
  <c r="FR272" i="39"/>
  <c r="FQ272" i="39"/>
  <c r="FP272" i="39"/>
  <c r="FO272" i="39"/>
  <c r="FN272" i="39"/>
  <c r="FM272" i="39"/>
  <c r="FL272" i="39"/>
  <c r="FK272" i="39"/>
  <c r="FJ272" i="39"/>
  <c r="FI272" i="39"/>
  <c r="FH272" i="39"/>
  <c r="FG272" i="39"/>
  <c r="FF272" i="39"/>
  <c r="FE272" i="39"/>
  <c r="FD272" i="39"/>
  <c r="FC272" i="39"/>
  <c r="FB272" i="39"/>
  <c r="FA272" i="39"/>
  <c r="EZ272" i="39"/>
  <c r="EY272" i="39"/>
  <c r="EX272" i="39"/>
  <c r="EW272" i="39"/>
  <c r="EV272" i="39"/>
  <c r="EU272" i="39"/>
  <c r="ES272" i="39"/>
  <c r="ER272" i="39"/>
  <c r="EQ272" i="39"/>
  <c r="EP272" i="39"/>
  <c r="EO272" i="39"/>
  <c r="EN272" i="39"/>
  <c r="EM272" i="39"/>
  <c r="EL272" i="39"/>
  <c r="EK272" i="39"/>
  <c r="EJ272" i="39"/>
  <c r="EI272" i="39"/>
  <c r="EH272" i="39"/>
  <c r="EG272" i="39"/>
  <c r="EF272" i="39"/>
  <c r="EE272" i="39"/>
  <c r="ED272" i="39"/>
  <c r="EC272" i="39"/>
  <c r="EB272" i="39"/>
  <c r="EA272" i="39"/>
  <c r="DZ272" i="39"/>
  <c r="DY272" i="39"/>
  <c r="DX272" i="39"/>
  <c r="DW272" i="39"/>
  <c r="FT271" i="39"/>
  <c r="FS271" i="39"/>
  <c r="FR271" i="39"/>
  <c r="FQ271" i="39"/>
  <c r="FP271" i="39"/>
  <c r="FO271" i="39"/>
  <c r="FN271" i="39"/>
  <c r="FM271" i="39"/>
  <c r="FL271" i="39"/>
  <c r="FK271" i="39"/>
  <c r="FJ271" i="39"/>
  <c r="FI271" i="39"/>
  <c r="FH271" i="39"/>
  <c r="FG271" i="39"/>
  <c r="FF271" i="39"/>
  <c r="FE271" i="39"/>
  <c r="FD271" i="39"/>
  <c r="FC271" i="39"/>
  <c r="FB271" i="39"/>
  <c r="FA271" i="39"/>
  <c r="EZ271" i="39"/>
  <c r="EY271" i="39"/>
  <c r="EX271" i="39"/>
  <c r="EW271" i="39"/>
  <c r="EV271" i="39"/>
  <c r="EU271" i="39"/>
  <c r="ES271" i="39"/>
  <c r="ER271" i="39"/>
  <c r="EQ271" i="39"/>
  <c r="EP271" i="39"/>
  <c r="EO271" i="39"/>
  <c r="EN271" i="39"/>
  <c r="EM271" i="39"/>
  <c r="EL271" i="39"/>
  <c r="EK271" i="39"/>
  <c r="EJ271" i="39"/>
  <c r="EI271" i="39"/>
  <c r="EH271" i="39"/>
  <c r="EG271" i="39"/>
  <c r="EF271" i="39"/>
  <c r="EE271" i="39"/>
  <c r="ED271" i="39"/>
  <c r="EC271" i="39"/>
  <c r="EB271" i="39"/>
  <c r="EA271" i="39"/>
  <c r="DZ271" i="39"/>
  <c r="DY271" i="39"/>
  <c r="DX271" i="39"/>
  <c r="DW271" i="39"/>
  <c r="FT270" i="39"/>
  <c r="FS270" i="39"/>
  <c r="FR270" i="39"/>
  <c r="FQ270" i="39"/>
  <c r="FP270" i="39"/>
  <c r="FO270" i="39"/>
  <c r="FN270" i="39"/>
  <c r="FM270" i="39"/>
  <c r="FL270" i="39"/>
  <c r="FK270" i="39"/>
  <c r="FJ270" i="39"/>
  <c r="FI270" i="39"/>
  <c r="FH270" i="39"/>
  <c r="FG270" i="39"/>
  <c r="FF270" i="39"/>
  <c r="FE270" i="39"/>
  <c r="FD270" i="39"/>
  <c r="FC270" i="39"/>
  <c r="FB270" i="39"/>
  <c r="FA270" i="39"/>
  <c r="EZ270" i="39"/>
  <c r="EY270" i="39"/>
  <c r="EX270" i="39"/>
  <c r="EW270" i="39"/>
  <c r="EV270" i="39"/>
  <c r="EU270" i="39"/>
  <c r="ES270" i="39"/>
  <c r="ER270" i="39"/>
  <c r="EQ270" i="39"/>
  <c r="EP270" i="39"/>
  <c r="EO270" i="39"/>
  <c r="EN270" i="39"/>
  <c r="EM270" i="39"/>
  <c r="EL270" i="39"/>
  <c r="EK270" i="39"/>
  <c r="EJ270" i="39"/>
  <c r="EI270" i="39"/>
  <c r="EH270" i="39"/>
  <c r="EG270" i="39"/>
  <c r="EF270" i="39"/>
  <c r="EE270" i="39"/>
  <c r="ED270" i="39"/>
  <c r="EC270" i="39"/>
  <c r="EB270" i="39"/>
  <c r="EA270" i="39"/>
  <c r="DZ270" i="39"/>
  <c r="DY270" i="39"/>
  <c r="DX270" i="39"/>
  <c r="DW270" i="39"/>
  <c r="FT269" i="39"/>
  <c r="FS269" i="39"/>
  <c r="FR269" i="39"/>
  <c r="FQ269" i="39"/>
  <c r="FP269" i="39"/>
  <c r="FO269" i="39"/>
  <c r="FN269" i="39"/>
  <c r="FM269" i="39"/>
  <c r="FL269" i="39"/>
  <c r="FK269" i="39"/>
  <c r="FJ269" i="39"/>
  <c r="FI269" i="39"/>
  <c r="FH269" i="39"/>
  <c r="FG269" i="39"/>
  <c r="FF269" i="39"/>
  <c r="FE269" i="39"/>
  <c r="FD269" i="39"/>
  <c r="FC269" i="39"/>
  <c r="FB269" i="39"/>
  <c r="FA269" i="39"/>
  <c r="EZ269" i="39"/>
  <c r="EY269" i="39"/>
  <c r="EX269" i="39"/>
  <c r="EW269" i="39"/>
  <c r="EV269" i="39"/>
  <c r="EU269" i="39"/>
  <c r="ES269" i="39"/>
  <c r="ER269" i="39"/>
  <c r="EQ269" i="39"/>
  <c r="EP269" i="39"/>
  <c r="EO269" i="39"/>
  <c r="EN269" i="39"/>
  <c r="EM269" i="39"/>
  <c r="EL269" i="39"/>
  <c r="EK269" i="39"/>
  <c r="EJ269" i="39"/>
  <c r="EI269" i="39"/>
  <c r="EH269" i="39"/>
  <c r="EG269" i="39"/>
  <c r="EF269" i="39"/>
  <c r="EE269" i="39"/>
  <c r="ED269" i="39"/>
  <c r="EC269" i="39"/>
  <c r="EB269" i="39"/>
  <c r="EA269" i="39"/>
  <c r="DZ269" i="39"/>
  <c r="DY269" i="39"/>
  <c r="DX269" i="39"/>
  <c r="DW269" i="39"/>
  <c r="FT268" i="39"/>
  <c r="FS268" i="39"/>
  <c r="FR268" i="39"/>
  <c r="FQ268" i="39"/>
  <c r="FP268" i="39"/>
  <c r="FO268" i="39"/>
  <c r="FN268" i="39"/>
  <c r="FM268" i="39"/>
  <c r="FL268" i="39"/>
  <c r="FK268" i="39"/>
  <c r="FJ268" i="39"/>
  <c r="FI268" i="39"/>
  <c r="FH268" i="39"/>
  <c r="FG268" i="39"/>
  <c r="FF268" i="39"/>
  <c r="FE268" i="39"/>
  <c r="FD268" i="39"/>
  <c r="FC268" i="39"/>
  <c r="FB268" i="39"/>
  <c r="FA268" i="39"/>
  <c r="EZ268" i="39"/>
  <c r="EY268" i="39"/>
  <c r="EX268" i="39"/>
  <c r="EW268" i="39"/>
  <c r="EV268" i="39"/>
  <c r="EU268" i="39"/>
  <c r="ES268" i="39"/>
  <c r="ER268" i="39"/>
  <c r="EQ268" i="39"/>
  <c r="EP268" i="39"/>
  <c r="EO268" i="39"/>
  <c r="EN268" i="39"/>
  <c r="EM268" i="39"/>
  <c r="EL268" i="39"/>
  <c r="EK268" i="39"/>
  <c r="EJ268" i="39"/>
  <c r="EI268" i="39"/>
  <c r="EH268" i="39"/>
  <c r="EG268" i="39"/>
  <c r="EF268" i="39"/>
  <c r="EE268" i="39"/>
  <c r="ED268" i="39"/>
  <c r="EC268" i="39"/>
  <c r="EB268" i="39"/>
  <c r="EA268" i="39"/>
  <c r="DZ268" i="39"/>
  <c r="DY268" i="39"/>
  <c r="DX268" i="39"/>
  <c r="DW268" i="39"/>
  <c r="FT267" i="39"/>
  <c r="FS267" i="39"/>
  <c r="FR267" i="39"/>
  <c r="FQ267" i="39"/>
  <c r="FP267" i="39"/>
  <c r="FO267" i="39"/>
  <c r="FN267" i="39"/>
  <c r="FM267" i="39"/>
  <c r="FL267" i="39"/>
  <c r="FK267" i="39"/>
  <c r="FJ267" i="39"/>
  <c r="FI267" i="39"/>
  <c r="FH267" i="39"/>
  <c r="FG267" i="39"/>
  <c r="FF267" i="39"/>
  <c r="FE267" i="39"/>
  <c r="FD267" i="39"/>
  <c r="FC267" i="39"/>
  <c r="FB267" i="39"/>
  <c r="FA267" i="39"/>
  <c r="EZ267" i="39"/>
  <c r="EY267" i="39"/>
  <c r="EX267" i="39"/>
  <c r="EW267" i="39"/>
  <c r="EV267" i="39"/>
  <c r="EU267" i="39"/>
  <c r="ES267" i="39"/>
  <c r="ER267" i="39"/>
  <c r="EQ267" i="39"/>
  <c r="EP267" i="39"/>
  <c r="EO267" i="39"/>
  <c r="EN267" i="39"/>
  <c r="EM267" i="39"/>
  <c r="EL267" i="39"/>
  <c r="EK267" i="39"/>
  <c r="EJ267" i="39"/>
  <c r="EI267" i="39"/>
  <c r="EH267" i="39"/>
  <c r="EG267" i="39"/>
  <c r="EF267" i="39"/>
  <c r="EE267" i="39"/>
  <c r="ED267" i="39"/>
  <c r="EC267" i="39"/>
  <c r="EB267" i="39"/>
  <c r="EA267" i="39"/>
  <c r="DZ267" i="39"/>
  <c r="DY267" i="39"/>
  <c r="DX267" i="39"/>
  <c r="DW267" i="39"/>
  <c r="FT266" i="39"/>
  <c r="FS266" i="39"/>
  <c r="FR266" i="39"/>
  <c r="FQ266" i="39"/>
  <c r="FP266" i="39"/>
  <c r="FO266" i="39"/>
  <c r="FN266" i="39"/>
  <c r="FM266" i="39"/>
  <c r="FL266" i="39"/>
  <c r="FK266" i="39"/>
  <c r="FJ266" i="39"/>
  <c r="FI266" i="39"/>
  <c r="FH266" i="39"/>
  <c r="FG266" i="39"/>
  <c r="FF266" i="39"/>
  <c r="FE266" i="39"/>
  <c r="FD266" i="39"/>
  <c r="FC266" i="39"/>
  <c r="FB266" i="39"/>
  <c r="FA266" i="39"/>
  <c r="EZ266" i="39"/>
  <c r="EY266" i="39"/>
  <c r="EX266" i="39"/>
  <c r="EW266" i="39"/>
  <c r="EV266" i="39"/>
  <c r="EU266" i="39"/>
  <c r="ES266" i="39"/>
  <c r="ER266" i="39"/>
  <c r="EQ266" i="39"/>
  <c r="EP266" i="39"/>
  <c r="EO266" i="39"/>
  <c r="EN266" i="39"/>
  <c r="EM266" i="39"/>
  <c r="EL266" i="39"/>
  <c r="EK266" i="39"/>
  <c r="EJ266" i="39"/>
  <c r="EI266" i="39"/>
  <c r="EH266" i="39"/>
  <c r="EG266" i="39"/>
  <c r="EF266" i="39"/>
  <c r="EE266" i="39"/>
  <c r="ED266" i="39"/>
  <c r="EC266" i="39"/>
  <c r="EB266" i="39"/>
  <c r="EA266" i="39"/>
  <c r="DZ266" i="39"/>
  <c r="DY266" i="39"/>
  <c r="DX266" i="39"/>
  <c r="DW266" i="39"/>
  <c r="FT265" i="39"/>
  <c r="FS265" i="39"/>
  <c r="FR265" i="39"/>
  <c r="FQ265" i="39"/>
  <c r="FP265" i="39"/>
  <c r="FO265" i="39"/>
  <c r="FN265" i="39"/>
  <c r="FM265" i="39"/>
  <c r="FL265" i="39"/>
  <c r="FK265" i="39"/>
  <c r="FJ265" i="39"/>
  <c r="FI265" i="39"/>
  <c r="FH265" i="39"/>
  <c r="FG265" i="39"/>
  <c r="FF265" i="39"/>
  <c r="FE265" i="39"/>
  <c r="FD265" i="39"/>
  <c r="FC265" i="39"/>
  <c r="FB265" i="39"/>
  <c r="FA265" i="39"/>
  <c r="EZ265" i="39"/>
  <c r="EY265" i="39"/>
  <c r="EX265" i="39"/>
  <c r="EW265" i="39"/>
  <c r="EV265" i="39"/>
  <c r="EU265" i="39"/>
  <c r="ES265" i="39"/>
  <c r="ER265" i="39"/>
  <c r="EQ265" i="39"/>
  <c r="EP265" i="39"/>
  <c r="EO265" i="39"/>
  <c r="EN265" i="39"/>
  <c r="EM265" i="39"/>
  <c r="EL265" i="39"/>
  <c r="EK265" i="39"/>
  <c r="EJ265" i="39"/>
  <c r="EI265" i="39"/>
  <c r="EH265" i="39"/>
  <c r="EG265" i="39"/>
  <c r="EF265" i="39"/>
  <c r="EE265" i="39"/>
  <c r="ED265" i="39"/>
  <c r="EC265" i="39"/>
  <c r="EB265" i="39"/>
  <c r="EA265" i="39"/>
  <c r="DZ265" i="39"/>
  <c r="DY265" i="39"/>
  <c r="DX265" i="39"/>
  <c r="DW265" i="39"/>
  <c r="FT264" i="39"/>
  <c r="FS264" i="39"/>
  <c r="FR264" i="39"/>
  <c r="FQ264" i="39"/>
  <c r="FP264" i="39"/>
  <c r="FO264" i="39"/>
  <c r="FN264" i="39"/>
  <c r="FM264" i="39"/>
  <c r="FL264" i="39"/>
  <c r="FK264" i="39"/>
  <c r="FJ264" i="39"/>
  <c r="FI264" i="39"/>
  <c r="FH264" i="39"/>
  <c r="FG264" i="39"/>
  <c r="FF264" i="39"/>
  <c r="FE264" i="39"/>
  <c r="FD264" i="39"/>
  <c r="FC264" i="39"/>
  <c r="FB264" i="39"/>
  <c r="FA264" i="39"/>
  <c r="EZ264" i="39"/>
  <c r="EY264" i="39"/>
  <c r="EX264" i="39"/>
  <c r="EW264" i="39"/>
  <c r="EV264" i="39"/>
  <c r="EU264" i="39"/>
  <c r="ES264" i="39"/>
  <c r="ER264" i="39"/>
  <c r="EQ264" i="39"/>
  <c r="EP264" i="39"/>
  <c r="EO264" i="39"/>
  <c r="EN264" i="39"/>
  <c r="EM264" i="39"/>
  <c r="EL264" i="39"/>
  <c r="EK264" i="39"/>
  <c r="EJ264" i="39"/>
  <c r="EI264" i="39"/>
  <c r="EH264" i="39"/>
  <c r="EG264" i="39"/>
  <c r="EF264" i="39"/>
  <c r="EE264" i="39"/>
  <c r="ED264" i="39"/>
  <c r="EC264" i="39"/>
  <c r="EB264" i="39"/>
  <c r="EA264" i="39"/>
  <c r="DZ264" i="39"/>
  <c r="DY264" i="39"/>
  <c r="DX264" i="39"/>
  <c r="DW264" i="39"/>
  <c r="FT263" i="39"/>
  <c r="FS263" i="39"/>
  <c r="FR263" i="39"/>
  <c r="FQ263" i="39"/>
  <c r="FP263" i="39"/>
  <c r="FO263" i="39"/>
  <c r="FN263" i="39"/>
  <c r="FM263" i="39"/>
  <c r="FL263" i="39"/>
  <c r="FK263" i="39"/>
  <c r="FJ263" i="39"/>
  <c r="FI263" i="39"/>
  <c r="FH263" i="39"/>
  <c r="FG263" i="39"/>
  <c r="FF263" i="39"/>
  <c r="FE263" i="39"/>
  <c r="FD263" i="39"/>
  <c r="FC263" i="39"/>
  <c r="FB263" i="39"/>
  <c r="FA263" i="39"/>
  <c r="EZ263" i="39"/>
  <c r="EY263" i="39"/>
  <c r="EX263" i="39"/>
  <c r="EW263" i="39"/>
  <c r="EV263" i="39"/>
  <c r="EU263" i="39"/>
  <c r="ES263" i="39"/>
  <c r="ER263" i="39"/>
  <c r="EQ263" i="39"/>
  <c r="EP263" i="39"/>
  <c r="EO263" i="39"/>
  <c r="EN263" i="39"/>
  <c r="EM263" i="39"/>
  <c r="EL263" i="39"/>
  <c r="EK263" i="39"/>
  <c r="EJ263" i="39"/>
  <c r="EI263" i="39"/>
  <c r="EH263" i="39"/>
  <c r="EG263" i="39"/>
  <c r="EF263" i="39"/>
  <c r="EE263" i="39"/>
  <c r="ED263" i="39"/>
  <c r="EC263" i="39"/>
  <c r="EB263" i="39"/>
  <c r="EA263" i="39"/>
  <c r="DZ263" i="39"/>
  <c r="DY263" i="39"/>
  <c r="DX263" i="39"/>
  <c r="DW263" i="39"/>
  <c r="FT262" i="39"/>
  <c r="FS262" i="39"/>
  <c r="FR262" i="39"/>
  <c r="FQ262" i="39"/>
  <c r="FP262" i="39"/>
  <c r="FO262" i="39"/>
  <c r="FN262" i="39"/>
  <c r="FM262" i="39"/>
  <c r="FL262" i="39"/>
  <c r="FK262" i="39"/>
  <c r="FJ262" i="39"/>
  <c r="FI262" i="39"/>
  <c r="FH262" i="39"/>
  <c r="FG262" i="39"/>
  <c r="FF262" i="39"/>
  <c r="FE262" i="39"/>
  <c r="FD262" i="39"/>
  <c r="FC262" i="39"/>
  <c r="FB262" i="39"/>
  <c r="FA262" i="39"/>
  <c r="EZ262" i="39"/>
  <c r="EY262" i="39"/>
  <c r="EX262" i="39"/>
  <c r="EW262" i="39"/>
  <c r="EV262" i="39"/>
  <c r="EU262" i="39"/>
  <c r="ES262" i="39"/>
  <c r="ER262" i="39"/>
  <c r="EQ262" i="39"/>
  <c r="EP262" i="39"/>
  <c r="EO262" i="39"/>
  <c r="EN262" i="39"/>
  <c r="EM262" i="39"/>
  <c r="EL262" i="39"/>
  <c r="EK262" i="39"/>
  <c r="EJ262" i="39"/>
  <c r="EI262" i="39"/>
  <c r="EH262" i="39"/>
  <c r="EG262" i="39"/>
  <c r="EF262" i="39"/>
  <c r="EE262" i="39"/>
  <c r="ED262" i="39"/>
  <c r="EC262" i="39"/>
  <c r="EB262" i="39"/>
  <c r="EA262" i="39"/>
  <c r="DZ262" i="39"/>
  <c r="DY262" i="39"/>
  <c r="DX262" i="39"/>
  <c r="DW262" i="39"/>
  <c r="FT261" i="39"/>
  <c r="FS261" i="39"/>
  <c r="FR261" i="39"/>
  <c r="FQ261" i="39"/>
  <c r="FP261" i="39"/>
  <c r="FO261" i="39"/>
  <c r="FN261" i="39"/>
  <c r="FM261" i="39"/>
  <c r="FL261" i="39"/>
  <c r="FK261" i="39"/>
  <c r="FJ261" i="39"/>
  <c r="FI261" i="39"/>
  <c r="FH261" i="39"/>
  <c r="FG261" i="39"/>
  <c r="FF261" i="39"/>
  <c r="FE261" i="39"/>
  <c r="FD261" i="39"/>
  <c r="FC261" i="39"/>
  <c r="FB261" i="39"/>
  <c r="FA261" i="39"/>
  <c r="EZ261" i="39"/>
  <c r="EY261" i="39"/>
  <c r="EX261" i="39"/>
  <c r="EW261" i="39"/>
  <c r="EV261" i="39"/>
  <c r="EU261" i="39"/>
  <c r="ES261" i="39"/>
  <c r="ER261" i="39"/>
  <c r="EQ261" i="39"/>
  <c r="EP261" i="39"/>
  <c r="EO261" i="39"/>
  <c r="EN261" i="39"/>
  <c r="EM261" i="39"/>
  <c r="EL261" i="39"/>
  <c r="EK261" i="39"/>
  <c r="EJ261" i="39"/>
  <c r="EI261" i="39"/>
  <c r="EH261" i="39"/>
  <c r="EG261" i="39"/>
  <c r="EF261" i="39"/>
  <c r="EE261" i="39"/>
  <c r="ED261" i="39"/>
  <c r="EC261" i="39"/>
  <c r="EB261" i="39"/>
  <c r="EA261" i="39"/>
  <c r="DZ261" i="39"/>
  <c r="DY261" i="39"/>
  <c r="DX261" i="39"/>
  <c r="DW261" i="39"/>
  <c r="FY260" i="39"/>
  <c r="FT260" i="39"/>
  <c r="FS260" i="39"/>
  <c r="FR260" i="39"/>
  <c r="FQ260" i="39"/>
  <c r="FP260" i="39"/>
  <c r="FO260" i="39"/>
  <c r="FN260" i="39"/>
  <c r="FM260" i="39"/>
  <c r="FL260" i="39"/>
  <c r="FK260" i="39"/>
  <c r="FJ260" i="39"/>
  <c r="FI260" i="39"/>
  <c r="FH260" i="39"/>
  <c r="FG260" i="39"/>
  <c r="FF260" i="39"/>
  <c r="FE260" i="39"/>
  <c r="FD260" i="39"/>
  <c r="FC260" i="39"/>
  <c r="FB260" i="39"/>
  <c r="FA260" i="39"/>
  <c r="EZ260" i="39"/>
  <c r="EY260" i="39"/>
  <c r="EX260" i="39"/>
  <c r="EW260" i="39"/>
  <c r="EV260" i="39"/>
  <c r="EU260" i="39"/>
  <c r="ES260" i="39"/>
  <c r="ER260" i="39"/>
  <c r="EQ260" i="39"/>
  <c r="EP260" i="39"/>
  <c r="EO260" i="39"/>
  <c r="EN260" i="39"/>
  <c r="EM260" i="39"/>
  <c r="EL260" i="39"/>
  <c r="EK260" i="39"/>
  <c r="EJ260" i="39"/>
  <c r="EI260" i="39"/>
  <c r="EH260" i="39"/>
  <c r="EG260" i="39"/>
  <c r="EF260" i="39"/>
  <c r="EE260" i="39"/>
  <c r="ED260" i="39"/>
  <c r="EC260" i="39"/>
  <c r="EB260" i="39"/>
  <c r="EA260" i="39"/>
  <c r="DZ260" i="39"/>
  <c r="DY260" i="39"/>
  <c r="DX260" i="39"/>
  <c r="DW260" i="39"/>
  <c r="FY259" i="39"/>
  <c r="FT259" i="39"/>
  <c r="FS259" i="39"/>
  <c r="FR259" i="39"/>
  <c r="FQ259" i="39"/>
  <c r="FP259" i="39"/>
  <c r="FO259" i="39"/>
  <c r="FN259" i="39"/>
  <c r="FM259" i="39"/>
  <c r="FL259" i="39"/>
  <c r="FK259" i="39"/>
  <c r="FJ259" i="39"/>
  <c r="FI259" i="39"/>
  <c r="FH259" i="39"/>
  <c r="FG259" i="39"/>
  <c r="FF259" i="39"/>
  <c r="FE259" i="39"/>
  <c r="FD259" i="39"/>
  <c r="FC259" i="39"/>
  <c r="FB259" i="39"/>
  <c r="FA259" i="39"/>
  <c r="EZ259" i="39"/>
  <c r="EY259" i="39"/>
  <c r="EX259" i="39"/>
  <c r="EW259" i="39"/>
  <c r="EV259" i="39"/>
  <c r="EU259" i="39"/>
  <c r="ES259" i="39"/>
  <c r="ER259" i="39"/>
  <c r="EQ259" i="39"/>
  <c r="EP259" i="39"/>
  <c r="EO259" i="39"/>
  <c r="EN259" i="39"/>
  <c r="EM259" i="39"/>
  <c r="EL259" i="39"/>
  <c r="EK259" i="39"/>
  <c r="EJ259" i="39"/>
  <c r="EI259" i="39"/>
  <c r="EH259" i="39"/>
  <c r="EG259" i="39"/>
  <c r="EF259" i="39"/>
  <c r="EE259" i="39"/>
  <c r="ED259" i="39"/>
  <c r="EC259" i="39"/>
  <c r="EB259" i="39"/>
  <c r="EA259" i="39"/>
  <c r="DZ259" i="39"/>
  <c r="DY259" i="39"/>
  <c r="DX259" i="39"/>
  <c r="DW259" i="39"/>
  <c r="FT258" i="39"/>
  <c r="FS258" i="39"/>
  <c r="FR258" i="39"/>
  <c r="FQ258" i="39"/>
  <c r="FP258" i="39"/>
  <c r="FO258" i="39"/>
  <c r="FN258" i="39"/>
  <c r="FM258" i="39"/>
  <c r="FL258" i="39"/>
  <c r="FK258" i="39"/>
  <c r="FJ258" i="39"/>
  <c r="FI258" i="39"/>
  <c r="FH258" i="39"/>
  <c r="FG258" i="39"/>
  <c r="FF258" i="39"/>
  <c r="FE258" i="39"/>
  <c r="FD258" i="39"/>
  <c r="FC258" i="39"/>
  <c r="FB258" i="39"/>
  <c r="FA258" i="39"/>
  <c r="EZ258" i="39"/>
  <c r="EY258" i="39"/>
  <c r="EX258" i="39"/>
  <c r="EW258" i="39"/>
  <c r="EV258" i="39"/>
  <c r="EU258" i="39"/>
  <c r="ES258" i="39"/>
  <c r="ER258" i="39"/>
  <c r="EQ258" i="39"/>
  <c r="EP258" i="39"/>
  <c r="EO258" i="39"/>
  <c r="EN258" i="39"/>
  <c r="EM258" i="39"/>
  <c r="EL258" i="39"/>
  <c r="EK258" i="39"/>
  <c r="EJ258" i="39"/>
  <c r="EI258" i="39"/>
  <c r="EH258" i="39"/>
  <c r="EG258" i="39"/>
  <c r="EF258" i="39"/>
  <c r="EE258" i="39"/>
  <c r="ED258" i="39"/>
  <c r="EC258" i="39"/>
  <c r="EB258" i="39"/>
  <c r="EA258" i="39"/>
  <c r="DZ258" i="39"/>
  <c r="DY258" i="39"/>
  <c r="DX258" i="39"/>
  <c r="DW258" i="39"/>
  <c r="FT257" i="39"/>
  <c r="FS257" i="39"/>
  <c r="FR257" i="39"/>
  <c r="FQ257" i="39"/>
  <c r="FP257" i="39"/>
  <c r="FO257" i="39"/>
  <c r="FN257" i="39"/>
  <c r="FM257" i="39"/>
  <c r="FL257" i="39"/>
  <c r="FK257" i="39"/>
  <c r="FJ257" i="39"/>
  <c r="FI257" i="39"/>
  <c r="FH257" i="39"/>
  <c r="FG257" i="39"/>
  <c r="FF257" i="39"/>
  <c r="FE257" i="39"/>
  <c r="FD257" i="39"/>
  <c r="FC257" i="39"/>
  <c r="FB257" i="39"/>
  <c r="FA257" i="39"/>
  <c r="EZ257" i="39"/>
  <c r="EY257" i="39"/>
  <c r="EX257" i="39"/>
  <c r="EW257" i="39"/>
  <c r="EV257" i="39"/>
  <c r="EU257" i="39"/>
  <c r="ES257" i="39"/>
  <c r="ER257" i="39"/>
  <c r="EQ257" i="39"/>
  <c r="EP257" i="39"/>
  <c r="EO257" i="39"/>
  <c r="EN257" i="39"/>
  <c r="EM257" i="39"/>
  <c r="EL257" i="39"/>
  <c r="EK257" i="39"/>
  <c r="EJ257" i="39"/>
  <c r="EI257" i="39"/>
  <c r="EH257" i="39"/>
  <c r="EG257" i="39"/>
  <c r="EF257" i="39"/>
  <c r="EE257" i="39"/>
  <c r="ED257" i="39"/>
  <c r="EC257" i="39"/>
  <c r="EB257" i="39"/>
  <c r="EA257" i="39"/>
  <c r="DZ257" i="39"/>
  <c r="DY257" i="39"/>
  <c r="DX257" i="39"/>
  <c r="DW257" i="39"/>
  <c r="FT256" i="39"/>
  <c r="FS256" i="39"/>
  <c r="FR256" i="39"/>
  <c r="FQ256" i="39"/>
  <c r="FP256" i="39"/>
  <c r="FO256" i="39"/>
  <c r="FN256" i="39"/>
  <c r="FM256" i="39"/>
  <c r="FL256" i="39"/>
  <c r="FK256" i="39"/>
  <c r="FJ256" i="39"/>
  <c r="FI256" i="39"/>
  <c r="FH256" i="39"/>
  <c r="FG256" i="39"/>
  <c r="FF256" i="39"/>
  <c r="FE256" i="39"/>
  <c r="FD256" i="39"/>
  <c r="FC256" i="39"/>
  <c r="FB256" i="39"/>
  <c r="FA256" i="39"/>
  <c r="EZ256" i="39"/>
  <c r="EY256" i="39"/>
  <c r="EX256" i="39"/>
  <c r="EW256" i="39"/>
  <c r="EV256" i="39"/>
  <c r="EU256" i="39"/>
  <c r="ES256" i="39"/>
  <c r="ER256" i="39"/>
  <c r="EQ256" i="39"/>
  <c r="EP256" i="39"/>
  <c r="EO256" i="39"/>
  <c r="EN256" i="39"/>
  <c r="EM256" i="39"/>
  <c r="EL256" i="39"/>
  <c r="EK256" i="39"/>
  <c r="EJ256" i="39"/>
  <c r="EI256" i="39"/>
  <c r="EH256" i="39"/>
  <c r="EG256" i="39"/>
  <c r="EF256" i="39"/>
  <c r="EE256" i="39"/>
  <c r="ED256" i="39"/>
  <c r="EC256" i="39"/>
  <c r="EB256" i="39"/>
  <c r="EA256" i="39"/>
  <c r="DZ256" i="39"/>
  <c r="DY256" i="39"/>
  <c r="DX256" i="39"/>
  <c r="DW256" i="39"/>
  <c r="FT255" i="39"/>
  <c r="FS255" i="39"/>
  <c r="FR255" i="39"/>
  <c r="FQ255" i="39"/>
  <c r="FP255" i="39"/>
  <c r="FO255" i="39"/>
  <c r="FN255" i="39"/>
  <c r="FM255" i="39"/>
  <c r="FL255" i="39"/>
  <c r="FK255" i="39"/>
  <c r="FJ255" i="39"/>
  <c r="FI255" i="39"/>
  <c r="FH255" i="39"/>
  <c r="FG255" i="39"/>
  <c r="FF255" i="39"/>
  <c r="FE255" i="39"/>
  <c r="FD255" i="39"/>
  <c r="FC255" i="39"/>
  <c r="FB255" i="39"/>
  <c r="FA255" i="39"/>
  <c r="EZ255" i="39"/>
  <c r="EY255" i="39"/>
  <c r="EX255" i="39"/>
  <c r="EW255" i="39"/>
  <c r="EV255" i="39"/>
  <c r="EU255" i="39"/>
  <c r="ES255" i="39"/>
  <c r="ER255" i="39"/>
  <c r="EQ255" i="39"/>
  <c r="EP255" i="39"/>
  <c r="EO255" i="39"/>
  <c r="EN255" i="39"/>
  <c r="EM255" i="39"/>
  <c r="EL255" i="39"/>
  <c r="EK255" i="39"/>
  <c r="EJ255" i="39"/>
  <c r="EI255" i="39"/>
  <c r="EH255" i="39"/>
  <c r="EG255" i="39"/>
  <c r="EF255" i="39"/>
  <c r="EE255" i="39"/>
  <c r="ED255" i="39"/>
  <c r="EC255" i="39"/>
  <c r="EB255" i="39"/>
  <c r="EA255" i="39"/>
  <c r="DZ255" i="39"/>
  <c r="DY255" i="39"/>
  <c r="DX255" i="39"/>
  <c r="DW255" i="39"/>
  <c r="FT254" i="39"/>
  <c r="FS254" i="39"/>
  <c r="FR254" i="39"/>
  <c r="FQ254" i="39"/>
  <c r="FP254" i="39"/>
  <c r="FO254" i="39"/>
  <c r="FN254" i="39"/>
  <c r="FM254" i="39"/>
  <c r="FL254" i="39"/>
  <c r="FK254" i="39"/>
  <c r="FJ254" i="39"/>
  <c r="FI254" i="39"/>
  <c r="FH254" i="39"/>
  <c r="FG254" i="39"/>
  <c r="FF254" i="39"/>
  <c r="FE254" i="39"/>
  <c r="FD254" i="39"/>
  <c r="FC254" i="39"/>
  <c r="FB254" i="39"/>
  <c r="FA254" i="39"/>
  <c r="EZ254" i="39"/>
  <c r="EY254" i="39"/>
  <c r="EX254" i="39"/>
  <c r="EW254" i="39"/>
  <c r="EV254" i="39"/>
  <c r="EU254" i="39"/>
  <c r="ES254" i="39"/>
  <c r="ER254" i="39"/>
  <c r="EQ254" i="39"/>
  <c r="EP254" i="39"/>
  <c r="EO254" i="39"/>
  <c r="EN254" i="39"/>
  <c r="EM254" i="39"/>
  <c r="EL254" i="39"/>
  <c r="EK254" i="39"/>
  <c r="EJ254" i="39"/>
  <c r="EI254" i="39"/>
  <c r="EH254" i="39"/>
  <c r="EG254" i="39"/>
  <c r="EF254" i="39"/>
  <c r="EE254" i="39"/>
  <c r="ED254" i="39"/>
  <c r="EC254" i="39"/>
  <c r="EB254" i="39"/>
  <c r="EA254" i="39"/>
  <c r="DZ254" i="39"/>
  <c r="DY254" i="39"/>
  <c r="DX254" i="39"/>
  <c r="DW254" i="39"/>
  <c r="FT253" i="39"/>
  <c r="FS253" i="39"/>
  <c r="FR253" i="39"/>
  <c r="FQ253" i="39"/>
  <c r="FP253" i="39"/>
  <c r="FO253" i="39"/>
  <c r="FN253" i="39"/>
  <c r="FM253" i="39"/>
  <c r="FL253" i="39"/>
  <c r="FK253" i="39"/>
  <c r="FJ253" i="39"/>
  <c r="FI253" i="39"/>
  <c r="FH253" i="39"/>
  <c r="FG253" i="39"/>
  <c r="FF253" i="39"/>
  <c r="FE253" i="39"/>
  <c r="FD253" i="39"/>
  <c r="FC253" i="39"/>
  <c r="FB253" i="39"/>
  <c r="FA253" i="39"/>
  <c r="EZ253" i="39"/>
  <c r="EY253" i="39"/>
  <c r="EX253" i="39"/>
  <c r="EW253" i="39"/>
  <c r="EV253" i="39"/>
  <c r="EU253" i="39"/>
  <c r="ES253" i="39"/>
  <c r="ER253" i="39"/>
  <c r="EQ253" i="39"/>
  <c r="EP253" i="39"/>
  <c r="EO253" i="39"/>
  <c r="EN253" i="39"/>
  <c r="EM253" i="39"/>
  <c r="EL253" i="39"/>
  <c r="EK253" i="39"/>
  <c r="EJ253" i="39"/>
  <c r="EI253" i="39"/>
  <c r="EH253" i="39"/>
  <c r="EG253" i="39"/>
  <c r="EF253" i="39"/>
  <c r="EE253" i="39"/>
  <c r="ED253" i="39"/>
  <c r="EC253" i="39"/>
  <c r="EB253" i="39"/>
  <c r="EA253" i="39"/>
  <c r="DZ253" i="39"/>
  <c r="DY253" i="39"/>
  <c r="DX253" i="39"/>
  <c r="DW253" i="39"/>
  <c r="FT252" i="39"/>
  <c r="FS252" i="39"/>
  <c r="FR252" i="39"/>
  <c r="FQ252" i="39"/>
  <c r="FP252" i="39"/>
  <c r="FO252" i="39"/>
  <c r="FN252" i="39"/>
  <c r="FM252" i="39"/>
  <c r="FL252" i="39"/>
  <c r="FK252" i="39"/>
  <c r="FJ252" i="39"/>
  <c r="FI252" i="39"/>
  <c r="FH252" i="39"/>
  <c r="FG252" i="39"/>
  <c r="FF252" i="39"/>
  <c r="FE252" i="39"/>
  <c r="FD252" i="39"/>
  <c r="FC252" i="39"/>
  <c r="FB252" i="39"/>
  <c r="FA252" i="39"/>
  <c r="EZ252" i="39"/>
  <c r="EY252" i="39"/>
  <c r="EX252" i="39"/>
  <c r="EW252" i="39"/>
  <c r="EV252" i="39"/>
  <c r="EU252" i="39"/>
  <c r="ES252" i="39"/>
  <c r="ER252" i="39"/>
  <c r="EQ252" i="39"/>
  <c r="EP252" i="39"/>
  <c r="EO252" i="39"/>
  <c r="EN252" i="39"/>
  <c r="EM252" i="39"/>
  <c r="EL252" i="39"/>
  <c r="EK252" i="39"/>
  <c r="EJ252" i="39"/>
  <c r="EI252" i="39"/>
  <c r="EH252" i="39"/>
  <c r="EG252" i="39"/>
  <c r="EF252" i="39"/>
  <c r="EE252" i="39"/>
  <c r="ED252" i="39"/>
  <c r="EC252" i="39"/>
  <c r="EB252" i="39"/>
  <c r="EA252" i="39"/>
  <c r="DZ252" i="39"/>
  <c r="DY252" i="39"/>
  <c r="DX252" i="39"/>
  <c r="DW252" i="39"/>
  <c r="FT251" i="39"/>
  <c r="FS251" i="39"/>
  <c r="FR251" i="39"/>
  <c r="FQ251" i="39"/>
  <c r="FP251" i="39"/>
  <c r="FO251" i="39"/>
  <c r="FN251" i="39"/>
  <c r="FM251" i="39"/>
  <c r="FL251" i="39"/>
  <c r="FK251" i="39"/>
  <c r="FJ251" i="39"/>
  <c r="FI251" i="39"/>
  <c r="FH251" i="39"/>
  <c r="FG251" i="39"/>
  <c r="FF251" i="39"/>
  <c r="FE251" i="39"/>
  <c r="FD251" i="39"/>
  <c r="FC251" i="39"/>
  <c r="FB251" i="39"/>
  <c r="FA251" i="39"/>
  <c r="EZ251" i="39"/>
  <c r="EY251" i="39"/>
  <c r="EX251" i="39"/>
  <c r="EW251" i="39"/>
  <c r="EV251" i="39"/>
  <c r="EU251" i="39"/>
  <c r="ES251" i="39"/>
  <c r="ER251" i="39"/>
  <c r="EQ251" i="39"/>
  <c r="EP251" i="39"/>
  <c r="EO251" i="39"/>
  <c r="EN251" i="39"/>
  <c r="EM251" i="39"/>
  <c r="EL251" i="39"/>
  <c r="EK251" i="39"/>
  <c r="EJ251" i="39"/>
  <c r="EI251" i="39"/>
  <c r="EH251" i="39"/>
  <c r="EG251" i="39"/>
  <c r="EF251" i="39"/>
  <c r="EE251" i="39"/>
  <c r="ED251" i="39"/>
  <c r="EC251" i="39"/>
  <c r="EB251" i="39"/>
  <c r="EA251" i="39"/>
  <c r="DZ251" i="39"/>
  <c r="DY251" i="39"/>
  <c r="DX251" i="39"/>
  <c r="DW251" i="39"/>
  <c r="FT250" i="39"/>
  <c r="FS250" i="39"/>
  <c r="FR250" i="39"/>
  <c r="FQ250" i="39"/>
  <c r="FP250" i="39"/>
  <c r="FO250" i="39"/>
  <c r="FN250" i="39"/>
  <c r="FM250" i="39"/>
  <c r="FL250" i="39"/>
  <c r="FK250" i="39"/>
  <c r="FJ250" i="39"/>
  <c r="FI250" i="39"/>
  <c r="FH250" i="39"/>
  <c r="FG250" i="39"/>
  <c r="FF250" i="39"/>
  <c r="FE250" i="39"/>
  <c r="FD250" i="39"/>
  <c r="FC250" i="39"/>
  <c r="FB250" i="39"/>
  <c r="FA250" i="39"/>
  <c r="EZ250" i="39"/>
  <c r="EY250" i="39"/>
  <c r="EX250" i="39"/>
  <c r="EW250" i="39"/>
  <c r="EV250" i="39"/>
  <c r="EU250" i="39"/>
  <c r="ES250" i="39"/>
  <c r="ER250" i="39"/>
  <c r="EQ250" i="39"/>
  <c r="EP250" i="39"/>
  <c r="EO250" i="39"/>
  <c r="EN250" i="39"/>
  <c r="EM250" i="39"/>
  <c r="EL250" i="39"/>
  <c r="EK250" i="39"/>
  <c r="EJ250" i="39"/>
  <c r="EI250" i="39"/>
  <c r="EH250" i="39"/>
  <c r="EG250" i="39"/>
  <c r="EF250" i="39"/>
  <c r="EE250" i="39"/>
  <c r="ED250" i="39"/>
  <c r="EC250" i="39"/>
  <c r="EB250" i="39"/>
  <c r="EA250" i="39"/>
  <c r="DZ250" i="39"/>
  <c r="DY250" i="39"/>
  <c r="DX250" i="39"/>
  <c r="DW250" i="39"/>
  <c r="FT249" i="39"/>
  <c r="FS249" i="39"/>
  <c r="FR249" i="39"/>
  <c r="FQ249" i="39"/>
  <c r="FP249" i="39"/>
  <c r="FO249" i="39"/>
  <c r="FN249" i="39"/>
  <c r="FM249" i="39"/>
  <c r="FL249" i="39"/>
  <c r="FK249" i="39"/>
  <c r="FJ249" i="39"/>
  <c r="FI249" i="39"/>
  <c r="FH249" i="39"/>
  <c r="FG249" i="39"/>
  <c r="FF249" i="39"/>
  <c r="FE249" i="39"/>
  <c r="FD249" i="39"/>
  <c r="FC249" i="39"/>
  <c r="FB249" i="39"/>
  <c r="FA249" i="39"/>
  <c r="EZ249" i="39"/>
  <c r="EY249" i="39"/>
  <c r="EX249" i="39"/>
  <c r="EW249" i="39"/>
  <c r="EV249" i="39"/>
  <c r="EU249" i="39"/>
  <c r="ES249" i="39"/>
  <c r="ER249" i="39"/>
  <c r="EQ249" i="39"/>
  <c r="EP249" i="39"/>
  <c r="EO249" i="39"/>
  <c r="EN249" i="39"/>
  <c r="EM249" i="39"/>
  <c r="EL249" i="39"/>
  <c r="EK249" i="39"/>
  <c r="EJ249" i="39"/>
  <c r="EI249" i="39"/>
  <c r="EH249" i="39"/>
  <c r="EG249" i="39"/>
  <c r="EF249" i="39"/>
  <c r="EE249" i="39"/>
  <c r="ED249" i="39"/>
  <c r="EC249" i="39"/>
  <c r="EB249" i="39"/>
  <c r="EA249" i="39"/>
  <c r="DZ249" i="39"/>
  <c r="DY249" i="39"/>
  <c r="DX249" i="39"/>
  <c r="DW249" i="39"/>
  <c r="FT248" i="39"/>
  <c r="FS248" i="39"/>
  <c r="FR248" i="39"/>
  <c r="FQ248" i="39"/>
  <c r="FP248" i="39"/>
  <c r="FO248" i="39"/>
  <c r="FN248" i="39"/>
  <c r="FM248" i="39"/>
  <c r="FL248" i="39"/>
  <c r="FK248" i="39"/>
  <c r="FJ248" i="39"/>
  <c r="FI248" i="39"/>
  <c r="FH248" i="39"/>
  <c r="FG248" i="39"/>
  <c r="FF248" i="39"/>
  <c r="FE248" i="39"/>
  <c r="FD248" i="39"/>
  <c r="FC248" i="39"/>
  <c r="FB248" i="39"/>
  <c r="FA248" i="39"/>
  <c r="EZ248" i="39"/>
  <c r="EY248" i="39"/>
  <c r="EX248" i="39"/>
  <c r="EW248" i="39"/>
  <c r="EV248" i="39"/>
  <c r="EU248" i="39"/>
  <c r="ES248" i="39"/>
  <c r="ER248" i="39"/>
  <c r="EQ248" i="39"/>
  <c r="EP248" i="39"/>
  <c r="EO248" i="39"/>
  <c r="EN248" i="39"/>
  <c r="EM248" i="39"/>
  <c r="EL248" i="39"/>
  <c r="EK248" i="39"/>
  <c r="EJ248" i="39"/>
  <c r="EI248" i="39"/>
  <c r="EH248" i="39"/>
  <c r="EG248" i="39"/>
  <c r="EF248" i="39"/>
  <c r="EE248" i="39"/>
  <c r="ED248" i="39"/>
  <c r="EC248" i="39"/>
  <c r="EB248" i="39"/>
  <c r="EA248" i="39"/>
  <c r="DZ248" i="39"/>
  <c r="DY248" i="39"/>
  <c r="DX248" i="39"/>
  <c r="DW248" i="39"/>
  <c r="FY247" i="39"/>
  <c r="FT247" i="39"/>
  <c r="FS247" i="39"/>
  <c r="FR247" i="39"/>
  <c r="FQ247" i="39"/>
  <c r="FP247" i="39"/>
  <c r="FO247" i="39"/>
  <c r="FN247" i="39"/>
  <c r="FM247" i="39"/>
  <c r="FL247" i="39"/>
  <c r="FK247" i="39"/>
  <c r="FJ247" i="39"/>
  <c r="FI247" i="39"/>
  <c r="FH247" i="39"/>
  <c r="FG247" i="39"/>
  <c r="FF247" i="39"/>
  <c r="FE247" i="39"/>
  <c r="FD247" i="39"/>
  <c r="FC247" i="39"/>
  <c r="FB247" i="39"/>
  <c r="FA247" i="39"/>
  <c r="EZ247" i="39"/>
  <c r="EY247" i="39"/>
  <c r="EX247" i="39"/>
  <c r="EW247" i="39"/>
  <c r="EV247" i="39"/>
  <c r="EU247" i="39"/>
  <c r="ES247" i="39"/>
  <c r="ER247" i="39"/>
  <c r="EQ247" i="39"/>
  <c r="EP247" i="39"/>
  <c r="EO247" i="39"/>
  <c r="EN247" i="39"/>
  <c r="EM247" i="39"/>
  <c r="EL247" i="39"/>
  <c r="EK247" i="39"/>
  <c r="EJ247" i="39"/>
  <c r="EI247" i="39"/>
  <c r="EH247" i="39"/>
  <c r="EG247" i="39"/>
  <c r="EF247" i="39"/>
  <c r="EE247" i="39"/>
  <c r="ED247" i="39"/>
  <c r="EC247" i="39"/>
  <c r="EB247" i="39"/>
  <c r="EA247" i="39"/>
  <c r="DZ247" i="39"/>
  <c r="DY247" i="39"/>
  <c r="DX247" i="39"/>
  <c r="DW247" i="39"/>
  <c r="FT246" i="39"/>
  <c r="FS246" i="39"/>
  <c r="FR246" i="39"/>
  <c r="FQ246" i="39"/>
  <c r="FP246" i="39"/>
  <c r="FO246" i="39"/>
  <c r="FN246" i="39"/>
  <c r="FM246" i="39"/>
  <c r="FL246" i="39"/>
  <c r="FK246" i="39"/>
  <c r="FJ246" i="39"/>
  <c r="FI246" i="39"/>
  <c r="FH246" i="39"/>
  <c r="FG246" i="39"/>
  <c r="FF246" i="39"/>
  <c r="FE246" i="39"/>
  <c r="FD246" i="39"/>
  <c r="FC246" i="39"/>
  <c r="FB246" i="39"/>
  <c r="FA246" i="39"/>
  <c r="EZ246" i="39"/>
  <c r="EY246" i="39"/>
  <c r="EX246" i="39"/>
  <c r="EW246" i="39"/>
  <c r="EV246" i="39"/>
  <c r="EU246" i="39"/>
  <c r="ES246" i="39"/>
  <c r="ER246" i="39"/>
  <c r="EQ246" i="39"/>
  <c r="EP246" i="39"/>
  <c r="EO246" i="39"/>
  <c r="EN246" i="39"/>
  <c r="EM246" i="39"/>
  <c r="EL246" i="39"/>
  <c r="EK246" i="39"/>
  <c r="EJ246" i="39"/>
  <c r="EI246" i="39"/>
  <c r="EH246" i="39"/>
  <c r="EG246" i="39"/>
  <c r="EF246" i="39"/>
  <c r="EE246" i="39"/>
  <c r="ED246" i="39"/>
  <c r="EC246" i="39"/>
  <c r="EB246" i="39"/>
  <c r="EA246" i="39"/>
  <c r="DZ246" i="39"/>
  <c r="DY246" i="39"/>
  <c r="DX246" i="39"/>
  <c r="DW246" i="39"/>
  <c r="FT245" i="39"/>
  <c r="FS245" i="39"/>
  <c r="FR245" i="39"/>
  <c r="FQ245" i="39"/>
  <c r="FP245" i="39"/>
  <c r="FO245" i="39"/>
  <c r="FN245" i="39"/>
  <c r="FM245" i="39"/>
  <c r="FL245" i="39"/>
  <c r="FK245" i="39"/>
  <c r="FJ245" i="39"/>
  <c r="FI245" i="39"/>
  <c r="FH245" i="39"/>
  <c r="FG245" i="39"/>
  <c r="FF245" i="39"/>
  <c r="FE245" i="39"/>
  <c r="FD245" i="39"/>
  <c r="FC245" i="39"/>
  <c r="FB245" i="39"/>
  <c r="FA245" i="39"/>
  <c r="EZ245" i="39"/>
  <c r="EY245" i="39"/>
  <c r="EX245" i="39"/>
  <c r="EW245" i="39"/>
  <c r="EV245" i="39"/>
  <c r="EU245" i="39"/>
  <c r="ES245" i="39"/>
  <c r="ER245" i="39"/>
  <c r="EQ245" i="39"/>
  <c r="EP245" i="39"/>
  <c r="EO245" i="39"/>
  <c r="EN245" i="39"/>
  <c r="EM245" i="39"/>
  <c r="EL245" i="39"/>
  <c r="EK245" i="39"/>
  <c r="EJ245" i="39"/>
  <c r="EI245" i="39"/>
  <c r="EH245" i="39"/>
  <c r="EG245" i="39"/>
  <c r="EF245" i="39"/>
  <c r="EE245" i="39"/>
  <c r="ED245" i="39"/>
  <c r="EC245" i="39"/>
  <c r="EB245" i="39"/>
  <c r="EA245" i="39"/>
  <c r="DZ245" i="39"/>
  <c r="DY245" i="39"/>
  <c r="DX245" i="39"/>
  <c r="DW245" i="39"/>
  <c r="FT244" i="39"/>
  <c r="FS244" i="39"/>
  <c r="FR244" i="39"/>
  <c r="FQ244" i="39"/>
  <c r="FP244" i="39"/>
  <c r="FO244" i="39"/>
  <c r="FN244" i="39"/>
  <c r="FM244" i="39"/>
  <c r="FL244" i="39"/>
  <c r="FK244" i="39"/>
  <c r="FJ244" i="39"/>
  <c r="FI244" i="39"/>
  <c r="FH244" i="39"/>
  <c r="FG244" i="39"/>
  <c r="FF244" i="39"/>
  <c r="FE244" i="39"/>
  <c r="FD244" i="39"/>
  <c r="FC244" i="39"/>
  <c r="FB244" i="39"/>
  <c r="FA244" i="39"/>
  <c r="EZ244" i="39"/>
  <c r="EY244" i="39"/>
  <c r="EX244" i="39"/>
  <c r="EW244" i="39"/>
  <c r="EV244" i="39"/>
  <c r="EU244" i="39"/>
  <c r="ES244" i="39"/>
  <c r="ER244" i="39"/>
  <c r="EQ244" i="39"/>
  <c r="EP244" i="39"/>
  <c r="EO244" i="39"/>
  <c r="EN244" i="39"/>
  <c r="EM244" i="39"/>
  <c r="EL244" i="39"/>
  <c r="EK244" i="39"/>
  <c r="EJ244" i="39"/>
  <c r="EI244" i="39"/>
  <c r="EH244" i="39"/>
  <c r="EG244" i="39"/>
  <c r="EF244" i="39"/>
  <c r="EE244" i="39"/>
  <c r="ED244" i="39"/>
  <c r="EC244" i="39"/>
  <c r="EB244" i="39"/>
  <c r="EA244" i="39"/>
  <c r="DZ244" i="39"/>
  <c r="DY244" i="39"/>
  <c r="DX244" i="39"/>
  <c r="DW244" i="39"/>
  <c r="FT243" i="39"/>
  <c r="FS243" i="39"/>
  <c r="FR243" i="39"/>
  <c r="FQ243" i="39"/>
  <c r="FP243" i="39"/>
  <c r="FO243" i="39"/>
  <c r="FN243" i="39"/>
  <c r="FM243" i="39"/>
  <c r="FL243" i="39"/>
  <c r="FK243" i="39"/>
  <c r="FJ243" i="39"/>
  <c r="FI243" i="39"/>
  <c r="FH243" i="39"/>
  <c r="FG243" i="39"/>
  <c r="FF243" i="39"/>
  <c r="FE243" i="39"/>
  <c r="FD243" i="39"/>
  <c r="FC243" i="39"/>
  <c r="FB243" i="39"/>
  <c r="FA243" i="39"/>
  <c r="EZ243" i="39"/>
  <c r="EY243" i="39"/>
  <c r="EX243" i="39"/>
  <c r="EW243" i="39"/>
  <c r="EV243" i="39"/>
  <c r="EU243" i="39"/>
  <c r="ES243" i="39"/>
  <c r="ER243" i="39"/>
  <c r="EQ243" i="39"/>
  <c r="EP243" i="39"/>
  <c r="EO243" i="39"/>
  <c r="EN243" i="39"/>
  <c r="EM243" i="39"/>
  <c r="EL243" i="39"/>
  <c r="EK243" i="39"/>
  <c r="EJ243" i="39"/>
  <c r="EI243" i="39"/>
  <c r="EH243" i="39"/>
  <c r="EG243" i="39"/>
  <c r="EF243" i="39"/>
  <c r="EE243" i="39"/>
  <c r="ED243" i="39"/>
  <c r="EC243" i="39"/>
  <c r="EB243" i="39"/>
  <c r="EA243" i="39"/>
  <c r="DZ243" i="39"/>
  <c r="DY243" i="39"/>
  <c r="DX243" i="39"/>
  <c r="DW243" i="39"/>
  <c r="FT242" i="39"/>
  <c r="FS242" i="39"/>
  <c r="FR242" i="39"/>
  <c r="FQ242" i="39"/>
  <c r="FP242" i="39"/>
  <c r="FO242" i="39"/>
  <c r="FN242" i="39"/>
  <c r="FM242" i="39"/>
  <c r="FL242" i="39"/>
  <c r="FK242" i="39"/>
  <c r="FJ242" i="39"/>
  <c r="FI242" i="39"/>
  <c r="FH242" i="39"/>
  <c r="FG242" i="39"/>
  <c r="FF242" i="39"/>
  <c r="FE242" i="39"/>
  <c r="FD242" i="39"/>
  <c r="FC242" i="39"/>
  <c r="FB242" i="39"/>
  <c r="FA242" i="39"/>
  <c r="EZ242" i="39"/>
  <c r="EY242" i="39"/>
  <c r="EX242" i="39"/>
  <c r="EW242" i="39"/>
  <c r="EV242" i="39"/>
  <c r="EU242" i="39"/>
  <c r="ES242" i="39"/>
  <c r="ER242" i="39"/>
  <c r="EQ242" i="39"/>
  <c r="EP242" i="39"/>
  <c r="EO242" i="39"/>
  <c r="EN242" i="39"/>
  <c r="EM242" i="39"/>
  <c r="EL242" i="39"/>
  <c r="EK242" i="39"/>
  <c r="EJ242" i="39"/>
  <c r="EI242" i="39"/>
  <c r="EH242" i="39"/>
  <c r="EG242" i="39"/>
  <c r="EF242" i="39"/>
  <c r="EE242" i="39"/>
  <c r="ED242" i="39"/>
  <c r="EC242" i="39"/>
  <c r="EB242" i="39"/>
  <c r="EA242" i="39"/>
  <c r="DZ242" i="39"/>
  <c r="DY242" i="39"/>
  <c r="DX242" i="39"/>
  <c r="DW242" i="39"/>
  <c r="FT241" i="39"/>
  <c r="FS241" i="39"/>
  <c r="FR241" i="39"/>
  <c r="FQ241" i="39"/>
  <c r="FP241" i="39"/>
  <c r="FO241" i="39"/>
  <c r="FN241" i="39"/>
  <c r="FM241" i="39"/>
  <c r="FL241" i="39"/>
  <c r="FK241" i="39"/>
  <c r="FJ241" i="39"/>
  <c r="FI241" i="39"/>
  <c r="FH241" i="39"/>
  <c r="FG241" i="39"/>
  <c r="FF241" i="39"/>
  <c r="FE241" i="39"/>
  <c r="FD241" i="39"/>
  <c r="FC241" i="39"/>
  <c r="FB241" i="39"/>
  <c r="FA241" i="39"/>
  <c r="EZ241" i="39"/>
  <c r="EY241" i="39"/>
  <c r="EX241" i="39"/>
  <c r="EW241" i="39"/>
  <c r="EV241" i="39"/>
  <c r="EU241" i="39"/>
  <c r="ES241" i="39"/>
  <c r="ER241" i="39"/>
  <c r="EQ241" i="39"/>
  <c r="EP241" i="39"/>
  <c r="EO241" i="39"/>
  <c r="EN241" i="39"/>
  <c r="EM241" i="39"/>
  <c r="EL241" i="39"/>
  <c r="EK241" i="39"/>
  <c r="EJ241" i="39"/>
  <c r="EI241" i="39"/>
  <c r="EH241" i="39"/>
  <c r="EG241" i="39"/>
  <c r="EF241" i="39"/>
  <c r="EE241" i="39"/>
  <c r="ED241" i="39"/>
  <c r="EC241" i="39"/>
  <c r="EB241" i="39"/>
  <c r="EA241" i="39"/>
  <c r="DZ241" i="39"/>
  <c r="DY241" i="39"/>
  <c r="DX241" i="39"/>
  <c r="DW241" i="39"/>
  <c r="FT240" i="39"/>
  <c r="FS240" i="39"/>
  <c r="FR240" i="39"/>
  <c r="FQ240" i="39"/>
  <c r="FP240" i="39"/>
  <c r="FO240" i="39"/>
  <c r="FN240" i="39"/>
  <c r="FM240" i="39"/>
  <c r="FL240" i="39"/>
  <c r="FK240" i="39"/>
  <c r="FJ240" i="39"/>
  <c r="FI240" i="39"/>
  <c r="FH240" i="39"/>
  <c r="FG240" i="39"/>
  <c r="FF240" i="39"/>
  <c r="FE240" i="39"/>
  <c r="FD240" i="39"/>
  <c r="FC240" i="39"/>
  <c r="FB240" i="39"/>
  <c r="FA240" i="39"/>
  <c r="EZ240" i="39"/>
  <c r="EY240" i="39"/>
  <c r="EX240" i="39"/>
  <c r="EW240" i="39"/>
  <c r="EV240" i="39"/>
  <c r="EU240" i="39"/>
  <c r="ES240" i="39"/>
  <c r="ER240" i="39"/>
  <c r="EQ240" i="39"/>
  <c r="EP240" i="39"/>
  <c r="EO240" i="39"/>
  <c r="EN240" i="39"/>
  <c r="EM240" i="39"/>
  <c r="EL240" i="39"/>
  <c r="EK240" i="39"/>
  <c r="EJ240" i="39"/>
  <c r="EI240" i="39"/>
  <c r="EH240" i="39"/>
  <c r="EG240" i="39"/>
  <c r="EF240" i="39"/>
  <c r="EE240" i="39"/>
  <c r="ED240" i="39"/>
  <c r="EC240" i="39"/>
  <c r="EB240" i="39"/>
  <c r="EA240" i="39"/>
  <c r="DZ240" i="39"/>
  <c r="DY240" i="39"/>
  <c r="DX240" i="39"/>
  <c r="DW240" i="39"/>
  <c r="FT239" i="39"/>
  <c r="FS239" i="39"/>
  <c r="FR239" i="39"/>
  <c r="FQ239" i="39"/>
  <c r="FP239" i="39"/>
  <c r="FO239" i="39"/>
  <c r="FN239" i="39"/>
  <c r="FM239" i="39"/>
  <c r="FL239" i="39"/>
  <c r="FK239" i="39"/>
  <c r="FJ239" i="39"/>
  <c r="FI239" i="39"/>
  <c r="FH239" i="39"/>
  <c r="FG239" i="39"/>
  <c r="FF239" i="39"/>
  <c r="FE239" i="39"/>
  <c r="FD239" i="39"/>
  <c r="FC239" i="39"/>
  <c r="FB239" i="39"/>
  <c r="FA239" i="39"/>
  <c r="EZ239" i="39"/>
  <c r="EY239" i="39"/>
  <c r="EX239" i="39"/>
  <c r="EW239" i="39"/>
  <c r="EV239" i="39"/>
  <c r="EU239" i="39"/>
  <c r="ES239" i="39"/>
  <c r="ER239" i="39"/>
  <c r="EQ239" i="39"/>
  <c r="EP239" i="39"/>
  <c r="EO239" i="39"/>
  <c r="EN239" i="39"/>
  <c r="EM239" i="39"/>
  <c r="EL239" i="39"/>
  <c r="EK239" i="39"/>
  <c r="EJ239" i="39"/>
  <c r="EI239" i="39"/>
  <c r="EH239" i="39"/>
  <c r="EG239" i="39"/>
  <c r="EF239" i="39"/>
  <c r="EE239" i="39"/>
  <c r="ED239" i="39"/>
  <c r="EC239" i="39"/>
  <c r="EB239" i="39"/>
  <c r="EA239" i="39"/>
  <c r="DZ239" i="39"/>
  <c r="DY239" i="39"/>
  <c r="DX239" i="39"/>
  <c r="DW239" i="39"/>
  <c r="FT238" i="39"/>
  <c r="FS238" i="39"/>
  <c r="FR238" i="39"/>
  <c r="FQ238" i="39"/>
  <c r="FP238" i="39"/>
  <c r="FO238" i="39"/>
  <c r="FN238" i="39"/>
  <c r="FM238" i="39"/>
  <c r="FL238" i="39"/>
  <c r="FK238" i="39"/>
  <c r="FJ238" i="39"/>
  <c r="FI238" i="39"/>
  <c r="FH238" i="39"/>
  <c r="FG238" i="39"/>
  <c r="FF238" i="39"/>
  <c r="FE238" i="39"/>
  <c r="FD238" i="39"/>
  <c r="FC238" i="39"/>
  <c r="FB238" i="39"/>
  <c r="FA238" i="39"/>
  <c r="EZ238" i="39"/>
  <c r="EY238" i="39"/>
  <c r="EX238" i="39"/>
  <c r="EW238" i="39"/>
  <c r="EV238" i="39"/>
  <c r="EU238" i="39"/>
  <c r="ES238" i="39"/>
  <c r="ER238" i="39"/>
  <c r="EQ238" i="39"/>
  <c r="EP238" i="39"/>
  <c r="EO238" i="39"/>
  <c r="EN238" i="39"/>
  <c r="EM238" i="39"/>
  <c r="EL238" i="39"/>
  <c r="EK238" i="39"/>
  <c r="EJ238" i="39"/>
  <c r="EI238" i="39"/>
  <c r="EH238" i="39"/>
  <c r="EG238" i="39"/>
  <c r="EF238" i="39"/>
  <c r="EE238" i="39"/>
  <c r="ED238" i="39"/>
  <c r="EC238" i="39"/>
  <c r="EB238" i="39"/>
  <c r="EA238" i="39"/>
  <c r="DZ238" i="39"/>
  <c r="DY238" i="39"/>
  <c r="DX238" i="39"/>
  <c r="DW238" i="39"/>
  <c r="FY237" i="39"/>
  <c r="FT237" i="39"/>
  <c r="FS237" i="39"/>
  <c r="FR237" i="39"/>
  <c r="FQ237" i="39"/>
  <c r="FP237" i="39"/>
  <c r="FO237" i="39"/>
  <c r="FN237" i="39"/>
  <c r="FM237" i="39"/>
  <c r="FL237" i="39"/>
  <c r="FK237" i="39"/>
  <c r="FJ237" i="39"/>
  <c r="FI237" i="39"/>
  <c r="FH237" i="39"/>
  <c r="FG237" i="39"/>
  <c r="FF237" i="39"/>
  <c r="FE237" i="39"/>
  <c r="FD237" i="39"/>
  <c r="FC237" i="39"/>
  <c r="FB237" i="39"/>
  <c r="FA237" i="39"/>
  <c r="EZ237" i="39"/>
  <c r="EY237" i="39"/>
  <c r="EX237" i="39"/>
  <c r="EW237" i="39"/>
  <c r="EV237" i="39"/>
  <c r="EU237" i="39"/>
  <c r="ES237" i="39"/>
  <c r="ER237" i="39"/>
  <c r="EQ237" i="39"/>
  <c r="EP237" i="39"/>
  <c r="EO237" i="39"/>
  <c r="EN237" i="39"/>
  <c r="EM237" i="39"/>
  <c r="EL237" i="39"/>
  <c r="EK237" i="39"/>
  <c r="EJ237" i="39"/>
  <c r="EI237" i="39"/>
  <c r="EH237" i="39"/>
  <c r="EG237" i="39"/>
  <c r="EF237" i="39"/>
  <c r="EE237" i="39"/>
  <c r="ED237" i="39"/>
  <c r="EC237" i="39"/>
  <c r="EB237" i="39"/>
  <c r="EA237" i="39"/>
  <c r="DZ237" i="39"/>
  <c r="DY237" i="39"/>
  <c r="DX237" i="39"/>
  <c r="DW237" i="39"/>
  <c r="FT236" i="39"/>
  <c r="FS236" i="39"/>
  <c r="FR236" i="39"/>
  <c r="FQ236" i="39"/>
  <c r="FP236" i="39"/>
  <c r="FO236" i="39"/>
  <c r="FN236" i="39"/>
  <c r="FM236" i="39"/>
  <c r="FL236" i="39"/>
  <c r="FK236" i="39"/>
  <c r="FJ236" i="39"/>
  <c r="FI236" i="39"/>
  <c r="FH236" i="39"/>
  <c r="FG236" i="39"/>
  <c r="FF236" i="39"/>
  <c r="FE236" i="39"/>
  <c r="FD236" i="39"/>
  <c r="FC236" i="39"/>
  <c r="FB236" i="39"/>
  <c r="FA236" i="39"/>
  <c r="EZ236" i="39"/>
  <c r="EY236" i="39"/>
  <c r="EX236" i="39"/>
  <c r="EW236" i="39"/>
  <c r="EV236" i="39"/>
  <c r="EU236" i="39"/>
  <c r="ES236" i="39"/>
  <c r="ER236" i="39"/>
  <c r="EQ236" i="39"/>
  <c r="EP236" i="39"/>
  <c r="EO236" i="39"/>
  <c r="EN236" i="39"/>
  <c r="EM236" i="39"/>
  <c r="EL236" i="39"/>
  <c r="EK236" i="39"/>
  <c r="EJ236" i="39"/>
  <c r="EI236" i="39"/>
  <c r="EH236" i="39"/>
  <c r="EG236" i="39"/>
  <c r="EF236" i="39"/>
  <c r="EE236" i="39"/>
  <c r="ED236" i="39"/>
  <c r="EC236" i="39"/>
  <c r="EB236" i="39"/>
  <c r="EA236" i="39"/>
  <c r="DZ236" i="39"/>
  <c r="DY236" i="39"/>
  <c r="DX236" i="39"/>
  <c r="DW236" i="39"/>
  <c r="FT235" i="39"/>
  <c r="FS235" i="39"/>
  <c r="FR235" i="39"/>
  <c r="FQ235" i="39"/>
  <c r="FP235" i="39"/>
  <c r="FO235" i="39"/>
  <c r="FN235" i="39"/>
  <c r="FM235" i="39"/>
  <c r="FL235" i="39"/>
  <c r="FK235" i="39"/>
  <c r="FJ235" i="39"/>
  <c r="FI235" i="39"/>
  <c r="FH235" i="39"/>
  <c r="FG235" i="39"/>
  <c r="FF235" i="39"/>
  <c r="FE235" i="39"/>
  <c r="FD235" i="39"/>
  <c r="FC235" i="39"/>
  <c r="FB235" i="39"/>
  <c r="FA235" i="39"/>
  <c r="EZ235" i="39"/>
  <c r="EY235" i="39"/>
  <c r="EX235" i="39"/>
  <c r="EW235" i="39"/>
  <c r="EV235" i="39"/>
  <c r="EU235" i="39"/>
  <c r="ES235" i="39"/>
  <c r="ER235" i="39"/>
  <c r="EQ235" i="39"/>
  <c r="EP235" i="39"/>
  <c r="EO235" i="39"/>
  <c r="EN235" i="39"/>
  <c r="EM235" i="39"/>
  <c r="EL235" i="39"/>
  <c r="EK235" i="39"/>
  <c r="EJ235" i="39"/>
  <c r="EI235" i="39"/>
  <c r="EH235" i="39"/>
  <c r="EG235" i="39"/>
  <c r="EF235" i="39"/>
  <c r="EE235" i="39"/>
  <c r="ED235" i="39"/>
  <c r="EC235" i="39"/>
  <c r="EB235" i="39"/>
  <c r="EA235" i="39"/>
  <c r="DZ235" i="39"/>
  <c r="DY235" i="39"/>
  <c r="DX235" i="39"/>
  <c r="DW235" i="39"/>
  <c r="FT234" i="39"/>
  <c r="FS234" i="39"/>
  <c r="FR234" i="39"/>
  <c r="FQ234" i="39"/>
  <c r="FP234" i="39"/>
  <c r="FO234" i="39"/>
  <c r="FN234" i="39"/>
  <c r="FM234" i="39"/>
  <c r="FL234" i="39"/>
  <c r="FK234" i="39"/>
  <c r="FJ234" i="39"/>
  <c r="FI234" i="39"/>
  <c r="FH234" i="39"/>
  <c r="FG234" i="39"/>
  <c r="FF234" i="39"/>
  <c r="FE234" i="39"/>
  <c r="FD234" i="39"/>
  <c r="FC234" i="39"/>
  <c r="FB234" i="39"/>
  <c r="FA234" i="39"/>
  <c r="EZ234" i="39"/>
  <c r="EY234" i="39"/>
  <c r="EX234" i="39"/>
  <c r="EW234" i="39"/>
  <c r="EV234" i="39"/>
  <c r="EU234" i="39"/>
  <c r="ES234" i="39"/>
  <c r="ER234" i="39"/>
  <c r="EQ234" i="39"/>
  <c r="EP234" i="39"/>
  <c r="EO234" i="39"/>
  <c r="EN234" i="39"/>
  <c r="EM234" i="39"/>
  <c r="EL234" i="39"/>
  <c r="EK234" i="39"/>
  <c r="EJ234" i="39"/>
  <c r="EI234" i="39"/>
  <c r="EH234" i="39"/>
  <c r="EG234" i="39"/>
  <c r="EF234" i="39"/>
  <c r="EE234" i="39"/>
  <c r="ED234" i="39"/>
  <c r="EC234" i="39"/>
  <c r="EB234" i="39"/>
  <c r="EA234" i="39"/>
  <c r="DZ234" i="39"/>
  <c r="DY234" i="39"/>
  <c r="DX234" i="39"/>
  <c r="DW234" i="39"/>
  <c r="FT233" i="39"/>
  <c r="FS233" i="39"/>
  <c r="FR233" i="39"/>
  <c r="FQ233" i="39"/>
  <c r="FP233" i="39"/>
  <c r="FO233" i="39"/>
  <c r="FN233" i="39"/>
  <c r="FM233" i="39"/>
  <c r="FL233" i="39"/>
  <c r="FK233" i="39"/>
  <c r="FJ233" i="39"/>
  <c r="FI233" i="39"/>
  <c r="FH233" i="39"/>
  <c r="FG233" i="39"/>
  <c r="FF233" i="39"/>
  <c r="FE233" i="39"/>
  <c r="FD233" i="39"/>
  <c r="FC233" i="39"/>
  <c r="FB233" i="39"/>
  <c r="FA233" i="39"/>
  <c r="EZ233" i="39"/>
  <c r="EY233" i="39"/>
  <c r="EX233" i="39"/>
  <c r="EW233" i="39"/>
  <c r="EV233" i="39"/>
  <c r="EU233" i="39"/>
  <c r="ES233" i="39"/>
  <c r="ER233" i="39"/>
  <c r="EQ233" i="39"/>
  <c r="EP233" i="39"/>
  <c r="EO233" i="39"/>
  <c r="EN233" i="39"/>
  <c r="EM233" i="39"/>
  <c r="EL233" i="39"/>
  <c r="EK233" i="39"/>
  <c r="EJ233" i="39"/>
  <c r="EI233" i="39"/>
  <c r="EH233" i="39"/>
  <c r="EG233" i="39"/>
  <c r="EF233" i="39"/>
  <c r="EE233" i="39"/>
  <c r="ED233" i="39"/>
  <c r="EC233" i="39"/>
  <c r="EB233" i="39"/>
  <c r="EA233" i="39"/>
  <c r="DZ233" i="39"/>
  <c r="DY233" i="39"/>
  <c r="DX233" i="39"/>
  <c r="DW233" i="39"/>
  <c r="FT232" i="39"/>
  <c r="FS232" i="39"/>
  <c r="FR232" i="39"/>
  <c r="FQ232" i="39"/>
  <c r="FP232" i="39"/>
  <c r="FO232" i="39"/>
  <c r="FN232" i="39"/>
  <c r="FM232" i="39"/>
  <c r="FL232" i="39"/>
  <c r="FK232" i="39"/>
  <c r="FJ232" i="39"/>
  <c r="FI232" i="39"/>
  <c r="FH232" i="39"/>
  <c r="FG232" i="39"/>
  <c r="FF232" i="39"/>
  <c r="FE232" i="39"/>
  <c r="FD232" i="39"/>
  <c r="FC232" i="39"/>
  <c r="FB232" i="39"/>
  <c r="FA232" i="39"/>
  <c r="EZ232" i="39"/>
  <c r="EY232" i="39"/>
  <c r="EX232" i="39"/>
  <c r="EW232" i="39"/>
  <c r="EV232" i="39"/>
  <c r="EU232" i="39"/>
  <c r="ES232" i="39"/>
  <c r="ER232" i="39"/>
  <c r="EQ232" i="39"/>
  <c r="EP232" i="39"/>
  <c r="EO232" i="39"/>
  <c r="EN232" i="39"/>
  <c r="EM232" i="39"/>
  <c r="EL232" i="39"/>
  <c r="EK232" i="39"/>
  <c r="EJ232" i="39"/>
  <c r="EI232" i="39"/>
  <c r="EH232" i="39"/>
  <c r="EG232" i="39"/>
  <c r="EF232" i="39"/>
  <c r="EE232" i="39"/>
  <c r="ED232" i="39"/>
  <c r="EC232" i="39"/>
  <c r="EB232" i="39"/>
  <c r="EA232" i="39"/>
  <c r="DZ232" i="39"/>
  <c r="DY232" i="39"/>
  <c r="DX232" i="39"/>
  <c r="DW232" i="39"/>
  <c r="FT231" i="39"/>
  <c r="FS231" i="39"/>
  <c r="FR231" i="39"/>
  <c r="FQ231" i="39"/>
  <c r="FP231" i="39"/>
  <c r="FO231" i="39"/>
  <c r="FN231" i="39"/>
  <c r="FM231" i="39"/>
  <c r="FL231" i="39"/>
  <c r="FK231" i="39"/>
  <c r="FJ231" i="39"/>
  <c r="FI231" i="39"/>
  <c r="FH231" i="39"/>
  <c r="FG231" i="39"/>
  <c r="FF231" i="39"/>
  <c r="FE231" i="39"/>
  <c r="FD231" i="39"/>
  <c r="FC231" i="39"/>
  <c r="FB231" i="39"/>
  <c r="FA231" i="39"/>
  <c r="EZ231" i="39"/>
  <c r="EY231" i="39"/>
  <c r="EX231" i="39"/>
  <c r="EW231" i="39"/>
  <c r="EV231" i="39"/>
  <c r="EU231" i="39"/>
  <c r="ES231" i="39"/>
  <c r="ER231" i="39"/>
  <c r="EQ231" i="39"/>
  <c r="EP231" i="39"/>
  <c r="EO231" i="39"/>
  <c r="EN231" i="39"/>
  <c r="EM231" i="39"/>
  <c r="EL231" i="39"/>
  <c r="EK231" i="39"/>
  <c r="EJ231" i="39"/>
  <c r="EI231" i="39"/>
  <c r="EH231" i="39"/>
  <c r="EG231" i="39"/>
  <c r="EF231" i="39"/>
  <c r="EE231" i="39"/>
  <c r="ED231" i="39"/>
  <c r="EC231" i="39"/>
  <c r="EB231" i="39"/>
  <c r="EA231" i="39"/>
  <c r="DZ231" i="39"/>
  <c r="DY231" i="39"/>
  <c r="DX231" i="39"/>
  <c r="DW231" i="39"/>
  <c r="FT230" i="39"/>
  <c r="FS230" i="39"/>
  <c r="FR230" i="39"/>
  <c r="FQ230" i="39"/>
  <c r="FP230" i="39"/>
  <c r="FO230" i="39"/>
  <c r="FN230" i="39"/>
  <c r="FM230" i="39"/>
  <c r="FL230" i="39"/>
  <c r="FK230" i="39"/>
  <c r="FJ230" i="39"/>
  <c r="FI230" i="39"/>
  <c r="FH230" i="39"/>
  <c r="FG230" i="39"/>
  <c r="FF230" i="39"/>
  <c r="FE230" i="39"/>
  <c r="FD230" i="39"/>
  <c r="FC230" i="39"/>
  <c r="FB230" i="39"/>
  <c r="FA230" i="39"/>
  <c r="EZ230" i="39"/>
  <c r="EY230" i="39"/>
  <c r="EX230" i="39"/>
  <c r="EW230" i="39"/>
  <c r="EV230" i="39"/>
  <c r="EU230" i="39"/>
  <c r="ES230" i="39"/>
  <c r="ER230" i="39"/>
  <c r="EQ230" i="39"/>
  <c r="EP230" i="39"/>
  <c r="EO230" i="39"/>
  <c r="EN230" i="39"/>
  <c r="EM230" i="39"/>
  <c r="EL230" i="39"/>
  <c r="EK230" i="39"/>
  <c r="EJ230" i="39"/>
  <c r="EI230" i="39"/>
  <c r="EH230" i="39"/>
  <c r="EG230" i="39"/>
  <c r="EF230" i="39"/>
  <c r="EE230" i="39"/>
  <c r="ED230" i="39"/>
  <c r="EC230" i="39"/>
  <c r="EB230" i="39"/>
  <c r="EA230" i="39"/>
  <c r="DZ230" i="39"/>
  <c r="DY230" i="39"/>
  <c r="DX230" i="39"/>
  <c r="DW230" i="39"/>
  <c r="FT229" i="39"/>
  <c r="FS229" i="39"/>
  <c r="FR229" i="39"/>
  <c r="FQ229" i="39"/>
  <c r="FP229" i="39"/>
  <c r="FO229" i="39"/>
  <c r="FN229" i="39"/>
  <c r="FM229" i="39"/>
  <c r="FL229" i="39"/>
  <c r="FK229" i="39"/>
  <c r="FJ229" i="39"/>
  <c r="FI229" i="39"/>
  <c r="FH229" i="39"/>
  <c r="FG229" i="39"/>
  <c r="FF229" i="39"/>
  <c r="FE229" i="39"/>
  <c r="FD229" i="39"/>
  <c r="FC229" i="39"/>
  <c r="FB229" i="39"/>
  <c r="FA229" i="39"/>
  <c r="EZ229" i="39"/>
  <c r="EY229" i="39"/>
  <c r="EX229" i="39"/>
  <c r="EW229" i="39"/>
  <c r="EV229" i="39"/>
  <c r="EU229" i="39"/>
  <c r="ES229" i="39"/>
  <c r="ER229" i="39"/>
  <c r="EQ229" i="39"/>
  <c r="EP229" i="39"/>
  <c r="EO229" i="39"/>
  <c r="EN229" i="39"/>
  <c r="EM229" i="39"/>
  <c r="EL229" i="39"/>
  <c r="EK229" i="39"/>
  <c r="EJ229" i="39"/>
  <c r="EI229" i="39"/>
  <c r="EH229" i="39"/>
  <c r="EG229" i="39"/>
  <c r="EF229" i="39"/>
  <c r="EE229" i="39"/>
  <c r="ED229" i="39"/>
  <c r="EC229" i="39"/>
  <c r="EB229" i="39"/>
  <c r="EA229" i="39"/>
  <c r="DZ229" i="39"/>
  <c r="DY229" i="39"/>
  <c r="DX229" i="39"/>
  <c r="DW229" i="39"/>
  <c r="FT228" i="39"/>
  <c r="FS228" i="39"/>
  <c r="FR228" i="39"/>
  <c r="FQ228" i="39"/>
  <c r="FP228" i="39"/>
  <c r="FO228" i="39"/>
  <c r="FN228" i="39"/>
  <c r="FM228" i="39"/>
  <c r="FL228" i="39"/>
  <c r="FK228" i="39"/>
  <c r="FJ228" i="39"/>
  <c r="FI228" i="39"/>
  <c r="FH228" i="39"/>
  <c r="FG228" i="39"/>
  <c r="FF228" i="39"/>
  <c r="FE228" i="39"/>
  <c r="FD228" i="39"/>
  <c r="FC228" i="39"/>
  <c r="FB228" i="39"/>
  <c r="FA228" i="39"/>
  <c r="EZ228" i="39"/>
  <c r="EY228" i="39"/>
  <c r="EX228" i="39"/>
  <c r="EW228" i="39"/>
  <c r="EV228" i="39"/>
  <c r="EU228" i="39"/>
  <c r="ES228" i="39"/>
  <c r="ER228" i="39"/>
  <c r="EQ228" i="39"/>
  <c r="EP228" i="39"/>
  <c r="EO228" i="39"/>
  <c r="EN228" i="39"/>
  <c r="EM228" i="39"/>
  <c r="EL228" i="39"/>
  <c r="EK228" i="39"/>
  <c r="EJ228" i="39"/>
  <c r="EI228" i="39"/>
  <c r="EH228" i="39"/>
  <c r="EG228" i="39"/>
  <c r="EF228" i="39"/>
  <c r="EE228" i="39"/>
  <c r="ED228" i="39"/>
  <c r="EC228" i="39"/>
  <c r="EB228" i="39"/>
  <c r="EA228" i="39"/>
  <c r="DZ228" i="39"/>
  <c r="DY228" i="39"/>
  <c r="DX228" i="39"/>
  <c r="DW228" i="39"/>
  <c r="FT227" i="39"/>
  <c r="FS227" i="39"/>
  <c r="FR227" i="39"/>
  <c r="FQ227" i="39"/>
  <c r="FP227" i="39"/>
  <c r="FO227" i="39"/>
  <c r="FN227" i="39"/>
  <c r="FM227" i="39"/>
  <c r="FL227" i="39"/>
  <c r="FK227" i="39"/>
  <c r="FJ227" i="39"/>
  <c r="FI227" i="39"/>
  <c r="FH227" i="39"/>
  <c r="FG227" i="39"/>
  <c r="FF227" i="39"/>
  <c r="FE227" i="39"/>
  <c r="FD227" i="39"/>
  <c r="FC227" i="39"/>
  <c r="FB227" i="39"/>
  <c r="FA227" i="39"/>
  <c r="EZ227" i="39"/>
  <c r="EY227" i="39"/>
  <c r="EX227" i="39"/>
  <c r="EW227" i="39"/>
  <c r="EV227" i="39"/>
  <c r="EU227" i="39"/>
  <c r="ES227" i="39"/>
  <c r="ER227" i="39"/>
  <c r="EQ227" i="39"/>
  <c r="EP227" i="39"/>
  <c r="EO227" i="39"/>
  <c r="EN227" i="39"/>
  <c r="EM227" i="39"/>
  <c r="EL227" i="39"/>
  <c r="EK227" i="39"/>
  <c r="EJ227" i="39"/>
  <c r="EI227" i="39"/>
  <c r="EH227" i="39"/>
  <c r="EG227" i="39"/>
  <c r="EF227" i="39"/>
  <c r="EE227" i="39"/>
  <c r="ED227" i="39"/>
  <c r="EC227" i="39"/>
  <c r="EB227" i="39"/>
  <c r="EA227" i="39"/>
  <c r="DZ227" i="39"/>
  <c r="DY227" i="39"/>
  <c r="DX227" i="39"/>
  <c r="DW227" i="39"/>
  <c r="FT226" i="39"/>
  <c r="FS226" i="39"/>
  <c r="FR226" i="39"/>
  <c r="FQ226" i="39"/>
  <c r="FP226" i="39"/>
  <c r="FO226" i="39"/>
  <c r="FN226" i="39"/>
  <c r="FM226" i="39"/>
  <c r="FL226" i="39"/>
  <c r="FK226" i="39"/>
  <c r="FJ226" i="39"/>
  <c r="FI226" i="39"/>
  <c r="FH226" i="39"/>
  <c r="FG226" i="39"/>
  <c r="FF226" i="39"/>
  <c r="FE226" i="39"/>
  <c r="FD226" i="39"/>
  <c r="FC226" i="39"/>
  <c r="FB226" i="39"/>
  <c r="FA226" i="39"/>
  <c r="EZ226" i="39"/>
  <c r="EY226" i="39"/>
  <c r="EX226" i="39"/>
  <c r="EW226" i="39"/>
  <c r="EV226" i="39"/>
  <c r="EU226" i="39"/>
  <c r="ES226" i="39"/>
  <c r="ER226" i="39"/>
  <c r="EQ226" i="39"/>
  <c r="EP226" i="39"/>
  <c r="EO226" i="39"/>
  <c r="EN226" i="39"/>
  <c r="EM226" i="39"/>
  <c r="EL226" i="39"/>
  <c r="EK226" i="39"/>
  <c r="EJ226" i="39"/>
  <c r="EI226" i="39"/>
  <c r="EH226" i="39"/>
  <c r="EG226" i="39"/>
  <c r="EF226" i="39"/>
  <c r="EE226" i="39"/>
  <c r="ED226" i="39"/>
  <c r="EC226" i="39"/>
  <c r="EB226" i="39"/>
  <c r="EA226" i="39"/>
  <c r="DZ226" i="39"/>
  <c r="DY226" i="39"/>
  <c r="DX226" i="39"/>
  <c r="DW226" i="39"/>
  <c r="FT225" i="39"/>
  <c r="FS225" i="39"/>
  <c r="FR225" i="39"/>
  <c r="FQ225" i="39"/>
  <c r="FP225" i="39"/>
  <c r="FO225" i="39"/>
  <c r="FN225" i="39"/>
  <c r="FM225" i="39"/>
  <c r="FL225" i="39"/>
  <c r="FK225" i="39"/>
  <c r="FJ225" i="39"/>
  <c r="FI225" i="39"/>
  <c r="FH225" i="39"/>
  <c r="FG225" i="39"/>
  <c r="FF225" i="39"/>
  <c r="FE225" i="39"/>
  <c r="FD225" i="39"/>
  <c r="FC225" i="39"/>
  <c r="FB225" i="39"/>
  <c r="FA225" i="39"/>
  <c r="EZ225" i="39"/>
  <c r="EY225" i="39"/>
  <c r="EX225" i="39"/>
  <c r="EW225" i="39"/>
  <c r="EV225" i="39"/>
  <c r="EU225" i="39"/>
  <c r="ES225" i="39"/>
  <c r="ER225" i="39"/>
  <c r="EQ225" i="39"/>
  <c r="EP225" i="39"/>
  <c r="EO225" i="39"/>
  <c r="EN225" i="39"/>
  <c r="EM225" i="39"/>
  <c r="EL225" i="39"/>
  <c r="EK225" i="39"/>
  <c r="EJ225" i="39"/>
  <c r="EI225" i="39"/>
  <c r="EH225" i="39"/>
  <c r="EG225" i="39"/>
  <c r="EF225" i="39"/>
  <c r="EE225" i="39"/>
  <c r="ED225" i="39"/>
  <c r="EC225" i="39"/>
  <c r="EB225" i="39"/>
  <c r="EA225" i="39"/>
  <c r="DZ225" i="39"/>
  <c r="DY225" i="39"/>
  <c r="DX225" i="39"/>
  <c r="DW225" i="39"/>
  <c r="FT224" i="39"/>
  <c r="FS224" i="39"/>
  <c r="FR224" i="39"/>
  <c r="FQ224" i="39"/>
  <c r="FP224" i="39"/>
  <c r="FO224" i="39"/>
  <c r="FN224" i="39"/>
  <c r="FM224" i="39"/>
  <c r="FL224" i="39"/>
  <c r="FK224" i="39"/>
  <c r="FJ224" i="39"/>
  <c r="FI224" i="39"/>
  <c r="FH224" i="39"/>
  <c r="FG224" i="39"/>
  <c r="FF224" i="39"/>
  <c r="FE224" i="39"/>
  <c r="FD224" i="39"/>
  <c r="FC224" i="39"/>
  <c r="FB224" i="39"/>
  <c r="FA224" i="39"/>
  <c r="EZ224" i="39"/>
  <c r="EY224" i="39"/>
  <c r="EX224" i="39"/>
  <c r="EW224" i="39"/>
  <c r="EV224" i="39"/>
  <c r="EU224" i="39"/>
  <c r="ES224" i="39"/>
  <c r="ER224" i="39"/>
  <c r="EQ224" i="39"/>
  <c r="EP224" i="39"/>
  <c r="EO224" i="39"/>
  <c r="EN224" i="39"/>
  <c r="EM224" i="39"/>
  <c r="EL224" i="39"/>
  <c r="EK224" i="39"/>
  <c r="EJ224" i="39"/>
  <c r="EI224" i="39"/>
  <c r="EH224" i="39"/>
  <c r="EG224" i="39"/>
  <c r="EF224" i="39"/>
  <c r="EE224" i="39"/>
  <c r="ED224" i="39"/>
  <c r="EC224" i="39"/>
  <c r="EB224" i="39"/>
  <c r="EA224" i="39"/>
  <c r="DZ224" i="39"/>
  <c r="DY224" i="39"/>
  <c r="DX224" i="39"/>
  <c r="DW224" i="39"/>
  <c r="FT223" i="39"/>
  <c r="FS223" i="39"/>
  <c r="FR223" i="39"/>
  <c r="FQ223" i="39"/>
  <c r="FP223" i="39"/>
  <c r="FO223" i="39"/>
  <c r="FN223" i="39"/>
  <c r="FM223" i="39"/>
  <c r="FL223" i="39"/>
  <c r="FK223" i="39"/>
  <c r="FJ223" i="39"/>
  <c r="FI223" i="39"/>
  <c r="FH223" i="39"/>
  <c r="FG223" i="39"/>
  <c r="FF223" i="39"/>
  <c r="FE223" i="39"/>
  <c r="FD223" i="39"/>
  <c r="FC223" i="39"/>
  <c r="FB223" i="39"/>
  <c r="FA223" i="39"/>
  <c r="EZ223" i="39"/>
  <c r="EY223" i="39"/>
  <c r="EX223" i="39"/>
  <c r="EW223" i="39"/>
  <c r="EV223" i="39"/>
  <c r="EU223" i="39"/>
  <c r="ES223" i="39"/>
  <c r="ER223" i="39"/>
  <c r="EQ223" i="39"/>
  <c r="EP223" i="39"/>
  <c r="EO223" i="39"/>
  <c r="EN223" i="39"/>
  <c r="EM223" i="39"/>
  <c r="EL223" i="39"/>
  <c r="EK223" i="39"/>
  <c r="EJ223" i="39"/>
  <c r="EI223" i="39"/>
  <c r="EH223" i="39"/>
  <c r="EG223" i="39"/>
  <c r="EF223" i="39"/>
  <c r="EE223" i="39"/>
  <c r="ED223" i="39"/>
  <c r="EC223" i="39"/>
  <c r="EB223" i="39"/>
  <c r="EA223" i="39"/>
  <c r="DZ223" i="39"/>
  <c r="DY223" i="39"/>
  <c r="DX223" i="39"/>
  <c r="DW223" i="39"/>
  <c r="FT222" i="39"/>
  <c r="FS222" i="39"/>
  <c r="FR222" i="39"/>
  <c r="FQ222" i="39"/>
  <c r="FP222" i="39"/>
  <c r="FO222" i="39"/>
  <c r="FN222" i="39"/>
  <c r="FM222" i="39"/>
  <c r="FL222" i="39"/>
  <c r="FK222" i="39"/>
  <c r="FJ222" i="39"/>
  <c r="FI222" i="39"/>
  <c r="FH222" i="39"/>
  <c r="FG222" i="39"/>
  <c r="FF222" i="39"/>
  <c r="FE222" i="39"/>
  <c r="FD222" i="39"/>
  <c r="FC222" i="39"/>
  <c r="FB222" i="39"/>
  <c r="FA222" i="39"/>
  <c r="EZ222" i="39"/>
  <c r="EY222" i="39"/>
  <c r="EX222" i="39"/>
  <c r="EW222" i="39"/>
  <c r="EV222" i="39"/>
  <c r="EU222" i="39"/>
  <c r="ES222" i="39"/>
  <c r="ER222" i="39"/>
  <c r="EQ222" i="39"/>
  <c r="EP222" i="39"/>
  <c r="EO222" i="39"/>
  <c r="EN222" i="39"/>
  <c r="EM222" i="39"/>
  <c r="EL222" i="39"/>
  <c r="EK222" i="39"/>
  <c r="EJ222" i="39"/>
  <c r="EI222" i="39"/>
  <c r="EH222" i="39"/>
  <c r="EG222" i="39"/>
  <c r="EF222" i="39"/>
  <c r="EE222" i="39"/>
  <c r="ED222" i="39"/>
  <c r="EC222" i="39"/>
  <c r="EB222" i="39"/>
  <c r="EA222" i="39"/>
  <c r="DZ222" i="39"/>
  <c r="DY222" i="39"/>
  <c r="DX222" i="39"/>
  <c r="DW222" i="39"/>
  <c r="FT221" i="39"/>
  <c r="FS221" i="39"/>
  <c r="FR221" i="39"/>
  <c r="FQ221" i="39"/>
  <c r="FP221" i="39"/>
  <c r="FO221" i="39"/>
  <c r="FN221" i="39"/>
  <c r="FM221" i="39"/>
  <c r="FL221" i="39"/>
  <c r="FK221" i="39"/>
  <c r="FJ221" i="39"/>
  <c r="FI221" i="39"/>
  <c r="FH221" i="39"/>
  <c r="FG221" i="39"/>
  <c r="FF221" i="39"/>
  <c r="FE221" i="39"/>
  <c r="FD221" i="39"/>
  <c r="FC221" i="39"/>
  <c r="FB221" i="39"/>
  <c r="FA221" i="39"/>
  <c r="EZ221" i="39"/>
  <c r="EY221" i="39"/>
  <c r="EX221" i="39"/>
  <c r="EW221" i="39"/>
  <c r="EV221" i="39"/>
  <c r="EU221" i="39"/>
  <c r="ES221" i="39"/>
  <c r="ER221" i="39"/>
  <c r="EQ221" i="39"/>
  <c r="EP221" i="39"/>
  <c r="EO221" i="39"/>
  <c r="EN221" i="39"/>
  <c r="EM221" i="39"/>
  <c r="EL221" i="39"/>
  <c r="EK221" i="39"/>
  <c r="EJ221" i="39"/>
  <c r="EI221" i="39"/>
  <c r="EH221" i="39"/>
  <c r="EG221" i="39"/>
  <c r="EF221" i="39"/>
  <c r="EE221" i="39"/>
  <c r="ED221" i="39"/>
  <c r="EC221" i="39"/>
  <c r="EB221" i="39"/>
  <c r="EA221" i="39"/>
  <c r="DZ221" i="39"/>
  <c r="DY221" i="39"/>
  <c r="DX221" i="39"/>
  <c r="DW221" i="39"/>
  <c r="FT220" i="39"/>
  <c r="FS220" i="39"/>
  <c r="FR220" i="39"/>
  <c r="FQ220" i="39"/>
  <c r="FP220" i="39"/>
  <c r="FO220" i="39"/>
  <c r="FN220" i="39"/>
  <c r="FM220" i="39"/>
  <c r="FL220" i="39"/>
  <c r="FK220" i="39"/>
  <c r="FJ220" i="39"/>
  <c r="FI220" i="39"/>
  <c r="FH220" i="39"/>
  <c r="FG220" i="39"/>
  <c r="FF220" i="39"/>
  <c r="FE220" i="39"/>
  <c r="FD220" i="39"/>
  <c r="FC220" i="39"/>
  <c r="FB220" i="39"/>
  <c r="FA220" i="39"/>
  <c r="EZ220" i="39"/>
  <c r="EY220" i="39"/>
  <c r="EX220" i="39"/>
  <c r="EW220" i="39"/>
  <c r="EV220" i="39"/>
  <c r="EU220" i="39"/>
  <c r="ES220" i="39"/>
  <c r="ER220" i="39"/>
  <c r="EQ220" i="39"/>
  <c r="EP220" i="39"/>
  <c r="EO220" i="39"/>
  <c r="EN220" i="39"/>
  <c r="EM220" i="39"/>
  <c r="EL220" i="39"/>
  <c r="EK220" i="39"/>
  <c r="EJ220" i="39"/>
  <c r="EI220" i="39"/>
  <c r="EH220" i="39"/>
  <c r="EG220" i="39"/>
  <c r="EF220" i="39"/>
  <c r="EE220" i="39"/>
  <c r="ED220" i="39"/>
  <c r="EC220" i="39"/>
  <c r="EB220" i="39"/>
  <c r="EA220" i="39"/>
  <c r="DZ220" i="39"/>
  <c r="DY220" i="39"/>
  <c r="DX220" i="39"/>
  <c r="DW220" i="39"/>
  <c r="FT219" i="39"/>
  <c r="FS219" i="39"/>
  <c r="FR219" i="39"/>
  <c r="FQ219" i="39"/>
  <c r="FP219" i="39"/>
  <c r="FO219" i="39"/>
  <c r="FN219" i="39"/>
  <c r="FM219" i="39"/>
  <c r="FL219" i="39"/>
  <c r="FK219" i="39"/>
  <c r="FJ219" i="39"/>
  <c r="FI219" i="39"/>
  <c r="FH219" i="39"/>
  <c r="FG219" i="39"/>
  <c r="FF219" i="39"/>
  <c r="FE219" i="39"/>
  <c r="FD219" i="39"/>
  <c r="FC219" i="39"/>
  <c r="FB219" i="39"/>
  <c r="FA219" i="39"/>
  <c r="EZ219" i="39"/>
  <c r="EY219" i="39"/>
  <c r="EX219" i="39"/>
  <c r="EW219" i="39"/>
  <c r="EV219" i="39"/>
  <c r="EU219" i="39"/>
  <c r="ES219" i="39"/>
  <c r="ER219" i="39"/>
  <c r="EQ219" i="39"/>
  <c r="EP219" i="39"/>
  <c r="EO219" i="39"/>
  <c r="EN219" i="39"/>
  <c r="EM219" i="39"/>
  <c r="EL219" i="39"/>
  <c r="EK219" i="39"/>
  <c r="EJ219" i="39"/>
  <c r="EI219" i="39"/>
  <c r="EH219" i="39"/>
  <c r="EG219" i="39"/>
  <c r="EF219" i="39"/>
  <c r="EE219" i="39"/>
  <c r="ED219" i="39"/>
  <c r="EC219" i="39"/>
  <c r="EB219" i="39"/>
  <c r="EA219" i="39"/>
  <c r="DZ219" i="39"/>
  <c r="DY219" i="39"/>
  <c r="DX219" i="39"/>
  <c r="DW219" i="39"/>
  <c r="FT218" i="39"/>
  <c r="FS218" i="39"/>
  <c r="FR218" i="39"/>
  <c r="FQ218" i="39"/>
  <c r="FP218" i="39"/>
  <c r="FO218" i="39"/>
  <c r="FN218" i="39"/>
  <c r="FM218" i="39"/>
  <c r="FL218" i="39"/>
  <c r="FK218" i="39"/>
  <c r="FJ218" i="39"/>
  <c r="FI218" i="39"/>
  <c r="FH218" i="39"/>
  <c r="FG218" i="39"/>
  <c r="FF218" i="39"/>
  <c r="FE218" i="39"/>
  <c r="FD218" i="39"/>
  <c r="FC218" i="39"/>
  <c r="FB218" i="39"/>
  <c r="FA218" i="39"/>
  <c r="EZ218" i="39"/>
  <c r="EY218" i="39"/>
  <c r="EX218" i="39"/>
  <c r="EW218" i="39"/>
  <c r="EV218" i="39"/>
  <c r="EU218" i="39"/>
  <c r="ES218" i="39"/>
  <c r="ER218" i="39"/>
  <c r="EQ218" i="39"/>
  <c r="EP218" i="39"/>
  <c r="EO218" i="39"/>
  <c r="EN218" i="39"/>
  <c r="EM218" i="39"/>
  <c r="EL218" i="39"/>
  <c r="EK218" i="39"/>
  <c r="EJ218" i="39"/>
  <c r="EI218" i="39"/>
  <c r="EH218" i="39"/>
  <c r="EG218" i="39"/>
  <c r="EF218" i="39"/>
  <c r="EE218" i="39"/>
  <c r="ED218" i="39"/>
  <c r="EC218" i="39"/>
  <c r="EB218" i="39"/>
  <c r="EA218" i="39"/>
  <c r="DZ218" i="39"/>
  <c r="DY218" i="39"/>
  <c r="DX218" i="39"/>
  <c r="DW218" i="39"/>
  <c r="FT217" i="39"/>
  <c r="FS217" i="39"/>
  <c r="FR217" i="39"/>
  <c r="FQ217" i="39"/>
  <c r="FP217" i="39"/>
  <c r="FO217" i="39"/>
  <c r="FN217" i="39"/>
  <c r="FM217" i="39"/>
  <c r="FL217" i="39"/>
  <c r="FK217" i="39"/>
  <c r="FJ217" i="39"/>
  <c r="FI217" i="39"/>
  <c r="FH217" i="39"/>
  <c r="FG217" i="39"/>
  <c r="FF217" i="39"/>
  <c r="FE217" i="39"/>
  <c r="FD217" i="39"/>
  <c r="FC217" i="39"/>
  <c r="FB217" i="39"/>
  <c r="FA217" i="39"/>
  <c r="EZ217" i="39"/>
  <c r="EY217" i="39"/>
  <c r="EX217" i="39"/>
  <c r="EW217" i="39"/>
  <c r="EV217" i="39"/>
  <c r="EU217" i="39"/>
  <c r="ES217" i="39"/>
  <c r="ER217" i="39"/>
  <c r="EQ217" i="39"/>
  <c r="EP217" i="39"/>
  <c r="EO217" i="39"/>
  <c r="EN217" i="39"/>
  <c r="EM217" i="39"/>
  <c r="EL217" i="39"/>
  <c r="EK217" i="39"/>
  <c r="EJ217" i="39"/>
  <c r="EI217" i="39"/>
  <c r="EH217" i="39"/>
  <c r="EG217" i="39"/>
  <c r="EF217" i="39"/>
  <c r="EE217" i="39"/>
  <c r="ED217" i="39"/>
  <c r="EC217" i="39"/>
  <c r="EB217" i="39"/>
  <c r="EA217" i="39"/>
  <c r="DZ217" i="39"/>
  <c r="DY217" i="39"/>
  <c r="DX217" i="39"/>
  <c r="DW217" i="39"/>
  <c r="FT216" i="39"/>
  <c r="FS216" i="39"/>
  <c r="FR216" i="39"/>
  <c r="FQ216" i="39"/>
  <c r="FP216" i="39"/>
  <c r="FO216" i="39"/>
  <c r="FN216" i="39"/>
  <c r="FM216" i="39"/>
  <c r="FL216" i="39"/>
  <c r="FK216" i="39"/>
  <c r="FJ216" i="39"/>
  <c r="FI216" i="39"/>
  <c r="FH216" i="39"/>
  <c r="FG216" i="39"/>
  <c r="FF216" i="39"/>
  <c r="FE216" i="39"/>
  <c r="FD216" i="39"/>
  <c r="FC216" i="39"/>
  <c r="FB216" i="39"/>
  <c r="FA216" i="39"/>
  <c r="EZ216" i="39"/>
  <c r="EY216" i="39"/>
  <c r="EX216" i="39"/>
  <c r="EW216" i="39"/>
  <c r="EV216" i="39"/>
  <c r="EU216" i="39"/>
  <c r="ES216" i="39"/>
  <c r="ER216" i="39"/>
  <c r="EQ216" i="39"/>
  <c r="EP216" i="39"/>
  <c r="EO216" i="39"/>
  <c r="EN216" i="39"/>
  <c r="EM216" i="39"/>
  <c r="EL216" i="39"/>
  <c r="EK216" i="39"/>
  <c r="EJ216" i="39"/>
  <c r="EI216" i="39"/>
  <c r="EH216" i="39"/>
  <c r="EG216" i="39"/>
  <c r="EF216" i="39"/>
  <c r="EE216" i="39"/>
  <c r="ED216" i="39"/>
  <c r="EC216" i="39"/>
  <c r="EB216" i="39"/>
  <c r="EA216" i="39"/>
  <c r="DZ216" i="39"/>
  <c r="DY216" i="39"/>
  <c r="DX216" i="39"/>
  <c r="DW216" i="39"/>
  <c r="FT215" i="39"/>
  <c r="FS215" i="39"/>
  <c r="FR215" i="39"/>
  <c r="FQ215" i="39"/>
  <c r="FP215" i="39"/>
  <c r="FO215" i="39"/>
  <c r="FN215" i="39"/>
  <c r="FM215" i="39"/>
  <c r="FL215" i="39"/>
  <c r="FK215" i="39"/>
  <c r="FJ215" i="39"/>
  <c r="FI215" i="39"/>
  <c r="FH215" i="39"/>
  <c r="FG215" i="39"/>
  <c r="FF215" i="39"/>
  <c r="FE215" i="39"/>
  <c r="FD215" i="39"/>
  <c r="FC215" i="39"/>
  <c r="FB215" i="39"/>
  <c r="FA215" i="39"/>
  <c r="EZ215" i="39"/>
  <c r="EY215" i="39"/>
  <c r="EX215" i="39"/>
  <c r="EW215" i="39"/>
  <c r="EV215" i="39"/>
  <c r="EU215" i="39"/>
  <c r="ES215" i="39"/>
  <c r="ER215" i="39"/>
  <c r="EQ215" i="39"/>
  <c r="EP215" i="39"/>
  <c r="EO215" i="39"/>
  <c r="EN215" i="39"/>
  <c r="EM215" i="39"/>
  <c r="EL215" i="39"/>
  <c r="EK215" i="39"/>
  <c r="EJ215" i="39"/>
  <c r="EI215" i="39"/>
  <c r="EH215" i="39"/>
  <c r="EG215" i="39"/>
  <c r="EF215" i="39"/>
  <c r="EE215" i="39"/>
  <c r="ED215" i="39"/>
  <c r="EC215" i="39"/>
  <c r="EB215" i="39"/>
  <c r="EA215" i="39"/>
  <c r="DZ215" i="39"/>
  <c r="DY215" i="39"/>
  <c r="DX215" i="39"/>
  <c r="DW215" i="39"/>
  <c r="FT214" i="39"/>
  <c r="FS214" i="39"/>
  <c r="FR214" i="39"/>
  <c r="FQ214" i="39"/>
  <c r="FP214" i="39"/>
  <c r="FO214" i="39"/>
  <c r="FN214" i="39"/>
  <c r="FM214" i="39"/>
  <c r="FL214" i="39"/>
  <c r="FK214" i="39"/>
  <c r="FJ214" i="39"/>
  <c r="FI214" i="39"/>
  <c r="FH214" i="39"/>
  <c r="FG214" i="39"/>
  <c r="FF214" i="39"/>
  <c r="FE214" i="39"/>
  <c r="FD214" i="39"/>
  <c r="FC214" i="39"/>
  <c r="FB214" i="39"/>
  <c r="FA214" i="39"/>
  <c r="EZ214" i="39"/>
  <c r="EY214" i="39"/>
  <c r="EX214" i="39"/>
  <c r="EW214" i="39"/>
  <c r="EV214" i="39"/>
  <c r="EU214" i="39"/>
  <c r="ES214" i="39"/>
  <c r="ER214" i="39"/>
  <c r="EQ214" i="39"/>
  <c r="EP214" i="39"/>
  <c r="EO214" i="39"/>
  <c r="EN214" i="39"/>
  <c r="EM214" i="39"/>
  <c r="EL214" i="39"/>
  <c r="EK214" i="39"/>
  <c r="EJ214" i="39"/>
  <c r="EI214" i="39"/>
  <c r="EH214" i="39"/>
  <c r="EG214" i="39"/>
  <c r="EF214" i="39"/>
  <c r="EE214" i="39"/>
  <c r="ED214" i="39"/>
  <c r="EC214" i="39"/>
  <c r="EB214" i="39"/>
  <c r="EA214" i="39"/>
  <c r="DZ214" i="39"/>
  <c r="DY214" i="39"/>
  <c r="DX214" i="39"/>
  <c r="DW214" i="39"/>
  <c r="FT213" i="39"/>
  <c r="FS213" i="39"/>
  <c r="FR213" i="39"/>
  <c r="FQ213" i="39"/>
  <c r="FP213" i="39"/>
  <c r="FO213" i="39"/>
  <c r="FN213" i="39"/>
  <c r="FM213" i="39"/>
  <c r="FL213" i="39"/>
  <c r="FK213" i="39"/>
  <c r="FJ213" i="39"/>
  <c r="FI213" i="39"/>
  <c r="FH213" i="39"/>
  <c r="FG213" i="39"/>
  <c r="FF213" i="39"/>
  <c r="FE213" i="39"/>
  <c r="FD213" i="39"/>
  <c r="FC213" i="39"/>
  <c r="FB213" i="39"/>
  <c r="FA213" i="39"/>
  <c r="EZ213" i="39"/>
  <c r="EY213" i="39"/>
  <c r="EX213" i="39"/>
  <c r="EW213" i="39"/>
  <c r="EV213" i="39"/>
  <c r="EU213" i="39"/>
  <c r="ES213" i="39"/>
  <c r="ER213" i="39"/>
  <c r="EQ213" i="39"/>
  <c r="EP213" i="39"/>
  <c r="EO213" i="39"/>
  <c r="EN213" i="39"/>
  <c r="EM213" i="39"/>
  <c r="EL213" i="39"/>
  <c r="EK213" i="39"/>
  <c r="EJ213" i="39"/>
  <c r="EI213" i="39"/>
  <c r="EH213" i="39"/>
  <c r="EG213" i="39"/>
  <c r="EF213" i="39"/>
  <c r="EE213" i="39"/>
  <c r="ED213" i="39"/>
  <c r="EC213" i="39"/>
  <c r="EB213" i="39"/>
  <c r="EA213" i="39"/>
  <c r="DZ213" i="39"/>
  <c r="DY213" i="39"/>
  <c r="DX213" i="39"/>
  <c r="DW213" i="39"/>
  <c r="FT212" i="39"/>
  <c r="FS212" i="39"/>
  <c r="FR212" i="39"/>
  <c r="FQ212" i="39"/>
  <c r="FP212" i="39"/>
  <c r="FO212" i="39"/>
  <c r="FN212" i="39"/>
  <c r="FM212" i="39"/>
  <c r="FL212" i="39"/>
  <c r="FK212" i="39"/>
  <c r="FJ212" i="39"/>
  <c r="FI212" i="39"/>
  <c r="FH212" i="39"/>
  <c r="FG212" i="39"/>
  <c r="FF212" i="39"/>
  <c r="FE212" i="39"/>
  <c r="FD212" i="39"/>
  <c r="FC212" i="39"/>
  <c r="FB212" i="39"/>
  <c r="FA212" i="39"/>
  <c r="EZ212" i="39"/>
  <c r="EY212" i="39"/>
  <c r="EX212" i="39"/>
  <c r="EW212" i="39"/>
  <c r="EV212" i="39"/>
  <c r="EU212" i="39"/>
  <c r="ES212" i="39"/>
  <c r="ER212" i="39"/>
  <c r="EQ212" i="39"/>
  <c r="EP212" i="39"/>
  <c r="EO212" i="39"/>
  <c r="EN212" i="39"/>
  <c r="EM212" i="39"/>
  <c r="EL212" i="39"/>
  <c r="EK212" i="39"/>
  <c r="EJ212" i="39"/>
  <c r="EI212" i="39"/>
  <c r="EH212" i="39"/>
  <c r="EG212" i="39"/>
  <c r="EF212" i="39"/>
  <c r="EE212" i="39"/>
  <c r="ED212" i="39"/>
  <c r="EC212" i="39"/>
  <c r="EB212" i="39"/>
  <c r="EA212" i="39"/>
  <c r="DZ212" i="39"/>
  <c r="DY212" i="39"/>
  <c r="DX212" i="39"/>
  <c r="DW212" i="39"/>
  <c r="FT211" i="39"/>
  <c r="FS211" i="39"/>
  <c r="FR211" i="39"/>
  <c r="FQ211" i="39"/>
  <c r="FP211" i="39"/>
  <c r="FO211" i="39"/>
  <c r="FN211" i="39"/>
  <c r="FM211" i="39"/>
  <c r="FL211" i="39"/>
  <c r="FK211" i="39"/>
  <c r="FJ211" i="39"/>
  <c r="FI211" i="39"/>
  <c r="FH211" i="39"/>
  <c r="FG211" i="39"/>
  <c r="FF211" i="39"/>
  <c r="FE211" i="39"/>
  <c r="FD211" i="39"/>
  <c r="FC211" i="39"/>
  <c r="FB211" i="39"/>
  <c r="FA211" i="39"/>
  <c r="EZ211" i="39"/>
  <c r="EY211" i="39"/>
  <c r="EX211" i="39"/>
  <c r="EW211" i="39"/>
  <c r="EV211" i="39"/>
  <c r="EU211" i="39"/>
  <c r="ES211" i="39"/>
  <c r="ER211" i="39"/>
  <c r="EQ211" i="39"/>
  <c r="EP211" i="39"/>
  <c r="EO211" i="39"/>
  <c r="EN211" i="39"/>
  <c r="EM211" i="39"/>
  <c r="EL211" i="39"/>
  <c r="EK211" i="39"/>
  <c r="EJ211" i="39"/>
  <c r="EI211" i="39"/>
  <c r="EH211" i="39"/>
  <c r="EG211" i="39"/>
  <c r="EF211" i="39"/>
  <c r="EE211" i="39"/>
  <c r="ED211" i="39"/>
  <c r="EC211" i="39"/>
  <c r="EB211" i="39"/>
  <c r="EA211" i="39"/>
  <c r="DZ211" i="39"/>
  <c r="DY211" i="39"/>
  <c r="DX211" i="39"/>
  <c r="DW211" i="39"/>
  <c r="FT210" i="39"/>
  <c r="FS210" i="39"/>
  <c r="FR210" i="39"/>
  <c r="FQ210" i="39"/>
  <c r="FP210" i="39"/>
  <c r="FO210" i="39"/>
  <c r="FN210" i="39"/>
  <c r="FM210" i="39"/>
  <c r="FL210" i="39"/>
  <c r="FK210" i="39"/>
  <c r="FJ210" i="39"/>
  <c r="FI210" i="39"/>
  <c r="FH210" i="39"/>
  <c r="FG210" i="39"/>
  <c r="FF210" i="39"/>
  <c r="FE210" i="39"/>
  <c r="FD210" i="39"/>
  <c r="FC210" i="39"/>
  <c r="FB210" i="39"/>
  <c r="FA210" i="39"/>
  <c r="EZ210" i="39"/>
  <c r="EY210" i="39"/>
  <c r="EX210" i="39"/>
  <c r="EW210" i="39"/>
  <c r="EV210" i="39"/>
  <c r="EU210" i="39"/>
  <c r="ES210" i="39"/>
  <c r="ER210" i="39"/>
  <c r="EQ210" i="39"/>
  <c r="EP210" i="39"/>
  <c r="EO210" i="39"/>
  <c r="EN210" i="39"/>
  <c r="EM210" i="39"/>
  <c r="EL210" i="39"/>
  <c r="EK210" i="39"/>
  <c r="EJ210" i="39"/>
  <c r="EI210" i="39"/>
  <c r="EH210" i="39"/>
  <c r="EG210" i="39"/>
  <c r="EF210" i="39"/>
  <c r="EE210" i="39"/>
  <c r="ED210" i="39"/>
  <c r="EC210" i="39"/>
  <c r="EB210" i="39"/>
  <c r="EA210" i="39"/>
  <c r="DZ210" i="39"/>
  <c r="DY210" i="39"/>
  <c r="DX210" i="39"/>
  <c r="DW210" i="39"/>
  <c r="FT209" i="39"/>
  <c r="FS209" i="39"/>
  <c r="FR209" i="39"/>
  <c r="FQ209" i="39"/>
  <c r="FP209" i="39"/>
  <c r="FO209" i="39"/>
  <c r="FN209" i="39"/>
  <c r="FM209" i="39"/>
  <c r="FL209" i="39"/>
  <c r="FK209" i="39"/>
  <c r="FJ209" i="39"/>
  <c r="FI209" i="39"/>
  <c r="FH209" i="39"/>
  <c r="FG209" i="39"/>
  <c r="FF209" i="39"/>
  <c r="FE209" i="39"/>
  <c r="FD209" i="39"/>
  <c r="FC209" i="39"/>
  <c r="FB209" i="39"/>
  <c r="FA209" i="39"/>
  <c r="EZ209" i="39"/>
  <c r="EY209" i="39"/>
  <c r="EX209" i="39"/>
  <c r="EW209" i="39"/>
  <c r="EV209" i="39"/>
  <c r="EU209" i="39"/>
  <c r="ES209" i="39"/>
  <c r="ER209" i="39"/>
  <c r="EQ209" i="39"/>
  <c r="EP209" i="39"/>
  <c r="EO209" i="39"/>
  <c r="EN209" i="39"/>
  <c r="EM209" i="39"/>
  <c r="EL209" i="39"/>
  <c r="EK209" i="39"/>
  <c r="EJ209" i="39"/>
  <c r="EI209" i="39"/>
  <c r="EH209" i="39"/>
  <c r="EG209" i="39"/>
  <c r="EF209" i="39"/>
  <c r="EE209" i="39"/>
  <c r="ED209" i="39"/>
  <c r="EC209" i="39"/>
  <c r="EB209" i="39"/>
  <c r="EA209" i="39"/>
  <c r="DZ209" i="39"/>
  <c r="DY209" i="39"/>
  <c r="DX209" i="39"/>
  <c r="DW209" i="39"/>
  <c r="FT208" i="39"/>
  <c r="FS208" i="39"/>
  <c r="FR208" i="39"/>
  <c r="FQ208" i="39"/>
  <c r="FP208" i="39"/>
  <c r="FO208" i="39"/>
  <c r="FN208" i="39"/>
  <c r="FM208" i="39"/>
  <c r="FL208" i="39"/>
  <c r="FK208" i="39"/>
  <c r="FJ208" i="39"/>
  <c r="FI208" i="39"/>
  <c r="FH208" i="39"/>
  <c r="FG208" i="39"/>
  <c r="FF208" i="39"/>
  <c r="FE208" i="39"/>
  <c r="FD208" i="39"/>
  <c r="FC208" i="39"/>
  <c r="FB208" i="39"/>
  <c r="FA208" i="39"/>
  <c r="EZ208" i="39"/>
  <c r="EY208" i="39"/>
  <c r="EX208" i="39"/>
  <c r="EW208" i="39"/>
  <c r="EV208" i="39"/>
  <c r="EU208" i="39"/>
  <c r="ES208" i="39"/>
  <c r="ER208" i="39"/>
  <c r="EQ208" i="39"/>
  <c r="EP208" i="39"/>
  <c r="EO208" i="39"/>
  <c r="EN208" i="39"/>
  <c r="EM208" i="39"/>
  <c r="EL208" i="39"/>
  <c r="EK208" i="39"/>
  <c r="EJ208" i="39"/>
  <c r="EI208" i="39"/>
  <c r="EH208" i="39"/>
  <c r="EG208" i="39"/>
  <c r="EF208" i="39"/>
  <c r="EE208" i="39"/>
  <c r="ED208" i="39"/>
  <c r="EC208" i="39"/>
  <c r="EB208" i="39"/>
  <c r="EA208" i="39"/>
  <c r="DZ208" i="39"/>
  <c r="DY208" i="39"/>
  <c r="DX208" i="39"/>
  <c r="DW208" i="39"/>
  <c r="FT207" i="39"/>
  <c r="FS207" i="39"/>
  <c r="FR207" i="39"/>
  <c r="FQ207" i="39"/>
  <c r="FP207" i="39"/>
  <c r="FO207" i="39"/>
  <c r="FN207" i="39"/>
  <c r="FM207" i="39"/>
  <c r="FL207" i="39"/>
  <c r="FK207" i="39"/>
  <c r="FJ207" i="39"/>
  <c r="FI207" i="39"/>
  <c r="FH207" i="39"/>
  <c r="FG207" i="39"/>
  <c r="FF207" i="39"/>
  <c r="FE207" i="39"/>
  <c r="FD207" i="39"/>
  <c r="FC207" i="39"/>
  <c r="FB207" i="39"/>
  <c r="FA207" i="39"/>
  <c r="EZ207" i="39"/>
  <c r="EY207" i="39"/>
  <c r="EX207" i="39"/>
  <c r="EW207" i="39"/>
  <c r="EV207" i="39"/>
  <c r="EU207" i="39"/>
  <c r="ES207" i="39"/>
  <c r="ER207" i="39"/>
  <c r="EQ207" i="39"/>
  <c r="EP207" i="39"/>
  <c r="EO207" i="39"/>
  <c r="EN207" i="39"/>
  <c r="EM207" i="39"/>
  <c r="EL207" i="39"/>
  <c r="EK207" i="39"/>
  <c r="EJ207" i="39"/>
  <c r="EI207" i="39"/>
  <c r="EH207" i="39"/>
  <c r="EG207" i="39"/>
  <c r="EF207" i="39"/>
  <c r="EE207" i="39"/>
  <c r="ED207" i="39"/>
  <c r="EC207" i="39"/>
  <c r="EB207" i="39"/>
  <c r="EA207" i="39"/>
  <c r="DZ207" i="39"/>
  <c r="DY207" i="39"/>
  <c r="DX207" i="39"/>
  <c r="DW207" i="39"/>
  <c r="FT206" i="39"/>
  <c r="FS206" i="39"/>
  <c r="FR206" i="39"/>
  <c r="FQ206" i="39"/>
  <c r="FP206" i="39"/>
  <c r="FO206" i="39"/>
  <c r="FN206" i="39"/>
  <c r="FM206" i="39"/>
  <c r="FL206" i="39"/>
  <c r="FK206" i="39"/>
  <c r="FJ206" i="39"/>
  <c r="FI206" i="39"/>
  <c r="FH206" i="39"/>
  <c r="FG206" i="39"/>
  <c r="FF206" i="39"/>
  <c r="FE206" i="39"/>
  <c r="FD206" i="39"/>
  <c r="FC206" i="39"/>
  <c r="FB206" i="39"/>
  <c r="FA206" i="39"/>
  <c r="EZ206" i="39"/>
  <c r="EY206" i="39"/>
  <c r="EX206" i="39"/>
  <c r="EW206" i="39"/>
  <c r="EV206" i="39"/>
  <c r="EU206" i="39"/>
  <c r="ES206" i="39"/>
  <c r="ER206" i="39"/>
  <c r="EQ206" i="39"/>
  <c r="EP206" i="39"/>
  <c r="EO206" i="39"/>
  <c r="EN206" i="39"/>
  <c r="EM206" i="39"/>
  <c r="EL206" i="39"/>
  <c r="EK206" i="39"/>
  <c r="EJ206" i="39"/>
  <c r="EI206" i="39"/>
  <c r="EH206" i="39"/>
  <c r="EG206" i="39"/>
  <c r="EF206" i="39"/>
  <c r="EE206" i="39"/>
  <c r="ED206" i="39"/>
  <c r="EC206" i="39"/>
  <c r="EB206" i="39"/>
  <c r="EA206" i="39"/>
  <c r="DZ206" i="39"/>
  <c r="DY206" i="39"/>
  <c r="DX206" i="39"/>
  <c r="DW206" i="39"/>
  <c r="FT205" i="39"/>
  <c r="FS205" i="39"/>
  <c r="FR205" i="39"/>
  <c r="FQ205" i="39"/>
  <c r="FP205" i="39"/>
  <c r="FO205" i="39"/>
  <c r="FN205" i="39"/>
  <c r="FM205" i="39"/>
  <c r="FL205" i="39"/>
  <c r="FK205" i="39"/>
  <c r="FJ205" i="39"/>
  <c r="FI205" i="39"/>
  <c r="FH205" i="39"/>
  <c r="FG205" i="39"/>
  <c r="FF205" i="39"/>
  <c r="FE205" i="39"/>
  <c r="FD205" i="39"/>
  <c r="FC205" i="39"/>
  <c r="FB205" i="39"/>
  <c r="FA205" i="39"/>
  <c r="EZ205" i="39"/>
  <c r="EY205" i="39"/>
  <c r="EX205" i="39"/>
  <c r="EW205" i="39"/>
  <c r="EV205" i="39"/>
  <c r="EU205" i="39"/>
  <c r="ES205" i="39"/>
  <c r="ER205" i="39"/>
  <c r="EQ205" i="39"/>
  <c r="EP205" i="39"/>
  <c r="EO205" i="39"/>
  <c r="EN205" i="39"/>
  <c r="EM205" i="39"/>
  <c r="EL205" i="39"/>
  <c r="EK205" i="39"/>
  <c r="EJ205" i="39"/>
  <c r="EI205" i="39"/>
  <c r="EH205" i="39"/>
  <c r="EG205" i="39"/>
  <c r="EF205" i="39"/>
  <c r="EE205" i="39"/>
  <c r="ED205" i="39"/>
  <c r="EC205" i="39"/>
  <c r="EB205" i="39"/>
  <c r="EA205" i="39"/>
  <c r="DZ205" i="39"/>
  <c r="DY205" i="39"/>
  <c r="DX205" i="39"/>
  <c r="DW205" i="39"/>
  <c r="FT204" i="39"/>
  <c r="FS204" i="39"/>
  <c r="FR204" i="39"/>
  <c r="FQ204" i="39"/>
  <c r="FP204" i="39"/>
  <c r="FO204" i="39"/>
  <c r="FN204" i="39"/>
  <c r="FM204" i="39"/>
  <c r="FL204" i="39"/>
  <c r="FK204" i="39"/>
  <c r="FJ204" i="39"/>
  <c r="FI204" i="39"/>
  <c r="FH204" i="39"/>
  <c r="FG204" i="39"/>
  <c r="FF204" i="39"/>
  <c r="FE204" i="39"/>
  <c r="FD204" i="39"/>
  <c r="FC204" i="39"/>
  <c r="FB204" i="39"/>
  <c r="FA204" i="39"/>
  <c r="EZ204" i="39"/>
  <c r="EY204" i="39"/>
  <c r="EX204" i="39"/>
  <c r="EW204" i="39"/>
  <c r="EV204" i="39"/>
  <c r="EU204" i="39"/>
  <c r="ES204" i="39"/>
  <c r="ER204" i="39"/>
  <c r="EQ204" i="39"/>
  <c r="EP204" i="39"/>
  <c r="EO204" i="39"/>
  <c r="EN204" i="39"/>
  <c r="EM204" i="39"/>
  <c r="EL204" i="39"/>
  <c r="EK204" i="39"/>
  <c r="EJ204" i="39"/>
  <c r="EI204" i="39"/>
  <c r="EH204" i="39"/>
  <c r="EG204" i="39"/>
  <c r="EF204" i="39"/>
  <c r="EE204" i="39"/>
  <c r="ED204" i="39"/>
  <c r="EC204" i="39"/>
  <c r="EB204" i="39"/>
  <c r="EA204" i="39"/>
  <c r="DZ204" i="39"/>
  <c r="DY204" i="39"/>
  <c r="DX204" i="39"/>
  <c r="DW204" i="39"/>
  <c r="FT203" i="39"/>
  <c r="FS203" i="39"/>
  <c r="FR203" i="39"/>
  <c r="FQ203" i="39"/>
  <c r="FP203" i="39"/>
  <c r="FO203" i="39"/>
  <c r="FN203" i="39"/>
  <c r="FM203" i="39"/>
  <c r="FL203" i="39"/>
  <c r="FK203" i="39"/>
  <c r="FJ203" i="39"/>
  <c r="FI203" i="39"/>
  <c r="FH203" i="39"/>
  <c r="FG203" i="39"/>
  <c r="FF203" i="39"/>
  <c r="FE203" i="39"/>
  <c r="FD203" i="39"/>
  <c r="FC203" i="39"/>
  <c r="FB203" i="39"/>
  <c r="FA203" i="39"/>
  <c r="EZ203" i="39"/>
  <c r="EY203" i="39"/>
  <c r="EX203" i="39"/>
  <c r="EW203" i="39"/>
  <c r="EV203" i="39"/>
  <c r="EU203" i="39"/>
  <c r="ES203" i="39"/>
  <c r="ER203" i="39"/>
  <c r="EQ203" i="39"/>
  <c r="EP203" i="39"/>
  <c r="EO203" i="39"/>
  <c r="EN203" i="39"/>
  <c r="EM203" i="39"/>
  <c r="EL203" i="39"/>
  <c r="EK203" i="39"/>
  <c r="EJ203" i="39"/>
  <c r="EI203" i="39"/>
  <c r="EH203" i="39"/>
  <c r="EG203" i="39"/>
  <c r="EF203" i="39"/>
  <c r="EE203" i="39"/>
  <c r="ED203" i="39"/>
  <c r="EC203" i="39"/>
  <c r="EB203" i="39"/>
  <c r="EA203" i="39"/>
  <c r="DZ203" i="39"/>
  <c r="DY203" i="39"/>
  <c r="DX203" i="39"/>
  <c r="DW203" i="39"/>
  <c r="FT202" i="39"/>
  <c r="FS202" i="39"/>
  <c r="FR202" i="39"/>
  <c r="FQ202" i="39"/>
  <c r="FP202" i="39"/>
  <c r="FO202" i="39"/>
  <c r="FN202" i="39"/>
  <c r="FM202" i="39"/>
  <c r="FL202" i="39"/>
  <c r="FK202" i="39"/>
  <c r="FJ202" i="39"/>
  <c r="FI202" i="39"/>
  <c r="FH202" i="39"/>
  <c r="FG202" i="39"/>
  <c r="FF202" i="39"/>
  <c r="FE202" i="39"/>
  <c r="FD202" i="39"/>
  <c r="FC202" i="39"/>
  <c r="FB202" i="39"/>
  <c r="FA202" i="39"/>
  <c r="EZ202" i="39"/>
  <c r="EY202" i="39"/>
  <c r="EX202" i="39"/>
  <c r="EW202" i="39"/>
  <c r="EV202" i="39"/>
  <c r="EU202" i="39"/>
  <c r="ES202" i="39"/>
  <c r="ER202" i="39"/>
  <c r="EQ202" i="39"/>
  <c r="EP202" i="39"/>
  <c r="EO202" i="39"/>
  <c r="EN202" i="39"/>
  <c r="EM202" i="39"/>
  <c r="EL202" i="39"/>
  <c r="EK202" i="39"/>
  <c r="EJ202" i="39"/>
  <c r="EI202" i="39"/>
  <c r="EH202" i="39"/>
  <c r="EG202" i="39"/>
  <c r="EF202" i="39"/>
  <c r="EE202" i="39"/>
  <c r="ED202" i="39"/>
  <c r="EC202" i="39"/>
  <c r="EB202" i="39"/>
  <c r="EA202" i="39"/>
  <c r="DZ202" i="39"/>
  <c r="DY202" i="39"/>
  <c r="DX202" i="39"/>
  <c r="DW202" i="39"/>
  <c r="FT201" i="39"/>
  <c r="FS201" i="39"/>
  <c r="FR201" i="39"/>
  <c r="FQ201" i="39"/>
  <c r="FP201" i="39"/>
  <c r="FO201" i="39"/>
  <c r="FN201" i="39"/>
  <c r="FM201" i="39"/>
  <c r="FL201" i="39"/>
  <c r="FK201" i="39"/>
  <c r="FJ201" i="39"/>
  <c r="FI201" i="39"/>
  <c r="FH201" i="39"/>
  <c r="FG201" i="39"/>
  <c r="FF201" i="39"/>
  <c r="FE201" i="39"/>
  <c r="FD201" i="39"/>
  <c r="FC201" i="39"/>
  <c r="FB201" i="39"/>
  <c r="FA201" i="39"/>
  <c r="EZ201" i="39"/>
  <c r="EY201" i="39"/>
  <c r="EX201" i="39"/>
  <c r="EW201" i="39"/>
  <c r="EV201" i="39"/>
  <c r="EU201" i="39"/>
  <c r="ES201" i="39"/>
  <c r="ER201" i="39"/>
  <c r="EQ201" i="39"/>
  <c r="EP201" i="39"/>
  <c r="EO201" i="39"/>
  <c r="EN201" i="39"/>
  <c r="EM201" i="39"/>
  <c r="EL201" i="39"/>
  <c r="EK201" i="39"/>
  <c r="EJ201" i="39"/>
  <c r="EI201" i="39"/>
  <c r="EH201" i="39"/>
  <c r="EG201" i="39"/>
  <c r="EF201" i="39"/>
  <c r="EE201" i="39"/>
  <c r="ED201" i="39"/>
  <c r="EC201" i="39"/>
  <c r="EB201" i="39"/>
  <c r="EA201" i="39"/>
  <c r="DZ201" i="39"/>
  <c r="DY201" i="39"/>
  <c r="DX201" i="39"/>
  <c r="DW201" i="39"/>
  <c r="FT200" i="39"/>
  <c r="FS200" i="39"/>
  <c r="FR200" i="39"/>
  <c r="FQ200" i="39"/>
  <c r="FP200" i="39"/>
  <c r="FO200" i="39"/>
  <c r="FN200" i="39"/>
  <c r="FM200" i="39"/>
  <c r="FL200" i="39"/>
  <c r="FK200" i="39"/>
  <c r="FJ200" i="39"/>
  <c r="FI200" i="39"/>
  <c r="FH200" i="39"/>
  <c r="FG200" i="39"/>
  <c r="FF200" i="39"/>
  <c r="FE200" i="39"/>
  <c r="FD200" i="39"/>
  <c r="FC200" i="39"/>
  <c r="FB200" i="39"/>
  <c r="FA200" i="39"/>
  <c r="EZ200" i="39"/>
  <c r="EY200" i="39"/>
  <c r="EX200" i="39"/>
  <c r="EW200" i="39"/>
  <c r="EV200" i="39"/>
  <c r="EU200" i="39"/>
  <c r="ES200" i="39"/>
  <c r="ER200" i="39"/>
  <c r="EQ200" i="39"/>
  <c r="EP200" i="39"/>
  <c r="EO200" i="39"/>
  <c r="EN200" i="39"/>
  <c r="EM200" i="39"/>
  <c r="EL200" i="39"/>
  <c r="EK200" i="39"/>
  <c r="EJ200" i="39"/>
  <c r="EI200" i="39"/>
  <c r="EH200" i="39"/>
  <c r="EG200" i="39"/>
  <c r="EF200" i="39"/>
  <c r="EE200" i="39"/>
  <c r="ED200" i="39"/>
  <c r="EC200" i="39"/>
  <c r="EB200" i="39"/>
  <c r="EA200" i="39"/>
  <c r="DZ200" i="39"/>
  <c r="DY200" i="39"/>
  <c r="DX200" i="39"/>
  <c r="DW200" i="39"/>
  <c r="FT199" i="39"/>
  <c r="FS199" i="39"/>
  <c r="FR199" i="39"/>
  <c r="FQ199" i="39"/>
  <c r="FP199" i="39"/>
  <c r="FO199" i="39"/>
  <c r="FN199" i="39"/>
  <c r="FM199" i="39"/>
  <c r="FL199" i="39"/>
  <c r="FK199" i="39"/>
  <c r="FJ199" i="39"/>
  <c r="FI199" i="39"/>
  <c r="FH199" i="39"/>
  <c r="FG199" i="39"/>
  <c r="FF199" i="39"/>
  <c r="FE199" i="39"/>
  <c r="FD199" i="39"/>
  <c r="FC199" i="39"/>
  <c r="FB199" i="39"/>
  <c r="FA199" i="39"/>
  <c r="EZ199" i="39"/>
  <c r="EY199" i="39"/>
  <c r="EX199" i="39"/>
  <c r="EW199" i="39"/>
  <c r="EV199" i="39"/>
  <c r="EU199" i="39"/>
  <c r="ES199" i="39"/>
  <c r="ER199" i="39"/>
  <c r="EQ199" i="39"/>
  <c r="EP199" i="39"/>
  <c r="EO199" i="39"/>
  <c r="EN199" i="39"/>
  <c r="EM199" i="39"/>
  <c r="EL199" i="39"/>
  <c r="EK199" i="39"/>
  <c r="EJ199" i="39"/>
  <c r="EI199" i="39"/>
  <c r="EH199" i="39"/>
  <c r="EG199" i="39"/>
  <c r="EF199" i="39"/>
  <c r="EE199" i="39"/>
  <c r="ED199" i="39"/>
  <c r="EC199" i="39"/>
  <c r="EB199" i="39"/>
  <c r="EA199" i="39"/>
  <c r="DZ199" i="39"/>
  <c r="DY199" i="39"/>
  <c r="DX199" i="39"/>
  <c r="DW199" i="39"/>
  <c r="FT198" i="39"/>
  <c r="FS198" i="39"/>
  <c r="FR198" i="39"/>
  <c r="FQ198" i="39"/>
  <c r="FP198" i="39"/>
  <c r="FO198" i="39"/>
  <c r="FN198" i="39"/>
  <c r="FM198" i="39"/>
  <c r="FL198" i="39"/>
  <c r="FK198" i="39"/>
  <c r="FJ198" i="39"/>
  <c r="FI198" i="39"/>
  <c r="FH198" i="39"/>
  <c r="FG198" i="39"/>
  <c r="FF198" i="39"/>
  <c r="FE198" i="39"/>
  <c r="FD198" i="39"/>
  <c r="FC198" i="39"/>
  <c r="FB198" i="39"/>
  <c r="FA198" i="39"/>
  <c r="EZ198" i="39"/>
  <c r="EY198" i="39"/>
  <c r="EX198" i="39"/>
  <c r="EW198" i="39"/>
  <c r="EV198" i="39"/>
  <c r="EU198" i="39"/>
  <c r="ES198" i="39"/>
  <c r="ER198" i="39"/>
  <c r="EQ198" i="39"/>
  <c r="EP198" i="39"/>
  <c r="EO198" i="39"/>
  <c r="EN198" i="39"/>
  <c r="EM198" i="39"/>
  <c r="EL198" i="39"/>
  <c r="EK198" i="39"/>
  <c r="EJ198" i="39"/>
  <c r="EI198" i="39"/>
  <c r="EH198" i="39"/>
  <c r="EG198" i="39"/>
  <c r="EF198" i="39"/>
  <c r="EE198" i="39"/>
  <c r="ED198" i="39"/>
  <c r="EC198" i="39"/>
  <c r="EB198" i="39"/>
  <c r="EA198" i="39"/>
  <c r="DZ198" i="39"/>
  <c r="DY198" i="39"/>
  <c r="DX198" i="39"/>
  <c r="DW198" i="39"/>
  <c r="FT197" i="39"/>
  <c r="FS197" i="39"/>
  <c r="FR197" i="39"/>
  <c r="FQ197" i="39"/>
  <c r="FP197" i="39"/>
  <c r="FO197" i="39"/>
  <c r="FN197" i="39"/>
  <c r="FM197" i="39"/>
  <c r="FL197" i="39"/>
  <c r="FK197" i="39"/>
  <c r="FJ197" i="39"/>
  <c r="FI197" i="39"/>
  <c r="FH197" i="39"/>
  <c r="FG197" i="39"/>
  <c r="FF197" i="39"/>
  <c r="FE197" i="39"/>
  <c r="FD197" i="39"/>
  <c r="FC197" i="39"/>
  <c r="FB197" i="39"/>
  <c r="FA197" i="39"/>
  <c r="EZ197" i="39"/>
  <c r="EY197" i="39"/>
  <c r="EX197" i="39"/>
  <c r="EW197" i="39"/>
  <c r="EV197" i="39"/>
  <c r="EU197" i="39"/>
  <c r="ES197" i="39"/>
  <c r="ER197" i="39"/>
  <c r="EQ197" i="39"/>
  <c r="EP197" i="39"/>
  <c r="EO197" i="39"/>
  <c r="EN197" i="39"/>
  <c r="EM197" i="39"/>
  <c r="EL197" i="39"/>
  <c r="EK197" i="39"/>
  <c r="EJ197" i="39"/>
  <c r="EI197" i="39"/>
  <c r="EH197" i="39"/>
  <c r="EG197" i="39"/>
  <c r="EF197" i="39"/>
  <c r="EE197" i="39"/>
  <c r="ED197" i="39"/>
  <c r="EC197" i="39"/>
  <c r="EB197" i="39"/>
  <c r="EA197" i="39"/>
  <c r="DZ197" i="39"/>
  <c r="DY197" i="39"/>
  <c r="DX197" i="39"/>
  <c r="DW197" i="39"/>
  <c r="FT196" i="39"/>
  <c r="FS196" i="39"/>
  <c r="FR196" i="39"/>
  <c r="FQ196" i="39"/>
  <c r="FP196" i="39"/>
  <c r="FO196" i="39"/>
  <c r="FN196" i="39"/>
  <c r="FM196" i="39"/>
  <c r="FL196" i="39"/>
  <c r="FK196" i="39"/>
  <c r="FJ196" i="39"/>
  <c r="FI196" i="39"/>
  <c r="FH196" i="39"/>
  <c r="FG196" i="39"/>
  <c r="FF196" i="39"/>
  <c r="FE196" i="39"/>
  <c r="FD196" i="39"/>
  <c r="FC196" i="39"/>
  <c r="FB196" i="39"/>
  <c r="FA196" i="39"/>
  <c r="EZ196" i="39"/>
  <c r="EY196" i="39"/>
  <c r="EX196" i="39"/>
  <c r="EW196" i="39"/>
  <c r="EV196" i="39"/>
  <c r="EU196" i="39"/>
  <c r="ES196" i="39"/>
  <c r="ER196" i="39"/>
  <c r="EQ196" i="39"/>
  <c r="EP196" i="39"/>
  <c r="EO196" i="39"/>
  <c r="EN196" i="39"/>
  <c r="EM196" i="39"/>
  <c r="EL196" i="39"/>
  <c r="EK196" i="39"/>
  <c r="EJ196" i="39"/>
  <c r="EI196" i="39"/>
  <c r="EH196" i="39"/>
  <c r="EG196" i="39"/>
  <c r="EF196" i="39"/>
  <c r="EE196" i="39"/>
  <c r="ED196" i="39"/>
  <c r="EC196" i="39"/>
  <c r="EB196" i="39"/>
  <c r="EA196" i="39"/>
  <c r="DZ196" i="39"/>
  <c r="DY196" i="39"/>
  <c r="DX196" i="39"/>
  <c r="DW196" i="39"/>
  <c r="FT195" i="39"/>
  <c r="FS195" i="39"/>
  <c r="FR195" i="39"/>
  <c r="FQ195" i="39"/>
  <c r="FP195" i="39"/>
  <c r="FO195" i="39"/>
  <c r="FN195" i="39"/>
  <c r="FM195" i="39"/>
  <c r="FL195" i="39"/>
  <c r="FK195" i="39"/>
  <c r="FJ195" i="39"/>
  <c r="FI195" i="39"/>
  <c r="FH195" i="39"/>
  <c r="FG195" i="39"/>
  <c r="FF195" i="39"/>
  <c r="FE195" i="39"/>
  <c r="FD195" i="39"/>
  <c r="FC195" i="39"/>
  <c r="FB195" i="39"/>
  <c r="FA195" i="39"/>
  <c r="EZ195" i="39"/>
  <c r="EY195" i="39"/>
  <c r="EX195" i="39"/>
  <c r="EW195" i="39"/>
  <c r="EV195" i="39"/>
  <c r="EU195" i="39"/>
  <c r="ES195" i="39"/>
  <c r="ER195" i="39"/>
  <c r="EQ195" i="39"/>
  <c r="EP195" i="39"/>
  <c r="EO195" i="39"/>
  <c r="EN195" i="39"/>
  <c r="EM195" i="39"/>
  <c r="EL195" i="39"/>
  <c r="EK195" i="39"/>
  <c r="EJ195" i="39"/>
  <c r="EI195" i="39"/>
  <c r="EH195" i="39"/>
  <c r="EG195" i="39"/>
  <c r="EF195" i="39"/>
  <c r="EE195" i="39"/>
  <c r="ED195" i="39"/>
  <c r="EC195" i="39"/>
  <c r="EB195" i="39"/>
  <c r="EA195" i="39"/>
  <c r="DZ195" i="39"/>
  <c r="DY195" i="39"/>
  <c r="DX195" i="39"/>
  <c r="DW195" i="39"/>
  <c r="FT194" i="39"/>
  <c r="FS194" i="39"/>
  <c r="FR194" i="39"/>
  <c r="FQ194" i="39"/>
  <c r="FP194" i="39"/>
  <c r="FO194" i="39"/>
  <c r="FN194" i="39"/>
  <c r="FM194" i="39"/>
  <c r="FL194" i="39"/>
  <c r="FK194" i="39"/>
  <c r="FJ194" i="39"/>
  <c r="FI194" i="39"/>
  <c r="FH194" i="39"/>
  <c r="FG194" i="39"/>
  <c r="FF194" i="39"/>
  <c r="FE194" i="39"/>
  <c r="FD194" i="39"/>
  <c r="FC194" i="39"/>
  <c r="FB194" i="39"/>
  <c r="FA194" i="39"/>
  <c r="EZ194" i="39"/>
  <c r="EY194" i="39"/>
  <c r="EX194" i="39"/>
  <c r="EW194" i="39"/>
  <c r="EV194" i="39"/>
  <c r="EU194" i="39"/>
  <c r="ES194" i="39"/>
  <c r="ER194" i="39"/>
  <c r="EQ194" i="39"/>
  <c r="EP194" i="39"/>
  <c r="EO194" i="39"/>
  <c r="EN194" i="39"/>
  <c r="EM194" i="39"/>
  <c r="EL194" i="39"/>
  <c r="EK194" i="39"/>
  <c r="EJ194" i="39"/>
  <c r="EI194" i="39"/>
  <c r="EH194" i="39"/>
  <c r="EG194" i="39"/>
  <c r="EF194" i="39"/>
  <c r="EE194" i="39"/>
  <c r="ED194" i="39"/>
  <c r="EC194" i="39"/>
  <c r="EB194" i="39"/>
  <c r="EA194" i="39"/>
  <c r="DZ194" i="39"/>
  <c r="DY194" i="39"/>
  <c r="DX194" i="39"/>
  <c r="DW194" i="39"/>
  <c r="FT193" i="39"/>
  <c r="FS193" i="39"/>
  <c r="FR193" i="39"/>
  <c r="FQ193" i="39"/>
  <c r="FP193" i="39"/>
  <c r="FO193" i="39"/>
  <c r="FN193" i="39"/>
  <c r="FM193" i="39"/>
  <c r="FL193" i="39"/>
  <c r="FK193" i="39"/>
  <c r="FJ193" i="39"/>
  <c r="FI193" i="39"/>
  <c r="FH193" i="39"/>
  <c r="FG193" i="39"/>
  <c r="FF193" i="39"/>
  <c r="FE193" i="39"/>
  <c r="FD193" i="39"/>
  <c r="FC193" i="39"/>
  <c r="FB193" i="39"/>
  <c r="FA193" i="39"/>
  <c r="EZ193" i="39"/>
  <c r="EY193" i="39"/>
  <c r="EX193" i="39"/>
  <c r="EW193" i="39"/>
  <c r="EV193" i="39"/>
  <c r="EU193" i="39"/>
  <c r="ES193" i="39"/>
  <c r="ER193" i="39"/>
  <c r="EQ193" i="39"/>
  <c r="EP193" i="39"/>
  <c r="EO193" i="39"/>
  <c r="EN193" i="39"/>
  <c r="EM193" i="39"/>
  <c r="EL193" i="39"/>
  <c r="EK193" i="39"/>
  <c r="EJ193" i="39"/>
  <c r="EI193" i="39"/>
  <c r="EH193" i="39"/>
  <c r="EG193" i="39"/>
  <c r="EF193" i="39"/>
  <c r="EE193" i="39"/>
  <c r="ED193" i="39"/>
  <c r="EC193" i="39"/>
  <c r="EB193" i="39"/>
  <c r="EA193" i="39"/>
  <c r="DZ193" i="39"/>
  <c r="DY193" i="39"/>
  <c r="DX193" i="39"/>
  <c r="DW193" i="39"/>
  <c r="FT192" i="39"/>
  <c r="FS192" i="39"/>
  <c r="FR192" i="39"/>
  <c r="FQ192" i="39"/>
  <c r="FP192" i="39"/>
  <c r="FO192" i="39"/>
  <c r="FN192" i="39"/>
  <c r="FM192" i="39"/>
  <c r="FL192" i="39"/>
  <c r="FK192" i="39"/>
  <c r="FJ192" i="39"/>
  <c r="FI192" i="39"/>
  <c r="FH192" i="39"/>
  <c r="FG192" i="39"/>
  <c r="FF192" i="39"/>
  <c r="FE192" i="39"/>
  <c r="FD192" i="39"/>
  <c r="FC192" i="39"/>
  <c r="FB192" i="39"/>
  <c r="FA192" i="39"/>
  <c r="EZ192" i="39"/>
  <c r="EY192" i="39"/>
  <c r="EX192" i="39"/>
  <c r="EW192" i="39"/>
  <c r="EV192" i="39"/>
  <c r="EU192" i="39"/>
  <c r="ES192" i="39"/>
  <c r="ER192" i="39"/>
  <c r="EQ192" i="39"/>
  <c r="EP192" i="39"/>
  <c r="EO192" i="39"/>
  <c r="EN192" i="39"/>
  <c r="EM192" i="39"/>
  <c r="EL192" i="39"/>
  <c r="EK192" i="39"/>
  <c r="EJ192" i="39"/>
  <c r="EI192" i="39"/>
  <c r="EH192" i="39"/>
  <c r="EG192" i="39"/>
  <c r="EF192" i="39"/>
  <c r="EE192" i="39"/>
  <c r="ED192" i="39"/>
  <c r="EC192" i="39"/>
  <c r="EB192" i="39"/>
  <c r="EA192" i="39"/>
  <c r="DZ192" i="39"/>
  <c r="DY192" i="39"/>
  <c r="DX192" i="39"/>
  <c r="DW192" i="39"/>
  <c r="FT191" i="39"/>
  <c r="FS191" i="39"/>
  <c r="FR191" i="39"/>
  <c r="FQ191" i="39"/>
  <c r="FP191" i="39"/>
  <c r="FO191" i="39"/>
  <c r="FN191" i="39"/>
  <c r="FM191" i="39"/>
  <c r="FL191" i="39"/>
  <c r="FK191" i="39"/>
  <c r="FJ191" i="39"/>
  <c r="FI191" i="39"/>
  <c r="FH191" i="39"/>
  <c r="FG191" i="39"/>
  <c r="FF191" i="39"/>
  <c r="FE191" i="39"/>
  <c r="FD191" i="39"/>
  <c r="FC191" i="39"/>
  <c r="FB191" i="39"/>
  <c r="FA191" i="39"/>
  <c r="EZ191" i="39"/>
  <c r="EY191" i="39"/>
  <c r="EX191" i="39"/>
  <c r="EW191" i="39"/>
  <c r="EV191" i="39"/>
  <c r="EU191" i="39"/>
  <c r="ES191" i="39"/>
  <c r="ER191" i="39"/>
  <c r="EQ191" i="39"/>
  <c r="EP191" i="39"/>
  <c r="EO191" i="39"/>
  <c r="EN191" i="39"/>
  <c r="EM191" i="39"/>
  <c r="EL191" i="39"/>
  <c r="EK191" i="39"/>
  <c r="EJ191" i="39"/>
  <c r="EI191" i="39"/>
  <c r="EH191" i="39"/>
  <c r="EG191" i="39"/>
  <c r="EF191" i="39"/>
  <c r="EE191" i="39"/>
  <c r="ED191" i="39"/>
  <c r="EC191" i="39"/>
  <c r="EB191" i="39"/>
  <c r="EA191" i="39"/>
  <c r="DZ191" i="39"/>
  <c r="DY191" i="39"/>
  <c r="DX191" i="39"/>
  <c r="DW191" i="39"/>
  <c r="FT190" i="39"/>
  <c r="FS190" i="39"/>
  <c r="FR190" i="39"/>
  <c r="FQ190" i="39"/>
  <c r="FP190" i="39"/>
  <c r="FO190" i="39"/>
  <c r="FN190" i="39"/>
  <c r="FM190" i="39"/>
  <c r="FL190" i="39"/>
  <c r="FK190" i="39"/>
  <c r="FJ190" i="39"/>
  <c r="FI190" i="39"/>
  <c r="FH190" i="39"/>
  <c r="FG190" i="39"/>
  <c r="FF190" i="39"/>
  <c r="FE190" i="39"/>
  <c r="FD190" i="39"/>
  <c r="FC190" i="39"/>
  <c r="FB190" i="39"/>
  <c r="FA190" i="39"/>
  <c r="EZ190" i="39"/>
  <c r="EY190" i="39"/>
  <c r="EX190" i="39"/>
  <c r="EW190" i="39"/>
  <c r="EV190" i="39"/>
  <c r="EU190" i="39"/>
  <c r="ES190" i="39"/>
  <c r="ER190" i="39"/>
  <c r="EQ190" i="39"/>
  <c r="EP190" i="39"/>
  <c r="EO190" i="39"/>
  <c r="EN190" i="39"/>
  <c r="EM190" i="39"/>
  <c r="EL190" i="39"/>
  <c r="EK190" i="39"/>
  <c r="EJ190" i="39"/>
  <c r="EI190" i="39"/>
  <c r="EH190" i="39"/>
  <c r="EG190" i="39"/>
  <c r="EF190" i="39"/>
  <c r="EE190" i="39"/>
  <c r="ED190" i="39"/>
  <c r="EC190" i="39"/>
  <c r="EB190" i="39"/>
  <c r="EA190" i="39"/>
  <c r="DZ190" i="39"/>
  <c r="DY190" i="39"/>
  <c r="DX190" i="39"/>
  <c r="DW190" i="39"/>
  <c r="FT189" i="39"/>
  <c r="FS189" i="39"/>
  <c r="FR189" i="39"/>
  <c r="FQ189" i="39"/>
  <c r="FP189" i="39"/>
  <c r="FO189" i="39"/>
  <c r="FN189" i="39"/>
  <c r="FM189" i="39"/>
  <c r="FL189" i="39"/>
  <c r="FK189" i="39"/>
  <c r="FJ189" i="39"/>
  <c r="FI189" i="39"/>
  <c r="FH189" i="39"/>
  <c r="FG189" i="39"/>
  <c r="FF189" i="39"/>
  <c r="FE189" i="39"/>
  <c r="FD189" i="39"/>
  <c r="FC189" i="39"/>
  <c r="FB189" i="39"/>
  <c r="FA189" i="39"/>
  <c r="EZ189" i="39"/>
  <c r="EY189" i="39"/>
  <c r="EX189" i="39"/>
  <c r="EW189" i="39"/>
  <c r="EV189" i="39"/>
  <c r="EU189" i="39"/>
  <c r="ES189" i="39"/>
  <c r="ER189" i="39"/>
  <c r="EQ189" i="39"/>
  <c r="EP189" i="39"/>
  <c r="EO189" i="39"/>
  <c r="EN189" i="39"/>
  <c r="EM189" i="39"/>
  <c r="EL189" i="39"/>
  <c r="EK189" i="39"/>
  <c r="EJ189" i="39"/>
  <c r="EI189" i="39"/>
  <c r="EH189" i="39"/>
  <c r="EG189" i="39"/>
  <c r="EF189" i="39"/>
  <c r="EE189" i="39"/>
  <c r="ED189" i="39"/>
  <c r="EC189" i="39"/>
  <c r="EB189" i="39"/>
  <c r="EA189" i="39"/>
  <c r="DZ189" i="39"/>
  <c r="DY189" i="39"/>
  <c r="DX189" i="39"/>
  <c r="DW189" i="39"/>
  <c r="FT188" i="39"/>
  <c r="FS188" i="39"/>
  <c r="FR188" i="39"/>
  <c r="FQ188" i="39"/>
  <c r="FP188" i="39"/>
  <c r="FO188" i="39"/>
  <c r="FN188" i="39"/>
  <c r="FM188" i="39"/>
  <c r="FL188" i="39"/>
  <c r="FK188" i="39"/>
  <c r="FJ188" i="39"/>
  <c r="FI188" i="39"/>
  <c r="FH188" i="39"/>
  <c r="FG188" i="39"/>
  <c r="FF188" i="39"/>
  <c r="FE188" i="39"/>
  <c r="FD188" i="39"/>
  <c r="FC188" i="39"/>
  <c r="FB188" i="39"/>
  <c r="FA188" i="39"/>
  <c r="EZ188" i="39"/>
  <c r="EY188" i="39"/>
  <c r="EX188" i="39"/>
  <c r="EW188" i="39"/>
  <c r="EV188" i="39"/>
  <c r="EU188" i="39"/>
  <c r="ES188" i="39"/>
  <c r="ER188" i="39"/>
  <c r="EQ188" i="39"/>
  <c r="EP188" i="39"/>
  <c r="EO188" i="39"/>
  <c r="EN188" i="39"/>
  <c r="EM188" i="39"/>
  <c r="EL188" i="39"/>
  <c r="EK188" i="39"/>
  <c r="EJ188" i="39"/>
  <c r="EI188" i="39"/>
  <c r="EH188" i="39"/>
  <c r="EG188" i="39"/>
  <c r="EF188" i="39"/>
  <c r="EE188" i="39"/>
  <c r="ED188" i="39"/>
  <c r="EC188" i="39"/>
  <c r="EB188" i="39"/>
  <c r="EA188" i="39"/>
  <c r="DZ188" i="39"/>
  <c r="DY188" i="39"/>
  <c r="DX188" i="39"/>
  <c r="DW188" i="39"/>
  <c r="FT187" i="39"/>
  <c r="FS187" i="39"/>
  <c r="FR187" i="39"/>
  <c r="FQ187" i="39"/>
  <c r="FP187" i="39"/>
  <c r="FO187" i="39"/>
  <c r="FN187" i="39"/>
  <c r="FM187" i="39"/>
  <c r="FL187" i="39"/>
  <c r="FK187" i="39"/>
  <c r="FJ187" i="39"/>
  <c r="FI187" i="39"/>
  <c r="FH187" i="39"/>
  <c r="FG187" i="39"/>
  <c r="FF187" i="39"/>
  <c r="FE187" i="39"/>
  <c r="FD187" i="39"/>
  <c r="FC187" i="39"/>
  <c r="FB187" i="39"/>
  <c r="FA187" i="39"/>
  <c r="EZ187" i="39"/>
  <c r="EY187" i="39"/>
  <c r="EX187" i="39"/>
  <c r="EW187" i="39"/>
  <c r="EV187" i="39"/>
  <c r="EU187" i="39"/>
  <c r="ES187" i="39"/>
  <c r="ER187" i="39"/>
  <c r="EQ187" i="39"/>
  <c r="EP187" i="39"/>
  <c r="EO187" i="39"/>
  <c r="EN187" i="39"/>
  <c r="EM187" i="39"/>
  <c r="EL187" i="39"/>
  <c r="EK187" i="39"/>
  <c r="EJ187" i="39"/>
  <c r="EI187" i="39"/>
  <c r="EH187" i="39"/>
  <c r="EG187" i="39"/>
  <c r="EF187" i="39"/>
  <c r="EE187" i="39"/>
  <c r="ED187" i="39"/>
  <c r="EC187" i="39"/>
  <c r="EB187" i="39"/>
  <c r="EA187" i="39"/>
  <c r="DZ187" i="39"/>
  <c r="DY187" i="39"/>
  <c r="DX187" i="39"/>
  <c r="DW187" i="39"/>
  <c r="FT186" i="39"/>
  <c r="FS186" i="39"/>
  <c r="FR186" i="39"/>
  <c r="FQ186" i="39"/>
  <c r="FP186" i="39"/>
  <c r="FO186" i="39"/>
  <c r="FN186" i="39"/>
  <c r="FM186" i="39"/>
  <c r="FL186" i="39"/>
  <c r="FK186" i="39"/>
  <c r="FJ186" i="39"/>
  <c r="FI186" i="39"/>
  <c r="FH186" i="39"/>
  <c r="FG186" i="39"/>
  <c r="FF186" i="39"/>
  <c r="FE186" i="39"/>
  <c r="FD186" i="39"/>
  <c r="FC186" i="39"/>
  <c r="FB186" i="39"/>
  <c r="FA186" i="39"/>
  <c r="EZ186" i="39"/>
  <c r="EY186" i="39"/>
  <c r="EX186" i="39"/>
  <c r="EW186" i="39"/>
  <c r="EV186" i="39"/>
  <c r="EU186" i="39"/>
  <c r="ES186" i="39"/>
  <c r="ER186" i="39"/>
  <c r="EQ186" i="39"/>
  <c r="EP186" i="39"/>
  <c r="EO186" i="39"/>
  <c r="EN186" i="39"/>
  <c r="EM186" i="39"/>
  <c r="EL186" i="39"/>
  <c r="EK186" i="39"/>
  <c r="EJ186" i="39"/>
  <c r="EI186" i="39"/>
  <c r="EH186" i="39"/>
  <c r="EG186" i="39"/>
  <c r="EF186" i="39"/>
  <c r="EE186" i="39"/>
  <c r="ED186" i="39"/>
  <c r="EC186" i="39"/>
  <c r="EB186" i="39"/>
  <c r="EA186" i="39"/>
  <c r="DZ186" i="39"/>
  <c r="DY186" i="39"/>
  <c r="DX186" i="39"/>
  <c r="DW186" i="39"/>
  <c r="FT185" i="39"/>
  <c r="FS185" i="39"/>
  <c r="FR185" i="39"/>
  <c r="FQ185" i="39"/>
  <c r="FP185" i="39"/>
  <c r="FO185" i="39"/>
  <c r="FN185" i="39"/>
  <c r="FM185" i="39"/>
  <c r="FL185" i="39"/>
  <c r="FK185" i="39"/>
  <c r="FJ185" i="39"/>
  <c r="FI185" i="39"/>
  <c r="FH185" i="39"/>
  <c r="FG185" i="39"/>
  <c r="FF185" i="39"/>
  <c r="FE185" i="39"/>
  <c r="FD185" i="39"/>
  <c r="FC185" i="39"/>
  <c r="FB185" i="39"/>
  <c r="FA185" i="39"/>
  <c r="EZ185" i="39"/>
  <c r="EY185" i="39"/>
  <c r="EX185" i="39"/>
  <c r="EW185" i="39"/>
  <c r="EV185" i="39"/>
  <c r="EU185" i="39"/>
  <c r="ES185" i="39"/>
  <c r="ER185" i="39"/>
  <c r="EQ185" i="39"/>
  <c r="EP185" i="39"/>
  <c r="EO185" i="39"/>
  <c r="EN185" i="39"/>
  <c r="EM185" i="39"/>
  <c r="EL185" i="39"/>
  <c r="EK185" i="39"/>
  <c r="EJ185" i="39"/>
  <c r="EI185" i="39"/>
  <c r="EH185" i="39"/>
  <c r="EG185" i="39"/>
  <c r="EF185" i="39"/>
  <c r="EE185" i="39"/>
  <c r="ED185" i="39"/>
  <c r="EC185" i="39"/>
  <c r="EB185" i="39"/>
  <c r="EA185" i="39"/>
  <c r="DZ185" i="39"/>
  <c r="DY185" i="39"/>
  <c r="DX185" i="39"/>
  <c r="DW185" i="39"/>
  <c r="FT184" i="39"/>
  <c r="FS184" i="39"/>
  <c r="FR184" i="39"/>
  <c r="FQ184" i="39"/>
  <c r="FP184" i="39"/>
  <c r="FO184" i="39"/>
  <c r="FN184" i="39"/>
  <c r="FM184" i="39"/>
  <c r="FL184" i="39"/>
  <c r="FK184" i="39"/>
  <c r="FJ184" i="39"/>
  <c r="FI184" i="39"/>
  <c r="FH184" i="39"/>
  <c r="FG184" i="39"/>
  <c r="FF184" i="39"/>
  <c r="FE184" i="39"/>
  <c r="FD184" i="39"/>
  <c r="FC184" i="39"/>
  <c r="FB184" i="39"/>
  <c r="FA184" i="39"/>
  <c r="EZ184" i="39"/>
  <c r="EY184" i="39"/>
  <c r="EX184" i="39"/>
  <c r="EW184" i="39"/>
  <c r="EV184" i="39"/>
  <c r="EU184" i="39"/>
  <c r="ES184" i="39"/>
  <c r="ER184" i="39"/>
  <c r="EQ184" i="39"/>
  <c r="EP184" i="39"/>
  <c r="EO184" i="39"/>
  <c r="EN184" i="39"/>
  <c r="EM184" i="39"/>
  <c r="EL184" i="39"/>
  <c r="EK184" i="39"/>
  <c r="EJ184" i="39"/>
  <c r="EI184" i="39"/>
  <c r="EH184" i="39"/>
  <c r="EG184" i="39"/>
  <c r="EF184" i="39"/>
  <c r="EE184" i="39"/>
  <c r="ED184" i="39"/>
  <c r="EC184" i="39"/>
  <c r="EB184" i="39"/>
  <c r="EA184" i="39"/>
  <c r="DZ184" i="39"/>
  <c r="DY184" i="39"/>
  <c r="DX184" i="39"/>
  <c r="DW184" i="39"/>
  <c r="FT183" i="39"/>
  <c r="FS183" i="39"/>
  <c r="FR183" i="39"/>
  <c r="FQ183" i="39"/>
  <c r="FP183" i="39"/>
  <c r="FO183" i="39"/>
  <c r="FN183" i="39"/>
  <c r="FM183" i="39"/>
  <c r="FL183" i="39"/>
  <c r="FK183" i="39"/>
  <c r="FJ183" i="39"/>
  <c r="FI183" i="39"/>
  <c r="FH183" i="39"/>
  <c r="FG183" i="39"/>
  <c r="FF183" i="39"/>
  <c r="FE183" i="39"/>
  <c r="FD183" i="39"/>
  <c r="FC183" i="39"/>
  <c r="FB183" i="39"/>
  <c r="FA183" i="39"/>
  <c r="EZ183" i="39"/>
  <c r="EY183" i="39"/>
  <c r="EX183" i="39"/>
  <c r="EW183" i="39"/>
  <c r="EV183" i="39"/>
  <c r="EU183" i="39"/>
  <c r="ES183" i="39"/>
  <c r="ER183" i="39"/>
  <c r="EQ183" i="39"/>
  <c r="EP183" i="39"/>
  <c r="EO183" i="39"/>
  <c r="EN183" i="39"/>
  <c r="EM183" i="39"/>
  <c r="EL183" i="39"/>
  <c r="EK183" i="39"/>
  <c r="EJ183" i="39"/>
  <c r="EI183" i="39"/>
  <c r="EH183" i="39"/>
  <c r="EG183" i="39"/>
  <c r="EF183" i="39"/>
  <c r="EE183" i="39"/>
  <c r="ED183" i="39"/>
  <c r="EC183" i="39"/>
  <c r="EB183" i="39"/>
  <c r="EA183" i="39"/>
  <c r="DZ183" i="39"/>
  <c r="DY183" i="39"/>
  <c r="DX183" i="39"/>
  <c r="DW183" i="39"/>
  <c r="FT182" i="39"/>
  <c r="FS182" i="39"/>
  <c r="FR182" i="39"/>
  <c r="FQ182" i="39"/>
  <c r="FP182" i="39"/>
  <c r="FO182" i="39"/>
  <c r="FN182" i="39"/>
  <c r="FM182" i="39"/>
  <c r="FL182" i="39"/>
  <c r="FK182" i="39"/>
  <c r="FJ182" i="39"/>
  <c r="FI182" i="39"/>
  <c r="FH182" i="39"/>
  <c r="FG182" i="39"/>
  <c r="FF182" i="39"/>
  <c r="FE182" i="39"/>
  <c r="FD182" i="39"/>
  <c r="FC182" i="39"/>
  <c r="FB182" i="39"/>
  <c r="FA182" i="39"/>
  <c r="EZ182" i="39"/>
  <c r="EY182" i="39"/>
  <c r="EX182" i="39"/>
  <c r="EW182" i="39"/>
  <c r="EV182" i="39"/>
  <c r="EU182" i="39"/>
  <c r="ES182" i="39"/>
  <c r="ER182" i="39"/>
  <c r="EQ182" i="39"/>
  <c r="EP182" i="39"/>
  <c r="EO182" i="39"/>
  <c r="EN182" i="39"/>
  <c r="EM182" i="39"/>
  <c r="EL182" i="39"/>
  <c r="EK182" i="39"/>
  <c r="EJ182" i="39"/>
  <c r="EI182" i="39"/>
  <c r="EH182" i="39"/>
  <c r="EG182" i="39"/>
  <c r="EF182" i="39"/>
  <c r="EE182" i="39"/>
  <c r="ED182" i="39"/>
  <c r="EC182" i="39"/>
  <c r="EB182" i="39"/>
  <c r="EA182" i="39"/>
  <c r="DZ182" i="39"/>
  <c r="DY182" i="39"/>
  <c r="DX182" i="39"/>
  <c r="DW182" i="39"/>
  <c r="FT181" i="39"/>
  <c r="FS181" i="39"/>
  <c r="FR181" i="39"/>
  <c r="FQ181" i="39"/>
  <c r="FP181" i="39"/>
  <c r="FO181" i="39"/>
  <c r="FN181" i="39"/>
  <c r="FM181" i="39"/>
  <c r="FL181" i="39"/>
  <c r="FK181" i="39"/>
  <c r="FJ181" i="39"/>
  <c r="FI181" i="39"/>
  <c r="FH181" i="39"/>
  <c r="FG181" i="39"/>
  <c r="FF181" i="39"/>
  <c r="FE181" i="39"/>
  <c r="FD181" i="39"/>
  <c r="FC181" i="39"/>
  <c r="FB181" i="39"/>
  <c r="FA181" i="39"/>
  <c r="EZ181" i="39"/>
  <c r="EY181" i="39"/>
  <c r="EX181" i="39"/>
  <c r="EW181" i="39"/>
  <c r="EV181" i="39"/>
  <c r="EU181" i="39"/>
  <c r="ES181" i="39"/>
  <c r="ER181" i="39"/>
  <c r="EQ181" i="39"/>
  <c r="EP181" i="39"/>
  <c r="EO181" i="39"/>
  <c r="EN181" i="39"/>
  <c r="EM181" i="39"/>
  <c r="EL181" i="39"/>
  <c r="EK181" i="39"/>
  <c r="EJ181" i="39"/>
  <c r="EI181" i="39"/>
  <c r="EH181" i="39"/>
  <c r="EG181" i="39"/>
  <c r="EF181" i="39"/>
  <c r="EE181" i="39"/>
  <c r="ED181" i="39"/>
  <c r="EC181" i="39"/>
  <c r="EB181" i="39"/>
  <c r="EA181" i="39"/>
  <c r="DZ181" i="39"/>
  <c r="DY181" i="39"/>
  <c r="DX181" i="39"/>
  <c r="DW181" i="39"/>
  <c r="FT180" i="39"/>
  <c r="FS180" i="39"/>
  <c r="FR180" i="39"/>
  <c r="FQ180" i="39"/>
  <c r="FP180" i="39"/>
  <c r="FO180" i="39"/>
  <c r="FN180" i="39"/>
  <c r="FM180" i="39"/>
  <c r="FL180" i="39"/>
  <c r="FK180" i="39"/>
  <c r="FJ180" i="39"/>
  <c r="FI180" i="39"/>
  <c r="FH180" i="39"/>
  <c r="FG180" i="39"/>
  <c r="FF180" i="39"/>
  <c r="FE180" i="39"/>
  <c r="FD180" i="39"/>
  <c r="FC180" i="39"/>
  <c r="FB180" i="39"/>
  <c r="FA180" i="39"/>
  <c r="EZ180" i="39"/>
  <c r="EY180" i="39"/>
  <c r="EX180" i="39"/>
  <c r="EW180" i="39"/>
  <c r="EV180" i="39"/>
  <c r="EU180" i="39"/>
  <c r="ES180" i="39"/>
  <c r="ER180" i="39"/>
  <c r="EQ180" i="39"/>
  <c r="EP180" i="39"/>
  <c r="EO180" i="39"/>
  <c r="EN180" i="39"/>
  <c r="EM180" i="39"/>
  <c r="EL180" i="39"/>
  <c r="EK180" i="39"/>
  <c r="EJ180" i="39"/>
  <c r="EI180" i="39"/>
  <c r="EH180" i="39"/>
  <c r="EG180" i="39"/>
  <c r="EF180" i="39"/>
  <c r="EE180" i="39"/>
  <c r="ED180" i="39"/>
  <c r="EC180" i="39"/>
  <c r="EB180" i="39"/>
  <c r="EA180" i="39"/>
  <c r="DZ180" i="39"/>
  <c r="DY180" i="39"/>
  <c r="DX180" i="39"/>
  <c r="DW180" i="39"/>
  <c r="FT179" i="39"/>
  <c r="FS179" i="39"/>
  <c r="FR179" i="39"/>
  <c r="FQ179" i="39"/>
  <c r="FP179" i="39"/>
  <c r="FO179" i="39"/>
  <c r="FN179" i="39"/>
  <c r="FM179" i="39"/>
  <c r="FL179" i="39"/>
  <c r="FK179" i="39"/>
  <c r="FJ179" i="39"/>
  <c r="FI179" i="39"/>
  <c r="FH179" i="39"/>
  <c r="FG179" i="39"/>
  <c r="FF179" i="39"/>
  <c r="FE179" i="39"/>
  <c r="FD179" i="39"/>
  <c r="FC179" i="39"/>
  <c r="FB179" i="39"/>
  <c r="FA179" i="39"/>
  <c r="EZ179" i="39"/>
  <c r="EY179" i="39"/>
  <c r="EX179" i="39"/>
  <c r="EW179" i="39"/>
  <c r="EV179" i="39"/>
  <c r="EU179" i="39"/>
  <c r="ES179" i="39"/>
  <c r="ER179" i="39"/>
  <c r="EQ179" i="39"/>
  <c r="EP179" i="39"/>
  <c r="EO179" i="39"/>
  <c r="EN179" i="39"/>
  <c r="EM179" i="39"/>
  <c r="EL179" i="39"/>
  <c r="EK179" i="39"/>
  <c r="EJ179" i="39"/>
  <c r="EI179" i="39"/>
  <c r="EH179" i="39"/>
  <c r="EG179" i="39"/>
  <c r="EF179" i="39"/>
  <c r="EE179" i="39"/>
  <c r="ED179" i="39"/>
  <c r="EC179" i="39"/>
  <c r="EB179" i="39"/>
  <c r="EA179" i="39"/>
  <c r="DZ179" i="39"/>
  <c r="DY179" i="39"/>
  <c r="DX179" i="39"/>
  <c r="DW179" i="39"/>
  <c r="FT178" i="39"/>
  <c r="FS178" i="39"/>
  <c r="FR178" i="39"/>
  <c r="FQ178" i="39"/>
  <c r="FP178" i="39"/>
  <c r="FO178" i="39"/>
  <c r="FN178" i="39"/>
  <c r="FM178" i="39"/>
  <c r="FL178" i="39"/>
  <c r="FK178" i="39"/>
  <c r="FJ178" i="39"/>
  <c r="FI178" i="39"/>
  <c r="FH178" i="39"/>
  <c r="FG178" i="39"/>
  <c r="FF178" i="39"/>
  <c r="FE178" i="39"/>
  <c r="FD178" i="39"/>
  <c r="FC178" i="39"/>
  <c r="FB178" i="39"/>
  <c r="FA178" i="39"/>
  <c r="EZ178" i="39"/>
  <c r="EY178" i="39"/>
  <c r="EX178" i="39"/>
  <c r="EW178" i="39"/>
  <c r="EV178" i="39"/>
  <c r="EU178" i="39"/>
  <c r="ES178" i="39"/>
  <c r="ER178" i="39"/>
  <c r="EQ178" i="39"/>
  <c r="EP178" i="39"/>
  <c r="EO178" i="39"/>
  <c r="EN178" i="39"/>
  <c r="EM178" i="39"/>
  <c r="EL178" i="39"/>
  <c r="EK178" i="39"/>
  <c r="EJ178" i="39"/>
  <c r="EI178" i="39"/>
  <c r="EH178" i="39"/>
  <c r="EG178" i="39"/>
  <c r="EF178" i="39"/>
  <c r="EE178" i="39"/>
  <c r="ED178" i="39"/>
  <c r="EC178" i="39"/>
  <c r="EB178" i="39"/>
  <c r="EA178" i="39"/>
  <c r="DZ178" i="39"/>
  <c r="DY178" i="39"/>
  <c r="DX178" i="39"/>
  <c r="DW178" i="39"/>
  <c r="FY177" i="39"/>
  <c r="FT177" i="39"/>
  <c r="FS177" i="39"/>
  <c r="FR177" i="39"/>
  <c r="FQ177" i="39"/>
  <c r="FP177" i="39"/>
  <c r="FO177" i="39"/>
  <c r="FN177" i="39"/>
  <c r="FM177" i="39"/>
  <c r="FL177" i="39"/>
  <c r="FK177" i="39"/>
  <c r="FJ177" i="39"/>
  <c r="FI177" i="39"/>
  <c r="FH177" i="39"/>
  <c r="FG177" i="39"/>
  <c r="FF177" i="39"/>
  <c r="FE177" i="39"/>
  <c r="FD177" i="39"/>
  <c r="FC177" i="39"/>
  <c r="FB177" i="39"/>
  <c r="FA177" i="39"/>
  <c r="EZ177" i="39"/>
  <c r="EY177" i="39"/>
  <c r="EX177" i="39"/>
  <c r="EW177" i="39"/>
  <c r="EV177" i="39"/>
  <c r="EU177" i="39"/>
  <c r="ES177" i="39"/>
  <c r="ER177" i="39"/>
  <c r="EQ177" i="39"/>
  <c r="EP177" i="39"/>
  <c r="EO177" i="39"/>
  <c r="EN177" i="39"/>
  <c r="EM177" i="39"/>
  <c r="EL177" i="39"/>
  <c r="EK177" i="39"/>
  <c r="EJ177" i="39"/>
  <c r="EI177" i="39"/>
  <c r="EH177" i="39"/>
  <c r="EG177" i="39"/>
  <c r="EF177" i="39"/>
  <c r="EE177" i="39"/>
  <c r="ED177" i="39"/>
  <c r="EC177" i="39"/>
  <c r="EB177" i="39"/>
  <c r="EA177" i="39"/>
  <c r="DZ177" i="39"/>
  <c r="DY177" i="39"/>
  <c r="DX177" i="39"/>
  <c r="DW177" i="39"/>
  <c r="FY176" i="39"/>
  <c r="FT176" i="39"/>
  <c r="FS176" i="39"/>
  <c r="FR176" i="39"/>
  <c r="FQ176" i="39"/>
  <c r="FP176" i="39"/>
  <c r="FO176" i="39"/>
  <c r="FN176" i="39"/>
  <c r="FM176" i="39"/>
  <c r="FL176" i="39"/>
  <c r="FK176" i="39"/>
  <c r="FJ176" i="39"/>
  <c r="FI176" i="39"/>
  <c r="FH176" i="39"/>
  <c r="FG176" i="39"/>
  <c r="FF176" i="39"/>
  <c r="FE176" i="39"/>
  <c r="FD176" i="39"/>
  <c r="FC176" i="39"/>
  <c r="FB176" i="39"/>
  <c r="FA176" i="39"/>
  <c r="EZ176" i="39"/>
  <c r="EY176" i="39"/>
  <c r="EX176" i="39"/>
  <c r="EW176" i="39"/>
  <c r="EV176" i="39"/>
  <c r="EU176" i="39"/>
  <c r="ES176" i="39"/>
  <c r="ER176" i="39"/>
  <c r="EQ176" i="39"/>
  <c r="EP176" i="39"/>
  <c r="EO176" i="39"/>
  <c r="EN176" i="39"/>
  <c r="EM176" i="39"/>
  <c r="EL176" i="39"/>
  <c r="EK176" i="39"/>
  <c r="EJ176" i="39"/>
  <c r="EI176" i="39"/>
  <c r="EH176" i="39"/>
  <c r="EG176" i="39"/>
  <c r="EF176" i="39"/>
  <c r="EE176" i="39"/>
  <c r="ED176" i="39"/>
  <c r="EC176" i="39"/>
  <c r="EB176" i="39"/>
  <c r="EA176" i="39"/>
  <c r="DZ176" i="39"/>
  <c r="DY176" i="39"/>
  <c r="DX176" i="39"/>
  <c r="DW176" i="39"/>
  <c r="FT175" i="39"/>
  <c r="FS175" i="39"/>
  <c r="FR175" i="39"/>
  <c r="FQ175" i="39"/>
  <c r="FP175" i="39"/>
  <c r="FO175" i="39"/>
  <c r="FN175" i="39"/>
  <c r="FM175" i="39"/>
  <c r="FL175" i="39"/>
  <c r="FK175" i="39"/>
  <c r="FJ175" i="39"/>
  <c r="FI175" i="39"/>
  <c r="FH175" i="39"/>
  <c r="FG175" i="39"/>
  <c r="FF175" i="39"/>
  <c r="FE175" i="39"/>
  <c r="FD175" i="39"/>
  <c r="FC175" i="39"/>
  <c r="FB175" i="39"/>
  <c r="FA175" i="39"/>
  <c r="EZ175" i="39"/>
  <c r="EY175" i="39"/>
  <c r="EX175" i="39"/>
  <c r="EW175" i="39"/>
  <c r="EV175" i="39"/>
  <c r="EU175" i="39"/>
  <c r="ES175" i="39"/>
  <c r="ER175" i="39"/>
  <c r="EQ175" i="39"/>
  <c r="EP175" i="39"/>
  <c r="EO175" i="39"/>
  <c r="EN175" i="39"/>
  <c r="EM175" i="39"/>
  <c r="EL175" i="39"/>
  <c r="EK175" i="39"/>
  <c r="EJ175" i="39"/>
  <c r="EI175" i="39"/>
  <c r="EH175" i="39"/>
  <c r="EG175" i="39"/>
  <c r="EF175" i="39"/>
  <c r="EE175" i="39"/>
  <c r="ED175" i="39"/>
  <c r="EC175" i="39"/>
  <c r="EB175" i="39"/>
  <c r="EA175" i="39"/>
  <c r="DZ175" i="39"/>
  <c r="DY175" i="39"/>
  <c r="DX175" i="39"/>
  <c r="DW175" i="39"/>
  <c r="FY174" i="39"/>
  <c r="FT174" i="39"/>
  <c r="FS174" i="39"/>
  <c r="FR174" i="39"/>
  <c r="FQ174" i="39"/>
  <c r="FP174" i="39"/>
  <c r="FO174" i="39"/>
  <c r="FN174" i="39"/>
  <c r="FM174" i="39"/>
  <c r="FL174" i="39"/>
  <c r="FK174" i="39"/>
  <c r="FJ174" i="39"/>
  <c r="FI174" i="39"/>
  <c r="FH174" i="39"/>
  <c r="FG174" i="39"/>
  <c r="FF174" i="39"/>
  <c r="FE174" i="39"/>
  <c r="FD174" i="39"/>
  <c r="FC174" i="39"/>
  <c r="FB174" i="39"/>
  <c r="FA174" i="39"/>
  <c r="EZ174" i="39"/>
  <c r="EY174" i="39"/>
  <c r="EX174" i="39"/>
  <c r="EW174" i="39"/>
  <c r="EV174" i="39"/>
  <c r="EU174" i="39"/>
  <c r="ES174" i="39"/>
  <c r="ER174" i="39"/>
  <c r="EQ174" i="39"/>
  <c r="EP174" i="39"/>
  <c r="EO174" i="39"/>
  <c r="EN174" i="39"/>
  <c r="EM174" i="39"/>
  <c r="EL174" i="39"/>
  <c r="EK174" i="39"/>
  <c r="EJ174" i="39"/>
  <c r="EI174" i="39"/>
  <c r="EH174" i="39"/>
  <c r="EG174" i="39"/>
  <c r="EF174" i="39"/>
  <c r="EE174" i="39"/>
  <c r="ED174" i="39"/>
  <c r="EC174" i="39"/>
  <c r="EB174" i="39"/>
  <c r="EA174" i="39"/>
  <c r="DZ174" i="39"/>
  <c r="DY174" i="39"/>
  <c r="DX174" i="39"/>
  <c r="DW174" i="39"/>
  <c r="FT173" i="39"/>
  <c r="FS173" i="39"/>
  <c r="FR173" i="39"/>
  <c r="FQ173" i="39"/>
  <c r="FP173" i="39"/>
  <c r="FO173" i="39"/>
  <c r="FN173" i="39"/>
  <c r="FM173" i="39"/>
  <c r="FL173" i="39"/>
  <c r="FK173" i="39"/>
  <c r="FJ173" i="39"/>
  <c r="FI173" i="39"/>
  <c r="FH173" i="39"/>
  <c r="FG173" i="39"/>
  <c r="FF173" i="39"/>
  <c r="FE173" i="39"/>
  <c r="FD173" i="39"/>
  <c r="FC173" i="39"/>
  <c r="FB173" i="39"/>
  <c r="FA173" i="39"/>
  <c r="EZ173" i="39"/>
  <c r="EY173" i="39"/>
  <c r="EX173" i="39"/>
  <c r="EW173" i="39"/>
  <c r="EV173" i="39"/>
  <c r="EU173" i="39"/>
  <c r="ES173" i="39"/>
  <c r="ER173" i="39"/>
  <c r="EQ173" i="39"/>
  <c r="EP173" i="39"/>
  <c r="EO173" i="39"/>
  <c r="EN173" i="39"/>
  <c r="EM173" i="39"/>
  <c r="EL173" i="39"/>
  <c r="EK173" i="39"/>
  <c r="EJ173" i="39"/>
  <c r="EI173" i="39"/>
  <c r="EH173" i="39"/>
  <c r="EG173" i="39"/>
  <c r="EF173" i="39"/>
  <c r="EE173" i="39"/>
  <c r="ED173" i="39"/>
  <c r="EC173" i="39"/>
  <c r="EB173" i="39"/>
  <c r="EA173" i="39"/>
  <c r="DZ173" i="39"/>
  <c r="DY173" i="39"/>
  <c r="DX173" i="39"/>
  <c r="DW173" i="39"/>
  <c r="FT172" i="39"/>
  <c r="FS172" i="39"/>
  <c r="FR172" i="39"/>
  <c r="FQ172" i="39"/>
  <c r="FP172" i="39"/>
  <c r="FO172" i="39"/>
  <c r="FN172" i="39"/>
  <c r="FM172" i="39"/>
  <c r="FL172" i="39"/>
  <c r="FK172" i="39"/>
  <c r="FJ172" i="39"/>
  <c r="FI172" i="39"/>
  <c r="FH172" i="39"/>
  <c r="FG172" i="39"/>
  <c r="FF172" i="39"/>
  <c r="FE172" i="39"/>
  <c r="FD172" i="39"/>
  <c r="FC172" i="39"/>
  <c r="FB172" i="39"/>
  <c r="FA172" i="39"/>
  <c r="EZ172" i="39"/>
  <c r="EY172" i="39"/>
  <c r="EX172" i="39"/>
  <c r="EW172" i="39"/>
  <c r="EV172" i="39"/>
  <c r="EU172" i="39"/>
  <c r="ES172" i="39"/>
  <c r="ER172" i="39"/>
  <c r="EQ172" i="39"/>
  <c r="EP172" i="39"/>
  <c r="EO172" i="39"/>
  <c r="EN172" i="39"/>
  <c r="EM172" i="39"/>
  <c r="EL172" i="39"/>
  <c r="EK172" i="39"/>
  <c r="EJ172" i="39"/>
  <c r="EI172" i="39"/>
  <c r="EH172" i="39"/>
  <c r="EG172" i="39"/>
  <c r="EF172" i="39"/>
  <c r="EE172" i="39"/>
  <c r="ED172" i="39"/>
  <c r="EC172" i="39"/>
  <c r="EB172" i="39"/>
  <c r="EA172" i="39"/>
  <c r="DZ172" i="39"/>
  <c r="DY172" i="39"/>
  <c r="DX172" i="39"/>
  <c r="DW172" i="39"/>
  <c r="FT171" i="39"/>
  <c r="FS171" i="39"/>
  <c r="FR171" i="39"/>
  <c r="FQ171" i="39"/>
  <c r="FP171" i="39"/>
  <c r="FO171" i="39"/>
  <c r="FN171" i="39"/>
  <c r="FM171" i="39"/>
  <c r="FL171" i="39"/>
  <c r="FK171" i="39"/>
  <c r="FJ171" i="39"/>
  <c r="FI171" i="39"/>
  <c r="FH171" i="39"/>
  <c r="FG171" i="39"/>
  <c r="FF171" i="39"/>
  <c r="FE171" i="39"/>
  <c r="FD171" i="39"/>
  <c r="FC171" i="39"/>
  <c r="FB171" i="39"/>
  <c r="FA171" i="39"/>
  <c r="EZ171" i="39"/>
  <c r="EY171" i="39"/>
  <c r="EX171" i="39"/>
  <c r="EW171" i="39"/>
  <c r="EV171" i="39"/>
  <c r="EU171" i="39"/>
  <c r="ES171" i="39"/>
  <c r="ER171" i="39"/>
  <c r="EQ171" i="39"/>
  <c r="EP171" i="39"/>
  <c r="EO171" i="39"/>
  <c r="EN171" i="39"/>
  <c r="EM171" i="39"/>
  <c r="EL171" i="39"/>
  <c r="EK171" i="39"/>
  <c r="EJ171" i="39"/>
  <c r="EI171" i="39"/>
  <c r="EH171" i="39"/>
  <c r="EG171" i="39"/>
  <c r="EF171" i="39"/>
  <c r="EE171" i="39"/>
  <c r="ED171" i="39"/>
  <c r="EC171" i="39"/>
  <c r="EB171" i="39"/>
  <c r="EA171" i="39"/>
  <c r="DZ171" i="39"/>
  <c r="DY171" i="39"/>
  <c r="DX171" i="39"/>
  <c r="DW171" i="39"/>
  <c r="FT170" i="39"/>
  <c r="FS170" i="39"/>
  <c r="FR170" i="39"/>
  <c r="FQ170" i="39"/>
  <c r="FP170" i="39"/>
  <c r="FO170" i="39"/>
  <c r="FN170" i="39"/>
  <c r="FM170" i="39"/>
  <c r="FL170" i="39"/>
  <c r="FK170" i="39"/>
  <c r="FJ170" i="39"/>
  <c r="FI170" i="39"/>
  <c r="FH170" i="39"/>
  <c r="FG170" i="39"/>
  <c r="FF170" i="39"/>
  <c r="FE170" i="39"/>
  <c r="FD170" i="39"/>
  <c r="FC170" i="39"/>
  <c r="FB170" i="39"/>
  <c r="FA170" i="39"/>
  <c r="EZ170" i="39"/>
  <c r="EY170" i="39"/>
  <c r="EX170" i="39"/>
  <c r="EW170" i="39"/>
  <c r="EV170" i="39"/>
  <c r="EU170" i="39"/>
  <c r="ES170" i="39"/>
  <c r="ER170" i="39"/>
  <c r="EQ170" i="39"/>
  <c r="EP170" i="39"/>
  <c r="EO170" i="39"/>
  <c r="EN170" i="39"/>
  <c r="EM170" i="39"/>
  <c r="EL170" i="39"/>
  <c r="EK170" i="39"/>
  <c r="EJ170" i="39"/>
  <c r="EI170" i="39"/>
  <c r="EH170" i="39"/>
  <c r="EG170" i="39"/>
  <c r="EF170" i="39"/>
  <c r="EE170" i="39"/>
  <c r="ED170" i="39"/>
  <c r="EC170" i="39"/>
  <c r="EB170" i="39"/>
  <c r="EA170" i="39"/>
  <c r="DZ170" i="39"/>
  <c r="DY170" i="39"/>
  <c r="DX170" i="39"/>
  <c r="DW170" i="39"/>
  <c r="FT169" i="39"/>
  <c r="FS169" i="39"/>
  <c r="FR169" i="39"/>
  <c r="FQ169" i="39"/>
  <c r="FP169" i="39"/>
  <c r="FO169" i="39"/>
  <c r="FN169" i="39"/>
  <c r="FM169" i="39"/>
  <c r="FL169" i="39"/>
  <c r="FK169" i="39"/>
  <c r="FJ169" i="39"/>
  <c r="FI169" i="39"/>
  <c r="FH169" i="39"/>
  <c r="FG169" i="39"/>
  <c r="FF169" i="39"/>
  <c r="FE169" i="39"/>
  <c r="FD169" i="39"/>
  <c r="FC169" i="39"/>
  <c r="FB169" i="39"/>
  <c r="FA169" i="39"/>
  <c r="EZ169" i="39"/>
  <c r="EY169" i="39"/>
  <c r="EX169" i="39"/>
  <c r="EW169" i="39"/>
  <c r="EV169" i="39"/>
  <c r="EU169" i="39"/>
  <c r="ES169" i="39"/>
  <c r="ER169" i="39"/>
  <c r="EQ169" i="39"/>
  <c r="EP169" i="39"/>
  <c r="EO169" i="39"/>
  <c r="EN169" i="39"/>
  <c r="EM169" i="39"/>
  <c r="EL169" i="39"/>
  <c r="EK169" i="39"/>
  <c r="EJ169" i="39"/>
  <c r="EI169" i="39"/>
  <c r="EH169" i="39"/>
  <c r="EG169" i="39"/>
  <c r="EF169" i="39"/>
  <c r="EE169" i="39"/>
  <c r="ED169" i="39"/>
  <c r="EC169" i="39"/>
  <c r="EB169" i="39"/>
  <c r="EA169" i="39"/>
  <c r="DZ169" i="39"/>
  <c r="DY169" i="39"/>
  <c r="DX169" i="39"/>
  <c r="DW169" i="39"/>
  <c r="FT168" i="39"/>
  <c r="FS168" i="39"/>
  <c r="FR168" i="39"/>
  <c r="FQ168" i="39"/>
  <c r="FP168" i="39"/>
  <c r="FO168" i="39"/>
  <c r="FN168" i="39"/>
  <c r="FM168" i="39"/>
  <c r="FL168" i="39"/>
  <c r="FK168" i="39"/>
  <c r="FJ168" i="39"/>
  <c r="FI168" i="39"/>
  <c r="FH168" i="39"/>
  <c r="FG168" i="39"/>
  <c r="FF168" i="39"/>
  <c r="FE168" i="39"/>
  <c r="FD168" i="39"/>
  <c r="FC168" i="39"/>
  <c r="FB168" i="39"/>
  <c r="FA168" i="39"/>
  <c r="EZ168" i="39"/>
  <c r="EY168" i="39"/>
  <c r="EX168" i="39"/>
  <c r="EW168" i="39"/>
  <c r="EV168" i="39"/>
  <c r="EU168" i="39"/>
  <c r="ES168" i="39"/>
  <c r="ER168" i="39"/>
  <c r="EQ168" i="39"/>
  <c r="EP168" i="39"/>
  <c r="EO168" i="39"/>
  <c r="EN168" i="39"/>
  <c r="EM168" i="39"/>
  <c r="EL168" i="39"/>
  <c r="EK168" i="39"/>
  <c r="EJ168" i="39"/>
  <c r="EI168" i="39"/>
  <c r="EH168" i="39"/>
  <c r="EG168" i="39"/>
  <c r="EF168" i="39"/>
  <c r="EE168" i="39"/>
  <c r="ED168" i="39"/>
  <c r="EC168" i="39"/>
  <c r="EB168" i="39"/>
  <c r="EA168" i="39"/>
  <c r="DZ168" i="39"/>
  <c r="DY168" i="39"/>
  <c r="DX168" i="39"/>
  <c r="DW168" i="39"/>
  <c r="FT167" i="39"/>
  <c r="FS167" i="39"/>
  <c r="FR167" i="39"/>
  <c r="FQ167" i="39"/>
  <c r="FP167" i="39"/>
  <c r="FO167" i="39"/>
  <c r="FN167" i="39"/>
  <c r="FM167" i="39"/>
  <c r="FL167" i="39"/>
  <c r="FK167" i="39"/>
  <c r="FJ167" i="39"/>
  <c r="FI167" i="39"/>
  <c r="FH167" i="39"/>
  <c r="FG167" i="39"/>
  <c r="FF167" i="39"/>
  <c r="FE167" i="39"/>
  <c r="FD167" i="39"/>
  <c r="FC167" i="39"/>
  <c r="FB167" i="39"/>
  <c r="FA167" i="39"/>
  <c r="EZ167" i="39"/>
  <c r="EY167" i="39"/>
  <c r="EX167" i="39"/>
  <c r="EW167" i="39"/>
  <c r="EV167" i="39"/>
  <c r="EU167" i="39"/>
  <c r="ES167" i="39"/>
  <c r="ER167" i="39"/>
  <c r="EQ167" i="39"/>
  <c r="EP167" i="39"/>
  <c r="EO167" i="39"/>
  <c r="EN167" i="39"/>
  <c r="EM167" i="39"/>
  <c r="EL167" i="39"/>
  <c r="EK167" i="39"/>
  <c r="EJ167" i="39"/>
  <c r="EI167" i="39"/>
  <c r="EH167" i="39"/>
  <c r="EG167" i="39"/>
  <c r="EF167" i="39"/>
  <c r="EE167" i="39"/>
  <c r="ED167" i="39"/>
  <c r="EC167" i="39"/>
  <c r="EB167" i="39"/>
  <c r="EA167" i="39"/>
  <c r="DZ167" i="39"/>
  <c r="DY167" i="39"/>
  <c r="DX167" i="39"/>
  <c r="DW167" i="39"/>
  <c r="FY166" i="39"/>
  <c r="FT166" i="39"/>
  <c r="FS166" i="39"/>
  <c r="FR166" i="39"/>
  <c r="FQ166" i="39"/>
  <c r="FP166" i="39"/>
  <c r="FO166" i="39"/>
  <c r="FN166" i="39"/>
  <c r="FM166" i="39"/>
  <c r="FL166" i="39"/>
  <c r="FK166" i="39"/>
  <c r="FJ166" i="39"/>
  <c r="FI166" i="39"/>
  <c r="FH166" i="39"/>
  <c r="FG166" i="39"/>
  <c r="FF166" i="39"/>
  <c r="FE166" i="39"/>
  <c r="FD166" i="39"/>
  <c r="FC166" i="39"/>
  <c r="FB166" i="39"/>
  <c r="FA166" i="39"/>
  <c r="EZ166" i="39"/>
  <c r="EY166" i="39"/>
  <c r="EX166" i="39"/>
  <c r="EW166" i="39"/>
  <c r="EV166" i="39"/>
  <c r="EU166" i="39"/>
  <c r="ES166" i="39"/>
  <c r="ER166" i="39"/>
  <c r="EQ166" i="39"/>
  <c r="EP166" i="39"/>
  <c r="EO166" i="39"/>
  <c r="EN166" i="39"/>
  <c r="EM166" i="39"/>
  <c r="EL166" i="39"/>
  <c r="EK166" i="39"/>
  <c r="EJ166" i="39"/>
  <c r="EI166" i="39"/>
  <c r="EH166" i="39"/>
  <c r="EG166" i="39"/>
  <c r="EF166" i="39"/>
  <c r="EE166" i="39"/>
  <c r="ED166" i="39"/>
  <c r="EC166" i="39"/>
  <c r="EB166" i="39"/>
  <c r="EA166" i="39"/>
  <c r="DZ166" i="39"/>
  <c r="DY166" i="39"/>
  <c r="DX166" i="39"/>
  <c r="DW166" i="39"/>
  <c r="FT165" i="39"/>
  <c r="FS165" i="39"/>
  <c r="FR165" i="39"/>
  <c r="FQ165" i="39"/>
  <c r="FP165" i="39"/>
  <c r="FO165" i="39"/>
  <c r="FN165" i="39"/>
  <c r="FM165" i="39"/>
  <c r="FL165" i="39"/>
  <c r="FK165" i="39"/>
  <c r="FJ165" i="39"/>
  <c r="FI165" i="39"/>
  <c r="FH165" i="39"/>
  <c r="FG165" i="39"/>
  <c r="FF165" i="39"/>
  <c r="FE165" i="39"/>
  <c r="FD165" i="39"/>
  <c r="FC165" i="39"/>
  <c r="FB165" i="39"/>
  <c r="FA165" i="39"/>
  <c r="EZ165" i="39"/>
  <c r="EY165" i="39"/>
  <c r="EX165" i="39"/>
  <c r="EW165" i="39"/>
  <c r="EV165" i="39"/>
  <c r="EU165" i="39"/>
  <c r="ES165" i="39"/>
  <c r="ER165" i="39"/>
  <c r="EQ165" i="39"/>
  <c r="EP165" i="39"/>
  <c r="EO165" i="39"/>
  <c r="EN165" i="39"/>
  <c r="EM165" i="39"/>
  <c r="EL165" i="39"/>
  <c r="EK165" i="39"/>
  <c r="EJ165" i="39"/>
  <c r="EI165" i="39"/>
  <c r="EH165" i="39"/>
  <c r="EG165" i="39"/>
  <c r="EF165" i="39"/>
  <c r="EE165" i="39"/>
  <c r="ED165" i="39"/>
  <c r="EC165" i="39"/>
  <c r="EB165" i="39"/>
  <c r="EA165" i="39"/>
  <c r="DZ165" i="39"/>
  <c r="DY165" i="39"/>
  <c r="DX165" i="39"/>
  <c r="DW165" i="39"/>
  <c r="FT164" i="39"/>
  <c r="FS164" i="39"/>
  <c r="FR164" i="39"/>
  <c r="FQ164" i="39"/>
  <c r="FP164" i="39"/>
  <c r="FO164" i="39"/>
  <c r="FN164" i="39"/>
  <c r="FM164" i="39"/>
  <c r="FL164" i="39"/>
  <c r="FK164" i="39"/>
  <c r="FJ164" i="39"/>
  <c r="FI164" i="39"/>
  <c r="FH164" i="39"/>
  <c r="FG164" i="39"/>
  <c r="FF164" i="39"/>
  <c r="FE164" i="39"/>
  <c r="FD164" i="39"/>
  <c r="FC164" i="39"/>
  <c r="FB164" i="39"/>
  <c r="FA164" i="39"/>
  <c r="EZ164" i="39"/>
  <c r="EY164" i="39"/>
  <c r="EX164" i="39"/>
  <c r="EW164" i="39"/>
  <c r="EV164" i="39"/>
  <c r="EU164" i="39"/>
  <c r="ES164" i="39"/>
  <c r="ER164" i="39"/>
  <c r="EQ164" i="39"/>
  <c r="EP164" i="39"/>
  <c r="EO164" i="39"/>
  <c r="EN164" i="39"/>
  <c r="EM164" i="39"/>
  <c r="EL164" i="39"/>
  <c r="EK164" i="39"/>
  <c r="EJ164" i="39"/>
  <c r="EI164" i="39"/>
  <c r="EH164" i="39"/>
  <c r="EG164" i="39"/>
  <c r="EF164" i="39"/>
  <c r="EE164" i="39"/>
  <c r="ED164" i="39"/>
  <c r="EC164" i="39"/>
  <c r="EB164" i="39"/>
  <c r="EA164" i="39"/>
  <c r="DZ164" i="39"/>
  <c r="DY164" i="39"/>
  <c r="DX164" i="39"/>
  <c r="DW164" i="39"/>
  <c r="FY163" i="39"/>
  <c r="FT163" i="39"/>
  <c r="FS163" i="39"/>
  <c r="FR163" i="39"/>
  <c r="FQ163" i="39"/>
  <c r="FP163" i="39"/>
  <c r="FO163" i="39"/>
  <c r="FN163" i="39"/>
  <c r="FM163" i="39"/>
  <c r="FL163" i="39"/>
  <c r="FK163" i="39"/>
  <c r="FJ163" i="39"/>
  <c r="FI163" i="39"/>
  <c r="FH163" i="39"/>
  <c r="FG163" i="39"/>
  <c r="FF163" i="39"/>
  <c r="FE163" i="39"/>
  <c r="FD163" i="39"/>
  <c r="FC163" i="39"/>
  <c r="FB163" i="39"/>
  <c r="FA163" i="39"/>
  <c r="EZ163" i="39"/>
  <c r="EY163" i="39"/>
  <c r="EX163" i="39"/>
  <c r="EW163" i="39"/>
  <c r="EV163" i="39"/>
  <c r="EU163" i="39"/>
  <c r="ES163" i="39"/>
  <c r="ER163" i="39"/>
  <c r="EQ163" i="39"/>
  <c r="EP163" i="39"/>
  <c r="EO163" i="39"/>
  <c r="EN163" i="39"/>
  <c r="EM163" i="39"/>
  <c r="EL163" i="39"/>
  <c r="EK163" i="39"/>
  <c r="EJ163" i="39"/>
  <c r="EI163" i="39"/>
  <c r="EH163" i="39"/>
  <c r="EG163" i="39"/>
  <c r="EF163" i="39"/>
  <c r="EE163" i="39"/>
  <c r="ED163" i="39"/>
  <c r="EC163" i="39"/>
  <c r="EB163" i="39"/>
  <c r="EA163" i="39"/>
  <c r="DZ163" i="39"/>
  <c r="DY163" i="39"/>
  <c r="DX163" i="39"/>
  <c r="DW163" i="39"/>
  <c r="FY162" i="39"/>
  <c r="FT162" i="39"/>
  <c r="FS162" i="39"/>
  <c r="FR162" i="39"/>
  <c r="FQ162" i="39"/>
  <c r="FP162" i="39"/>
  <c r="FO162" i="39"/>
  <c r="FN162" i="39"/>
  <c r="FM162" i="39"/>
  <c r="FL162" i="39"/>
  <c r="FK162" i="39"/>
  <c r="FJ162" i="39"/>
  <c r="FI162" i="39"/>
  <c r="FH162" i="39"/>
  <c r="FG162" i="39"/>
  <c r="FF162" i="39"/>
  <c r="FE162" i="39"/>
  <c r="FD162" i="39"/>
  <c r="FC162" i="39"/>
  <c r="FB162" i="39"/>
  <c r="FA162" i="39"/>
  <c r="EZ162" i="39"/>
  <c r="EY162" i="39"/>
  <c r="EX162" i="39"/>
  <c r="EW162" i="39"/>
  <c r="EV162" i="39"/>
  <c r="EU162" i="39"/>
  <c r="ES162" i="39"/>
  <c r="ER162" i="39"/>
  <c r="EQ162" i="39"/>
  <c r="EP162" i="39"/>
  <c r="EO162" i="39"/>
  <c r="EN162" i="39"/>
  <c r="EM162" i="39"/>
  <c r="EL162" i="39"/>
  <c r="EK162" i="39"/>
  <c r="EJ162" i="39"/>
  <c r="EI162" i="39"/>
  <c r="EH162" i="39"/>
  <c r="EG162" i="39"/>
  <c r="EF162" i="39"/>
  <c r="EE162" i="39"/>
  <c r="ED162" i="39"/>
  <c r="EC162" i="39"/>
  <c r="EB162" i="39"/>
  <c r="EA162" i="39"/>
  <c r="DZ162" i="39"/>
  <c r="DY162" i="39"/>
  <c r="DX162" i="39"/>
  <c r="DW162" i="39"/>
  <c r="FY161" i="39"/>
  <c r="FT161" i="39"/>
  <c r="FS161" i="39"/>
  <c r="FR161" i="39"/>
  <c r="FQ161" i="39"/>
  <c r="FP161" i="39"/>
  <c r="FO161" i="39"/>
  <c r="FN161" i="39"/>
  <c r="FM161" i="39"/>
  <c r="FL161" i="39"/>
  <c r="FK161" i="39"/>
  <c r="FJ161" i="39"/>
  <c r="FI161" i="39"/>
  <c r="FH161" i="39"/>
  <c r="FG161" i="39"/>
  <c r="FF161" i="39"/>
  <c r="FE161" i="39"/>
  <c r="FD161" i="39"/>
  <c r="FC161" i="39"/>
  <c r="FB161" i="39"/>
  <c r="FA161" i="39"/>
  <c r="EZ161" i="39"/>
  <c r="EY161" i="39"/>
  <c r="EX161" i="39"/>
  <c r="EW161" i="39"/>
  <c r="EV161" i="39"/>
  <c r="EU161" i="39"/>
  <c r="ES161" i="39"/>
  <c r="ER161" i="39"/>
  <c r="EQ161" i="39"/>
  <c r="EP161" i="39"/>
  <c r="EO161" i="39"/>
  <c r="EN161" i="39"/>
  <c r="EM161" i="39"/>
  <c r="EL161" i="39"/>
  <c r="EK161" i="39"/>
  <c r="EJ161" i="39"/>
  <c r="EI161" i="39"/>
  <c r="EH161" i="39"/>
  <c r="EG161" i="39"/>
  <c r="EF161" i="39"/>
  <c r="EE161" i="39"/>
  <c r="ED161" i="39"/>
  <c r="EC161" i="39"/>
  <c r="EB161" i="39"/>
  <c r="EA161" i="39"/>
  <c r="DZ161" i="39"/>
  <c r="DY161" i="39"/>
  <c r="DX161" i="39"/>
  <c r="DW161" i="39"/>
  <c r="FT160" i="39"/>
  <c r="FS160" i="39"/>
  <c r="FR160" i="39"/>
  <c r="FQ160" i="39"/>
  <c r="FP160" i="39"/>
  <c r="FO160" i="39"/>
  <c r="FN160" i="39"/>
  <c r="FM160" i="39"/>
  <c r="FL160" i="39"/>
  <c r="FK160" i="39"/>
  <c r="FJ160" i="39"/>
  <c r="FI160" i="39"/>
  <c r="FH160" i="39"/>
  <c r="FG160" i="39"/>
  <c r="FF160" i="39"/>
  <c r="FE160" i="39"/>
  <c r="FD160" i="39"/>
  <c r="FC160" i="39"/>
  <c r="FB160" i="39"/>
  <c r="FA160" i="39"/>
  <c r="EZ160" i="39"/>
  <c r="EY160" i="39"/>
  <c r="EX160" i="39"/>
  <c r="EW160" i="39"/>
  <c r="EV160" i="39"/>
  <c r="EU160" i="39"/>
  <c r="ES160" i="39"/>
  <c r="ER160" i="39"/>
  <c r="EQ160" i="39"/>
  <c r="EP160" i="39"/>
  <c r="EO160" i="39"/>
  <c r="EN160" i="39"/>
  <c r="EM160" i="39"/>
  <c r="EL160" i="39"/>
  <c r="EK160" i="39"/>
  <c r="EJ160" i="39"/>
  <c r="EI160" i="39"/>
  <c r="EH160" i="39"/>
  <c r="EG160" i="39"/>
  <c r="EF160" i="39"/>
  <c r="EE160" i="39"/>
  <c r="ED160" i="39"/>
  <c r="EC160" i="39"/>
  <c r="EB160" i="39"/>
  <c r="EA160" i="39"/>
  <c r="DZ160" i="39"/>
  <c r="DY160" i="39"/>
  <c r="DX160" i="39"/>
  <c r="DW160" i="39"/>
  <c r="FT159" i="39"/>
  <c r="FS159" i="39"/>
  <c r="FR159" i="39"/>
  <c r="FQ159" i="39"/>
  <c r="FP159" i="39"/>
  <c r="FO159" i="39"/>
  <c r="FN159" i="39"/>
  <c r="FM159" i="39"/>
  <c r="FL159" i="39"/>
  <c r="FK159" i="39"/>
  <c r="FJ159" i="39"/>
  <c r="FI159" i="39"/>
  <c r="FH159" i="39"/>
  <c r="FG159" i="39"/>
  <c r="FF159" i="39"/>
  <c r="FE159" i="39"/>
  <c r="FD159" i="39"/>
  <c r="FC159" i="39"/>
  <c r="FB159" i="39"/>
  <c r="FA159" i="39"/>
  <c r="EZ159" i="39"/>
  <c r="EY159" i="39"/>
  <c r="EX159" i="39"/>
  <c r="EW159" i="39"/>
  <c r="EV159" i="39"/>
  <c r="EU159" i="39"/>
  <c r="ES159" i="39"/>
  <c r="ER159" i="39"/>
  <c r="EQ159" i="39"/>
  <c r="EP159" i="39"/>
  <c r="EO159" i="39"/>
  <c r="EN159" i="39"/>
  <c r="EM159" i="39"/>
  <c r="EL159" i="39"/>
  <c r="EK159" i="39"/>
  <c r="EJ159" i="39"/>
  <c r="EI159" i="39"/>
  <c r="EH159" i="39"/>
  <c r="EG159" i="39"/>
  <c r="EF159" i="39"/>
  <c r="EE159" i="39"/>
  <c r="ED159" i="39"/>
  <c r="EC159" i="39"/>
  <c r="EB159" i="39"/>
  <c r="EA159" i="39"/>
  <c r="DZ159" i="39"/>
  <c r="DY159" i="39"/>
  <c r="DX159" i="39"/>
  <c r="DW159" i="39"/>
  <c r="FT158" i="39"/>
  <c r="FR158" i="39"/>
  <c r="FQ158" i="39"/>
  <c r="FP158" i="39"/>
  <c r="FO158" i="39"/>
  <c r="FN158" i="39"/>
  <c r="FM158" i="39"/>
  <c r="FL158" i="39"/>
  <c r="FK158" i="39"/>
  <c r="FJ158" i="39"/>
  <c r="FI158" i="39"/>
  <c r="FH158" i="39"/>
  <c r="FG158" i="39"/>
  <c r="FF158" i="39"/>
  <c r="FE158" i="39"/>
  <c r="FD158" i="39"/>
  <c r="FC158" i="39"/>
  <c r="FB158" i="39"/>
  <c r="FA158" i="39"/>
  <c r="EZ158" i="39"/>
  <c r="EY158" i="39"/>
  <c r="EX158" i="39"/>
  <c r="EW158" i="39"/>
  <c r="EV158" i="39"/>
  <c r="EU158" i="39"/>
  <c r="ES158" i="39"/>
  <c r="ER158" i="39"/>
  <c r="EQ158" i="39"/>
  <c r="EP158" i="39"/>
  <c r="EO158" i="39"/>
  <c r="EN158" i="39"/>
  <c r="EM158" i="39"/>
  <c r="EL158" i="39"/>
  <c r="EK158" i="39"/>
  <c r="EJ158" i="39"/>
  <c r="EI158" i="39"/>
  <c r="EH158" i="39"/>
  <c r="EG158" i="39"/>
  <c r="EF158" i="39"/>
  <c r="EE158" i="39"/>
  <c r="ED158" i="39"/>
  <c r="EC158" i="39"/>
  <c r="EB158" i="39"/>
  <c r="EA158" i="39"/>
  <c r="DZ158" i="39"/>
  <c r="DY158" i="39"/>
  <c r="DX158" i="39"/>
  <c r="DW158" i="39"/>
  <c r="FT157" i="39"/>
  <c r="FR157" i="39"/>
  <c r="FQ157" i="39"/>
  <c r="FP157" i="39"/>
  <c r="FO157" i="39"/>
  <c r="FN157" i="39"/>
  <c r="FM157" i="39"/>
  <c r="FL157" i="39"/>
  <c r="FK157" i="39"/>
  <c r="FJ157" i="39"/>
  <c r="FI157" i="39"/>
  <c r="FH157" i="39"/>
  <c r="FG157" i="39"/>
  <c r="FF157" i="39"/>
  <c r="FE157" i="39"/>
  <c r="FD157" i="39"/>
  <c r="FC157" i="39"/>
  <c r="FB157" i="39"/>
  <c r="FA157" i="39"/>
  <c r="EZ157" i="39"/>
  <c r="EY157" i="39"/>
  <c r="EX157" i="39"/>
  <c r="EW157" i="39"/>
  <c r="EV157" i="39"/>
  <c r="EU157" i="39"/>
  <c r="ES157" i="39"/>
  <c r="ER157" i="39"/>
  <c r="EQ157" i="39"/>
  <c r="EP157" i="39"/>
  <c r="EO157" i="39"/>
  <c r="EN157" i="39"/>
  <c r="EM157" i="39"/>
  <c r="EL157" i="39"/>
  <c r="EK157" i="39"/>
  <c r="EJ157" i="39"/>
  <c r="EI157" i="39"/>
  <c r="EH157" i="39"/>
  <c r="EG157" i="39"/>
  <c r="EF157" i="39"/>
  <c r="EE157" i="39"/>
  <c r="ED157" i="39"/>
  <c r="EC157" i="39"/>
  <c r="EB157" i="39"/>
  <c r="EA157" i="39"/>
  <c r="DZ157" i="39"/>
  <c r="DY157" i="39"/>
  <c r="DX157" i="39"/>
  <c r="DW157" i="39"/>
  <c r="FT156" i="39"/>
  <c r="FS156" i="39"/>
  <c r="FR156" i="39"/>
  <c r="FQ156" i="39"/>
  <c r="FP156" i="39"/>
  <c r="FO156" i="39"/>
  <c r="FN156" i="39"/>
  <c r="FM156" i="39"/>
  <c r="FL156" i="39"/>
  <c r="FK156" i="39"/>
  <c r="FJ156" i="39"/>
  <c r="FI156" i="39"/>
  <c r="FH156" i="39"/>
  <c r="FG156" i="39"/>
  <c r="FF156" i="39"/>
  <c r="FE156" i="39"/>
  <c r="FD156" i="39"/>
  <c r="FC156" i="39"/>
  <c r="FB156" i="39"/>
  <c r="FA156" i="39"/>
  <c r="EZ156" i="39"/>
  <c r="EY156" i="39"/>
  <c r="EX156" i="39"/>
  <c r="EW156" i="39"/>
  <c r="EV156" i="39"/>
  <c r="EU156" i="39"/>
  <c r="ES156" i="39"/>
  <c r="ER156" i="39"/>
  <c r="EQ156" i="39"/>
  <c r="EP156" i="39"/>
  <c r="EO156" i="39"/>
  <c r="EN156" i="39"/>
  <c r="EM156" i="39"/>
  <c r="EL156" i="39"/>
  <c r="EK156" i="39"/>
  <c r="EJ156" i="39"/>
  <c r="EI156" i="39"/>
  <c r="EH156" i="39"/>
  <c r="EG156" i="39"/>
  <c r="EF156" i="39"/>
  <c r="EE156" i="39"/>
  <c r="ED156" i="39"/>
  <c r="EC156" i="39"/>
  <c r="EB156" i="39"/>
  <c r="EA156" i="39"/>
  <c r="DZ156" i="39"/>
  <c r="DY156" i="39"/>
  <c r="DX156" i="39"/>
  <c r="DW156" i="39"/>
  <c r="FT155" i="39"/>
  <c r="FS155" i="39"/>
  <c r="FR155" i="39"/>
  <c r="FQ155" i="39"/>
  <c r="FP155" i="39"/>
  <c r="FO155" i="39"/>
  <c r="FN155" i="39"/>
  <c r="FM155" i="39"/>
  <c r="FL155" i="39"/>
  <c r="FK155" i="39"/>
  <c r="FJ155" i="39"/>
  <c r="FI155" i="39"/>
  <c r="FH155" i="39"/>
  <c r="FG155" i="39"/>
  <c r="FF155" i="39"/>
  <c r="FE155" i="39"/>
  <c r="FD155" i="39"/>
  <c r="FC155" i="39"/>
  <c r="FB155" i="39"/>
  <c r="FA155" i="39"/>
  <c r="EZ155" i="39"/>
  <c r="EY155" i="39"/>
  <c r="EX155" i="39"/>
  <c r="EW155" i="39"/>
  <c r="EV155" i="39"/>
  <c r="EU155" i="39"/>
  <c r="ES155" i="39"/>
  <c r="ER155" i="39"/>
  <c r="EQ155" i="39"/>
  <c r="EP155" i="39"/>
  <c r="EO155" i="39"/>
  <c r="EN155" i="39"/>
  <c r="EM155" i="39"/>
  <c r="EL155" i="39"/>
  <c r="EK155" i="39"/>
  <c r="EJ155" i="39"/>
  <c r="EI155" i="39"/>
  <c r="EH155" i="39"/>
  <c r="EG155" i="39"/>
  <c r="EF155" i="39"/>
  <c r="EE155" i="39"/>
  <c r="ED155" i="39"/>
  <c r="EC155" i="39"/>
  <c r="EB155" i="39"/>
  <c r="EA155" i="39"/>
  <c r="DZ155" i="39"/>
  <c r="DY155" i="39"/>
  <c r="DX155" i="39"/>
  <c r="DW155" i="39"/>
  <c r="FT154" i="39"/>
  <c r="FR154" i="39"/>
  <c r="FQ154" i="39"/>
  <c r="FP154" i="39"/>
  <c r="FO154" i="39"/>
  <c r="FN154" i="39"/>
  <c r="FM154" i="39"/>
  <c r="FL154" i="39"/>
  <c r="FK154" i="39"/>
  <c r="FJ154" i="39"/>
  <c r="FI154" i="39"/>
  <c r="FH154" i="39"/>
  <c r="FG154" i="39"/>
  <c r="FF154" i="39"/>
  <c r="FE154" i="39"/>
  <c r="FD154" i="39"/>
  <c r="FC154" i="39"/>
  <c r="FB154" i="39"/>
  <c r="FA154" i="39"/>
  <c r="EZ154" i="39"/>
  <c r="EY154" i="39"/>
  <c r="EX154" i="39"/>
  <c r="EW154" i="39"/>
  <c r="EV154" i="39"/>
  <c r="EU154" i="39"/>
  <c r="ES154" i="39"/>
  <c r="ER154" i="39"/>
  <c r="EQ154" i="39"/>
  <c r="EP154" i="39"/>
  <c r="EO154" i="39"/>
  <c r="EN154" i="39"/>
  <c r="EM154" i="39"/>
  <c r="EL154" i="39"/>
  <c r="EK154" i="39"/>
  <c r="EJ154" i="39"/>
  <c r="EI154" i="39"/>
  <c r="EH154" i="39"/>
  <c r="EG154" i="39"/>
  <c r="EF154" i="39"/>
  <c r="EE154" i="39"/>
  <c r="ED154" i="39"/>
  <c r="EC154" i="39"/>
  <c r="EB154" i="39"/>
  <c r="EA154" i="39"/>
  <c r="DZ154" i="39"/>
  <c r="DY154" i="39"/>
  <c r="DX154" i="39"/>
  <c r="DW154" i="39"/>
  <c r="FT153" i="39"/>
  <c r="FR153" i="39"/>
  <c r="FQ153" i="39"/>
  <c r="FP153" i="39"/>
  <c r="FO153" i="39"/>
  <c r="FN153" i="39"/>
  <c r="FM153" i="39"/>
  <c r="FL153" i="39"/>
  <c r="FK153" i="39"/>
  <c r="FJ153" i="39"/>
  <c r="FI153" i="39"/>
  <c r="FH153" i="39"/>
  <c r="FG153" i="39"/>
  <c r="FF153" i="39"/>
  <c r="FE153" i="39"/>
  <c r="FD153" i="39"/>
  <c r="FC153" i="39"/>
  <c r="FB153" i="39"/>
  <c r="FA153" i="39"/>
  <c r="EZ153" i="39"/>
  <c r="EY153" i="39"/>
  <c r="EX153" i="39"/>
  <c r="EW153" i="39"/>
  <c r="EV153" i="39"/>
  <c r="EU153" i="39"/>
  <c r="ES153" i="39"/>
  <c r="ER153" i="39"/>
  <c r="EQ153" i="39"/>
  <c r="EP153" i="39"/>
  <c r="EO153" i="39"/>
  <c r="EN153" i="39"/>
  <c r="EM153" i="39"/>
  <c r="EL153" i="39"/>
  <c r="EK153" i="39"/>
  <c r="EJ153" i="39"/>
  <c r="EI153" i="39"/>
  <c r="EH153" i="39"/>
  <c r="EG153" i="39"/>
  <c r="EF153" i="39"/>
  <c r="EE153" i="39"/>
  <c r="ED153" i="39"/>
  <c r="EC153" i="39"/>
  <c r="EB153" i="39"/>
  <c r="EA153" i="39"/>
  <c r="DZ153" i="39"/>
  <c r="DY153" i="39"/>
  <c r="DX153" i="39"/>
  <c r="DW153" i="39"/>
  <c r="FT152" i="39"/>
  <c r="FR152" i="39"/>
  <c r="FQ152" i="39"/>
  <c r="FP152" i="39"/>
  <c r="FO152" i="39"/>
  <c r="FN152" i="39"/>
  <c r="FM152" i="39"/>
  <c r="FL152" i="39"/>
  <c r="FK152" i="39"/>
  <c r="FJ152" i="39"/>
  <c r="FI152" i="39"/>
  <c r="FH152" i="39"/>
  <c r="FG152" i="39"/>
  <c r="FF152" i="39"/>
  <c r="FE152" i="39"/>
  <c r="FD152" i="39"/>
  <c r="FC152" i="39"/>
  <c r="FB152" i="39"/>
  <c r="FA152" i="39"/>
  <c r="EZ152" i="39"/>
  <c r="EY152" i="39"/>
  <c r="EX152" i="39"/>
  <c r="EW152" i="39"/>
  <c r="EV152" i="39"/>
  <c r="EU152" i="39"/>
  <c r="ES152" i="39"/>
  <c r="ER152" i="39"/>
  <c r="EQ152" i="39"/>
  <c r="EP152" i="39"/>
  <c r="EO152" i="39"/>
  <c r="EN152" i="39"/>
  <c r="EM152" i="39"/>
  <c r="EL152" i="39"/>
  <c r="EK152" i="39"/>
  <c r="EJ152" i="39"/>
  <c r="EI152" i="39"/>
  <c r="EH152" i="39"/>
  <c r="EG152" i="39"/>
  <c r="EF152" i="39"/>
  <c r="EE152" i="39"/>
  <c r="ED152" i="39"/>
  <c r="EC152" i="39"/>
  <c r="EB152" i="39"/>
  <c r="EA152" i="39"/>
  <c r="DZ152" i="39"/>
  <c r="DY152" i="39"/>
  <c r="DX152" i="39"/>
  <c r="DW152" i="39"/>
  <c r="FT151" i="39"/>
  <c r="FR151" i="39"/>
  <c r="FQ151" i="39"/>
  <c r="FP151" i="39"/>
  <c r="FO151" i="39"/>
  <c r="FN151" i="39"/>
  <c r="FM151" i="39"/>
  <c r="FL151" i="39"/>
  <c r="FK151" i="39"/>
  <c r="FJ151" i="39"/>
  <c r="FI151" i="39"/>
  <c r="FH151" i="39"/>
  <c r="FG151" i="39"/>
  <c r="FF151" i="39"/>
  <c r="FE151" i="39"/>
  <c r="FD151" i="39"/>
  <c r="FC151" i="39"/>
  <c r="FB151" i="39"/>
  <c r="FA151" i="39"/>
  <c r="EZ151" i="39"/>
  <c r="EY151" i="39"/>
  <c r="EX151" i="39"/>
  <c r="EW151" i="39"/>
  <c r="EV151" i="39"/>
  <c r="EU151" i="39"/>
  <c r="ES151" i="39"/>
  <c r="ER151" i="39"/>
  <c r="EQ151" i="39"/>
  <c r="EP151" i="39"/>
  <c r="EO151" i="39"/>
  <c r="EN151" i="39"/>
  <c r="EM151" i="39"/>
  <c r="EL151" i="39"/>
  <c r="EK151" i="39"/>
  <c r="EJ151" i="39"/>
  <c r="EI151" i="39"/>
  <c r="EH151" i="39"/>
  <c r="EG151" i="39"/>
  <c r="EF151" i="39"/>
  <c r="EE151" i="39"/>
  <c r="ED151" i="39"/>
  <c r="EC151" i="39"/>
  <c r="EB151" i="39"/>
  <c r="EA151" i="39"/>
  <c r="DZ151" i="39"/>
  <c r="DY151" i="39"/>
  <c r="DX151" i="39"/>
  <c r="DW151" i="39"/>
  <c r="FT150" i="39"/>
  <c r="FR150" i="39"/>
  <c r="FQ150" i="39"/>
  <c r="FP150" i="39"/>
  <c r="FO150" i="39"/>
  <c r="FN150" i="39"/>
  <c r="FM150" i="39"/>
  <c r="FL150" i="39"/>
  <c r="FK150" i="39"/>
  <c r="FJ150" i="39"/>
  <c r="FI150" i="39"/>
  <c r="FH150" i="39"/>
  <c r="FG150" i="39"/>
  <c r="FF150" i="39"/>
  <c r="FE150" i="39"/>
  <c r="FD150" i="39"/>
  <c r="FC150" i="39"/>
  <c r="FB150" i="39"/>
  <c r="FA150" i="39"/>
  <c r="EZ150" i="39"/>
  <c r="EY150" i="39"/>
  <c r="EX150" i="39"/>
  <c r="EW150" i="39"/>
  <c r="EV150" i="39"/>
  <c r="EU150" i="39"/>
  <c r="ES150" i="39"/>
  <c r="ER150" i="39"/>
  <c r="EQ150" i="39"/>
  <c r="EP150" i="39"/>
  <c r="EO150" i="39"/>
  <c r="EN150" i="39"/>
  <c r="EM150" i="39"/>
  <c r="EL150" i="39"/>
  <c r="EK150" i="39"/>
  <c r="EJ150" i="39"/>
  <c r="EI150" i="39"/>
  <c r="EH150" i="39"/>
  <c r="EG150" i="39"/>
  <c r="EF150" i="39"/>
  <c r="EE150" i="39"/>
  <c r="ED150" i="39"/>
  <c r="EC150" i="39"/>
  <c r="EB150" i="39"/>
  <c r="EA150" i="39"/>
  <c r="DZ150" i="39"/>
  <c r="DY150" i="39"/>
  <c r="DX150" i="39"/>
  <c r="DW150" i="39"/>
  <c r="FT149" i="39"/>
  <c r="FR149" i="39"/>
  <c r="FQ149" i="39"/>
  <c r="FP149" i="39"/>
  <c r="FO149" i="39"/>
  <c r="FN149" i="39"/>
  <c r="FM149" i="39"/>
  <c r="FL149" i="39"/>
  <c r="FK149" i="39"/>
  <c r="FJ149" i="39"/>
  <c r="FI149" i="39"/>
  <c r="FH149" i="39"/>
  <c r="FG149" i="39"/>
  <c r="FF149" i="39"/>
  <c r="FE149" i="39"/>
  <c r="FD149" i="39"/>
  <c r="FC149" i="39"/>
  <c r="FB149" i="39"/>
  <c r="FA149" i="39"/>
  <c r="EZ149" i="39"/>
  <c r="EY149" i="39"/>
  <c r="EX149" i="39"/>
  <c r="EW149" i="39"/>
  <c r="EV149" i="39"/>
  <c r="EU149" i="39"/>
  <c r="ES149" i="39"/>
  <c r="ER149" i="39"/>
  <c r="EQ149" i="39"/>
  <c r="EP149" i="39"/>
  <c r="EO149" i="39"/>
  <c r="EN149" i="39"/>
  <c r="EM149" i="39"/>
  <c r="EL149" i="39"/>
  <c r="EK149" i="39"/>
  <c r="EJ149" i="39"/>
  <c r="EI149" i="39"/>
  <c r="EH149" i="39"/>
  <c r="EG149" i="39"/>
  <c r="EF149" i="39"/>
  <c r="EE149" i="39"/>
  <c r="ED149" i="39"/>
  <c r="EC149" i="39"/>
  <c r="EB149" i="39"/>
  <c r="EA149" i="39"/>
  <c r="DZ149" i="39"/>
  <c r="DY149" i="39"/>
  <c r="DX149" i="39"/>
  <c r="DW149" i="39"/>
  <c r="FT148" i="39"/>
  <c r="FR148" i="39"/>
  <c r="FQ148" i="39"/>
  <c r="FP148" i="39"/>
  <c r="FO148" i="39"/>
  <c r="FN148" i="39"/>
  <c r="FM148" i="39"/>
  <c r="FL148" i="39"/>
  <c r="FK148" i="39"/>
  <c r="FJ148" i="39"/>
  <c r="FI148" i="39"/>
  <c r="FH148" i="39"/>
  <c r="FG148" i="39"/>
  <c r="FF148" i="39"/>
  <c r="FE148" i="39"/>
  <c r="FD148" i="39"/>
  <c r="FC148" i="39"/>
  <c r="FB148" i="39"/>
  <c r="FA148" i="39"/>
  <c r="EZ148" i="39"/>
  <c r="EY148" i="39"/>
  <c r="EX148" i="39"/>
  <c r="EW148" i="39"/>
  <c r="EV148" i="39"/>
  <c r="EU148" i="39"/>
  <c r="ES148" i="39"/>
  <c r="ER148" i="39"/>
  <c r="EQ148" i="39"/>
  <c r="EP148" i="39"/>
  <c r="EO148" i="39"/>
  <c r="EN148" i="39"/>
  <c r="EM148" i="39"/>
  <c r="EL148" i="39"/>
  <c r="EK148" i="39"/>
  <c r="EJ148" i="39"/>
  <c r="EI148" i="39"/>
  <c r="EH148" i="39"/>
  <c r="EG148" i="39"/>
  <c r="EF148" i="39"/>
  <c r="EE148" i="39"/>
  <c r="ED148" i="39"/>
  <c r="EC148" i="39"/>
  <c r="EB148" i="39"/>
  <c r="EA148" i="39"/>
  <c r="DZ148" i="39"/>
  <c r="DY148" i="39"/>
  <c r="DX148" i="39"/>
  <c r="DW148" i="39"/>
  <c r="FT147" i="39"/>
  <c r="FR147" i="39"/>
  <c r="FQ147" i="39"/>
  <c r="FP147" i="39"/>
  <c r="FO147" i="39"/>
  <c r="FN147" i="39"/>
  <c r="FM147" i="39"/>
  <c r="FL147" i="39"/>
  <c r="FK147" i="39"/>
  <c r="FJ147" i="39"/>
  <c r="FI147" i="39"/>
  <c r="FH147" i="39"/>
  <c r="FG147" i="39"/>
  <c r="FF147" i="39"/>
  <c r="FE147" i="39"/>
  <c r="FD147" i="39"/>
  <c r="FC147" i="39"/>
  <c r="FB147" i="39"/>
  <c r="FA147" i="39"/>
  <c r="EZ147" i="39"/>
  <c r="EY147" i="39"/>
  <c r="EX147" i="39"/>
  <c r="EW147" i="39"/>
  <c r="EV147" i="39"/>
  <c r="EU147" i="39"/>
  <c r="ES147" i="39"/>
  <c r="ER147" i="39"/>
  <c r="EQ147" i="39"/>
  <c r="EP147" i="39"/>
  <c r="EO147" i="39"/>
  <c r="EN147" i="39"/>
  <c r="EM147" i="39"/>
  <c r="EL147" i="39"/>
  <c r="EK147" i="39"/>
  <c r="EJ147" i="39"/>
  <c r="EI147" i="39"/>
  <c r="EH147" i="39"/>
  <c r="EG147" i="39"/>
  <c r="EF147" i="39"/>
  <c r="EE147" i="39"/>
  <c r="ED147" i="39"/>
  <c r="EC147" i="39"/>
  <c r="EB147" i="39"/>
  <c r="EA147" i="39"/>
  <c r="DZ147" i="39"/>
  <c r="DY147" i="39"/>
  <c r="DX147" i="39"/>
  <c r="DW147" i="39"/>
  <c r="FT146" i="39"/>
  <c r="FR146" i="39"/>
  <c r="FQ146" i="39"/>
  <c r="FP146" i="39"/>
  <c r="FO146" i="39"/>
  <c r="FN146" i="39"/>
  <c r="FM146" i="39"/>
  <c r="FL146" i="39"/>
  <c r="FK146" i="39"/>
  <c r="FJ146" i="39"/>
  <c r="FI146" i="39"/>
  <c r="FH146" i="39"/>
  <c r="FG146" i="39"/>
  <c r="FF146" i="39"/>
  <c r="FE146" i="39"/>
  <c r="FD146" i="39"/>
  <c r="FC146" i="39"/>
  <c r="FB146" i="39"/>
  <c r="FA146" i="39"/>
  <c r="EZ146" i="39"/>
  <c r="EY146" i="39"/>
  <c r="EX146" i="39"/>
  <c r="EW146" i="39"/>
  <c r="EV146" i="39"/>
  <c r="EU146" i="39"/>
  <c r="ES146" i="39"/>
  <c r="ER146" i="39"/>
  <c r="EQ146" i="39"/>
  <c r="EP146" i="39"/>
  <c r="EO146" i="39"/>
  <c r="EN146" i="39"/>
  <c r="EM146" i="39"/>
  <c r="EL146" i="39"/>
  <c r="EK146" i="39"/>
  <c r="EJ146" i="39"/>
  <c r="EI146" i="39"/>
  <c r="EH146" i="39"/>
  <c r="EG146" i="39"/>
  <c r="EF146" i="39"/>
  <c r="EE146" i="39"/>
  <c r="ED146" i="39"/>
  <c r="EC146" i="39"/>
  <c r="EB146" i="39"/>
  <c r="EA146" i="39"/>
  <c r="DZ146" i="39"/>
  <c r="DY146" i="39"/>
  <c r="DX146" i="39"/>
  <c r="DW146" i="39"/>
  <c r="FT145" i="39"/>
  <c r="FS145" i="39"/>
  <c r="FR145" i="39"/>
  <c r="FQ145" i="39"/>
  <c r="FP145" i="39"/>
  <c r="FO145" i="39"/>
  <c r="FN145" i="39"/>
  <c r="FM145" i="39"/>
  <c r="FL145" i="39"/>
  <c r="FK145" i="39"/>
  <c r="FJ145" i="39"/>
  <c r="FI145" i="39"/>
  <c r="FH145" i="39"/>
  <c r="FG145" i="39"/>
  <c r="FF145" i="39"/>
  <c r="FE145" i="39"/>
  <c r="FD145" i="39"/>
  <c r="FC145" i="39"/>
  <c r="FB145" i="39"/>
  <c r="FA145" i="39"/>
  <c r="EZ145" i="39"/>
  <c r="EY145" i="39"/>
  <c r="EX145" i="39"/>
  <c r="EW145" i="39"/>
  <c r="EV145" i="39"/>
  <c r="EU145" i="39"/>
  <c r="ES145" i="39"/>
  <c r="ER145" i="39"/>
  <c r="EQ145" i="39"/>
  <c r="EP145" i="39"/>
  <c r="EO145" i="39"/>
  <c r="EN145" i="39"/>
  <c r="EM145" i="39"/>
  <c r="EL145" i="39"/>
  <c r="EK145" i="39"/>
  <c r="EJ145" i="39"/>
  <c r="EI145" i="39"/>
  <c r="EH145" i="39"/>
  <c r="EG145" i="39"/>
  <c r="EF145" i="39"/>
  <c r="EE145" i="39"/>
  <c r="ED145" i="39"/>
  <c r="EC145" i="39"/>
  <c r="EB145" i="39"/>
  <c r="EA145" i="39"/>
  <c r="DZ145" i="39"/>
  <c r="DY145" i="39"/>
  <c r="DX145" i="39"/>
  <c r="DW145" i="39"/>
  <c r="FT144" i="39"/>
  <c r="FS144" i="39"/>
  <c r="FR144" i="39"/>
  <c r="FQ144" i="39"/>
  <c r="FP144" i="39"/>
  <c r="FO144" i="39"/>
  <c r="FN144" i="39"/>
  <c r="FM144" i="39"/>
  <c r="FL144" i="39"/>
  <c r="FK144" i="39"/>
  <c r="FJ144" i="39"/>
  <c r="FI144" i="39"/>
  <c r="FH144" i="39"/>
  <c r="FG144" i="39"/>
  <c r="FF144" i="39"/>
  <c r="FE144" i="39"/>
  <c r="FD144" i="39"/>
  <c r="FC144" i="39"/>
  <c r="FB144" i="39"/>
  <c r="FA144" i="39"/>
  <c r="EZ144" i="39"/>
  <c r="EY144" i="39"/>
  <c r="EX144" i="39"/>
  <c r="EW144" i="39"/>
  <c r="EV144" i="39"/>
  <c r="EU144" i="39"/>
  <c r="ES144" i="39"/>
  <c r="ER144" i="39"/>
  <c r="EQ144" i="39"/>
  <c r="EP144" i="39"/>
  <c r="EO144" i="39"/>
  <c r="EN144" i="39"/>
  <c r="EM144" i="39"/>
  <c r="EL144" i="39"/>
  <c r="EK144" i="39"/>
  <c r="EJ144" i="39"/>
  <c r="EI144" i="39"/>
  <c r="EH144" i="39"/>
  <c r="EG144" i="39"/>
  <c r="EF144" i="39"/>
  <c r="EE144" i="39"/>
  <c r="ED144" i="39"/>
  <c r="EC144" i="39"/>
  <c r="EB144" i="39"/>
  <c r="EA144" i="39"/>
  <c r="DZ144" i="39"/>
  <c r="DY144" i="39"/>
  <c r="DX144" i="39"/>
  <c r="DW144" i="39"/>
  <c r="FT143" i="39"/>
  <c r="FS143" i="39"/>
  <c r="FR143" i="39"/>
  <c r="FQ143" i="39"/>
  <c r="FP143" i="39"/>
  <c r="FO143" i="39"/>
  <c r="FN143" i="39"/>
  <c r="FM143" i="39"/>
  <c r="FL143" i="39"/>
  <c r="FK143" i="39"/>
  <c r="FJ143" i="39"/>
  <c r="FI143" i="39"/>
  <c r="FH143" i="39"/>
  <c r="FG143" i="39"/>
  <c r="FF143" i="39"/>
  <c r="FE143" i="39"/>
  <c r="FD143" i="39"/>
  <c r="FC143" i="39"/>
  <c r="FB143" i="39"/>
  <c r="FA143" i="39"/>
  <c r="EZ143" i="39"/>
  <c r="EY143" i="39"/>
  <c r="EX143" i="39"/>
  <c r="EW143" i="39"/>
  <c r="EV143" i="39"/>
  <c r="EU143" i="39"/>
  <c r="ES143" i="39"/>
  <c r="ER143" i="39"/>
  <c r="EQ143" i="39"/>
  <c r="EP143" i="39"/>
  <c r="EO143" i="39"/>
  <c r="EN143" i="39"/>
  <c r="EM143" i="39"/>
  <c r="EL143" i="39"/>
  <c r="EK143" i="39"/>
  <c r="EJ143" i="39"/>
  <c r="EI143" i="39"/>
  <c r="EH143" i="39"/>
  <c r="EG143" i="39"/>
  <c r="EF143" i="39"/>
  <c r="EE143" i="39"/>
  <c r="ED143" i="39"/>
  <c r="EC143" i="39"/>
  <c r="EB143" i="39"/>
  <c r="EA143" i="39"/>
  <c r="DZ143" i="39"/>
  <c r="DY143" i="39"/>
  <c r="DX143" i="39"/>
  <c r="DW143" i="39"/>
  <c r="FT142" i="39"/>
  <c r="FR142" i="39"/>
  <c r="FQ142" i="39"/>
  <c r="FP142" i="39"/>
  <c r="FO142" i="39"/>
  <c r="FN142" i="39"/>
  <c r="FM142" i="39"/>
  <c r="FL142" i="39"/>
  <c r="FK142" i="39"/>
  <c r="FJ142" i="39"/>
  <c r="FI142" i="39"/>
  <c r="FH142" i="39"/>
  <c r="FG142" i="39"/>
  <c r="FF142" i="39"/>
  <c r="FE142" i="39"/>
  <c r="FD142" i="39"/>
  <c r="FC142" i="39"/>
  <c r="FB142" i="39"/>
  <c r="FA142" i="39"/>
  <c r="EZ142" i="39"/>
  <c r="EY142" i="39"/>
  <c r="EX142" i="39"/>
  <c r="EW142" i="39"/>
  <c r="EV142" i="39"/>
  <c r="EU142" i="39"/>
  <c r="ES142" i="39"/>
  <c r="ER142" i="39"/>
  <c r="EQ142" i="39"/>
  <c r="EP142" i="39"/>
  <c r="EO142" i="39"/>
  <c r="EN142" i="39"/>
  <c r="EM142" i="39"/>
  <c r="EL142" i="39"/>
  <c r="EK142" i="39"/>
  <c r="EJ142" i="39"/>
  <c r="EI142" i="39"/>
  <c r="EH142" i="39"/>
  <c r="EG142" i="39"/>
  <c r="EF142" i="39"/>
  <c r="EE142" i="39"/>
  <c r="ED142" i="39"/>
  <c r="EC142" i="39"/>
  <c r="EB142" i="39"/>
  <c r="EA142" i="39"/>
  <c r="DZ142" i="39"/>
  <c r="DY142" i="39"/>
  <c r="DX142" i="39"/>
  <c r="DW142" i="39"/>
  <c r="FT141" i="39"/>
  <c r="FR141" i="39"/>
  <c r="FQ141" i="39"/>
  <c r="FP141" i="39"/>
  <c r="FO141" i="39"/>
  <c r="FN141" i="39"/>
  <c r="FM141" i="39"/>
  <c r="FL141" i="39"/>
  <c r="FK141" i="39"/>
  <c r="FJ141" i="39"/>
  <c r="FI141" i="39"/>
  <c r="FH141" i="39"/>
  <c r="FG141" i="39"/>
  <c r="FF141" i="39"/>
  <c r="FE141" i="39"/>
  <c r="FD141" i="39"/>
  <c r="FC141" i="39"/>
  <c r="FB141" i="39"/>
  <c r="FA141" i="39"/>
  <c r="EZ141" i="39"/>
  <c r="EY141" i="39"/>
  <c r="EX141" i="39"/>
  <c r="EW141" i="39"/>
  <c r="EV141" i="39"/>
  <c r="EU141" i="39"/>
  <c r="ES141" i="39"/>
  <c r="ER141" i="39"/>
  <c r="EQ141" i="39"/>
  <c r="EP141" i="39"/>
  <c r="EO141" i="39"/>
  <c r="EN141" i="39"/>
  <c r="EM141" i="39"/>
  <c r="EL141" i="39"/>
  <c r="EK141" i="39"/>
  <c r="EJ141" i="39"/>
  <c r="EI141" i="39"/>
  <c r="EH141" i="39"/>
  <c r="EG141" i="39"/>
  <c r="EF141" i="39"/>
  <c r="EE141" i="39"/>
  <c r="ED141" i="39"/>
  <c r="EC141" i="39"/>
  <c r="EB141" i="39"/>
  <c r="EA141" i="39"/>
  <c r="DZ141" i="39"/>
  <c r="DY141" i="39"/>
  <c r="DX141" i="39"/>
  <c r="DW141" i="39"/>
  <c r="FT140" i="39"/>
  <c r="FR140" i="39"/>
  <c r="FQ140" i="39"/>
  <c r="FP140" i="39"/>
  <c r="FO140" i="39"/>
  <c r="FN140" i="39"/>
  <c r="FM140" i="39"/>
  <c r="FL140" i="39"/>
  <c r="FK140" i="39"/>
  <c r="FJ140" i="39"/>
  <c r="FI140" i="39"/>
  <c r="FH140" i="39"/>
  <c r="FG140" i="39"/>
  <c r="FF140" i="39"/>
  <c r="FE140" i="39"/>
  <c r="FD140" i="39"/>
  <c r="FC140" i="39"/>
  <c r="FB140" i="39"/>
  <c r="FA140" i="39"/>
  <c r="EZ140" i="39"/>
  <c r="EY140" i="39"/>
  <c r="EX140" i="39"/>
  <c r="EW140" i="39"/>
  <c r="EV140" i="39"/>
  <c r="EU140" i="39"/>
  <c r="ES140" i="39"/>
  <c r="ER140" i="39"/>
  <c r="EQ140" i="39"/>
  <c r="EP140" i="39"/>
  <c r="EO140" i="39"/>
  <c r="EN140" i="39"/>
  <c r="EM140" i="39"/>
  <c r="EL140" i="39"/>
  <c r="EK140" i="39"/>
  <c r="EJ140" i="39"/>
  <c r="EI140" i="39"/>
  <c r="EH140" i="39"/>
  <c r="EG140" i="39"/>
  <c r="EF140" i="39"/>
  <c r="EE140" i="39"/>
  <c r="ED140" i="39"/>
  <c r="EC140" i="39"/>
  <c r="EB140" i="39"/>
  <c r="EA140" i="39"/>
  <c r="DZ140" i="39"/>
  <c r="DY140" i="39"/>
  <c r="DX140" i="39"/>
  <c r="DW140" i="39"/>
  <c r="FT139" i="39"/>
  <c r="FR139" i="39"/>
  <c r="FQ139" i="39"/>
  <c r="FP139" i="39"/>
  <c r="FO139" i="39"/>
  <c r="FN139" i="39"/>
  <c r="FM139" i="39"/>
  <c r="FL139" i="39"/>
  <c r="FK139" i="39"/>
  <c r="FJ139" i="39"/>
  <c r="FI139" i="39"/>
  <c r="FH139" i="39"/>
  <c r="FG139" i="39"/>
  <c r="FF139" i="39"/>
  <c r="FE139" i="39"/>
  <c r="FD139" i="39"/>
  <c r="FC139" i="39"/>
  <c r="FB139" i="39"/>
  <c r="FA139" i="39"/>
  <c r="EZ139" i="39"/>
  <c r="EY139" i="39"/>
  <c r="EX139" i="39"/>
  <c r="EW139" i="39"/>
  <c r="EV139" i="39"/>
  <c r="EU139" i="39"/>
  <c r="ES139" i="39"/>
  <c r="ER139" i="39"/>
  <c r="EQ139" i="39"/>
  <c r="EP139" i="39"/>
  <c r="EO139" i="39"/>
  <c r="EN139" i="39"/>
  <c r="EM139" i="39"/>
  <c r="EL139" i="39"/>
  <c r="EK139" i="39"/>
  <c r="EJ139" i="39"/>
  <c r="EI139" i="39"/>
  <c r="EH139" i="39"/>
  <c r="EG139" i="39"/>
  <c r="EF139" i="39"/>
  <c r="EE139" i="39"/>
  <c r="ED139" i="39"/>
  <c r="EC139" i="39"/>
  <c r="EB139" i="39"/>
  <c r="EA139" i="39"/>
  <c r="DZ139" i="39"/>
  <c r="DY139" i="39"/>
  <c r="DX139" i="39"/>
  <c r="DW139" i="39"/>
  <c r="FT138" i="39"/>
  <c r="FR138" i="39"/>
  <c r="FQ138" i="39"/>
  <c r="FP138" i="39"/>
  <c r="FO138" i="39"/>
  <c r="FN138" i="39"/>
  <c r="FM138" i="39"/>
  <c r="FL138" i="39"/>
  <c r="FK138" i="39"/>
  <c r="FJ138" i="39"/>
  <c r="FI138" i="39"/>
  <c r="FH138" i="39"/>
  <c r="FG138" i="39"/>
  <c r="FF138" i="39"/>
  <c r="FE138" i="39"/>
  <c r="FD138" i="39"/>
  <c r="FC138" i="39"/>
  <c r="FB138" i="39"/>
  <c r="FA138" i="39"/>
  <c r="EZ138" i="39"/>
  <c r="EY138" i="39"/>
  <c r="EX138" i="39"/>
  <c r="EW138" i="39"/>
  <c r="EV138" i="39"/>
  <c r="EU138" i="39"/>
  <c r="ES138" i="39"/>
  <c r="ER138" i="39"/>
  <c r="EQ138" i="39"/>
  <c r="EP138" i="39"/>
  <c r="EO138" i="39"/>
  <c r="EN138" i="39"/>
  <c r="EM138" i="39"/>
  <c r="EL138" i="39"/>
  <c r="EK138" i="39"/>
  <c r="EJ138" i="39"/>
  <c r="EI138" i="39"/>
  <c r="EH138" i="39"/>
  <c r="EG138" i="39"/>
  <c r="EF138" i="39"/>
  <c r="EE138" i="39"/>
  <c r="ED138" i="39"/>
  <c r="EC138" i="39"/>
  <c r="EB138" i="39"/>
  <c r="EA138" i="39"/>
  <c r="DZ138" i="39"/>
  <c r="DY138" i="39"/>
  <c r="DX138" i="39"/>
  <c r="DW138" i="39"/>
  <c r="FT137" i="39"/>
  <c r="FR137" i="39"/>
  <c r="FQ137" i="39"/>
  <c r="FP137" i="39"/>
  <c r="FO137" i="39"/>
  <c r="FN137" i="39"/>
  <c r="FM137" i="39"/>
  <c r="FL137" i="39"/>
  <c r="FK137" i="39"/>
  <c r="FJ137" i="39"/>
  <c r="FI137" i="39"/>
  <c r="FH137" i="39"/>
  <c r="FG137" i="39"/>
  <c r="FF137" i="39"/>
  <c r="FE137" i="39"/>
  <c r="FD137" i="39"/>
  <c r="FC137" i="39"/>
  <c r="FB137" i="39"/>
  <c r="FA137" i="39"/>
  <c r="EZ137" i="39"/>
  <c r="EY137" i="39"/>
  <c r="EX137" i="39"/>
  <c r="EW137" i="39"/>
  <c r="EV137" i="39"/>
  <c r="EU137" i="39"/>
  <c r="ES137" i="39"/>
  <c r="ER137" i="39"/>
  <c r="EQ137" i="39"/>
  <c r="EP137" i="39"/>
  <c r="EO137" i="39"/>
  <c r="EN137" i="39"/>
  <c r="EM137" i="39"/>
  <c r="EL137" i="39"/>
  <c r="EK137" i="39"/>
  <c r="EJ137" i="39"/>
  <c r="EI137" i="39"/>
  <c r="EH137" i="39"/>
  <c r="EG137" i="39"/>
  <c r="EF137" i="39"/>
  <c r="EE137" i="39"/>
  <c r="ED137" i="39"/>
  <c r="EC137" i="39"/>
  <c r="EB137" i="39"/>
  <c r="EA137" i="39"/>
  <c r="DZ137" i="39"/>
  <c r="DY137" i="39"/>
  <c r="DX137" i="39"/>
  <c r="DW137" i="39"/>
  <c r="FT136" i="39"/>
  <c r="FR136" i="39"/>
  <c r="FQ136" i="39"/>
  <c r="FP136" i="39"/>
  <c r="FO136" i="39"/>
  <c r="FN136" i="39"/>
  <c r="FM136" i="39"/>
  <c r="FL136" i="39"/>
  <c r="FK136" i="39"/>
  <c r="FJ136" i="39"/>
  <c r="FI136" i="39"/>
  <c r="FH136" i="39"/>
  <c r="FG136" i="39"/>
  <c r="FF136" i="39"/>
  <c r="FE136" i="39"/>
  <c r="FD136" i="39"/>
  <c r="FC136" i="39"/>
  <c r="FB136" i="39"/>
  <c r="FA136" i="39"/>
  <c r="EZ136" i="39"/>
  <c r="EY136" i="39"/>
  <c r="EX136" i="39"/>
  <c r="EW136" i="39"/>
  <c r="EV136" i="39"/>
  <c r="EU136" i="39"/>
  <c r="ES136" i="39"/>
  <c r="ER136" i="39"/>
  <c r="EQ136" i="39"/>
  <c r="EP136" i="39"/>
  <c r="EO136" i="39"/>
  <c r="EN136" i="39"/>
  <c r="EM136" i="39"/>
  <c r="EL136" i="39"/>
  <c r="EK136" i="39"/>
  <c r="EJ136" i="39"/>
  <c r="EI136" i="39"/>
  <c r="EH136" i="39"/>
  <c r="EG136" i="39"/>
  <c r="EF136" i="39"/>
  <c r="EE136" i="39"/>
  <c r="ED136" i="39"/>
  <c r="EC136" i="39"/>
  <c r="EB136" i="39"/>
  <c r="EA136" i="39"/>
  <c r="DZ136" i="39"/>
  <c r="DY136" i="39"/>
  <c r="DX136" i="39"/>
  <c r="DW136" i="39"/>
  <c r="FT135" i="39"/>
  <c r="FR135" i="39"/>
  <c r="FQ135" i="39"/>
  <c r="FP135" i="39"/>
  <c r="FO135" i="39"/>
  <c r="FN135" i="39"/>
  <c r="FM135" i="39"/>
  <c r="FL135" i="39"/>
  <c r="FK135" i="39"/>
  <c r="FJ135" i="39"/>
  <c r="FI135" i="39"/>
  <c r="FH135" i="39"/>
  <c r="FG135" i="39"/>
  <c r="FF135" i="39"/>
  <c r="FE135" i="39"/>
  <c r="FD135" i="39"/>
  <c r="FC135" i="39"/>
  <c r="FB135" i="39"/>
  <c r="FA135" i="39"/>
  <c r="EZ135" i="39"/>
  <c r="EY135" i="39"/>
  <c r="EX135" i="39"/>
  <c r="EW135" i="39"/>
  <c r="EV135" i="39"/>
  <c r="EU135" i="39"/>
  <c r="ES135" i="39"/>
  <c r="ER135" i="39"/>
  <c r="EQ135" i="39"/>
  <c r="EP135" i="39"/>
  <c r="EO135" i="39"/>
  <c r="EN135" i="39"/>
  <c r="EM135" i="39"/>
  <c r="EL135" i="39"/>
  <c r="EK135" i="39"/>
  <c r="EJ135" i="39"/>
  <c r="EI135" i="39"/>
  <c r="EH135" i="39"/>
  <c r="EG135" i="39"/>
  <c r="EF135" i="39"/>
  <c r="EE135" i="39"/>
  <c r="ED135" i="39"/>
  <c r="EC135" i="39"/>
  <c r="EB135" i="39"/>
  <c r="EA135" i="39"/>
  <c r="DZ135" i="39"/>
  <c r="DY135" i="39"/>
  <c r="DX135" i="39"/>
  <c r="DW135" i="39"/>
  <c r="FT134" i="39"/>
  <c r="FR134" i="39"/>
  <c r="FQ134" i="39"/>
  <c r="FP134" i="39"/>
  <c r="FO134" i="39"/>
  <c r="FN134" i="39"/>
  <c r="FM134" i="39"/>
  <c r="FL134" i="39"/>
  <c r="FK134" i="39"/>
  <c r="FJ134" i="39"/>
  <c r="FI134" i="39"/>
  <c r="FH134" i="39"/>
  <c r="FG134" i="39"/>
  <c r="FF134" i="39"/>
  <c r="FE134" i="39"/>
  <c r="FD134" i="39"/>
  <c r="FC134" i="39"/>
  <c r="FB134" i="39"/>
  <c r="FA134" i="39"/>
  <c r="EZ134" i="39"/>
  <c r="EY134" i="39"/>
  <c r="EX134" i="39"/>
  <c r="EW134" i="39"/>
  <c r="EV134" i="39"/>
  <c r="EU134" i="39"/>
  <c r="ES134" i="39"/>
  <c r="ER134" i="39"/>
  <c r="EQ134" i="39"/>
  <c r="EP134" i="39"/>
  <c r="EO134" i="39"/>
  <c r="EN134" i="39"/>
  <c r="EM134" i="39"/>
  <c r="EL134" i="39"/>
  <c r="EK134" i="39"/>
  <c r="EJ134" i="39"/>
  <c r="EI134" i="39"/>
  <c r="EH134" i="39"/>
  <c r="EG134" i="39"/>
  <c r="EF134" i="39"/>
  <c r="EE134" i="39"/>
  <c r="ED134" i="39"/>
  <c r="EC134" i="39"/>
  <c r="EB134" i="39"/>
  <c r="EA134" i="39"/>
  <c r="DZ134" i="39"/>
  <c r="DY134" i="39"/>
  <c r="DX134" i="39"/>
  <c r="DW134" i="39"/>
  <c r="FT133" i="39"/>
  <c r="FS133" i="39"/>
  <c r="FR133" i="39"/>
  <c r="FQ133" i="39"/>
  <c r="FP133" i="39"/>
  <c r="FO133" i="39"/>
  <c r="FN133" i="39"/>
  <c r="FM133" i="39"/>
  <c r="FL133" i="39"/>
  <c r="FK133" i="39"/>
  <c r="FJ133" i="39"/>
  <c r="FI133" i="39"/>
  <c r="FH133" i="39"/>
  <c r="FG133" i="39"/>
  <c r="FF133" i="39"/>
  <c r="FE133" i="39"/>
  <c r="FD133" i="39"/>
  <c r="FC133" i="39"/>
  <c r="FB133" i="39"/>
  <c r="FA133" i="39"/>
  <c r="EZ133" i="39"/>
  <c r="EY133" i="39"/>
  <c r="EX133" i="39"/>
  <c r="EW133" i="39"/>
  <c r="EV133" i="39"/>
  <c r="EU133" i="39"/>
  <c r="ES133" i="39"/>
  <c r="ER133" i="39"/>
  <c r="EQ133" i="39"/>
  <c r="EP133" i="39"/>
  <c r="EO133" i="39"/>
  <c r="EN133" i="39"/>
  <c r="EM133" i="39"/>
  <c r="EL133" i="39"/>
  <c r="EK133" i="39"/>
  <c r="EJ133" i="39"/>
  <c r="EI133" i="39"/>
  <c r="EH133" i="39"/>
  <c r="EG133" i="39"/>
  <c r="EF133" i="39"/>
  <c r="EE133" i="39"/>
  <c r="ED133" i="39"/>
  <c r="EC133" i="39"/>
  <c r="EB133" i="39"/>
  <c r="EA133" i="39"/>
  <c r="DZ133" i="39"/>
  <c r="DY133" i="39"/>
  <c r="DX133" i="39"/>
  <c r="DW133" i="39"/>
  <c r="FT132" i="39"/>
  <c r="FS132" i="39"/>
  <c r="FR132" i="39"/>
  <c r="FQ132" i="39"/>
  <c r="FP132" i="39"/>
  <c r="FO132" i="39"/>
  <c r="FN132" i="39"/>
  <c r="FM132" i="39"/>
  <c r="FL132" i="39"/>
  <c r="FK132" i="39"/>
  <c r="FJ132" i="39"/>
  <c r="FI132" i="39"/>
  <c r="FH132" i="39"/>
  <c r="FG132" i="39"/>
  <c r="FF132" i="39"/>
  <c r="FE132" i="39"/>
  <c r="FD132" i="39"/>
  <c r="FC132" i="39"/>
  <c r="FB132" i="39"/>
  <c r="FA132" i="39"/>
  <c r="EZ132" i="39"/>
  <c r="EY132" i="39"/>
  <c r="EX132" i="39"/>
  <c r="EW132" i="39"/>
  <c r="EV132" i="39"/>
  <c r="EU132" i="39"/>
  <c r="ES132" i="39"/>
  <c r="ER132" i="39"/>
  <c r="EQ132" i="39"/>
  <c r="EP132" i="39"/>
  <c r="EO132" i="39"/>
  <c r="EN132" i="39"/>
  <c r="EM132" i="39"/>
  <c r="EL132" i="39"/>
  <c r="EK132" i="39"/>
  <c r="EJ132" i="39"/>
  <c r="EI132" i="39"/>
  <c r="EH132" i="39"/>
  <c r="EG132" i="39"/>
  <c r="EF132" i="39"/>
  <c r="EE132" i="39"/>
  <c r="ED132" i="39"/>
  <c r="EC132" i="39"/>
  <c r="EB132" i="39"/>
  <c r="EA132" i="39"/>
  <c r="DZ132" i="39"/>
  <c r="DY132" i="39"/>
  <c r="DX132" i="39"/>
  <c r="DW132" i="39"/>
  <c r="FT131" i="39"/>
  <c r="FR131" i="39"/>
  <c r="FQ131" i="39"/>
  <c r="FP131" i="39"/>
  <c r="FO131" i="39"/>
  <c r="FN131" i="39"/>
  <c r="FM131" i="39"/>
  <c r="FL131" i="39"/>
  <c r="FK131" i="39"/>
  <c r="FJ131" i="39"/>
  <c r="FI131" i="39"/>
  <c r="FH131" i="39"/>
  <c r="FG131" i="39"/>
  <c r="FF131" i="39"/>
  <c r="FE131" i="39"/>
  <c r="FD131" i="39"/>
  <c r="FC131" i="39"/>
  <c r="FB131" i="39"/>
  <c r="FA131" i="39"/>
  <c r="EZ131" i="39"/>
  <c r="EY131" i="39"/>
  <c r="EX131" i="39"/>
  <c r="EW131" i="39"/>
  <c r="EV131" i="39"/>
  <c r="EU131" i="39"/>
  <c r="ES131" i="39"/>
  <c r="ER131" i="39"/>
  <c r="EQ131" i="39"/>
  <c r="EP131" i="39"/>
  <c r="EO131" i="39"/>
  <c r="EN131" i="39"/>
  <c r="EM131" i="39"/>
  <c r="EL131" i="39"/>
  <c r="EK131" i="39"/>
  <c r="EJ131" i="39"/>
  <c r="EI131" i="39"/>
  <c r="EH131" i="39"/>
  <c r="EG131" i="39"/>
  <c r="EF131" i="39"/>
  <c r="EE131" i="39"/>
  <c r="ED131" i="39"/>
  <c r="EC131" i="39"/>
  <c r="EB131" i="39"/>
  <c r="EA131" i="39"/>
  <c r="DZ131" i="39"/>
  <c r="DY131" i="39"/>
  <c r="DX131" i="39"/>
  <c r="DW131" i="39"/>
  <c r="FT130" i="39"/>
  <c r="FR130" i="39"/>
  <c r="FQ130" i="39"/>
  <c r="FP130" i="39"/>
  <c r="FO130" i="39"/>
  <c r="FN130" i="39"/>
  <c r="FM130" i="39"/>
  <c r="FL130" i="39"/>
  <c r="FK130" i="39"/>
  <c r="FJ130" i="39"/>
  <c r="FI130" i="39"/>
  <c r="FH130" i="39"/>
  <c r="FG130" i="39"/>
  <c r="FF130" i="39"/>
  <c r="FE130" i="39"/>
  <c r="FD130" i="39"/>
  <c r="FC130" i="39"/>
  <c r="FB130" i="39"/>
  <c r="FA130" i="39"/>
  <c r="EZ130" i="39"/>
  <c r="EY130" i="39"/>
  <c r="EX130" i="39"/>
  <c r="EW130" i="39"/>
  <c r="EV130" i="39"/>
  <c r="EU130" i="39"/>
  <c r="ES130" i="39"/>
  <c r="ER130" i="39"/>
  <c r="EQ130" i="39"/>
  <c r="EP130" i="39"/>
  <c r="EO130" i="39"/>
  <c r="EN130" i="39"/>
  <c r="EM130" i="39"/>
  <c r="EL130" i="39"/>
  <c r="EK130" i="39"/>
  <c r="EJ130" i="39"/>
  <c r="EI130" i="39"/>
  <c r="EH130" i="39"/>
  <c r="EG130" i="39"/>
  <c r="EF130" i="39"/>
  <c r="EE130" i="39"/>
  <c r="ED130" i="39"/>
  <c r="EC130" i="39"/>
  <c r="EB130" i="39"/>
  <c r="EA130" i="39"/>
  <c r="DZ130" i="39"/>
  <c r="DY130" i="39"/>
  <c r="DX130" i="39"/>
  <c r="DW130" i="39"/>
  <c r="FT129" i="39"/>
  <c r="FR129" i="39"/>
  <c r="FQ129" i="39"/>
  <c r="FP129" i="39"/>
  <c r="FO129" i="39"/>
  <c r="FN129" i="39"/>
  <c r="FM129" i="39"/>
  <c r="FL129" i="39"/>
  <c r="FK129" i="39"/>
  <c r="FJ129" i="39"/>
  <c r="FI129" i="39"/>
  <c r="FH129" i="39"/>
  <c r="FG129" i="39"/>
  <c r="FF129" i="39"/>
  <c r="FE129" i="39"/>
  <c r="FD129" i="39"/>
  <c r="FC129" i="39"/>
  <c r="FB129" i="39"/>
  <c r="FA129" i="39"/>
  <c r="EZ129" i="39"/>
  <c r="EY129" i="39"/>
  <c r="EX129" i="39"/>
  <c r="EW129" i="39"/>
  <c r="EV129" i="39"/>
  <c r="EU129" i="39"/>
  <c r="ES129" i="39"/>
  <c r="ER129" i="39"/>
  <c r="EQ129" i="39"/>
  <c r="EP129" i="39"/>
  <c r="EO129" i="39"/>
  <c r="EN129" i="39"/>
  <c r="EM129" i="39"/>
  <c r="EL129" i="39"/>
  <c r="EK129" i="39"/>
  <c r="EJ129" i="39"/>
  <c r="EI129" i="39"/>
  <c r="EH129" i="39"/>
  <c r="EG129" i="39"/>
  <c r="EF129" i="39"/>
  <c r="EE129" i="39"/>
  <c r="ED129" i="39"/>
  <c r="EC129" i="39"/>
  <c r="EB129" i="39"/>
  <c r="EA129" i="39"/>
  <c r="DZ129" i="39"/>
  <c r="DY129" i="39"/>
  <c r="DX129" i="39"/>
  <c r="DW129" i="39"/>
  <c r="FT128" i="39"/>
  <c r="FS128" i="39"/>
  <c r="FR128" i="39"/>
  <c r="FQ128" i="39"/>
  <c r="FP128" i="39"/>
  <c r="FO128" i="39"/>
  <c r="FN128" i="39"/>
  <c r="FM128" i="39"/>
  <c r="FL128" i="39"/>
  <c r="FK128" i="39"/>
  <c r="FJ128" i="39"/>
  <c r="FI128" i="39"/>
  <c r="FH128" i="39"/>
  <c r="FG128" i="39"/>
  <c r="FF128" i="39"/>
  <c r="FE128" i="39"/>
  <c r="FD128" i="39"/>
  <c r="FC128" i="39"/>
  <c r="FB128" i="39"/>
  <c r="FA128" i="39"/>
  <c r="EZ128" i="39"/>
  <c r="EY128" i="39"/>
  <c r="EX128" i="39"/>
  <c r="EW128" i="39"/>
  <c r="EV128" i="39"/>
  <c r="EU128" i="39"/>
  <c r="ES128" i="39"/>
  <c r="ER128" i="39"/>
  <c r="EQ128" i="39"/>
  <c r="EP128" i="39"/>
  <c r="EO128" i="39"/>
  <c r="EN128" i="39"/>
  <c r="EM128" i="39"/>
  <c r="EL128" i="39"/>
  <c r="EK128" i="39"/>
  <c r="EJ128" i="39"/>
  <c r="EI128" i="39"/>
  <c r="EH128" i="39"/>
  <c r="EG128" i="39"/>
  <c r="EF128" i="39"/>
  <c r="EE128" i="39"/>
  <c r="ED128" i="39"/>
  <c r="EC128" i="39"/>
  <c r="EB128" i="39"/>
  <c r="EA128" i="39"/>
  <c r="DZ128" i="39"/>
  <c r="DY128" i="39"/>
  <c r="DX128" i="39"/>
  <c r="DW128" i="39"/>
  <c r="FT127" i="39"/>
  <c r="FS127" i="39"/>
  <c r="FR127" i="39"/>
  <c r="FQ127" i="39"/>
  <c r="FP127" i="39"/>
  <c r="FO127" i="39"/>
  <c r="FN127" i="39"/>
  <c r="FM127" i="39"/>
  <c r="FL127" i="39"/>
  <c r="FK127" i="39"/>
  <c r="FJ127" i="39"/>
  <c r="FI127" i="39"/>
  <c r="FH127" i="39"/>
  <c r="FG127" i="39"/>
  <c r="FF127" i="39"/>
  <c r="FE127" i="39"/>
  <c r="FD127" i="39"/>
  <c r="FC127" i="39"/>
  <c r="FB127" i="39"/>
  <c r="FA127" i="39"/>
  <c r="EZ127" i="39"/>
  <c r="EY127" i="39"/>
  <c r="EX127" i="39"/>
  <c r="EW127" i="39"/>
  <c r="EV127" i="39"/>
  <c r="EU127" i="39"/>
  <c r="ES127" i="39"/>
  <c r="ER127" i="39"/>
  <c r="EQ127" i="39"/>
  <c r="EP127" i="39"/>
  <c r="EO127" i="39"/>
  <c r="EN127" i="39"/>
  <c r="EM127" i="39"/>
  <c r="EL127" i="39"/>
  <c r="EK127" i="39"/>
  <c r="EJ127" i="39"/>
  <c r="EI127" i="39"/>
  <c r="EH127" i="39"/>
  <c r="EG127" i="39"/>
  <c r="EF127" i="39"/>
  <c r="EE127" i="39"/>
  <c r="ED127" i="39"/>
  <c r="EC127" i="39"/>
  <c r="EB127" i="39"/>
  <c r="EA127" i="39"/>
  <c r="DZ127" i="39"/>
  <c r="DY127" i="39"/>
  <c r="DX127" i="39"/>
  <c r="DW127" i="39"/>
  <c r="FT126" i="39"/>
  <c r="FS126" i="39"/>
  <c r="FR126" i="39"/>
  <c r="FQ126" i="39"/>
  <c r="FP126" i="39"/>
  <c r="FO126" i="39"/>
  <c r="FN126" i="39"/>
  <c r="FM126" i="39"/>
  <c r="FL126" i="39"/>
  <c r="FK126" i="39"/>
  <c r="FJ126" i="39"/>
  <c r="FI126" i="39"/>
  <c r="FH126" i="39"/>
  <c r="FG126" i="39"/>
  <c r="FF126" i="39"/>
  <c r="FE126" i="39"/>
  <c r="FD126" i="39"/>
  <c r="FC126" i="39"/>
  <c r="FB126" i="39"/>
  <c r="FA126" i="39"/>
  <c r="EZ126" i="39"/>
  <c r="EY126" i="39"/>
  <c r="EX126" i="39"/>
  <c r="EW126" i="39"/>
  <c r="EV126" i="39"/>
  <c r="EU126" i="39"/>
  <c r="ES126" i="39"/>
  <c r="ER126" i="39"/>
  <c r="EQ126" i="39"/>
  <c r="EP126" i="39"/>
  <c r="EO126" i="39"/>
  <c r="EN126" i="39"/>
  <c r="EM126" i="39"/>
  <c r="EL126" i="39"/>
  <c r="EK126" i="39"/>
  <c r="EJ126" i="39"/>
  <c r="EI126" i="39"/>
  <c r="EH126" i="39"/>
  <c r="EG126" i="39"/>
  <c r="EF126" i="39"/>
  <c r="EE126" i="39"/>
  <c r="ED126" i="39"/>
  <c r="EC126" i="39"/>
  <c r="EB126" i="39"/>
  <c r="EA126" i="39"/>
  <c r="DZ126" i="39"/>
  <c r="DY126" i="39"/>
  <c r="DX126" i="39"/>
  <c r="DW126" i="39"/>
  <c r="FT125" i="39"/>
  <c r="FS125" i="39"/>
  <c r="FR125" i="39"/>
  <c r="FQ125" i="39"/>
  <c r="FP125" i="39"/>
  <c r="FO125" i="39"/>
  <c r="FN125" i="39"/>
  <c r="FM125" i="39"/>
  <c r="FL125" i="39"/>
  <c r="FK125" i="39"/>
  <c r="FJ125" i="39"/>
  <c r="FI125" i="39"/>
  <c r="FH125" i="39"/>
  <c r="FG125" i="39"/>
  <c r="FF125" i="39"/>
  <c r="FE125" i="39"/>
  <c r="FD125" i="39"/>
  <c r="FC125" i="39"/>
  <c r="FB125" i="39"/>
  <c r="FA125" i="39"/>
  <c r="EZ125" i="39"/>
  <c r="EY125" i="39"/>
  <c r="EX125" i="39"/>
  <c r="EW125" i="39"/>
  <c r="EV125" i="39"/>
  <c r="EU125" i="39"/>
  <c r="ES125" i="39"/>
  <c r="ER125" i="39"/>
  <c r="EQ125" i="39"/>
  <c r="EP125" i="39"/>
  <c r="EO125" i="39"/>
  <c r="EN125" i="39"/>
  <c r="EM125" i="39"/>
  <c r="EL125" i="39"/>
  <c r="EK125" i="39"/>
  <c r="EJ125" i="39"/>
  <c r="EI125" i="39"/>
  <c r="EH125" i="39"/>
  <c r="EG125" i="39"/>
  <c r="EF125" i="39"/>
  <c r="EE125" i="39"/>
  <c r="ED125" i="39"/>
  <c r="EC125" i="39"/>
  <c r="EB125" i="39"/>
  <c r="EA125" i="39"/>
  <c r="DZ125" i="39"/>
  <c r="DY125" i="39"/>
  <c r="DX125" i="39"/>
  <c r="DW125" i="39"/>
  <c r="FT124" i="39"/>
  <c r="FR124" i="39"/>
  <c r="FQ124" i="39"/>
  <c r="FP124" i="39"/>
  <c r="FO124" i="39"/>
  <c r="FN124" i="39"/>
  <c r="FM124" i="39"/>
  <c r="FL124" i="39"/>
  <c r="FK124" i="39"/>
  <c r="FJ124" i="39"/>
  <c r="FI124" i="39"/>
  <c r="FH124" i="39"/>
  <c r="FG124" i="39"/>
  <c r="FF124" i="39"/>
  <c r="FE124" i="39"/>
  <c r="FD124" i="39"/>
  <c r="FC124" i="39"/>
  <c r="FB124" i="39"/>
  <c r="FA124" i="39"/>
  <c r="EZ124" i="39"/>
  <c r="EY124" i="39"/>
  <c r="EX124" i="39"/>
  <c r="EW124" i="39"/>
  <c r="EV124" i="39"/>
  <c r="EU124" i="39"/>
  <c r="ES124" i="39"/>
  <c r="ER124" i="39"/>
  <c r="EQ124" i="39"/>
  <c r="EP124" i="39"/>
  <c r="EO124" i="39"/>
  <c r="EN124" i="39"/>
  <c r="EM124" i="39"/>
  <c r="EL124" i="39"/>
  <c r="EK124" i="39"/>
  <c r="EJ124" i="39"/>
  <c r="EI124" i="39"/>
  <c r="EH124" i="39"/>
  <c r="EG124" i="39"/>
  <c r="EF124" i="39"/>
  <c r="EE124" i="39"/>
  <c r="ED124" i="39"/>
  <c r="EC124" i="39"/>
  <c r="EB124" i="39"/>
  <c r="EA124" i="39"/>
  <c r="DZ124" i="39"/>
  <c r="DY124" i="39"/>
  <c r="DX124" i="39"/>
  <c r="DW124" i="39"/>
  <c r="FT123" i="39"/>
  <c r="FR123" i="39"/>
  <c r="FQ123" i="39"/>
  <c r="FP123" i="39"/>
  <c r="FO123" i="39"/>
  <c r="FN123" i="39"/>
  <c r="FM123" i="39"/>
  <c r="FL123" i="39"/>
  <c r="FK123" i="39"/>
  <c r="FJ123" i="39"/>
  <c r="FI123" i="39"/>
  <c r="FH123" i="39"/>
  <c r="FG123" i="39"/>
  <c r="FF123" i="39"/>
  <c r="FE123" i="39"/>
  <c r="FD123" i="39"/>
  <c r="FC123" i="39"/>
  <c r="FB123" i="39"/>
  <c r="FA123" i="39"/>
  <c r="EZ123" i="39"/>
  <c r="EY123" i="39"/>
  <c r="EX123" i="39"/>
  <c r="EW123" i="39"/>
  <c r="EV123" i="39"/>
  <c r="EU123" i="39"/>
  <c r="ES123" i="39"/>
  <c r="ER123" i="39"/>
  <c r="EQ123" i="39"/>
  <c r="EP123" i="39"/>
  <c r="EO123" i="39"/>
  <c r="EN123" i="39"/>
  <c r="EM123" i="39"/>
  <c r="EL123" i="39"/>
  <c r="EK123" i="39"/>
  <c r="EJ123" i="39"/>
  <c r="EI123" i="39"/>
  <c r="EH123" i="39"/>
  <c r="EG123" i="39"/>
  <c r="EF123" i="39"/>
  <c r="EE123" i="39"/>
  <c r="ED123" i="39"/>
  <c r="EC123" i="39"/>
  <c r="EB123" i="39"/>
  <c r="EA123" i="39"/>
  <c r="DZ123" i="39"/>
  <c r="DY123" i="39"/>
  <c r="DX123" i="39"/>
  <c r="DW123" i="39"/>
  <c r="FT122" i="39"/>
  <c r="FR122" i="39"/>
  <c r="FQ122" i="39"/>
  <c r="FP122" i="39"/>
  <c r="FO122" i="39"/>
  <c r="FN122" i="39"/>
  <c r="FM122" i="39"/>
  <c r="FL122" i="39"/>
  <c r="FK122" i="39"/>
  <c r="FJ122" i="39"/>
  <c r="FI122" i="39"/>
  <c r="FH122" i="39"/>
  <c r="FG122" i="39"/>
  <c r="FF122" i="39"/>
  <c r="FE122" i="39"/>
  <c r="FD122" i="39"/>
  <c r="FC122" i="39"/>
  <c r="FB122" i="39"/>
  <c r="FA122" i="39"/>
  <c r="EZ122" i="39"/>
  <c r="EY122" i="39"/>
  <c r="EX122" i="39"/>
  <c r="EW122" i="39"/>
  <c r="EV122" i="39"/>
  <c r="EU122" i="39"/>
  <c r="ES122" i="39"/>
  <c r="ER122" i="39"/>
  <c r="EQ122" i="39"/>
  <c r="EP122" i="39"/>
  <c r="EO122" i="39"/>
  <c r="EN122" i="39"/>
  <c r="EM122" i="39"/>
  <c r="EL122" i="39"/>
  <c r="EK122" i="39"/>
  <c r="EJ122" i="39"/>
  <c r="EI122" i="39"/>
  <c r="EH122" i="39"/>
  <c r="EG122" i="39"/>
  <c r="EF122" i="39"/>
  <c r="EE122" i="39"/>
  <c r="ED122" i="39"/>
  <c r="EC122" i="39"/>
  <c r="EB122" i="39"/>
  <c r="EA122" i="39"/>
  <c r="DZ122" i="39"/>
  <c r="DY122" i="39"/>
  <c r="DX122" i="39"/>
  <c r="DW122" i="39"/>
  <c r="FT121" i="39"/>
  <c r="FR121" i="39"/>
  <c r="FQ121" i="39"/>
  <c r="FP121" i="39"/>
  <c r="FO121" i="39"/>
  <c r="FN121" i="39"/>
  <c r="FM121" i="39"/>
  <c r="FL121" i="39"/>
  <c r="FK121" i="39"/>
  <c r="FJ121" i="39"/>
  <c r="FI121" i="39"/>
  <c r="FH121" i="39"/>
  <c r="FG121" i="39"/>
  <c r="FF121" i="39"/>
  <c r="FE121" i="39"/>
  <c r="FD121" i="39"/>
  <c r="FC121" i="39"/>
  <c r="FB121" i="39"/>
  <c r="FA121" i="39"/>
  <c r="EZ121" i="39"/>
  <c r="EY121" i="39"/>
  <c r="EX121" i="39"/>
  <c r="EW121" i="39"/>
  <c r="EV121" i="39"/>
  <c r="EU121" i="39"/>
  <c r="ES121" i="39"/>
  <c r="ER121" i="39"/>
  <c r="EQ121" i="39"/>
  <c r="EP121" i="39"/>
  <c r="EO121" i="39"/>
  <c r="EN121" i="39"/>
  <c r="EM121" i="39"/>
  <c r="EL121" i="39"/>
  <c r="EK121" i="39"/>
  <c r="EJ121" i="39"/>
  <c r="EI121" i="39"/>
  <c r="EH121" i="39"/>
  <c r="EG121" i="39"/>
  <c r="EF121" i="39"/>
  <c r="EE121" i="39"/>
  <c r="ED121" i="39"/>
  <c r="EC121" i="39"/>
  <c r="EB121" i="39"/>
  <c r="EA121" i="39"/>
  <c r="DZ121" i="39"/>
  <c r="DY121" i="39"/>
  <c r="DX121" i="39"/>
  <c r="DW121" i="39"/>
  <c r="FT120" i="39"/>
  <c r="FR120" i="39"/>
  <c r="FQ120" i="39"/>
  <c r="FP120" i="39"/>
  <c r="FO120" i="39"/>
  <c r="FN120" i="39"/>
  <c r="FM120" i="39"/>
  <c r="FL120" i="39"/>
  <c r="FK120" i="39"/>
  <c r="FJ120" i="39"/>
  <c r="FI120" i="39"/>
  <c r="FH120" i="39"/>
  <c r="FG120" i="39"/>
  <c r="FF120" i="39"/>
  <c r="FE120" i="39"/>
  <c r="FD120" i="39"/>
  <c r="FC120" i="39"/>
  <c r="FB120" i="39"/>
  <c r="FA120" i="39"/>
  <c r="EZ120" i="39"/>
  <c r="EY120" i="39"/>
  <c r="EX120" i="39"/>
  <c r="EW120" i="39"/>
  <c r="EV120" i="39"/>
  <c r="EU120" i="39"/>
  <c r="ES120" i="39"/>
  <c r="ER120" i="39"/>
  <c r="EQ120" i="39"/>
  <c r="EP120" i="39"/>
  <c r="EO120" i="39"/>
  <c r="EN120" i="39"/>
  <c r="EM120" i="39"/>
  <c r="EL120" i="39"/>
  <c r="EK120" i="39"/>
  <c r="EJ120" i="39"/>
  <c r="EI120" i="39"/>
  <c r="EH120" i="39"/>
  <c r="EG120" i="39"/>
  <c r="EF120" i="39"/>
  <c r="EE120" i="39"/>
  <c r="ED120" i="39"/>
  <c r="EC120" i="39"/>
  <c r="EB120" i="39"/>
  <c r="EA120" i="39"/>
  <c r="DZ120" i="39"/>
  <c r="DY120" i="39"/>
  <c r="DX120" i="39"/>
  <c r="DW120" i="39"/>
  <c r="FT119" i="39"/>
  <c r="FR119" i="39"/>
  <c r="FQ119" i="39"/>
  <c r="FP119" i="39"/>
  <c r="FO119" i="39"/>
  <c r="FN119" i="39"/>
  <c r="FM119" i="39"/>
  <c r="FL119" i="39"/>
  <c r="FK119" i="39"/>
  <c r="FJ119" i="39"/>
  <c r="FI119" i="39"/>
  <c r="FH119" i="39"/>
  <c r="FG119" i="39"/>
  <c r="FF119" i="39"/>
  <c r="FE119" i="39"/>
  <c r="FD119" i="39"/>
  <c r="FC119" i="39"/>
  <c r="FB119" i="39"/>
  <c r="FA119" i="39"/>
  <c r="EZ119" i="39"/>
  <c r="EY119" i="39"/>
  <c r="EX119" i="39"/>
  <c r="EW119" i="39"/>
  <c r="EV119" i="39"/>
  <c r="EU119" i="39"/>
  <c r="ES119" i="39"/>
  <c r="ER119" i="39"/>
  <c r="EQ119" i="39"/>
  <c r="EP119" i="39"/>
  <c r="EO119" i="39"/>
  <c r="EN119" i="39"/>
  <c r="EM119" i="39"/>
  <c r="EL119" i="39"/>
  <c r="EK119" i="39"/>
  <c r="EJ119" i="39"/>
  <c r="EI119" i="39"/>
  <c r="EH119" i="39"/>
  <c r="EG119" i="39"/>
  <c r="EF119" i="39"/>
  <c r="EE119" i="39"/>
  <c r="ED119" i="39"/>
  <c r="EC119" i="39"/>
  <c r="EB119" i="39"/>
  <c r="EA119" i="39"/>
  <c r="DZ119" i="39"/>
  <c r="DY119" i="39"/>
  <c r="DX119" i="39"/>
  <c r="DW119" i="39"/>
  <c r="FT118" i="39"/>
  <c r="FR118" i="39"/>
  <c r="FQ118" i="39"/>
  <c r="FP118" i="39"/>
  <c r="FO118" i="39"/>
  <c r="FN118" i="39"/>
  <c r="FM118" i="39"/>
  <c r="FL118" i="39"/>
  <c r="FK118" i="39"/>
  <c r="FJ118" i="39"/>
  <c r="FI118" i="39"/>
  <c r="FH118" i="39"/>
  <c r="FG118" i="39"/>
  <c r="FF118" i="39"/>
  <c r="FE118" i="39"/>
  <c r="FD118" i="39"/>
  <c r="FC118" i="39"/>
  <c r="FB118" i="39"/>
  <c r="FA118" i="39"/>
  <c r="EZ118" i="39"/>
  <c r="EY118" i="39"/>
  <c r="EX118" i="39"/>
  <c r="EW118" i="39"/>
  <c r="EV118" i="39"/>
  <c r="EU118" i="39"/>
  <c r="ES118" i="39"/>
  <c r="ER118" i="39"/>
  <c r="EQ118" i="39"/>
  <c r="EP118" i="39"/>
  <c r="EO118" i="39"/>
  <c r="EN118" i="39"/>
  <c r="EM118" i="39"/>
  <c r="EL118" i="39"/>
  <c r="EK118" i="39"/>
  <c r="EJ118" i="39"/>
  <c r="EI118" i="39"/>
  <c r="EH118" i="39"/>
  <c r="EG118" i="39"/>
  <c r="EF118" i="39"/>
  <c r="EE118" i="39"/>
  <c r="ED118" i="39"/>
  <c r="EC118" i="39"/>
  <c r="EB118" i="39"/>
  <c r="EA118" i="39"/>
  <c r="DZ118" i="39"/>
  <c r="DY118" i="39"/>
  <c r="DX118" i="39"/>
  <c r="DW118" i="39"/>
  <c r="FT117" i="39"/>
  <c r="FR117" i="39"/>
  <c r="FQ117" i="39"/>
  <c r="FP117" i="39"/>
  <c r="FO117" i="39"/>
  <c r="FN117" i="39"/>
  <c r="FM117" i="39"/>
  <c r="FL117" i="39"/>
  <c r="FK117" i="39"/>
  <c r="FJ117" i="39"/>
  <c r="FI117" i="39"/>
  <c r="FH117" i="39"/>
  <c r="FG117" i="39"/>
  <c r="FF117" i="39"/>
  <c r="FE117" i="39"/>
  <c r="FD117" i="39"/>
  <c r="FC117" i="39"/>
  <c r="FB117" i="39"/>
  <c r="FA117" i="39"/>
  <c r="EZ117" i="39"/>
  <c r="EY117" i="39"/>
  <c r="EX117" i="39"/>
  <c r="EW117" i="39"/>
  <c r="EV117" i="39"/>
  <c r="EU117" i="39"/>
  <c r="ES117" i="39"/>
  <c r="ER117" i="39"/>
  <c r="EQ117" i="39"/>
  <c r="EP117" i="39"/>
  <c r="EO117" i="39"/>
  <c r="EN117" i="39"/>
  <c r="EM117" i="39"/>
  <c r="EL117" i="39"/>
  <c r="EK117" i="39"/>
  <c r="EJ117" i="39"/>
  <c r="EI117" i="39"/>
  <c r="EH117" i="39"/>
  <c r="EG117" i="39"/>
  <c r="EF117" i="39"/>
  <c r="EE117" i="39"/>
  <c r="ED117" i="39"/>
  <c r="EC117" i="39"/>
  <c r="EB117" i="39"/>
  <c r="EA117" i="39"/>
  <c r="DZ117" i="39"/>
  <c r="DY117" i="39"/>
  <c r="DX117" i="39"/>
  <c r="DW117" i="39"/>
  <c r="FT116" i="39"/>
  <c r="FR116" i="39"/>
  <c r="FQ116" i="39"/>
  <c r="FP116" i="39"/>
  <c r="FO116" i="39"/>
  <c r="FN116" i="39"/>
  <c r="FM116" i="39"/>
  <c r="FL116" i="39"/>
  <c r="FK116" i="39"/>
  <c r="FJ116" i="39"/>
  <c r="FI116" i="39"/>
  <c r="FH116" i="39"/>
  <c r="FG116" i="39"/>
  <c r="FF116" i="39"/>
  <c r="FE116" i="39"/>
  <c r="FD116" i="39"/>
  <c r="FC116" i="39"/>
  <c r="FB116" i="39"/>
  <c r="FA116" i="39"/>
  <c r="EZ116" i="39"/>
  <c r="EY116" i="39"/>
  <c r="EX116" i="39"/>
  <c r="EW116" i="39"/>
  <c r="EV116" i="39"/>
  <c r="EU116" i="39"/>
  <c r="ES116" i="39"/>
  <c r="ER116" i="39"/>
  <c r="EQ116" i="39"/>
  <c r="EP116" i="39"/>
  <c r="EO116" i="39"/>
  <c r="EN116" i="39"/>
  <c r="EM116" i="39"/>
  <c r="EL116" i="39"/>
  <c r="EK116" i="39"/>
  <c r="EJ116" i="39"/>
  <c r="EI116" i="39"/>
  <c r="EH116" i="39"/>
  <c r="EG116" i="39"/>
  <c r="EF116" i="39"/>
  <c r="EE116" i="39"/>
  <c r="ED116" i="39"/>
  <c r="EC116" i="39"/>
  <c r="EB116" i="39"/>
  <c r="EA116" i="39"/>
  <c r="DZ116" i="39"/>
  <c r="DY116" i="39"/>
  <c r="DX116" i="39"/>
  <c r="DW116" i="39"/>
  <c r="FT115" i="39"/>
  <c r="FS115" i="39"/>
  <c r="FR115" i="39"/>
  <c r="FQ115" i="39"/>
  <c r="FP115" i="39"/>
  <c r="FO115" i="39"/>
  <c r="FN115" i="39"/>
  <c r="FM115" i="39"/>
  <c r="FL115" i="39"/>
  <c r="FK115" i="39"/>
  <c r="FJ115" i="39"/>
  <c r="FI115" i="39"/>
  <c r="FH115" i="39"/>
  <c r="FG115" i="39"/>
  <c r="FF115" i="39"/>
  <c r="FE115" i="39"/>
  <c r="FD115" i="39"/>
  <c r="FC115" i="39"/>
  <c r="FB115" i="39"/>
  <c r="FA115" i="39"/>
  <c r="EZ115" i="39"/>
  <c r="EY115" i="39"/>
  <c r="EX115" i="39"/>
  <c r="EW115" i="39"/>
  <c r="EV115" i="39"/>
  <c r="EU115" i="39"/>
  <c r="ES115" i="39"/>
  <c r="ER115" i="39"/>
  <c r="EQ115" i="39"/>
  <c r="EP115" i="39"/>
  <c r="EO115" i="39"/>
  <c r="EN115" i="39"/>
  <c r="EM115" i="39"/>
  <c r="EL115" i="39"/>
  <c r="EK115" i="39"/>
  <c r="EJ115" i="39"/>
  <c r="EI115" i="39"/>
  <c r="EH115" i="39"/>
  <c r="EG115" i="39"/>
  <c r="EF115" i="39"/>
  <c r="EE115" i="39"/>
  <c r="ED115" i="39"/>
  <c r="EC115" i="39"/>
  <c r="EB115" i="39"/>
  <c r="EA115" i="39"/>
  <c r="DZ115" i="39"/>
  <c r="DY115" i="39"/>
  <c r="DX115" i="39"/>
  <c r="DW115" i="39"/>
  <c r="FT114" i="39"/>
  <c r="FS114" i="39"/>
  <c r="FR114" i="39"/>
  <c r="FQ114" i="39"/>
  <c r="FP114" i="39"/>
  <c r="FO114" i="39"/>
  <c r="FN114" i="39"/>
  <c r="FM114" i="39"/>
  <c r="FL114" i="39"/>
  <c r="FK114" i="39"/>
  <c r="FJ114" i="39"/>
  <c r="FI114" i="39"/>
  <c r="FH114" i="39"/>
  <c r="FG114" i="39"/>
  <c r="FF114" i="39"/>
  <c r="FE114" i="39"/>
  <c r="FD114" i="39"/>
  <c r="FC114" i="39"/>
  <c r="FB114" i="39"/>
  <c r="FA114" i="39"/>
  <c r="EZ114" i="39"/>
  <c r="EY114" i="39"/>
  <c r="EX114" i="39"/>
  <c r="EW114" i="39"/>
  <c r="EV114" i="39"/>
  <c r="EU114" i="39"/>
  <c r="ES114" i="39"/>
  <c r="ER114" i="39"/>
  <c r="EQ114" i="39"/>
  <c r="EP114" i="39"/>
  <c r="EO114" i="39"/>
  <c r="EN114" i="39"/>
  <c r="EM114" i="39"/>
  <c r="EL114" i="39"/>
  <c r="EK114" i="39"/>
  <c r="EJ114" i="39"/>
  <c r="EI114" i="39"/>
  <c r="EH114" i="39"/>
  <c r="EG114" i="39"/>
  <c r="EF114" i="39"/>
  <c r="EE114" i="39"/>
  <c r="ED114" i="39"/>
  <c r="EC114" i="39"/>
  <c r="EB114" i="39"/>
  <c r="EA114" i="39"/>
  <c r="DZ114" i="39"/>
  <c r="DY114" i="39"/>
  <c r="DX114" i="39"/>
  <c r="DW114" i="39"/>
  <c r="FT113" i="39"/>
  <c r="FS113" i="39"/>
  <c r="FR113" i="39"/>
  <c r="FQ113" i="39"/>
  <c r="FP113" i="39"/>
  <c r="FO113" i="39"/>
  <c r="FN113" i="39"/>
  <c r="FM113" i="39"/>
  <c r="FL113" i="39"/>
  <c r="FK113" i="39"/>
  <c r="FJ113" i="39"/>
  <c r="FI113" i="39"/>
  <c r="FH113" i="39"/>
  <c r="FG113" i="39"/>
  <c r="FF113" i="39"/>
  <c r="FE113" i="39"/>
  <c r="FD113" i="39"/>
  <c r="FC113" i="39"/>
  <c r="FB113" i="39"/>
  <c r="FA113" i="39"/>
  <c r="EZ113" i="39"/>
  <c r="EY113" i="39"/>
  <c r="EX113" i="39"/>
  <c r="EW113" i="39"/>
  <c r="EV113" i="39"/>
  <c r="EU113" i="39"/>
  <c r="ES113" i="39"/>
  <c r="ER113" i="39"/>
  <c r="EQ113" i="39"/>
  <c r="EP113" i="39"/>
  <c r="EO113" i="39"/>
  <c r="EN113" i="39"/>
  <c r="EM113" i="39"/>
  <c r="EL113" i="39"/>
  <c r="EK113" i="39"/>
  <c r="EJ113" i="39"/>
  <c r="EI113" i="39"/>
  <c r="EH113" i="39"/>
  <c r="EG113" i="39"/>
  <c r="EF113" i="39"/>
  <c r="EE113" i="39"/>
  <c r="ED113" i="39"/>
  <c r="EC113" i="39"/>
  <c r="EB113" i="39"/>
  <c r="EA113" i="39"/>
  <c r="DZ113" i="39"/>
  <c r="DY113" i="39"/>
  <c r="DX113" i="39"/>
  <c r="DW113" i="39"/>
  <c r="FR112" i="39"/>
  <c r="FP112" i="39"/>
  <c r="FO112" i="39"/>
  <c r="FN112" i="39"/>
  <c r="FM112" i="39"/>
  <c r="FL112" i="39"/>
  <c r="FK112" i="39"/>
  <c r="FJ112" i="39"/>
  <c r="FI112" i="39"/>
  <c r="FH112" i="39"/>
  <c r="FG112" i="39"/>
  <c r="FF112" i="39"/>
  <c r="FE112" i="39"/>
  <c r="FD112" i="39"/>
  <c r="FC112" i="39"/>
  <c r="FB112" i="39"/>
  <c r="FA112" i="39"/>
  <c r="EZ112" i="39"/>
  <c r="EY112" i="39"/>
  <c r="EX112" i="39"/>
  <c r="EW112" i="39"/>
  <c r="EV112" i="39"/>
  <c r="EU112" i="39"/>
  <c r="ES112" i="39"/>
  <c r="ER112" i="39"/>
  <c r="EQ112" i="39"/>
  <c r="EP112" i="39"/>
  <c r="EO112" i="39"/>
  <c r="EN112" i="39"/>
  <c r="EM112" i="39"/>
  <c r="EL112" i="39"/>
  <c r="EK112" i="39"/>
  <c r="EJ112" i="39"/>
  <c r="EI112" i="39"/>
  <c r="EH112" i="39"/>
  <c r="EF112" i="39"/>
  <c r="EE112" i="39"/>
  <c r="ED112" i="39"/>
  <c r="EC112" i="39"/>
  <c r="EB112" i="39"/>
  <c r="EA112" i="39"/>
  <c r="DZ112" i="39"/>
  <c r="DY112" i="39"/>
  <c r="DX112" i="39"/>
  <c r="DW112" i="39"/>
  <c r="FT111" i="39"/>
  <c r="FR111" i="39"/>
  <c r="FQ111" i="39"/>
  <c r="FP111" i="39"/>
  <c r="FO111" i="39"/>
  <c r="FN111" i="39"/>
  <c r="FM111" i="39"/>
  <c r="FL111" i="39"/>
  <c r="FK111" i="39"/>
  <c r="FJ111" i="39"/>
  <c r="FI111" i="39"/>
  <c r="FH111" i="39"/>
  <c r="FG111" i="39"/>
  <c r="FF111" i="39"/>
  <c r="FE111" i="39"/>
  <c r="FD111" i="39"/>
  <c r="FC111" i="39"/>
  <c r="FB111" i="39"/>
  <c r="FA111" i="39"/>
  <c r="EZ111" i="39"/>
  <c r="EY111" i="39"/>
  <c r="EX111" i="39"/>
  <c r="EW111" i="39"/>
  <c r="EV111" i="39"/>
  <c r="EU111" i="39"/>
  <c r="ES111" i="39"/>
  <c r="ER111" i="39"/>
  <c r="EQ111" i="39"/>
  <c r="EP111" i="39"/>
  <c r="EO111" i="39"/>
  <c r="EN111" i="39"/>
  <c r="EM111" i="39"/>
  <c r="EL111" i="39"/>
  <c r="EK111" i="39"/>
  <c r="EJ111" i="39"/>
  <c r="EI111" i="39"/>
  <c r="EH111" i="39"/>
  <c r="EG111" i="39"/>
  <c r="EF111" i="39"/>
  <c r="EE111" i="39"/>
  <c r="ED111" i="39"/>
  <c r="EC111" i="39"/>
  <c r="EB111" i="39"/>
  <c r="EA111" i="39"/>
  <c r="DZ111" i="39"/>
  <c r="DY111" i="39"/>
  <c r="DX111" i="39"/>
  <c r="DW111" i="39"/>
  <c r="FT110" i="39"/>
  <c r="FS110" i="39"/>
  <c r="FR110" i="39"/>
  <c r="FQ110" i="39"/>
  <c r="FP110" i="39"/>
  <c r="FO110" i="39"/>
  <c r="FN110" i="39"/>
  <c r="FM110" i="39"/>
  <c r="FL110" i="39"/>
  <c r="FK110" i="39"/>
  <c r="FJ110" i="39"/>
  <c r="FI110" i="39"/>
  <c r="FH110" i="39"/>
  <c r="FG110" i="39"/>
  <c r="FF110" i="39"/>
  <c r="FE110" i="39"/>
  <c r="FD110" i="39"/>
  <c r="FC110" i="39"/>
  <c r="FB110" i="39"/>
  <c r="FA110" i="39"/>
  <c r="EZ110" i="39"/>
  <c r="EY110" i="39"/>
  <c r="EX110" i="39"/>
  <c r="EW110" i="39"/>
  <c r="EV110" i="39"/>
  <c r="EU110" i="39"/>
  <c r="ES110" i="39"/>
  <c r="ER110" i="39"/>
  <c r="EQ110" i="39"/>
  <c r="EP110" i="39"/>
  <c r="EO110" i="39"/>
  <c r="EN110" i="39"/>
  <c r="EM110" i="39"/>
  <c r="EL110" i="39"/>
  <c r="EK110" i="39"/>
  <c r="EJ110" i="39"/>
  <c r="EI110" i="39"/>
  <c r="EH110" i="39"/>
  <c r="EG110" i="39"/>
  <c r="EF110" i="39"/>
  <c r="EE110" i="39"/>
  <c r="ED110" i="39"/>
  <c r="EC110" i="39"/>
  <c r="EB110" i="39"/>
  <c r="EA110" i="39"/>
  <c r="DZ110" i="39"/>
  <c r="DY110" i="39"/>
  <c r="DX110" i="39"/>
  <c r="DW110" i="39"/>
  <c r="FT109" i="39"/>
  <c r="FS109" i="39"/>
  <c r="FR109" i="39"/>
  <c r="FQ109" i="39"/>
  <c r="FP109" i="39"/>
  <c r="FO109" i="39"/>
  <c r="FN109" i="39"/>
  <c r="FM109" i="39"/>
  <c r="FL109" i="39"/>
  <c r="FK109" i="39"/>
  <c r="FJ109" i="39"/>
  <c r="FI109" i="39"/>
  <c r="FH109" i="39"/>
  <c r="FG109" i="39"/>
  <c r="FF109" i="39"/>
  <c r="FE109" i="39"/>
  <c r="FD109" i="39"/>
  <c r="FC109" i="39"/>
  <c r="FB109" i="39"/>
  <c r="FA109" i="39"/>
  <c r="EZ109" i="39"/>
  <c r="EY109" i="39"/>
  <c r="EX109" i="39"/>
  <c r="EW109" i="39"/>
  <c r="EV109" i="39"/>
  <c r="EU109" i="39"/>
  <c r="ES109" i="39"/>
  <c r="ER109" i="39"/>
  <c r="EQ109" i="39"/>
  <c r="EP109" i="39"/>
  <c r="EO109" i="39"/>
  <c r="EN109" i="39"/>
  <c r="EM109" i="39"/>
  <c r="EL109" i="39"/>
  <c r="EK109" i="39"/>
  <c r="EJ109" i="39"/>
  <c r="EI109" i="39"/>
  <c r="EH109" i="39"/>
  <c r="EG109" i="39"/>
  <c r="EF109" i="39"/>
  <c r="EE109" i="39"/>
  <c r="ED109" i="39"/>
  <c r="EC109" i="39"/>
  <c r="EB109" i="39"/>
  <c r="EA109" i="39"/>
  <c r="DZ109" i="39"/>
  <c r="DY109" i="39"/>
  <c r="DX109" i="39"/>
  <c r="DW109" i="39"/>
  <c r="FT108" i="39"/>
  <c r="FS108" i="39"/>
  <c r="FR108" i="39"/>
  <c r="FQ108" i="39"/>
  <c r="FP108" i="39"/>
  <c r="FO108" i="39"/>
  <c r="FN108" i="39"/>
  <c r="FM108" i="39"/>
  <c r="FL108" i="39"/>
  <c r="FK108" i="39"/>
  <c r="FJ108" i="39"/>
  <c r="FI108" i="39"/>
  <c r="FH108" i="39"/>
  <c r="FG108" i="39"/>
  <c r="FF108" i="39"/>
  <c r="FE108" i="39"/>
  <c r="FD108" i="39"/>
  <c r="FC108" i="39"/>
  <c r="FB108" i="39"/>
  <c r="FA108" i="39"/>
  <c r="EZ108" i="39"/>
  <c r="EY108" i="39"/>
  <c r="EX108" i="39"/>
  <c r="EW108" i="39"/>
  <c r="EV108" i="39"/>
  <c r="EU108" i="39"/>
  <c r="ES108" i="39"/>
  <c r="ER108" i="39"/>
  <c r="EQ108" i="39"/>
  <c r="EP108" i="39"/>
  <c r="EO108" i="39"/>
  <c r="EN108" i="39"/>
  <c r="EM108" i="39"/>
  <c r="EL108" i="39"/>
  <c r="EK108" i="39"/>
  <c r="EJ108" i="39"/>
  <c r="EI108" i="39"/>
  <c r="EH108" i="39"/>
  <c r="EG108" i="39"/>
  <c r="EF108" i="39"/>
  <c r="EE108" i="39"/>
  <c r="ED108" i="39"/>
  <c r="EC108" i="39"/>
  <c r="EB108" i="39"/>
  <c r="EA108" i="39"/>
  <c r="DZ108" i="39"/>
  <c r="DY108" i="39"/>
  <c r="DX108" i="39"/>
  <c r="DW108" i="39"/>
  <c r="FT107" i="39"/>
  <c r="FS107" i="39"/>
  <c r="FR107" i="39"/>
  <c r="FQ107" i="39"/>
  <c r="FP107" i="39"/>
  <c r="FO107" i="39"/>
  <c r="FN107" i="39"/>
  <c r="FM107" i="39"/>
  <c r="FL107" i="39"/>
  <c r="FK107" i="39"/>
  <c r="FJ107" i="39"/>
  <c r="FI107" i="39"/>
  <c r="FH107" i="39"/>
  <c r="FG107" i="39"/>
  <c r="FF107" i="39"/>
  <c r="FE107" i="39"/>
  <c r="FD107" i="39"/>
  <c r="FC107" i="39"/>
  <c r="FB107" i="39"/>
  <c r="FA107" i="39"/>
  <c r="EZ107" i="39"/>
  <c r="EY107" i="39"/>
  <c r="EX107" i="39"/>
  <c r="EW107" i="39"/>
  <c r="EV107" i="39"/>
  <c r="EU107" i="39"/>
  <c r="ES107" i="39"/>
  <c r="ER107" i="39"/>
  <c r="EQ107" i="39"/>
  <c r="EP107" i="39"/>
  <c r="EO107" i="39"/>
  <c r="EN107" i="39"/>
  <c r="EM107" i="39"/>
  <c r="EL107" i="39"/>
  <c r="EK107" i="39"/>
  <c r="EJ107" i="39"/>
  <c r="EI107" i="39"/>
  <c r="EH107" i="39"/>
  <c r="EG107" i="39"/>
  <c r="EF107" i="39"/>
  <c r="EE107" i="39"/>
  <c r="ED107" i="39"/>
  <c r="EC107" i="39"/>
  <c r="EB107" i="39"/>
  <c r="EA107" i="39"/>
  <c r="DZ107" i="39"/>
  <c r="DY107" i="39"/>
  <c r="DX107" i="39"/>
  <c r="DW107" i="39"/>
  <c r="FT106" i="39"/>
  <c r="FS106" i="39"/>
  <c r="FR106" i="39"/>
  <c r="FQ106" i="39"/>
  <c r="FP106" i="39"/>
  <c r="FO106" i="39"/>
  <c r="FN106" i="39"/>
  <c r="FM106" i="39"/>
  <c r="FL106" i="39"/>
  <c r="FK106" i="39"/>
  <c r="FJ106" i="39"/>
  <c r="FI106" i="39"/>
  <c r="FH106" i="39"/>
  <c r="FG106" i="39"/>
  <c r="FF106" i="39"/>
  <c r="FE106" i="39"/>
  <c r="FD106" i="39"/>
  <c r="FC106" i="39"/>
  <c r="FB106" i="39"/>
  <c r="FA106" i="39"/>
  <c r="EZ106" i="39"/>
  <c r="EY106" i="39"/>
  <c r="EX106" i="39"/>
  <c r="EW106" i="39"/>
  <c r="EV106" i="39"/>
  <c r="EU106" i="39"/>
  <c r="ES106" i="39"/>
  <c r="ER106" i="39"/>
  <c r="EQ106" i="39"/>
  <c r="EP106" i="39"/>
  <c r="EO106" i="39"/>
  <c r="EN106" i="39"/>
  <c r="EM106" i="39"/>
  <c r="EL106" i="39"/>
  <c r="EK106" i="39"/>
  <c r="EJ106" i="39"/>
  <c r="EI106" i="39"/>
  <c r="EH106" i="39"/>
  <c r="EG106" i="39"/>
  <c r="EF106" i="39"/>
  <c r="EE106" i="39"/>
  <c r="ED106" i="39"/>
  <c r="EC106" i="39"/>
  <c r="EB106" i="39"/>
  <c r="EA106" i="39"/>
  <c r="DZ106" i="39"/>
  <c r="DY106" i="39"/>
  <c r="DX106" i="39"/>
  <c r="DW106" i="39"/>
  <c r="FT105" i="39"/>
  <c r="FS105" i="39"/>
  <c r="FR105" i="39"/>
  <c r="FQ105" i="39"/>
  <c r="FP105" i="39"/>
  <c r="FO105" i="39"/>
  <c r="FN105" i="39"/>
  <c r="FM105" i="39"/>
  <c r="FL105" i="39"/>
  <c r="FK105" i="39"/>
  <c r="FJ105" i="39"/>
  <c r="FI105" i="39"/>
  <c r="FH105" i="39"/>
  <c r="FG105" i="39"/>
  <c r="FF105" i="39"/>
  <c r="FE105" i="39"/>
  <c r="FD105" i="39"/>
  <c r="FC105" i="39"/>
  <c r="FB105" i="39"/>
  <c r="FA105" i="39"/>
  <c r="EZ105" i="39"/>
  <c r="EY105" i="39"/>
  <c r="EX105" i="39"/>
  <c r="EW105" i="39"/>
  <c r="EV105" i="39"/>
  <c r="EU105" i="39"/>
  <c r="ES105" i="39"/>
  <c r="ER105" i="39"/>
  <c r="EQ105" i="39"/>
  <c r="EP105" i="39"/>
  <c r="EO105" i="39"/>
  <c r="EN105" i="39"/>
  <c r="EM105" i="39"/>
  <c r="EL105" i="39"/>
  <c r="EK105" i="39"/>
  <c r="EJ105" i="39"/>
  <c r="EI105" i="39"/>
  <c r="EH105" i="39"/>
  <c r="EG105" i="39"/>
  <c r="EF105" i="39"/>
  <c r="EE105" i="39"/>
  <c r="ED105" i="39"/>
  <c r="EC105" i="39"/>
  <c r="EB105" i="39"/>
  <c r="EA105" i="39"/>
  <c r="DZ105" i="39"/>
  <c r="DY105" i="39"/>
  <c r="DX105" i="39"/>
  <c r="DW105" i="39"/>
  <c r="FT104" i="39"/>
  <c r="FS104" i="39"/>
  <c r="FR104" i="39"/>
  <c r="FQ104" i="39"/>
  <c r="FP104" i="39"/>
  <c r="FO104" i="39"/>
  <c r="FN104" i="39"/>
  <c r="FM104" i="39"/>
  <c r="FL104" i="39"/>
  <c r="FK104" i="39"/>
  <c r="FJ104" i="39"/>
  <c r="FI104" i="39"/>
  <c r="FH104" i="39"/>
  <c r="FG104" i="39"/>
  <c r="FF104" i="39"/>
  <c r="FE104" i="39"/>
  <c r="FD104" i="39"/>
  <c r="FC104" i="39"/>
  <c r="FB104" i="39"/>
  <c r="FA104" i="39"/>
  <c r="EZ104" i="39"/>
  <c r="EY104" i="39"/>
  <c r="EX104" i="39"/>
  <c r="EW104" i="39"/>
  <c r="EV104" i="39"/>
  <c r="EU104" i="39"/>
  <c r="ES104" i="39"/>
  <c r="ER104" i="39"/>
  <c r="EQ104" i="39"/>
  <c r="EP104" i="39"/>
  <c r="EO104" i="39"/>
  <c r="EN104" i="39"/>
  <c r="EM104" i="39"/>
  <c r="EL104" i="39"/>
  <c r="EK104" i="39"/>
  <c r="EJ104" i="39"/>
  <c r="EI104" i="39"/>
  <c r="EH104" i="39"/>
  <c r="EG104" i="39"/>
  <c r="EF104" i="39"/>
  <c r="EE104" i="39"/>
  <c r="ED104" i="39"/>
  <c r="EC104" i="39"/>
  <c r="EB104" i="39"/>
  <c r="EA104" i="39"/>
  <c r="DZ104" i="39"/>
  <c r="DY104" i="39"/>
  <c r="DX104" i="39"/>
  <c r="DW104" i="39"/>
  <c r="FT103" i="39"/>
  <c r="FR103" i="39"/>
  <c r="FQ103" i="39"/>
  <c r="FP103" i="39"/>
  <c r="FO103" i="39"/>
  <c r="FN103" i="39"/>
  <c r="FM103" i="39"/>
  <c r="FL103" i="39"/>
  <c r="FK103" i="39"/>
  <c r="FJ103" i="39"/>
  <c r="FI103" i="39"/>
  <c r="FH103" i="39"/>
  <c r="FG103" i="39"/>
  <c r="FF103" i="39"/>
  <c r="FE103" i="39"/>
  <c r="FD103" i="39"/>
  <c r="FC103" i="39"/>
  <c r="FB103" i="39"/>
  <c r="FA103" i="39"/>
  <c r="EZ103" i="39"/>
  <c r="EY103" i="39"/>
  <c r="EX103" i="39"/>
  <c r="EW103" i="39"/>
  <c r="EV103" i="39"/>
  <c r="EU103" i="39"/>
  <c r="ES103" i="39"/>
  <c r="ER103" i="39"/>
  <c r="EQ103" i="39"/>
  <c r="EP103" i="39"/>
  <c r="EO103" i="39"/>
  <c r="EN103" i="39"/>
  <c r="EM103" i="39"/>
  <c r="EL103" i="39"/>
  <c r="EK103" i="39"/>
  <c r="EJ103" i="39"/>
  <c r="EI103" i="39"/>
  <c r="EH103" i="39"/>
  <c r="EG103" i="39"/>
  <c r="EF103" i="39"/>
  <c r="EE103" i="39"/>
  <c r="ED103" i="39"/>
  <c r="EC103" i="39"/>
  <c r="EB103" i="39"/>
  <c r="EA103" i="39"/>
  <c r="DZ103" i="39"/>
  <c r="DY103" i="39"/>
  <c r="DX103" i="39"/>
  <c r="DW103" i="39"/>
  <c r="FT102" i="39"/>
  <c r="FR102" i="39"/>
  <c r="FQ102" i="39"/>
  <c r="FP102" i="39"/>
  <c r="FO102" i="39"/>
  <c r="FN102" i="39"/>
  <c r="FM102" i="39"/>
  <c r="FL102" i="39"/>
  <c r="FK102" i="39"/>
  <c r="FJ102" i="39"/>
  <c r="FI102" i="39"/>
  <c r="FH102" i="39"/>
  <c r="FG102" i="39"/>
  <c r="FF102" i="39"/>
  <c r="FE102" i="39"/>
  <c r="FD102" i="39"/>
  <c r="FC102" i="39"/>
  <c r="FB102" i="39"/>
  <c r="FA102" i="39"/>
  <c r="EZ102" i="39"/>
  <c r="EY102" i="39"/>
  <c r="EX102" i="39"/>
  <c r="EW102" i="39"/>
  <c r="EV102" i="39"/>
  <c r="EU102" i="39"/>
  <c r="ES102" i="39"/>
  <c r="ER102" i="39"/>
  <c r="EQ102" i="39"/>
  <c r="EP102" i="39"/>
  <c r="EO102" i="39"/>
  <c r="EN102" i="39"/>
  <c r="EM102" i="39"/>
  <c r="EL102" i="39"/>
  <c r="EK102" i="39"/>
  <c r="EJ102" i="39"/>
  <c r="EI102" i="39"/>
  <c r="EH102" i="39"/>
  <c r="EG102" i="39"/>
  <c r="EF102" i="39"/>
  <c r="EE102" i="39"/>
  <c r="ED102" i="39"/>
  <c r="EC102" i="39"/>
  <c r="EB102" i="39"/>
  <c r="EA102" i="39"/>
  <c r="DZ102" i="39"/>
  <c r="DY102" i="39"/>
  <c r="DX102" i="39"/>
  <c r="DW102" i="39"/>
  <c r="FT101" i="39"/>
  <c r="FR101" i="39"/>
  <c r="FQ101" i="39"/>
  <c r="FP101" i="39"/>
  <c r="FO101" i="39"/>
  <c r="FN101" i="39"/>
  <c r="FM101" i="39"/>
  <c r="FL101" i="39"/>
  <c r="FK101" i="39"/>
  <c r="FJ101" i="39"/>
  <c r="FI101" i="39"/>
  <c r="FH101" i="39"/>
  <c r="FG101" i="39"/>
  <c r="FF101" i="39"/>
  <c r="FE101" i="39"/>
  <c r="FD101" i="39"/>
  <c r="FC101" i="39"/>
  <c r="FB101" i="39"/>
  <c r="FA101" i="39"/>
  <c r="EZ101" i="39"/>
  <c r="EY101" i="39"/>
  <c r="EX101" i="39"/>
  <c r="EW101" i="39"/>
  <c r="EV101" i="39"/>
  <c r="EU101" i="39"/>
  <c r="ES101" i="39"/>
  <c r="ER101" i="39"/>
  <c r="EQ101" i="39"/>
  <c r="EP101" i="39"/>
  <c r="EO101" i="39"/>
  <c r="EN101" i="39"/>
  <c r="EM101" i="39"/>
  <c r="EL101" i="39"/>
  <c r="EK101" i="39"/>
  <c r="EJ101" i="39"/>
  <c r="EI101" i="39"/>
  <c r="EH101" i="39"/>
  <c r="EG101" i="39"/>
  <c r="EF101" i="39"/>
  <c r="EE101" i="39"/>
  <c r="ED101" i="39"/>
  <c r="EC101" i="39"/>
  <c r="EB101" i="39"/>
  <c r="EA101" i="39"/>
  <c r="DZ101" i="39"/>
  <c r="DY101" i="39"/>
  <c r="DX101" i="39"/>
  <c r="DW101" i="39"/>
  <c r="FT100" i="39"/>
  <c r="FR100" i="39"/>
  <c r="FQ100" i="39"/>
  <c r="FP100" i="39"/>
  <c r="FO100" i="39"/>
  <c r="FN100" i="39"/>
  <c r="FM100" i="39"/>
  <c r="FL100" i="39"/>
  <c r="FK100" i="39"/>
  <c r="FJ100" i="39"/>
  <c r="FI100" i="39"/>
  <c r="FH100" i="39"/>
  <c r="FG100" i="39"/>
  <c r="FF100" i="39"/>
  <c r="FE100" i="39"/>
  <c r="FD100" i="39"/>
  <c r="FC100" i="39"/>
  <c r="FB100" i="39"/>
  <c r="FA100" i="39"/>
  <c r="EZ100" i="39"/>
  <c r="EY100" i="39"/>
  <c r="EX100" i="39"/>
  <c r="EW100" i="39"/>
  <c r="EV100" i="39"/>
  <c r="EU100" i="39"/>
  <c r="ES100" i="39"/>
  <c r="ER100" i="39"/>
  <c r="EQ100" i="39"/>
  <c r="EP100" i="39"/>
  <c r="EO100" i="39"/>
  <c r="EN100" i="39"/>
  <c r="EM100" i="39"/>
  <c r="EL100" i="39"/>
  <c r="EK100" i="39"/>
  <c r="EJ100" i="39"/>
  <c r="EI100" i="39"/>
  <c r="EH100" i="39"/>
  <c r="EG100" i="39"/>
  <c r="EF100" i="39"/>
  <c r="EE100" i="39"/>
  <c r="ED100" i="39"/>
  <c r="EC100" i="39"/>
  <c r="EB100" i="39"/>
  <c r="EA100" i="39"/>
  <c r="DZ100" i="39"/>
  <c r="DY100" i="39"/>
  <c r="DX100" i="39"/>
  <c r="DW100" i="39"/>
  <c r="FT95" i="39"/>
  <c r="FR95" i="39"/>
  <c r="FQ95" i="39"/>
  <c r="FP95" i="39"/>
  <c r="FO95" i="39"/>
  <c r="FN95" i="39"/>
  <c r="FM95" i="39"/>
  <c r="FL95" i="39"/>
  <c r="FK95" i="39"/>
  <c r="FJ95" i="39"/>
  <c r="FI95" i="39"/>
  <c r="FH95" i="39"/>
  <c r="FG95" i="39"/>
  <c r="FF95" i="39"/>
  <c r="FE95" i="39"/>
  <c r="FD95" i="39"/>
  <c r="FC95" i="39"/>
  <c r="FB95" i="39"/>
  <c r="FA95" i="39"/>
  <c r="EZ95" i="39"/>
  <c r="EY95" i="39"/>
  <c r="EX95" i="39"/>
  <c r="EW95" i="39"/>
  <c r="EV95" i="39"/>
  <c r="EU95" i="39"/>
  <c r="ES95" i="39"/>
  <c r="ER95" i="39"/>
  <c r="EQ95" i="39"/>
  <c r="EP95" i="39"/>
  <c r="EO95" i="39"/>
  <c r="EN95" i="39"/>
  <c r="EM95" i="39"/>
  <c r="EL95" i="39"/>
  <c r="EK95" i="39"/>
  <c r="EJ95" i="39"/>
  <c r="EI95" i="39"/>
  <c r="EH95" i="39"/>
  <c r="EG95" i="39"/>
  <c r="EF95" i="39"/>
  <c r="EE95" i="39"/>
  <c r="ED95" i="39"/>
  <c r="EC95" i="39"/>
  <c r="EB95" i="39"/>
  <c r="EA95" i="39"/>
  <c r="DZ95" i="39"/>
  <c r="DY95" i="39"/>
  <c r="DX95" i="39"/>
  <c r="DW95" i="39"/>
  <c r="FT94" i="39"/>
  <c r="FR94" i="39"/>
  <c r="FQ94" i="39"/>
  <c r="FP94" i="39"/>
  <c r="FO94" i="39"/>
  <c r="FN94" i="39"/>
  <c r="FM94" i="39"/>
  <c r="FL94" i="39"/>
  <c r="FK94" i="39"/>
  <c r="FJ94" i="39"/>
  <c r="FI94" i="39"/>
  <c r="FH94" i="39"/>
  <c r="FG94" i="39"/>
  <c r="FF94" i="39"/>
  <c r="FE94" i="39"/>
  <c r="FD94" i="39"/>
  <c r="FC94" i="39"/>
  <c r="FB94" i="39"/>
  <c r="FA94" i="39"/>
  <c r="EZ94" i="39"/>
  <c r="EY94" i="39"/>
  <c r="EX94" i="39"/>
  <c r="EW94" i="39"/>
  <c r="EV94" i="39"/>
  <c r="EU94" i="39"/>
  <c r="ES94" i="39"/>
  <c r="ER94" i="39"/>
  <c r="EQ94" i="39"/>
  <c r="EP94" i="39"/>
  <c r="EO94" i="39"/>
  <c r="EN94" i="39"/>
  <c r="EM94" i="39"/>
  <c r="EL94" i="39"/>
  <c r="EK94" i="39"/>
  <c r="EJ94" i="39"/>
  <c r="EI94" i="39"/>
  <c r="EH94" i="39"/>
  <c r="EG94" i="39"/>
  <c r="EF94" i="39"/>
  <c r="EE94" i="39"/>
  <c r="ED94" i="39"/>
  <c r="EC94" i="39"/>
  <c r="EB94" i="39"/>
  <c r="EA94" i="39"/>
  <c r="DZ94" i="39"/>
  <c r="DY94" i="39"/>
  <c r="DX94" i="39"/>
  <c r="DW94" i="39"/>
  <c r="FT92" i="39"/>
  <c r="FR92" i="39"/>
  <c r="FQ92" i="39"/>
  <c r="FP92" i="39"/>
  <c r="FO92" i="39"/>
  <c r="FN92" i="39"/>
  <c r="FM92" i="39"/>
  <c r="FL92" i="39"/>
  <c r="FK92" i="39"/>
  <c r="FJ92" i="39"/>
  <c r="FI92" i="39"/>
  <c r="FH92" i="39"/>
  <c r="FG92" i="39"/>
  <c r="FF92" i="39"/>
  <c r="FE92" i="39"/>
  <c r="FD92" i="39"/>
  <c r="FC92" i="39"/>
  <c r="FB92" i="39"/>
  <c r="FA92" i="39"/>
  <c r="EZ92" i="39"/>
  <c r="EY92" i="39"/>
  <c r="EX92" i="39"/>
  <c r="EW92" i="39"/>
  <c r="EV92" i="39"/>
  <c r="EU92" i="39"/>
  <c r="ES92" i="39"/>
  <c r="ER92" i="39"/>
  <c r="EQ92" i="39"/>
  <c r="EP92" i="39"/>
  <c r="EO92" i="39"/>
  <c r="EN92" i="39"/>
  <c r="EM92" i="39"/>
  <c r="EL92" i="39"/>
  <c r="EK92" i="39"/>
  <c r="EJ92" i="39"/>
  <c r="EI92" i="39"/>
  <c r="EH92" i="39"/>
  <c r="EG92" i="39"/>
  <c r="EF92" i="39"/>
  <c r="EE92" i="39"/>
  <c r="ED92" i="39"/>
  <c r="EC92" i="39"/>
  <c r="EB92" i="39"/>
  <c r="EA92" i="39"/>
  <c r="DZ92" i="39"/>
  <c r="DY92" i="39"/>
  <c r="DX92" i="39"/>
  <c r="DW92" i="39"/>
  <c r="FT91" i="39"/>
  <c r="FR91" i="39"/>
  <c r="FQ91" i="39"/>
  <c r="FP91" i="39"/>
  <c r="FO91" i="39"/>
  <c r="FN91" i="39"/>
  <c r="FM91" i="39"/>
  <c r="FL91" i="39"/>
  <c r="FK91" i="39"/>
  <c r="FJ91" i="39"/>
  <c r="FI91" i="39"/>
  <c r="FH91" i="39"/>
  <c r="FG91" i="39"/>
  <c r="FF91" i="39"/>
  <c r="FE91" i="39"/>
  <c r="FD91" i="39"/>
  <c r="FC91" i="39"/>
  <c r="FB91" i="39"/>
  <c r="FA91" i="39"/>
  <c r="EZ91" i="39"/>
  <c r="EY91" i="39"/>
  <c r="EX91" i="39"/>
  <c r="EW91" i="39"/>
  <c r="EV91" i="39"/>
  <c r="EU91" i="39"/>
  <c r="ES91" i="39"/>
  <c r="ER91" i="39"/>
  <c r="EQ91" i="39"/>
  <c r="EP91" i="39"/>
  <c r="EO91" i="39"/>
  <c r="EN91" i="39"/>
  <c r="EM91" i="39"/>
  <c r="EL91" i="39"/>
  <c r="EK91" i="39"/>
  <c r="EJ91" i="39"/>
  <c r="EI91" i="39"/>
  <c r="EH91" i="39"/>
  <c r="EG91" i="39"/>
  <c r="EF91" i="39"/>
  <c r="EE91" i="39"/>
  <c r="ED91" i="39"/>
  <c r="EC91" i="39"/>
  <c r="EB91" i="39"/>
  <c r="EA91" i="39"/>
  <c r="DZ91" i="39"/>
  <c r="DY91" i="39"/>
  <c r="DX91" i="39"/>
  <c r="DW91" i="39"/>
  <c r="FT90" i="39"/>
  <c r="FR90" i="39"/>
  <c r="FQ90" i="39"/>
  <c r="FP90" i="39"/>
  <c r="FO90" i="39"/>
  <c r="FN90" i="39"/>
  <c r="FM90" i="39"/>
  <c r="FL90" i="39"/>
  <c r="FK90" i="39"/>
  <c r="FJ90" i="39"/>
  <c r="FI90" i="39"/>
  <c r="FH90" i="39"/>
  <c r="FG90" i="39"/>
  <c r="FF90" i="39"/>
  <c r="FE90" i="39"/>
  <c r="FD90" i="39"/>
  <c r="FC90" i="39"/>
  <c r="FB90" i="39"/>
  <c r="FA90" i="39"/>
  <c r="EZ90" i="39"/>
  <c r="EY90" i="39"/>
  <c r="EX90" i="39"/>
  <c r="EW90" i="39"/>
  <c r="EV90" i="39"/>
  <c r="EU90" i="39"/>
  <c r="ES90" i="39"/>
  <c r="ER90" i="39"/>
  <c r="EQ90" i="39"/>
  <c r="EP90" i="39"/>
  <c r="EO90" i="39"/>
  <c r="EN90" i="39"/>
  <c r="EM90" i="39"/>
  <c r="EL90" i="39"/>
  <c r="EK90" i="39"/>
  <c r="EJ90" i="39"/>
  <c r="EI90" i="39"/>
  <c r="EH90" i="39"/>
  <c r="EG90" i="39"/>
  <c r="EF90" i="39"/>
  <c r="EE90" i="39"/>
  <c r="ED90" i="39"/>
  <c r="EC90" i="39"/>
  <c r="EB90" i="39"/>
  <c r="EA90" i="39"/>
  <c r="DZ90" i="39"/>
  <c r="DY90" i="39"/>
  <c r="DX90" i="39"/>
  <c r="DW90" i="39"/>
  <c r="FT88" i="39"/>
  <c r="FR88" i="39"/>
  <c r="FQ88" i="39"/>
  <c r="FP88" i="39"/>
  <c r="FO88" i="39"/>
  <c r="FN88" i="39"/>
  <c r="FM88" i="39"/>
  <c r="FL88" i="39"/>
  <c r="FK88" i="39"/>
  <c r="FJ88" i="39"/>
  <c r="FI88" i="39"/>
  <c r="FH88" i="39"/>
  <c r="FG88" i="39"/>
  <c r="FF88" i="39"/>
  <c r="FE88" i="39"/>
  <c r="FD88" i="39"/>
  <c r="FC88" i="39"/>
  <c r="FB88" i="39"/>
  <c r="FA88" i="39"/>
  <c r="EZ88" i="39"/>
  <c r="EY88" i="39"/>
  <c r="EX88" i="39"/>
  <c r="EW88" i="39"/>
  <c r="EV88" i="39"/>
  <c r="EU88" i="39"/>
  <c r="ES88" i="39"/>
  <c r="ER88" i="39"/>
  <c r="EQ88" i="39"/>
  <c r="EP88" i="39"/>
  <c r="EO88" i="39"/>
  <c r="EN88" i="39"/>
  <c r="EM88" i="39"/>
  <c r="EL88" i="39"/>
  <c r="EK88" i="39"/>
  <c r="EJ88" i="39"/>
  <c r="EI88" i="39"/>
  <c r="EH88" i="39"/>
  <c r="EG88" i="39"/>
  <c r="EF88" i="39"/>
  <c r="EE88" i="39"/>
  <c r="ED88" i="39"/>
  <c r="EC88" i="39"/>
  <c r="EB88" i="39"/>
  <c r="EA88" i="39"/>
  <c r="DZ88" i="39"/>
  <c r="DY88" i="39"/>
  <c r="DX88" i="39"/>
  <c r="DW88" i="39"/>
  <c r="FT87" i="39"/>
  <c r="FR87" i="39"/>
  <c r="FQ87" i="39"/>
  <c r="FP87" i="39"/>
  <c r="FO87" i="39"/>
  <c r="FN87" i="39"/>
  <c r="FM87" i="39"/>
  <c r="FL87" i="39"/>
  <c r="FK87" i="39"/>
  <c r="FJ87" i="39"/>
  <c r="FI87" i="39"/>
  <c r="FH87" i="39"/>
  <c r="FG87" i="39"/>
  <c r="FF87" i="39"/>
  <c r="FE87" i="39"/>
  <c r="FD87" i="39"/>
  <c r="FC87" i="39"/>
  <c r="FB87" i="39"/>
  <c r="FA87" i="39"/>
  <c r="EZ87" i="39"/>
  <c r="EY87" i="39"/>
  <c r="EX87" i="39"/>
  <c r="EW87" i="39"/>
  <c r="EV87" i="39"/>
  <c r="EU87" i="39"/>
  <c r="ES87" i="39"/>
  <c r="ER87" i="39"/>
  <c r="EQ87" i="39"/>
  <c r="EP87" i="39"/>
  <c r="EO87" i="39"/>
  <c r="EN87" i="39"/>
  <c r="EM87" i="39"/>
  <c r="EL87" i="39"/>
  <c r="EK87" i="39"/>
  <c r="EJ87" i="39"/>
  <c r="EI87" i="39"/>
  <c r="EH87" i="39"/>
  <c r="EG87" i="39"/>
  <c r="EF87" i="39"/>
  <c r="EE87" i="39"/>
  <c r="ED87" i="39"/>
  <c r="EC87" i="39"/>
  <c r="EB87" i="39"/>
  <c r="EA87" i="39"/>
  <c r="DZ87" i="39"/>
  <c r="DY87" i="39"/>
  <c r="DX87" i="39"/>
  <c r="DW87" i="39"/>
  <c r="FT86" i="39"/>
  <c r="FR86" i="39"/>
  <c r="FQ86" i="39"/>
  <c r="FP86" i="39"/>
  <c r="FO86" i="39"/>
  <c r="FN86" i="39"/>
  <c r="FM86" i="39"/>
  <c r="FL86" i="39"/>
  <c r="FK86" i="39"/>
  <c r="FJ86" i="39"/>
  <c r="FI86" i="39"/>
  <c r="FH86" i="39"/>
  <c r="FG86" i="39"/>
  <c r="FF86" i="39"/>
  <c r="FE86" i="39"/>
  <c r="FD86" i="39"/>
  <c r="FC86" i="39"/>
  <c r="FB86" i="39"/>
  <c r="FA86" i="39"/>
  <c r="EZ86" i="39"/>
  <c r="EY86" i="39"/>
  <c r="EX86" i="39"/>
  <c r="EW86" i="39"/>
  <c r="EV86" i="39"/>
  <c r="EU86" i="39"/>
  <c r="ES86" i="39"/>
  <c r="ER86" i="39"/>
  <c r="EQ86" i="39"/>
  <c r="EP86" i="39"/>
  <c r="EO86" i="39"/>
  <c r="EN86" i="39"/>
  <c r="EM86" i="39"/>
  <c r="EL86" i="39"/>
  <c r="EK86" i="39"/>
  <c r="EJ86" i="39"/>
  <c r="EI86" i="39"/>
  <c r="EH86" i="39"/>
  <c r="EG86" i="39"/>
  <c r="EF86" i="39"/>
  <c r="EE86" i="39"/>
  <c r="ED86" i="39"/>
  <c r="EC86" i="39"/>
  <c r="EB86" i="39"/>
  <c r="EA86" i="39"/>
  <c r="DZ86" i="39"/>
  <c r="DY86" i="39"/>
  <c r="DX86" i="39"/>
  <c r="DW86" i="39"/>
  <c r="FT85" i="39"/>
  <c r="FS85" i="39"/>
  <c r="FR85" i="39"/>
  <c r="FQ85" i="39"/>
  <c r="FP85" i="39"/>
  <c r="FO85" i="39"/>
  <c r="FN85" i="39"/>
  <c r="FM85" i="39"/>
  <c r="FL85" i="39"/>
  <c r="FK85" i="39"/>
  <c r="FJ85" i="39"/>
  <c r="FI85" i="39"/>
  <c r="FH85" i="39"/>
  <c r="FG85" i="39"/>
  <c r="FF85" i="39"/>
  <c r="FE85" i="39"/>
  <c r="FD85" i="39"/>
  <c r="FC85" i="39"/>
  <c r="FB85" i="39"/>
  <c r="FA85" i="39"/>
  <c r="EZ85" i="39"/>
  <c r="EY85" i="39"/>
  <c r="EX85" i="39"/>
  <c r="EW85" i="39"/>
  <c r="EV85" i="39"/>
  <c r="EU85" i="39"/>
  <c r="ES85" i="39"/>
  <c r="ER85" i="39"/>
  <c r="EQ85" i="39"/>
  <c r="EP85" i="39"/>
  <c r="EO85" i="39"/>
  <c r="EN85" i="39"/>
  <c r="EM85" i="39"/>
  <c r="EL85" i="39"/>
  <c r="EK85" i="39"/>
  <c r="EJ85" i="39"/>
  <c r="EI85" i="39"/>
  <c r="EH85" i="39"/>
  <c r="EG85" i="39"/>
  <c r="EF85" i="39"/>
  <c r="EE85" i="39"/>
  <c r="ED85" i="39"/>
  <c r="EC85" i="39"/>
  <c r="EB85" i="39"/>
  <c r="EA85" i="39"/>
  <c r="DZ85" i="39"/>
  <c r="DY85" i="39"/>
  <c r="DX85" i="39"/>
  <c r="DW85" i="39"/>
  <c r="FT84" i="39"/>
  <c r="FS84" i="39"/>
  <c r="FR84" i="39"/>
  <c r="FQ84" i="39"/>
  <c r="FP84" i="39"/>
  <c r="FO84" i="39"/>
  <c r="FN84" i="39"/>
  <c r="FM84" i="39"/>
  <c r="FL84" i="39"/>
  <c r="FK84" i="39"/>
  <c r="FJ84" i="39"/>
  <c r="FI84" i="39"/>
  <c r="FH84" i="39"/>
  <c r="FG84" i="39"/>
  <c r="FF84" i="39"/>
  <c r="FE84" i="39"/>
  <c r="FD84" i="39"/>
  <c r="FC84" i="39"/>
  <c r="FB84" i="39"/>
  <c r="FA84" i="39"/>
  <c r="EZ84" i="39"/>
  <c r="EY84" i="39"/>
  <c r="EX84" i="39"/>
  <c r="EW84" i="39"/>
  <c r="EV84" i="39"/>
  <c r="EU84" i="39"/>
  <c r="ES84" i="39"/>
  <c r="ER84" i="39"/>
  <c r="EQ84" i="39"/>
  <c r="EP84" i="39"/>
  <c r="EO84" i="39"/>
  <c r="EN84" i="39"/>
  <c r="EM84" i="39"/>
  <c r="EL84" i="39"/>
  <c r="EK84" i="39"/>
  <c r="EJ84" i="39"/>
  <c r="EI84" i="39"/>
  <c r="EH84" i="39"/>
  <c r="EG84" i="39"/>
  <c r="EF84" i="39"/>
  <c r="EE84" i="39"/>
  <c r="ED84" i="39"/>
  <c r="EC84" i="39"/>
  <c r="EB84" i="39"/>
  <c r="EA84" i="39"/>
  <c r="DZ84" i="39"/>
  <c r="DY84" i="39"/>
  <c r="DX84" i="39"/>
  <c r="DW84" i="39"/>
  <c r="FT83" i="39"/>
  <c r="FS83" i="39"/>
  <c r="FR83" i="39"/>
  <c r="FQ83" i="39"/>
  <c r="FP83" i="39"/>
  <c r="FO83" i="39"/>
  <c r="FN83" i="39"/>
  <c r="FM83" i="39"/>
  <c r="FL83" i="39"/>
  <c r="FK83" i="39"/>
  <c r="FJ83" i="39"/>
  <c r="FI83" i="39"/>
  <c r="FH83" i="39"/>
  <c r="FG83" i="39"/>
  <c r="FF83" i="39"/>
  <c r="FE83" i="39"/>
  <c r="FD83" i="39"/>
  <c r="FC83" i="39"/>
  <c r="FB83" i="39"/>
  <c r="FA83" i="39"/>
  <c r="EZ83" i="39"/>
  <c r="EY83" i="39"/>
  <c r="EX83" i="39"/>
  <c r="EW83" i="39"/>
  <c r="EV83" i="39"/>
  <c r="EU83" i="39"/>
  <c r="ES83" i="39"/>
  <c r="ER83" i="39"/>
  <c r="EQ83" i="39"/>
  <c r="EP83" i="39"/>
  <c r="EO83" i="39"/>
  <c r="EN83" i="39"/>
  <c r="EM83" i="39"/>
  <c r="EL83" i="39"/>
  <c r="EK83" i="39"/>
  <c r="EJ83" i="39"/>
  <c r="EI83" i="39"/>
  <c r="EH83" i="39"/>
  <c r="EG83" i="39"/>
  <c r="EF83" i="39"/>
  <c r="EE83" i="39"/>
  <c r="ED83" i="39"/>
  <c r="EC83" i="39"/>
  <c r="EB83" i="39"/>
  <c r="EA83" i="39"/>
  <c r="DZ83" i="39"/>
  <c r="DY83" i="39"/>
  <c r="DX83" i="39"/>
  <c r="DW83" i="39"/>
  <c r="FT82" i="39"/>
  <c r="FS82" i="39"/>
  <c r="FR82" i="39"/>
  <c r="FQ82" i="39"/>
  <c r="FP82" i="39"/>
  <c r="FO82" i="39"/>
  <c r="FN82" i="39"/>
  <c r="FM82" i="39"/>
  <c r="FL82" i="39"/>
  <c r="FK82" i="39"/>
  <c r="FJ82" i="39"/>
  <c r="FI82" i="39"/>
  <c r="FH82" i="39"/>
  <c r="FG82" i="39"/>
  <c r="FF82" i="39"/>
  <c r="FE82" i="39"/>
  <c r="FD82" i="39"/>
  <c r="FC82" i="39"/>
  <c r="FB82" i="39"/>
  <c r="FA82" i="39"/>
  <c r="EZ82" i="39"/>
  <c r="EY82" i="39"/>
  <c r="EX82" i="39"/>
  <c r="EW82" i="39"/>
  <c r="EV82" i="39"/>
  <c r="EU82" i="39"/>
  <c r="ES82" i="39"/>
  <c r="ER82" i="39"/>
  <c r="EQ82" i="39"/>
  <c r="EP82" i="39"/>
  <c r="EO82" i="39"/>
  <c r="EN82" i="39"/>
  <c r="EM82" i="39"/>
  <c r="EL82" i="39"/>
  <c r="EK82" i="39"/>
  <c r="EJ82" i="39"/>
  <c r="EI82" i="39"/>
  <c r="EH82" i="39"/>
  <c r="EG82" i="39"/>
  <c r="EF82" i="39"/>
  <c r="EE82" i="39"/>
  <c r="ED82" i="39"/>
  <c r="EC82" i="39"/>
  <c r="EB82" i="39"/>
  <c r="EA82" i="39"/>
  <c r="DZ82" i="39"/>
  <c r="DY82" i="39"/>
  <c r="DX82" i="39"/>
  <c r="DW82" i="39"/>
  <c r="FT81" i="39"/>
  <c r="FS81" i="39"/>
  <c r="FR81" i="39"/>
  <c r="FQ81" i="39"/>
  <c r="FP81" i="39"/>
  <c r="FO81" i="39"/>
  <c r="FN81" i="39"/>
  <c r="FM81" i="39"/>
  <c r="FL81" i="39"/>
  <c r="FK81" i="39"/>
  <c r="FJ81" i="39"/>
  <c r="FI81" i="39"/>
  <c r="FH81" i="39"/>
  <c r="FG81" i="39"/>
  <c r="FF81" i="39"/>
  <c r="FE81" i="39"/>
  <c r="FD81" i="39"/>
  <c r="FC81" i="39"/>
  <c r="FB81" i="39"/>
  <c r="FA81" i="39"/>
  <c r="EZ81" i="39"/>
  <c r="EY81" i="39"/>
  <c r="EX81" i="39"/>
  <c r="EW81" i="39"/>
  <c r="EV81" i="39"/>
  <c r="EU81" i="39"/>
  <c r="ES81" i="39"/>
  <c r="ER81" i="39"/>
  <c r="EQ81" i="39"/>
  <c r="EP81" i="39"/>
  <c r="EO81" i="39"/>
  <c r="EN81" i="39"/>
  <c r="EM81" i="39"/>
  <c r="EL81" i="39"/>
  <c r="EK81" i="39"/>
  <c r="EJ81" i="39"/>
  <c r="EI81" i="39"/>
  <c r="EH81" i="39"/>
  <c r="EG81" i="39"/>
  <c r="EF81" i="39"/>
  <c r="EE81" i="39"/>
  <c r="ED81" i="39"/>
  <c r="EC81" i="39"/>
  <c r="EB81" i="39"/>
  <c r="EA81" i="39"/>
  <c r="DZ81" i="39"/>
  <c r="DY81" i="39"/>
  <c r="DX81" i="39"/>
  <c r="DW81" i="39"/>
  <c r="FT80" i="39"/>
  <c r="FS80" i="39"/>
  <c r="FR80" i="39"/>
  <c r="FQ80" i="39"/>
  <c r="FP80" i="39"/>
  <c r="FO80" i="39"/>
  <c r="FN80" i="39"/>
  <c r="FM80" i="39"/>
  <c r="FL80" i="39"/>
  <c r="FK80" i="39"/>
  <c r="FJ80" i="39"/>
  <c r="FI80" i="39"/>
  <c r="FH80" i="39"/>
  <c r="FG80" i="39"/>
  <c r="FF80" i="39"/>
  <c r="FE80" i="39"/>
  <c r="FD80" i="39"/>
  <c r="FC80" i="39"/>
  <c r="FB80" i="39"/>
  <c r="FA80" i="39"/>
  <c r="EZ80" i="39"/>
  <c r="EY80" i="39"/>
  <c r="EX80" i="39"/>
  <c r="EW80" i="39"/>
  <c r="EV80" i="39"/>
  <c r="EU80" i="39"/>
  <c r="ES80" i="39"/>
  <c r="ER80" i="39"/>
  <c r="EQ80" i="39"/>
  <c r="EP80" i="39"/>
  <c r="EO80" i="39"/>
  <c r="EN80" i="39"/>
  <c r="EM80" i="39"/>
  <c r="EL80" i="39"/>
  <c r="EK80" i="39"/>
  <c r="EJ80" i="39"/>
  <c r="EI80" i="39"/>
  <c r="EH80" i="39"/>
  <c r="EG80" i="39"/>
  <c r="EF80" i="39"/>
  <c r="EE80" i="39"/>
  <c r="ED80" i="39"/>
  <c r="EC80" i="39"/>
  <c r="EB80" i="39"/>
  <c r="EA80" i="39"/>
  <c r="DZ80" i="39"/>
  <c r="DY80" i="39"/>
  <c r="DX80" i="39"/>
  <c r="DW80" i="39"/>
  <c r="FT79" i="39"/>
  <c r="FS79" i="39"/>
  <c r="FR79" i="39"/>
  <c r="FQ79" i="39"/>
  <c r="FP79" i="39"/>
  <c r="FO79" i="39"/>
  <c r="FN79" i="39"/>
  <c r="FM79" i="39"/>
  <c r="FL79" i="39"/>
  <c r="FK79" i="39"/>
  <c r="FJ79" i="39"/>
  <c r="FI79" i="39"/>
  <c r="FH79" i="39"/>
  <c r="FG79" i="39"/>
  <c r="FF79" i="39"/>
  <c r="FE79" i="39"/>
  <c r="FD79" i="39"/>
  <c r="FC79" i="39"/>
  <c r="FB79" i="39"/>
  <c r="FA79" i="39"/>
  <c r="EZ79" i="39"/>
  <c r="EY79" i="39"/>
  <c r="EX79" i="39"/>
  <c r="EW79" i="39"/>
  <c r="EV79" i="39"/>
  <c r="EU79" i="39"/>
  <c r="ES79" i="39"/>
  <c r="ER79" i="39"/>
  <c r="EQ79" i="39"/>
  <c r="EP79" i="39"/>
  <c r="EO79" i="39"/>
  <c r="EN79" i="39"/>
  <c r="EM79" i="39"/>
  <c r="EL79" i="39"/>
  <c r="EK79" i="39"/>
  <c r="EJ79" i="39"/>
  <c r="EI79" i="39"/>
  <c r="EH79" i="39"/>
  <c r="EG79" i="39"/>
  <c r="EF79" i="39"/>
  <c r="EE79" i="39"/>
  <c r="ED79" i="39"/>
  <c r="EC79" i="39"/>
  <c r="EB79" i="39"/>
  <c r="EA79" i="39"/>
  <c r="DZ79" i="39"/>
  <c r="DY79" i="39"/>
  <c r="DX79" i="39"/>
  <c r="DW79" i="39"/>
  <c r="FT78" i="39"/>
  <c r="FS78" i="39"/>
  <c r="FR78" i="39"/>
  <c r="FQ78" i="39"/>
  <c r="FP78" i="39"/>
  <c r="FO78" i="39"/>
  <c r="FN78" i="39"/>
  <c r="FM78" i="39"/>
  <c r="FL78" i="39"/>
  <c r="FK78" i="39"/>
  <c r="FJ78" i="39"/>
  <c r="FI78" i="39"/>
  <c r="FH78" i="39"/>
  <c r="FG78" i="39"/>
  <c r="FF78" i="39"/>
  <c r="FE78" i="39"/>
  <c r="FD78" i="39"/>
  <c r="FC78" i="39"/>
  <c r="FB78" i="39"/>
  <c r="FA78" i="39"/>
  <c r="EZ78" i="39"/>
  <c r="EY78" i="39"/>
  <c r="EX78" i="39"/>
  <c r="EW78" i="39"/>
  <c r="EV78" i="39"/>
  <c r="EU78" i="39"/>
  <c r="ES78" i="39"/>
  <c r="ER78" i="39"/>
  <c r="EQ78" i="39"/>
  <c r="EP78" i="39"/>
  <c r="EO78" i="39"/>
  <c r="EN78" i="39"/>
  <c r="EM78" i="39"/>
  <c r="EL78" i="39"/>
  <c r="EK78" i="39"/>
  <c r="EJ78" i="39"/>
  <c r="EI78" i="39"/>
  <c r="EH78" i="39"/>
  <c r="EG78" i="39"/>
  <c r="EF78" i="39"/>
  <c r="EE78" i="39"/>
  <c r="ED78" i="39"/>
  <c r="EC78" i="39"/>
  <c r="EB78" i="39"/>
  <c r="EA78" i="39"/>
  <c r="DZ78" i="39"/>
  <c r="DY78" i="39"/>
  <c r="DX78" i="39"/>
  <c r="DW78" i="39"/>
  <c r="FT77" i="39"/>
  <c r="FS77" i="39"/>
  <c r="FR77" i="39"/>
  <c r="FQ77" i="39"/>
  <c r="FP77" i="39"/>
  <c r="FO77" i="39"/>
  <c r="FN77" i="39"/>
  <c r="FM77" i="39"/>
  <c r="FL77" i="39"/>
  <c r="FK77" i="39"/>
  <c r="FJ77" i="39"/>
  <c r="FI77" i="39"/>
  <c r="FH77" i="39"/>
  <c r="FG77" i="39"/>
  <c r="FF77" i="39"/>
  <c r="FE77" i="39"/>
  <c r="FD77" i="39"/>
  <c r="FC77" i="39"/>
  <c r="FB77" i="39"/>
  <c r="FA77" i="39"/>
  <c r="EZ77" i="39"/>
  <c r="EY77" i="39"/>
  <c r="EX77" i="39"/>
  <c r="EW77" i="39"/>
  <c r="EV77" i="39"/>
  <c r="EU77" i="39"/>
  <c r="ES77" i="39"/>
  <c r="ER77" i="39"/>
  <c r="EQ77" i="39"/>
  <c r="EP77" i="39"/>
  <c r="EO77" i="39"/>
  <c r="EN77" i="39"/>
  <c r="EM77" i="39"/>
  <c r="EL77" i="39"/>
  <c r="EK77" i="39"/>
  <c r="EJ77" i="39"/>
  <c r="EI77" i="39"/>
  <c r="EH77" i="39"/>
  <c r="EG77" i="39"/>
  <c r="EF77" i="39"/>
  <c r="EE77" i="39"/>
  <c r="ED77" i="39"/>
  <c r="EC77" i="39"/>
  <c r="EB77" i="39"/>
  <c r="EA77" i="39"/>
  <c r="DZ77" i="39"/>
  <c r="DY77" i="39"/>
  <c r="DX77" i="39"/>
  <c r="DW77" i="39"/>
  <c r="FT76" i="39"/>
  <c r="FS76" i="39"/>
  <c r="FR76" i="39"/>
  <c r="FQ76" i="39"/>
  <c r="FP76" i="39"/>
  <c r="FO76" i="39"/>
  <c r="FN76" i="39"/>
  <c r="FM76" i="39"/>
  <c r="FL76" i="39"/>
  <c r="FK76" i="39"/>
  <c r="FJ76" i="39"/>
  <c r="FI76" i="39"/>
  <c r="FH76" i="39"/>
  <c r="FG76" i="39"/>
  <c r="FF76" i="39"/>
  <c r="FE76" i="39"/>
  <c r="FD76" i="39"/>
  <c r="FC76" i="39"/>
  <c r="FB76" i="39"/>
  <c r="FA76" i="39"/>
  <c r="EZ76" i="39"/>
  <c r="EY76" i="39"/>
  <c r="EX76" i="39"/>
  <c r="EW76" i="39"/>
  <c r="EV76" i="39"/>
  <c r="EU76" i="39"/>
  <c r="ES76" i="39"/>
  <c r="ER76" i="39"/>
  <c r="EQ76" i="39"/>
  <c r="EP76" i="39"/>
  <c r="EO76" i="39"/>
  <c r="EN76" i="39"/>
  <c r="EM76" i="39"/>
  <c r="EL76" i="39"/>
  <c r="EK76" i="39"/>
  <c r="EJ76" i="39"/>
  <c r="EI76" i="39"/>
  <c r="EH76" i="39"/>
  <c r="EG76" i="39"/>
  <c r="EF76" i="39"/>
  <c r="EE76" i="39"/>
  <c r="ED76" i="39"/>
  <c r="EC76" i="39"/>
  <c r="EB76" i="39"/>
  <c r="EA76" i="39"/>
  <c r="DZ76" i="39"/>
  <c r="DY76" i="39"/>
  <c r="DX76" i="39"/>
  <c r="DW76" i="39"/>
  <c r="FR72" i="39"/>
  <c r="FP72" i="39"/>
  <c r="FO72" i="39"/>
  <c r="FN72" i="39"/>
  <c r="FM72" i="39"/>
  <c r="FL72" i="39"/>
  <c r="FK72" i="39"/>
  <c r="FJ72" i="39"/>
  <c r="FI72" i="39"/>
  <c r="FH72" i="39"/>
  <c r="FG72" i="39"/>
  <c r="FF72" i="39"/>
  <c r="FE72" i="39"/>
  <c r="FD72" i="39"/>
  <c r="FC72" i="39"/>
  <c r="FB72" i="39"/>
  <c r="FA72" i="39"/>
  <c r="EZ72" i="39"/>
  <c r="EY72" i="39"/>
  <c r="EX72" i="39"/>
  <c r="EW72" i="39"/>
  <c r="EV72" i="39"/>
  <c r="EU72" i="39"/>
  <c r="ES72" i="39"/>
  <c r="ER72" i="39"/>
  <c r="EQ72" i="39"/>
  <c r="EP72" i="39"/>
  <c r="EO72" i="39"/>
  <c r="EN72" i="39"/>
  <c r="EM72" i="39"/>
  <c r="EL72" i="39"/>
  <c r="EK72" i="39"/>
  <c r="EJ72" i="39"/>
  <c r="EI72" i="39"/>
  <c r="EH72" i="39"/>
  <c r="EF72" i="39"/>
  <c r="EE72" i="39"/>
  <c r="ED72" i="39"/>
  <c r="EC72" i="39"/>
  <c r="EB72" i="39"/>
  <c r="EA72" i="39"/>
  <c r="DZ72" i="39"/>
  <c r="DY72" i="39"/>
  <c r="DX72" i="39"/>
  <c r="DW72" i="39"/>
  <c r="FR70" i="39"/>
  <c r="FP70" i="39"/>
  <c r="FO70" i="39"/>
  <c r="FN70" i="39"/>
  <c r="FM70" i="39"/>
  <c r="FL70" i="39"/>
  <c r="FK70" i="39"/>
  <c r="FJ70" i="39"/>
  <c r="FI70" i="39"/>
  <c r="FH70" i="39"/>
  <c r="FG70" i="39"/>
  <c r="FF70" i="39"/>
  <c r="FE70" i="39"/>
  <c r="FD70" i="39"/>
  <c r="FC70" i="39"/>
  <c r="FB70" i="39"/>
  <c r="FA70" i="39"/>
  <c r="EZ70" i="39"/>
  <c r="EY70" i="39"/>
  <c r="EX70" i="39"/>
  <c r="EW70" i="39"/>
  <c r="EV70" i="39"/>
  <c r="EU70" i="39"/>
  <c r="ES70" i="39"/>
  <c r="ER70" i="39"/>
  <c r="EQ70" i="39"/>
  <c r="EP70" i="39"/>
  <c r="EO70" i="39"/>
  <c r="EN70" i="39"/>
  <c r="EM70" i="39"/>
  <c r="EL70" i="39"/>
  <c r="EK70" i="39"/>
  <c r="EJ70" i="39"/>
  <c r="EI70" i="39"/>
  <c r="EH70" i="39"/>
  <c r="EF70" i="39"/>
  <c r="EE70" i="39"/>
  <c r="ED70" i="39"/>
  <c r="EC70" i="39"/>
  <c r="EB70" i="39"/>
  <c r="EA70" i="39"/>
  <c r="DZ70" i="39"/>
  <c r="DY70" i="39"/>
  <c r="DX70" i="39"/>
  <c r="DW70" i="39"/>
  <c r="FR68" i="39"/>
  <c r="FP68" i="39"/>
  <c r="FO68" i="39"/>
  <c r="FN68" i="39"/>
  <c r="FM68" i="39"/>
  <c r="FL68" i="39"/>
  <c r="FK68" i="39"/>
  <c r="FJ68" i="39"/>
  <c r="FI68" i="39"/>
  <c r="FH68" i="39"/>
  <c r="FG68" i="39"/>
  <c r="FF68" i="39"/>
  <c r="FE68" i="39"/>
  <c r="FD68" i="39"/>
  <c r="FC68" i="39"/>
  <c r="FB68" i="39"/>
  <c r="FA68" i="39"/>
  <c r="EZ68" i="39"/>
  <c r="EY68" i="39"/>
  <c r="EX68" i="39"/>
  <c r="EW68" i="39"/>
  <c r="EV68" i="39"/>
  <c r="EU68" i="39"/>
  <c r="ES68" i="39"/>
  <c r="ER68" i="39"/>
  <c r="EQ68" i="39"/>
  <c r="EP68" i="39"/>
  <c r="EO68" i="39"/>
  <c r="EN68" i="39"/>
  <c r="EM68" i="39"/>
  <c r="EL68" i="39"/>
  <c r="EK68" i="39"/>
  <c r="EJ68" i="39"/>
  <c r="EI68" i="39"/>
  <c r="EH68" i="39"/>
  <c r="EF68" i="39"/>
  <c r="EE68" i="39"/>
  <c r="ED68" i="39"/>
  <c r="EC68" i="39"/>
  <c r="EB68" i="39"/>
  <c r="EA68" i="39"/>
  <c r="DZ68" i="39"/>
  <c r="DY68" i="39"/>
  <c r="DX68" i="39"/>
  <c r="DW68" i="39"/>
  <c r="FR66" i="39"/>
  <c r="FP66" i="39"/>
  <c r="FO66" i="39"/>
  <c r="FN66" i="39"/>
  <c r="FM66" i="39"/>
  <c r="FL66" i="39"/>
  <c r="FK66" i="39"/>
  <c r="FJ66" i="39"/>
  <c r="FI66" i="39"/>
  <c r="FH66" i="39"/>
  <c r="FG66" i="39"/>
  <c r="FF66" i="39"/>
  <c r="FE66" i="39"/>
  <c r="FD66" i="39"/>
  <c r="FC66" i="39"/>
  <c r="FB66" i="39"/>
  <c r="FA66" i="39"/>
  <c r="EZ66" i="39"/>
  <c r="EY66" i="39"/>
  <c r="EX66" i="39"/>
  <c r="EW66" i="39"/>
  <c r="EV66" i="39"/>
  <c r="EU66" i="39"/>
  <c r="ES66" i="39"/>
  <c r="ER66" i="39"/>
  <c r="EQ66" i="39"/>
  <c r="EP66" i="39"/>
  <c r="EO66" i="39"/>
  <c r="EN66" i="39"/>
  <c r="EM66" i="39"/>
  <c r="EL66" i="39"/>
  <c r="EK66" i="39"/>
  <c r="EJ66" i="39"/>
  <c r="EI66" i="39"/>
  <c r="EH66" i="39"/>
  <c r="EF66" i="39"/>
  <c r="EE66" i="39"/>
  <c r="ED66" i="39"/>
  <c r="EC66" i="39"/>
  <c r="EB66" i="39"/>
  <c r="EA66" i="39"/>
  <c r="DZ66" i="39"/>
  <c r="DY66" i="39"/>
  <c r="DX66" i="39"/>
  <c r="DW66" i="39"/>
  <c r="FR65" i="39"/>
  <c r="FP65" i="39"/>
  <c r="FO65" i="39"/>
  <c r="FN65" i="39"/>
  <c r="FM65" i="39"/>
  <c r="FL65" i="39"/>
  <c r="FK65" i="39"/>
  <c r="FJ65" i="39"/>
  <c r="FI65" i="39"/>
  <c r="FH65" i="39"/>
  <c r="FG65" i="39"/>
  <c r="FF65" i="39"/>
  <c r="FE65" i="39"/>
  <c r="FD65" i="39"/>
  <c r="FC65" i="39"/>
  <c r="FB65" i="39"/>
  <c r="FA65" i="39"/>
  <c r="EZ65" i="39"/>
  <c r="EY65" i="39"/>
  <c r="EX65" i="39"/>
  <c r="EW65" i="39"/>
  <c r="EV65" i="39"/>
  <c r="EU65" i="39"/>
  <c r="ES65" i="39"/>
  <c r="ER65" i="39"/>
  <c r="EQ65" i="39"/>
  <c r="EP65" i="39"/>
  <c r="EO65" i="39"/>
  <c r="EN65" i="39"/>
  <c r="EM65" i="39"/>
  <c r="EL65" i="39"/>
  <c r="EK65" i="39"/>
  <c r="EJ65" i="39"/>
  <c r="EI65" i="39"/>
  <c r="EH65" i="39"/>
  <c r="EF65" i="39"/>
  <c r="EE65" i="39"/>
  <c r="ED65" i="39"/>
  <c r="EC65" i="39"/>
  <c r="EB65" i="39"/>
  <c r="EA65" i="39"/>
  <c r="DZ65" i="39"/>
  <c r="DY65" i="39"/>
  <c r="DX65" i="39"/>
  <c r="DW65" i="39"/>
  <c r="FR64" i="39"/>
  <c r="FP64" i="39"/>
  <c r="FO64" i="39"/>
  <c r="FN64" i="39"/>
  <c r="FM64" i="39"/>
  <c r="FL64" i="39"/>
  <c r="FK64" i="39"/>
  <c r="FJ64" i="39"/>
  <c r="FI64" i="39"/>
  <c r="FH64" i="39"/>
  <c r="FG64" i="39"/>
  <c r="FF64" i="39"/>
  <c r="FE64" i="39"/>
  <c r="FD64" i="39"/>
  <c r="FC64" i="39"/>
  <c r="FB64" i="39"/>
  <c r="FA64" i="39"/>
  <c r="EZ64" i="39"/>
  <c r="EY64" i="39"/>
  <c r="EX64" i="39"/>
  <c r="EW64" i="39"/>
  <c r="EV64" i="39"/>
  <c r="EU64" i="39"/>
  <c r="ES64" i="39"/>
  <c r="ER64" i="39"/>
  <c r="EQ64" i="39"/>
  <c r="EP64" i="39"/>
  <c r="EO64" i="39"/>
  <c r="EN64" i="39"/>
  <c r="EM64" i="39"/>
  <c r="EL64" i="39"/>
  <c r="EK64" i="39"/>
  <c r="EJ64" i="39"/>
  <c r="EI64" i="39"/>
  <c r="EH64" i="39"/>
  <c r="EF64" i="39"/>
  <c r="EE64" i="39"/>
  <c r="ED64" i="39"/>
  <c r="EC64" i="39"/>
  <c r="EB64" i="39"/>
  <c r="EA64" i="39"/>
  <c r="DZ64" i="39"/>
  <c r="DY64" i="39"/>
  <c r="DX64" i="39"/>
  <c r="DW64" i="39"/>
  <c r="FT63" i="39"/>
  <c r="FS63" i="39"/>
  <c r="FR63" i="39"/>
  <c r="FQ63" i="39"/>
  <c r="FP63" i="39"/>
  <c r="FO63" i="39"/>
  <c r="FN63" i="39"/>
  <c r="FM63" i="39"/>
  <c r="FL63" i="39"/>
  <c r="FK63" i="39"/>
  <c r="FJ63" i="39"/>
  <c r="FI63" i="39"/>
  <c r="FH63" i="39"/>
  <c r="FG63" i="39"/>
  <c r="FF63" i="39"/>
  <c r="FE63" i="39"/>
  <c r="FD63" i="39"/>
  <c r="FC63" i="39"/>
  <c r="FB63" i="39"/>
  <c r="FA63" i="39"/>
  <c r="EZ63" i="39"/>
  <c r="EY63" i="39"/>
  <c r="EX63" i="39"/>
  <c r="EW63" i="39"/>
  <c r="EV63" i="39"/>
  <c r="EU63" i="39"/>
  <c r="ES63" i="39"/>
  <c r="ER63" i="39"/>
  <c r="EQ63" i="39"/>
  <c r="EP63" i="39"/>
  <c r="EO63" i="39"/>
  <c r="EN63" i="39"/>
  <c r="EM63" i="39"/>
  <c r="EL63" i="39"/>
  <c r="EK63" i="39"/>
  <c r="EJ63" i="39"/>
  <c r="EI63" i="39"/>
  <c r="EH63" i="39"/>
  <c r="EG63" i="39"/>
  <c r="EF63" i="39"/>
  <c r="EE63" i="39"/>
  <c r="ED63" i="39"/>
  <c r="EC63" i="39"/>
  <c r="EB63" i="39"/>
  <c r="EA63" i="39"/>
  <c r="DZ63" i="39"/>
  <c r="DY63" i="39"/>
  <c r="DX63" i="39"/>
  <c r="DW63" i="39"/>
  <c r="FR60" i="39"/>
  <c r="FP60" i="39"/>
  <c r="FO60" i="39"/>
  <c r="FN60" i="39"/>
  <c r="FM60" i="39"/>
  <c r="FL60" i="39"/>
  <c r="FK60" i="39"/>
  <c r="FJ60" i="39"/>
  <c r="FI60" i="39"/>
  <c r="FH60" i="39"/>
  <c r="FG60" i="39"/>
  <c r="FF60" i="39"/>
  <c r="FE60" i="39"/>
  <c r="FD60" i="39"/>
  <c r="FC60" i="39"/>
  <c r="FB60" i="39"/>
  <c r="FA60" i="39"/>
  <c r="EZ60" i="39"/>
  <c r="EY60" i="39"/>
  <c r="EX60" i="39"/>
  <c r="EW60" i="39"/>
  <c r="EV60" i="39"/>
  <c r="EU60" i="39"/>
  <c r="ES60" i="39"/>
  <c r="ER60" i="39"/>
  <c r="EQ60" i="39"/>
  <c r="EP60" i="39"/>
  <c r="EO60" i="39"/>
  <c r="EN60" i="39"/>
  <c r="EM60" i="39"/>
  <c r="EL60" i="39"/>
  <c r="EK60" i="39"/>
  <c r="EJ60" i="39"/>
  <c r="EI60" i="39"/>
  <c r="EH60" i="39"/>
  <c r="EG60" i="39"/>
  <c r="EF60" i="39"/>
  <c r="EE60" i="39"/>
  <c r="ED60" i="39"/>
  <c r="EC60" i="39"/>
  <c r="EB60" i="39"/>
  <c r="EA60" i="39"/>
  <c r="DZ60" i="39"/>
  <c r="DY60" i="39"/>
  <c r="DX60" i="39"/>
  <c r="DW60" i="39"/>
  <c r="FR59" i="39"/>
  <c r="FP59" i="39"/>
  <c r="FO59" i="39"/>
  <c r="FN59" i="39"/>
  <c r="FM59" i="39"/>
  <c r="FL59" i="39"/>
  <c r="FK59" i="39"/>
  <c r="FJ59" i="39"/>
  <c r="FI59" i="39"/>
  <c r="FH59" i="39"/>
  <c r="FG59" i="39"/>
  <c r="FF59" i="39"/>
  <c r="FE59" i="39"/>
  <c r="FD59" i="39"/>
  <c r="FC59" i="39"/>
  <c r="FB59" i="39"/>
  <c r="FA59" i="39"/>
  <c r="EZ59" i="39"/>
  <c r="EY59" i="39"/>
  <c r="EX59" i="39"/>
  <c r="EW59" i="39"/>
  <c r="EV59" i="39"/>
  <c r="EU59" i="39"/>
  <c r="ES59" i="39"/>
  <c r="ER59" i="39"/>
  <c r="EQ59" i="39"/>
  <c r="EP59" i="39"/>
  <c r="EO59" i="39"/>
  <c r="EN59" i="39"/>
  <c r="EM59" i="39"/>
  <c r="EL59" i="39"/>
  <c r="EK59" i="39"/>
  <c r="EJ59" i="39"/>
  <c r="EI59" i="39"/>
  <c r="EH59" i="39"/>
  <c r="EG59" i="39"/>
  <c r="EF59" i="39"/>
  <c r="EE59" i="39"/>
  <c r="ED59" i="39"/>
  <c r="EC59" i="39"/>
  <c r="EB59" i="39"/>
  <c r="EA59" i="39"/>
  <c r="DZ59" i="39"/>
  <c r="DY59" i="39"/>
  <c r="DX59" i="39"/>
  <c r="DW59" i="39"/>
  <c r="FR58" i="39"/>
  <c r="FP58" i="39"/>
  <c r="FO58" i="39"/>
  <c r="FN58" i="39"/>
  <c r="FM58" i="39"/>
  <c r="FL58" i="39"/>
  <c r="FK58" i="39"/>
  <c r="FJ58" i="39"/>
  <c r="FI58" i="39"/>
  <c r="FH58" i="39"/>
  <c r="FG58" i="39"/>
  <c r="FF58" i="39"/>
  <c r="FE58" i="39"/>
  <c r="FD58" i="39"/>
  <c r="FC58" i="39"/>
  <c r="FB58" i="39"/>
  <c r="FA58" i="39"/>
  <c r="EZ58" i="39"/>
  <c r="EY58" i="39"/>
  <c r="EX58" i="39"/>
  <c r="EW58" i="39"/>
  <c r="EV58" i="39"/>
  <c r="EU58" i="39"/>
  <c r="ES58" i="39"/>
  <c r="ER58" i="39"/>
  <c r="EQ58" i="39"/>
  <c r="EP58" i="39"/>
  <c r="EO58" i="39"/>
  <c r="EN58" i="39"/>
  <c r="EM58" i="39"/>
  <c r="EL58" i="39"/>
  <c r="EK58" i="39"/>
  <c r="EJ58" i="39"/>
  <c r="EI58" i="39"/>
  <c r="EH58" i="39"/>
  <c r="EG58" i="39"/>
  <c r="EF58" i="39"/>
  <c r="EE58" i="39"/>
  <c r="ED58" i="39"/>
  <c r="EC58" i="39"/>
  <c r="EB58" i="39"/>
  <c r="EA58" i="39"/>
  <c r="DZ58" i="39"/>
  <c r="DY58" i="39"/>
  <c r="DX58" i="39"/>
  <c r="DW58" i="39"/>
  <c r="FR57" i="39"/>
  <c r="FP57" i="39"/>
  <c r="FO57" i="39"/>
  <c r="FN57" i="39"/>
  <c r="FM57" i="39"/>
  <c r="FL57" i="39"/>
  <c r="FK57" i="39"/>
  <c r="FJ57" i="39"/>
  <c r="FI57" i="39"/>
  <c r="FH57" i="39"/>
  <c r="FG57" i="39"/>
  <c r="FF57" i="39"/>
  <c r="FE57" i="39"/>
  <c r="FD57" i="39"/>
  <c r="FC57" i="39"/>
  <c r="FB57" i="39"/>
  <c r="FA57" i="39"/>
  <c r="EZ57" i="39"/>
  <c r="EY57" i="39"/>
  <c r="EX57" i="39"/>
  <c r="EW57" i="39"/>
  <c r="EV57" i="39"/>
  <c r="EU57" i="39"/>
  <c r="ES57" i="39"/>
  <c r="ER57" i="39"/>
  <c r="EQ57" i="39"/>
  <c r="EP57" i="39"/>
  <c r="EO57" i="39"/>
  <c r="EN57" i="39"/>
  <c r="EM57" i="39"/>
  <c r="EL57" i="39"/>
  <c r="EK57" i="39"/>
  <c r="EJ57" i="39"/>
  <c r="EI57" i="39"/>
  <c r="EH57" i="39"/>
  <c r="EG57" i="39"/>
  <c r="EF57" i="39"/>
  <c r="EE57" i="39"/>
  <c r="ED57" i="39"/>
  <c r="EC57" i="39"/>
  <c r="EB57" i="39"/>
  <c r="EA57" i="39"/>
  <c r="DZ57" i="39"/>
  <c r="DY57" i="39"/>
  <c r="DX57" i="39"/>
  <c r="DW57" i="39"/>
  <c r="FR56" i="39"/>
  <c r="FP56" i="39"/>
  <c r="FO56" i="39"/>
  <c r="FN56" i="39"/>
  <c r="FM56" i="39"/>
  <c r="FL56" i="39"/>
  <c r="FK56" i="39"/>
  <c r="FJ56" i="39"/>
  <c r="FI56" i="39"/>
  <c r="FH56" i="39"/>
  <c r="FG56" i="39"/>
  <c r="FF56" i="39"/>
  <c r="FE56" i="39"/>
  <c r="FD56" i="39"/>
  <c r="FC56" i="39"/>
  <c r="FB56" i="39"/>
  <c r="FA56" i="39"/>
  <c r="EZ56" i="39"/>
  <c r="EY56" i="39"/>
  <c r="EX56" i="39"/>
  <c r="EW56" i="39"/>
  <c r="EV56" i="39"/>
  <c r="EU56" i="39"/>
  <c r="ES56" i="39"/>
  <c r="ER56" i="39"/>
  <c r="EQ56" i="39"/>
  <c r="EP56" i="39"/>
  <c r="EO56" i="39"/>
  <c r="EN56" i="39"/>
  <c r="EM56" i="39"/>
  <c r="EL56" i="39"/>
  <c r="EK56" i="39"/>
  <c r="EJ56" i="39"/>
  <c r="EI56" i="39"/>
  <c r="EH56" i="39"/>
  <c r="EG56" i="39"/>
  <c r="EF56" i="39"/>
  <c r="EE56" i="39"/>
  <c r="ED56" i="39"/>
  <c r="EC56" i="39"/>
  <c r="EB56" i="39"/>
  <c r="EA56" i="39"/>
  <c r="DZ56" i="39"/>
  <c r="DY56" i="39"/>
  <c r="DX56" i="39"/>
  <c r="DW56" i="39"/>
  <c r="FR55" i="39"/>
  <c r="FP55" i="39"/>
  <c r="FO55" i="39"/>
  <c r="FN55" i="39"/>
  <c r="FM55" i="39"/>
  <c r="FL55" i="39"/>
  <c r="FK55" i="39"/>
  <c r="FJ55" i="39"/>
  <c r="FI55" i="39"/>
  <c r="FH55" i="39"/>
  <c r="FG55" i="39"/>
  <c r="FF55" i="39"/>
  <c r="FE55" i="39"/>
  <c r="FD55" i="39"/>
  <c r="FC55" i="39"/>
  <c r="FB55" i="39"/>
  <c r="FA55" i="39"/>
  <c r="EZ55" i="39"/>
  <c r="EY55" i="39"/>
  <c r="EX55" i="39"/>
  <c r="EW55" i="39"/>
  <c r="EV55" i="39"/>
  <c r="EU55" i="39"/>
  <c r="ES55" i="39"/>
  <c r="ER55" i="39"/>
  <c r="EQ55" i="39"/>
  <c r="EP55" i="39"/>
  <c r="EO55" i="39"/>
  <c r="EN55" i="39"/>
  <c r="EM55" i="39"/>
  <c r="EL55" i="39"/>
  <c r="EK55" i="39"/>
  <c r="EJ55" i="39"/>
  <c r="EI55" i="39"/>
  <c r="EH55" i="39"/>
  <c r="EG55" i="39"/>
  <c r="EF55" i="39"/>
  <c r="EE55" i="39"/>
  <c r="ED55" i="39"/>
  <c r="EC55" i="39"/>
  <c r="EB55" i="39"/>
  <c r="EA55" i="39"/>
  <c r="DZ55" i="39"/>
  <c r="DY55" i="39"/>
  <c r="DX55" i="39"/>
  <c r="DW55" i="39"/>
  <c r="FR54" i="39"/>
  <c r="FP54" i="39"/>
  <c r="FO54" i="39"/>
  <c r="FN54" i="39"/>
  <c r="FM54" i="39"/>
  <c r="FL54" i="39"/>
  <c r="FK54" i="39"/>
  <c r="FJ54" i="39"/>
  <c r="FI54" i="39"/>
  <c r="FH54" i="39"/>
  <c r="FG54" i="39"/>
  <c r="FF54" i="39"/>
  <c r="FE54" i="39"/>
  <c r="FD54" i="39"/>
  <c r="FC54" i="39"/>
  <c r="FB54" i="39"/>
  <c r="FA54" i="39"/>
  <c r="EZ54" i="39"/>
  <c r="EY54" i="39"/>
  <c r="EX54" i="39"/>
  <c r="EW54" i="39"/>
  <c r="EV54" i="39"/>
  <c r="EU54" i="39"/>
  <c r="ES54" i="39"/>
  <c r="ER54" i="39"/>
  <c r="EQ54" i="39"/>
  <c r="EP54" i="39"/>
  <c r="EO54" i="39"/>
  <c r="EN54" i="39"/>
  <c r="EM54" i="39"/>
  <c r="EL54" i="39"/>
  <c r="EK54" i="39"/>
  <c r="EJ54" i="39"/>
  <c r="EI54" i="39"/>
  <c r="EH54" i="39"/>
  <c r="EG54" i="39"/>
  <c r="EF54" i="39"/>
  <c r="EE54" i="39"/>
  <c r="ED54" i="39"/>
  <c r="EC54" i="39"/>
  <c r="EB54" i="39"/>
  <c r="EA54" i="39"/>
  <c r="DZ54" i="39"/>
  <c r="DY54" i="39"/>
  <c r="DX54" i="39"/>
  <c r="DW54" i="39"/>
  <c r="FR53" i="39"/>
  <c r="FP53" i="39"/>
  <c r="FO53" i="39"/>
  <c r="FN53" i="39"/>
  <c r="FM53" i="39"/>
  <c r="FL53" i="39"/>
  <c r="FK53" i="39"/>
  <c r="FJ53" i="39"/>
  <c r="FI53" i="39"/>
  <c r="FH53" i="39"/>
  <c r="FG53" i="39"/>
  <c r="FF53" i="39"/>
  <c r="FE53" i="39"/>
  <c r="FD53" i="39"/>
  <c r="FC53" i="39"/>
  <c r="FB53" i="39"/>
  <c r="FA53" i="39"/>
  <c r="EZ53" i="39"/>
  <c r="EY53" i="39"/>
  <c r="EX53" i="39"/>
  <c r="EW53" i="39"/>
  <c r="EV53" i="39"/>
  <c r="EU53" i="39"/>
  <c r="ES53" i="39"/>
  <c r="ER53" i="39"/>
  <c r="EQ53" i="39"/>
  <c r="EP53" i="39"/>
  <c r="EO53" i="39"/>
  <c r="EN53" i="39"/>
  <c r="EM53" i="39"/>
  <c r="EL53" i="39"/>
  <c r="EK53" i="39"/>
  <c r="EJ53" i="39"/>
  <c r="EI53" i="39"/>
  <c r="EH53" i="39"/>
  <c r="EG53" i="39"/>
  <c r="EF53" i="39"/>
  <c r="EE53" i="39"/>
  <c r="ED53" i="39"/>
  <c r="EC53" i="39"/>
  <c r="EB53" i="39"/>
  <c r="EA53" i="39"/>
  <c r="DZ53" i="39"/>
  <c r="DY53" i="39"/>
  <c r="DX53" i="39"/>
  <c r="DW53" i="39"/>
  <c r="FR52" i="39"/>
  <c r="FP52" i="39"/>
  <c r="FO52" i="39"/>
  <c r="FN52" i="39"/>
  <c r="FM52" i="39"/>
  <c r="FL52" i="39"/>
  <c r="FK52" i="39"/>
  <c r="FJ52" i="39"/>
  <c r="FI52" i="39"/>
  <c r="FH52" i="39"/>
  <c r="FG52" i="39"/>
  <c r="FF52" i="39"/>
  <c r="FE52" i="39"/>
  <c r="FD52" i="39"/>
  <c r="FC52" i="39"/>
  <c r="FB52" i="39"/>
  <c r="FA52" i="39"/>
  <c r="EZ52" i="39"/>
  <c r="EY52" i="39"/>
  <c r="EX52" i="39"/>
  <c r="EW52" i="39"/>
  <c r="EV52" i="39"/>
  <c r="EU52" i="39"/>
  <c r="ES52" i="39"/>
  <c r="ER52" i="39"/>
  <c r="EQ52" i="39"/>
  <c r="EP52" i="39"/>
  <c r="EO52" i="39"/>
  <c r="EN52" i="39"/>
  <c r="EM52" i="39"/>
  <c r="EL52" i="39"/>
  <c r="EK52" i="39"/>
  <c r="EJ52" i="39"/>
  <c r="EI52" i="39"/>
  <c r="EH52" i="39"/>
  <c r="EG52" i="39"/>
  <c r="EF52" i="39"/>
  <c r="EE52" i="39"/>
  <c r="ED52" i="39"/>
  <c r="EC52" i="39"/>
  <c r="EB52" i="39"/>
  <c r="EA52" i="39"/>
  <c r="DZ52" i="39"/>
  <c r="DY52" i="39"/>
  <c r="DX52" i="39"/>
  <c r="DW52" i="39"/>
  <c r="FR51" i="39"/>
  <c r="FP51" i="39"/>
  <c r="FO51" i="39"/>
  <c r="FN51" i="39"/>
  <c r="FM51" i="39"/>
  <c r="FL51" i="39"/>
  <c r="FK51" i="39"/>
  <c r="FJ51" i="39"/>
  <c r="FI51" i="39"/>
  <c r="FH51" i="39"/>
  <c r="FG51" i="39"/>
  <c r="FF51" i="39"/>
  <c r="FE51" i="39"/>
  <c r="FD51" i="39"/>
  <c r="FC51" i="39"/>
  <c r="FB51" i="39"/>
  <c r="FA51" i="39"/>
  <c r="EZ51" i="39"/>
  <c r="EY51" i="39"/>
  <c r="EX51" i="39"/>
  <c r="EW51" i="39"/>
  <c r="EV51" i="39"/>
  <c r="EU51" i="39"/>
  <c r="ES51" i="39"/>
  <c r="ER51" i="39"/>
  <c r="EQ51" i="39"/>
  <c r="EP51" i="39"/>
  <c r="EO51" i="39"/>
  <c r="EN51" i="39"/>
  <c r="EM51" i="39"/>
  <c r="EL51" i="39"/>
  <c r="EK51" i="39"/>
  <c r="EJ51" i="39"/>
  <c r="EI51" i="39"/>
  <c r="EH51" i="39"/>
  <c r="EG51" i="39"/>
  <c r="EF51" i="39"/>
  <c r="EE51" i="39"/>
  <c r="ED51" i="39"/>
  <c r="EC51" i="39"/>
  <c r="EB51" i="39"/>
  <c r="EA51" i="39"/>
  <c r="DZ51" i="39"/>
  <c r="DY51" i="39"/>
  <c r="DX51" i="39"/>
  <c r="DW51" i="39"/>
  <c r="FR50" i="39"/>
  <c r="FP50" i="39"/>
  <c r="FO50" i="39"/>
  <c r="FN50" i="39"/>
  <c r="FM50" i="39"/>
  <c r="FL50" i="39"/>
  <c r="FK50" i="39"/>
  <c r="FJ50" i="39"/>
  <c r="FI50" i="39"/>
  <c r="FH50" i="39"/>
  <c r="FG50" i="39"/>
  <c r="FF50" i="39"/>
  <c r="FE50" i="39"/>
  <c r="FD50" i="39"/>
  <c r="FC50" i="39"/>
  <c r="FB50" i="39"/>
  <c r="FA50" i="39"/>
  <c r="EZ50" i="39"/>
  <c r="EY50" i="39"/>
  <c r="EX50" i="39"/>
  <c r="EW50" i="39"/>
  <c r="EV50" i="39"/>
  <c r="EU50" i="39"/>
  <c r="ES50" i="39"/>
  <c r="ER50" i="39"/>
  <c r="EQ50" i="39"/>
  <c r="EP50" i="39"/>
  <c r="EO50" i="39"/>
  <c r="EN50" i="39"/>
  <c r="EM50" i="39"/>
  <c r="EL50" i="39"/>
  <c r="EK50" i="39"/>
  <c r="EJ50" i="39"/>
  <c r="EI50" i="39"/>
  <c r="EH50" i="39"/>
  <c r="EG50" i="39"/>
  <c r="EF50" i="39"/>
  <c r="EE50" i="39"/>
  <c r="ED50" i="39"/>
  <c r="EC50" i="39"/>
  <c r="EB50" i="39"/>
  <c r="EA50" i="39"/>
  <c r="DZ50" i="39"/>
  <c r="DY50" i="39"/>
  <c r="DX50" i="39"/>
  <c r="DW50" i="39"/>
  <c r="FR49" i="39"/>
  <c r="FP49" i="39"/>
  <c r="FO49" i="39"/>
  <c r="FN49" i="39"/>
  <c r="FM49" i="39"/>
  <c r="FL49" i="39"/>
  <c r="FK49" i="39"/>
  <c r="FJ49" i="39"/>
  <c r="FI49" i="39"/>
  <c r="FH49" i="39"/>
  <c r="FG49" i="39"/>
  <c r="FF49" i="39"/>
  <c r="FE49" i="39"/>
  <c r="FD49" i="39"/>
  <c r="FC49" i="39"/>
  <c r="FB49" i="39"/>
  <c r="FA49" i="39"/>
  <c r="EZ49" i="39"/>
  <c r="EY49" i="39"/>
  <c r="EX49" i="39"/>
  <c r="EW49" i="39"/>
  <c r="EV49" i="39"/>
  <c r="EU49" i="39"/>
  <c r="ES49" i="39"/>
  <c r="ER49" i="39"/>
  <c r="EQ49" i="39"/>
  <c r="EP49" i="39"/>
  <c r="EO49" i="39"/>
  <c r="EN49" i="39"/>
  <c r="EM49" i="39"/>
  <c r="EL49" i="39"/>
  <c r="EK49" i="39"/>
  <c r="EJ49" i="39"/>
  <c r="EI49" i="39"/>
  <c r="EH49" i="39"/>
  <c r="EG49" i="39"/>
  <c r="EF49" i="39"/>
  <c r="EE49" i="39"/>
  <c r="ED49" i="39"/>
  <c r="EC49" i="39"/>
  <c r="EB49" i="39"/>
  <c r="EA49" i="39"/>
  <c r="DZ49" i="39"/>
  <c r="DY49" i="39"/>
  <c r="DX49" i="39"/>
  <c r="DW49" i="39"/>
  <c r="FR48" i="39"/>
  <c r="FP48" i="39"/>
  <c r="FO48" i="39"/>
  <c r="FN48" i="39"/>
  <c r="FM48" i="39"/>
  <c r="FL48" i="39"/>
  <c r="FK48" i="39"/>
  <c r="FJ48" i="39"/>
  <c r="FI48" i="39"/>
  <c r="FH48" i="39"/>
  <c r="FG48" i="39"/>
  <c r="FF48" i="39"/>
  <c r="FE48" i="39"/>
  <c r="FD48" i="39"/>
  <c r="FC48" i="39"/>
  <c r="FB48" i="39"/>
  <c r="FA48" i="39"/>
  <c r="EZ48" i="39"/>
  <c r="EY48" i="39"/>
  <c r="EX48" i="39"/>
  <c r="EW48" i="39"/>
  <c r="EV48" i="39"/>
  <c r="EU48" i="39"/>
  <c r="ES48" i="39"/>
  <c r="ER48" i="39"/>
  <c r="EQ48" i="39"/>
  <c r="EP48" i="39"/>
  <c r="EO48" i="39"/>
  <c r="EN48" i="39"/>
  <c r="EM48" i="39"/>
  <c r="EL48" i="39"/>
  <c r="EK48" i="39"/>
  <c r="EJ48" i="39"/>
  <c r="EI48" i="39"/>
  <c r="EH48" i="39"/>
  <c r="EG48" i="39"/>
  <c r="EF48" i="39"/>
  <c r="EE48" i="39"/>
  <c r="ED48" i="39"/>
  <c r="EC48" i="39"/>
  <c r="EB48" i="39"/>
  <c r="EA48" i="39"/>
  <c r="DZ48" i="39"/>
  <c r="DY48" i="39"/>
  <c r="DX48" i="39"/>
  <c r="DW48" i="39"/>
  <c r="FR46" i="39"/>
  <c r="FP46" i="39"/>
  <c r="FO46" i="39"/>
  <c r="FN46" i="39"/>
  <c r="FM46" i="39"/>
  <c r="FL46" i="39"/>
  <c r="FK46" i="39"/>
  <c r="FJ46" i="39"/>
  <c r="FI46" i="39"/>
  <c r="FH46" i="39"/>
  <c r="FG46" i="39"/>
  <c r="FF46" i="39"/>
  <c r="FE46" i="39"/>
  <c r="FD46" i="39"/>
  <c r="FC46" i="39"/>
  <c r="FB46" i="39"/>
  <c r="FA46" i="39"/>
  <c r="EZ46" i="39"/>
  <c r="EY46" i="39"/>
  <c r="EX46" i="39"/>
  <c r="EW46" i="39"/>
  <c r="EV46" i="39"/>
  <c r="EU46" i="39"/>
  <c r="ES46" i="39"/>
  <c r="ER46" i="39"/>
  <c r="EQ46" i="39"/>
  <c r="EP46" i="39"/>
  <c r="EO46" i="39"/>
  <c r="EN46" i="39"/>
  <c r="EM46" i="39"/>
  <c r="EL46" i="39"/>
  <c r="EK46" i="39"/>
  <c r="EJ46" i="39"/>
  <c r="EI46" i="39"/>
  <c r="EH46" i="39"/>
  <c r="EG46" i="39"/>
  <c r="EF46" i="39"/>
  <c r="EE46" i="39"/>
  <c r="ED46" i="39"/>
  <c r="EC46" i="39"/>
  <c r="EB46" i="39"/>
  <c r="EA46" i="39"/>
  <c r="DZ46" i="39"/>
  <c r="DY46" i="39"/>
  <c r="DX46" i="39"/>
  <c r="DW46" i="39"/>
  <c r="FT45" i="39"/>
  <c r="FS45" i="39"/>
  <c r="FR45" i="39"/>
  <c r="FQ45" i="39"/>
  <c r="FP45" i="39"/>
  <c r="FO45" i="39"/>
  <c r="FN45" i="39"/>
  <c r="FM45" i="39"/>
  <c r="FL45" i="39"/>
  <c r="FK45" i="39"/>
  <c r="FJ45" i="39"/>
  <c r="FI45" i="39"/>
  <c r="FH45" i="39"/>
  <c r="FG45" i="39"/>
  <c r="FF45" i="39"/>
  <c r="FE45" i="39"/>
  <c r="FD45" i="39"/>
  <c r="FC45" i="39"/>
  <c r="FB45" i="39"/>
  <c r="FA45" i="39"/>
  <c r="EZ45" i="39"/>
  <c r="EY45" i="39"/>
  <c r="EX45" i="39"/>
  <c r="EW45" i="39"/>
  <c r="EV45" i="39"/>
  <c r="EU45" i="39"/>
  <c r="ES45" i="39"/>
  <c r="ER45" i="39"/>
  <c r="EQ45" i="39"/>
  <c r="EP45" i="39"/>
  <c r="EO45" i="39"/>
  <c r="EN45" i="39"/>
  <c r="EM45" i="39"/>
  <c r="EL45" i="39"/>
  <c r="EK45" i="39"/>
  <c r="EJ45" i="39"/>
  <c r="EI45" i="39"/>
  <c r="EH45" i="39"/>
  <c r="EG45" i="39"/>
  <c r="EF45" i="39"/>
  <c r="EE45" i="39"/>
  <c r="ED45" i="39"/>
  <c r="EC45" i="39"/>
  <c r="EB45" i="39"/>
  <c r="EA45" i="39"/>
  <c r="DZ45" i="39"/>
  <c r="DY45" i="39"/>
  <c r="DX45" i="39"/>
  <c r="DW45" i="39"/>
  <c r="FY44" i="39"/>
  <c r="FT44" i="39"/>
  <c r="FS44" i="39"/>
  <c r="FR44" i="39"/>
  <c r="FQ44" i="39"/>
  <c r="FP44" i="39"/>
  <c r="FO44" i="39"/>
  <c r="FN44" i="39"/>
  <c r="FM44" i="39"/>
  <c r="FL44" i="39"/>
  <c r="FK44" i="39"/>
  <c r="FJ44" i="39"/>
  <c r="FI44" i="39"/>
  <c r="FH44" i="39"/>
  <c r="FG44" i="39"/>
  <c r="FF44" i="39"/>
  <c r="FE44" i="39"/>
  <c r="FD44" i="39"/>
  <c r="FC44" i="39"/>
  <c r="FB44" i="39"/>
  <c r="FA44" i="39"/>
  <c r="EZ44" i="39"/>
  <c r="EY44" i="39"/>
  <c r="EX44" i="39"/>
  <c r="EW44" i="39"/>
  <c r="EV44" i="39"/>
  <c r="EU44" i="39"/>
  <c r="ES44" i="39"/>
  <c r="ER44" i="39"/>
  <c r="EQ44" i="39"/>
  <c r="EP44" i="39"/>
  <c r="EO44" i="39"/>
  <c r="EN44" i="39"/>
  <c r="EM44" i="39"/>
  <c r="EL44" i="39"/>
  <c r="EK44" i="39"/>
  <c r="EJ44" i="39"/>
  <c r="EI44" i="39"/>
  <c r="EH44" i="39"/>
  <c r="EG44" i="39"/>
  <c r="EF44" i="39"/>
  <c r="EE44" i="39"/>
  <c r="ED44" i="39"/>
  <c r="EC44" i="39"/>
  <c r="EB44" i="39"/>
  <c r="EA44" i="39"/>
  <c r="DZ44" i="39"/>
  <c r="DY44" i="39"/>
  <c r="DX44" i="39"/>
  <c r="DW44" i="39"/>
  <c r="FT39" i="39"/>
  <c r="FR39" i="39"/>
  <c r="FQ39" i="39"/>
  <c r="FP39" i="39"/>
  <c r="FO39" i="39"/>
  <c r="FN39" i="39"/>
  <c r="FM39" i="39"/>
  <c r="FL39" i="39"/>
  <c r="FK39" i="39"/>
  <c r="FJ39" i="39"/>
  <c r="FI39" i="39"/>
  <c r="FH39" i="39"/>
  <c r="FG39" i="39"/>
  <c r="FF39" i="39"/>
  <c r="FE39" i="39"/>
  <c r="FD39" i="39"/>
  <c r="FC39" i="39"/>
  <c r="FB39" i="39"/>
  <c r="FA39" i="39"/>
  <c r="EZ39" i="39"/>
  <c r="EY39" i="39"/>
  <c r="EX39" i="39"/>
  <c r="EW39" i="39"/>
  <c r="EV39" i="39"/>
  <c r="EU39" i="39"/>
  <c r="ES39" i="39"/>
  <c r="ER39" i="39"/>
  <c r="EQ39" i="39"/>
  <c r="EP39" i="39"/>
  <c r="EO39" i="39"/>
  <c r="EN39" i="39"/>
  <c r="EM39" i="39"/>
  <c r="EL39" i="39"/>
  <c r="EK39" i="39"/>
  <c r="EJ39" i="39"/>
  <c r="EI39" i="39"/>
  <c r="EH39" i="39"/>
  <c r="EG39" i="39"/>
  <c r="EF39" i="39"/>
  <c r="EE39" i="39"/>
  <c r="ED39" i="39"/>
  <c r="EC39" i="39"/>
  <c r="EB39" i="39"/>
  <c r="EA39" i="39"/>
  <c r="DZ39" i="39"/>
  <c r="DY39" i="39"/>
  <c r="DX39" i="39"/>
  <c r="DW39" i="39"/>
  <c r="FT37" i="39"/>
  <c r="FR37" i="39"/>
  <c r="FQ37" i="39"/>
  <c r="FP37" i="39"/>
  <c r="FO37" i="39"/>
  <c r="FN37" i="39"/>
  <c r="FM37" i="39"/>
  <c r="FL37" i="39"/>
  <c r="FK37" i="39"/>
  <c r="FJ37" i="39"/>
  <c r="FI37" i="39"/>
  <c r="FH37" i="39"/>
  <c r="FG37" i="39"/>
  <c r="FF37" i="39"/>
  <c r="FE37" i="39"/>
  <c r="FD37" i="39"/>
  <c r="FC37" i="39"/>
  <c r="FB37" i="39"/>
  <c r="FA37" i="39"/>
  <c r="EZ37" i="39"/>
  <c r="EY37" i="39"/>
  <c r="EX37" i="39"/>
  <c r="EW37" i="39"/>
  <c r="EV37" i="39"/>
  <c r="EU37" i="39"/>
  <c r="ES37" i="39"/>
  <c r="ER37" i="39"/>
  <c r="EQ37" i="39"/>
  <c r="EP37" i="39"/>
  <c r="EO37" i="39"/>
  <c r="EN37" i="39"/>
  <c r="EM37" i="39"/>
  <c r="EL37" i="39"/>
  <c r="EK37" i="39"/>
  <c r="EJ37" i="39"/>
  <c r="EI37" i="39"/>
  <c r="EH37" i="39"/>
  <c r="EG37" i="39"/>
  <c r="EF37" i="39"/>
  <c r="EE37" i="39"/>
  <c r="ED37" i="39"/>
  <c r="EC37" i="39"/>
  <c r="EB37" i="39"/>
  <c r="EA37" i="39"/>
  <c r="DZ37" i="39"/>
  <c r="DY37" i="39"/>
  <c r="DX37" i="39"/>
  <c r="DW37" i="39"/>
  <c r="FT35" i="39"/>
  <c r="FR35" i="39"/>
  <c r="FQ35" i="39"/>
  <c r="FP35" i="39"/>
  <c r="FO35" i="39"/>
  <c r="FN35" i="39"/>
  <c r="FM35" i="39"/>
  <c r="FL35" i="39"/>
  <c r="FK35" i="39"/>
  <c r="FJ35" i="39"/>
  <c r="FI35" i="39"/>
  <c r="FH35" i="39"/>
  <c r="FG35" i="39"/>
  <c r="FF35" i="39"/>
  <c r="FE35" i="39"/>
  <c r="FD35" i="39"/>
  <c r="FC35" i="39"/>
  <c r="FB35" i="39"/>
  <c r="FA35" i="39"/>
  <c r="EZ35" i="39"/>
  <c r="EY35" i="39"/>
  <c r="EX35" i="39"/>
  <c r="EW35" i="39"/>
  <c r="EV35" i="39"/>
  <c r="EU35" i="39"/>
  <c r="ES35" i="39"/>
  <c r="ER35" i="39"/>
  <c r="EQ35" i="39"/>
  <c r="EP35" i="39"/>
  <c r="EO35" i="39"/>
  <c r="EN35" i="39"/>
  <c r="EM35" i="39"/>
  <c r="EL35" i="39"/>
  <c r="EK35" i="39"/>
  <c r="EJ35" i="39"/>
  <c r="EI35" i="39"/>
  <c r="EH35" i="39"/>
  <c r="EG35" i="39"/>
  <c r="EF35" i="39"/>
  <c r="EE35" i="39"/>
  <c r="ED35" i="39"/>
  <c r="EC35" i="39"/>
  <c r="EB35" i="39"/>
  <c r="EA35" i="39"/>
  <c r="DZ35" i="39"/>
  <c r="DY35" i="39"/>
  <c r="DX35" i="39"/>
  <c r="DW35" i="39"/>
  <c r="FT33" i="39"/>
  <c r="FR33" i="39"/>
  <c r="FQ33" i="39"/>
  <c r="FP33" i="39"/>
  <c r="FO33" i="39"/>
  <c r="FN33" i="39"/>
  <c r="FM33" i="39"/>
  <c r="FL33" i="39"/>
  <c r="FK33" i="39"/>
  <c r="FJ33" i="39"/>
  <c r="FI33" i="39"/>
  <c r="FH33" i="39"/>
  <c r="FG33" i="39"/>
  <c r="FF33" i="39"/>
  <c r="FE33" i="39"/>
  <c r="FD33" i="39"/>
  <c r="FC33" i="39"/>
  <c r="FB33" i="39"/>
  <c r="FA33" i="39"/>
  <c r="EZ33" i="39"/>
  <c r="EY33" i="39"/>
  <c r="EX33" i="39"/>
  <c r="EW33" i="39"/>
  <c r="EV33" i="39"/>
  <c r="EU33" i="39"/>
  <c r="ES33" i="39"/>
  <c r="ER33" i="39"/>
  <c r="EQ33" i="39"/>
  <c r="EP33" i="39"/>
  <c r="EO33" i="39"/>
  <c r="EN33" i="39"/>
  <c r="EM33" i="39"/>
  <c r="EL33" i="39"/>
  <c r="EK33" i="39"/>
  <c r="EJ33" i="39"/>
  <c r="EI33" i="39"/>
  <c r="EH33" i="39"/>
  <c r="EG33" i="39"/>
  <c r="EF33" i="39"/>
  <c r="EE33" i="39"/>
  <c r="ED33" i="39"/>
  <c r="EC33" i="39"/>
  <c r="EB33" i="39"/>
  <c r="EA33" i="39"/>
  <c r="DZ33" i="39"/>
  <c r="DY33" i="39"/>
  <c r="DX33" i="39"/>
  <c r="DW33" i="39"/>
  <c r="FT31" i="39"/>
  <c r="FR31" i="39"/>
  <c r="FQ31" i="39"/>
  <c r="FP31" i="39"/>
  <c r="FO31" i="39"/>
  <c r="FN31" i="39"/>
  <c r="FM31" i="39"/>
  <c r="FL31" i="39"/>
  <c r="FK31" i="39"/>
  <c r="FJ31" i="39"/>
  <c r="FI31" i="39"/>
  <c r="FH31" i="39"/>
  <c r="FG31" i="39"/>
  <c r="FF31" i="39"/>
  <c r="FE31" i="39"/>
  <c r="FD31" i="39"/>
  <c r="FC31" i="39"/>
  <c r="FB31" i="39"/>
  <c r="FA31" i="39"/>
  <c r="EZ31" i="39"/>
  <c r="EY31" i="39"/>
  <c r="EX31" i="39"/>
  <c r="EW31" i="39"/>
  <c r="EV31" i="39"/>
  <c r="EU31" i="39"/>
  <c r="ES31" i="39"/>
  <c r="ER31" i="39"/>
  <c r="EQ31" i="39"/>
  <c r="EP31" i="39"/>
  <c r="EO31" i="39"/>
  <c r="EN31" i="39"/>
  <c r="EM31" i="39"/>
  <c r="EL31" i="39"/>
  <c r="EK31" i="39"/>
  <c r="EJ31" i="39"/>
  <c r="EI31" i="39"/>
  <c r="EH31" i="39"/>
  <c r="EG31" i="39"/>
  <c r="EF31" i="39"/>
  <c r="EE31" i="39"/>
  <c r="ED31" i="39"/>
  <c r="EC31" i="39"/>
  <c r="EB31" i="39"/>
  <c r="EA31" i="39"/>
  <c r="DZ31" i="39"/>
  <c r="DY31" i="39"/>
  <c r="DX31" i="39"/>
  <c r="DW31" i="39"/>
  <c r="FT30" i="39"/>
  <c r="FR30" i="39"/>
  <c r="FQ30" i="39"/>
  <c r="FP30" i="39"/>
  <c r="FO30" i="39"/>
  <c r="FN30" i="39"/>
  <c r="FM30" i="39"/>
  <c r="FL30" i="39"/>
  <c r="FK30" i="39"/>
  <c r="FJ30" i="39"/>
  <c r="FI30" i="39"/>
  <c r="FH30" i="39"/>
  <c r="FG30" i="39"/>
  <c r="FF30" i="39"/>
  <c r="FE30" i="39"/>
  <c r="FD30" i="39"/>
  <c r="FC30" i="39"/>
  <c r="FB30" i="39"/>
  <c r="FA30" i="39"/>
  <c r="EZ30" i="39"/>
  <c r="EY30" i="39"/>
  <c r="EX30" i="39"/>
  <c r="EW30" i="39"/>
  <c r="EV30" i="39"/>
  <c r="EU30" i="39"/>
  <c r="ES30" i="39"/>
  <c r="ER30" i="39"/>
  <c r="EQ30" i="39"/>
  <c r="EP30" i="39"/>
  <c r="EO30" i="39"/>
  <c r="EN30" i="39"/>
  <c r="EM30" i="39"/>
  <c r="EL30" i="39"/>
  <c r="EK30" i="39"/>
  <c r="EJ30" i="39"/>
  <c r="EI30" i="39"/>
  <c r="EH30" i="39"/>
  <c r="EG30" i="39"/>
  <c r="EF30" i="39"/>
  <c r="EE30" i="39"/>
  <c r="ED30" i="39"/>
  <c r="EC30" i="39"/>
  <c r="EB30" i="39"/>
  <c r="EA30" i="39"/>
  <c r="DZ30" i="39"/>
  <c r="DY30" i="39"/>
  <c r="DX30" i="39"/>
  <c r="DW30" i="39"/>
  <c r="FT28" i="39"/>
  <c r="FR28" i="39"/>
  <c r="FQ28" i="39"/>
  <c r="FP28" i="39"/>
  <c r="FO28" i="39"/>
  <c r="FN28" i="39"/>
  <c r="FM28" i="39"/>
  <c r="FL28" i="39"/>
  <c r="FK28" i="39"/>
  <c r="FJ28" i="39"/>
  <c r="FI28" i="39"/>
  <c r="FH28" i="39"/>
  <c r="FG28" i="39"/>
  <c r="FF28" i="39"/>
  <c r="FE28" i="39"/>
  <c r="FD28" i="39"/>
  <c r="FC28" i="39"/>
  <c r="FB28" i="39"/>
  <c r="FA28" i="39"/>
  <c r="EZ28" i="39"/>
  <c r="EY28" i="39"/>
  <c r="EX28" i="39"/>
  <c r="EW28" i="39"/>
  <c r="EV28" i="39"/>
  <c r="EU28" i="39"/>
  <c r="ES28" i="39"/>
  <c r="ER28" i="39"/>
  <c r="EQ28" i="39"/>
  <c r="EP28" i="39"/>
  <c r="EO28" i="39"/>
  <c r="EN28" i="39"/>
  <c r="EM28" i="39"/>
  <c r="EL28" i="39"/>
  <c r="EK28" i="39"/>
  <c r="EJ28" i="39"/>
  <c r="EI28" i="39"/>
  <c r="EH28" i="39"/>
  <c r="EG28" i="39"/>
  <c r="EF28" i="39"/>
  <c r="EE28" i="39"/>
  <c r="ED28" i="39"/>
  <c r="EC28" i="39"/>
  <c r="EB28" i="39"/>
  <c r="EA28" i="39"/>
  <c r="DZ28" i="39"/>
  <c r="DY28" i="39"/>
  <c r="DX28" i="39"/>
  <c r="DW28" i="39"/>
  <c r="FT26" i="39"/>
  <c r="FR26" i="39"/>
  <c r="FQ26" i="39"/>
  <c r="FP26" i="39"/>
  <c r="FO26" i="39"/>
  <c r="FN26" i="39"/>
  <c r="FM26" i="39"/>
  <c r="FL26" i="39"/>
  <c r="FK26" i="39"/>
  <c r="FJ26" i="39"/>
  <c r="FI26" i="39"/>
  <c r="FH26" i="39"/>
  <c r="FG26" i="39"/>
  <c r="FF26" i="39"/>
  <c r="FE26" i="39"/>
  <c r="FD26" i="39"/>
  <c r="FC26" i="39"/>
  <c r="FB26" i="39"/>
  <c r="FA26" i="39"/>
  <c r="EZ26" i="39"/>
  <c r="EY26" i="39"/>
  <c r="EX26" i="39"/>
  <c r="EW26" i="39"/>
  <c r="EV26" i="39"/>
  <c r="EU26" i="39"/>
  <c r="ES26" i="39"/>
  <c r="ER26" i="39"/>
  <c r="EQ26" i="39"/>
  <c r="EP26" i="39"/>
  <c r="EO26" i="39"/>
  <c r="EN26" i="39"/>
  <c r="EM26" i="39"/>
  <c r="EL26" i="39"/>
  <c r="EK26" i="39"/>
  <c r="EJ26" i="39"/>
  <c r="EI26" i="39"/>
  <c r="EH26" i="39"/>
  <c r="EG26" i="39"/>
  <c r="EF26" i="39"/>
  <c r="EE26" i="39"/>
  <c r="ED26" i="39"/>
  <c r="EC26" i="39"/>
  <c r="EB26" i="39"/>
  <c r="EA26" i="39"/>
  <c r="DZ26" i="39"/>
  <c r="DY26" i="39"/>
  <c r="DX26" i="39"/>
  <c r="DW26" i="39"/>
  <c r="FT24" i="39"/>
  <c r="FR24" i="39"/>
  <c r="FQ24" i="39"/>
  <c r="FP24" i="39"/>
  <c r="FO24" i="39"/>
  <c r="FN24" i="39"/>
  <c r="FM24" i="39"/>
  <c r="FL24" i="39"/>
  <c r="FK24" i="39"/>
  <c r="FJ24" i="39"/>
  <c r="FI24" i="39"/>
  <c r="FH24" i="39"/>
  <c r="FG24" i="39"/>
  <c r="FF24" i="39"/>
  <c r="FE24" i="39"/>
  <c r="FD24" i="39"/>
  <c r="FC24" i="39"/>
  <c r="FB24" i="39"/>
  <c r="FA24" i="39"/>
  <c r="EZ24" i="39"/>
  <c r="EY24" i="39"/>
  <c r="EX24" i="39"/>
  <c r="EW24" i="39"/>
  <c r="EV24" i="39"/>
  <c r="EU24" i="39"/>
  <c r="ES24" i="39"/>
  <c r="ER24" i="39"/>
  <c r="EQ24" i="39"/>
  <c r="EP24" i="39"/>
  <c r="EO24" i="39"/>
  <c r="EN24" i="39"/>
  <c r="EM24" i="39"/>
  <c r="EL24" i="39"/>
  <c r="EK24" i="39"/>
  <c r="EJ24" i="39"/>
  <c r="EI24" i="39"/>
  <c r="EH24" i="39"/>
  <c r="EG24" i="39"/>
  <c r="EF24" i="39"/>
  <c r="EE24" i="39"/>
  <c r="ED24" i="39"/>
  <c r="EC24" i="39"/>
  <c r="EB24" i="39"/>
  <c r="EA24" i="39"/>
  <c r="DZ24" i="39"/>
  <c r="DY24" i="39"/>
  <c r="DX24" i="39"/>
  <c r="DW24" i="39"/>
  <c r="FT22" i="39"/>
  <c r="FR22" i="39"/>
  <c r="FQ22" i="39"/>
  <c r="FP22" i="39"/>
  <c r="FO22" i="39"/>
  <c r="FN22" i="39"/>
  <c r="FM22" i="39"/>
  <c r="FL22" i="39"/>
  <c r="FK22" i="39"/>
  <c r="FJ22" i="39"/>
  <c r="FI22" i="39"/>
  <c r="FH22" i="39"/>
  <c r="FG22" i="39"/>
  <c r="FF22" i="39"/>
  <c r="FE22" i="39"/>
  <c r="FD22" i="39"/>
  <c r="FC22" i="39"/>
  <c r="FB22" i="39"/>
  <c r="FA22" i="39"/>
  <c r="EZ22" i="39"/>
  <c r="EY22" i="39"/>
  <c r="EX22" i="39"/>
  <c r="EW22" i="39"/>
  <c r="EV22" i="39"/>
  <c r="EU22" i="39"/>
  <c r="ES22" i="39"/>
  <c r="ER22" i="39"/>
  <c r="EQ22" i="39"/>
  <c r="EP22" i="39"/>
  <c r="EO22" i="39"/>
  <c r="EN22" i="39"/>
  <c r="EM22" i="39"/>
  <c r="EL22" i="39"/>
  <c r="EK22" i="39"/>
  <c r="EJ22" i="39"/>
  <c r="EI22" i="39"/>
  <c r="EH22" i="39"/>
  <c r="EG22" i="39"/>
  <c r="EF22" i="39"/>
  <c r="EE22" i="39"/>
  <c r="ED22" i="39"/>
  <c r="EC22" i="39"/>
  <c r="EB22" i="39"/>
  <c r="EA22" i="39"/>
  <c r="DZ22" i="39"/>
  <c r="DY22" i="39"/>
  <c r="DX22" i="39"/>
  <c r="DW22" i="39"/>
  <c r="FT20" i="39"/>
  <c r="FR20" i="39"/>
  <c r="FQ20" i="39"/>
  <c r="FP20" i="39"/>
  <c r="FO20" i="39"/>
  <c r="FN20" i="39"/>
  <c r="FM20" i="39"/>
  <c r="FL20" i="39"/>
  <c r="FK20" i="39"/>
  <c r="FJ20" i="39"/>
  <c r="FI20" i="39"/>
  <c r="FH20" i="39"/>
  <c r="FG20" i="39"/>
  <c r="FF20" i="39"/>
  <c r="FE20" i="39"/>
  <c r="FD20" i="39"/>
  <c r="FC20" i="39"/>
  <c r="FB20" i="39"/>
  <c r="FA20" i="39"/>
  <c r="EZ20" i="39"/>
  <c r="EY20" i="39"/>
  <c r="EX20" i="39"/>
  <c r="EW20" i="39"/>
  <c r="EV20" i="39"/>
  <c r="EU20" i="39"/>
  <c r="ES20" i="39"/>
  <c r="ER20" i="39"/>
  <c r="EQ20" i="39"/>
  <c r="EP20" i="39"/>
  <c r="EO20" i="39"/>
  <c r="EN20" i="39"/>
  <c r="EM20" i="39"/>
  <c r="EL20" i="39"/>
  <c r="EK20" i="39"/>
  <c r="EJ20" i="39"/>
  <c r="EI20" i="39"/>
  <c r="EH20" i="39"/>
  <c r="EG20" i="39"/>
  <c r="EF20" i="39"/>
  <c r="EE20" i="39"/>
  <c r="ED20" i="39"/>
  <c r="EC20" i="39"/>
  <c r="EB20" i="39"/>
  <c r="EA20" i="39"/>
  <c r="DZ20" i="39"/>
  <c r="DY20" i="39"/>
  <c r="DX20" i="39"/>
  <c r="DW20" i="39"/>
  <c r="FT18" i="39"/>
  <c r="FR18" i="39"/>
  <c r="FQ18" i="39"/>
  <c r="FP18" i="39"/>
  <c r="FO18" i="39"/>
  <c r="FN18" i="39"/>
  <c r="FM18" i="39"/>
  <c r="FL18" i="39"/>
  <c r="FK18" i="39"/>
  <c r="FJ18" i="39"/>
  <c r="FI18" i="39"/>
  <c r="FH18" i="39"/>
  <c r="FG18" i="39"/>
  <c r="FF18" i="39"/>
  <c r="FE18" i="39"/>
  <c r="FD18" i="39"/>
  <c r="FC18" i="39"/>
  <c r="FB18" i="39"/>
  <c r="FA18" i="39"/>
  <c r="EZ18" i="39"/>
  <c r="EY18" i="39"/>
  <c r="EX18" i="39"/>
  <c r="EW18" i="39"/>
  <c r="EV18" i="39"/>
  <c r="EU18" i="39"/>
  <c r="ES18" i="39"/>
  <c r="ER18" i="39"/>
  <c r="EQ18" i="39"/>
  <c r="EP18" i="39"/>
  <c r="EO18" i="39"/>
  <c r="EN18" i="39"/>
  <c r="EM18" i="39"/>
  <c r="EL18" i="39"/>
  <c r="EK18" i="39"/>
  <c r="EJ18" i="39"/>
  <c r="EI18" i="39"/>
  <c r="EH18" i="39"/>
  <c r="EG18" i="39"/>
  <c r="EF18" i="39"/>
  <c r="EE18" i="39"/>
  <c r="ED18" i="39"/>
  <c r="EC18" i="39"/>
  <c r="EB18" i="39"/>
  <c r="EA18" i="39"/>
  <c r="DZ18" i="39"/>
  <c r="DY18" i="39"/>
  <c r="DX18" i="39"/>
  <c r="DW18" i="39"/>
  <c r="FT29" i="39"/>
  <c r="FR29" i="39"/>
  <c r="FQ29" i="39"/>
  <c r="FP29" i="39"/>
  <c r="FO29" i="39"/>
  <c r="FN29" i="39"/>
  <c r="FM29" i="39"/>
  <c r="FL29" i="39"/>
  <c r="FK29" i="39"/>
  <c r="FJ29" i="39"/>
  <c r="FI29" i="39"/>
  <c r="FH29" i="39"/>
  <c r="FG29" i="39"/>
  <c r="FF29" i="39"/>
  <c r="FE29" i="39"/>
  <c r="FD29" i="39"/>
  <c r="FC29" i="39"/>
  <c r="FB29" i="39"/>
  <c r="FA29" i="39"/>
  <c r="EZ29" i="39"/>
  <c r="EY29" i="39"/>
  <c r="EX29" i="39"/>
  <c r="EW29" i="39"/>
  <c r="EV29" i="39"/>
  <c r="EU29" i="39"/>
  <c r="ES29" i="39"/>
  <c r="ER29" i="39"/>
  <c r="EQ29" i="39"/>
  <c r="EP29" i="39"/>
  <c r="EO29" i="39"/>
  <c r="EN29" i="39"/>
  <c r="EM29" i="39"/>
  <c r="EL29" i="39"/>
  <c r="EK29" i="39"/>
  <c r="EJ29" i="39"/>
  <c r="EI29" i="39"/>
  <c r="EH29" i="39"/>
  <c r="EG29" i="39"/>
  <c r="EF29" i="39"/>
  <c r="EE29" i="39"/>
  <c r="ED29" i="39"/>
  <c r="EC29" i="39"/>
  <c r="EB29" i="39"/>
  <c r="EA29" i="39"/>
  <c r="DZ29" i="39"/>
  <c r="DY29" i="39"/>
  <c r="DX29" i="39"/>
  <c r="DW29" i="39"/>
  <c r="FT27" i="39"/>
  <c r="FR27" i="39"/>
  <c r="FQ27" i="39"/>
  <c r="FP27" i="39"/>
  <c r="FO27" i="39"/>
  <c r="FN27" i="39"/>
  <c r="FM27" i="39"/>
  <c r="FL27" i="39"/>
  <c r="FK27" i="39"/>
  <c r="FJ27" i="39"/>
  <c r="FI27" i="39"/>
  <c r="FH27" i="39"/>
  <c r="FG27" i="39"/>
  <c r="FF27" i="39"/>
  <c r="FE27" i="39"/>
  <c r="FD27" i="39"/>
  <c r="FC27" i="39"/>
  <c r="FB27" i="39"/>
  <c r="FA27" i="39"/>
  <c r="EZ27" i="39"/>
  <c r="EY27" i="39"/>
  <c r="EX27" i="39"/>
  <c r="EW27" i="39"/>
  <c r="EV27" i="39"/>
  <c r="EU27" i="39"/>
  <c r="ES27" i="39"/>
  <c r="ER27" i="39"/>
  <c r="EQ27" i="39"/>
  <c r="EP27" i="39"/>
  <c r="EO27" i="39"/>
  <c r="EN27" i="39"/>
  <c r="EM27" i="39"/>
  <c r="EL27" i="39"/>
  <c r="EK27" i="39"/>
  <c r="EJ27" i="39"/>
  <c r="EI27" i="39"/>
  <c r="EH27" i="39"/>
  <c r="EG27" i="39"/>
  <c r="EF27" i="39"/>
  <c r="EE27" i="39"/>
  <c r="ED27" i="39"/>
  <c r="EC27" i="39"/>
  <c r="EB27" i="39"/>
  <c r="EA27" i="39"/>
  <c r="DZ27" i="39"/>
  <c r="DY27" i="39"/>
  <c r="DX27" i="39"/>
  <c r="DW27" i="39"/>
  <c r="FT25" i="39"/>
  <c r="FR25" i="39"/>
  <c r="FQ25" i="39"/>
  <c r="FP25" i="39"/>
  <c r="FO25" i="39"/>
  <c r="FN25" i="39"/>
  <c r="FM25" i="39"/>
  <c r="FL25" i="39"/>
  <c r="FK25" i="39"/>
  <c r="FJ25" i="39"/>
  <c r="FI25" i="39"/>
  <c r="FH25" i="39"/>
  <c r="FG25" i="39"/>
  <c r="FF25" i="39"/>
  <c r="FE25" i="39"/>
  <c r="FD25" i="39"/>
  <c r="FC25" i="39"/>
  <c r="FB25" i="39"/>
  <c r="FA25" i="39"/>
  <c r="EZ25" i="39"/>
  <c r="EY25" i="39"/>
  <c r="EX25" i="39"/>
  <c r="EW25" i="39"/>
  <c r="EV25" i="39"/>
  <c r="EU25" i="39"/>
  <c r="ES25" i="39"/>
  <c r="ER25" i="39"/>
  <c r="EQ25" i="39"/>
  <c r="EP25" i="39"/>
  <c r="EO25" i="39"/>
  <c r="EN25" i="39"/>
  <c r="EM25" i="39"/>
  <c r="EL25" i="39"/>
  <c r="EK25" i="39"/>
  <c r="EJ25" i="39"/>
  <c r="EI25" i="39"/>
  <c r="EH25" i="39"/>
  <c r="EG25" i="39"/>
  <c r="EF25" i="39"/>
  <c r="EE25" i="39"/>
  <c r="ED25" i="39"/>
  <c r="EC25" i="39"/>
  <c r="EB25" i="39"/>
  <c r="EA25" i="39"/>
  <c r="DZ25" i="39"/>
  <c r="DY25" i="39"/>
  <c r="DX25" i="39"/>
  <c r="DW25" i="39"/>
  <c r="FT23" i="39"/>
  <c r="FR23" i="39"/>
  <c r="FQ23" i="39"/>
  <c r="FP23" i="39"/>
  <c r="FO23" i="39"/>
  <c r="FN23" i="39"/>
  <c r="FM23" i="39"/>
  <c r="FL23" i="39"/>
  <c r="FK23" i="39"/>
  <c r="FJ23" i="39"/>
  <c r="FI23" i="39"/>
  <c r="FH23" i="39"/>
  <c r="FG23" i="39"/>
  <c r="FF23" i="39"/>
  <c r="FE23" i="39"/>
  <c r="FD23" i="39"/>
  <c r="FC23" i="39"/>
  <c r="FB23" i="39"/>
  <c r="FA23" i="39"/>
  <c r="EZ23" i="39"/>
  <c r="EY23" i="39"/>
  <c r="EX23" i="39"/>
  <c r="EW23" i="39"/>
  <c r="EV23" i="39"/>
  <c r="EU23" i="39"/>
  <c r="ES23" i="39"/>
  <c r="ER23" i="39"/>
  <c r="EQ23" i="39"/>
  <c r="EP23" i="39"/>
  <c r="EO23" i="39"/>
  <c r="EN23" i="39"/>
  <c r="EM23" i="39"/>
  <c r="EL23" i="39"/>
  <c r="EK23" i="39"/>
  <c r="EJ23" i="39"/>
  <c r="EI23" i="39"/>
  <c r="EH23" i="39"/>
  <c r="EG23" i="39"/>
  <c r="EF23" i="39"/>
  <c r="EE23" i="39"/>
  <c r="ED23" i="39"/>
  <c r="EC23" i="39"/>
  <c r="EB23" i="39"/>
  <c r="EA23" i="39"/>
  <c r="DZ23" i="39"/>
  <c r="DY23" i="39"/>
  <c r="DX23" i="39"/>
  <c r="DW23" i="39"/>
  <c r="FT21" i="39"/>
  <c r="FR21" i="39"/>
  <c r="FQ21" i="39"/>
  <c r="FP21" i="39"/>
  <c r="FO21" i="39"/>
  <c r="FN21" i="39"/>
  <c r="FM21" i="39"/>
  <c r="FL21" i="39"/>
  <c r="FK21" i="39"/>
  <c r="FJ21" i="39"/>
  <c r="FI21" i="39"/>
  <c r="FH21" i="39"/>
  <c r="FG21" i="39"/>
  <c r="FF21" i="39"/>
  <c r="FE21" i="39"/>
  <c r="FD21" i="39"/>
  <c r="FC21" i="39"/>
  <c r="FB21" i="39"/>
  <c r="FA21" i="39"/>
  <c r="EZ21" i="39"/>
  <c r="EY21" i="39"/>
  <c r="EX21" i="39"/>
  <c r="EW21" i="39"/>
  <c r="EV21" i="39"/>
  <c r="EU21" i="39"/>
  <c r="ES21" i="39"/>
  <c r="ER21" i="39"/>
  <c r="EQ21" i="39"/>
  <c r="EP21" i="39"/>
  <c r="EO21" i="39"/>
  <c r="EN21" i="39"/>
  <c r="EM21" i="39"/>
  <c r="EL21" i="39"/>
  <c r="EK21" i="39"/>
  <c r="EJ21" i="39"/>
  <c r="EI21" i="39"/>
  <c r="EH21" i="39"/>
  <c r="EG21" i="39"/>
  <c r="EF21" i="39"/>
  <c r="EE21" i="39"/>
  <c r="ED21" i="39"/>
  <c r="EC21" i="39"/>
  <c r="EB21" i="39"/>
  <c r="EA21" i="39"/>
  <c r="DZ21" i="39"/>
  <c r="DY21" i="39"/>
  <c r="DX21" i="39"/>
  <c r="DW21" i="39"/>
  <c r="FT19" i="39"/>
  <c r="FR19" i="39"/>
  <c r="FQ19" i="39"/>
  <c r="FP19" i="39"/>
  <c r="FO19" i="39"/>
  <c r="FN19" i="39"/>
  <c r="FM19" i="39"/>
  <c r="FL19" i="39"/>
  <c r="FK19" i="39"/>
  <c r="FJ19" i="39"/>
  <c r="FI19" i="39"/>
  <c r="FH19" i="39"/>
  <c r="FG19" i="39"/>
  <c r="FF19" i="39"/>
  <c r="FE19" i="39"/>
  <c r="FD19" i="39"/>
  <c r="FC19" i="39"/>
  <c r="FB19" i="39"/>
  <c r="FA19" i="39"/>
  <c r="EZ19" i="39"/>
  <c r="EY19" i="39"/>
  <c r="EX19" i="39"/>
  <c r="EW19" i="39"/>
  <c r="EV19" i="39"/>
  <c r="EU19" i="39"/>
  <c r="ES19" i="39"/>
  <c r="ER19" i="39"/>
  <c r="EQ19" i="39"/>
  <c r="EP19" i="39"/>
  <c r="EO19" i="39"/>
  <c r="EN19" i="39"/>
  <c r="EM19" i="39"/>
  <c r="EL19" i="39"/>
  <c r="EK19" i="39"/>
  <c r="EJ19" i="39"/>
  <c r="EI19" i="39"/>
  <c r="EH19" i="39"/>
  <c r="EG19" i="39"/>
  <c r="EF19" i="39"/>
  <c r="EE19" i="39"/>
  <c r="ED19" i="39"/>
  <c r="EC19" i="39"/>
  <c r="EB19" i="39"/>
  <c r="EA19" i="39"/>
  <c r="DZ19" i="39"/>
  <c r="DY19" i="39"/>
  <c r="DX19" i="39"/>
  <c r="DW19" i="39"/>
  <c r="FT17" i="39"/>
  <c r="FR17" i="39"/>
  <c r="FQ17" i="39"/>
  <c r="FP17" i="39"/>
  <c r="FO17" i="39"/>
  <c r="FN17" i="39"/>
  <c r="FM17" i="39"/>
  <c r="FL17" i="39"/>
  <c r="FK17" i="39"/>
  <c r="FJ17" i="39"/>
  <c r="FI17" i="39"/>
  <c r="FH17" i="39"/>
  <c r="FG17" i="39"/>
  <c r="FF17" i="39"/>
  <c r="FE17" i="39"/>
  <c r="FD17" i="39"/>
  <c r="FC17" i="39"/>
  <c r="FB17" i="39"/>
  <c r="FA17" i="39"/>
  <c r="EZ17" i="39"/>
  <c r="EY17" i="39"/>
  <c r="EX17" i="39"/>
  <c r="EW17" i="39"/>
  <c r="EV17" i="39"/>
  <c r="EU17" i="39"/>
  <c r="ES17" i="39"/>
  <c r="ER17" i="39"/>
  <c r="EQ17" i="39"/>
  <c r="EP17" i="39"/>
  <c r="EO17" i="39"/>
  <c r="EN17" i="39"/>
  <c r="EM17" i="39"/>
  <c r="EL17" i="39"/>
  <c r="EK17" i="39"/>
  <c r="EJ17" i="39"/>
  <c r="EI17" i="39"/>
  <c r="EH17" i="39"/>
  <c r="EG17" i="39"/>
  <c r="EF17" i="39"/>
  <c r="EE17" i="39"/>
  <c r="ED17" i="39"/>
  <c r="EC17" i="39"/>
  <c r="EB17" i="39"/>
  <c r="EA17" i="39"/>
  <c r="DZ17" i="39"/>
  <c r="DY17" i="39"/>
  <c r="DX17" i="39"/>
  <c r="DW17" i="39"/>
  <c r="FT16" i="39"/>
  <c r="FS16" i="39"/>
  <c r="FR16" i="39"/>
  <c r="FQ16" i="39"/>
  <c r="FP16" i="39"/>
  <c r="FO16" i="39"/>
  <c r="FN16" i="39"/>
  <c r="FM16" i="39"/>
  <c r="FL16" i="39"/>
  <c r="FK16" i="39"/>
  <c r="FJ16" i="39"/>
  <c r="FI16" i="39"/>
  <c r="FH16" i="39"/>
  <c r="FG16" i="39"/>
  <c r="FF16" i="39"/>
  <c r="FE16" i="39"/>
  <c r="FD16" i="39"/>
  <c r="FC16" i="39"/>
  <c r="FB16" i="39"/>
  <c r="FA16" i="39"/>
  <c r="EZ16" i="39"/>
  <c r="EY16" i="39"/>
  <c r="EX16" i="39"/>
  <c r="EW16" i="39"/>
  <c r="EV16" i="39"/>
  <c r="EU16" i="39"/>
  <c r="ES16" i="39"/>
  <c r="ER16" i="39"/>
  <c r="EQ16" i="39"/>
  <c r="EP16" i="39"/>
  <c r="EO16" i="39"/>
  <c r="EN16" i="39"/>
  <c r="EM16" i="39"/>
  <c r="EL16" i="39"/>
  <c r="EK16" i="39"/>
  <c r="EJ16" i="39"/>
  <c r="EI16" i="39"/>
  <c r="EH16" i="39"/>
  <c r="EG16" i="39"/>
  <c r="EF16" i="39"/>
  <c r="EE16" i="39"/>
  <c r="ED16" i="39"/>
  <c r="EC16" i="39"/>
  <c r="EB16" i="39"/>
  <c r="EA16" i="39"/>
  <c r="DZ16" i="39"/>
  <c r="DY16" i="39"/>
  <c r="DX16" i="39"/>
  <c r="DW16" i="39"/>
  <c r="FR15" i="39"/>
  <c r="FP15" i="39"/>
  <c r="FO15" i="39"/>
  <c r="FN15" i="39"/>
  <c r="FM15" i="39"/>
  <c r="FL15" i="39"/>
  <c r="FK15" i="39"/>
  <c r="FJ15" i="39"/>
  <c r="FI15" i="39"/>
  <c r="FH15" i="39"/>
  <c r="FG15" i="39"/>
  <c r="FF15" i="39"/>
  <c r="FE15" i="39"/>
  <c r="FD15" i="39"/>
  <c r="FC15" i="39"/>
  <c r="FB15" i="39"/>
  <c r="FA15" i="39"/>
  <c r="EZ15" i="39"/>
  <c r="EY15" i="39"/>
  <c r="EX15" i="39"/>
  <c r="EW15" i="39"/>
  <c r="EV15" i="39"/>
  <c r="EU15" i="39"/>
  <c r="ES15" i="39"/>
  <c r="ER15" i="39"/>
  <c r="EQ15" i="39"/>
  <c r="EP15" i="39"/>
  <c r="EO15" i="39"/>
  <c r="EN15" i="39"/>
  <c r="EM15" i="39"/>
  <c r="EL15" i="39"/>
  <c r="EK15" i="39"/>
  <c r="EJ15" i="39"/>
  <c r="EI15" i="39"/>
  <c r="EH15" i="39"/>
  <c r="EF15" i="39"/>
  <c r="EE15" i="39"/>
  <c r="ED15" i="39"/>
  <c r="EC15" i="39"/>
  <c r="EB15" i="39"/>
  <c r="EA15" i="39"/>
  <c r="DZ15" i="39"/>
  <c r="DY15" i="39"/>
  <c r="DX15" i="39"/>
  <c r="DW15" i="39"/>
  <c r="FR14" i="39"/>
  <c r="FP14" i="39"/>
  <c r="FO14" i="39"/>
  <c r="FN14" i="39"/>
  <c r="FM14" i="39"/>
  <c r="FL14" i="39"/>
  <c r="FK14" i="39"/>
  <c r="FJ14" i="39"/>
  <c r="FI14" i="39"/>
  <c r="FH14" i="39"/>
  <c r="FG14" i="39"/>
  <c r="FF14" i="39"/>
  <c r="FE14" i="39"/>
  <c r="FD14" i="39"/>
  <c r="FC14" i="39"/>
  <c r="FB14" i="39"/>
  <c r="FA14" i="39"/>
  <c r="EZ14" i="39"/>
  <c r="EY14" i="39"/>
  <c r="EX14" i="39"/>
  <c r="EW14" i="39"/>
  <c r="EV14" i="39"/>
  <c r="EU14" i="39"/>
  <c r="ES14" i="39"/>
  <c r="ER14" i="39"/>
  <c r="EQ14" i="39"/>
  <c r="EP14" i="39"/>
  <c r="EO14" i="39"/>
  <c r="EN14" i="39"/>
  <c r="EM14" i="39"/>
  <c r="EL14" i="39"/>
  <c r="EK14" i="39"/>
  <c r="EJ14" i="39"/>
  <c r="EI14" i="39"/>
  <c r="EH14" i="39"/>
  <c r="EF14" i="39"/>
  <c r="EE14" i="39"/>
  <c r="ED14" i="39"/>
  <c r="EC14" i="39"/>
  <c r="EB14" i="39"/>
  <c r="EA14" i="39"/>
  <c r="DZ14" i="39"/>
  <c r="DY14" i="39"/>
  <c r="DX14" i="39"/>
  <c r="DW14" i="39"/>
  <c r="FR13" i="39"/>
  <c r="FP13" i="39"/>
  <c r="FO13" i="39"/>
  <c r="FN13" i="39"/>
  <c r="FM13" i="39"/>
  <c r="FL13" i="39"/>
  <c r="FK13" i="39"/>
  <c r="FJ13" i="39"/>
  <c r="FI13" i="39"/>
  <c r="FH13" i="39"/>
  <c r="FG13" i="39"/>
  <c r="FF13" i="39"/>
  <c r="FE13" i="39"/>
  <c r="FD13" i="39"/>
  <c r="FC13" i="39"/>
  <c r="FB13" i="39"/>
  <c r="FA13" i="39"/>
  <c r="EZ13" i="39"/>
  <c r="EY13" i="39"/>
  <c r="EX13" i="39"/>
  <c r="EW13" i="39"/>
  <c r="EV13" i="39"/>
  <c r="EU13" i="39"/>
  <c r="ES13" i="39"/>
  <c r="ER13" i="39"/>
  <c r="EQ13" i="39"/>
  <c r="EP13" i="39"/>
  <c r="EO13" i="39"/>
  <c r="EN13" i="39"/>
  <c r="EM13" i="39"/>
  <c r="EL13" i="39"/>
  <c r="EK13" i="39"/>
  <c r="EJ13" i="39"/>
  <c r="EI13" i="39"/>
  <c r="EH13" i="39"/>
  <c r="EF13" i="39"/>
  <c r="EE13" i="39"/>
  <c r="ED13" i="39"/>
  <c r="EC13" i="39"/>
  <c r="EB13" i="39"/>
  <c r="EA13" i="39"/>
  <c r="DZ13" i="39"/>
  <c r="DY13" i="39"/>
  <c r="DX13" i="39"/>
  <c r="DW13" i="39"/>
  <c r="FR12" i="39"/>
  <c r="FP12" i="39"/>
  <c r="FO12" i="39"/>
  <c r="FN12" i="39"/>
  <c r="FM12" i="39"/>
  <c r="FL12" i="39"/>
  <c r="FK12" i="39"/>
  <c r="FJ12" i="39"/>
  <c r="FI12" i="39"/>
  <c r="FH12" i="39"/>
  <c r="FG12" i="39"/>
  <c r="FF12" i="39"/>
  <c r="FE12" i="39"/>
  <c r="FD12" i="39"/>
  <c r="FC12" i="39"/>
  <c r="FB12" i="39"/>
  <c r="FA12" i="39"/>
  <c r="EZ12" i="39"/>
  <c r="EY12" i="39"/>
  <c r="EX12" i="39"/>
  <c r="EW12" i="39"/>
  <c r="EV12" i="39"/>
  <c r="EU12" i="39"/>
  <c r="ES12" i="39"/>
  <c r="ER12" i="39"/>
  <c r="EQ12" i="39"/>
  <c r="EP12" i="39"/>
  <c r="EO12" i="39"/>
  <c r="EN12" i="39"/>
  <c r="EM12" i="39"/>
  <c r="EL12" i="39"/>
  <c r="EK12" i="39"/>
  <c r="EJ12" i="39"/>
  <c r="EI12" i="39"/>
  <c r="EH12" i="39"/>
  <c r="EF12" i="39"/>
  <c r="EE12" i="39"/>
  <c r="ED12" i="39"/>
  <c r="EC12" i="39"/>
  <c r="EB12" i="39"/>
  <c r="EA12" i="39"/>
  <c r="DZ12" i="39"/>
  <c r="DY12" i="39"/>
  <c r="DX12" i="39"/>
  <c r="DW12" i="39"/>
  <c r="FR10" i="39"/>
  <c r="FP10" i="39"/>
  <c r="FO10" i="39"/>
  <c r="FN10" i="39"/>
  <c r="FM10" i="39"/>
  <c r="FL10" i="39"/>
  <c r="FK10" i="39"/>
  <c r="FJ10" i="39"/>
  <c r="FI10" i="39"/>
  <c r="FH10" i="39"/>
  <c r="FG10" i="39"/>
  <c r="FF10" i="39"/>
  <c r="FE10" i="39"/>
  <c r="FD10" i="39"/>
  <c r="FC10" i="39"/>
  <c r="FB10" i="39"/>
  <c r="FA10" i="39"/>
  <c r="EZ10" i="39"/>
  <c r="EY10" i="39"/>
  <c r="EX10" i="39"/>
  <c r="EW10" i="39"/>
  <c r="EV10" i="39"/>
  <c r="EU10" i="39"/>
  <c r="ES10" i="39"/>
  <c r="ER10" i="39"/>
  <c r="EQ10" i="39"/>
  <c r="EP10" i="39"/>
  <c r="EO10" i="39"/>
  <c r="EN10" i="39"/>
  <c r="EM10" i="39"/>
  <c r="EL10" i="39"/>
  <c r="EK10" i="39"/>
  <c r="EJ10" i="39"/>
  <c r="EI10" i="39"/>
  <c r="EH10" i="39"/>
  <c r="EF10" i="39"/>
  <c r="EE10" i="39"/>
  <c r="ED10" i="39"/>
  <c r="EC10" i="39"/>
  <c r="EB10" i="39"/>
  <c r="EA10" i="39"/>
  <c r="DZ10" i="39"/>
  <c r="DY10" i="39"/>
  <c r="DX10" i="39"/>
  <c r="DW10" i="39"/>
  <c r="FR8" i="39"/>
  <c r="FP8" i="39"/>
  <c r="FO8" i="39"/>
  <c r="FN8" i="39"/>
  <c r="FM8" i="39"/>
  <c r="FL8" i="39"/>
  <c r="FK8" i="39"/>
  <c r="FJ8" i="39"/>
  <c r="FI8" i="39"/>
  <c r="FH8" i="39"/>
  <c r="FG8" i="39"/>
  <c r="FF8" i="39"/>
  <c r="FE8" i="39"/>
  <c r="FD8" i="39"/>
  <c r="FC8" i="39"/>
  <c r="FB8" i="39"/>
  <c r="FA8" i="39"/>
  <c r="EZ8" i="39"/>
  <c r="EY8" i="39"/>
  <c r="EX8" i="39"/>
  <c r="EW8" i="39"/>
  <c r="EV8" i="39"/>
  <c r="EU8" i="39"/>
  <c r="ES8" i="39"/>
  <c r="ER8" i="39"/>
  <c r="EQ8" i="39"/>
  <c r="EP8" i="39"/>
  <c r="EO8" i="39"/>
  <c r="EN8" i="39"/>
  <c r="EM8" i="39"/>
  <c r="EL8" i="39"/>
  <c r="EK8" i="39"/>
  <c r="EJ8" i="39"/>
  <c r="EI8" i="39"/>
  <c r="EH8" i="39"/>
  <c r="EF8" i="39"/>
  <c r="EE8" i="39"/>
  <c r="ED8" i="39"/>
  <c r="EC8" i="39"/>
  <c r="EB8" i="39"/>
  <c r="EA8" i="39"/>
  <c r="DZ8" i="39"/>
  <c r="DY8" i="39"/>
  <c r="DX8" i="39"/>
  <c r="DW8" i="39"/>
  <c r="FT7" i="39"/>
  <c r="FS7" i="39"/>
  <c r="FR7" i="39"/>
  <c r="FQ7" i="39"/>
  <c r="FP7" i="39"/>
  <c r="FO7" i="39"/>
  <c r="FN7" i="39"/>
  <c r="FM7" i="39"/>
  <c r="FL7" i="39"/>
  <c r="FK7" i="39"/>
  <c r="FJ7" i="39"/>
  <c r="FI7" i="39"/>
  <c r="FH7" i="39"/>
  <c r="FG7" i="39"/>
  <c r="FF7" i="39"/>
  <c r="FE7" i="39"/>
  <c r="FD7" i="39"/>
  <c r="FC7" i="39"/>
  <c r="FB7" i="39"/>
  <c r="FA7" i="39"/>
  <c r="EZ7" i="39"/>
  <c r="EY7" i="39"/>
  <c r="EX7" i="39"/>
  <c r="EW7" i="39"/>
  <c r="EV7" i="39"/>
  <c r="EU7" i="39"/>
  <c r="ES7" i="39"/>
  <c r="ER7" i="39"/>
  <c r="EQ7" i="39"/>
  <c r="EP7" i="39"/>
  <c r="EO7" i="39"/>
  <c r="EN7" i="39"/>
  <c r="EM7" i="39"/>
  <c r="EL7" i="39"/>
  <c r="EK7" i="39"/>
  <c r="EJ7" i="39"/>
  <c r="EI7" i="39"/>
  <c r="EH7" i="39"/>
  <c r="EG7" i="39"/>
  <c r="EF7" i="39"/>
  <c r="EE7" i="39"/>
  <c r="ED7" i="39"/>
  <c r="EC7" i="39"/>
  <c r="EB7" i="39"/>
  <c r="EA7" i="39"/>
  <c r="DZ7" i="39"/>
  <c r="DY7" i="39"/>
  <c r="DX7" i="39"/>
  <c r="FT6" i="39"/>
  <c r="FS6" i="39"/>
  <c r="FR6" i="39"/>
  <c r="FQ6" i="39"/>
  <c r="FP6" i="39"/>
  <c r="FO6" i="39"/>
  <c r="FN6" i="39"/>
  <c r="FM6" i="39"/>
  <c r="FL6" i="39"/>
  <c r="FK6" i="39"/>
  <c r="FJ6" i="39"/>
  <c r="FI6" i="39"/>
  <c r="FH6" i="39"/>
  <c r="FG6" i="39"/>
  <c r="FF6" i="39"/>
  <c r="FE6" i="39"/>
  <c r="FD6" i="39"/>
  <c r="FC6" i="39"/>
  <c r="FB6" i="39"/>
  <c r="FA6" i="39"/>
  <c r="EZ6" i="39"/>
  <c r="EY6" i="39"/>
  <c r="EX6" i="39"/>
  <c r="EW6" i="39"/>
  <c r="EV6" i="39"/>
  <c r="EU6" i="39"/>
  <c r="ES6" i="39"/>
  <c r="ER6" i="39"/>
  <c r="EQ6" i="39"/>
  <c r="EP6" i="39"/>
  <c r="EO6" i="39"/>
  <c r="EN6" i="39"/>
  <c r="EM6" i="39"/>
  <c r="EL6" i="39"/>
  <c r="EK6" i="39"/>
  <c r="EJ6" i="39"/>
  <c r="EI6" i="39"/>
  <c r="EH6" i="39"/>
  <c r="EG6" i="39"/>
  <c r="EF6" i="39"/>
  <c r="EE6" i="39"/>
  <c r="ED6" i="39"/>
  <c r="EC6" i="39"/>
  <c r="EB6" i="39"/>
  <c r="EA6" i="39"/>
  <c r="DZ6" i="39"/>
  <c r="DY6" i="39"/>
  <c r="DX6" i="39"/>
  <c r="DW6" i="39"/>
  <c r="FY5" i="39"/>
  <c r="FT5" i="39"/>
  <c r="FS5" i="39"/>
  <c r="FR5" i="39"/>
  <c r="FQ5" i="39"/>
  <c r="FP5" i="39"/>
  <c r="FO5" i="39"/>
  <c r="FN5" i="39"/>
  <c r="FM5" i="39"/>
  <c r="FL5" i="39"/>
  <c r="FK5" i="39"/>
  <c r="FJ5" i="39"/>
  <c r="FI5" i="39"/>
  <c r="FH5" i="39"/>
  <c r="FG5" i="39"/>
  <c r="FF5" i="39"/>
  <c r="FE5" i="39"/>
  <c r="FD5" i="39"/>
  <c r="FC5" i="39"/>
  <c r="FB5" i="39"/>
  <c r="FA5" i="39"/>
  <c r="EZ5" i="39"/>
  <c r="EY5" i="39"/>
  <c r="EX5" i="39"/>
  <c r="EW5" i="39"/>
  <c r="EV5" i="39"/>
  <c r="EU5" i="39"/>
  <c r="ES5" i="39"/>
  <c r="ER5" i="39"/>
  <c r="EQ5" i="39"/>
  <c r="EP5" i="39"/>
  <c r="EO5" i="39"/>
  <c r="EN5" i="39"/>
  <c r="EM5" i="39"/>
  <c r="EL5" i="39"/>
  <c r="EK5" i="39"/>
  <c r="EJ5" i="39"/>
  <c r="EI5" i="39"/>
  <c r="EH5" i="39"/>
  <c r="EG5" i="39"/>
  <c r="EF5" i="39"/>
  <c r="EE5" i="39"/>
  <c r="ED5" i="39"/>
  <c r="EC5" i="39"/>
  <c r="EB5" i="39"/>
  <c r="EA5" i="39"/>
  <c r="DZ5" i="39"/>
  <c r="DY5" i="39"/>
  <c r="DX5" i="39"/>
  <c r="DW5" i="39"/>
  <c r="DW7" i="39"/>
  <c r="GM451" i="44"/>
  <c r="GM456" i="44" s="1"/>
  <c r="GM450" i="44"/>
  <c r="GM443" i="44"/>
  <c r="GK443" i="44"/>
  <c r="GJ443" i="44"/>
  <c r="GI443" i="44"/>
  <c r="GH443" i="44"/>
  <c r="GG443" i="44"/>
  <c r="GF443" i="44"/>
  <c r="GE443" i="44"/>
  <c r="GD443" i="44"/>
  <c r="GC443" i="44"/>
  <c r="GB443" i="44"/>
  <c r="GA443" i="44"/>
  <c r="FZ443" i="44"/>
  <c r="FY443" i="44"/>
  <c r="FT443" i="44"/>
  <c r="FS443" i="44"/>
  <c r="FR443" i="44"/>
  <c r="FQ443" i="44"/>
  <c r="FP443" i="44"/>
  <c r="FO443" i="44"/>
  <c r="FN443" i="44"/>
  <c r="FM443" i="44"/>
  <c r="FL443" i="44"/>
  <c r="FK443" i="44"/>
  <c r="FJ443" i="44"/>
  <c r="FI443" i="44"/>
  <c r="FH443" i="44"/>
  <c r="FG443" i="44"/>
  <c r="FF443" i="44"/>
  <c r="FE443" i="44"/>
  <c r="FD443" i="44"/>
  <c r="FC443" i="44"/>
  <c r="FB443" i="44"/>
  <c r="FA443" i="44"/>
  <c r="EZ443" i="44"/>
  <c r="EY443" i="44"/>
  <c r="EX443" i="44"/>
  <c r="EW443" i="44"/>
  <c r="EV443" i="44"/>
  <c r="EU443" i="44"/>
  <c r="ES443" i="44"/>
  <c r="ER443" i="44"/>
  <c r="EQ443" i="44"/>
  <c r="EP443" i="44"/>
  <c r="EO443" i="44"/>
  <c r="EN443" i="44"/>
  <c r="EM443" i="44"/>
  <c r="EL443" i="44"/>
  <c r="EK443" i="44"/>
  <c r="EJ443" i="44"/>
  <c r="EI443" i="44"/>
  <c r="EH443" i="44"/>
  <c r="EG443" i="44"/>
  <c r="EF443" i="44"/>
  <c r="EE443" i="44"/>
  <c r="ED443" i="44"/>
  <c r="EC443" i="44"/>
  <c r="EB443" i="44"/>
  <c r="EA443" i="44"/>
  <c r="DZ443" i="44"/>
  <c r="DY443" i="44"/>
  <c r="DX443" i="44"/>
  <c r="DW443" i="44"/>
  <c r="GM442" i="44"/>
  <c r="GK442" i="44"/>
  <c r="GJ442" i="44"/>
  <c r="GI442" i="44"/>
  <c r="GH442" i="44"/>
  <c r="GG442" i="44"/>
  <c r="GF442" i="44"/>
  <c r="GE442" i="44"/>
  <c r="GD442" i="44"/>
  <c r="GC442" i="44"/>
  <c r="GB442" i="44"/>
  <c r="GA442" i="44"/>
  <c r="FZ442" i="44"/>
  <c r="FY442" i="44"/>
  <c r="FT442" i="44"/>
  <c r="FS442" i="44"/>
  <c r="FR442" i="44"/>
  <c r="FQ442" i="44"/>
  <c r="FP442" i="44"/>
  <c r="FO442" i="44"/>
  <c r="FN442" i="44"/>
  <c r="FM442" i="44"/>
  <c r="FL442" i="44"/>
  <c r="FK442" i="44"/>
  <c r="FJ442" i="44"/>
  <c r="FI442" i="44"/>
  <c r="FH442" i="44"/>
  <c r="FG442" i="44"/>
  <c r="FF442" i="44"/>
  <c r="FE442" i="44"/>
  <c r="FD442" i="44"/>
  <c r="FC442" i="44"/>
  <c r="FB442" i="44"/>
  <c r="FA442" i="44"/>
  <c r="EZ442" i="44"/>
  <c r="EY442" i="44"/>
  <c r="EX442" i="44"/>
  <c r="EW442" i="44"/>
  <c r="EV442" i="44"/>
  <c r="EU442" i="44"/>
  <c r="ES442" i="44"/>
  <c r="ER442" i="44"/>
  <c r="EQ442" i="44"/>
  <c r="EP442" i="44"/>
  <c r="EO442" i="44"/>
  <c r="EN442" i="44"/>
  <c r="EM442" i="44"/>
  <c r="EL442" i="44"/>
  <c r="EK442" i="44"/>
  <c r="EJ442" i="44"/>
  <c r="EI442" i="44"/>
  <c r="EH442" i="44"/>
  <c r="EG442" i="44"/>
  <c r="EF442" i="44"/>
  <c r="EE442" i="44"/>
  <c r="ED442" i="44"/>
  <c r="EC442" i="44"/>
  <c r="EB442" i="44"/>
  <c r="EA442" i="44"/>
  <c r="DZ442" i="44"/>
  <c r="DY442" i="44"/>
  <c r="DX442" i="44"/>
  <c r="DW442" i="44"/>
  <c r="GM441" i="44"/>
  <c r="GK441" i="44"/>
  <c r="GJ441" i="44"/>
  <c r="GI441" i="44"/>
  <c r="GH441" i="44"/>
  <c r="GG441" i="44"/>
  <c r="GF441" i="44"/>
  <c r="GE441" i="44"/>
  <c r="GD441" i="44"/>
  <c r="GC441" i="44"/>
  <c r="GB441" i="44"/>
  <c r="GA441" i="44"/>
  <c r="FZ441" i="44"/>
  <c r="FY441" i="44"/>
  <c r="FT441" i="44"/>
  <c r="FS441" i="44"/>
  <c r="FR441" i="44"/>
  <c r="FQ441" i="44"/>
  <c r="FP441" i="44"/>
  <c r="FO441" i="44"/>
  <c r="FN441" i="44"/>
  <c r="FM441" i="44"/>
  <c r="FL441" i="44"/>
  <c r="FK441" i="44"/>
  <c r="FJ441" i="44"/>
  <c r="FI441" i="44"/>
  <c r="FH441" i="44"/>
  <c r="FG441" i="44"/>
  <c r="FF441" i="44"/>
  <c r="FE441" i="44"/>
  <c r="FD441" i="44"/>
  <c r="FC441" i="44"/>
  <c r="FB441" i="44"/>
  <c r="FA441" i="44"/>
  <c r="EZ441" i="44"/>
  <c r="EY441" i="44"/>
  <c r="EX441" i="44"/>
  <c r="EW441" i="44"/>
  <c r="EV441" i="44"/>
  <c r="EU441" i="44"/>
  <c r="ES441" i="44"/>
  <c r="ER441" i="44"/>
  <c r="EQ441" i="44"/>
  <c r="EP441" i="44"/>
  <c r="EO441" i="44"/>
  <c r="EN441" i="44"/>
  <c r="EM441" i="44"/>
  <c r="EL441" i="44"/>
  <c r="EK441" i="44"/>
  <c r="EJ441" i="44"/>
  <c r="EI441" i="44"/>
  <c r="EH441" i="44"/>
  <c r="EG441" i="44"/>
  <c r="EF441" i="44"/>
  <c r="EE441" i="44"/>
  <c r="ED441" i="44"/>
  <c r="EC441" i="44"/>
  <c r="EB441" i="44"/>
  <c r="EA441" i="44"/>
  <c r="DZ441" i="44"/>
  <c r="DY441" i="44"/>
  <c r="DX441" i="44"/>
  <c r="DW441" i="44"/>
  <c r="GM440" i="44"/>
  <c r="GK440" i="44"/>
  <c r="GJ440" i="44"/>
  <c r="GI440" i="44"/>
  <c r="GH440" i="44"/>
  <c r="GG440" i="44"/>
  <c r="GF440" i="44"/>
  <c r="GE440" i="44"/>
  <c r="GD440" i="44"/>
  <c r="GC440" i="44"/>
  <c r="GB440" i="44"/>
  <c r="GA440" i="44"/>
  <c r="FZ440" i="44"/>
  <c r="FY440" i="44"/>
  <c r="FT440" i="44"/>
  <c r="FS440" i="44"/>
  <c r="FR440" i="44"/>
  <c r="FQ440" i="44"/>
  <c r="FP440" i="44"/>
  <c r="FO440" i="44"/>
  <c r="FN440" i="44"/>
  <c r="FM440" i="44"/>
  <c r="FL440" i="44"/>
  <c r="FK440" i="44"/>
  <c r="FJ440" i="44"/>
  <c r="FI440" i="44"/>
  <c r="FH440" i="44"/>
  <c r="FG440" i="44"/>
  <c r="FF440" i="44"/>
  <c r="FE440" i="44"/>
  <c r="FD440" i="44"/>
  <c r="FC440" i="44"/>
  <c r="FB440" i="44"/>
  <c r="FA440" i="44"/>
  <c r="EZ440" i="44"/>
  <c r="EY440" i="44"/>
  <c r="EX440" i="44"/>
  <c r="EW440" i="44"/>
  <c r="EV440" i="44"/>
  <c r="EU440" i="44"/>
  <c r="ES440" i="44"/>
  <c r="ER440" i="44"/>
  <c r="EQ440" i="44"/>
  <c r="EP440" i="44"/>
  <c r="EO440" i="44"/>
  <c r="EN440" i="44"/>
  <c r="EM440" i="44"/>
  <c r="EL440" i="44"/>
  <c r="EK440" i="44"/>
  <c r="EJ440" i="44"/>
  <c r="EI440" i="44"/>
  <c r="EH440" i="44"/>
  <c r="EG440" i="44"/>
  <c r="EF440" i="44"/>
  <c r="EE440" i="44"/>
  <c r="ED440" i="44"/>
  <c r="EC440" i="44"/>
  <c r="EB440" i="44"/>
  <c r="EA440" i="44"/>
  <c r="DZ440" i="44"/>
  <c r="DY440" i="44"/>
  <c r="DX440" i="44"/>
  <c r="DW440" i="44"/>
  <c r="GM439" i="44"/>
  <c r="GK439" i="44"/>
  <c r="GJ439" i="44"/>
  <c r="GI439" i="44"/>
  <c r="GH439" i="44"/>
  <c r="GG439" i="44"/>
  <c r="GF439" i="44"/>
  <c r="GE439" i="44"/>
  <c r="GD439" i="44"/>
  <c r="GC439" i="44"/>
  <c r="GB439" i="44"/>
  <c r="GA439" i="44"/>
  <c r="FZ439" i="44"/>
  <c r="FY439" i="44"/>
  <c r="FT439" i="44"/>
  <c r="FS439" i="44"/>
  <c r="FR439" i="44"/>
  <c r="FQ439" i="44"/>
  <c r="FP439" i="44"/>
  <c r="FO439" i="44"/>
  <c r="FN439" i="44"/>
  <c r="FM439" i="44"/>
  <c r="FL439" i="44"/>
  <c r="FK439" i="44"/>
  <c r="FJ439" i="44"/>
  <c r="FI439" i="44"/>
  <c r="FH439" i="44"/>
  <c r="FG439" i="44"/>
  <c r="FF439" i="44"/>
  <c r="FE439" i="44"/>
  <c r="FD439" i="44"/>
  <c r="FC439" i="44"/>
  <c r="FB439" i="44"/>
  <c r="FA439" i="44"/>
  <c r="EZ439" i="44"/>
  <c r="EY439" i="44"/>
  <c r="EX439" i="44"/>
  <c r="EW439" i="44"/>
  <c r="EV439" i="44"/>
  <c r="EU439" i="44"/>
  <c r="ES439" i="44"/>
  <c r="ER439" i="44"/>
  <c r="EQ439" i="44"/>
  <c r="EP439" i="44"/>
  <c r="EO439" i="44"/>
  <c r="EN439" i="44"/>
  <c r="EM439" i="44"/>
  <c r="EL439" i="44"/>
  <c r="EK439" i="44"/>
  <c r="EJ439" i="44"/>
  <c r="EI439" i="44"/>
  <c r="EH439" i="44"/>
  <c r="EG439" i="44"/>
  <c r="EF439" i="44"/>
  <c r="EE439" i="44"/>
  <c r="ED439" i="44"/>
  <c r="EC439" i="44"/>
  <c r="EB439" i="44"/>
  <c r="EA439" i="44"/>
  <c r="DZ439" i="44"/>
  <c r="DY439" i="44"/>
  <c r="DX439" i="44"/>
  <c r="DW439" i="44"/>
  <c r="GM438" i="44"/>
  <c r="GK438" i="44"/>
  <c r="GJ438" i="44"/>
  <c r="GI438" i="44"/>
  <c r="GH438" i="44"/>
  <c r="GG438" i="44"/>
  <c r="GF438" i="44"/>
  <c r="GE438" i="44"/>
  <c r="GD438" i="44"/>
  <c r="GC438" i="44"/>
  <c r="GB438" i="44"/>
  <c r="GA438" i="44"/>
  <c r="FZ438" i="44"/>
  <c r="FY438" i="44"/>
  <c r="FT438" i="44"/>
  <c r="FS438" i="44"/>
  <c r="FR438" i="44"/>
  <c r="FQ438" i="44"/>
  <c r="FP438" i="44"/>
  <c r="FO438" i="44"/>
  <c r="FN438" i="44"/>
  <c r="FM438" i="44"/>
  <c r="FL438" i="44"/>
  <c r="FK438" i="44"/>
  <c r="FJ438" i="44"/>
  <c r="FI438" i="44"/>
  <c r="FH438" i="44"/>
  <c r="FG438" i="44"/>
  <c r="FF438" i="44"/>
  <c r="FE438" i="44"/>
  <c r="FD438" i="44"/>
  <c r="FC438" i="44"/>
  <c r="FB438" i="44"/>
  <c r="FA438" i="44"/>
  <c r="EZ438" i="44"/>
  <c r="EY438" i="44"/>
  <c r="EX438" i="44"/>
  <c r="EW438" i="44"/>
  <c r="EV438" i="44"/>
  <c r="EU438" i="44"/>
  <c r="ES438" i="44"/>
  <c r="ER438" i="44"/>
  <c r="EQ438" i="44"/>
  <c r="EP438" i="44"/>
  <c r="EO438" i="44"/>
  <c r="EN438" i="44"/>
  <c r="EM438" i="44"/>
  <c r="EL438" i="44"/>
  <c r="EK438" i="44"/>
  <c r="EJ438" i="44"/>
  <c r="EI438" i="44"/>
  <c r="EH438" i="44"/>
  <c r="EG438" i="44"/>
  <c r="EF438" i="44"/>
  <c r="EE438" i="44"/>
  <c r="ED438" i="44"/>
  <c r="EC438" i="44"/>
  <c r="EB438" i="44"/>
  <c r="EA438" i="44"/>
  <c r="DZ438" i="44"/>
  <c r="DY438" i="44"/>
  <c r="DX438" i="44"/>
  <c r="DW438" i="44"/>
  <c r="GM437" i="44"/>
  <c r="GK437" i="44"/>
  <c r="GJ437" i="44"/>
  <c r="GI437" i="44"/>
  <c r="GH437" i="44"/>
  <c r="GG437" i="44"/>
  <c r="GF437" i="44"/>
  <c r="GE437" i="44"/>
  <c r="GD437" i="44"/>
  <c r="GC437" i="44"/>
  <c r="GB437" i="44"/>
  <c r="GA437" i="44"/>
  <c r="FZ437" i="44"/>
  <c r="FY437" i="44"/>
  <c r="FT437" i="44"/>
  <c r="FS437" i="44"/>
  <c r="FR437" i="44"/>
  <c r="FQ437" i="44"/>
  <c r="FP437" i="44"/>
  <c r="FO437" i="44"/>
  <c r="FN437" i="44"/>
  <c r="FM437" i="44"/>
  <c r="FL437" i="44"/>
  <c r="FK437" i="44"/>
  <c r="FJ437" i="44"/>
  <c r="FI437" i="44"/>
  <c r="FH437" i="44"/>
  <c r="FG437" i="44"/>
  <c r="FF437" i="44"/>
  <c r="FE437" i="44"/>
  <c r="FD437" i="44"/>
  <c r="FC437" i="44"/>
  <c r="FB437" i="44"/>
  <c r="FA437" i="44"/>
  <c r="EZ437" i="44"/>
  <c r="EY437" i="44"/>
  <c r="EX437" i="44"/>
  <c r="EW437" i="44"/>
  <c r="EV437" i="44"/>
  <c r="EU437" i="44"/>
  <c r="ES437" i="44"/>
  <c r="ER437" i="44"/>
  <c r="EQ437" i="44"/>
  <c r="EP437" i="44"/>
  <c r="EO437" i="44"/>
  <c r="EN437" i="44"/>
  <c r="EM437" i="44"/>
  <c r="EL437" i="44"/>
  <c r="EK437" i="44"/>
  <c r="EJ437" i="44"/>
  <c r="EI437" i="44"/>
  <c r="EH437" i="44"/>
  <c r="EG437" i="44"/>
  <c r="EF437" i="44"/>
  <c r="EE437" i="44"/>
  <c r="ED437" i="44"/>
  <c r="EC437" i="44"/>
  <c r="EB437" i="44"/>
  <c r="EA437" i="44"/>
  <c r="DZ437" i="44"/>
  <c r="DY437" i="44"/>
  <c r="DX437" i="44"/>
  <c r="DW437" i="44"/>
  <c r="GM436" i="44"/>
  <c r="GK436" i="44"/>
  <c r="GJ436" i="44"/>
  <c r="GI436" i="44"/>
  <c r="GH436" i="44"/>
  <c r="GG436" i="44"/>
  <c r="GF436" i="44"/>
  <c r="GE436" i="44"/>
  <c r="GD436" i="44"/>
  <c r="GC436" i="44"/>
  <c r="GB436" i="44"/>
  <c r="GA436" i="44"/>
  <c r="FZ436" i="44"/>
  <c r="FY436" i="44"/>
  <c r="FT436" i="44"/>
  <c r="FS436" i="44"/>
  <c r="FR436" i="44"/>
  <c r="FQ436" i="44"/>
  <c r="FP436" i="44"/>
  <c r="FO436" i="44"/>
  <c r="FN436" i="44"/>
  <c r="FM436" i="44"/>
  <c r="FL436" i="44"/>
  <c r="FK436" i="44"/>
  <c r="FJ436" i="44"/>
  <c r="FI436" i="44"/>
  <c r="FH436" i="44"/>
  <c r="FG436" i="44"/>
  <c r="FF436" i="44"/>
  <c r="FE436" i="44"/>
  <c r="FD436" i="44"/>
  <c r="FC436" i="44"/>
  <c r="FB436" i="44"/>
  <c r="FA436" i="44"/>
  <c r="EZ436" i="44"/>
  <c r="EY436" i="44"/>
  <c r="EX436" i="44"/>
  <c r="EW436" i="44"/>
  <c r="EV436" i="44"/>
  <c r="EU436" i="44"/>
  <c r="ES436" i="44"/>
  <c r="ER436" i="44"/>
  <c r="EQ436" i="44"/>
  <c r="EP436" i="44"/>
  <c r="EO436" i="44"/>
  <c r="EN436" i="44"/>
  <c r="EM436" i="44"/>
  <c r="EL436" i="44"/>
  <c r="EK436" i="44"/>
  <c r="EJ436" i="44"/>
  <c r="EI436" i="44"/>
  <c r="EH436" i="44"/>
  <c r="EG436" i="44"/>
  <c r="EF436" i="44"/>
  <c r="EE436" i="44"/>
  <c r="ED436" i="44"/>
  <c r="EC436" i="44"/>
  <c r="EB436" i="44"/>
  <c r="EA436" i="44"/>
  <c r="DZ436" i="44"/>
  <c r="DY436" i="44"/>
  <c r="DX436" i="44"/>
  <c r="DW436" i="44"/>
  <c r="GM435" i="44"/>
  <c r="GK435" i="44"/>
  <c r="GJ435" i="44"/>
  <c r="GI435" i="44"/>
  <c r="GH435" i="44"/>
  <c r="GG435" i="44"/>
  <c r="GF435" i="44"/>
  <c r="GE435" i="44"/>
  <c r="GD435" i="44"/>
  <c r="GC435" i="44"/>
  <c r="GB435" i="44"/>
  <c r="GA435" i="44"/>
  <c r="FZ435" i="44"/>
  <c r="FY435" i="44"/>
  <c r="FT435" i="44"/>
  <c r="FS435" i="44"/>
  <c r="FR435" i="44"/>
  <c r="FQ435" i="44"/>
  <c r="FP435" i="44"/>
  <c r="FO435" i="44"/>
  <c r="FN435" i="44"/>
  <c r="FM435" i="44"/>
  <c r="FL435" i="44"/>
  <c r="FK435" i="44"/>
  <c r="FJ435" i="44"/>
  <c r="FI435" i="44"/>
  <c r="FH435" i="44"/>
  <c r="FG435" i="44"/>
  <c r="FF435" i="44"/>
  <c r="FE435" i="44"/>
  <c r="FD435" i="44"/>
  <c r="FC435" i="44"/>
  <c r="FB435" i="44"/>
  <c r="FA435" i="44"/>
  <c r="EZ435" i="44"/>
  <c r="EY435" i="44"/>
  <c r="EX435" i="44"/>
  <c r="EW435" i="44"/>
  <c r="EV435" i="44"/>
  <c r="EU435" i="44"/>
  <c r="ES435" i="44"/>
  <c r="ER435" i="44"/>
  <c r="EQ435" i="44"/>
  <c r="EP435" i="44"/>
  <c r="EO435" i="44"/>
  <c r="EN435" i="44"/>
  <c r="EM435" i="44"/>
  <c r="EL435" i="44"/>
  <c r="EK435" i="44"/>
  <c r="EJ435" i="44"/>
  <c r="EI435" i="44"/>
  <c r="EH435" i="44"/>
  <c r="EG435" i="44"/>
  <c r="EF435" i="44"/>
  <c r="EE435" i="44"/>
  <c r="ED435" i="44"/>
  <c r="EC435" i="44"/>
  <c r="EB435" i="44"/>
  <c r="EA435" i="44"/>
  <c r="DZ435" i="44"/>
  <c r="DY435" i="44"/>
  <c r="DX435" i="44"/>
  <c r="DW435" i="44"/>
  <c r="GM434" i="44"/>
  <c r="GK434" i="44"/>
  <c r="GJ434" i="44"/>
  <c r="GI434" i="44"/>
  <c r="GH434" i="44"/>
  <c r="GG434" i="44"/>
  <c r="GF434" i="44"/>
  <c r="GE434" i="44"/>
  <c r="GD434" i="44"/>
  <c r="GC434" i="44"/>
  <c r="GB434" i="44"/>
  <c r="GA434" i="44"/>
  <c r="FZ434" i="44"/>
  <c r="FY434" i="44"/>
  <c r="FT434" i="44"/>
  <c r="FS434" i="44"/>
  <c r="FR434" i="44"/>
  <c r="FQ434" i="44"/>
  <c r="FP434" i="44"/>
  <c r="FO434" i="44"/>
  <c r="FN434" i="44"/>
  <c r="FM434" i="44"/>
  <c r="FL434" i="44"/>
  <c r="FK434" i="44"/>
  <c r="FJ434" i="44"/>
  <c r="FI434" i="44"/>
  <c r="FH434" i="44"/>
  <c r="FG434" i="44"/>
  <c r="FF434" i="44"/>
  <c r="FE434" i="44"/>
  <c r="FD434" i="44"/>
  <c r="FC434" i="44"/>
  <c r="FB434" i="44"/>
  <c r="FA434" i="44"/>
  <c r="EZ434" i="44"/>
  <c r="EY434" i="44"/>
  <c r="EX434" i="44"/>
  <c r="EW434" i="44"/>
  <c r="EV434" i="44"/>
  <c r="EU434" i="44"/>
  <c r="ES434" i="44"/>
  <c r="ER434" i="44"/>
  <c r="EQ434" i="44"/>
  <c r="EP434" i="44"/>
  <c r="EO434" i="44"/>
  <c r="EN434" i="44"/>
  <c r="EM434" i="44"/>
  <c r="EL434" i="44"/>
  <c r="EK434" i="44"/>
  <c r="EJ434" i="44"/>
  <c r="EI434" i="44"/>
  <c r="EH434" i="44"/>
  <c r="EG434" i="44"/>
  <c r="EF434" i="44"/>
  <c r="EE434" i="44"/>
  <c r="ED434" i="44"/>
  <c r="EC434" i="44"/>
  <c r="EB434" i="44"/>
  <c r="EA434" i="44"/>
  <c r="DZ434" i="44"/>
  <c r="DY434" i="44"/>
  <c r="DX434" i="44"/>
  <c r="DW434" i="44"/>
  <c r="GM433" i="44"/>
  <c r="GK433" i="44"/>
  <c r="GJ433" i="44"/>
  <c r="GI433" i="44"/>
  <c r="GH433" i="44"/>
  <c r="GG433" i="44"/>
  <c r="GF433" i="44"/>
  <c r="GE433" i="44"/>
  <c r="GD433" i="44"/>
  <c r="GC433" i="44"/>
  <c r="GB433" i="44"/>
  <c r="GA433" i="44"/>
  <c r="FZ433" i="44"/>
  <c r="FY433" i="44"/>
  <c r="FT433" i="44"/>
  <c r="FS433" i="44"/>
  <c r="FR433" i="44"/>
  <c r="FQ433" i="44"/>
  <c r="FP433" i="44"/>
  <c r="FO433" i="44"/>
  <c r="FN433" i="44"/>
  <c r="FM433" i="44"/>
  <c r="FL433" i="44"/>
  <c r="FK433" i="44"/>
  <c r="FJ433" i="44"/>
  <c r="FI433" i="44"/>
  <c r="FH433" i="44"/>
  <c r="FG433" i="44"/>
  <c r="FF433" i="44"/>
  <c r="FE433" i="44"/>
  <c r="FD433" i="44"/>
  <c r="FC433" i="44"/>
  <c r="FB433" i="44"/>
  <c r="FA433" i="44"/>
  <c r="EZ433" i="44"/>
  <c r="EY433" i="44"/>
  <c r="EX433" i="44"/>
  <c r="EW433" i="44"/>
  <c r="EV433" i="44"/>
  <c r="EU433" i="44"/>
  <c r="ES433" i="44"/>
  <c r="ER433" i="44"/>
  <c r="EQ433" i="44"/>
  <c r="EP433" i="44"/>
  <c r="EO433" i="44"/>
  <c r="EN433" i="44"/>
  <c r="EM433" i="44"/>
  <c r="EL433" i="44"/>
  <c r="EK433" i="44"/>
  <c r="EJ433" i="44"/>
  <c r="EI433" i="44"/>
  <c r="EH433" i="44"/>
  <c r="EG433" i="44"/>
  <c r="EF433" i="44"/>
  <c r="EE433" i="44"/>
  <c r="ED433" i="44"/>
  <c r="EC433" i="44"/>
  <c r="EB433" i="44"/>
  <c r="EA433" i="44"/>
  <c r="DZ433" i="44"/>
  <c r="DY433" i="44"/>
  <c r="DX433" i="44"/>
  <c r="DW433" i="44"/>
  <c r="GM432" i="44"/>
  <c r="GK432" i="44"/>
  <c r="GJ432" i="44"/>
  <c r="GI432" i="44"/>
  <c r="GH432" i="44"/>
  <c r="GG432" i="44"/>
  <c r="GF432" i="44"/>
  <c r="GE432" i="44"/>
  <c r="GD432" i="44"/>
  <c r="GC432" i="44"/>
  <c r="GB432" i="44"/>
  <c r="GA432" i="44"/>
  <c r="FZ432" i="44"/>
  <c r="FY432" i="44"/>
  <c r="FT432" i="44"/>
  <c r="FS432" i="44"/>
  <c r="FR432" i="44"/>
  <c r="FQ432" i="44"/>
  <c r="FP432" i="44"/>
  <c r="FO432" i="44"/>
  <c r="FN432" i="44"/>
  <c r="FM432" i="44"/>
  <c r="FL432" i="44"/>
  <c r="FK432" i="44"/>
  <c r="FJ432" i="44"/>
  <c r="FI432" i="44"/>
  <c r="FH432" i="44"/>
  <c r="FG432" i="44"/>
  <c r="FF432" i="44"/>
  <c r="FE432" i="44"/>
  <c r="FD432" i="44"/>
  <c r="FC432" i="44"/>
  <c r="FB432" i="44"/>
  <c r="FA432" i="44"/>
  <c r="EZ432" i="44"/>
  <c r="EY432" i="44"/>
  <c r="EX432" i="44"/>
  <c r="EW432" i="44"/>
  <c r="EV432" i="44"/>
  <c r="EU432" i="44"/>
  <c r="ES432" i="44"/>
  <c r="ER432" i="44"/>
  <c r="EQ432" i="44"/>
  <c r="EP432" i="44"/>
  <c r="EO432" i="44"/>
  <c r="EN432" i="44"/>
  <c r="EM432" i="44"/>
  <c r="EL432" i="44"/>
  <c r="EK432" i="44"/>
  <c r="EJ432" i="44"/>
  <c r="EI432" i="44"/>
  <c r="EH432" i="44"/>
  <c r="EG432" i="44"/>
  <c r="EF432" i="44"/>
  <c r="EE432" i="44"/>
  <c r="ED432" i="44"/>
  <c r="EC432" i="44"/>
  <c r="EB432" i="44"/>
  <c r="EA432" i="44"/>
  <c r="DZ432" i="44"/>
  <c r="DY432" i="44"/>
  <c r="DX432" i="44"/>
  <c r="DW432" i="44"/>
  <c r="GM431" i="44"/>
  <c r="GK431" i="44"/>
  <c r="GJ431" i="44"/>
  <c r="GI431" i="44"/>
  <c r="GH431" i="44"/>
  <c r="GG431" i="44"/>
  <c r="GF431" i="44"/>
  <c r="GE431" i="44"/>
  <c r="GD431" i="44"/>
  <c r="GC431" i="44"/>
  <c r="GB431" i="44"/>
  <c r="GA431" i="44"/>
  <c r="FZ431" i="44"/>
  <c r="FY431" i="44"/>
  <c r="FT431" i="44"/>
  <c r="FS431" i="44"/>
  <c r="FR431" i="44"/>
  <c r="FQ431" i="44"/>
  <c r="FP431" i="44"/>
  <c r="FO431" i="44"/>
  <c r="FN431" i="44"/>
  <c r="FM431" i="44"/>
  <c r="FL431" i="44"/>
  <c r="FK431" i="44"/>
  <c r="FJ431" i="44"/>
  <c r="FI431" i="44"/>
  <c r="FH431" i="44"/>
  <c r="FG431" i="44"/>
  <c r="FF431" i="44"/>
  <c r="FE431" i="44"/>
  <c r="FD431" i="44"/>
  <c r="FC431" i="44"/>
  <c r="FB431" i="44"/>
  <c r="FA431" i="44"/>
  <c r="EZ431" i="44"/>
  <c r="EY431" i="44"/>
  <c r="EX431" i="44"/>
  <c r="EW431" i="44"/>
  <c r="EV431" i="44"/>
  <c r="EU431" i="44"/>
  <c r="ES431" i="44"/>
  <c r="ER431" i="44"/>
  <c r="EQ431" i="44"/>
  <c r="EP431" i="44"/>
  <c r="EO431" i="44"/>
  <c r="EN431" i="44"/>
  <c r="EM431" i="44"/>
  <c r="EL431" i="44"/>
  <c r="EK431" i="44"/>
  <c r="EJ431" i="44"/>
  <c r="EI431" i="44"/>
  <c r="EH431" i="44"/>
  <c r="EG431" i="44"/>
  <c r="EF431" i="44"/>
  <c r="EE431" i="44"/>
  <c r="ED431" i="44"/>
  <c r="EC431" i="44"/>
  <c r="EB431" i="44"/>
  <c r="EA431" i="44"/>
  <c r="DZ431" i="44"/>
  <c r="DY431" i="44"/>
  <c r="DX431" i="44"/>
  <c r="DW431" i="44"/>
  <c r="GM430" i="44"/>
  <c r="GK430" i="44"/>
  <c r="GJ430" i="44"/>
  <c r="GI430" i="44"/>
  <c r="GH430" i="44"/>
  <c r="GG430" i="44"/>
  <c r="GF430" i="44"/>
  <c r="GE430" i="44"/>
  <c r="GD430" i="44"/>
  <c r="GC430" i="44"/>
  <c r="GB430" i="44"/>
  <c r="GA430" i="44"/>
  <c r="FZ430" i="44"/>
  <c r="FY430" i="44"/>
  <c r="FT430" i="44"/>
  <c r="FS430" i="44"/>
  <c r="FR430" i="44"/>
  <c r="FQ430" i="44"/>
  <c r="FP430" i="44"/>
  <c r="FO430" i="44"/>
  <c r="FN430" i="44"/>
  <c r="FM430" i="44"/>
  <c r="FL430" i="44"/>
  <c r="FK430" i="44"/>
  <c r="FJ430" i="44"/>
  <c r="FI430" i="44"/>
  <c r="FH430" i="44"/>
  <c r="FG430" i="44"/>
  <c r="FF430" i="44"/>
  <c r="FE430" i="44"/>
  <c r="FD430" i="44"/>
  <c r="FC430" i="44"/>
  <c r="FB430" i="44"/>
  <c r="FA430" i="44"/>
  <c r="EZ430" i="44"/>
  <c r="EY430" i="44"/>
  <c r="EX430" i="44"/>
  <c r="EW430" i="44"/>
  <c r="EV430" i="44"/>
  <c r="EU430" i="44"/>
  <c r="ES430" i="44"/>
  <c r="ER430" i="44"/>
  <c r="EQ430" i="44"/>
  <c r="EP430" i="44"/>
  <c r="EO430" i="44"/>
  <c r="EN430" i="44"/>
  <c r="EM430" i="44"/>
  <c r="EL430" i="44"/>
  <c r="EK430" i="44"/>
  <c r="EJ430" i="44"/>
  <c r="EI430" i="44"/>
  <c r="EH430" i="44"/>
  <c r="EG430" i="44"/>
  <c r="EF430" i="44"/>
  <c r="EE430" i="44"/>
  <c r="ED430" i="44"/>
  <c r="EC430" i="44"/>
  <c r="EB430" i="44"/>
  <c r="EA430" i="44"/>
  <c r="DZ430" i="44"/>
  <c r="DY430" i="44"/>
  <c r="DX430" i="44"/>
  <c r="DW430" i="44"/>
  <c r="GM429" i="44"/>
  <c r="GK429" i="44"/>
  <c r="GJ429" i="44"/>
  <c r="GI429" i="44"/>
  <c r="GH429" i="44"/>
  <c r="GG429" i="44"/>
  <c r="GF429" i="44"/>
  <c r="GE429" i="44"/>
  <c r="GD429" i="44"/>
  <c r="GC429" i="44"/>
  <c r="GB429" i="44"/>
  <c r="GA429" i="44"/>
  <c r="FZ429" i="44"/>
  <c r="FY429" i="44"/>
  <c r="FT429" i="44"/>
  <c r="FS429" i="44"/>
  <c r="FR429" i="44"/>
  <c r="FQ429" i="44"/>
  <c r="FP429" i="44"/>
  <c r="FO429" i="44"/>
  <c r="FN429" i="44"/>
  <c r="FM429" i="44"/>
  <c r="FL429" i="44"/>
  <c r="FK429" i="44"/>
  <c r="FJ429" i="44"/>
  <c r="FI429" i="44"/>
  <c r="FH429" i="44"/>
  <c r="FG429" i="44"/>
  <c r="FF429" i="44"/>
  <c r="FE429" i="44"/>
  <c r="FD429" i="44"/>
  <c r="FC429" i="44"/>
  <c r="FB429" i="44"/>
  <c r="FA429" i="44"/>
  <c r="EZ429" i="44"/>
  <c r="EY429" i="44"/>
  <c r="EX429" i="44"/>
  <c r="EW429" i="44"/>
  <c r="EV429" i="44"/>
  <c r="EU429" i="44"/>
  <c r="ES429" i="44"/>
  <c r="ER429" i="44"/>
  <c r="EQ429" i="44"/>
  <c r="EP429" i="44"/>
  <c r="EO429" i="44"/>
  <c r="EN429" i="44"/>
  <c r="EM429" i="44"/>
  <c r="EL429" i="44"/>
  <c r="EK429" i="44"/>
  <c r="EJ429" i="44"/>
  <c r="EI429" i="44"/>
  <c r="EH429" i="44"/>
  <c r="EG429" i="44"/>
  <c r="EF429" i="44"/>
  <c r="EE429" i="44"/>
  <c r="ED429" i="44"/>
  <c r="EC429" i="44"/>
  <c r="EB429" i="44"/>
  <c r="EA429" i="44"/>
  <c r="DZ429" i="44"/>
  <c r="DY429" i="44"/>
  <c r="DX429" i="44"/>
  <c r="DW429" i="44"/>
  <c r="GM428" i="44"/>
  <c r="GK428" i="44"/>
  <c r="GJ428" i="44"/>
  <c r="GI428" i="44"/>
  <c r="GH428" i="44"/>
  <c r="GG428" i="44"/>
  <c r="GF428" i="44"/>
  <c r="GE428" i="44"/>
  <c r="GD428" i="44"/>
  <c r="GC428" i="44"/>
  <c r="GB428" i="44"/>
  <c r="GA428" i="44"/>
  <c r="FZ428" i="44"/>
  <c r="FY428" i="44"/>
  <c r="FT428" i="44"/>
  <c r="FS428" i="44"/>
  <c r="FR428" i="44"/>
  <c r="FQ428" i="44"/>
  <c r="FP428" i="44"/>
  <c r="FO428" i="44"/>
  <c r="FN428" i="44"/>
  <c r="FM428" i="44"/>
  <c r="FL428" i="44"/>
  <c r="FK428" i="44"/>
  <c r="FJ428" i="44"/>
  <c r="FI428" i="44"/>
  <c r="FH428" i="44"/>
  <c r="FG428" i="44"/>
  <c r="FF428" i="44"/>
  <c r="FE428" i="44"/>
  <c r="FD428" i="44"/>
  <c r="FC428" i="44"/>
  <c r="FB428" i="44"/>
  <c r="FA428" i="44"/>
  <c r="EZ428" i="44"/>
  <c r="EY428" i="44"/>
  <c r="EX428" i="44"/>
  <c r="EW428" i="44"/>
  <c r="EV428" i="44"/>
  <c r="EU428" i="44"/>
  <c r="ES428" i="44"/>
  <c r="ER428" i="44"/>
  <c r="EQ428" i="44"/>
  <c r="EP428" i="44"/>
  <c r="EO428" i="44"/>
  <c r="EN428" i="44"/>
  <c r="EM428" i="44"/>
  <c r="EL428" i="44"/>
  <c r="EK428" i="44"/>
  <c r="EJ428" i="44"/>
  <c r="EI428" i="44"/>
  <c r="EH428" i="44"/>
  <c r="EG428" i="44"/>
  <c r="EF428" i="44"/>
  <c r="EE428" i="44"/>
  <c r="ED428" i="44"/>
  <c r="EC428" i="44"/>
  <c r="EB428" i="44"/>
  <c r="EA428" i="44"/>
  <c r="DZ428" i="44"/>
  <c r="DY428" i="44"/>
  <c r="DX428" i="44"/>
  <c r="DW428" i="44"/>
  <c r="GM427" i="44"/>
  <c r="GK427" i="44"/>
  <c r="GJ427" i="44"/>
  <c r="GI427" i="44"/>
  <c r="GH427" i="44"/>
  <c r="GG427" i="44"/>
  <c r="GF427" i="44"/>
  <c r="GE427" i="44"/>
  <c r="GD427" i="44"/>
  <c r="GC427" i="44"/>
  <c r="GB427" i="44"/>
  <c r="GA427" i="44"/>
  <c r="FZ427" i="44"/>
  <c r="FY427" i="44"/>
  <c r="FT427" i="44"/>
  <c r="FS427" i="44"/>
  <c r="FR427" i="44"/>
  <c r="FQ427" i="44"/>
  <c r="FP427" i="44"/>
  <c r="FO427" i="44"/>
  <c r="FN427" i="44"/>
  <c r="FM427" i="44"/>
  <c r="FL427" i="44"/>
  <c r="FK427" i="44"/>
  <c r="FJ427" i="44"/>
  <c r="FI427" i="44"/>
  <c r="FH427" i="44"/>
  <c r="FG427" i="44"/>
  <c r="FF427" i="44"/>
  <c r="FE427" i="44"/>
  <c r="FD427" i="44"/>
  <c r="FC427" i="44"/>
  <c r="FB427" i="44"/>
  <c r="FA427" i="44"/>
  <c r="EZ427" i="44"/>
  <c r="EY427" i="44"/>
  <c r="EX427" i="44"/>
  <c r="EW427" i="44"/>
  <c r="EV427" i="44"/>
  <c r="EU427" i="44"/>
  <c r="ES427" i="44"/>
  <c r="ER427" i="44"/>
  <c r="EQ427" i="44"/>
  <c r="EP427" i="44"/>
  <c r="EO427" i="44"/>
  <c r="EN427" i="44"/>
  <c r="EM427" i="44"/>
  <c r="EL427" i="44"/>
  <c r="EK427" i="44"/>
  <c r="EJ427" i="44"/>
  <c r="EI427" i="44"/>
  <c r="EH427" i="44"/>
  <c r="EG427" i="44"/>
  <c r="EF427" i="44"/>
  <c r="EE427" i="44"/>
  <c r="ED427" i="44"/>
  <c r="EC427" i="44"/>
  <c r="EB427" i="44"/>
  <c r="EA427" i="44"/>
  <c r="DZ427" i="44"/>
  <c r="DY427" i="44"/>
  <c r="DX427" i="44"/>
  <c r="DW427" i="44"/>
  <c r="GM426" i="44"/>
  <c r="GK426" i="44"/>
  <c r="GJ426" i="44"/>
  <c r="GI426" i="44"/>
  <c r="GH426" i="44"/>
  <c r="GG426" i="44"/>
  <c r="GF426" i="44"/>
  <c r="GE426" i="44"/>
  <c r="GD426" i="44"/>
  <c r="GC426" i="44"/>
  <c r="GB426" i="44"/>
  <c r="GA426" i="44"/>
  <c r="FZ426" i="44"/>
  <c r="FY426" i="44"/>
  <c r="FT426" i="44"/>
  <c r="FS426" i="44"/>
  <c r="FR426" i="44"/>
  <c r="FQ426" i="44"/>
  <c r="FP426" i="44"/>
  <c r="FO426" i="44"/>
  <c r="FN426" i="44"/>
  <c r="FM426" i="44"/>
  <c r="FL426" i="44"/>
  <c r="FK426" i="44"/>
  <c r="FJ426" i="44"/>
  <c r="FI426" i="44"/>
  <c r="FH426" i="44"/>
  <c r="FG426" i="44"/>
  <c r="FF426" i="44"/>
  <c r="FE426" i="44"/>
  <c r="FD426" i="44"/>
  <c r="FC426" i="44"/>
  <c r="FB426" i="44"/>
  <c r="FA426" i="44"/>
  <c r="EZ426" i="44"/>
  <c r="EY426" i="44"/>
  <c r="EX426" i="44"/>
  <c r="EW426" i="44"/>
  <c r="EV426" i="44"/>
  <c r="EU426" i="44"/>
  <c r="ES426" i="44"/>
  <c r="ER426" i="44"/>
  <c r="EQ426" i="44"/>
  <c r="EP426" i="44"/>
  <c r="EO426" i="44"/>
  <c r="EN426" i="44"/>
  <c r="EM426" i="44"/>
  <c r="EL426" i="44"/>
  <c r="EK426" i="44"/>
  <c r="EJ426" i="44"/>
  <c r="EI426" i="44"/>
  <c r="EH426" i="44"/>
  <c r="EG426" i="44"/>
  <c r="EF426" i="44"/>
  <c r="EE426" i="44"/>
  <c r="ED426" i="44"/>
  <c r="EC426" i="44"/>
  <c r="EB426" i="44"/>
  <c r="EA426" i="44"/>
  <c r="DZ426" i="44"/>
  <c r="DY426" i="44"/>
  <c r="DX426" i="44"/>
  <c r="DW426" i="44"/>
  <c r="GM425" i="44"/>
  <c r="GK425" i="44"/>
  <c r="GJ425" i="44"/>
  <c r="GI425" i="44"/>
  <c r="GH425" i="44"/>
  <c r="GG425" i="44"/>
  <c r="GF425" i="44"/>
  <c r="GE425" i="44"/>
  <c r="GD425" i="44"/>
  <c r="GC425" i="44"/>
  <c r="GB425" i="44"/>
  <c r="GA425" i="44"/>
  <c r="FZ425" i="44"/>
  <c r="FY425" i="44"/>
  <c r="FT425" i="44"/>
  <c r="FS425" i="44"/>
  <c r="FR425" i="44"/>
  <c r="FQ425" i="44"/>
  <c r="FP425" i="44"/>
  <c r="FO425" i="44"/>
  <c r="FN425" i="44"/>
  <c r="FM425" i="44"/>
  <c r="FL425" i="44"/>
  <c r="FK425" i="44"/>
  <c r="FJ425" i="44"/>
  <c r="FI425" i="44"/>
  <c r="FH425" i="44"/>
  <c r="FG425" i="44"/>
  <c r="FF425" i="44"/>
  <c r="FE425" i="44"/>
  <c r="FD425" i="44"/>
  <c r="FC425" i="44"/>
  <c r="FB425" i="44"/>
  <c r="FA425" i="44"/>
  <c r="EZ425" i="44"/>
  <c r="EY425" i="44"/>
  <c r="EX425" i="44"/>
  <c r="EW425" i="44"/>
  <c r="EV425" i="44"/>
  <c r="EU425" i="44"/>
  <c r="ES425" i="44"/>
  <c r="ER425" i="44"/>
  <c r="EQ425" i="44"/>
  <c r="EP425" i="44"/>
  <c r="EO425" i="44"/>
  <c r="EN425" i="44"/>
  <c r="EM425" i="44"/>
  <c r="EL425" i="44"/>
  <c r="EK425" i="44"/>
  <c r="EJ425" i="44"/>
  <c r="EI425" i="44"/>
  <c r="EH425" i="44"/>
  <c r="EG425" i="44"/>
  <c r="EF425" i="44"/>
  <c r="EE425" i="44"/>
  <c r="ED425" i="44"/>
  <c r="EC425" i="44"/>
  <c r="EB425" i="44"/>
  <c r="EA425" i="44"/>
  <c r="DZ425" i="44"/>
  <c r="DY425" i="44"/>
  <c r="DX425" i="44"/>
  <c r="DW425" i="44"/>
  <c r="GM424" i="44"/>
  <c r="GK424" i="44"/>
  <c r="GJ424" i="44"/>
  <c r="GI424" i="44"/>
  <c r="GH424" i="44"/>
  <c r="GG424" i="44"/>
  <c r="GF424" i="44"/>
  <c r="GE424" i="44"/>
  <c r="GD424" i="44"/>
  <c r="GC424" i="44"/>
  <c r="GB424" i="44"/>
  <c r="GA424" i="44"/>
  <c r="FZ424" i="44"/>
  <c r="FY424" i="44"/>
  <c r="FT424" i="44"/>
  <c r="FS424" i="44"/>
  <c r="FR424" i="44"/>
  <c r="FQ424" i="44"/>
  <c r="FP424" i="44"/>
  <c r="FO424" i="44"/>
  <c r="FN424" i="44"/>
  <c r="FM424" i="44"/>
  <c r="FL424" i="44"/>
  <c r="FK424" i="44"/>
  <c r="FJ424" i="44"/>
  <c r="FI424" i="44"/>
  <c r="FH424" i="44"/>
  <c r="FG424" i="44"/>
  <c r="FF424" i="44"/>
  <c r="FE424" i="44"/>
  <c r="FD424" i="44"/>
  <c r="FC424" i="44"/>
  <c r="FB424" i="44"/>
  <c r="FA424" i="44"/>
  <c r="EZ424" i="44"/>
  <c r="EY424" i="44"/>
  <c r="EX424" i="44"/>
  <c r="EW424" i="44"/>
  <c r="EV424" i="44"/>
  <c r="EU424" i="44"/>
  <c r="ES424" i="44"/>
  <c r="ER424" i="44"/>
  <c r="EQ424" i="44"/>
  <c r="EP424" i="44"/>
  <c r="EO424" i="44"/>
  <c r="EN424" i="44"/>
  <c r="EM424" i="44"/>
  <c r="EL424" i="44"/>
  <c r="EK424" i="44"/>
  <c r="EJ424" i="44"/>
  <c r="EI424" i="44"/>
  <c r="EH424" i="44"/>
  <c r="EG424" i="44"/>
  <c r="EF424" i="44"/>
  <c r="EE424" i="44"/>
  <c r="ED424" i="44"/>
  <c r="EC424" i="44"/>
  <c r="EB424" i="44"/>
  <c r="EA424" i="44"/>
  <c r="DZ424" i="44"/>
  <c r="DY424" i="44"/>
  <c r="DX424" i="44"/>
  <c r="DW424" i="44"/>
  <c r="GM423" i="44"/>
  <c r="GK423" i="44"/>
  <c r="GJ423" i="44"/>
  <c r="GI423" i="44"/>
  <c r="GH423" i="44"/>
  <c r="GG423" i="44"/>
  <c r="GF423" i="44"/>
  <c r="GE423" i="44"/>
  <c r="GD423" i="44"/>
  <c r="GC423" i="44"/>
  <c r="GB423" i="44"/>
  <c r="GA423" i="44"/>
  <c r="FZ423" i="44"/>
  <c r="FY423" i="44"/>
  <c r="FT423" i="44"/>
  <c r="FS423" i="44"/>
  <c r="FR423" i="44"/>
  <c r="FQ423" i="44"/>
  <c r="FP423" i="44"/>
  <c r="FO423" i="44"/>
  <c r="FN423" i="44"/>
  <c r="FM423" i="44"/>
  <c r="FL423" i="44"/>
  <c r="FK423" i="44"/>
  <c r="FJ423" i="44"/>
  <c r="FI423" i="44"/>
  <c r="FH423" i="44"/>
  <c r="FG423" i="44"/>
  <c r="FF423" i="44"/>
  <c r="FE423" i="44"/>
  <c r="FD423" i="44"/>
  <c r="FC423" i="44"/>
  <c r="FB423" i="44"/>
  <c r="FA423" i="44"/>
  <c r="EZ423" i="44"/>
  <c r="EY423" i="44"/>
  <c r="EX423" i="44"/>
  <c r="EW423" i="44"/>
  <c r="EV423" i="44"/>
  <c r="EU423" i="44"/>
  <c r="ES423" i="44"/>
  <c r="ER423" i="44"/>
  <c r="EQ423" i="44"/>
  <c r="EP423" i="44"/>
  <c r="EO423" i="44"/>
  <c r="EN423" i="44"/>
  <c r="EM423" i="44"/>
  <c r="EL423" i="44"/>
  <c r="EK423" i="44"/>
  <c r="EJ423" i="44"/>
  <c r="EI423" i="44"/>
  <c r="EH423" i="44"/>
  <c r="EG423" i="44"/>
  <c r="EF423" i="44"/>
  <c r="EE423" i="44"/>
  <c r="ED423" i="44"/>
  <c r="EC423" i="44"/>
  <c r="EB423" i="44"/>
  <c r="EA423" i="44"/>
  <c r="DZ423" i="44"/>
  <c r="DY423" i="44"/>
  <c r="DX423" i="44"/>
  <c r="DW423" i="44"/>
  <c r="GM422" i="44"/>
  <c r="GK422" i="44"/>
  <c r="GJ422" i="44"/>
  <c r="GI422" i="44"/>
  <c r="GH422" i="44"/>
  <c r="GG422" i="44"/>
  <c r="GF422" i="44"/>
  <c r="GE422" i="44"/>
  <c r="GD422" i="44"/>
  <c r="GC422" i="44"/>
  <c r="GB422" i="44"/>
  <c r="GA422" i="44"/>
  <c r="FZ422" i="44"/>
  <c r="FY422" i="44"/>
  <c r="FT422" i="44"/>
  <c r="FS422" i="44"/>
  <c r="FR422" i="44"/>
  <c r="FQ422" i="44"/>
  <c r="FP422" i="44"/>
  <c r="FO422" i="44"/>
  <c r="FN422" i="44"/>
  <c r="FM422" i="44"/>
  <c r="FL422" i="44"/>
  <c r="FK422" i="44"/>
  <c r="FJ422" i="44"/>
  <c r="FI422" i="44"/>
  <c r="FH422" i="44"/>
  <c r="FG422" i="44"/>
  <c r="FF422" i="44"/>
  <c r="FE422" i="44"/>
  <c r="FD422" i="44"/>
  <c r="FC422" i="44"/>
  <c r="FB422" i="44"/>
  <c r="FA422" i="44"/>
  <c r="EZ422" i="44"/>
  <c r="EY422" i="44"/>
  <c r="EX422" i="44"/>
  <c r="EW422" i="44"/>
  <c r="EV422" i="44"/>
  <c r="EU422" i="44"/>
  <c r="ES422" i="44"/>
  <c r="ER422" i="44"/>
  <c r="EQ422" i="44"/>
  <c r="EP422" i="44"/>
  <c r="EO422" i="44"/>
  <c r="EN422" i="44"/>
  <c r="EM422" i="44"/>
  <c r="EL422" i="44"/>
  <c r="EK422" i="44"/>
  <c r="EJ422" i="44"/>
  <c r="EI422" i="44"/>
  <c r="EH422" i="44"/>
  <c r="EG422" i="44"/>
  <c r="EF422" i="44"/>
  <c r="EE422" i="44"/>
  <c r="ED422" i="44"/>
  <c r="EC422" i="44"/>
  <c r="EB422" i="44"/>
  <c r="EA422" i="44"/>
  <c r="DZ422" i="44"/>
  <c r="DY422" i="44"/>
  <c r="DX422" i="44"/>
  <c r="DW422" i="44"/>
  <c r="GM421" i="44"/>
  <c r="GK421" i="44"/>
  <c r="GJ421" i="44"/>
  <c r="GI421" i="44"/>
  <c r="GH421" i="44"/>
  <c r="GG421" i="44"/>
  <c r="GF421" i="44"/>
  <c r="GE421" i="44"/>
  <c r="GD421" i="44"/>
  <c r="GC421" i="44"/>
  <c r="GB421" i="44"/>
  <c r="GA421" i="44"/>
  <c r="FZ421" i="44"/>
  <c r="FY421" i="44"/>
  <c r="FT421" i="44"/>
  <c r="FS421" i="44"/>
  <c r="FR421" i="44"/>
  <c r="FQ421" i="44"/>
  <c r="FP421" i="44"/>
  <c r="FO421" i="44"/>
  <c r="FN421" i="44"/>
  <c r="FM421" i="44"/>
  <c r="FL421" i="44"/>
  <c r="FK421" i="44"/>
  <c r="FJ421" i="44"/>
  <c r="FI421" i="44"/>
  <c r="FH421" i="44"/>
  <c r="FG421" i="44"/>
  <c r="FF421" i="44"/>
  <c r="FE421" i="44"/>
  <c r="FD421" i="44"/>
  <c r="FC421" i="44"/>
  <c r="FB421" i="44"/>
  <c r="FA421" i="44"/>
  <c r="EZ421" i="44"/>
  <c r="EY421" i="44"/>
  <c r="EX421" i="44"/>
  <c r="EW421" i="44"/>
  <c r="EV421" i="44"/>
  <c r="EU421" i="44"/>
  <c r="ES421" i="44"/>
  <c r="ER421" i="44"/>
  <c r="EQ421" i="44"/>
  <c r="EP421" i="44"/>
  <c r="EO421" i="44"/>
  <c r="EN421" i="44"/>
  <c r="EM421" i="44"/>
  <c r="EL421" i="44"/>
  <c r="EK421" i="44"/>
  <c r="EJ421" i="44"/>
  <c r="EI421" i="44"/>
  <c r="EH421" i="44"/>
  <c r="EG421" i="44"/>
  <c r="EF421" i="44"/>
  <c r="EE421" i="44"/>
  <c r="ED421" i="44"/>
  <c r="EC421" i="44"/>
  <c r="EB421" i="44"/>
  <c r="EA421" i="44"/>
  <c r="DZ421" i="44"/>
  <c r="DY421" i="44"/>
  <c r="DX421" i="44"/>
  <c r="DW421" i="44"/>
  <c r="GM420" i="44"/>
  <c r="GK420" i="44"/>
  <c r="GJ420" i="44"/>
  <c r="GI420" i="44"/>
  <c r="GH420" i="44"/>
  <c r="GG420" i="44"/>
  <c r="GF420" i="44"/>
  <c r="GE420" i="44"/>
  <c r="GD420" i="44"/>
  <c r="GC420" i="44"/>
  <c r="GB420" i="44"/>
  <c r="GA420" i="44"/>
  <c r="FZ420" i="44"/>
  <c r="FY420" i="44"/>
  <c r="FT420" i="44"/>
  <c r="FS420" i="44"/>
  <c r="FR420" i="44"/>
  <c r="FQ420" i="44"/>
  <c r="FP420" i="44"/>
  <c r="FO420" i="44"/>
  <c r="FN420" i="44"/>
  <c r="FM420" i="44"/>
  <c r="FL420" i="44"/>
  <c r="FK420" i="44"/>
  <c r="FJ420" i="44"/>
  <c r="FI420" i="44"/>
  <c r="FH420" i="44"/>
  <c r="FG420" i="44"/>
  <c r="FF420" i="44"/>
  <c r="FE420" i="44"/>
  <c r="FD420" i="44"/>
  <c r="FC420" i="44"/>
  <c r="FB420" i="44"/>
  <c r="FA420" i="44"/>
  <c r="EZ420" i="44"/>
  <c r="EY420" i="44"/>
  <c r="EX420" i="44"/>
  <c r="EW420" i="44"/>
  <c r="EV420" i="44"/>
  <c r="EU420" i="44"/>
  <c r="ES420" i="44"/>
  <c r="ER420" i="44"/>
  <c r="EQ420" i="44"/>
  <c r="EP420" i="44"/>
  <c r="EO420" i="44"/>
  <c r="EN420" i="44"/>
  <c r="EM420" i="44"/>
  <c r="EL420" i="44"/>
  <c r="EK420" i="44"/>
  <c r="EJ420" i="44"/>
  <c r="EI420" i="44"/>
  <c r="EH420" i="44"/>
  <c r="EG420" i="44"/>
  <c r="EF420" i="44"/>
  <c r="EE420" i="44"/>
  <c r="ED420" i="44"/>
  <c r="EC420" i="44"/>
  <c r="EB420" i="44"/>
  <c r="EA420" i="44"/>
  <c r="DZ420" i="44"/>
  <c r="DY420" i="44"/>
  <c r="DX420" i="44"/>
  <c r="DW420" i="44"/>
  <c r="GM419" i="44"/>
  <c r="GK419" i="44"/>
  <c r="GJ419" i="44"/>
  <c r="GI419" i="44"/>
  <c r="GH419" i="44"/>
  <c r="GG419" i="44"/>
  <c r="GF419" i="44"/>
  <c r="GE419" i="44"/>
  <c r="GD419" i="44"/>
  <c r="GC419" i="44"/>
  <c r="GB419" i="44"/>
  <c r="GA419" i="44"/>
  <c r="FZ419" i="44"/>
  <c r="FY419" i="44"/>
  <c r="FT419" i="44"/>
  <c r="FS419" i="44"/>
  <c r="FR419" i="44"/>
  <c r="FQ419" i="44"/>
  <c r="FP419" i="44"/>
  <c r="FO419" i="44"/>
  <c r="FN419" i="44"/>
  <c r="FM419" i="44"/>
  <c r="FL419" i="44"/>
  <c r="FK419" i="44"/>
  <c r="FJ419" i="44"/>
  <c r="FI419" i="44"/>
  <c r="FH419" i="44"/>
  <c r="FG419" i="44"/>
  <c r="FF419" i="44"/>
  <c r="FE419" i="44"/>
  <c r="FD419" i="44"/>
  <c r="FC419" i="44"/>
  <c r="FB419" i="44"/>
  <c r="FA419" i="44"/>
  <c r="EZ419" i="44"/>
  <c r="EY419" i="44"/>
  <c r="EX419" i="44"/>
  <c r="EW419" i="44"/>
  <c r="EV419" i="44"/>
  <c r="EU419" i="44"/>
  <c r="ES419" i="44"/>
  <c r="ER419" i="44"/>
  <c r="EQ419" i="44"/>
  <c r="EP419" i="44"/>
  <c r="EO419" i="44"/>
  <c r="EN419" i="44"/>
  <c r="EM419" i="44"/>
  <c r="EL419" i="44"/>
  <c r="EK419" i="44"/>
  <c r="EJ419" i="44"/>
  <c r="EI419" i="44"/>
  <c r="EH419" i="44"/>
  <c r="EG419" i="44"/>
  <c r="EF419" i="44"/>
  <c r="EE419" i="44"/>
  <c r="ED419" i="44"/>
  <c r="EC419" i="44"/>
  <c r="EB419" i="44"/>
  <c r="EA419" i="44"/>
  <c r="DZ419" i="44"/>
  <c r="DY419" i="44"/>
  <c r="DX419" i="44"/>
  <c r="DW419" i="44"/>
  <c r="GM418" i="44"/>
  <c r="GK418" i="44"/>
  <c r="GJ418" i="44"/>
  <c r="GI418" i="44"/>
  <c r="GH418" i="44"/>
  <c r="GG418" i="44"/>
  <c r="GF418" i="44"/>
  <c r="GE418" i="44"/>
  <c r="GD418" i="44"/>
  <c r="GC418" i="44"/>
  <c r="GB418" i="44"/>
  <c r="GA418" i="44"/>
  <c r="FZ418" i="44"/>
  <c r="FY418" i="44"/>
  <c r="FT418" i="44"/>
  <c r="FS418" i="44"/>
  <c r="FR418" i="44"/>
  <c r="FQ418" i="44"/>
  <c r="FP418" i="44"/>
  <c r="FO418" i="44"/>
  <c r="FN418" i="44"/>
  <c r="FM418" i="44"/>
  <c r="FL418" i="44"/>
  <c r="FK418" i="44"/>
  <c r="FJ418" i="44"/>
  <c r="FI418" i="44"/>
  <c r="FH418" i="44"/>
  <c r="FG418" i="44"/>
  <c r="FF418" i="44"/>
  <c r="FE418" i="44"/>
  <c r="FD418" i="44"/>
  <c r="FC418" i="44"/>
  <c r="FB418" i="44"/>
  <c r="FA418" i="44"/>
  <c r="EZ418" i="44"/>
  <c r="EY418" i="44"/>
  <c r="EX418" i="44"/>
  <c r="EW418" i="44"/>
  <c r="EV418" i="44"/>
  <c r="EU418" i="44"/>
  <c r="ES418" i="44"/>
  <c r="ER418" i="44"/>
  <c r="EQ418" i="44"/>
  <c r="EP418" i="44"/>
  <c r="EO418" i="44"/>
  <c r="EN418" i="44"/>
  <c r="EM418" i="44"/>
  <c r="EL418" i="44"/>
  <c r="EK418" i="44"/>
  <c r="EJ418" i="44"/>
  <c r="EI418" i="44"/>
  <c r="EH418" i="44"/>
  <c r="EG418" i="44"/>
  <c r="EF418" i="44"/>
  <c r="EE418" i="44"/>
  <c r="ED418" i="44"/>
  <c r="EC418" i="44"/>
  <c r="EB418" i="44"/>
  <c r="EA418" i="44"/>
  <c r="DZ418" i="44"/>
  <c r="DY418" i="44"/>
  <c r="DX418" i="44"/>
  <c r="DW418" i="44"/>
  <c r="GM417" i="44"/>
  <c r="GK417" i="44"/>
  <c r="GJ417" i="44"/>
  <c r="GI417" i="44"/>
  <c r="GH417" i="44"/>
  <c r="GG417" i="44"/>
  <c r="GF417" i="44"/>
  <c r="GE417" i="44"/>
  <c r="GD417" i="44"/>
  <c r="GC417" i="44"/>
  <c r="GB417" i="44"/>
  <c r="GA417" i="44"/>
  <c r="FZ417" i="44"/>
  <c r="FY417" i="44"/>
  <c r="FT417" i="44"/>
  <c r="FS417" i="44"/>
  <c r="FR417" i="44"/>
  <c r="FQ417" i="44"/>
  <c r="FP417" i="44"/>
  <c r="FO417" i="44"/>
  <c r="FN417" i="44"/>
  <c r="FM417" i="44"/>
  <c r="FL417" i="44"/>
  <c r="FK417" i="44"/>
  <c r="FJ417" i="44"/>
  <c r="FI417" i="44"/>
  <c r="FH417" i="44"/>
  <c r="FG417" i="44"/>
  <c r="FF417" i="44"/>
  <c r="FE417" i="44"/>
  <c r="FD417" i="44"/>
  <c r="FC417" i="44"/>
  <c r="FB417" i="44"/>
  <c r="FA417" i="44"/>
  <c r="EZ417" i="44"/>
  <c r="EY417" i="44"/>
  <c r="EX417" i="44"/>
  <c r="EW417" i="44"/>
  <c r="EV417" i="44"/>
  <c r="EU417" i="44"/>
  <c r="ES417" i="44"/>
  <c r="ER417" i="44"/>
  <c r="EQ417" i="44"/>
  <c r="EP417" i="44"/>
  <c r="EO417" i="44"/>
  <c r="EN417" i="44"/>
  <c r="EM417" i="44"/>
  <c r="EL417" i="44"/>
  <c r="EK417" i="44"/>
  <c r="EJ417" i="44"/>
  <c r="EI417" i="44"/>
  <c r="EH417" i="44"/>
  <c r="EG417" i="44"/>
  <c r="EF417" i="44"/>
  <c r="EE417" i="44"/>
  <c r="ED417" i="44"/>
  <c r="EC417" i="44"/>
  <c r="EB417" i="44"/>
  <c r="EA417" i="44"/>
  <c r="DZ417" i="44"/>
  <c r="DY417" i="44"/>
  <c r="DX417" i="44"/>
  <c r="DW417" i="44"/>
  <c r="GM416" i="44"/>
  <c r="GK416" i="44"/>
  <c r="GJ416" i="44"/>
  <c r="GI416" i="44"/>
  <c r="GH416" i="44"/>
  <c r="GG416" i="44"/>
  <c r="GF416" i="44"/>
  <c r="GE416" i="44"/>
  <c r="GD416" i="44"/>
  <c r="GC416" i="44"/>
  <c r="GB416" i="44"/>
  <c r="GA416" i="44"/>
  <c r="FZ416" i="44"/>
  <c r="FY416" i="44"/>
  <c r="FT416" i="44"/>
  <c r="FS416" i="44"/>
  <c r="FR416" i="44"/>
  <c r="FQ416" i="44"/>
  <c r="FP416" i="44"/>
  <c r="FO416" i="44"/>
  <c r="FN416" i="44"/>
  <c r="FM416" i="44"/>
  <c r="FL416" i="44"/>
  <c r="FK416" i="44"/>
  <c r="FJ416" i="44"/>
  <c r="FI416" i="44"/>
  <c r="FH416" i="44"/>
  <c r="FG416" i="44"/>
  <c r="FF416" i="44"/>
  <c r="FE416" i="44"/>
  <c r="FD416" i="44"/>
  <c r="FC416" i="44"/>
  <c r="FB416" i="44"/>
  <c r="FA416" i="44"/>
  <c r="EZ416" i="44"/>
  <c r="EY416" i="44"/>
  <c r="EX416" i="44"/>
  <c r="EW416" i="44"/>
  <c r="EV416" i="44"/>
  <c r="EU416" i="44"/>
  <c r="ES416" i="44"/>
  <c r="ER416" i="44"/>
  <c r="EQ416" i="44"/>
  <c r="EP416" i="44"/>
  <c r="EO416" i="44"/>
  <c r="EN416" i="44"/>
  <c r="EM416" i="44"/>
  <c r="EL416" i="44"/>
  <c r="EK416" i="44"/>
  <c r="EJ416" i="44"/>
  <c r="EI416" i="44"/>
  <c r="EH416" i="44"/>
  <c r="EG416" i="44"/>
  <c r="EF416" i="44"/>
  <c r="EE416" i="44"/>
  <c r="ED416" i="44"/>
  <c r="EC416" i="44"/>
  <c r="EB416" i="44"/>
  <c r="EA416" i="44"/>
  <c r="DZ416" i="44"/>
  <c r="DY416" i="44"/>
  <c r="DX416" i="44"/>
  <c r="DW416" i="44"/>
  <c r="GM415" i="44"/>
  <c r="GK415" i="44"/>
  <c r="GJ415" i="44"/>
  <c r="GI415" i="44"/>
  <c r="GH415" i="44"/>
  <c r="GG415" i="44"/>
  <c r="GF415" i="44"/>
  <c r="GE415" i="44"/>
  <c r="GD415" i="44"/>
  <c r="GC415" i="44"/>
  <c r="GB415" i="44"/>
  <c r="GA415" i="44"/>
  <c r="FZ415" i="44"/>
  <c r="FY415" i="44"/>
  <c r="FT415" i="44"/>
  <c r="FS415" i="44"/>
  <c r="FR415" i="44"/>
  <c r="FQ415" i="44"/>
  <c r="FP415" i="44"/>
  <c r="FO415" i="44"/>
  <c r="FN415" i="44"/>
  <c r="FM415" i="44"/>
  <c r="FL415" i="44"/>
  <c r="FK415" i="44"/>
  <c r="FJ415" i="44"/>
  <c r="FI415" i="44"/>
  <c r="FH415" i="44"/>
  <c r="FG415" i="44"/>
  <c r="FF415" i="44"/>
  <c r="FE415" i="44"/>
  <c r="FD415" i="44"/>
  <c r="FC415" i="44"/>
  <c r="FB415" i="44"/>
  <c r="FA415" i="44"/>
  <c r="EZ415" i="44"/>
  <c r="EY415" i="44"/>
  <c r="EX415" i="44"/>
  <c r="EW415" i="44"/>
  <c r="EV415" i="44"/>
  <c r="EU415" i="44"/>
  <c r="ES415" i="44"/>
  <c r="ER415" i="44"/>
  <c r="EQ415" i="44"/>
  <c r="EP415" i="44"/>
  <c r="EO415" i="44"/>
  <c r="EN415" i="44"/>
  <c r="EM415" i="44"/>
  <c r="EL415" i="44"/>
  <c r="EK415" i="44"/>
  <c r="EJ415" i="44"/>
  <c r="EI415" i="44"/>
  <c r="EH415" i="44"/>
  <c r="EG415" i="44"/>
  <c r="EF415" i="44"/>
  <c r="EE415" i="44"/>
  <c r="ED415" i="44"/>
  <c r="EC415" i="44"/>
  <c r="EB415" i="44"/>
  <c r="EA415" i="44"/>
  <c r="DZ415" i="44"/>
  <c r="DY415" i="44"/>
  <c r="DX415" i="44"/>
  <c r="DW415" i="44"/>
  <c r="GM414" i="44"/>
  <c r="GK414" i="44"/>
  <c r="GJ414" i="44"/>
  <c r="GI414" i="44"/>
  <c r="GH414" i="44"/>
  <c r="GG414" i="44"/>
  <c r="GF414" i="44"/>
  <c r="GE414" i="44"/>
  <c r="GD414" i="44"/>
  <c r="GC414" i="44"/>
  <c r="GB414" i="44"/>
  <c r="GA414" i="44"/>
  <c r="FZ414" i="44"/>
  <c r="FY414" i="44"/>
  <c r="FT414" i="44"/>
  <c r="FS414" i="44"/>
  <c r="FR414" i="44"/>
  <c r="FQ414" i="44"/>
  <c r="FP414" i="44"/>
  <c r="FO414" i="44"/>
  <c r="FN414" i="44"/>
  <c r="FM414" i="44"/>
  <c r="FL414" i="44"/>
  <c r="FK414" i="44"/>
  <c r="FJ414" i="44"/>
  <c r="FI414" i="44"/>
  <c r="FH414" i="44"/>
  <c r="FG414" i="44"/>
  <c r="FF414" i="44"/>
  <c r="FE414" i="44"/>
  <c r="FD414" i="44"/>
  <c r="FC414" i="44"/>
  <c r="FB414" i="44"/>
  <c r="FA414" i="44"/>
  <c r="EZ414" i="44"/>
  <c r="EY414" i="44"/>
  <c r="EX414" i="44"/>
  <c r="EW414" i="44"/>
  <c r="EV414" i="44"/>
  <c r="EU414" i="44"/>
  <c r="ES414" i="44"/>
  <c r="ER414" i="44"/>
  <c r="EM414" i="44"/>
  <c r="EL414" i="44"/>
  <c r="EK414" i="44"/>
  <c r="EJ414" i="44"/>
  <c r="EI414" i="44"/>
  <c r="EH414" i="44"/>
  <c r="EG414" i="44"/>
  <c r="EE414" i="44"/>
  <c r="ED414" i="44"/>
  <c r="EC414" i="44"/>
  <c r="DZ414" i="44"/>
  <c r="DW414" i="44"/>
  <c r="GM413" i="44"/>
  <c r="GK413" i="44"/>
  <c r="GJ413" i="44"/>
  <c r="GI413" i="44"/>
  <c r="GH413" i="44"/>
  <c r="GG413" i="44"/>
  <c r="GF413" i="44"/>
  <c r="GE413" i="44"/>
  <c r="GD413" i="44"/>
  <c r="GC413" i="44"/>
  <c r="GB413" i="44"/>
  <c r="GA413" i="44"/>
  <c r="FZ413" i="44"/>
  <c r="FY413" i="44"/>
  <c r="FT413" i="44"/>
  <c r="FS413" i="44"/>
  <c r="FR413" i="44"/>
  <c r="FQ413" i="44"/>
  <c r="FP413" i="44"/>
  <c r="FO413" i="44"/>
  <c r="FN413" i="44"/>
  <c r="FM413" i="44"/>
  <c r="FL413" i="44"/>
  <c r="FK413" i="44"/>
  <c r="FJ413" i="44"/>
  <c r="FI413" i="44"/>
  <c r="FH413" i="44"/>
  <c r="FG413" i="44"/>
  <c r="FF413" i="44"/>
  <c r="FE413" i="44"/>
  <c r="FD413" i="44"/>
  <c r="FC413" i="44"/>
  <c r="FB413" i="44"/>
  <c r="FA413" i="44"/>
  <c r="EZ413" i="44"/>
  <c r="EY413" i="44"/>
  <c r="EX413" i="44"/>
  <c r="EW413" i="44"/>
  <c r="EV413" i="44"/>
  <c r="EU413" i="44"/>
  <c r="ES413" i="44"/>
  <c r="ER413" i="44"/>
  <c r="EM413" i="44"/>
  <c r="EL413" i="44"/>
  <c r="EK413" i="44"/>
  <c r="EJ413" i="44"/>
  <c r="EI413" i="44"/>
  <c r="EH413" i="44"/>
  <c r="EG413" i="44"/>
  <c r="EE413" i="44"/>
  <c r="ED413" i="44"/>
  <c r="EC413" i="44"/>
  <c r="DZ413" i="44"/>
  <c r="DW413" i="44"/>
  <c r="GM412" i="44"/>
  <c r="GK412" i="44"/>
  <c r="GJ412" i="44"/>
  <c r="GI412" i="44"/>
  <c r="GH412" i="44"/>
  <c r="GG412" i="44"/>
  <c r="GF412" i="44"/>
  <c r="GE412" i="44"/>
  <c r="GD412" i="44"/>
  <c r="GC412" i="44"/>
  <c r="GB412" i="44"/>
  <c r="GA412" i="44"/>
  <c r="FZ412" i="44"/>
  <c r="FY412" i="44"/>
  <c r="FT412" i="44"/>
  <c r="FS412" i="44"/>
  <c r="FR412" i="44"/>
  <c r="FQ412" i="44"/>
  <c r="FP412" i="44"/>
  <c r="FO412" i="44"/>
  <c r="FN412" i="44"/>
  <c r="FM412" i="44"/>
  <c r="FL412" i="44"/>
  <c r="FK412" i="44"/>
  <c r="FJ412" i="44"/>
  <c r="FI412" i="44"/>
  <c r="FH412" i="44"/>
  <c r="FG412" i="44"/>
  <c r="FF412" i="44"/>
  <c r="FE412" i="44"/>
  <c r="FD412" i="44"/>
  <c r="FC412" i="44"/>
  <c r="FB412" i="44"/>
  <c r="FA412" i="44"/>
  <c r="EZ412" i="44"/>
  <c r="EY412" i="44"/>
  <c r="EX412" i="44"/>
  <c r="EW412" i="44"/>
  <c r="EU412" i="44"/>
  <c r="ES412" i="44"/>
  <c r="EQ412" i="44"/>
  <c r="EP412" i="44"/>
  <c r="EM412" i="44"/>
  <c r="EL412" i="44"/>
  <c r="EK412" i="44"/>
  <c r="EJ412" i="44"/>
  <c r="EI412" i="44"/>
  <c r="EH412" i="44"/>
  <c r="EG412" i="44"/>
  <c r="EE412" i="44"/>
  <c r="ED412" i="44"/>
  <c r="EC412" i="44"/>
  <c r="DZ412" i="44"/>
  <c r="DW412" i="44"/>
  <c r="GM411" i="44"/>
  <c r="GK411" i="44"/>
  <c r="GJ411" i="44"/>
  <c r="GI411" i="44"/>
  <c r="GH411" i="44"/>
  <c r="GG411" i="44"/>
  <c r="GF411" i="44"/>
  <c r="GE411" i="44"/>
  <c r="GD411" i="44"/>
  <c r="GC411" i="44"/>
  <c r="GB411" i="44"/>
  <c r="GA411" i="44"/>
  <c r="FZ411" i="44"/>
  <c r="FY411" i="44"/>
  <c r="FT411" i="44"/>
  <c r="FS411" i="44"/>
  <c r="FR411" i="44"/>
  <c r="FQ411" i="44"/>
  <c r="FP411" i="44"/>
  <c r="FO411" i="44"/>
  <c r="FN411" i="44"/>
  <c r="FM411" i="44"/>
  <c r="FL411" i="44"/>
  <c r="FK411" i="44"/>
  <c r="FJ411" i="44"/>
  <c r="FI411" i="44"/>
  <c r="FH411" i="44"/>
  <c r="FG411" i="44"/>
  <c r="FF411" i="44"/>
  <c r="FE411" i="44"/>
  <c r="FD411" i="44"/>
  <c r="FC411" i="44"/>
  <c r="FB411" i="44"/>
  <c r="FA411" i="44"/>
  <c r="EZ411" i="44"/>
  <c r="EY411" i="44"/>
  <c r="EX411" i="44"/>
  <c r="EW411" i="44"/>
  <c r="EU411" i="44"/>
  <c r="ES411" i="44"/>
  <c r="EQ411" i="44"/>
  <c r="EP411" i="44"/>
  <c r="EM411" i="44"/>
  <c r="EL411" i="44"/>
  <c r="EK411" i="44"/>
  <c r="EJ411" i="44"/>
  <c r="EI411" i="44"/>
  <c r="EH411" i="44"/>
  <c r="EG411" i="44"/>
  <c r="EE411" i="44"/>
  <c r="ED411" i="44"/>
  <c r="EC411" i="44"/>
  <c r="DZ411" i="44"/>
  <c r="DW411" i="44"/>
  <c r="GM410" i="44"/>
  <c r="GK410" i="44"/>
  <c r="GJ410" i="44"/>
  <c r="GI410" i="44"/>
  <c r="GH410" i="44"/>
  <c r="GG410" i="44"/>
  <c r="GF410" i="44"/>
  <c r="GE410" i="44"/>
  <c r="GD410" i="44"/>
  <c r="GC410" i="44"/>
  <c r="GB410" i="44"/>
  <c r="GA410" i="44"/>
  <c r="FZ410" i="44"/>
  <c r="FY410" i="44"/>
  <c r="FT410" i="44"/>
  <c r="FS410" i="44"/>
  <c r="FR410" i="44"/>
  <c r="FQ410" i="44"/>
  <c r="FP410" i="44"/>
  <c r="FO410" i="44"/>
  <c r="FN410" i="44"/>
  <c r="FM410" i="44"/>
  <c r="FL410" i="44"/>
  <c r="FK410" i="44"/>
  <c r="FJ410" i="44"/>
  <c r="FI410" i="44"/>
  <c r="FH410" i="44"/>
  <c r="FG410" i="44"/>
  <c r="FF410" i="44"/>
  <c r="FE410" i="44"/>
  <c r="FD410" i="44"/>
  <c r="FC410" i="44"/>
  <c r="FB410" i="44"/>
  <c r="FA410" i="44"/>
  <c r="EW410" i="44"/>
  <c r="EV410" i="44"/>
  <c r="EU410" i="44"/>
  <c r="ES410" i="44"/>
  <c r="ER410" i="44"/>
  <c r="EQ410" i="44"/>
  <c r="EP410" i="44"/>
  <c r="EO410" i="44"/>
  <c r="EN410" i="44"/>
  <c r="EM410" i="44"/>
  <c r="EL410" i="44"/>
  <c r="EK410" i="44"/>
  <c r="EJ410" i="44"/>
  <c r="EI410" i="44"/>
  <c r="EH410" i="44"/>
  <c r="EG410" i="44"/>
  <c r="EF410" i="44"/>
  <c r="EE410" i="44"/>
  <c r="ED410" i="44"/>
  <c r="EC410" i="44"/>
  <c r="EB410" i="44"/>
  <c r="EA410" i="44"/>
  <c r="DZ410" i="44"/>
  <c r="DY410" i="44"/>
  <c r="DX410" i="44"/>
  <c r="GM409" i="44"/>
  <c r="GK409" i="44"/>
  <c r="GJ409" i="44"/>
  <c r="GI409" i="44"/>
  <c r="GH409" i="44"/>
  <c r="GG409" i="44"/>
  <c r="GF409" i="44"/>
  <c r="GE409" i="44"/>
  <c r="GD409" i="44"/>
  <c r="GC409" i="44"/>
  <c r="GB409" i="44"/>
  <c r="GA409" i="44"/>
  <c r="FZ409" i="44"/>
  <c r="FY409" i="44"/>
  <c r="FT409" i="44"/>
  <c r="FS409" i="44"/>
  <c r="FR409" i="44"/>
  <c r="FQ409" i="44"/>
  <c r="FP409" i="44"/>
  <c r="FO409" i="44"/>
  <c r="FN409" i="44"/>
  <c r="FM409" i="44"/>
  <c r="FL409" i="44"/>
  <c r="FK409" i="44"/>
  <c r="FJ409" i="44"/>
  <c r="FI409" i="44"/>
  <c r="FH409" i="44"/>
  <c r="FG409" i="44"/>
  <c r="FF409" i="44"/>
  <c r="FE409" i="44"/>
  <c r="FD409" i="44"/>
  <c r="FC409" i="44"/>
  <c r="FB409" i="44"/>
  <c r="FA409" i="44"/>
  <c r="EW409" i="44"/>
  <c r="EV409" i="44"/>
  <c r="EU409" i="44"/>
  <c r="ES409" i="44"/>
  <c r="ER409" i="44"/>
  <c r="EQ409" i="44"/>
  <c r="EP409" i="44"/>
  <c r="EO409" i="44"/>
  <c r="EN409" i="44"/>
  <c r="EM409" i="44"/>
  <c r="EL409" i="44"/>
  <c r="EK409" i="44"/>
  <c r="EJ409" i="44"/>
  <c r="EI409" i="44"/>
  <c r="EH409" i="44"/>
  <c r="EG409" i="44"/>
  <c r="EF409" i="44"/>
  <c r="EE409" i="44"/>
  <c r="ED409" i="44"/>
  <c r="EC409" i="44"/>
  <c r="EB409" i="44"/>
  <c r="EA409" i="44"/>
  <c r="DZ409" i="44"/>
  <c r="DY409" i="44"/>
  <c r="DX409" i="44"/>
  <c r="GM408" i="44"/>
  <c r="GK408" i="44"/>
  <c r="GJ408" i="44"/>
  <c r="GI408" i="44"/>
  <c r="GH408" i="44"/>
  <c r="GG408" i="44"/>
  <c r="GF408" i="44"/>
  <c r="GE408" i="44"/>
  <c r="GD408" i="44"/>
  <c r="GC408" i="44"/>
  <c r="GB408" i="44"/>
  <c r="GA408" i="44"/>
  <c r="FZ408" i="44"/>
  <c r="FY408" i="44"/>
  <c r="FT408" i="44"/>
  <c r="FS408" i="44"/>
  <c r="FR408" i="44"/>
  <c r="FQ408" i="44"/>
  <c r="FP408" i="44"/>
  <c r="FO408" i="44"/>
  <c r="FN408" i="44"/>
  <c r="FM408" i="44"/>
  <c r="FL408" i="44"/>
  <c r="FK408" i="44"/>
  <c r="FJ408" i="44"/>
  <c r="FI408" i="44"/>
  <c r="FH408" i="44"/>
  <c r="FG408" i="44"/>
  <c r="FF408" i="44"/>
  <c r="FE408" i="44"/>
  <c r="FD408" i="44"/>
  <c r="FC408" i="44"/>
  <c r="FB408" i="44"/>
  <c r="FA408" i="44"/>
  <c r="EZ408" i="44"/>
  <c r="EY408" i="44"/>
  <c r="EX408" i="44"/>
  <c r="EW408" i="44"/>
  <c r="EV408" i="44"/>
  <c r="EU408" i="44"/>
  <c r="ES408" i="44"/>
  <c r="ER408" i="44"/>
  <c r="EQ408" i="44"/>
  <c r="EP408" i="44"/>
  <c r="EO408" i="44"/>
  <c r="EN408" i="44"/>
  <c r="EM408" i="44"/>
  <c r="EL408" i="44"/>
  <c r="EK408" i="44"/>
  <c r="EJ408" i="44"/>
  <c r="EI408" i="44"/>
  <c r="EH408" i="44"/>
  <c r="EG408" i="44"/>
  <c r="EF408" i="44"/>
  <c r="EE408" i="44"/>
  <c r="ED408" i="44"/>
  <c r="EC408" i="44"/>
  <c r="EB408" i="44"/>
  <c r="EA408" i="44"/>
  <c r="DZ408" i="44"/>
  <c r="DY408" i="44"/>
  <c r="DX408" i="44"/>
  <c r="GM407" i="44"/>
  <c r="GK407" i="44"/>
  <c r="GJ407" i="44"/>
  <c r="GI407" i="44"/>
  <c r="GH407" i="44"/>
  <c r="GG407" i="44"/>
  <c r="GF407" i="44"/>
  <c r="GE407" i="44"/>
  <c r="GD407" i="44"/>
  <c r="GC407" i="44"/>
  <c r="GB407" i="44"/>
  <c r="GA407" i="44"/>
  <c r="FZ407" i="44"/>
  <c r="FY407" i="44"/>
  <c r="FT407" i="44"/>
  <c r="FS407" i="44"/>
  <c r="FR407" i="44"/>
  <c r="FQ407" i="44"/>
  <c r="FP407" i="44"/>
  <c r="FO407" i="44"/>
  <c r="FN407" i="44"/>
  <c r="FM407" i="44"/>
  <c r="FL407" i="44"/>
  <c r="FK407" i="44"/>
  <c r="FJ407" i="44"/>
  <c r="FI407" i="44"/>
  <c r="FH407" i="44"/>
  <c r="FG407" i="44"/>
  <c r="FF407" i="44"/>
  <c r="FE407" i="44"/>
  <c r="FD407" i="44"/>
  <c r="FC407" i="44"/>
  <c r="FB407" i="44"/>
  <c r="FA407" i="44"/>
  <c r="EZ407" i="44"/>
  <c r="EY407" i="44"/>
  <c r="EX407" i="44"/>
  <c r="EW407" i="44"/>
  <c r="EV407" i="44"/>
  <c r="EU407" i="44"/>
  <c r="ES407" i="44"/>
  <c r="ER407" i="44"/>
  <c r="EQ407" i="44"/>
  <c r="EP407" i="44"/>
  <c r="EO407" i="44"/>
  <c r="EN407" i="44"/>
  <c r="EM407" i="44"/>
  <c r="EL407" i="44"/>
  <c r="EK407" i="44"/>
  <c r="EJ407" i="44"/>
  <c r="EI407" i="44"/>
  <c r="EH407" i="44"/>
  <c r="EG407" i="44"/>
  <c r="EF407" i="44"/>
  <c r="EE407" i="44"/>
  <c r="ED407" i="44"/>
  <c r="EC407" i="44"/>
  <c r="EB407" i="44"/>
  <c r="EA407" i="44"/>
  <c r="DZ407" i="44"/>
  <c r="DY407" i="44"/>
  <c r="DX407" i="44"/>
  <c r="GM406" i="44"/>
  <c r="GK406" i="44"/>
  <c r="GJ406" i="44"/>
  <c r="GI406" i="44"/>
  <c r="GH406" i="44"/>
  <c r="GG406" i="44"/>
  <c r="GF406" i="44"/>
  <c r="GE406" i="44"/>
  <c r="GD406" i="44"/>
  <c r="GC406" i="44"/>
  <c r="GB406" i="44"/>
  <c r="GA406" i="44"/>
  <c r="FZ406" i="44"/>
  <c r="FY406" i="44"/>
  <c r="FT406" i="44"/>
  <c r="FS406" i="44"/>
  <c r="FR406" i="44"/>
  <c r="FQ406" i="44"/>
  <c r="FP406" i="44"/>
  <c r="FO406" i="44"/>
  <c r="FN406" i="44"/>
  <c r="FM406" i="44"/>
  <c r="FL406" i="44"/>
  <c r="FK406" i="44"/>
  <c r="FJ406" i="44"/>
  <c r="FI406" i="44"/>
  <c r="FH406" i="44"/>
  <c r="FG406" i="44"/>
  <c r="FF406" i="44"/>
  <c r="FE406" i="44"/>
  <c r="FD406" i="44"/>
  <c r="FC406" i="44"/>
  <c r="FB406" i="44"/>
  <c r="FA406" i="44"/>
  <c r="EZ406" i="44"/>
  <c r="EY406" i="44"/>
  <c r="EX406" i="44"/>
  <c r="EW406" i="44"/>
  <c r="EV406" i="44"/>
  <c r="EU406" i="44"/>
  <c r="ES406" i="44"/>
  <c r="ER406" i="44"/>
  <c r="EQ406" i="44"/>
  <c r="EP406" i="44"/>
  <c r="EO406" i="44"/>
  <c r="EN406" i="44"/>
  <c r="EM406" i="44"/>
  <c r="EL406" i="44"/>
  <c r="EK406" i="44"/>
  <c r="EJ406" i="44"/>
  <c r="EI406" i="44"/>
  <c r="EH406" i="44"/>
  <c r="EG406" i="44"/>
  <c r="EF406" i="44"/>
  <c r="EE406" i="44"/>
  <c r="ED406" i="44"/>
  <c r="EC406" i="44"/>
  <c r="EB406" i="44"/>
  <c r="EA406" i="44"/>
  <c r="DZ406" i="44"/>
  <c r="DY406" i="44"/>
  <c r="DX406" i="44"/>
  <c r="DW406" i="44"/>
  <c r="GM405" i="44"/>
  <c r="GK405" i="44"/>
  <c r="GJ405" i="44"/>
  <c r="GI405" i="44"/>
  <c r="GH405" i="44"/>
  <c r="GG405" i="44"/>
  <c r="GF405" i="44"/>
  <c r="GE405" i="44"/>
  <c r="GD405" i="44"/>
  <c r="GC405" i="44"/>
  <c r="GB405" i="44"/>
  <c r="GA405" i="44"/>
  <c r="FZ405" i="44"/>
  <c r="FY405" i="44"/>
  <c r="FT405" i="44"/>
  <c r="FS405" i="44"/>
  <c r="FR405" i="44"/>
  <c r="FQ405" i="44"/>
  <c r="FP405" i="44"/>
  <c r="FO405" i="44"/>
  <c r="FN405" i="44"/>
  <c r="FM405" i="44"/>
  <c r="FL405" i="44"/>
  <c r="FK405" i="44"/>
  <c r="FJ405" i="44"/>
  <c r="FI405" i="44"/>
  <c r="FH405" i="44"/>
  <c r="FG405" i="44"/>
  <c r="FF405" i="44"/>
  <c r="FE405" i="44"/>
  <c r="FD405" i="44"/>
  <c r="FC405" i="44"/>
  <c r="FB405" i="44"/>
  <c r="FA405" i="44"/>
  <c r="EZ405" i="44"/>
  <c r="EY405" i="44"/>
  <c r="EX405" i="44"/>
  <c r="EW405" i="44"/>
  <c r="EV405" i="44"/>
  <c r="EU405" i="44"/>
  <c r="ES405" i="44"/>
  <c r="ER405" i="44"/>
  <c r="EQ405" i="44"/>
  <c r="EP405" i="44"/>
  <c r="EO405" i="44"/>
  <c r="EN405" i="44"/>
  <c r="EM405" i="44"/>
  <c r="EL405" i="44"/>
  <c r="EK405" i="44"/>
  <c r="EJ405" i="44"/>
  <c r="EI405" i="44"/>
  <c r="EH405" i="44"/>
  <c r="EG405" i="44"/>
  <c r="EF405" i="44"/>
  <c r="EE405" i="44"/>
  <c r="ED405" i="44"/>
  <c r="EC405" i="44"/>
  <c r="EB405" i="44"/>
  <c r="EA405" i="44"/>
  <c r="DZ405" i="44"/>
  <c r="DY405" i="44"/>
  <c r="DX405" i="44"/>
  <c r="DW405" i="44"/>
  <c r="GM404" i="44"/>
  <c r="GK404" i="44"/>
  <c r="GJ404" i="44"/>
  <c r="GI404" i="44"/>
  <c r="GH404" i="44"/>
  <c r="GG404" i="44"/>
  <c r="GF404" i="44"/>
  <c r="GE404" i="44"/>
  <c r="GD404" i="44"/>
  <c r="GC404" i="44"/>
  <c r="GB404" i="44"/>
  <c r="GA404" i="44"/>
  <c r="FZ404" i="44"/>
  <c r="FY404" i="44"/>
  <c r="FT404" i="44"/>
  <c r="FS404" i="44"/>
  <c r="FR404" i="44"/>
  <c r="FQ404" i="44"/>
  <c r="FP404" i="44"/>
  <c r="FO404" i="44"/>
  <c r="FN404" i="44"/>
  <c r="FM404" i="44"/>
  <c r="FL404" i="44"/>
  <c r="FK404" i="44"/>
  <c r="FJ404" i="44"/>
  <c r="FI404" i="44"/>
  <c r="FH404" i="44"/>
  <c r="FG404" i="44"/>
  <c r="FF404" i="44"/>
  <c r="FE404" i="44"/>
  <c r="FD404" i="44"/>
  <c r="FC404" i="44"/>
  <c r="FB404" i="44"/>
  <c r="FA404" i="44"/>
  <c r="EZ404" i="44"/>
  <c r="EY404" i="44"/>
  <c r="EX404" i="44"/>
  <c r="EW404" i="44"/>
  <c r="EV404" i="44"/>
  <c r="EU404" i="44"/>
  <c r="ES404" i="44"/>
  <c r="ER404" i="44"/>
  <c r="EQ404" i="44"/>
  <c r="EP404" i="44"/>
  <c r="EO404" i="44"/>
  <c r="EN404" i="44"/>
  <c r="EM404" i="44"/>
  <c r="EL404" i="44"/>
  <c r="EK404" i="44"/>
  <c r="EJ404" i="44"/>
  <c r="EI404" i="44"/>
  <c r="EG404" i="44"/>
  <c r="EE404" i="44"/>
  <c r="ED404" i="44"/>
  <c r="EC404" i="44"/>
  <c r="DZ404" i="44"/>
  <c r="DY404" i="44"/>
  <c r="DW404" i="44"/>
  <c r="GM403" i="44"/>
  <c r="GK403" i="44"/>
  <c r="GJ403" i="44"/>
  <c r="GI403" i="44"/>
  <c r="GH403" i="44"/>
  <c r="GG403" i="44"/>
  <c r="GF403" i="44"/>
  <c r="GE403" i="44"/>
  <c r="GD403" i="44"/>
  <c r="GC403" i="44"/>
  <c r="GB403" i="44"/>
  <c r="GA403" i="44"/>
  <c r="FZ403" i="44"/>
  <c r="FY403" i="44"/>
  <c r="FT403" i="44"/>
  <c r="FS403" i="44"/>
  <c r="FR403" i="44"/>
  <c r="FQ403" i="44"/>
  <c r="FP403" i="44"/>
  <c r="FO403" i="44"/>
  <c r="FN403" i="44"/>
  <c r="FM403" i="44"/>
  <c r="FL403" i="44"/>
  <c r="FK403" i="44"/>
  <c r="FJ403" i="44"/>
  <c r="FI403" i="44"/>
  <c r="FH403" i="44"/>
  <c r="FG403" i="44"/>
  <c r="FF403" i="44"/>
  <c r="FE403" i="44"/>
  <c r="FD403" i="44"/>
  <c r="FC403" i="44"/>
  <c r="FB403" i="44"/>
  <c r="FA403" i="44"/>
  <c r="EZ403" i="44"/>
  <c r="EY403" i="44"/>
  <c r="EX403" i="44"/>
  <c r="EW403" i="44"/>
  <c r="EV403" i="44"/>
  <c r="EU403" i="44"/>
  <c r="ES403" i="44"/>
  <c r="ER403" i="44"/>
  <c r="EQ403" i="44"/>
  <c r="EP403" i="44"/>
  <c r="EO403" i="44"/>
  <c r="EN403" i="44"/>
  <c r="EM403" i="44"/>
  <c r="EL403" i="44"/>
  <c r="EK403" i="44"/>
  <c r="EJ403" i="44"/>
  <c r="EI403" i="44"/>
  <c r="EH403" i="44"/>
  <c r="EG403" i="44"/>
  <c r="EF403" i="44"/>
  <c r="EE403" i="44"/>
  <c r="DZ403" i="44"/>
  <c r="DY403" i="44"/>
  <c r="DW403" i="44"/>
  <c r="GM402" i="44"/>
  <c r="GK402" i="44"/>
  <c r="GJ402" i="44"/>
  <c r="GI402" i="44"/>
  <c r="GH402" i="44"/>
  <c r="GG402" i="44"/>
  <c r="GF402" i="44"/>
  <c r="GE402" i="44"/>
  <c r="GD402" i="44"/>
  <c r="GC402" i="44"/>
  <c r="GB402" i="44"/>
  <c r="GA402" i="44"/>
  <c r="FZ402" i="44"/>
  <c r="FY402" i="44"/>
  <c r="FT402" i="44"/>
  <c r="FS402" i="44"/>
  <c r="FR402" i="44"/>
  <c r="FQ402" i="44"/>
  <c r="FP402" i="44"/>
  <c r="FO402" i="44"/>
  <c r="FN402" i="44"/>
  <c r="FM402" i="44"/>
  <c r="FL402" i="44"/>
  <c r="FK402" i="44"/>
  <c r="FJ402" i="44"/>
  <c r="FI402" i="44"/>
  <c r="FH402" i="44"/>
  <c r="FG402" i="44"/>
  <c r="FF402" i="44"/>
  <c r="FE402" i="44"/>
  <c r="FD402" i="44"/>
  <c r="FC402" i="44"/>
  <c r="FB402" i="44"/>
  <c r="FA402" i="44"/>
  <c r="EZ402" i="44"/>
  <c r="EY402" i="44"/>
  <c r="EX402" i="44"/>
  <c r="EW402" i="44"/>
  <c r="EV402" i="44"/>
  <c r="EU402" i="44"/>
  <c r="ES402" i="44"/>
  <c r="ER402" i="44"/>
  <c r="EQ402" i="44"/>
  <c r="EP402" i="44"/>
  <c r="EO402" i="44"/>
  <c r="EN402" i="44"/>
  <c r="EM402" i="44"/>
  <c r="EL402" i="44"/>
  <c r="EK402" i="44"/>
  <c r="EJ402" i="44"/>
  <c r="EI402" i="44"/>
  <c r="EH402" i="44"/>
  <c r="EG402" i="44"/>
  <c r="EF402" i="44"/>
  <c r="EE402" i="44"/>
  <c r="ED402" i="44"/>
  <c r="EC402" i="44"/>
  <c r="EB402" i="44"/>
  <c r="EA402" i="44"/>
  <c r="DZ402" i="44"/>
  <c r="DY402" i="44"/>
  <c r="DX402" i="44"/>
  <c r="GM401" i="44"/>
  <c r="GK401" i="44"/>
  <c r="GJ401" i="44"/>
  <c r="GI401" i="44"/>
  <c r="GH401" i="44"/>
  <c r="GG401" i="44"/>
  <c r="GF401" i="44"/>
  <c r="GE401" i="44"/>
  <c r="GD401" i="44"/>
  <c r="GC401" i="44"/>
  <c r="GB401" i="44"/>
  <c r="GA401" i="44"/>
  <c r="FZ401" i="44"/>
  <c r="FY401" i="44"/>
  <c r="FT401" i="44"/>
  <c r="FS401" i="44"/>
  <c r="FR401" i="44"/>
  <c r="FQ401" i="44"/>
  <c r="FP401" i="44"/>
  <c r="FO401" i="44"/>
  <c r="FN401" i="44"/>
  <c r="FM401" i="44"/>
  <c r="FL401" i="44"/>
  <c r="FK401" i="44"/>
  <c r="FJ401" i="44"/>
  <c r="FI401" i="44"/>
  <c r="FH401" i="44"/>
  <c r="FG401" i="44"/>
  <c r="FF401" i="44"/>
  <c r="FE401" i="44"/>
  <c r="FD401" i="44"/>
  <c r="FC401" i="44"/>
  <c r="FB401" i="44"/>
  <c r="FA401" i="44"/>
  <c r="EZ401" i="44"/>
  <c r="EY401" i="44"/>
  <c r="EX401" i="44"/>
  <c r="EW401" i="44"/>
  <c r="EV401" i="44"/>
  <c r="EU401" i="44"/>
  <c r="ES401" i="44"/>
  <c r="ER401" i="44"/>
  <c r="EQ401" i="44"/>
  <c r="EP401" i="44"/>
  <c r="EO401" i="44"/>
  <c r="EN401" i="44"/>
  <c r="EM401" i="44"/>
  <c r="EL401" i="44"/>
  <c r="EK401" i="44"/>
  <c r="EJ401" i="44"/>
  <c r="EI401" i="44"/>
  <c r="EH401" i="44"/>
  <c r="EG401" i="44"/>
  <c r="EF401" i="44"/>
  <c r="EE401" i="44"/>
  <c r="ED401" i="44"/>
  <c r="EC401" i="44"/>
  <c r="EB401" i="44"/>
  <c r="EA401" i="44"/>
  <c r="DZ401" i="44"/>
  <c r="DY401" i="44"/>
  <c r="DX401" i="44"/>
  <c r="DW401" i="44"/>
  <c r="GM400" i="44"/>
  <c r="GK400" i="44"/>
  <c r="GJ400" i="44"/>
  <c r="GI400" i="44"/>
  <c r="GH400" i="44"/>
  <c r="GG400" i="44"/>
  <c r="GF400" i="44"/>
  <c r="GE400" i="44"/>
  <c r="GD400" i="44"/>
  <c r="GC400" i="44"/>
  <c r="GB400" i="44"/>
  <c r="GA400" i="44"/>
  <c r="FZ400" i="44"/>
  <c r="FY400" i="44"/>
  <c r="FT400" i="44"/>
  <c r="FS400" i="44"/>
  <c r="FR400" i="44"/>
  <c r="FQ400" i="44"/>
  <c r="FP400" i="44"/>
  <c r="FO400" i="44"/>
  <c r="FL400" i="44"/>
  <c r="FK400" i="44"/>
  <c r="FG400" i="44"/>
  <c r="FF400" i="44"/>
  <c r="FE400" i="44"/>
  <c r="FD400" i="44"/>
  <c r="FC400" i="44"/>
  <c r="FB400" i="44"/>
  <c r="FA400" i="44"/>
  <c r="EZ400" i="44"/>
  <c r="EY400" i="44"/>
  <c r="EW400" i="44"/>
  <c r="EV400" i="44"/>
  <c r="EU400" i="44"/>
  <c r="ES400" i="44"/>
  <c r="ER400" i="44"/>
  <c r="EQ400" i="44"/>
  <c r="EP400" i="44"/>
  <c r="EO400" i="44"/>
  <c r="EN400" i="44"/>
  <c r="EM400" i="44"/>
  <c r="EL400" i="44"/>
  <c r="EK400" i="44"/>
  <c r="EJ400" i="44"/>
  <c r="EI400" i="44"/>
  <c r="EH400" i="44"/>
  <c r="EG400" i="44"/>
  <c r="EF400" i="44"/>
  <c r="EE400" i="44"/>
  <c r="ED400" i="44"/>
  <c r="EC400" i="44"/>
  <c r="EB400" i="44"/>
  <c r="EA400" i="44"/>
  <c r="DZ400" i="44"/>
  <c r="DY400" i="44"/>
  <c r="DX400" i="44"/>
  <c r="DW400" i="44"/>
  <c r="GM399" i="44"/>
  <c r="GK399" i="44"/>
  <c r="GJ399" i="44"/>
  <c r="GI399" i="44"/>
  <c r="GH399" i="44"/>
  <c r="GG399" i="44"/>
  <c r="GF399" i="44"/>
  <c r="GE399" i="44"/>
  <c r="GD399" i="44"/>
  <c r="GC399" i="44"/>
  <c r="GB399" i="44"/>
  <c r="GA399" i="44"/>
  <c r="FZ399" i="44"/>
  <c r="FY399" i="44"/>
  <c r="FT399" i="44"/>
  <c r="FS399" i="44"/>
  <c r="FR399" i="44"/>
  <c r="FQ399" i="44"/>
  <c r="FP399" i="44"/>
  <c r="FO399" i="44"/>
  <c r="FN399" i="44"/>
  <c r="FM399" i="44"/>
  <c r="FL399" i="44"/>
  <c r="FK399" i="44"/>
  <c r="FJ399" i="44"/>
  <c r="FG399" i="44"/>
  <c r="FF399" i="44"/>
  <c r="FE399" i="44"/>
  <c r="FD399" i="44"/>
  <c r="FC399" i="44"/>
  <c r="FB399" i="44"/>
  <c r="FA399" i="44"/>
  <c r="EZ399" i="44"/>
  <c r="EY399" i="44"/>
  <c r="EW399" i="44"/>
  <c r="EV399" i="44"/>
  <c r="EU399" i="44"/>
  <c r="ES399" i="44"/>
  <c r="ER399" i="44"/>
  <c r="EQ399" i="44"/>
  <c r="EP399" i="44"/>
  <c r="EO399" i="44"/>
  <c r="EN399" i="44"/>
  <c r="EM399" i="44"/>
  <c r="EL399" i="44"/>
  <c r="EK399" i="44"/>
  <c r="EJ399" i="44"/>
  <c r="EI399" i="44"/>
  <c r="EH399" i="44"/>
  <c r="EG399" i="44"/>
  <c r="EF399" i="44"/>
  <c r="ED399" i="44"/>
  <c r="EC399" i="44"/>
  <c r="EB399" i="44"/>
  <c r="EA399" i="44"/>
  <c r="DZ399" i="44"/>
  <c r="DY399" i="44"/>
  <c r="DX399" i="44"/>
  <c r="DW399" i="44"/>
  <c r="GM398" i="44"/>
  <c r="GK398" i="44"/>
  <c r="GJ398" i="44"/>
  <c r="GI398" i="44"/>
  <c r="GH398" i="44"/>
  <c r="GG398" i="44"/>
  <c r="GF398" i="44"/>
  <c r="GE398" i="44"/>
  <c r="GD398" i="44"/>
  <c r="GC398" i="44"/>
  <c r="GB398" i="44"/>
  <c r="GA398" i="44"/>
  <c r="FZ398" i="44"/>
  <c r="FY398" i="44"/>
  <c r="FT398" i="44"/>
  <c r="FS398" i="44"/>
  <c r="FR398" i="44"/>
  <c r="FQ398" i="44"/>
  <c r="FP398" i="44"/>
  <c r="FO398" i="44"/>
  <c r="FN398" i="44"/>
  <c r="FM398" i="44"/>
  <c r="FL398" i="44"/>
  <c r="FK398" i="44"/>
  <c r="FJ398" i="44"/>
  <c r="FI398" i="44"/>
  <c r="FH398" i="44"/>
  <c r="FG398" i="44"/>
  <c r="FF398" i="44"/>
  <c r="FE398" i="44"/>
  <c r="FD398" i="44"/>
  <c r="FC398" i="44"/>
  <c r="FB398" i="44"/>
  <c r="FA398" i="44"/>
  <c r="EZ398" i="44"/>
  <c r="EY398" i="44"/>
  <c r="EX398" i="44"/>
  <c r="EW398" i="44"/>
  <c r="EV398" i="44"/>
  <c r="EU398" i="44"/>
  <c r="ES398" i="44"/>
  <c r="ER398" i="44"/>
  <c r="EQ398" i="44"/>
  <c r="EP398" i="44"/>
  <c r="EO398" i="44"/>
  <c r="EN398" i="44"/>
  <c r="EM398" i="44"/>
  <c r="EL398" i="44"/>
  <c r="EK398" i="44"/>
  <c r="EJ398" i="44"/>
  <c r="EI398" i="44"/>
  <c r="EG398" i="44"/>
  <c r="EE398" i="44"/>
  <c r="ED398" i="44"/>
  <c r="EC398" i="44"/>
  <c r="DZ398" i="44"/>
  <c r="DY398" i="44"/>
  <c r="DW398" i="44"/>
  <c r="GM397" i="44"/>
  <c r="GK397" i="44"/>
  <c r="GJ397" i="44"/>
  <c r="GI397" i="44"/>
  <c r="GH397" i="44"/>
  <c r="GG397" i="44"/>
  <c r="GF397" i="44"/>
  <c r="GE397" i="44"/>
  <c r="GD397" i="44"/>
  <c r="GC397" i="44"/>
  <c r="GB397" i="44"/>
  <c r="GA397" i="44"/>
  <c r="FZ397" i="44"/>
  <c r="FY397" i="44"/>
  <c r="FT397" i="44"/>
  <c r="FS397" i="44"/>
  <c r="FR397" i="44"/>
  <c r="FQ397" i="44"/>
  <c r="FP397" i="44"/>
  <c r="FO397" i="44"/>
  <c r="FN397" i="44"/>
  <c r="FM397" i="44"/>
  <c r="FL397" i="44"/>
  <c r="FK397" i="44"/>
  <c r="FJ397" i="44"/>
  <c r="FI397" i="44"/>
  <c r="FH397" i="44"/>
  <c r="FG397" i="44"/>
  <c r="FF397" i="44"/>
  <c r="FE397" i="44"/>
  <c r="FD397" i="44"/>
  <c r="FC397" i="44"/>
  <c r="FB397" i="44"/>
  <c r="FA397" i="44"/>
  <c r="EZ397" i="44"/>
  <c r="EY397" i="44"/>
  <c r="EX397" i="44"/>
  <c r="EW397" i="44"/>
  <c r="EV397" i="44"/>
  <c r="EU397" i="44"/>
  <c r="ES397" i="44"/>
  <c r="ER397" i="44"/>
  <c r="EQ397" i="44"/>
  <c r="EP397" i="44"/>
  <c r="EO397" i="44"/>
  <c r="EN397" i="44"/>
  <c r="EM397" i="44"/>
  <c r="EL397" i="44"/>
  <c r="EK397" i="44"/>
  <c r="EJ397" i="44"/>
  <c r="EI397" i="44"/>
  <c r="EH397" i="44"/>
  <c r="EG397" i="44"/>
  <c r="EF397" i="44"/>
  <c r="EE397" i="44"/>
  <c r="ED397" i="44"/>
  <c r="DZ397" i="44"/>
  <c r="DY397" i="44"/>
  <c r="DW397" i="44"/>
  <c r="GM396" i="44"/>
  <c r="GK396" i="44"/>
  <c r="GJ396" i="44"/>
  <c r="GI396" i="44"/>
  <c r="GH396" i="44"/>
  <c r="GG396" i="44"/>
  <c r="GF396" i="44"/>
  <c r="GE396" i="44"/>
  <c r="GD396" i="44"/>
  <c r="GC396" i="44"/>
  <c r="GB396" i="44"/>
  <c r="GA396" i="44"/>
  <c r="FZ396" i="44"/>
  <c r="FY396" i="44"/>
  <c r="FT396" i="44"/>
  <c r="FS396" i="44"/>
  <c r="FR396" i="44"/>
  <c r="FQ396" i="44"/>
  <c r="FP396" i="44"/>
  <c r="FO396" i="44"/>
  <c r="FN396" i="44"/>
  <c r="FM396" i="44"/>
  <c r="FL396" i="44"/>
  <c r="FK396" i="44"/>
  <c r="FJ396" i="44"/>
  <c r="FI396" i="44"/>
  <c r="FH396" i="44"/>
  <c r="FG396" i="44"/>
  <c r="FF396" i="44"/>
  <c r="FE396" i="44"/>
  <c r="FD396" i="44"/>
  <c r="FC396" i="44"/>
  <c r="FB396" i="44"/>
  <c r="FA396" i="44"/>
  <c r="EZ396" i="44"/>
  <c r="EY396" i="44"/>
  <c r="EX396" i="44"/>
  <c r="EW396" i="44"/>
  <c r="EV396" i="44"/>
  <c r="EU396" i="44"/>
  <c r="ES396" i="44"/>
  <c r="ER396" i="44"/>
  <c r="EQ396" i="44"/>
  <c r="EP396" i="44"/>
  <c r="EO396" i="44"/>
  <c r="EN396" i="44"/>
  <c r="EM396" i="44"/>
  <c r="EL396" i="44"/>
  <c r="EK396" i="44"/>
  <c r="EJ396" i="44"/>
  <c r="EI396" i="44"/>
  <c r="EH396" i="44"/>
  <c r="EG396" i="44"/>
  <c r="EF396" i="44"/>
  <c r="EE396" i="44"/>
  <c r="ED396" i="44"/>
  <c r="EC396" i="44"/>
  <c r="EB396" i="44"/>
  <c r="EA396" i="44"/>
  <c r="DZ396" i="44"/>
  <c r="DY396" i="44"/>
  <c r="DX396" i="44"/>
  <c r="GM395" i="44"/>
  <c r="GK395" i="44"/>
  <c r="GJ395" i="44"/>
  <c r="GI395" i="44"/>
  <c r="GH395" i="44"/>
  <c r="GG395" i="44"/>
  <c r="GF395" i="44"/>
  <c r="GE395" i="44"/>
  <c r="GD395" i="44"/>
  <c r="GC395" i="44"/>
  <c r="GB395" i="44"/>
  <c r="GA395" i="44"/>
  <c r="FZ395" i="44"/>
  <c r="FY395" i="44"/>
  <c r="FT395" i="44"/>
  <c r="FS395" i="44"/>
  <c r="FR395" i="44"/>
  <c r="FQ395" i="44"/>
  <c r="FP395" i="44"/>
  <c r="FO395" i="44"/>
  <c r="FN395" i="44"/>
  <c r="FM395" i="44"/>
  <c r="FL395" i="44"/>
  <c r="FK395" i="44"/>
  <c r="FJ395" i="44"/>
  <c r="FI395" i="44"/>
  <c r="FH395" i="44"/>
  <c r="FG395" i="44"/>
  <c r="FF395" i="44"/>
  <c r="FE395" i="44"/>
  <c r="FD395" i="44"/>
  <c r="FC395" i="44"/>
  <c r="FB395" i="44"/>
  <c r="FA395" i="44"/>
  <c r="EZ395" i="44"/>
  <c r="EY395" i="44"/>
  <c r="EX395" i="44"/>
  <c r="EW395" i="44"/>
  <c r="EV395" i="44"/>
  <c r="EU395" i="44"/>
  <c r="ES395" i="44"/>
  <c r="ER395" i="44"/>
  <c r="EQ395" i="44"/>
  <c r="EP395" i="44"/>
  <c r="EO395" i="44"/>
  <c r="EN395" i="44"/>
  <c r="EM395" i="44"/>
  <c r="EL395" i="44"/>
  <c r="EK395" i="44"/>
  <c r="EJ395" i="44"/>
  <c r="EI395" i="44"/>
  <c r="EH395" i="44"/>
  <c r="EG395" i="44"/>
  <c r="EF395" i="44"/>
  <c r="EE395" i="44"/>
  <c r="ED395" i="44"/>
  <c r="EC395" i="44"/>
  <c r="EB395" i="44"/>
  <c r="EA395" i="44"/>
  <c r="DZ395" i="44"/>
  <c r="DY395" i="44"/>
  <c r="DX395" i="44"/>
  <c r="DW395" i="44"/>
  <c r="GM394" i="44"/>
  <c r="GK394" i="44"/>
  <c r="GJ394" i="44"/>
  <c r="GI394" i="44"/>
  <c r="GH394" i="44"/>
  <c r="GG394" i="44"/>
  <c r="GF394" i="44"/>
  <c r="GE394" i="44"/>
  <c r="GD394" i="44"/>
  <c r="GC394" i="44"/>
  <c r="GB394" i="44"/>
  <c r="GA394" i="44"/>
  <c r="FZ394" i="44"/>
  <c r="FY394" i="44"/>
  <c r="FT394" i="44"/>
  <c r="FS394" i="44"/>
  <c r="FR394" i="44"/>
  <c r="FQ394" i="44"/>
  <c r="FP394" i="44"/>
  <c r="FO394" i="44"/>
  <c r="FN394" i="44"/>
  <c r="FM394" i="44"/>
  <c r="FL394" i="44"/>
  <c r="FK394" i="44"/>
  <c r="FJ394" i="44"/>
  <c r="FI394" i="44"/>
  <c r="FH394" i="44"/>
  <c r="FG394" i="44"/>
  <c r="FF394" i="44"/>
  <c r="FE394" i="44"/>
  <c r="FD394" i="44"/>
  <c r="FC394" i="44"/>
  <c r="FB394" i="44"/>
  <c r="FA394" i="44"/>
  <c r="EZ394" i="44"/>
  <c r="EY394" i="44"/>
  <c r="EX394" i="44"/>
  <c r="EW394" i="44"/>
  <c r="EV394" i="44"/>
  <c r="EU394" i="44"/>
  <c r="ES394" i="44"/>
  <c r="ER394" i="44"/>
  <c r="EQ394" i="44"/>
  <c r="EP394" i="44"/>
  <c r="EO394" i="44"/>
  <c r="EN394" i="44"/>
  <c r="EM394" i="44"/>
  <c r="EL394" i="44"/>
  <c r="EK394" i="44"/>
  <c r="EJ394" i="44"/>
  <c r="EI394" i="44"/>
  <c r="EH394" i="44"/>
  <c r="EG394" i="44"/>
  <c r="EF394" i="44"/>
  <c r="EE394" i="44"/>
  <c r="ED394" i="44"/>
  <c r="EC394" i="44"/>
  <c r="EB394" i="44"/>
  <c r="EA394" i="44"/>
  <c r="DZ394" i="44"/>
  <c r="DY394" i="44"/>
  <c r="DX394" i="44"/>
  <c r="DW394" i="44"/>
  <c r="GM393" i="44"/>
  <c r="GK393" i="44"/>
  <c r="GJ393" i="44"/>
  <c r="GI393" i="44"/>
  <c r="GH393" i="44"/>
  <c r="GG393" i="44"/>
  <c r="GF393" i="44"/>
  <c r="GE393" i="44"/>
  <c r="GD393" i="44"/>
  <c r="GC393" i="44"/>
  <c r="GB393" i="44"/>
  <c r="GA393" i="44"/>
  <c r="FZ393" i="44"/>
  <c r="FY393" i="44"/>
  <c r="FT393" i="44"/>
  <c r="FS393" i="44"/>
  <c r="FR393" i="44"/>
  <c r="FQ393" i="44"/>
  <c r="FP393" i="44"/>
  <c r="FO393" i="44"/>
  <c r="FN393" i="44"/>
  <c r="FM393" i="44"/>
  <c r="FL393" i="44"/>
  <c r="FK393" i="44"/>
  <c r="FJ393" i="44"/>
  <c r="FI393" i="44"/>
  <c r="FH393" i="44"/>
  <c r="FG393" i="44"/>
  <c r="FF393" i="44"/>
  <c r="FE393" i="44"/>
  <c r="FD393" i="44"/>
  <c r="FC393" i="44"/>
  <c r="FB393" i="44"/>
  <c r="FA393" i="44"/>
  <c r="EZ393" i="44"/>
  <c r="EY393" i="44"/>
  <c r="EX393" i="44"/>
  <c r="EW393" i="44"/>
  <c r="EV393" i="44"/>
  <c r="EU393" i="44"/>
  <c r="ES393" i="44"/>
  <c r="ER393" i="44"/>
  <c r="EQ393" i="44"/>
  <c r="EP393" i="44"/>
  <c r="EO393" i="44"/>
  <c r="EN393" i="44"/>
  <c r="EM393" i="44"/>
  <c r="EL393" i="44"/>
  <c r="EK393" i="44"/>
  <c r="EJ393" i="44"/>
  <c r="EI393" i="44"/>
  <c r="EH393" i="44"/>
  <c r="EG393" i="44"/>
  <c r="EF393" i="44"/>
  <c r="EE393" i="44"/>
  <c r="ED393" i="44"/>
  <c r="EC393" i="44"/>
  <c r="EB393" i="44"/>
  <c r="EA393" i="44"/>
  <c r="DZ393" i="44"/>
  <c r="DY393" i="44"/>
  <c r="DX393" i="44"/>
  <c r="DW393" i="44"/>
  <c r="GM392" i="44"/>
  <c r="GK392" i="44"/>
  <c r="GJ392" i="44"/>
  <c r="GI392" i="44"/>
  <c r="GH392" i="44"/>
  <c r="GG392" i="44"/>
  <c r="GF392" i="44"/>
  <c r="GE392" i="44"/>
  <c r="GD392" i="44"/>
  <c r="GC392" i="44"/>
  <c r="GB392" i="44"/>
  <c r="GA392" i="44"/>
  <c r="FZ392" i="44"/>
  <c r="FY392" i="44"/>
  <c r="FT392" i="44"/>
  <c r="FS392" i="44"/>
  <c r="FR392" i="44"/>
  <c r="FQ392" i="44"/>
  <c r="FP392" i="44"/>
  <c r="FO392" i="44"/>
  <c r="FN392" i="44"/>
  <c r="FM392" i="44"/>
  <c r="FL392" i="44"/>
  <c r="FK392" i="44"/>
  <c r="FJ392" i="44"/>
  <c r="FI392" i="44"/>
  <c r="FH392" i="44"/>
  <c r="FG392" i="44"/>
  <c r="FF392" i="44"/>
  <c r="FE392" i="44"/>
  <c r="FD392" i="44"/>
  <c r="FC392" i="44"/>
  <c r="FB392" i="44"/>
  <c r="FA392" i="44"/>
  <c r="EZ392" i="44"/>
  <c r="EY392" i="44"/>
  <c r="EX392" i="44"/>
  <c r="EW392" i="44"/>
  <c r="EV392" i="44"/>
  <c r="EU392" i="44"/>
  <c r="ES392" i="44"/>
  <c r="ER392" i="44"/>
  <c r="EQ392" i="44"/>
  <c r="EP392" i="44"/>
  <c r="EO392" i="44"/>
  <c r="EN392" i="44"/>
  <c r="EM392" i="44"/>
  <c r="EL392" i="44"/>
  <c r="EK392" i="44"/>
  <c r="EJ392" i="44"/>
  <c r="EI392" i="44"/>
  <c r="EH392" i="44"/>
  <c r="EG392" i="44"/>
  <c r="EF392" i="44"/>
  <c r="EE392" i="44"/>
  <c r="ED392" i="44"/>
  <c r="EC392" i="44"/>
  <c r="EB392" i="44"/>
  <c r="EA392" i="44"/>
  <c r="DZ392" i="44"/>
  <c r="DY392" i="44"/>
  <c r="DX392" i="44"/>
  <c r="DW392" i="44"/>
  <c r="GM391" i="44"/>
  <c r="GK391" i="44"/>
  <c r="GJ391" i="44"/>
  <c r="GI391" i="44"/>
  <c r="GH391" i="44"/>
  <c r="GG391" i="44"/>
  <c r="GF391" i="44"/>
  <c r="GE391" i="44"/>
  <c r="GD391" i="44"/>
  <c r="GC391" i="44"/>
  <c r="GB391" i="44"/>
  <c r="GA391" i="44"/>
  <c r="FZ391" i="44"/>
  <c r="FY391" i="44"/>
  <c r="FT391" i="44"/>
  <c r="FS391" i="44"/>
  <c r="FR391" i="44"/>
  <c r="FQ391" i="44"/>
  <c r="FP391" i="44"/>
  <c r="FO391" i="44"/>
  <c r="FL391" i="44"/>
  <c r="FK391" i="44"/>
  <c r="FG391" i="44"/>
  <c r="FF391" i="44"/>
  <c r="FE391" i="44"/>
  <c r="FD391" i="44"/>
  <c r="FC391" i="44"/>
  <c r="FB391" i="44"/>
  <c r="FA391" i="44"/>
  <c r="EZ391" i="44"/>
  <c r="EY391" i="44"/>
  <c r="EW391" i="44"/>
  <c r="EV391" i="44"/>
  <c r="EU391" i="44"/>
  <c r="ES391" i="44"/>
  <c r="ER391" i="44"/>
  <c r="EQ391" i="44"/>
  <c r="EP391" i="44"/>
  <c r="EO391" i="44"/>
  <c r="EN391" i="44"/>
  <c r="EM391" i="44"/>
  <c r="EL391" i="44"/>
  <c r="EK391" i="44"/>
  <c r="EJ391" i="44"/>
  <c r="EI391" i="44"/>
  <c r="EH391" i="44"/>
  <c r="EG391" i="44"/>
  <c r="EF391" i="44"/>
  <c r="EE391" i="44"/>
  <c r="ED391" i="44"/>
  <c r="EC391" i="44"/>
  <c r="EB391" i="44"/>
  <c r="EA391" i="44"/>
  <c r="DZ391" i="44"/>
  <c r="DY391" i="44"/>
  <c r="DX391" i="44"/>
  <c r="DW391" i="44"/>
  <c r="GM390" i="44"/>
  <c r="GK390" i="44"/>
  <c r="GJ390" i="44"/>
  <c r="GI390" i="44"/>
  <c r="GH390" i="44"/>
  <c r="GG390" i="44"/>
  <c r="GF390" i="44"/>
  <c r="GE390" i="44"/>
  <c r="GD390" i="44"/>
  <c r="GC390" i="44"/>
  <c r="GB390" i="44"/>
  <c r="GA390" i="44"/>
  <c r="FZ390" i="44"/>
  <c r="FY390" i="44"/>
  <c r="FT390" i="44"/>
  <c r="FS390" i="44"/>
  <c r="FR390" i="44"/>
  <c r="FQ390" i="44"/>
  <c r="FP390" i="44"/>
  <c r="FO390" i="44"/>
  <c r="FN390" i="44"/>
  <c r="FM390" i="44"/>
  <c r="FL390" i="44"/>
  <c r="FK390" i="44"/>
  <c r="FJ390" i="44"/>
  <c r="FG390" i="44"/>
  <c r="FF390" i="44"/>
  <c r="FE390" i="44"/>
  <c r="FD390" i="44"/>
  <c r="FC390" i="44"/>
  <c r="FB390" i="44"/>
  <c r="FA390" i="44"/>
  <c r="EZ390" i="44"/>
  <c r="EY390" i="44"/>
  <c r="EW390" i="44"/>
  <c r="EV390" i="44"/>
  <c r="EU390" i="44"/>
  <c r="ES390" i="44"/>
  <c r="ER390" i="44"/>
  <c r="EQ390" i="44"/>
  <c r="EP390" i="44"/>
  <c r="EO390" i="44"/>
  <c r="EN390" i="44"/>
  <c r="EM390" i="44"/>
  <c r="EL390" i="44"/>
  <c r="EK390" i="44"/>
  <c r="EJ390" i="44"/>
  <c r="EI390" i="44"/>
  <c r="EH390" i="44"/>
  <c r="EG390" i="44"/>
  <c r="EF390" i="44"/>
  <c r="ED390" i="44"/>
  <c r="EC390" i="44"/>
  <c r="EB390" i="44"/>
  <c r="EA390" i="44"/>
  <c r="DZ390" i="44"/>
  <c r="DY390" i="44"/>
  <c r="DX390" i="44"/>
  <c r="DW390" i="44"/>
  <c r="GM389" i="44"/>
  <c r="GK389" i="44"/>
  <c r="GJ389" i="44"/>
  <c r="GI389" i="44"/>
  <c r="GH389" i="44"/>
  <c r="GG389" i="44"/>
  <c r="GF389" i="44"/>
  <c r="GE389" i="44"/>
  <c r="GD389" i="44"/>
  <c r="GC389" i="44"/>
  <c r="GB389" i="44"/>
  <c r="GA389" i="44"/>
  <c r="FZ389" i="44"/>
  <c r="FY389" i="44"/>
  <c r="FT389" i="44"/>
  <c r="FS389" i="44"/>
  <c r="FR389" i="44"/>
  <c r="FQ389" i="44"/>
  <c r="FP389" i="44"/>
  <c r="FO389" i="44"/>
  <c r="FN389" i="44"/>
  <c r="FM389" i="44"/>
  <c r="FL389" i="44"/>
  <c r="FK389" i="44"/>
  <c r="FJ389" i="44"/>
  <c r="FI389" i="44"/>
  <c r="FH389" i="44"/>
  <c r="FG389" i="44"/>
  <c r="FF389" i="44"/>
  <c r="FE389" i="44"/>
  <c r="FD389" i="44"/>
  <c r="FC389" i="44"/>
  <c r="FB389" i="44"/>
  <c r="FA389" i="44"/>
  <c r="EZ389" i="44"/>
  <c r="EY389" i="44"/>
  <c r="EX389" i="44"/>
  <c r="EW389" i="44"/>
  <c r="EV389" i="44"/>
  <c r="EU389" i="44"/>
  <c r="ES389" i="44"/>
  <c r="ER389" i="44"/>
  <c r="EQ389" i="44"/>
  <c r="EP389" i="44"/>
  <c r="EO389" i="44"/>
  <c r="EN389" i="44"/>
  <c r="EM389" i="44"/>
  <c r="EL389" i="44"/>
  <c r="EK389" i="44"/>
  <c r="EJ389" i="44"/>
  <c r="EI389" i="44"/>
  <c r="EG389" i="44"/>
  <c r="EE389" i="44"/>
  <c r="ED389" i="44"/>
  <c r="EC389" i="44"/>
  <c r="DZ389" i="44"/>
  <c r="DY389" i="44"/>
  <c r="DW389" i="44"/>
  <c r="GM388" i="44"/>
  <c r="GK388" i="44"/>
  <c r="GJ388" i="44"/>
  <c r="GI388" i="44"/>
  <c r="GH388" i="44"/>
  <c r="GG388" i="44"/>
  <c r="GF388" i="44"/>
  <c r="GE388" i="44"/>
  <c r="GD388" i="44"/>
  <c r="GC388" i="44"/>
  <c r="GB388" i="44"/>
  <c r="GA388" i="44"/>
  <c r="FZ388" i="44"/>
  <c r="FY388" i="44"/>
  <c r="FT388" i="44"/>
  <c r="FS388" i="44"/>
  <c r="FR388" i="44"/>
  <c r="FQ388" i="44"/>
  <c r="FP388" i="44"/>
  <c r="FO388" i="44"/>
  <c r="FN388" i="44"/>
  <c r="FM388" i="44"/>
  <c r="FL388" i="44"/>
  <c r="FK388" i="44"/>
  <c r="FJ388" i="44"/>
  <c r="FI388" i="44"/>
  <c r="FH388" i="44"/>
  <c r="FG388" i="44"/>
  <c r="FF388" i="44"/>
  <c r="FE388" i="44"/>
  <c r="FD388" i="44"/>
  <c r="FC388" i="44"/>
  <c r="FB388" i="44"/>
  <c r="FA388" i="44"/>
  <c r="EZ388" i="44"/>
  <c r="EY388" i="44"/>
  <c r="EX388" i="44"/>
  <c r="EW388" i="44"/>
  <c r="EV388" i="44"/>
  <c r="EU388" i="44"/>
  <c r="ES388" i="44"/>
  <c r="ER388" i="44"/>
  <c r="EQ388" i="44"/>
  <c r="EP388" i="44"/>
  <c r="EO388" i="44"/>
  <c r="EN388" i="44"/>
  <c r="EM388" i="44"/>
  <c r="EL388" i="44"/>
  <c r="EK388" i="44"/>
  <c r="EJ388" i="44"/>
  <c r="EI388" i="44"/>
  <c r="EH388" i="44"/>
  <c r="EG388" i="44"/>
  <c r="EF388" i="44"/>
  <c r="EE388" i="44"/>
  <c r="ED388" i="44"/>
  <c r="DZ388" i="44"/>
  <c r="DY388" i="44"/>
  <c r="DW388" i="44"/>
  <c r="GM387" i="44"/>
  <c r="GK387" i="44"/>
  <c r="GJ387" i="44"/>
  <c r="GI387" i="44"/>
  <c r="GH387" i="44"/>
  <c r="GG387" i="44"/>
  <c r="GF387" i="44"/>
  <c r="GE387" i="44"/>
  <c r="GD387" i="44"/>
  <c r="GC387" i="44"/>
  <c r="GB387" i="44"/>
  <c r="GA387" i="44"/>
  <c r="FZ387" i="44"/>
  <c r="FY387" i="44"/>
  <c r="FT387" i="44"/>
  <c r="FS387" i="44"/>
  <c r="FR387" i="44"/>
  <c r="FQ387" i="44"/>
  <c r="FP387" i="44"/>
  <c r="FO387" i="44"/>
  <c r="FN387" i="44"/>
  <c r="FM387" i="44"/>
  <c r="FL387" i="44"/>
  <c r="FK387" i="44"/>
  <c r="FJ387" i="44"/>
  <c r="FI387" i="44"/>
  <c r="FH387" i="44"/>
  <c r="FG387" i="44"/>
  <c r="FF387" i="44"/>
  <c r="FE387" i="44"/>
  <c r="FD387" i="44"/>
  <c r="FC387" i="44"/>
  <c r="FB387" i="44"/>
  <c r="FA387" i="44"/>
  <c r="EZ387" i="44"/>
  <c r="EY387" i="44"/>
  <c r="EX387" i="44"/>
  <c r="EW387" i="44"/>
  <c r="EV387" i="44"/>
  <c r="EU387" i="44"/>
  <c r="ES387" i="44"/>
  <c r="ER387" i="44"/>
  <c r="EQ387" i="44"/>
  <c r="EP387" i="44"/>
  <c r="EO387" i="44"/>
  <c r="EN387" i="44"/>
  <c r="EM387" i="44"/>
  <c r="EL387" i="44"/>
  <c r="EK387" i="44"/>
  <c r="EJ387" i="44"/>
  <c r="EI387" i="44"/>
  <c r="EH387" i="44"/>
  <c r="EG387" i="44"/>
  <c r="EF387" i="44"/>
  <c r="EE387" i="44"/>
  <c r="ED387" i="44"/>
  <c r="EC387" i="44"/>
  <c r="EB387" i="44"/>
  <c r="EA387" i="44"/>
  <c r="DZ387" i="44"/>
  <c r="DY387" i="44"/>
  <c r="DX387" i="44"/>
  <c r="GM386" i="44"/>
  <c r="GK386" i="44"/>
  <c r="GJ386" i="44"/>
  <c r="GI386" i="44"/>
  <c r="GH386" i="44"/>
  <c r="GG386" i="44"/>
  <c r="GF386" i="44"/>
  <c r="GE386" i="44"/>
  <c r="GD386" i="44"/>
  <c r="GC386" i="44"/>
  <c r="GB386" i="44"/>
  <c r="GA386" i="44"/>
  <c r="FZ386" i="44"/>
  <c r="FY386" i="44"/>
  <c r="FT386" i="44"/>
  <c r="FS386" i="44"/>
  <c r="FR386" i="44"/>
  <c r="FQ386" i="44"/>
  <c r="FP386" i="44"/>
  <c r="FO386" i="44"/>
  <c r="FN386" i="44"/>
  <c r="FM386" i="44"/>
  <c r="FL386" i="44"/>
  <c r="FK386" i="44"/>
  <c r="FJ386" i="44"/>
  <c r="FI386" i="44"/>
  <c r="FH386" i="44"/>
  <c r="FG386" i="44"/>
  <c r="FF386" i="44"/>
  <c r="FE386" i="44"/>
  <c r="FD386" i="44"/>
  <c r="FC386" i="44"/>
  <c r="FB386" i="44"/>
  <c r="FA386" i="44"/>
  <c r="EZ386" i="44"/>
  <c r="EY386" i="44"/>
  <c r="EX386" i="44"/>
  <c r="EW386" i="44"/>
  <c r="EV386" i="44"/>
  <c r="EU386" i="44"/>
  <c r="ES386" i="44"/>
  <c r="ER386" i="44"/>
  <c r="EQ386" i="44"/>
  <c r="EP386" i="44"/>
  <c r="EO386" i="44"/>
  <c r="EN386" i="44"/>
  <c r="EM386" i="44"/>
  <c r="EL386" i="44"/>
  <c r="EK386" i="44"/>
  <c r="EJ386" i="44"/>
  <c r="EI386" i="44"/>
  <c r="EH386" i="44"/>
  <c r="EG386" i="44"/>
  <c r="EF386" i="44"/>
  <c r="EE386" i="44"/>
  <c r="ED386" i="44"/>
  <c r="EC386" i="44"/>
  <c r="EB386" i="44"/>
  <c r="EA386" i="44"/>
  <c r="DZ386" i="44"/>
  <c r="DY386" i="44"/>
  <c r="DX386" i="44"/>
  <c r="DW386" i="44"/>
  <c r="GM385" i="44"/>
  <c r="GK385" i="44"/>
  <c r="GJ385" i="44"/>
  <c r="GI385" i="44"/>
  <c r="GH385" i="44"/>
  <c r="GG385" i="44"/>
  <c r="GF385" i="44"/>
  <c r="GE385" i="44"/>
  <c r="GD385" i="44"/>
  <c r="GC385" i="44"/>
  <c r="GB385" i="44"/>
  <c r="GA385" i="44"/>
  <c r="FZ385" i="44"/>
  <c r="FY385" i="44"/>
  <c r="FT385" i="44"/>
  <c r="FS385" i="44"/>
  <c r="FR385" i="44"/>
  <c r="FQ385" i="44"/>
  <c r="FP385" i="44"/>
  <c r="FO385" i="44"/>
  <c r="FN385" i="44"/>
  <c r="FM385" i="44"/>
  <c r="FL385" i="44"/>
  <c r="FK385" i="44"/>
  <c r="FJ385" i="44"/>
  <c r="FI385" i="44"/>
  <c r="FH385" i="44"/>
  <c r="FG385" i="44"/>
  <c r="FF385" i="44"/>
  <c r="FE385" i="44"/>
  <c r="FD385" i="44"/>
  <c r="FC385" i="44"/>
  <c r="FB385" i="44"/>
  <c r="FA385" i="44"/>
  <c r="EZ385" i="44"/>
  <c r="EY385" i="44"/>
  <c r="EX385" i="44"/>
  <c r="EW385" i="44"/>
  <c r="EV385" i="44"/>
  <c r="EU385" i="44"/>
  <c r="ES385" i="44"/>
  <c r="ER385" i="44"/>
  <c r="EQ385" i="44"/>
  <c r="EP385" i="44"/>
  <c r="EO385" i="44"/>
  <c r="EN385" i="44"/>
  <c r="EM385" i="44"/>
  <c r="EL385" i="44"/>
  <c r="EK385" i="44"/>
  <c r="EJ385" i="44"/>
  <c r="EI385" i="44"/>
  <c r="EH385" i="44"/>
  <c r="EG385" i="44"/>
  <c r="EF385" i="44"/>
  <c r="EE385" i="44"/>
  <c r="ED385" i="44"/>
  <c r="EC385" i="44"/>
  <c r="EB385" i="44"/>
  <c r="EA385" i="44"/>
  <c r="DZ385" i="44"/>
  <c r="DY385" i="44"/>
  <c r="DX385" i="44"/>
  <c r="DW385" i="44"/>
  <c r="GM384" i="44"/>
  <c r="GK384" i="44"/>
  <c r="GJ384" i="44"/>
  <c r="GI384" i="44"/>
  <c r="GH384" i="44"/>
  <c r="GG384" i="44"/>
  <c r="GF384" i="44"/>
  <c r="GE384" i="44"/>
  <c r="GD384" i="44"/>
  <c r="GC384" i="44"/>
  <c r="GB384" i="44"/>
  <c r="GA384" i="44"/>
  <c r="FZ384" i="44"/>
  <c r="FY384" i="44"/>
  <c r="FT384" i="44"/>
  <c r="FS384" i="44"/>
  <c r="FR384" i="44"/>
  <c r="FQ384" i="44"/>
  <c r="FP384" i="44"/>
  <c r="FO384" i="44"/>
  <c r="FN384" i="44"/>
  <c r="FM384" i="44"/>
  <c r="FL384" i="44"/>
  <c r="FK384" i="44"/>
  <c r="FJ384" i="44"/>
  <c r="FI384" i="44"/>
  <c r="FH384" i="44"/>
  <c r="FG384" i="44"/>
  <c r="FF384" i="44"/>
  <c r="FE384" i="44"/>
  <c r="FD384" i="44"/>
  <c r="FC384" i="44"/>
  <c r="FB384" i="44"/>
  <c r="FA384" i="44"/>
  <c r="EZ384" i="44"/>
  <c r="EY384" i="44"/>
  <c r="EX384" i="44"/>
  <c r="EW384" i="44"/>
  <c r="EV384" i="44"/>
  <c r="EU384" i="44"/>
  <c r="ES384" i="44"/>
  <c r="ER384" i="44"/>
  <c r="EQ384" i="44"/>
  <c r="EP384" i="44"/>
  <c r="EO384" i="44"/>
  <c r="EN384" i="44"/>
  <c r="EM384" i="44"/>
  <c r="EL384" i="44"/>
  <c r="EK384" i="44"/>
  <c r="EJ384" i="44"/>
  <c r="EI384" i="44"/>
  <c r="EH384" i="44"/>
  <c r="EG384" i="44"/>
  <c r="EF384" i="44"/>
  <c r="EE384" i="44"/>
  <c r="ED384" i="44"/>
  <c r="EC384" i="44"/>
  <c r="EB384" i="44"/>
  <c r="EA384" i="44"/>
  <c r="DZ384" i="44"/>
  <c r="DY384" i="44"/>
  <c r="DX384" i="44"/>
  <c r="DW384" i="44"/>
  <c r="GM383" i="44"/>
  <c r="GK383" i="44"/>
  <c r="GJ383" i="44"/>
  <c r="GI383" i="44"/>
  <c r="GH383" i="44"/>
  <c r="GG383" i="44"/>
  <c r="GF383" i="44"/>
  <c r="GE383" i="44"/>
  <c r="GD383" i="44"/>
  <c r="GC383" i="44"/>
  <c r="GB383" i="44"/>
  <c r="GA383" i="44"/>
  <c r="FZ383" i="44"/>
  <c r="FY383" i="44"/>
  <c r="FT383" i="44"/>
  <c r="FS383" i="44"/>
  <c r="FR383" i="44"/>
  <c r="FQ383" i="44"/>
  <c r="FP383" i="44"/>
  <c r="FO383" i="44"/>
  <c r="FN383" i="44"/>
  <c r="FM383" i="44"/>
  <c r="FL383" i="44"/>
  <c r="FK383" i="44"/>
  <c r="FJ383" i="44"/>
  <c r="FI383" i="44"/>
  <c r="FH383" i="44"/>
  <c r="FG383" i="44"/>
  <c r="FF383" i="44"/>
  <c r="FE383" i="44"/>
  <c r="FD383" i="44"/>
  <c r="FC383" i="44"/>
  <c r="FB383" i="44"/>
  <c r="FA383" i="44"/>
  <c r="EZ383" i="44"/>
  <c r="EY383" i="44"/>
  <c r="EX383" i="44"/>
  <c r="EW383" i="44"/>
  <c r="EV383" i="44"/>
  <c r="EU383" i="44"/>
  <c r="ES383" i="44"/>
  <c r="ER383" i="44"/>
  <c r="EQ383" i="44"/>
  <c r="EP383" i="44"/>
  <c r="EO383" i="44"/>
  <c r="EN383" i="44"/>
  <c r="EM383" i="44"/>
  <c r="EL383" i="44"/>
  <c r="EK383" i="44"/>
  <c r="EJ383" i="44"/>
  <c r="EI383" i="44"/>
  <c r="EH383" i="44"/>
  <c r="EG383" i="44"/>
  <c r="EF383" i="44"/>
  <c r="EE383" i="44"/>
  <c r="ED383" i="44"/>
  <c r="EC383" i="44"/>
  <c r="EB383" i="44"/>
  <c r="EA383" i="44"/>
  <c r="DZ383" i="44"/>
  <c r="DY383" i="44"/>
  <c r="DX383" i="44"/>
  <c r="DW383" i="44"/>
  <c r="GM382" i="44"/>
  <c r="GK382" i="44"/>
  <c r="GJ382" i="44"/>
  <c r="GI382" i="44"/>
  <c r="GH382" i="44"/>
  <c r="GG382" i="44"/>
  <c r="GF382" i="44"/>
  <c r="GE382" i="44"/>
  <c r="GD382" i="44"/>
  <c r="GC382" i="44"/>
  <c r="GB382" i="44"/>
  <c r="GA382" i="44"/>
  <c r="FZ382" i="44"/>
  <c r="FY382" i="44"/>
  <c r="FT382" i="44"/>
  <c r="FS382" i="44"/>
  <c r="FR382" i="44"/>
  <c r="FQ382" i="44"/>
  <c r="FP382" i="44"/>
  <c r="FO382" i="44"/>
  <c r="FN382" i="44"/>
  <c r="FM382" i="44"/>
  <c r="FL382" i="44"/>
  <c r="FK382" i="44"/>
  <c r="FJ382" i="44"/>
  <c r="FI382" i="44"/>
  <c r="FH382" i="44"/>
  <c r="FG382" i="44"/>
  <c r="FF382" i="44"/>
  <c r="FE382" i="44"/>
  <c r="FD382" i="44"/>
  <c r="FC382" i="44"/>
  <c r="FB382" i="44"/>
  <c r="FA382" i="44"/>
  <c r="EZ382" i="44"/>
  <c r="EY382" i="44"/>
  <c r="EW382" i="44"/>
  <c r="EV382" i="44"/>
  <c r="EU382" i="44"/>
  <c r="ES382" i="44"/>
  <c r="ER382" i="44"/>
  <c r="EQ382" i="44"/>
  <c r="EP382" i="44"/>
  <c r="EO382" i="44"/>
  <c r="EN382" i="44"/>
  <c r="EM382" i="44"/>
  <c r="EL382" i="44"/>
  <c r="EK382" i="44"/>
  <c r="EJ382" i="44"/>
  <c r="EI382" i="44"/>
  <c r="EH382" i="44"/>
  <c r="EG382" i="44"/>
  <c r="EF382" i="44"/>
  <c r="EE382" i="44"/>
  <c r="ED382" i="44"/>
  <c r="EC382" i="44"/>
  <c r="EB382" i="44"/>
  <c r="EA382" i="44"/>
  <c r="DZ382" i="44"/>
  <c r="DY382" i="44"/>
  <c r="DX382" i="44"/>
  <c r="DW382" i="44"/>
  <c r="GM381" i="44"/>
  <c r="GK381" i="44"/>
  <c r="GJ381" i="44"/>
  <c r="GI381" i="44"/>
  <c r="GH381" i="44"/>
  <c r="GG381" i="44"/>
  <c r="GF381" i="44"/>
  <c r="GE381" i="44"/>
  <c r="GD381" i="44"/>
  <c r="GC381" i="44"/>
  <c r="GB381" i="44"/>
  <c r="GA381" i="44"/>
  <c r="FZ381" i="44"/>
  <c r="FY381" i="44"/>
  <c r="FT381" i="44"/>
  <c r="FS381" i="44"/>
  <c r="FR381" i="44"/>
  <c r="FQ381" i="44"/>
  <c r="FP381" i="44"/>
  <c r="FO381" i="44"/>
  <c r="FL381" i="44"/>
  <c r="FK381" i="44"/>
  <c r="FG381" i="44"/>
  <c r="FF381" i="44"/>
  <c r="FE381" i="44"/>
  <c r="FD381" i="44"/>
  <c r="FC381" i="44"/>
  <c r="FB381" i="44"/>
  <c r="FA381" i="44"/>
  <c r="EZ381" i="44"/>
  <c r="EY381" i="44"/>
  <c r="EW381" i="44"/>
  <c r="EV381" i="44"/>
  <c r="EU381" i="44"/>
  <c r="ES381" i="44"/>
  <c r="ER381" i="44"/>
  <c r="EQ381" i="44"/>
  <c r="EP381" i="44"/>
  <c r="EO381" i="44"/>
  <c r="EN381" i="44"/>
  <c r="EM381" i="44"/>
  <c r="EL381" i="44"/>
  <c r="EK381" i="44"/>
  <c r="EJ381" i="44"/>
  <c r="EI381" i="44"/>
  <c r="EH381" i="44"/>
  <c r="EG381" i="44"/>
  <c r="EF381" i="44"/>
  <c r="EE381" i="44"/>
  <c r="ED381" i="44"/>
  <c r="EC381" i="44"/>
  <c r="EB381" i="44"/>
  <c r="EA381" i="44"/>
  <c r="DZ381" i="44"/>
  <c r="DY381" i="44"/>
  <c r="DX381" i="44"/>
  <c r="DW381" i="44"/>
  <c r="GM380" i="44"/>
  <c r="GK380" i="44"/>
  <c r="GJ380" i="44"/>
  <c r="GI380" i="44"/>
  <c r="GH380" i="44"/>
  <c r="GG380" i="44"/>
  <c r="GF380" i="44"/>
  <c r="GE380" i="44"/>
  <c r="GD380" i="44"/>
  <c r="GC380" i="44"/>
  <c r="GB380" i="44"/>
  <c r="GA380" i="44"/>
  <c r="FZ380" i="44"/>
  <c r="FY380" i="44"/>
  <c r="FT380" i="44"/>
  <c r="FS380" i="44"/>
  <c r="FR380" i="44"/>
  <c r="FQ380" i="44"/>
  <c r="FP380" i="44"/>
  <c r="FO380" i="44"/>
  <c r="FL380" i="44"/>
  <c r="FK380" i="44"/>
  <c r="FG380" i="44"/>
  <c r="FF380" i="44"/>
  <c r="FE380" i="44"/>
  <c r="FD380" i="44"/>
  <c r="FC380" i="44"/>
  <c r="FB380" i="44"/>
  <c r="FA380" i="44"/>
  <c r="EZ380" i="44"/>
  <c r="EY380" i="44"/>
  <c r="EW380" i="44"/>
  <c r="EV380" i="44"/>
  <c r="EU380" i="44"/>
  <c r="ES380" i="44"/>
  <c r="ER380" i="44"/>
  <c r="EQ380" i="44"/>
  <c r="EP380" i="44"/>
  <c r="EO380" i="44"/>
  <c r="EN380" i="44"/>
  <c r="EM380" i="44"/>
  <c r="EL380" i="44"/>
  <c r="EK380" i="44"/>
  <c r="EJ380" i="44"/>
  <c r="EI380" i="44"/>
  <c r="EH380" i="44"/>
  <c r="EG380" i="44"/>
  <c r="EF380" i="44"/>
  <c r="EE380" i="44"/>
  <c r="ED380" i="44"/>
  <c r="EC380" i="44"/>
  <c r="EB380" i="44"/>
  <c r="EA380" i="44"/>
  <c r="DZ380" i="44"/>
  <c r="DY380" i="44"/>
  <c r="DX380" i="44"/>
  <c r="DW380" i="44"/>
  <c r="GM379" i="44"/>
  <c r="GK379" i="44"/>
  <c r="GJ379" i="44"/>
  <c r="GI379" i="44"/>
  <c r="GH379" i="44"/>
  <c r="GG379" i="44"/>
  <c r="GF379" i="44"/>
  <c r="GE379" i="44"/>
  <c r="GD379" i="44"/>
  <c r="GC379" i="44"/>
  <c r="GB379" i="44"/>
  <c r="GA379" i="44"/>
  <c r="FZ379" i="44"/>
  <c r="FY379" i="44"/>
  <c r="FT379" i="44"/>
  <c r="FS379" i="44"/>
  <c r="FR379" i="44"/>
  <c r="FQ379" i="44"/>
  <c r="FP379" i="44"/>
  <c r="FO379" i="44"/>
  <c r="FL379" i="44"/>
  <c r="FK379" i="44"/>
  <c r="FG379" i="44"/>
  <c r="FF379" i="44"/>
  <c r="FE379" i="44"/>
  <c r="FD379" i="44"/>
  <c r="FC379" i="44"/>
  <c r="FB379" i="44"/>
  <c r="FA379" i="44"/>
  <c r="EZ379" i="44"/>
  <c r="EY379" i="44"/>
  <c r="EW379" i="44"/>
  <c r="EV379" i="44"/>
  <c r="EU379" i="44"/>
  <c r="ES379" i="44"/>
  <c r="ER379" i="44"/>
  <c r="EQ379" i="44"/>
  <c r="EP379" i="44"/>
  <c r="EO379" i="44"/>
  <c r="EN379" i="44"/>
  <c r="EM379" i="44"/>
  <c r="EL379" i="44"/>
  <c r="EK379" i="44"/>
  <c r="EJ379" i="44"/>
  <c r="EI379" i="44"/>
  <c r="EH379" i="44"/>
  <c r="EG379" i="44"/>
  <c r="EF379" i="44"/>
  <c r="EE379" i="44"/>
  <c r="ED379" i="44"/>
  <c r="EC379" i="44"/>
  <c r="EB379" i="44"/>
  <c r="EA379" i="44"/>
  <c r="DZ379" i="44"/>
  <c r="DY379" i="44"/>
  <c r="DX379" i="44"/>
  <c r="DW379" i="44"/>
  <c r="GM378" i="44"/>
  <c r="GK378" i="44"/>
  <c r="GJ378" i="44"/>
  <c r="GI378" i="44"/>
  <c r="GH378" i="44"/>
  <c r="GG378" i="44"/>
  <c r="GF378" i="44"/>
  <c r="GE378" i="44"/>
  <c r="GD378" i="44"/>
  <c r="GC378" i="44"/>
  <c r="GB378" i="44"/>
  <c r="GA378" i="44"/>
  <c r="FZ378" i="44"/>
  <c r="FY378" i="44"/>
  <c r="FT378" i="44"/>
  <c r="FS378" i="44"/>
  <c r="FR378" i="44"/>
  <c r="FQ378" i="44"/>
  <c r="FP378" i="44"/>
  <c r="FO378" i="44"/>
  <c r="FL378" i="44"/>
  <c r="FK378" i="44"/>
  <c r="FG378" i="44"/>
  <c r="FF378" i="44"/>
  <c r="FE378" i="44"/>
  <c r="FD378" i="44"/>
  <c r="FC378" i="44"/>
  <c r="FB378" i="44"/>
  <c r="FA378" i="44"/>
  <c r="EZ378" i="44"/>
  <c r="EY378" i="44"/>
  <c r="EW378" i="44"/>
  <c r="EV378" i="44"/>
  <c r="EU378" i="44"/>
  <c r="ES378" i="44"/>
  <c r="ER378" i="44"/>
  <c r="EQ378" i="44"/>
  <c r="EP378" i="44"/>
  <c r="EO378" i="44"/>
  <c r="EN378" i="44"/>
  <c r="EM378" i="44"/>
  <c r="EL378" i="44"/>
  <c r="EK378" i="44"/>
  <c r="EJ378" i="44"/>
  <c r="EI378" i="44"/>
  <c r="EH378" i="44"/>
  <c r="EG378" i="44"/>
  <c r="EF378" i="44"/>
  <c r="EE378" i="44"/>
  <c r="ED378" i="44"/>
  <c r="EC378" i="44"/>
  <c r="EB378" i="44"/>
  <c r="EA378" i="44"/>
  <c r="DZ378" i="44"/>
  <c r="DY378" i="44"/>
  <c r="DX378" i="44"/>
  <c r="DW378" i="44"/>
  <c r="GM377" i="44"/>
  <c r="GK377" i="44"/>
  <c r="GJ377" i="44"/>
  <c r="GI377" i="44"/>
  <c r="GH377" i="44"/>
  <c r="GG377" i="44"/>
  <c r="GF377" i="44"/>
  <c r="GE377" i="44"/>
  <c r="GD377" i="44"/>
  <c r="GC377" i="44"/>
  <c r="GB377" i="44"/>
  <c r="GA377" i="44"/>
  <c r="FZ377" i="44"/>
  <c r="FY377" i="44"/>
  <c r="FT377" i="44"/>
  <c r="FS377" i="44"/>
  <c r="FR377" i="44"/>
  <c r="FQ377" i="44"/>
  <c r="FP377" i="44"/>
  <c r="FO377" i="44"/>
  <c r="FN377" i="44"/>
  <c r="FM377" i="44"/>
  <c r="FL377" i="44"/>
  <c r="FK377" i="44"/>
  <c r="FJ377" i="44"/>
  <c r="FI377" i="44"/>
  <c r="FH377" i="44"/>
  <c r="FG377" i="44"/>
  <c r="FF377" i="44"/>
  <c r="FE377" i="44"/>
  <c r="FD377" i="44"/>
  <c r="FC377" i="44"/>
  <c r="FB377" i="44"/>
  <c r="FA377" i="44"/>
  <c r="EZ377" i="44"/>
  <c r="EY377" i="44"/>
  <c r="EX377" i="44"/>
  <c r="EW377" i="44"/>
  <c r="EV377" i="44"/>
  <c r="EU377" i="44"/>
  <c r="ES377" i="44"/>
  <c r="ER377" i="44"/>
  <c r="EQ377" i="44"/>
  <c r="EP377" i="44"/>
  <c r="EO377" i="44"/>
  <c r="EN377" i="44"/>
  <c r="EM377" i="44"/>
  <c r="EL377" i="44"/>
  <c r="EK377" i="44"/>
  <c r="EJ377" i="44"/>
  <c r="EI377" i="44"/>
  <c r="EH377" i="44"/>
  <c r="EG377" i="44"/>
  <c r="EF377" i="44"/>
  <c r="EE377" i="44"/>
  <c r="ED377" i="44"/>
  <c r="EC377" i="44"/>
  <c r="EB377" i="44"/>
  <c r="EA377" i="44"/>
  <c r="DZ377" i="44"/>
  <c r="DY377" i="44"/>
  <c r="DX377" i="44"/>
  <c r="DW377" i="44"/>
  <c r="GM376" i="44"/>
  <c r="GK376" i="44"/>
  <c r="GJ376" i="44"/>
  <c r="GI376" i="44"/>
  <c r="GH376" i="44"/>
  <c r="GG376" i="44"/>
  <c r="GF376" i="44"/>
  <c r="GE376" i="44"/>
  <c r="GD376" i="44"/>
  <c r="GC376" i="44"/>
  <c r="GB376" i="44"/>
  <c r="GA376" i="44"/>
  <c r="FZ376" i="44"/>
  <c r="FY376" i="44"/>
  <c r="FT376" i="44"/>
  <c r="FS376" i="44"/>
  <c r="FR376" i="44"/>
  <c r="FQ376" i="44"/>
  <c r="FP376" i="44"/>
  <c r="FO376" i="44"/>
  <c r="FL376" i="44"/>
  <c r="FK376" i="44"/>
  <c r="FG376" i="44"/>
  <c r="FF376" i="44"/>
  <c r="FE376" i="44"/>
  <c r="FD376" i="44"/>
  <c r="FC376" i="44"/>
  <c r="FB376" i="44"/>
  <c r="FA376" i="44"/>
  <c r="EZ376" i="44"/>
  <c r="EY376" i="44"/>
  <c r="EW376" i="44"/>
  <c r="EV376" i="44"/>
  <c r="EU376" i="44"/>
  <c r="ES376" i="44"/>
  <c r="ER376" i="44"/>
  <c r="EQ376" i="44"/>
  <c r="EP376" i="44"/>
  <c r="EO376" i="44"/>
  <c r="EN376" i="44"/>
  <c r="EM376" i="44"/>
  <c r="EL376" i="44"/>
  <c r="EK376" i="44"/>
  <c r="EJ376" i="44"/>
  <c r="EI376" i="44"/>
  <c r="EH376" i="44"/>
  <c r="EG376" i="44"/>
  <c r="EF376" i="44"/>
  <c r="EE376" i="44"/>
  <c r="ED376" i="44"/>
  <c r="EC376" i="44"/>
  <c r="EB376" i="44"/>
  <c r="EA376" i="44"/>
  <c r="DZ376" i="44"/>
  <c r="DY376" i="44"/>
  <c r="DX376" i="44"/>
  <c r="DW376" i="44"/>
  <c r="GM375" i="44"/>
  <c r="GK375" i="44"/>
  <c r="GJ375" i="44"/>
  <c r="GI375" i="44"/>
  <c r="GH375" i="44"/>
  <c r="GG375" i="44"/>
  <c r="GF375" i="44"/>
  <c r="GE375" i="44"/>
  <c r="GD375" i="44"/>
  <c r="GC375" i="44"/>
  <c r="GB375" i="44"/>
  <c r="GA375" i="44"/>
  <c r="FZ375" i="44"/>
  <c r="FY375" i="44"/>
  <c r="FT375" i="44"/>
  <c r="FS375" i="44"/>
  <c r="FR375" i="44"/>
  <c r="FQ375" i="44"/>
  <c r="FP375" i="44"/>
  <c r="FO375" i="44"/>
  <c r="FN375" i="44"/>
  <c r="FM375" i="44"/>
  <c r="FL375" i="44"/>
  <c r="FK375" i="44"/>
  <c r="FJ375" i="44"/>
  <c r="FG375" i="44"/>
  <c r="FF375" i="44"/>
  <c r="FE375" i="44"/>
  <c r="FD375" i="44"/>
  <c r="FC375" i="44"/>
  <c r="FB375" i="44"/>
  <c r="FA375" i="44"/>
  <c r="EZ375" i="44"/>
  <c r="EY375" i="44"/>
  <c r="EW375" i="44"/>
  <c r="EV375" i="44"/>
  <c r="EU375" i="44"/>
  <c r="ES375" i="44"/>
  <c r="ER375" i="44"/>
  <c r="EQ375" i="44"/>
  <c r="EP375" i="44"/>
  <c r="EO375" i="44"/>
  <c r="EN375" i="44"/>
  <c r="EM375" i="44"/>
  <c r="EL375" i="44"/>
  <c r="EK375" i="44"/>
  <c r="EJ375" i="44"/>
  <c r="EI375" i="44"/>
  <c r="EH375" i="44"/>
  <c r="EG375" i="44"/>
  <c r="EF375" i="44"/>
  <c r="ED375" i="44"/>
  <c r="EC375" i="44"/>
  <c r="EB375" i="44"/>
  <c r="EA375" i="44"/>
  <c r="DZ375" i="44"/>
  <c r="DY375" i="44"/>
  <c r="DX375" i="44"/>
  <c r="DW375" i="44"/>
  <c r="GM374" i="44"/>
  <c r="GK374" i="44"/>
  <c r="GJ374" i="44"/>
  <c r="GI374" i="44"/>
  <c r="GH374" i="44"/>
  <c r="GG374" i="44"/>
  <c r="GF374" i="44"/>
  <c r="GE374" i="44"/>
  <c r="GD374" i="44"/>
  <c r="GC374" i="44"/>
  <c r="GB374" i="44"/>
  <c r="GA374" i="44"/>
  <c r="FZ374" i="44"/>
  <c r="FY374" i="44"/>
  <c r="FT374" i="44"/>
  <c r="FS374" i="44"/>
  <c r="FR374" i="44"/>
  <c r="FQ374" i="44"/>
  <c r="FP374" i="44"/>
  <c r="FO374" i="44"/>
  <c r="FN374" i="44"/>
  <c r="FM374" i="44"/>
  <c r="FL374" i="44"/>
  <c r="FK374" i="44"/>
  <c r="FJ374" i="44"/>
  <c r="FI374" i="44"/>
  <c r="FH374" i="44"/>
  <c r="FG374" i="44"/>
  <c r="FF374" i="44"/>
  <c r="FE374" i="44"/>
  <c r="FD374" i="44"/>
  <c r="FC374" i="44"/>
  <c r="FB374" i="44"/>
  <c r="FA374" i="44"/>
  <c r="EZ374" i="44"/>
  <c r="EY374" i="44"/>
  <c r="EX374" i="44"/>
  <c r="EW374" i="44"/>
  <c r="EV374" i="44"/>
  <c r="EU374" i="44"/>
  <c r="ES374" i="44"/>
  <c r="ER374" i="44"/>
  <c r="EQ374" i="44"/>
  <c r="EP374" i="44"/>
  <c r="EO374" i="44"/>
  <c r="EN374" i="44"/>
  <c r="EM374" i="44"/>
  <c r="EL374" i="44"/>
  <c r="EK374" i="44"/>
  <c r="EJ374" i="44"/>
  <c r="EI374" i="44"/>
  <c r="EG374" i="44"/>
  <c r="EE374" i="44"/>
  <c r="ED374" i="44"/>
  <c r="EC374" i="44"/>
  <c r="DZ374" i="44"/>
  <c r="DY374" i="44"/>
  <c r="DW374" i="44"/>
  <c r="GM373" i="44"/>
  <c r="GK373" i="44"/>
  <c r="GJ373" i="44"/>
  <c r="GI373" i="44"/>
  <c r="GH373" i="44"/>
  <c r="GG373" i="44"/>
  <c r="GF373" i="44"/>
  <c r="GE373" i="44"/>
  <c r="GD373" i="44"/>
  <c r="GC373" i="44"/>
  <c r="GB373" i="44"/>
  <c r="GA373" i="44"/>
  <c r="FZ373" i="44"/>
  <c r="FY373" i="44"/>
  <c r="FT373" i="44"/>
  <c r="FS373" i="44"/>
  <c r="FR373" i="44"/>
  <c r="FQ373" i="44"/>
  <c r="FP373" i="44"/>
  <c r="FO373" i="44"/>
  <c r="FN373" i="44"/>
  <c r="FM373" i="44"/>
  <c r="FL373" i="44"/>
  <c r="FK373" i="44"/>
  <c r="FJ373" i="44"/>
  <c r="FI373" i="44"/>
  <c r="FH373" i="44"/>
  <c r="FG373" i="44"/>
  <c r="FF373" i="44"/>
  <c r="FE373" i="44"/>
  <c r="FD373" i="44"/>
  <c r="FC373" i="44"/>
  <c r="FB373" i="44"/>
  <c r="FA373" i="44"/>
  <c r="EZ373" i="44"/>
  <c r="EY373" i="44"/>
  <c r="EX373" i="44"/>
  <c r="EW373" i="44"/>
  <c r="EV373" i="44"/>
  <c r="EU373" i="44"/>
  <c r="ES373" i="44"/>
  <c r="ER373" i="44"/>
  <c r="EQ373" i="44"/>
  <c r="EP373" i="44"/>
  <c r="EO373" i="44"/>
  <c r="EN373" i="44"/>
  <c r="EM373" i="44"/>
  <c r="EL373" i="44"/>
  <c r="EK373" i="44"/>
  <c r="EJ373" i="44"/>
  <c r="EI373" i="44"/>
  <c r="EH373" i="44"/>
  <c r="EG373" i="44"/>
  <c r="EF373" i="44"/>
  <c r="EE373" i="44"/>
  <c r="ED373" i="44"/>
  <c r="DZ373" i="44"/>
  <c r="DY373" i="44"/>
  <c r="DW373" i="44"/>
  <c r="GM372" i="44"/>
  <c r="GK372" i="44"/>
  <c r="GJ372" i="44"/>
  <c r="GI372" i="44"/>
  <c r="GH372" i="44"/>
  <c r="GG372" i="44"/>
  <c r="GF372" i="44"/>
  <c r="GE372" i="44"/>
  <c r="GD372" i="44"/>
  <c r="GC372" i="44"/>
  <c r="GB372" i="44"/>
  <c r="GA372" i="44"/>
  <c r="FZ372" i="44"/>
  <c r="FY372" i="44"/>
  <c r="FT372" i="44"/>
  <c r="FS372" i="44"/>
  <c r="FR372" i="44"/>
  <c r="FQ372" i="44"/>
  <c r="FP372" i="44"/>
  <c r="FO372" i="44"/>
  <c r="FN372" i="44"/>
  <c r="FM372" i="44"/>
  <c r="FL372" i="44"/>
  <c r="FK372" i="44"/>
  <c r="FJ372" i="44"/>
  <c r="FI372" i="44"/>
  <c r="FH372" i="44"/>
  <c r="FG372" i="44"/>
  <c r="FF372" i="44"/>
  <c r="FE372" i="44"/>
  <c r="FD372" i="44"/>
  <c r="FC372" i="44"/>
  <c r="FB372" i="44"/>
  <c r="FA372" i="44"/>
  <c r="EZ372" i="44"/>
  <c r="EY372" i="44"/>
  <c r="EX372" i="44"/>
  <c r="EW372" i="44"/>
  <c r="EV372" i="44"/>
  <c r="EU372" i="44"/>
  <c r="ES372" i="44"/>
  <c r="ER372" i="44"/>
  <c r="EQ372" i="44"/>
  <c r="EP372" i="44"/>
  <c r="EO372" i="44"/>
  <c r="EN372" i="44"/>
  <c r="EM372" i="44"/>
  <c r="EL372" i="44"/>
  <c r="EK372" i="44"/>
  <c r="EJ372" i="44"/>
  <c r="EI372" i="44"/>
  <c r="EH372" i="44"/>
  <c r="EG372" i="44"/>
  <c r="EF372" i="44"/>
  <c r="EE372" i="44"/>
  <c r="ED372" i="44"/>
  <c r="EC372" i="44"/>
  <c r="EB372" i="44"/>
  <c r="EA372" i="44"/>
  <c r="DZ372" i="44"/>
  <c r="DY372" i="44"/>
  <c r="DX372" i="44"/>
  <c r="GM371" i="44"/>
  <c r="GK371" i="44"/>
  <c r="GJ371" i="44"/>
  <c r="GI371" i="44"/>
  <c r="GH371" i="44"/>
  <c r="GG371" i="44"/>
  <c r="GF371" i="44"/>
  <c r="GE371" i="44"/>
  <c r="GD371" i="44"/>
  <c r="GC371" i="44"/>
  <c r="GB371" i="44"/>
  <c r="GA371" i="44"/>
  <c r="FZ371" i="44"/>
  <c r="FY371" i="44"/>
  <c r="FT371" i="44"/>
  <c r="FS371" i="44"/>
  <c r="FR371" i="44"/>
  <c r="FQ371" i="44"/>
  <c r="FP371" i="44"/>
  <c r="FO371" i="44"/>
  <c r="FN371" i="44"/>
  <c r="FM371" i="44"/>
  <c r="FL371" i="44"/>
  <c r="FK371" i="44"/>
  <c r="FJ371" i="44"/>
  <c r="FI371" i="44"/>
  <c r="FH371" i="44"/>
  <c r="FG371" i="44"/>
  <c r="FF371" i="44"/>
  <c r="FE371" i="44"/>
  <c r="FD371" i="44"/>
  <c r="FC371" i="44"/>
  <c r="FB371" i="44"/>
  <c r="FA371" i="44"/>
  <c r="EZ371" i="44"/>
  <c r="EY371" i="44"/>
  <c r="EX371" i="44"/>
  <c r="EW371" i="44"/>
  <c r="EV371" i="44"/>
  <c r="EU371" i="44"/>
  <c r="ES371" i="44"/>
  <c r="ER371" i="44"/>
  <c r="EQ371" i="44"/>
  <c r="EP371" i="44"/>
  <c r="EO371" i="44"/>
  <c r="EN371" i="44"/>
  <c r="EM371" i="44"/>
  <c r="EL371" i="44"/>
  <c r="EK371" i="44"/>
  <c r="EJ371" i="44"/>
  <c r="EI371" i="44"/>
  <c r="EH371" i="44"/>
  <c r="EG371" i="44"/>
  <c r="EF371" i="44"/>
  <c r="EE371" i="44"/>
  <c r="ED371" i="44"/>
  <c r="EC371" i="44"/>
  <c r="EB371" i="44"/>
  <c r="EA371" i="44"/>
  <c r="DZ371" i="44"/>
  <c r="DY371" i="44"/>
  <c r="DX371" i="44"/>
  <c r="DW371" i="44"/>
  <c r="GM370" i="44"/>
  <c r="GK370" i="44"/>
  <c r="GJ370" i="44"/>
  <c r="GI370" i="44"/>
  <c r="GH370" i="44"/>
  <c r="GG370" i="44"/>
  <c r="GF370" i="44"/>
  <c r="GE370" i="44"/>
  <c r="GD370" i="44"/>
  <c r="GC370" i="44"/>
  <c r="GB370" i="44"/>
  <c r="GA370" i="44"/>
  <c r="FZ370" i="44"/>
  <c r="FY370" i="44"/>
  <c r="FT370" i="44"/>
  <c r="FS370" i="44"/>
  <c r="FR370" i="44"/>
  <c r="FQ370" i="44"/>
  <c r="FP370" i="44"/>
  <c r="FO370" i="44"/>
  <c r="FN370" i="44"/>
  <c r="FM370" i="44"/>
  <c r="FL370" i="44"/>
  <c r="FK370" i="44"/>
  <c r="FJ370" i="44"/>
  <c r="FI370" i="44"/>
  <c r="FH370" i="44"/>
  <c r="FG370" i="44"/>
  <c r="FF370" i="44"/>
  <c r="FE370" i="44"/>
  <c r="FD370" i="44"/>
  <c r="FC370" i="44"/>
  <c r="FB370" i="44"/>
  <c r="FA370" i="44"/>
  <c r="EZ370" i="44"/>
  <c r="EY370" i="44"/>
  <c r="EX370" i="44"/>
  <c r="EW370" i="44"/>
  <c r="EV370" i="44"/>
  <c r="EU370" i="44"/>
  <c r="ES370" i="44"/>
  <c r="ER370" i="44"/>
  <c r="EQ370" i="44"/>
  <c r="EP370" i="44"/>
  <c r="EO370" i="44"/>
  <c r="EN370" i="44"/>
  <c r="EM370" i="44"/>
  <c r="EL370" i="44"/>
  <c r="EK370" i="44"/>
  <c r="EJ370" i="44"/>
  <c r="EI370" i="44"/>
  <c r="EH370" i="44"/>
  <c r="EG370" i="44"/>
  <c r="EF370" i="44"/>
  <c r="EE370" i="44"/>
  <c r="ED370" i="44"/>
  <c r="EC370" i="44"/>
  <c r="EB370" i="44"/>
  <c r="EA370" i="44"/>
  <c r="DZ370" i="44"/>
  <c r="DY370" i="44"/>
  <c r="DX370" i="44"/>
  <c r="DW370" i="44"/>
  <c r="GM369" i="44"/>
  <c r="GK369" i="44"/>
  <c r="GJ369" i="44"/>
  <c r="GI369" i="44"/>
  <c r="GH369" i="44"/>
  <c r="GG369" i="44"/>
  <c r="GF369" i="44"/>
  <c r="GE369" i="44"/>
  <c r="GD369" i="44"/>
  <c r="GC369" i="44"/>
  <c r="GB369" i="44"/>
  <c r="GA369" i="44"/>
  <c r="FZ369" i="44"/>
  <c r="FY369" i="44"/>
  <c r="FT369" i="44"/>
  <c r="FS369" i="44"/>
  <c r="FR369" i="44"/>
  <c r="FQ369" i="44"/>
  <c r="FP369" i="44"/>
  <c r="FO369" i="44"/>
  <c r="FN369" i="44"/>
  <c r="FM369" i="44"/>
  <c r="FL369" i="44"/>
  <c r="FK369" i="44"/>
  <c r="FJ369" i="44"/>
  <c r="FI369" i="44"/>
  <c r="FH369" i="44"/>
  <c r="FG369" i="44"/>
  <c r="FF369" i="44"/>
  <c r="FE369" i="44"/>
  <c r="FD369" i="44"/>
  <c r="FC369" i="44"/>
  <c r="FB369" i="44"/>
  <c r="FA369" i="44"/>
  <c r="EZ369" i="44"/>
  <c r="EY369" i="44"/>
  <c r="EX369" i="44"/>
  <c r="EW369" i="44"/>
  <c r="EV369" i="44"/>
  <c r="EU369" i="44"/>
  <c r="ES369" i="44"/>
  <c r="ER369" i="44"/>
  <c r="EQ369" i="44"/>
  <c r="EP369" i="44"/>
  <c r="EO369" i="44"/>
  <c r="EN369" i="44"/>
  <c r="EM369" i="44"/>
  <c r="EL369" i="44"/>
  <c r="EK369" i="44"/>
  <c r="EJ369" i="44"/>
  <c r="EI369" i="44"/>
  <c r="EH369" i="44"/>
  <c r="EG369" i="44"/>
  <c r="EF369" i="44"/>
  <c r="EE369" i="44"/>
  <c r="ED369" i="44"/>
  <c r="EC369" i="44"/>
  <c r="EB369" i="44"/>
  <c r="EA369" i="44"/>
  <c r="DZ369" i="44"/>
  <c r="DY369" i="44"/>
  <c r="DX369" i="44"/>
  <c r="DW369" i="44"/>
  <c r="GM368" i="44"/>
  <c r="GK368" i="44"/>
  <c r="GJ368" i="44"/>
  <c r="GI368" i="44"/>
  <c r="GH368" i="44"/>
  <c r="GG368" i="44"/>
  <c r="GF368" i="44"/>
  <c r="GE368" i="44"/>
  <c r="GD368" i="44"/>
  <c r="GC368" i="44"/>
  <c r="GB368" i="44"/>
  <c r="GA368" i="44"/>
  <c r="FZ368" i="44"/>
  <c r="FY368" i="44"/>
  <c r="FT368" i="44"/>
  <c r="FS368" i="44"/>
  <c r="FR368" i="44"/>
  <c r="FQ368" i="44"/>
  <c r="FP368" i="44"/>
  <c r="FO368" i="44"/>
  <c r="FN368" i="44"/>
  <c r="FM368" i="44"/>
  <c r="FL368" i="44"/>
  <c r="FK368" i="44"/>
  <c r="FJ368" i="44"/>
  <c r="FI368" i="44"/>
  <c r="FH368" i="44"/>
  <c r="FG368" i="44"/>
  <c r="FF368" i="44"/>
  <c r="FE368" i="44"/>
  <c r="FD368" i="44"/>
  <c r="FC368" i="44"/>
  <c r="FB368" i="44"/>
  <c r="FA368" i="44"/>
  <c r="EZ368" i="44"/>
  <c r="EY368" i="44"/>
  <c r="EX368" i="44"/>
  <c r="EW368" i="44"/>
  <c r="EV368" i="44"/>
  <c r="EU368" i="44"/>
  <c r="ES368" i="44"/>
  <c r="ER368" i="44"/>
  <c r="EQ368" i="44"/>
  <c r="EP368" i="44"/>
  <c r="EO368" i="44"/>
  <c r="EN368" i="44"/>
  <c r="EM368" i="44"/>
  <c r="EL368" i="44"/>
  <c r="EK368" i="44"/>
  <c r="EJ368" i="44"/>
  <c r="EI368" i="44"/>
  <c r="EH368" i="44"/>
  <c r="EG368" i="44"/>
  <c r="EF368" i="44"/>
  <c r="EE368" i="44"/>
  <c r="ED368" i="44"/>
  <c r="EC368" i="44"/>
  <c r="EB368" i="44"/>
  <c r="EA368" i="44"/>
  <c r="DZ368" i="44"/>
  <c r="DY368" i="44"/>
  <c r="DX368" i="44"/>
  <c r="DW368" i="44"/>
  <c r="GM367" i="44"/>
  <c r="GK367" i="44"/>
  <c r="GJ367" i="44"/>
  <c r="GI367" i="44"/>
  <c r="GH367" i="44"/>
  <c r="GG367" i="44"/>
  <c r="GF367" i="44"/>
  <c r="GE367" i="44"/>
  <c r="GD367" i="44"/>
  <c r="GC367" i="44"/>
  <c r="GB367" i="44"/>
  <c r="GA367" i="44"/>
  <c r="FZ367" i="44"/>
  <c r="FY367" i="44"/>
  <c r="FT367" i="44"/>
  <c r="FS367" i="44"/>
  <c r="FR367" i="44"/>
  <c r="FQ367" i="44"/>
  <c r="FP367" i="44"/>
  <c r="FO367" i="44"/>
  <c r="FN367" i="44"/>
  <c r="FM367" i="44"/>
  <c r="FL367" i="44"/>
  <c r="FK367" i="44"/>
  <c r="FJ367" i="44"/>
  <c r="FI367" i="44"/>
  <c r="FH367" i="44"/>
  <c r="FG367" i="44"/>
  <c r="FF367" i="44"/>
  <c r="FE367" i="44"/>
  <c r="FD367" i="44"/>
  <c r="FC367" i="44"/>
  <c r="FB367" i="44"/>
  <c r="FA367" i="44"/>
  <c r="EZ367" i="44"/>
  <c r="EY367" i="44"/>
  <c r="EX367" i="44"/>
  <c r="EW367" i="44"/>
  <c r="EV367" i="44"/>
  <c r="EU367" i="44"/>
  <c r="ES367" i="44"/>
  <c r="ER367" i="44"/>
  <c r="EQ367" i="44"/>
  <c r="EP367" i="44"/>
  <c r="EO367" i="44"/>
  <c r="EN367" i="44"/>
  <c r="EM367" i="44"/>
  <c r="EL367" i="44"/>
  <c r="EK367" i="44"/>
  <c r="EJ367" i="44"/>
  <c r="EI367" i="44"/>
  <c r="EH367" i="44"/>
  <c r="EG367" i="44"/>
  <c r="EF367" i="44"/>
  <c r="EE367" i="44"/>
  <c r="ED367" i="44"/>
  <c r="EC367" i="44"/>
  <c r="EB367" i="44"/>
  <c r="EA367" i="44"/>
  <c r="DZ367" i="44"/>
  <c r="DY367" i="44"/>
  <c r="DX367" i="44"/>
  <c r="DW367" i="44"/>
  <c r="GM366" i="44"/>
  <c r="GK366" i="44"/>
  <c r="GJ366" i="44"/>
  <c r="GI366" i="44"/>
  <c r="GH366" i="44"/>
  <c r="GG366" i="44"/>
  <c r="GF366" i="44"/>
  <c r="GE366" i="44"/>
  <c r="GD366" i="44"/>
  <c r="GC366" i="44"/>
  <c r="GB366" i="44"/>
  <c r="GA366" i="44"/>
  <c r="FZ366" i="44"/>
  <c r="FY366" i="44"/>
  <c r="FT366" i="44"/>
  <c r="FS366" i="44"/>
  <c r="FR366" i="44"/>
  <c r="FQ366" i="44"/>
  <c r="FP366" i="44"/>
  <c r="FO366" i="44"/>
  <c r="FN366" i="44"/>
  <c r="FM366" i="44"/>
  <c r="FL366" i="44"/>
  <c r="FK366" i="44"/>
  <c r="FJ366" i="44"/>
  <c r="FI366" i="44"/>
  <c r="FH366" i="44"/>
  <c r="FG366" i="44"/>
  <c r="FF366" i="44"/>
  <c r="FE366" i="44"/>
  <c r="FD366" i="44"/>
  <c r="FC366" i="44"/>
  <c r="FB366" i="44"/>
  <c r="FA366" i="44"/>
  <c r="EZ366" i="44"/>
  <c r="EY366" i="44"/>
  <c r="EX366" i="44"/>
  <c r="EW366" i="44"/>
  <c r="EV366" i="44"/>
  <c r="EU366" i="44"/>
  <c r="ES366" i="44"/>
  <c r="ER366" i="44"/>
  <c r="EQ366" i="44"/>
  <c r="EP366" i="44"/>
  <c r="EO366" i="44"/>
  <c r="EN366" i="44"/>
  <c r="EM366" i="44"/>
  <c r="EL366" i="44"/>
  <c r="EK366" i="44"/>
  <c r="EJ366" i="44"/>
  <c r="EI366" i="44"/>
  <c r="EH366" i="44"/>
  <c r="EG366" i="44"/>
  <c r="EF366" i="44"/>
  <c r="EE366" i="44"/>
  <c r="ED366" i="44"/>
  <c r="EC366" i="44"/>
  <c r="EB366" i="44"/>
  <c r="EA366" i="44"/>
  <c r="DZ366" i="44"/>
  <c r="DY366" i="44"/>
  <c r="DX366" i="44"/>
  <c r="DW366" i="44"/>
  <c r="GM365" i="44"/>
  <c r="GK365" i="44"/>
  <c r="GJ365" i="44"/>
  <c r="GI365" i="44"/>
  <c r="GH365" i="44"/>
  <c r="GG365" i="44"/>
  <c r="GF365" i="44"/>
  <c r="GE365" i="44"/>
  <c r="GD365" i="44"/>
  <c r="GC365" i="44"/>
  <c r="GB365" i="44"/>
  <c r="GA365" i="44"/>
  <c r="FZ365" i="44"/>
  <c r="FY365" i="44"/>
  <c r="FT365" i="44"/>
  <c r="FS365" i="44"/>
  <c r="FR365" i="44"/>
  <c r="FQ365" i="44"/>
  <c r="FP365" i="44"/>
  <c r="FO365" i="44"/>
  <c r="FN365" i="44"/>
  <c r="FM365" i="44"/>
  <c r="FL365" i="44"/>
  <c r="FK365" i="44"/>
  <c r="FJ365" i="44"/>
  <c r="FI365" i="44"/>
  <c r="FH365" i="44"/>
  <c r="FG365" i="44"/>
  <c r="FF365" i="44"/>
  <c r="FE365" i="44"/>
  <c r="FD365" i="44"/>
  <c r="FC365" i="44"/>
  <c r="FB365" i="44"/>
  <c r="FA365" i="44"/>
  <c r="EZ365" i="44"/>
  <c r="EY365" i="44"/>
  <c r="EX365" i="44"/>
  <c r="EW365" i="44"/>
  <c r="EV365" i="44"/>
  <c r="EU365" i="44"/>
  <c r="ES365" i="44"/>
  <c r="ER365" i="44"/>
  <c r="EQ365" i="44"/>
  <c r="EP365" i="44"/>
  <c r="EO365" i="44"/>
  <c r="EN365" i="44"/>
  <c r="EM365" i="44"/>
  <c r="EL365" i="44"/>
  <c r="EK365" i="44"/>
  <c r="EJ365" i="44"/>
  <c r="EI365" i="44"/>
  <c r="EH365" i="44"/>
  <c r="EG365" i="44"/>
  <c r="EF365" i="44"/>
  <c r="EE365" i="44"/>
  <c r="ED365" i="44"/>
  <c r="EC365" i="44"/>
  <c r="EB365" i="44"/>
  <c r="EA365" i="44"/>
  <c r="DZ365" i="44"/>
  <c r="DY365" i="44"/>
  <c r="DX365" i="44"/>
  <c r="DW365" i="44"/>
  <c r="GM364" i="44"/>
  <c r="GK364" i="44"/>
  <c r="GJ364" i="44"/>
  <c r="GI364" i="44"/>
  <c r="GH364" i="44"/>
  <c r="GG364" i="44"/>
  <c r="GF364" i="44"/>
  <c r="GE364" i="44"/>
  <c r="GD364" i="44"/>
  <c r="GC364" i="44"/>
  <c r="GB364" i="44"/>
  <c r="GA364" i="44"/>
  <c r="FZ364" i="44"/>
  <c r="FY364" i="44"/>
  <c r="FT364" i="44"/>
  <c r="FS364" i="44"/>
  <c r="FR364" i="44"/>
  <c r="FQ364" i="44"/>
  <c r="FP364" i="44"/>
  <c r="FO364" i="44"/>
  <c r="FN364" i="44"/>
  <c r="FM364" i="44"/>
  <c r="FL364" i="44"/>
  <c r="FK364" i="44"/>
  <c r="FJ364" i="44"/>
  <c r="FI364" i="44"/>
  <c r="FH364" i="44"/>
  <c r="FG364" i="44"/>
  <c r="FF364" i="44"/>
  <c r="FE364" i="44"/>
  <c r="FD364" i="44"/>
  <c r="FC364" i="44"/>
  <c r="FB364" i="44"/>
  <c r="FA364" i="44"/>
  <c r="EZ364" i="44"/>
  <c r="EY364" i="44"/>
  <c r="EX364" i="44"/>
  <c r="EW364" i="44"/>
  <c r="EV364" i="44"/>
  <c r="EU364" i="44"/>
  <c r="ES364" i="44"/>
  <c r="ER364" i="44"/>
  <c r="EQ364" i="44"/>
  <c r="EP364" i="44"/>
  <c r="EO364" i="44"/>
  <c r="EN364" i="44"/>
  <c r="EM364" i="44"/>
  <c r="EL364" i="44"/>
  <c r="EK364" i="44"/>
  <c r="EJ364" i="44"/>
  <c r="EI364" i="44"/>
  <c r="EH364" i="44"/>
  <c r="EG364" i="44"/>
  <c r="EF364" i="44"/>
  <c r="EE364" i="44"/>
  <c r="ED364" i="44"/>
  <c r="EC364" i="44"/>
  <c r="EB364" i="44"/>
  <c r="EA364" i="44"/>
  <c r="DZ364" i="44"/>
  <c r="DY364" i="44"/>
  <c r="DX364" i="44"/>
  <c r="DW364" i="44"/>
  <c r="GM363" i="44"/>
  <c r="GK363" i="44"/>
  <c r="GJ363" i="44"/>
  <c r="GI363" i="44"/>
  <c r="GH363" i="44"/>
  <c r="GG363" i="44"/>
  <c r="GF363" i="44"/>
  <c r="GE363" i="44"/>
  <c r="GD363" i="44"/>
  <c r="GC363" i="44"/>
  <c r="GB363" i="44"/>
  <c r="GA363" i="44"/>
  <c r="FZ363" i="44"/>
  <c r="FY363" i="44"/>
  <c r="FT363" i="44"/>
  <c r="FS363" i="44"/>
  <c r="FR363" i="44"/>
  <c r="FQ363" i="44"/>
  <c r="FP363" i="44"/>
  <c r="FO363" i="44"/>
  <c r="FN363" i="44"/>
  <c r="FM363" i="44"/>
  <c r="FL363" i="44"/>
  <c r="FK363" i="44"/>
  <c r="FJ363" i="44"/>
  <c r="FI363" i="44"/>
  <c r="FH363" i="44"/>
  <c r="FG363" i="44"/>
  <c r="FF363" i="44"/>
  <c r="FE363" i="44"/>
  <c r="FD363" i="44"/>
  <c r="FC363" i="44"/>
  <c r="FB363" i="44"/>
  <c r="FA363" i="44"/>
  <c r="EZ363" i="44"/>
  <c r="EY363" i="44"/>
  <c r="EX363" i="44"/>
  <c r="EW363" i="44"/>
  <c r="EV363" i="44"/>
  <c r="EU363" i="44"/>
  <c r="ES363" i="44"/>
  <c r="ER363" i="44"/>
  <c r="EQ363" i="44"/>
  <c r="EP363" i="44"/>
  <c r="EO363" i="44"/>
  <c r="EN363" i="44"/>
  <c r="EM363" i="44"/>
  <c r="EL363" i="44"/>
  <c r="EK363" i="44"/>
  <c r="EJ363" i="44"/>
  <c r="EI363" i="44"/>
  <c r="EH363" i="44"/>
  <c r="EG363" i="44"/>
  <c r="EF363" i="44"/>
  <c r="EE363" i="44"/>
  <c r="ED363" i="44"/>
  <c r="EC363" i="44"/>
  <c r="EB363" i="44"/>
  <c r="EA363" i="44"/>
  <c r="DZ363" i="44"/>
  <c r="DY363" i="44"/>
  <c r="DX363" i="44"/>
  <c r="DW363" i="44"/>
  <c r="GM362" i="44"/>
  <c r="GK362" i="44"/>
  <c r="GJ362" i="44"/>
  <c r="GI362" i="44"/>
  <c r="GH362" i="44"/>
  <c r="GG362" i="44"/>
  <c r="GF362" i="44"/>
  <c r="GE362" i="44"/>
  <c r="GD362" i="44"/>
  <c r="GC362" i="44"/>
  <c r="GB362" i="44"/>
  <c r="GA362" i="44"/>
  <c r="FZ362" i="44"/>
  <c r="FY362" i="44"/>
  <c r="FT362" i="44"/>
  <c r="FS362" i="44"/>
  <c r="FR362" i="44"/>
  <c r="FQ362" i="44"/>
  <c r="FP362" i="44"/>
  <c r="FO362" i="44"/>
  <c r="FN362" i="44"/>
  <c r="FM362" i="44"/>
  <c r="FL362" i="44"/>
  <c r="FK362" i="44"/>
  <c r="FJ362" i="44"/>
  <c r="FI362" i="44"/>
  <c r="FH362" i="44"/>
  <c r="FG362" i="44"/>
  <c r="FF362" i="44"/>
  <c r="FE362" i="44"/>
  <c r="FD362" i="44"/>
  <c r="FC362" i="44"/>
  <c r="FB362" i="44"/>
  <c r="FA362" i="44"/>
  <c r="EZ362" i="44"/>
  <c r="EY362" i="44"/>
  <c r="EX362" i="44"/>
  <c r="EW362" i="44"/>
  <c r="EV362" i="44"/>
  <c r="EU362" i="44"/>
  <c r="ES362" i="44"/>
  <c r="ER362" i="44"/>
  <c r="EQ362" i="44"/>
  <c r="EP362" i="44"/>
  <c r="EO362" i="44"/>
  <c r="EN362" i="44"/>
  <c r="EM362" i="44"/>
  <c r="EL362" i="44"/>
  <c r="EK362" i="44"/>
  <c r="EJ362" i="44"/>
  <c r="EI362" i="44"/>
  <c r="EH362" i="44"/>
  <c r="EG362" i="44"/>
  <c r="EF362" i="44"/>
  <c r="EE362" i="44"/>
  <c r="ED362" i="44"/>
  <c r="EC362" i="44"/>
  <c r="EB362" i="44"/>
  <c r="EA362" i="44"/>
  <c r="DZ362" i="44"/>
  <c r="DY362" i="44"/>
  <c r="DX362" i="44"/>
  <c r="DW362" i="44"/>
  <c r="GM361" i="44"/>
  <c r="GK361" i="44"/>
  <c r="GJ361" i="44"/>
  <c r="GI361" i="44"/>
  <c r="GH361" i="44"/>
  <c r="GG361" i="44"/>
  <c r="GF361" i="44"/>
  <c r="GE361" i="44"/>
  <c r="GD361" i="44"/>
  <c r="GC361" i="44"/>
  <c r="GB361" i="44"/>
  <c r="GA361" i="44"/>
  <c r="FZ361" i="44"/>
  <c r="FY361" i="44"/>
  <c r="FT361" i="44"/>
  <c r="FS361" i="44"/>
  <c r="FR361" i="44"/>
  <c r="FQ361" i="44"/>
  <c r="FP361" i="44"/>
  <c r="FO361" i="44"/>
  <c r="FN361" i="44"/>
  <c r="FM361" i="44"/>
  <c r="FL361" i="44"/>
  <c r="FK361" i="44"/>
  <c r="FJ361" i="44"/>
  <c r="FI361" i="44"/>
  <c r="FH361" i="44"/>
  <c r="FG361" i="44"/>
  <c r="FF361" i="44"/>
  <c r="FE361" i="44"/>
  <c r="FD361" i="44"/>
  <c r="FC361" i="44"/>
  <c r="FB361" i="44"/>
  <c r="FA361" i="44"/>
  <c r="EZ361" i="44"/>
  <c r="EY361" i="44"/>
  <c r="EX361" i="44"/>
  <c r="EW361" i="44"/>
  <c r="EV361" i="44"/>
  <c r="EU361" i="44"/>
  <c r="ES361" i="44"/>
  <c r="ER361" i="44"/>
  <c r="EQ361" i="44"/>
  <c r="EP361" i="44"/>
  <c r="EO361" i="44"/>
  <c r="EN361" i="44"/>
  <c r="EM361" i="44"/>
  <c r="EL361" i="44"/>
  <c r="EK361" i="44"/>
  <c r="EJ361" i="44"/>
  <c r="EI361" i="44"/>
  <c r="EH361" i="44"/>
  <c r="EG361" i="44"/>
  <c r="EF361" i="44"/>
  <c r="EE361" i="44"/>
  <c r="ED361" i="44"/>
  <c r="EC361" i="44"/>
  <c r="EB361" i="44"/>
  <c r="EA361" i="44"/>
  <c r="DZ361" i="44"/>
  <c r="DY361" i="44"/>
  <c r="DX361" i="44"/>
  <c r="DW361" i="44"/>
  <c r="GM360" i="44"/>
  <c r="GK360" i="44"/>
  <c r="GJ360" i="44"/>
  <c r="GI360" i="44"/>
  <c r="GH360" i="44"/>
  <c r="GG360" i="44"/>
  <c r="GF360" i="44"/>
  <c r="GE360" i="44"/>
  <c r="GD360" i="44"/>
  <c r="GC360" i="44"/>
  <c r="GB360" i="44"/>
  <c r="GA360" i="44"/>
  <c r="FZ360" i="44"/>
  <c r="FY360" i="44"/>
  <c r="FT360" i="44"/>
  <c r="FS360" i="44"/>
  <c r="FR360" i="44"/>
  <c r="FQ360" i="44"/>
  <c r="FP360" i="44"/>
  <c r="FO360" i="44"/>
  <c r="FN360" i="44"/>
  <c r="FM360" i="44"/>
  <c r="FL360" i="44"/>
  <c r="FK360" i="44"/>
  <c r="FJ360" i="44"/>
  <c r="FI360" i="44"/>
  <c r="FH360" i="44"/>
  <c r="FG360" i="44"/>
  <c r="FF360" i="44"/>
  <c r="FE360" i="44"/>
  <c r="FD360" i="44"/>
  <c r="FC360" i="44"/>
  <c r="FB360" i="44"/>
  <c r="FA360" i="44"/>
  <c r="EZ360" i="44"/>
  <c r="EY360" i="44"/>
  <c r="EX360" i="44"/>
  <c r="EW360" i="44"/>
  <c r="EV360" i="44"/>
  <c r="EU360" i="44"/>
  <c r="ES360" i="44"/>
  <c r="ER360" i="44"/>
  <c r="EQ360" i="44"/>
  <c r="EP360" i="44"/>
  <c r="EO360" i="44"/>
  <c r="EN360" i="44"/>
  <c r="EM360" i="44"/>
  <c r="EL360" i="44"/>
  <c r="EK360" i="44"/>
  <c r="EJ360" i="44"/>
  <c r="EI360" i="44"/>
  <c r="EH360" i="44"/>
  <c r="EG360" i="44"/>
  <c r="EF360" i="44"/>
  <c r="EE360" i="44"/>
  <c r="ED360" i="44"/>
  <c r="EC360" i="44"/>
  <c r="EB360" i="44"/>
  <c r="EA360" i="44"/>
  <c r="DZ360" i="44"/>
  <c r="DY360" i="44"/>
  <c r="DX360" i="44"/>
  <c r="DW360" i="44"/>
  <c r="GM359" i="44"/>
  <c r="GK359" i="44"/>
  <c r="GJ359" i="44"/>
  <c r="GI359" i="44"/>
  <c r="GH359" i="44"/>
  <c r="GG359" i="44"/>
  <c r="GF359" i="44"/>
  <c r="GE359" i="44"/>
  <c r="GD359" i="44"/>
  <c r="GC359" i="44"/>
  <c r="GB359" i="44"/>
  <c r="GA359" i="44"/>
  <c r="FZ359" i="44"/>
  <c r="FY359" i="44"/>
  <c r="FT359" i="44"/>
  <c r="FS359" i="44"/>
  <c r="FR359" i="44"/>
  <c r="FQ359" i="44"/>
  <c r="FP359" i="44"/>
  <c r="FO359" i="44"/>
  <c r="FN359" i="44"/>
  <c r="FM359" i="44"/>
  <c r="FL359" i="44"/>
  <c r="FK359" i="44"/>
  <c r="FJ359" i="44"/>
  <c r="FI359" i="44"/>
  <c r="FH359" i="44"/>
  <c r="FG359" i="44"/>
  <c r="FF359" i="44"/>
  <c r="FE359" i="44"/>
  <c r="FD359" i="44"/>
  <c r="FC359" i="44"/>
  <c r="FB359" i="44"/>
  <c r="FA359" i="44"/>
  <c r="EZ359" i="44"/>
  <c r="EY359" i="44"/>
  <c r="EX359" i="44"/>
  <c r="EW359" i="44"/>
  <c r="EV359" i="44"/>
  <c r="EU359" i="44"/>
  <c r="ES359" i="44"/>
  <c r="ER359" i="44"/>
  <c r="EQ359" i="44"/>
  <c r="EP359" i="44"/>
  <c r="EO359" i="44"/>
  <c r="EN359" i="44"/>
  <c r="EM359" i="44"/>
  <c r="EL359" i="44"/>
  <c r="EK359" i="44"/>
  <c r="EJ359" i="44"/>
  <c r="EI359" i="44"/>
  <c r="EH359" i="44"/>
  <c r="EG359" i="44"/>
  <c r="EF359" i="44"/>
  <c r="EE359" i="44"/>
  <c r="ED359" i="44"/>
  <c r="EC359" i="44"/>
  <c r="EB359" i="44"/>
  <c r="EA359" i="44"/>
  <c r="DZ359" i="44"/>
  <c r="DY359" i="44"/>
  <c r="DX359" i="44"/>
  <c r="DW359" i="44"/>
  <c r="GM358" i="44"/>
  <c r="GK358" i="44"/>
  <c r="GJ358" i="44"/>
  <c r="GI358" i="44"/>
  <c r="GH358" i="44"/>
  <c r="GG358" i="44"/>
  <c r="GF358" i="44"/>
  <c r="GE358" i="44"/>
  <c r="GD358" i="44"/>
  <c r="GC358" i="44"/>
  <c r="GB358" i="44"/>
  <c r="GA358" i="44"/>
  <c r="FZ358" i="44"/>
  <c r="FY358" i="44"/>
  <c r="FT358" i="44"/>
  <c r="FS358" i="44"/>
  <c r="FR358" i="44"/>
  <c r="FQ358" i="44"/>
  <c r="FP358" i="44"/>
  <c r="FO358" i="44"/>
  <c r="FN358" i="44"/>
  <c r="FM358" i="44"/>
  <c r="FL358" i="44"/>
  <c r="FK358" i="44"/>
  <c r="FJ358" i="44"/>
  <c r="FI358" i="44"/>
  <c r="FH358" i="44"/>
  <c r="FG358" i="44"/>
  <c r="FF358" i="44"/>
  <c r="FE358" i="44"/>
  <c r="FD358" i="44"/>
  <c r="FC358" i="44"/>
  <c r="FB358" i="44"/>
  <c r="FA358" i="44"/>
  <c r="EZ358" i="44"/>
  <c r="EY358" i="44"/>
  <c r="EX358" i="44"/>
  <c r="EW358" i="44"/>
  <c r="EV358" i="44"/>
  <c r="EU358" i="44"/>
  <c r="ES358" i="44"/>
  <c r="ER358" i="44"/>
  <c r="EQ358" i="44"/>
  <c r="EP358" i="44"/>
  <c r="EO358" i="44"/>
  <c r="EN358" i="44"/>
  <c r="EM358" i="44"/>
  <c r="EL358" i="44"/>
  <c r="EK358" i="44"/>
  <c r="EJ358" i="44"/>
  <c r="EI358" i="44"/>
  <c r="EH358" i="44"/>
  <c r="EG358" i="44"/>
  <c r="EF358" i="44"/>
  <c r="EE358" i="44"/>
  <c r="ED358" i="44"/>
  <c r="EC358" i="44"/>
  <c r="EB358" i="44"/>
  <c r="EA358" i="44"/>
  <c r="DZ358" i="44"/>
  <c r="DY358" i="44"/>
  <c r="DX358" i="44"/>
  <c r="DW358" i="44"/>
  <c r="GM357" i="44"/>
  <c r="GK357" i="44"/>
  <c r="GJ357" i="44"/>
  <c r="GI357" i="44"/>
  <c r="GH357" i="44"/>
  <c r="GG357" i="44"/>
  <c r="GF357" i="44"/>
  <c r="GE357" i="44"/>
  <c r="GD357" i="44"/>
  <c r="GC357" i="44"/>
  <c r="GB357" i="44"/>
  <c r="GA357" i="44"/>
  <c r="FZ357" i="44"/>
  <c r="FY357" i="44"/>
  <c r="FT357" i="44"/>
  <c r="FS357" i="44"/>
  <c r="FR357" i="44"/>
  <c r="FQ357" i="44"/>
  <c r="FP357" i="44"/>
  <c r="FO357" i="44"/>
  <c r="FN357" i="44"/>
  <c r="FM357" i="44"/>
  <c r="FL357" i="44"/>
  <c r="FK357" i="44"/>
  <c r="FJ357" i="44"/>
  <c r="FI357" i="44"/>
  <c r="FH357" i="44"/>
  <c r="FG357" i="44"/>
  <c r="FF357" i="44"/>
  <c r="FE357" i="44"/>
  <c r="FD357" i="44"/>
  <c r="FC357" i="44"/>
  <c r="FB357" i="44"/>
  <c r="FA357" i="44"/>
  <c r="EZ357" i="44"/>
  <c r="EY357" i="44"/>
  <c r="EX357" i="44"/>
  <c r="EW357" i="44"/>
  <c r="EV357" i="44"/>
  <c r="EU357" i="44"/>
  <c r="ES357" i="44"/>
  <c r="ER357" i="44"/>
  <c r="EQ357" i="44"/>
  <c r="EP357" i="44"/>
  <c r="EO357" i="44"/>
  <c r="EN357" i="44"/>
  <c r="EM357" i="44"/>
  <c r="EL357" i="44"/>
  <c r="EK357" i="44"/>
  <c r="EJ357" i="44"/>
  <c r="EI357" i="44"/>
  <c r="EH357" i="44"/>
  <c r="EG357" i="44"/>
  <c r="EF357" i="44"/>
  <c r="EE357" i="44"/>
  <c r="ED357" i="44"/>
  <c r="EC357" i="44"/>
  <c r="EB357" i="44"/>
  <c r="EA357" i="44"/>
  <c r="DZ357" i="44"/>
  <c r="DY357" i="44"/>
  <c r="DX357" i="44"/>
  <c r="DW357" i="44"/>
  <c r="GM356" i="44"/>
  <c r="GK356" i="44"/>
  <c r="GJ356" i="44"/>
  <c r="GI356" i="44"/>
  <c r="GH356" i="44"/>
  <c r="GG356" i="44"/>
  <c r="GF356" i="44"/>
  <c r="GE356" i="44"/>
  <c r="GD356" i="44"/>
  <c r="GC356" i="44"/>
  <c r="GB356" i="44"/>
  <c r="GA356" i="44"/>
  <c r="FZ356" i="44"/>
  <c r="FY356" i="44"/>
  <c r="FT356" i="44"/>
  <c r="FS356" i="44"/>
  <c r="FR356" i="44"/>
  <c r="FQ356" i="44"/>
  <c r="FP356" i="44"/>
  <c r="FO356" i="44"/>
  <c r="FN356" i="44"/>
  <c r="FM356" i="44"/>
  <c r="FL356" i="44"/>
  <c r="FK356" i="44"/>
  <c r="FJ356" i="44"/>
  <c r="FI356" i="44"/>
  <c r="FH356" i="44"/>
  <c r="FG356" i="44"/>
  <c r="FF356" i="44"/>
  <c r="FE356" i="44"/>
  <c r="FD356" i="44"/>
  <c r="FC356" i="44"/>
  <c r="FB356" i="44"/>
  <c r="FA356" i="44"/>
  <c r="EZ356" i="44"/>
  <c r="EY356" i="44"/>
  <c r="EX356" i="44"/>
  <c r="EW356" i="44"/>
  <c r="EV356" i="44"/>
  <c r="EU356" i="44"/>
  <c r="ES356" i="44"/>
  <c r="ER356" i="44"/>
  <c r="EQ356" i="44"/>
  <c r="EP356" i="44"/>
  <c r="EO356" i="44"/>
  <c r="EN356" i="44"/>
  <c r="EM356" i="44"/>
  <c r="EL356" i="44"/>
  <c r="EK356" i="44"/>
  <c r="EJ356" i="44"/>
  <c r="EI356" i="44"/>
  <c r="EH356" i="44"/>
  <c r="EG356" i="44"/>
  <c r="EF356" i="44"/>
  <c r="EE356" i="44"/>
  <c r="ED356" i="44"/>
  <c r="EC356" i="44"/>
  <c r="EB356" i="44"/>
  <c r="EA356" i="44"/>
  <c r="DZ356" i="44"/>
  <c r="DY356" i="44"/>
  <c r="DX356" i="44"/>
  <c r="DW356" i="44"/>
  <c r="GM355" i="44"/>
  <c r="GK355" i="44"/>
  <c r="GJ355" i="44"/>
  <c r="GI355" i="44"/>
  <c r="GH355" i="44"/>
  <c r="GG355" i="44"/>
  <c r="GF355" i="44"/>
  <c r="GE355" i="44"/>
  <c r="GD355" i="44"/>
  <c r="GC355" i="44"/>
  <c r="GB355" i="44"/>
  <c r="GA355" i="44"/>
  <c r="FZ355" i="44"/>
  <c r="FY355" i="44"/>
  <c r="FT355" i="44"/>
  <c r="FS355" i="44"/>
  <c r="FR355" i="44"/>
  <c r="FQ355" i="44"/>
  <c r="FP355" i="44"/>
  <c r="FO355" i="44"/>
  <c r="FN355" i="44"/>
  <c r="FM355" i="44"/>
  <c r="FL355" i="44"/>
  <c r="FK355" i="44"/>
  <c r="FJ355" i="44"/>
  <c r="FI355" i="44"/>
  <c r="FH355" i="44"/>
  <c r="FG355" i="44"/>
  <c r="FF355" i="44"/>
  <c r="FE355" i="44"/>
  <c r="FD355" i="44"/>
  <c r="FC355" i="44"/>
  <c r="FB355" i="44"/>
  <c r="FA355" i="44"/>
  <c r="EZ355" i="44"/>
  <c r="EY355" i="44"/>
  <c r="EX355" i="44"/>
  <c r="EW355" i="44"/>
  <c r="EV355" i="44"/>
  <c r="EU355" i="44"/>
  <c r="ES355" i="44"/>
  <c r="ER355" i="44"/>
  <c r="EQ355" i="44"/>
  <c r="EP355" i="44"/>
  <c r="EO355" i="44"/>
  <c r="EN355" i="44"/>
  <c r="EM355" i="44"/>
  <c r="EL355" i="44"/>
  <c r="EK355" i="44"/>
  <c r="EJ355" i="44"/>
  <c r="EI355" i="44"/>
  <c r="EH355" i="44"/>
  <c r="EG355" i="44"/>
  <c r="EF355" i="44"/>
  <c r="EE355" i="44"/>
  <c r="ED355" i="44"/>
  <c r="EC355" i="44"/>
  <c r="EB355" i="44"/>
  <c r="EA355" i="44"/>
  <c r="DZ355" i="44"/>
  <c r="DY355" i="44"/>
  <c r="DX355" i="44"/>
  <c r="DW355" i="44"/>
  <c r="GM354" i="44"/>
  <c r="GK354" i="44"/>
  <c r="GJ354" i="44"/>
  <c r="GI354" i="44"/>
  <c r="GH354" i="44"/>
  <c r="GG354" i="44"/>
  <c r="GF354" i="44"/>
  <c r="GE354" i="44"/>
  <c r="GD354" i="44"/>
  <c r="GC354" i="44"/>
  <c r="GB354" i="44"/>
  <c r="GA354" i="44"/>
  <c r="FZ354" i="44"/>
  <c r="FY354" i="44"/>
  <c r="FT354" i="44"/>
  <c r="FS354" i="44"/>
  <c r="FR354" i="44"/>
  <c r="FQ354" i="44"/>
  <c r="FP354" i="44"/>
  <c r="FO354" i="44"/>
  <c r="FN354" i="44"/>
  <c r="FM354" i="44"/>
  <c r="FL354" i="44"/>
  <c r="FK354" i="44"/>
  <c r="FJ354" i="44"/>
  <c r="FI354" i="44"/>
  <c r="FH354" i="44"/>
  <c r="FG354" i="44"/>
  <c r="FF354" i="44"/>
  <c r="FE354" i="44"/>
  <c r="FD354" i="44"/>
  <c r="FC354" i="44"/>
  <c r="FB354" i="44"/>
  <c r="FA354" i="44"/>
  <c r="EZ354" i="44"/>
  <c r="EY354" i="44"/>
  <c r="EX354" i="44"/>
  <c r="EW354" i="44"/>
  <c r="EV354" i="44"/>
  <c r="EU354" i="44"/>
  <c r="ES354" i="44"/>
  <c r="ER354" i="44"/>
  <c r="EQ354" i="44"/>
  <c r="EP354" i="44"/>
  <c r="EO354" i="44"/>
  <c r="EN354" i="44"/>
  <c r="EM354" i="44"/>
  <c r="EL354" i="44"/>
  <c r="EK354" i="44"/>
  <c r="EJ354" i="44"/>
  <c r="EI354" i="44"/>
  <c r="EH354" i="44"/>
  <c r="EG354" i="44"/>
  <c r="EF354" i="44"/>
  <c r="EE354" i="44"/>
  <c r="ED354" i="44"/>
  <c r="EC354" i="44"/>
  <c r="EB354" i="44"/>
  <c r="EA354" i="44"/>
  <c r="DZ354" i="44"/>
  <c r="DY354" i="44"/>
  <c r="DX354" i="44"/>
  <c r="DW354" i="44"/>
  <c r="GM353" i="44"/>
  <c r="GK353" i="44"/>
  <c r="GJ353" i="44"/>
  <c r="GI353" i="44"/>
  <c r="GH353" i="44"/>
  <c r="GG353" i="44"/>
  <c r="GF353" i="44"/>
  <c r="GE353" i="44"/>
  <c r="GD353" i="44"/>
  <c r="GC353" i="44"/>
  <c r="GB353" i="44"/>
  <c r="GA353" i="44"/>
  <c r="FZ353" i="44"/>
  <c r="FY353" i="44"/>
  <c r="FT353" i="44"/>
  <c r="FS353" i="44"/>
  <c r="FR353" i="44"/>
  <c r="FQ353" i="44"/>
  <c r="FP353" i="44"/>
  <c r="FO353" i="44"/>
  <c r="FN353" i="44"/>
  <c r="FM353" i="44"/>
  <c r="FL353" i="44"/>
  <c r="FK353" i="44"/>
  <c r="FJ353" i="44"/>
  <c r="FI353" i="44"/>
  <c r="FH353" i="44"/>
  <c r="FG353" i="44"/>
  <c r="FF353" i="44"/>
  <c r="FE353" i="44"/>
  <c r="FD353" i="44"/>
  <c r="FC353" i="44"/>
  <c r="FB353" i="44"/>
  <c r="FA353" i="44"/>
  <c r="EZ353" i="44"/>
  <c r="EY353" i="44"/>
  <c r="EX353" i="44"/>
  <c r="EW353" i="44"/>
  <c r="EV353" i="44"/>
  <c r="EU353" i="44"/>
  <c r="ES353" i="44"/>
  <c r="ER353" i="44"/>
  <c r="EQ353" i="44"/>
  <c r="EP353" i="44"/>
  <c r="EO353" i="44"/>
  <c r="EN353" i="44"/>
  <c r="EM353" i="44"/>
  <c r="EL353" i="44"/>
  <c r="EK353" i="44"/>
  <c r="EJ353" i="44"/>
  <c r="EI353" i="44"/>
  <c r="EH353" i="44"/>
  <c r="EG353" i="44"/>
  <c r="EF353" i="44"/>
  <c r="EE353" i="44"/>
  <c r="ED353" i="44"/>
  <c r="EC353" i="44"/>
  <c r="EB353" i="44"/>
  <c r="EA353" i="44"/>
  <c r="DZ353" i="44"/>
  <c r="DY353" i="44"/>
  <c r="DX353" i="44"/>
  <c r="DW353" i="44"/>
  <c r="GM352" i="44"/>
  <c r="GK352" i="44"/>
  <c r="GJ352" i="44"/>
  <c r="GI352" i="44"/>
  <c r="GH352" i="44"/>
  <c r="GG352" i="44"/>
  <c r="GF352" i="44"/>
  <c r="GE352" i="44"/>
  <c r="GD352" i="44"/>
  <c r="GC352" i="44"/>
  <c r="GB352" i="44"/>
  <c r="GA352" i="44"/>
  <c r="FZ352" i="44"/>
  <c r="FY352" i="44"/>
  <c r="FT352" i="44"/>
  <c r="FS352" i="44"/>
  <c r="FR352" i="44"/>
  <c r="FQ352" i="44"/>
  <c r="FP352" i="44"/>
  <c r="FO352" i="44"/>
  <c r="FN352" i="44"/>
  <c r="FM352" i="44"/>
  <c r="FL352" i="44"/>
  <c r="FK352" i="44"/>
  <c r="FJ352" i="44"/>
  <c r="FI352" i="44"/>
  <c r="FH352" i="44"/>
  <c r="FG352" i="44"/>
  <c r="FF352" i="44"/>
  <c r="FE352" i="44"/>
  <c r="FD352" i="44"/>
  <c r="FC352" i="44"/>
  <c r="FB352" i="44"/>
  <c r="FA352" i="44"/>
  <c r="EZ352" i="44"/>
  <c r="EY352" i="44"/>
  <c r="EX352" i="44"/>
  <c r="EW352" i="44"/>
  <c r="EV352" i="44"/>
  <c r="EU352" i="44"/>
  <c r="ES352" i="44"/>
  <c r="ER352" i="44"/>
  <c r="EQ352" i="44"/>
  <c r="EP352" i="44"/>
  <c r="EO352" i="44"/>
  <c r="EN352" i="44"/>
  <c r="EM352" i="44"/>
  <c r="EL352" i="44"/>
  <c r="EK352" i="44"/>
  <c r="EJ352" i="44"/>
  <c r="EI352" i="44"/>
  <c r="EH352" i="44"/>
  <c r="EG352" i="44"/>
  <c r="EF352" i="44"/>
  <c r="EE352" i="44"/>
  <c r="ED352" i="44"/>
  <c r="EC352" i="44"/>
  <c r="EB352" i="44"/>
  <c r="EA352" i="44"/>
  <c r="DZ352" i="44"/>
  <c r="DY352" i="44"/>
  <c r="DX352" i="44"/>
  <c r="DW352" i="44"/>
  <c r="GM351" i="44"/>
  <c r="GK351" i="44"/>
  <c r="GJ351" i="44"/>
  <c r="GI351" i="44"/>
  <c r="GH351" i="44"/>
  <c r="GG351" i="44"/>
  <c r="GF351" i="44"/>
  <c r="GE351" i="44"/>
  <c r="GD351" i="44"/>
  <c r="GC351" i="44"/>
  <c r="GB351" i="44"/>
  <c r="GA351" i="44"/>
  <c r="FZ351" i="44"/>
  <c r="FY351" i="44"/>
  <c r="FT351" i="44"/>
  <c r="FS351" i="44"/>
  <c r="FR351" i="44"/>
  <c r="FQ351" i="44"/>
  <c r="FP351" i="44"/>
  <c r="FO351" i="44"/>
  <c r="FN351" i="44"/>
  <c r="FM351" i="44"/>
  <c r="FL351" i="44"/>
  <c r="FK351" i="44"/>
  <c r="FJ351" i="44"/>
  <c r="FI351" i="44"/>
  <c r="FH351" i="44"/>
  <c r="FG351" i="44"/>
  <c r="FF351" i="44"/>
  <c r="FE351" i="44"/>
  <c r="FD351" i="44"/>
  <c r="FC351" i="44"/>
  <c r="FB351" i="44"/>
  <c r="FA351" i="44"/>
  <c r="EZ351" i="44"/>
  <c r="EY351" i="44"/>
  <c r="EX351" i="44"/>
  <c r="EW351" i="44"/>
  <c r="EV351" i="44"/>
  <c r="EU351" i="44"/>
  <c r="ES351" i="44"/>
  <c r="ER351" i="44"/>
  <c r="EQ351" i="44"/>
  <c r="EP351" i="44"/>
  <c r="EO351" i="44"/>
  <c r="EN351" i="44"/>
  <c r="EM351" i="44"/>
  <c r="EL351" i="44"/>
  <c r="EK351" i="44"/>
  <c r="EJ351" i="44"/>
  <c r="EI351" i="44"/>
  <c r="EH351" i="44"/>
  <c r="EG351" i="44"/>
  <c r="EF351" i="44"/>
  <c r="EE351" i="44"/>
  <c r="ED351" i="44"/>
  <c r="EC351" i="44"/>
  <c r="EB351" i="44"/>
  <c r="EA351" i="44"/>
  <c r="DZ351" i="44"/>
  <c r="DY351" i="44"/>
  <c r="DX351" i="44"/>
  <c r="DW351" i="44"/>
  <c r="GM350" i="44"/>
  <c r="GK350" i="44"/>
  <c r="GJ350" i="44"/>
  <c r="GI350" i="44"/>
  <c r="GH350" i="44"/>
  <c r="GG350" i="44"/>
  <c r="GF350" i="44"/>
  <c r="GE350" i="44"/>
  <c r="GD350" i="44"/>
  <c r="GC350" i="44"/>
  <c r="GB350" i="44"/>
  <c r="GA350" i="44"/>
  <c r="FZ350" i="44"/>
  <c r="FY350" i="44"/>
  <c r="FT350" i="44"/>
  <c r="FS350" i="44"/>
  <c r="FR350" i="44"/>
  <c r="FQ350" i="44"/>
  <c r="FP350" i="44"/>
  <c r="FO350" i="44"/>
  <c r="FN350" i="44"/>
  <c r="FM350" i="44"/>
  <c r="FL350" i="44"/>
  <c r="FK350" i="44"/>
  <c r="FJ350" i="44"/>
  <c r="FI350" i="44"/>
  <c r="FH350" i="44"/>
  <c r="FG350" i="44"/>
  <c r="FF350" i="44"/>
  <c r="FE350" i="44"/>
  <c r="FD350" i="44"/>
  <c r="FC350" i="44"/>
  <c r="FB350" i="44"/>
  <c r="FA350" i="44"/>
  <c r="EZ350" i="44"/>
  <c r="EY350" i="44"/>
  <c r="EX350" i="44"/>
  <c r="EW350" i="44"/>
  <c r="EV350" i="44"/>
  <c r="EU350" i="44"/>
  <c r="ES350" i="44"/>
  <c r="ER350" i="44"/>
  <c r="EQ350" i="44"/>
  <c r="EP350" i="44"/>
  <c r="EO350" i="44"/>
  <c r="EN350" i="44"/>
  <c r="EM350" i="44"/>
  <c r="EL350" i="44"/>
  <c r="EK350" i="44"/>
  <c r="EJ350" i="44"/>
  <c r="EI350" i="44"/>
  <c r="EH350" i="44"/>
  <c r="EG350" i="44"/>
  <c r="EF350" i="44"/>
  <c r="EE350" i="44"/>
  <c r="ED350" i="44"/>
  <c r="EC350" i="44"/>
  <c r="EB350" i="44"/>
  <c r="EA350" i="44"/>
  <c r="DZ350" i="44"/>
  <c r="DY350" i="44"/>
  <c r="DX350" i="44"/>
  <c r="DW350" i="44"/>
  <c r="GM349" i="44"/>
  <c r="GK349" i="44"/>
  <c r="GJ349" i="44"/>
  <c r="GI349" i="44"/>
  <c r="GH349" i="44"/>
  <c r="GG349" i="44"/>
  <c r="GF349" i="44"/>
  <c r="GE349" i="44"/>
  <c r="GD349" i="44"/>
  <c r="GC349" i="44"/>
  <c r="GB349" i="44"/>
  <c r="GA349" i="44"/>
  <c r="FZ349" i="44"/>
  <c r="FY349" i="44"/>
  <c r="FT349" i="44"/>
  <c r="FS349" i="44"/>
  <c r="FR349" i="44"/>
  <c r="FQ349" i="44"/>
  <c r="FP349" i="44"/>
  <c r="FO349" i="44"/>
  <c r="FN349" i="44"/>
  <c r="FM349" i="44"/>
  <c r="FL349" i="44"/>
  <c r="FK349" i="44"/>
  <c r="FJ349" i="44"/>
  <c r="FI349" i="44"/>
  <c r="FH349" i="44"/>
  <c r="FG349" i="44"/>
  <c r="FF349" i="44"/>
  <c r="FE349" i="44"/>
  <c r="FD349" i="44"/>
  <c r="FC349" i="44"/>
  <c r="FB349" i="44"/>
  <c r="FA349" i="44"/>
  <c r="EZ349" i="44"/>
  <c r="EY349" i="44"/>
  <c r="EX349" i="44"/>
  <c r="EW349" i="44"/>
  <c r="EV349" i="44"/>
  <c r="EU349" i="44"/>
  <c r="ES349" i="44"/>
  <c r="ER349" i="44"/>
  <c r="EQ349" i="44"/>
  <c r="EP349" i="44"/>
  <c r="EO349" i="44"/>
  <c r="EN349" i="44"/>
  <c r="EM349" i="44"/>
  <c r="EL349" i="44"/>
  <c r="EK349" i="44"/>
  <c r="EJ349" i="44"/>
  <c r="EI349" i="44"/>
  <c r="EH349" i="44"/>
  <c r="EG349" i="44"/>
  <c r="EF349" i="44"/>
  <c r="EE349" i="44"/>
  <c r="ED349" i="44"/>
  <c r="EC349" i="44"/>
  <c r="EB349" i="44"/>
  <c r="EA349" i="44"/>
  <c r="DZ349" i="44"/>
  <c r="DY349" i="44"/>
  <c r="DX349" i="44"/>
  <c r="DW349" i="44"/>
  <c r="GM348" i="44"/>
  <c r="GK348" i="44"/>
  <c r="GJ348" i="44"/>
  <c r="GI348" i="44"/>
  <c r="GH348" i="44"/>
  <c r="GG348" i="44"/>
  <c r="GF348" i="44"/>
  <c r="GE348" i="44"/>
  <c r="GD348" i="44"/>
  <c r="GC348" i="44"/>
  <c r="GB348" i="44"/>
  <c r="GA348" i="44"/>
  <c r="FZ348" i="44"/>
  <c r="FY348" i="44"/>
  <c r="FT348" i="44"/>
  <c r="FS348" i="44"/>
  <c r="FR348" i="44"/>
  <c r="FQ348" i="44"/>
  <c r="FP348" i="44"/>
  <c r="FO348" i="44"/>
  <c r="FN348" i="44"/>
  <c r="FM348" i="44"/>
  <c r="FL348" i="44"/>
  <c r="FK348" i="44"/>
  <c r="FJ348" i="44"/>
  <c r="FI348" i="44"/>
  <c r="FH348" i="44"/>
  <c r="FG348" i="44"/>
  <c r="FF348" i="44"/>
  <c r="FE348" i="44"/>
  <c r="FD348" i="44"/>
  <c r="FC348" i="44"/>
  <c r="FB348" i="44"/>
  <c r="FA348" i="44"/>
  <c r="EZ348" i="44"/>
  <c r="EY348" i="44"/>
  <c r="EX348" i="44"/>
  <c r="EW348" i="44"/>
  <c r="EV348" i="44"/>
  <c r="EU348" i="44"/>
  <c r="ES348" i="44"/>
  <c r="ER348" i="44"/>
  <c r="EQ348" i="44"/>
  <c r="EP348" i="44"/>
  <c r="EO348" i="44"/>
  <c r="EN348" i="44"/>
  <c r="EM348" i="44"/>
  <c r="EL348" i="44"/>
  <c r="EK348" i="44"/>
  <c r="EJ348" i="44"/>
  <c r="EI348" i="44"/>
  <c r="EH348" i="44"/>
  <c r="EG348" i="44"/>
  <c r="EF348" i="44"/>
  <c r="EE348" i="44"/>
  <c r="ED348" i="44"/>
  <c r="EC348" i="44"/>
  <c r="EB348" i="44"/>
  <c r="EA348" i="44"/>
  <c r="DZ348" i="44"/>
  <c r="DY348" i="44"/>
  <c r="DX348" i="44"/>
  <c r="DW348" i="44"/>
  <c r="GM347" i="44"/>
  <c r="GK347" i="44"/>
  <c r="GJ347" i="44"/>
  <c r="GI347" i="44"/>
  <c r="GH347" i="44"/>
  <c r="GG347" i="44"/>
  <c r="GF347" i="44"/>
  <c r="GE347" i="44"/>
  <c r="GD347" i="44"/>
  <c r="GC347" i="44"/>
  <c r="GB347" i="44"/>
  <c r="GA347" i="44"/>
  <c r="FZ347" i="44"/>
  <c r="FY347" i="44"/>
  <c r="FT347" i="44"/>
  <c r="FS347" i="44"/>
  <c r="FR347" i="44"/>
  <c r="FQ347" i="44"/>
  <c r="FP347" i="44"/>
  <c r="FO347" i="44"/>
  <c r="FN347" i="44"/>
  <c r="FM347" i="44"/>
  <c r="FL347" i="44"/>
  <c r="FK347" i="44"/>
  <c r="FJ347" i="44"/>
  <c r="FI347" i="44"/>
  <c r="FH347" i="44"/>
  <c r="FG347" i="44"/>
  <c r="FF347" i="44"/>
  <c r="FE347" i="44"/>
  <c r="FD347" i="44"/>
  <c r="FC347" i="44"/>
  <c r="FB347" i="44"/>
  <c r="FA347" i="44"/>
  <c r="EZ347" i="44"/>
  <c r="EY347" i="44"/>
  <c r="EX347" i="44"/>
  <c r="EW347" i="44"/>
  <c r="EV347" i="44"/>
  <c r="EU347" i="44"/>
  <c r="ES347" i="44"/>
  <c r="ER347" i="44"/>
  <c r="EQ347" i="44"/>
  <c r="EP347" i="44"/>
  <c r="EO347" i="44"/>
  <c r="EN347" i="44"/>
  <c r="EM347" i="44"/>
  <c r="EL347" i="44"/>
  <c r="EK347" i="44"/>
  <c r="EJ347" i="44"/>
  <c r="EI347" i="44"/>
  <c r="EH347" i="44"/>
  <c r="EG347" i="44"/>
  <c r="EF347" i="44"/>
  <c r="EE347" i="44"/>
  <c r="ED347" i="44"/>
  <c r="EC347" i="44"/>
  <c r="EB347" i="44"/>
  <c r="EA347" i="44"/>
  <c r="DZ347" i="44"/>
  <c r="DY347" i="44"/>
  <c r="DX347" i="44"/>
  <c r="DW347" i="44"/>
  <c r="GM346" i="44"/>
  <c r="GK346" i="44"/>
  <c r="GJ346" i="44"/>
  <c r="GI346" i="44"/>
  <c r="GH346" i="44"/>
  <c r="GG346" i="44"/>
  <c r="GF346" i="44"/>
  <c r="GE346" i="44"/>
  <c r="GD346" i="44"/>
  <c r="GC346" i="44"/>
  <c r="GB346" i="44"/>
  <c r="GA346" i="44"/>
  <c r="FZ346" i="44"/>
  <c r="FY346" i="44"/>
  <c r="FT346" i="44"/>
  <c r="FS346" i="44"/>
  <c r="FR346" i="44"/>
  <c r="FQ346" i="44"/>
  <c r="FP346" i="44"/>
  <c r="FO346" i="44"/>
  <c r="FN346" i="44"/>
  <c r="FM346" i="44"/>
  <c r="FL346" i="44"/>
  <c r="FK346" i="44"/>
  <c r="FJ346" i="44"/>
  <c r="FI346" i="44"/>
  <c r="FH346" i="44"/>
  <c r="FG346" i="44"/>
  <c r="FF346" i="44"/>
  <c r="FE346" i="44"/>
  <c r="FD346" i="44"/>
  <c r="FC346" i="44"/>
  <c r="FB346" i="44"/>
  <c r="FA346" i="44"/>
  <c r="EZ346" i="44"/>
  <c r="EY346" i="44"/>
  <c r="EX346" i="44"/>
  <c r="EW346" i="44"/>
  <c r="EV346" i="44"/>
  <c r="EU346" i="44"/>
  <c r="ES346" i="44"/>
  <c r="ER346" i="44"/>
  <c r="EQ346" i="44"/>
  <c r="EP346" i="44"/>
  <c r="EO346" i="44"/>
  <c r="EN346" i="44"/>
  <c r="EM346" i="44"/>
  <c r="EL346" i="44"/>
  <c r="EK346" i="44"/>
  <c r="EJ346" i="44"/>
  <c r="EI346" i="44"/>
  <c r="EH346" i="44"/>
  <c r="EG346" i="44"/>
  <c r="EF346" i="44"/>
  <c r="EE346" i="44"/>
  <c r="ED346" i="44"/>
  <c r="EC346" i="44"/>
  <c r="EB346" i="44"/>
  <c r="EA346" i="44"/>
  <c r="DZ346" i="44"/>
  <c r="DY346" i="44"/>
  <c r="DX346" i="44"/>
  <c r="DW346" i="44"/>
  <c r="GM339" i="44"/>
  <c r="GK339" i="44"/>
  <c r="GJ339" i="44"/>
  <c r="GI339" i="44"/>
  <c r="GH339" i="44"/>
  <c r="GG339" i="44"/>
  <c r="GF339" i="44"/>
  <c r="GE339" i="44"/>
  <c r="GD339" i="44"/>
  <c r="GC339" i="44"/>
  <c r="GB339" i="44"/>
  <c r="GA339" i="44"/>
  <c r="FZ339" i="44"/>
  <c r="FY339" i="44"/>
  <c r="FT339" i="44"/>
  <c r="FS339" i="44"/>
  <c r="FR339" i="44"/>
  <c r="FQ339" i="44"/>
  <c r="FP339" i="44"/>
  <c r="FO339" i="44"/>
  <c r="FN339" i="44"/>
  <c r="FM339" i="44"/>
  <c r="FL339" i="44"/>
  <c r="FK339" i="44"/>
  <c r="FJ339" i="44"/>
  <c r="FI339" i="44"/>
  <c r="FH339" i="44"/>
  <c r="FG339" i="44"/>
  <c r="FF339" i="44"/>
  <c r="FE339" i="44"/>
  <c r="FD339" i="44"/>
  <c r="FC339" i="44"/>
  <c r="FB339" i="44"/>
  <c r="FA339" i="44"/>
  <c r="EZ339" i="44"/>
  <c r="EY339" i="44"/>
  <c r="EX339" i="44"/>
  <c r="EW339" i="44"/>
  <c r="EV339" i="44"/>
  <c r="EU339" i="44"/>
  <c r="ES339" i="44"/>
  <c r="ER339" i="44"/>
  <c r="EQ339" i="44"/>
  <c r="EP339" i="44"/>
  <c r="EO339" i="44"/>
  <c r="EN339" i="44"/>
  <c r="EM339" i="44"/>
  <c r="EL339" i="44"/>
  <c r="EK339" i="44"/>
  <c r="EJ339" i="44"/>
  <c r="EI339" i="44"/>
  <c r="EH339" i="44"/>
  <c r="EG339" i="44"/>
  <c r="EF339" i="44"/>
  <c r="EE339" i="44"/>
  <c r="ED339" i="44"/>
  <c r="EC339" i="44"/>
  <c r="EB339" i="44"/>
  <c r="EA339" i="44"/>
  <c r="DZ339" i="44"/>
  <c r="DY339" i="44"/>
  <c r="DX339" i="44"/>
  <c r="DW339" i="44"/>
  <c r="GM338" i="44"/>
  <c r="GK338" i="44"/>
  <c r="GJ338" i="44"/>
  <c r="GI338" i="44"/>
  <c r="GH338" i="44"/>
  <c r="GG338" i="44"/>
  <c r="GF338" i="44"/>
  <c r="GE338" i="44"/>
  <c r="GD338" i="44"/>
  <c r="GC338" i="44"/>
  <c r="GB338" i="44"/>
  <c r="GA338" i="44"/>
  <c r="FZ338" i="44"/>
  <c r="FY338" i="44"/>
  <c r="FT338" i="44"/>
  <c r="FS338" i="44"/>
  <c r="FR338" i="44"/>
  <c r="FQ338" i="44"/>
  <c r="FP338" i="44"/>
  <c r="FO338" i="44"/>
  <c r="FN338" i="44"/>
  <c r="FM338" i="44"/>
  <c r="FL338" i="44"/>
  <c r="FK338" i="44"/>
  <c r="FJ338" i="44"/>
  <c r="FI338" i="44"/>
  <c r="FH338" i="44"/>
  <c r="FG338" i="44"/>
  <c r="FF338" i="44"/>
  <c r="FE338" i="44"/>
  <c r="FD338" i="44"/>
  <c r="FC338" i="44"/>
  <c r="FB338" i="44"/>
  <c r="FA338" i="44"/>
  <c r="EZ338" i="44"/>
  <c r="EY338" i="44"/>
  <c r="EX338" i="44"/>
  <c r="EW338" i="44"/>
  <c r="EV338" i="44"/>
  <c r="EU338" i="44"/>
  <c r="ES338" i="44"/>
  <c r="ER338" i="44"/>
  <c r="EQ338" i="44"/>
  <c r="EP338" i="44"/>
  <c r="EO338" i="44"/>
  <c r="EN338" i="44"/>
  <c r="EM338" i="44"/>
  <c r="EL338" i="44"/>
  <c r="EK338" i="44"/>
  <c r="EJ338" i="44"/>
  <c r="EI338" i="44"/>
  <c r="EH338" i="44"/>
  <c r="EG338" i="44"/>
  <c r="EF338" i="44"/>
  <c r="EE338" i="44"/>
  <c r="ED338" i="44"/>
  <c r="EC338" i="44"/>
  <c r="EB338" i="44"/>
  <c r="EA338" i="44"/>
  <c r="DZ338" i="44"/>
  <c r="DY338" i="44"/>
  <c r="DX338" i="44"/>
  <c r="DW338" i="44"/>
  <c r="GM337" i="44"/>
  <c r="GK337" i="44"/>
  <c r="GJ337" i="44"/>
  <c r="GI337" i="44"/>
  <c r="GH337" i="44"/>
  <c r="GG337" i="44"/>
  <c r="GF337" i="44"/>
  <c r="GE337" i="44"/>
  <c r="GD337" i="44"/>
  <c r="GC337" i="44"/>
  <c r="GB337" i="44"/>
  <c r="GA337" i="44"/>
  <c r="FZ337" i="44"/>
  <c r="FY337" i="44"/>
  <c r="FT337" i="44"/>
  <c r="FS337" i="44"/>
  <c r="FR337" i="44"/>
  <c r="FQ337" i="44"/>
  <c r="FP337" i="44"/>
  <c r="FO337" i="44"/>
  <c r="FN337" i="44"/>
  <c r="FM337" i="44"/>
  <c r="FL337" i="44"/>
  <c r="FK337" i="44"/>
  <c r="FJ337" i="44"/>
  <c r="FI337" i="44"/>
  <c r="FH337" i="44"/>
  <c r="FG337" i="44"/>
  <c r="FF337" i="44"/>
  <c r="FE337" i="44"/>
  <c r="FD337" i="44"/>
  <c r="FC337" i="44"/>
  <c r="FB337" i="44"/>
  <c r="FA337" i="44"/>
  <c r="EZ337" i="44"/>
  <c r="EY337" i="44"/>
  <c r="EX337" i="44"/>
  <c r="EW337" i="44"/>
  <c r="EV337" i="44"/>
  <c r="EU337" i="44"/>
  <c r="ES337" i="44"/>
  <c r="ER337" i="44"/>
  <c r="EQ337" i="44"/>
  <c r="EP337" i="44"/>
  <c r="EO337" i="44"/>
  <c r="EN337" i="44"/>
  <c r="EM337" i="44"/>
  <c r="EL337" i="44"/>
  <c r="EK337" i="44"/>
  <c r="EJ337" i="44"/>
  <c r="EI337" i="44"/>
  <c r="EH337" i="44"/>
  <c r="EG337" i="44"/>
  <c r="EF337" i="44"/>
  <c r="EE337" i="44"/>
  <c r="ED337" i="44"/>
  <c r="EC337" i="44"/>
  <c r="EB337" i="44"/>
  <c r="EA337" i="44"/>
  <c r="DZ337" i="44"/>
  <c r="DY337" i="44"/>
  <c r="DX337" i="44"/>
  <c r="DW337" i="44"/>
  <c r="GM336" i="44"/>
  <c r="GK336" i="44"/>
  <c r="GJ336" i="44"/>
  <c r="GI336" i="44"/>
  <c r="GH336" i="44"/>
  <c r="GG336" i="44"/>
  <c r="GF336" i="44"/>
  <c r="GE336" i="44"/>
  <c r="GD336" i="44"/>
  <c r="GC336" i="44"/>
  <c r="GB336" i="44"/>
  <c r="GA336" i="44"/>
  <c r="FZ336" i="44"/>
  <c r="FY336" i="44"/>
  <c r="FT336" i="44"/>
  <c r="FS336" i="44"/>
  <c r="FR336" i="44"/>
  <c r="FQ336" i="44"/>
  <c r="FP336" i="44"/>
  <c r="FO336" i="44"/>
  <c r="FN336" i="44"/>
  <c r="FM336" i="44"/>
  <c r="FL336" i="44"/>
  <c r="FK336" i="44"/>
  <c r="FJ336" i="44"/>
  <c r="FI336" i="44"/>
  <c r="FH336" i="44"/>
  <c r="FG336" i="44"/>
  <c r="FF336" i="44"/>
  <c r="FE336" i="44"/>
  <c r="FD336" i="44"/>
  <c r="FC336" i="44"/>
  <c r="FB336" i="44"/>
  <c r="FA336" i="44"/>
  <c r="EZ336" i="44"/>
  <c r="EY336" i="44"/>
  <c r="EX336" i="44"/>
  <c r="EW336" i="44"/>
  <c r="EV336" i="44"/>
  <c r="EU336" i="44"/>
  <c r="ES336" i="44"/>
  <c r="ER336" i="44"/>
  <c r="EQ336" i="44"/>
  <c r="EP336" i="44"/>
  <c r="EO336" i="44"/>
  <c r="EN336" i="44"/>
  <c r="EM336" i="44"/>
  <c r="EL336" i="44"/>
  <c r="EK336" i="44"/>
  <c r="EJ336" i="44"/>
  <c r="EI336" i="44"/>
  <c r="EH336" i="44"/>
  <c r="EG336" i="44"/>
  <c r="EF336" i="44"/>
  <c r="EE336" i="44"/>
  <c r="ED336" i="44"/>
  <c r="EC336" i="44"/>
  <c r="EB336" i="44"/>
  <c r="EA336" i="44"/>
  <c r="DZ336" i="44"/>
  <c r="DY336" i="44"/>
  <c r="DX336" i="44"/>
  <c r="DW336" i="44"/>
  <c r="GM335" i="44"/>
  <c r="GK335" i="44"/>
  <c r="GJ335" i="44"/>
  <c r="GI335" i="44"/>
  <c r="GH335" i="44"/>
  <c r="GG335" i="44"/>
  <c r="GF335" i="44"/>
  <c r="GE335" i="44"/>
  <c r="GD335" i="44"/>
  <c r="GC335" i="44"/>
  <c r="GB335" i="44"/>
  <c r="GA335" i="44"/>
  <c r="FZ335" i="44"/>
  <c r="FY335" i="44"/>
  <c r="FT335" i="44"/>
  <c r="FS335" i="44"/>
  <c r="FR335" i="44"/>
  <c r="FQ335" i="44"/>
  <c r="FP335" i="44"/>
  <c r="FO335" i="44"/>
  <c r="FN335" i="44"/>
  <c r="FM335" i="44"/>
  <c r="FL335" i="44"/>
  <c r="FK335" i="44"/>
  <c r="FJ335" i="44"/>
  <c r="FI335" i="44"/>
  <c r="FH335" i="44"/>
  <c r="FG335" i="44"/>
  <c r="FF335" i="44"/>
  <c r="FE335" i="44"/>
  <c r="FD335" i="44"/>
  <c r="FC335" i="44"/>
  <c r="FB335" i="44"/>
  <c r="FA335" i="44"/>
  <c r="EZ335" i="44"/>
  <c r="EY335" i="44"/>
  <c r="EX335" i="44"/>
  <c r="EW335" i="44"/>
  <c r="EV335" i="44"/>
  <c r="EU335" i="44"/>
  <c r="ES335" i="44"/>
  <c r="ER335" i="44"/>
  <c r="EQ335" i="44"/>
  <c r="EP335" i="44"/>
  <c r="EO335" i="44"/>
  <c r="EN335" i="44"/>
  <c r="EM335" i="44"/>
  <c r="EL335" i="44"/>
  <c r="EK335" i="44"/>
  <c r="EJ335" i="44"/>
  <c r="EI335" i="44"/>
  <c r="EH335" i="44"/>
  <c r="EG335" i="44"/>
  <c r="EF335" i="44"/>
  <c r="EE335" i="44"/>
  <c r="ED335" i="44"/>
  <c r="EC335" i="44"/>
  <c r="EB335" i="44"/>
  <c r="EA335" i="44"/>
  <c r="DZ335" i="44"/>
  <c r="DY335" i="44"/>
  <c r="DX335" i="44"/>
  <c r="DW335" i="44"/>
  <c r="GM334" i="44"/>
  <c r="GK334" i="44"/>
  <c r="GJ334" i="44"/>
  <c r="GI334" i="44"/>
  <c r="GH334" i="44"/>
  <c r="GG334" i="44"/>
  <c r="GF334" i="44"/>
  <c r="GE334" i="44"/>
  <c r="GD334" i="44"/>
  <c r="GC334" i="44"/>
  <c r="GB334" i="44"/>
  <c r="GA334" i="44"/>
  <c r="FZ334" i="44"/>
  <c r="FY334" i="44"/>
  <c r="FT334" i="44"/>
  <c r="FS334" i="44"/>
  <c r="FR334" i="44"/>
  <c r="FQ334" i="44"/>
  <c r="FP334" i="44"/>
  <c r="FO334" i="44"/>
  <c r="FN334" i="44"/>
  <c r="FM334" i="44"/>
  <c r="FL334" i="44"/>
  <c r="FK334" i="44"/>
  <c r="FJ334" i="44"/>
  <c r="FI334" i="44"/>
  <c r="FH334" i="44"/>
  <c r="FG334" i="44"/>
  <c r="FF334" i="44"/>
  <c r="FE334" i="44"/>
  <c r="FD334" i="44"/>
  <c r="FC334" i="44"/>
  <c r="FB334" i="44"/>
  <c r="FA334" i="44"/>
  <c r="EZ334" i="44"/>
  <c r="EY334" i="44"/>
  <c r="EX334" i="44"/>
  <c r="EW334" i="44"/>
  <c r="EV334" i="44"/>
  <c r="EU334" i="44"/>
  <c r="ES334" i="44"/>
  <c r="ER334" i="44"/>
  <c r="EQ334" i="44"/>
  <c r="EP334" i="44"/>
  <c r="EO334" i="44"/>
  <c r="EN334" i="44"/>
  <c r="EM334" i="44"/>
  <c r="EL334" i="44"/>
  <c r="EK334" i="44"/>
  <c r="EJ334" i="44"/>
  <c r="EI334" i="44"/>
  <c r="EH334" i="44"/>
  <c r="EG334" i="44"/>
  <c r="EF334" i="44"/>
  <c r="EE334" i="44"/>
  <c r="ED334" i="44"/>
  <c r="EC334" i="44"/>
  <c r="EB334" i="44"/>
  <c r="EA334" i="44"/>
  <c r="DZ334" i="44"/>
  <c r="DY334" i="44"/>
  <c r="DX334" i="44"/>
  <c r="DW334" i="44"/>
  <c r="GM333" i="44"/>
  <c r="GK333" i="44"/>
  <c r="GJ333" i="44"/>
  <c r="GI333" i="44"/>
  <c r="GH333" i="44"/>
  <c r="GG333" i="44"/>
  <c r="GF333" i="44"/>
  <c r="GE333" i="44"/>
  <c r="GD333" i="44"/>
  <c r="GC333" i="44"/>
  <c r="GB333" i="44"/>
  <c r="GA333" i="44"/>
  <c r="FZ333" i="44"/>
  <c r="FY333" i="44"/>
  <c r="FT333" i="44"/>
  <c r="FS333" i="44"/>
  <c r="FR333" i="44"/>
  <c r="FQ333" i="44"/>
  <c r="FP333" i="44"/>
  <c r="FO333" i="44"/>
  <c r="FN333" i="44"/>
  <c r="FM333" i="44"/>
  <c r="FL333" i="44"/>
  <c r="FK333" i="44"/>
  <c r="FJ333" i="44"/>
  <c r="FI333" i="44"/>
  <c r="FH333" i="44"/>
  <c r="FG333" i="44"/>
  <c r="FF333" i="44"/>
  <c r="FE333" i="44"/>
  <c r="FD333" i="44"/>
  <c r="FC333" i="44"/>
  <c r="FB333" i="44"/>
  <c r="FA333" i="44"/>
  <c r="EZ333" i="44"/>
  <c r="EY333" i="44"/>
  <c r="EX333" i="44"/>
  <c r="EW333" i="44"/>
  <c r="EV333" i="44"/>
  <c r="EU333" i="44"/>
  <c r="ES333" i="44"/>
  <c r="ER333" i="44"/>
  <c r="EQ333" i="44"/>
  <c r="EP333" i="44"/>
  <c r="EO333" i="44"/>
  <c r="EN333" i="44"/>
  <c r="EM333" i="44"/>
  <c r="EL333" i="44"/>
  <c r="EK333" i="44"/>
  <c r="EJ333" i="44"/>
  <c r="EI333" i="44"/>
  <c r="EH333" i="44"/>
  <c r="EG333" i="44"/>
  <c r="EF333" i="44"/>
  <c r="EE333" i="44"/>
  <c r="ED333" i="44"/>
  <c r="EC333" i="44"/>
  <c r="EB333" i="44"/>
  <c r="EA333" i="44"/>
  <c r="DZ333" i="44"/>
  <c r="DY333" i="44"/>
  <c r="DX333" i="44"/>
  <c r="DW333" i="44"/>
  <c r="GM332" i="44"/>
  <c r="GK332" i="44"/>
  <c r="GJ332" i="44"/>
  <c r="GI332" i="44"/>
  <c r="GH332" i="44"/>
  <c r="GG332" i="44"/>
  <c r="GF332" i="44"/>
  <c r="GE332" i="44"/>
  <c r="GD332" i="44"/>
  <c r="GC332" i="44"/>
  <c r="GB332" i="44"/>
  <c r="GA332" i="44"/>
  <c r="FZ332" i="44"/>
  <c r="FY332" i="44"/>
  <c r="FT332" i="44"/>
  <c r="FS332" i="44"/>
  <c r="FR332" i="44"/>
  <c r="FQ332" i="44"/>
  <c r="FP332" i="44"/>
  <c r="FO332" i="44"/>
  <c r="FN332" i="44"/>
  <c r="FM332" i="44"/>
  <c r="FL332" i="44"/>
  <c r="FK332" i="44"/>
  <c r="FJ332" i="44"/>
  <c r="FI332" i="44"/>
  <c r="FH332" i="44"/>
  <c r="FG332" i="44"/>
  <c r="FF332" i="44"/>
  <c r="FE332" i="44"/>
  <c r="FD332" i="44"/>
  <c r="FC332" i="44"/>
  <c r="FB332" i="44"/>
  <c r="FA332" i="44"/>
  <c r="EZ332" i="44"/>
  <c r="EY332" i="44"/>
  <c r="EX332" i="44"/>
  <c r="EW332" i="44"/>
  <c r="EV332" i="44"/>
  <c r="EU332" i="44"/>
  <c r="ES332" i="44"/>
  <c r="ER332" i="44"/>
  <c r="EQ332" i="44"/>
  <c r="EP332" i="44"/>
  <c r="EO332" i="44"/>
  <c r="EN332" i="44"/>
  <c r="EM332" i="44"/>
  <c r="EL332" i="44"/>
  <c r="EK332" i="44"/>
  <c r="EJ332" i="44"/>
  <c r="EI332" i="44"/>
  <c r="EH332" i="44"/>
  <c r="EG332" i="44"/>
  <c r="EF332" i="44"/>
  <c r="EE332" i="44"/>
  <c r="ED332" i="44"/>
  <c r="EC332" i="44"/>
  <c r="EB332" i="44"/>
  <c r="EA332" i="44"/>
  <c r="DZ332" i="44"/>
  <c r="DY332" i="44"/>
  <c r="DX332" i="44"/>
  <c r="DW332" i="44"/>
  <c r="GM331" i="44"/>
  <c r="GK331" i="44"/>
  <c r="GJ331" i="44"/>
  <c r="GI331" i="44"/>
  <c r="GH331" i="44"/>
  <c r="GG331" i="44"/>
  <c r="GF331" i="44"/>
  <c r="GE331" i="44"/>
  <c r="GD331" i="44"/>
  <c r="GC331" i="44"/>
  <c r="GB331" i="44"/>
  <c r="GA331" i="44"/>
  <c r="FZ331" i="44"/>
  <c r="FY331" i="44"/>
  <c r="FT331" i="44"/>
  <c r="FS331" i="44"/>
  <c r="FR331" i="44"/>
  <c r="FQ331" i="44"/>
  <c r="FP331" i="44"/>
  <c r="FO331" i="44"/>
  <c r="FN331" i="44"/>
  <c r="FM331" i="44"/>
  <c r="FL331" i="44"/>
  <c r="FK331" i="44"/>
  <c r="FJ331" i="44"/>
  <c r="FI331" i="44"/>
  <c r="FH331" i="44"/>
  <c r="FG331" i="44"/>
  <c r="FF331" i="44"/>
  <c r="FE331" i="44"/>
  <c r="FD331" i="44"/>
  <c r="FC331" i="44"/>
  <c r="FB331" i="44"/>
  <c r="FA331" i="44"/>
  <c r="EZ331" i="44"/>
  <c r="EY331" i="44"/>
  <c r="EX331" i="44"/>
  <c r="EW331" i="44"/>
  <c r="EV331" i="44"/>
  <c r="EU331" i="44"/>
  <c r="ES331" i="44"/>
  <c r="ER331" i="44"/>
  <c r="EQ331" i="44"/>
  <c r="EP331" i="44"/>
  <c r="EO331" i="44"/>
  <c r="EN331" i="44"/>
  <c r="EM331" i="44"/>
  <c r="EL331" i="44"/>
  <c r="EK331" i="44"/>
  <c r="EJ331" i="44"/>
  <c r="EI331" i="44"/>
  <c r="EH331" i="44"/>
  <c r="EG331" i="44"/>
  <c r="EF331" i="44"/>
  <c r="EE331" i="44"/>
  <c r="ED331" i="44"/>
  <c r="EC331" i="44"/>
  <c r="EB331" i="44"/>
  <c r="EA331" i="44"/>
  <c r="DZ331" i="44"/>
  <c r="DY331" i="44"/>
  <c r="DX331" i="44"/>
  <c r="DW331" i="44"/>
  <c r="GM330" i="44"/>
  <c r="GK330" i="44"/>
  <c r="GJ330" i="44"/>
  <c r="GI330" i="44"/>
  <c r="GH330" i="44"/>
  <c r="GG330" i="44"/>
  <c r="GF330" i="44"/>
  <c r="GE330" i="44"/>
  <c r="GD330" i="44"/>
  <c r="GC330" i="44"/>
  <c r="GB330" i="44"/>
  <c r="GA330" i="44"/>
  <c r="FZ330" i="44"/>
  <c r="FY330" i="44"/>
  <c r="FT330" i="44"/>
  <c r="FS330" i="44"/>
  <c r="FR330" i="44"/>
  <c r="FQ330" i="44"/>
  <c r="FP330" i="44"/>
  <c r="FO330" i="44"/>
  <c r="FN330" i="44"/>
  <c r="FM330" i="44"/>
  <c r="FL330" i="44"/>
  <c r="FK330" i="44"/>
  <c r="FJ330" i="44"/>
  <c r="FI330" i="44"/>
  <c r="FH330" i="44"/>
  <c r="FG330" i="44"/>
  <c r="FF330" i="44"/>
  <c r="FE330" i="44"/>
  <c r="FD330" i="44"/>
  <c r="FC330" i="44"/>
  <c r="FB330" i="44"/>
  <c r="FA330" i="44"/>
  <c r="EZ330" i="44"/>
  <c r="EY330" i="44"/>
  <c r="EX330" i="44"/>
  <c r="EW330" i="44"/>
  <c r="EV330" i="44"/>
  <c r="EU330" i="44"/>
  <c r="ES330" i="44"/>
  <c r="ER330" i="44"/>
  <c r="EQ330" i="44"/>
  <c r="EP330" i="44"/>
  <c r="EO330" i="44"/>
  <c r="EN330" i="44"/>
  <c r="EM330" i="44"/>
  <c r="EL330" i="44"/>
  <c r="EK330" i="44"/>
  <c r="EJ330" i="44"/>
  <c r="EI330" i="44"/>
  <c r="EH330" i="44"/>
  <c r="EG330" i="44"/>
  <c r="EF330" i="44"/>
  <c r="EE330" i="44"/>
  <c r="ED330" i="44"/>
  <c r="EC330" i="44"/>
  <c r="EB330" i="44"/>
  <c r="EA330" i="44"/>
  <c r="DZ330" i="44"/>
  <c r="DY330" i="44"/>
  <c r="DX330" i="44"/>
  <c r="DW330" i="44"/>
  <c r="GM329" i="44"/>
  <c r="GK329" i="44"/>
  <c r="GJ329" i="44"/>
  <c r="GI329" i="44"/>
  <c r="GH329" i="44"/>
  <c r="GG329" i="44"/>
  <c r="GF329" i="44"/>
  <c r="GE329" i="44"/>
  <c r="GD329" i="44"/>
  <c r="GC329" i="44"/>
  <c r="GB329" i="44"/>
  <c r="GA329" i="44"/>
  <c r="FZ329" i="44"/>
  <c r="FY329" i="44"/>
  <c r="FT329" i="44"/>
  <c r="FS329" i="44"/>
  <c r="FR329" i="44"/>
  <c r="FQ329" i="44"/>
  <c r="FP329" i="44"/>
  <c r="FO329" i="44"/>
  <c r="FN329" i="44"/>
  <c r="FM329" i="44"/>
  <c r="FL329" i="44"/>
  <c r="FK329" i="44"/>
  <c r="FJ329" i="44"/>
  <c r="FI329" i="44"/>
  <c r="FH329" i="44"/>
  <c r="FG329" i="44"/>
  <c r="FF329" i="44"/>
  <c r="FE329" i="44"/>
  <c r="FD329" i="44"/>
  <c r="FC329" i="44"/>
  <c r="FB329" i="44"/>
  <c r="FA329" i="44"/>
  <c r="EZ329" i="44"/>
  <c r="EY329" i="44"/>
  <c r="EX329" i="44"/>
  <c r="EW329" i="44"/>
  <c r="EV329" i="44"/>
  <c r="EU329" i="44"/>
  <c r="ES329" i="44"/>
  <c r="ER329" i="44"/>
  <c r="EQ329" i="44"/>
  <c r="EP329" i="44"/>
  <c r="EO329" i="44"/>
  <c r="EN329" i="44"/>
  <c r="EM329" i="44"/>
  <c r="EL329" i="44"/>
  <c r="EK329" i="44"/>
  <c r="EJ329" i="44"/>
  <c r="EI329" i="44"/>
  <c r="EH329" i="44"/>
  <c r="EG329" i="44"/>
  <c r="EF329" i="44"/>
  <c r="EE329" i="44"/>
  <c r="ED329" i="44"/>
  <c r="EC329" i="44"/>
  <c r="EB329" i="44"/>
  <c r="EA329" i="44"/>
  <c r="DZ329" i="44"/>
  <c r="DY329" i="44"/>
  <c r="DX329" i="44"/>
  <c r="DW329" i="44"/>
  <c r="GM328" i="44"/>
  <c r="GK328" i="44"/>
  <c r="GJ328" i="44"/>
  <c r="GI328" i="44"/>
  <c r="GH328" i="44"/>
  <c r="GG328" i="44"/>
  <c r="GF328" i="44"/>
  <c r="GE328" i="44"/>
  <c r="GD328" i="44"/>
  <c r="GC328" i="44"/>
  <c r="GB328" i="44"/>
  <c r="GA328" i="44"/>
  <c r="FZ328" i="44"/>
  <c r="FY328" i="44"/>
  <c r="FT328" i="44"/>
  <c r="FS328" i="44"/>
  <c r="FR328" i="44"/>
  <c r="FQ328" i="44"/>
  <c r="FP328" i="44"/>
  <c r="FO328" i="44"/>
  <c r="FN328" i="44"/>
  <c r="FM328" i="44"/>
  <c r="FL328" i="44"/>
  <c r="FK328" i="44"/>
  <c r="FJ328" i="44"/>
  <c r="FI328" i="44"/>
  <c r="FH328" i="44"/>
  <c r="FG328" i="44"/>
  <c r="FF328" i="44"/>
  <c r="FE328" i="44"/>
  <c r="FD328" i="44"/>
  <c r="FC328" i="44"/>
  <c r="FB328" i="44"/>
  <c r="FA328" i="44"/>
  <c r="EZ328" i="44"/>
  <c r="EY328" i="44"/>
  <c r="EX328" i="44"/>
  <c r="EW328" i="44"/>
  <c r="EV328" i="44"/>
  <c r="EU328" i="44"/>
  <c r="ES328" i="44"/>
  <c r="ER328" i="44"/>
  <c r="EQ328" i="44"/>
  <c r="EP328" i="44"/>
  <c r="EO328" i="44"/>
  <c r="EN328" i="44"/>
  <c r="EM328" i="44"/>
  <c r="EL328" i="44"/>
  <c r="EK328" i="44"/>
  <c r="EJ328" i="44"/>
  <c r="EI328" i="44"/>
  <c r="EH328" i="44"/>
  <c r="EG328" i="44"/>
  <c r="EF328" i="44"/>
  <c r="EE328" i="44"/>
  <c r="ED328" i="44"/>
  <c r="EC328" i="44"/>
  <c r="EB328" i="44"/>
  <c r="EA328" i="44"/>
  <c r="DZ328" i="44"/>
  <c r="DY328" i="44"/>
  <c r="DX328" i="44"/>
  <c r="DW328" i="44"/>
  <c r="GM327" i="44"/>
  <c r="GK327" i="44"/>
  <c r="GJ327" i="44"/>
  <c r="GI327" i="44"/>
  <c r="GH327" i="44"/>
  <c r="GG327" i="44"/>
  <c r="GF327" i="44"/>
  <c r="GE327" i="44"/>
  <c r="GD327" i="44"/>
  <c r="GC327" i="44"/>
  <c r="GB327" i="44"/>
  <c r="GA327" i="44"/>
  <c r="FZ327" i="44"/>
  <c r="FY327" i="44"/>
  <c r="FT327" i="44"/>
  <c r="FS327" i="44"/>
  <c r="FR327" i="44"/>
  <c r="FQ327" i="44"/>
  <c r="FP327" i="44"/>
  <c r="FO327" i="44"/>
  <c r="FN327" i="44"/>
  <c r="FM327" i="44"/>
  <c r="FL327" i="44"/>
  <c r="FK327" i="44"/>
  <c r="FJ327" i="44"/>
  <c r="FI327" i="44"/>
  <c r="FH327" i="44"/>
  <c r="FG327" i="44"/>
  <c r="FF327" i="44"/>
  <c r="FE327" i="44"/>
  <c r="FD327" i="44"/>
  <c r="FC327" i="44"/>
  <c r="FB327" i="44"/>
  <c r="FA327" i="44"/>
  <c r="EZ327" i="44"/>
  <c r="EY327" i="44"/>
  <c r="EX327" i="44"/>
  <c r="EW327" i="44"/>
  <c r="EV327" i="44"/>
  <c r="EU327" i="44"/>
  <c r="ES327" i="44"/>
  <c r="ER327" i="44"/>
  <c r="EQ327" i="44"/>
  <c r="EP327" i="44"/>
  <c r="EO327" i="44"/>
  <c r="EN327" i="44"/>
  <c r="EM327" i="44"/>
  <c r="EL327" i="44"/>
  <c r="EK327" i="44"/>
  <c r="EJ327" i="44"/>
  <c r="EI327" i="44"/>
  <c r="EH327" i="44"/>
  <c r="EG327" i="44"/>
  <c r="EF327" i="44"/>
  <c r="EE327" i="44"/>
  <c r="ED327" i="44"/>
  <c r="EC327" i="44"/>
  <c r="EB327" i="44"/>
  <c r="EA327" i="44"/>
  <c r="DZ327" i="44"/>
  <c r="DY327" i="44"/>
  <c r="DX327" i="44"/>
  <c r="DW327" i="44"/>
  <c r="GM315" i="44"/>
  <c r="GK315" i="44"/>
  <c r="GJ315" i="44"/>
  <c r="GI315" i="44"/>
  <c r="GH315" i="44"/>
  <c r="GG315" i="44"/>
  <c r="GF315" i="44"/>
  <c r="GE315" i="44"/>
  <c r="GD315" i="44"/>
  <c r="GC315" i="44"/>
  <c r="GB315" i="44"/>
  <c r="GA315" i="44"/>
  <c r="FZ315" i="44"/>
  <c r="FY315" i="44"/>
  <c r="FT315" i="44"/>
  <c r="FS315" i="44"/>
  <c r="FR315" i="44"/>
  <c r="FQ315" i="44"/>
  <c r="FP315" i="44"/>
  <c r="FO315" i="44"/>
  <c r="FN315" i="44"/>
  <c r="FM315" i="44"/>
  <c r="FL315" i="44"/>
  <c r="FK315" i="44"/>
  <c r="FJ315" i="44"/>
  <c r="FI315" i="44"/>
  <c r="FH315" i="44"/>
  <c r="FG315" i="44"/>
  <c r="FF315" i="44"/>
  <c r="FE315" i="44"/>
  <c r="FD315" i="44"/>
  <c r="FC315" i="44"/>
  <c r="FB315" i="44"/>
  <c r="FA315" i="44"/>
  <c r="EZ315" i="44"/>
  <c r="EY315" i="44"/>
  <c r="EX315" i="44"/>
  <c r="EW315" i="44"/>
  <c r="EV315" i="44"/>
  <c r="EU315" i="44"/>
  <c r="ES315" i="44"/>
  <c r="ER315" i="44"/>
  <c r="EQ315" i="44"/>
  <c r="EP315" i="44"/>
  <c r="EO315" i="44"/>
  <c r="EN315" i="44"/>
  <c r="EM315" i="44"/>
  <c r="EL315" i="44"/>
  <c r="EK315" i="44"/>
  <c r="EJ315" i="44"/>
  <c r="EI315" i="44"/>
  <c r="EH315" i="44"/>
  <c r="EG315" i="44"/>
  <c r="EF315" i="44"/>
  <c r="EE315" i="44"/>
  <c r="ED315" i="44"/>
  <c r="EC315" i="44"/>
  <c r="EB315" i="44"/>
  <c r="EA315" i="44"/>
  <c r="DZ315" i="44"/>
  <c r="DY315" i="44"/>
  <c r="DX315" i="44"/>
  <c r="DW315" i="44"/>
  <c r="GM314" i="44"/>
  <c r="GK314" i="44"/>
  <c r="GJ314" i="44"/>
  <c r="GI314" i="44"/>
  <c r="GH314" i="44"/>
  <c r="GG314" i="44"/>
  <c r="GF314" i="44"/>
  <c r="GE314" i="44"/>
  <c r="GD314" i="44"/>
  <c r="GC314" i="44"/>
  <c r="GB314" i="44"/>
  <c r="GA314" i="44"/>
  <c r="FZ314" i="44"/>
  <c r="FY314" i="44"/>
  <c r="FT314" i="44"/>
  <c r="FS314" i="44"/>
  <c r="FR314" i="44"/>
  <c r="FQ314" i="44"/>
  <c r="FP314" i="44"/>
  <c r="FO314" i="44"/>
  <c r="FN314" i="44"/>
  <c r="FM314" i="44"/>
  <c r="FL314" i="44"/>
  <c r="FK314" i="44"/>
  <c r="FJ314" i="44"/>
  <c r="FI314" i="44"/>
  <c r="FH314" i="44"/>
  <c r="FG314" i="44"/>
  <c r="FF314" i="44"/>
  <c r="FE314" i="44"/>
  <c r="FD314" i="44"/>
  <c r="FC314" i="44"/>
  <c r="FB314" i="44"/>
  <c r="FA314" i="44"/>
  <c r="EZ314" i="44"/>
  <c r="EY314" i="44"/>
  <c r="EX314" i="44"/>
  <c r="EW314" i="44"/>
  <c r="EV314" i="44"/>
  <c r="EU314" i="44"/>
  <c r="ES314" i="44"/>
  <c r="ER314" i="44"/>
  <c r="EQ314" i="44"/>
  <c r="EP314" i="44"/>
  <c r="EO314" i="44"/>
  <c r="EN314" i="44"/>
  <c r="EM314" i="44"/>
  <c r="EL314" i="44"/>
  <c r="EK314" i="44"/>
  <c r="EJ314" i="44"/>
  <c r="EI314" i="44"/>
  <c r="EH314" i="44"/>
  <c r="EG314" i="44"/>
  <c r="EF314" i="44"/>
  <c r="EE314" i="44"/>
  <c r="ED314" i="44"/>
  <c r="EC314" i="44"/>
  <c r="EB314" i="44"/>
  <c r="EA314" i="44"/>
  <c r="DZ314" i="44"/>
  <c r="DY314" i="44"/>
  <c r="DX314" i="44"/>
  <c r="DW314" i="44"/>
  <c r="GM312" i="44"/>
  <c r="GK312" i="44"/>
  <c r="GJ312" i="44"/>
  <c r="GI312" i="44"/>
  <c r="GH312" i="44"/>
  <c r="GG312" i="44"/>
  <c r="GF312" i="44"/>
  <c r="GE312" i="44"/>
  <c r="GD312" i="44"/>
  <c r="GC312" i="44"/>
  <c r="GB312" i="44"/>
  <c r="GA312" i="44"/>
  <c r="FZ312" i="44"/>
  <c r="FY312" i="44"/>
  <c r="FT312" i="44"/>
  <c r="FS312" i="44"/>
  <c r="FR312" i="44"/>
  <c r="FQ312" i="44"/>
  <c r="FP312" i="44"/>
  <c r="FO312" i="44"/>
  <c r="FN312" i="44"/>
  <c r="FM312" i="44"/>
  <c r="FL312" i="44"/>
  <c r="FK312" i="44"/>
  <c r="FJ312" i="44"/>
  <c r="FI312" i="44"/>
  <c r="FH312" i="44"/>
  <c r="FG312" i="44"/>
  <c r="FF312" i="44"/>
  <c r="FE312" i="44"/>
  <c r="FD312" i="44"/>
  <c r="FC312" i="44"/>
  <c r="FB312" i="44"/>
  <c r="FA312" i="44"/>
  <c r="EZ312" i="44"/>
  <c r="EY312" i="44"/>
  <c r="EX312" i="44"/>
  <c r="EW312" i="44"/>
  <c r="EV312" i="44"/>
  <c r="EU312" i="44"/>
  <c r="ES312" i="44"/>
  <c r="ER312" i="44"/>
  <c r="EQ312" i="44"/>
  <c r="EP312" i="44"/>
  <c r="EO312" i="44"/>
  <c r="EN312" i="44"/>
  <c r="EM312" i="44"/>
  <c r="EL312" i="44"/>
  <c r="EK312" i="44"/>
  <c r="EJ312" i="44"/>
  <c r="EI312" i="44"/>
  <c r="EH312" i="44"/>
  <c r="EG312" i="44"/>
  <c r="EF312" i="44"/>
  <c r="EE312" i="44"/>
  <c r="ED312" i="44"/>
  <c r="EC312" i="44"/>
  <c r="EB312" i="44"/>
  <c r="EA312" i="44"/>
  <c r="DZ312" i="44"/>
  <c r="DY312" i="44"/>
  <c r="DX312" i="44"/>
  <c r="DW312" i="44"/>
  <c r="GM311" i="44"/>
  <c r="GK311" i="44"/>
  <c r="GJ311" i="44"/>
  <c r="GI311" i="44"/>
  <c r="GH311" i="44"/>
  <c r="GG311" i="44"/>
  <c r="GF311" i="44"/>
  <c r="GE311" i="44"/>
  <c r="GD311" i="44"/>
  <c r="GC311" i="44"/>
  <c r="GB311" i="44"/>
  <c r="GA311" i="44"/>
  <c r="FZ311" i="44"/>
  <c r="FY311" i="44"/>
  <c r="FT311" i="44"/>
  <c r="FS311" i="44"/>
  <c r="FR311" i="44"/>
  <c r="FQ311" i="44"/>
  <c r="FP311" i="44"/>
  <c r="FO311" i="44"/>
  <c r="FN311" i="44"/>
  <c r="FM311" i="44"/>
  <c r="FL311" i="44"/>
  <c r="FK311" i="44"/>
  <c r="FJ311" i="44"/>
  <c r="FI311" i="44"/>
  <c r="FH311" i="44"/>
  <c r="FG311" i="44"/>
  <c r="FF311" i="44"/>
  <c r="FE311" i="44"/>
  <c r="FD311" i="44"/>
  <c r="FC311" i="44"/>
  <c r="FB311" i="44"/>
  <c r="FA311" i="44"/>
  <c r="EZ311" i="44"/>
  <c r="EY311" i="44"/>
  <c r="EX311" i="44"/>
  <c r="EW311" i="44"/>
  <c r="EV311" i="44"/>
  <c r="EU311" i="44"/>
  <c r="ES311" i="44"/>
  <c r="ER311" i="44"/>
  <c r="EQ311" i="44"/>
  <c r="EP311" i="44"/>
  <c r="EO311" i="44"/>
  <c r="EN311" i="44"/>
  <c r="EM311" i="44"/>
  <c r="EL311" i="44"/>
  <c r="EK311" i="44"/>
  <c r="EJ311" i="44"/>
  <c r="EI311" i="44"/>
  <c r="EH311" i="44"/>
  <c r="EG311" i="44"/>
  <c r="EF311" i="44"/>
  <c r="EE311" i="44"/>
  <c r="ED311" i="44"/>
  <c r="EC311" i="44"/>
  <c r="EB311" i="44"/>
  <c r="EA311" i="44"/>
  <c r="DZ311" i="44"/>
  <c r="DY311" i="44"/>
  <c r="DX311" i="44"/>
  <c r="DW311" i="44"/>
  <c r="GM310" i="44"/>
  <c r="GK310" i="44"/>
  <c r="GJ310" i="44"/>
  <c r="GI310" i="44"/>
  <c r="GH310" i="44"/>
  <c r="GG310" i="44"/>
  <c r="GF310" i="44"/>
  <c r="GE310" i="44"/>
  <c r="GD310" i="44"/>
  <c r="GC310" i="44"/>
  <c r="GB310" i="44"/>
  <c r="GA310" i="44"/>
  <c r="FZ310" i="44"/>
  <c r="FY310" i="44"/>
  <c r="FT310" i="44"/>
  <c r="FS310" i="44"/>
  <c r="FR310" i="44"/>
  <c r="FQ310" i="44"/>
  <c r="FP310" i="44"/>
  <c r="FO310" i="44"/>
  <c r="FN310" i="44"/>
  <c r="FM310" i="44"/>
  <c r="FL310" i="44"/>
  <c r="FK310" i="44"/>
  <c r="FJ310" i="44"/>
  <c r="FI310" i="44"/>
  <c r="FH310" i="44"/>
  <c r="FG310" i="44"/>
  <c r="FF310" i="44"/>
  <c r="FE310" i="44"/>
  <c r="FD310" i="44"/>
  <c r="FC310" i="44"/>
  <c r="FB310" i="44"/>
  <c r="FA310" i="44"/>
  <c r="EZ310" i="44"/>
  <c r="EY310" i="44"/>
  <c r="EX310" i="44"/>
  <c r="EW310" i="44"/>
  <c r="EV310" i="44"/>
  <c r="EU310" i="44"/>
  <c r="ES310" i="44"/>
  <c r="ER310" i="44"/>
  <c r="EQ310" i="44"/>
  <c r="EP310" i="44"/>
  <c r="EO310" i="44"/>
  <c r="EN310" i="44"/>
  <c r="EM310" i="44"/>
  <c r="EL310" i="44"/>
  <c r="EK310" i="44"/>
  <c r="EJ310" i="44"/>
  <c r="EI310" i="44"/>
  <c r="EH310" i="44"/>
  <c r="EG310" i="44"/>
  <c r="EF310" i="44"/>
  <c r="EE310" i="44"/>
  <c r="ED310" i="44"/>
  <c r="EC310" i="44"/>
  <c r="EB310" i="44"/>
  <c r="EA310" i="44"/>
  <c r="DZ310" i="44"/>
  <c r="DY310" i="44"/>
  <c r="DX310" i="44"/>
  <c r="DW310" i="44"/>
  <c r="GM308" i="44"/>
  <c r="GK308" i="44"/>
  <c r="GJ308" i="44"/>
  <c r="GI308" i="44"/>
  <c r="GH308" i="44"/>
  <c r="GG308" i="44"/>
  <c r="GF308" i="44"/>
  <c r="GE308" i="44"/>
  <c r="GD308" i="44"/>
  <c r="GC308" i="44"/>
  <c r="GB308" i="44"/>
  <c r="GA308" i="44"/>
  <c r="FZ308" i="44"/>
  <c r="FY308" i="44"/>
  <c r="FT308" i="44"/>
  <c r="FS308" i="44"/>
  <c r="FR308" i="44"/>
  <c r="FQ308" i="44"/>
  <c r="FP308" i="44"/>
  <c r="FO308" i="44"/>
  <c r="FN308" i="44"/>
  <c r="FM308" i="44"/>
  <c r="FL308" i="44"/>
  <c r="FK308" i="44"/>
  <c r="FJ308" i="44"/>
  <c r="FI308" i="44"/>
  <c r="FH308" i="44"/>
  <c r="FG308" i="44"/>
  <c r="FF308" i="44"/>
  <c r="FE308" i="44"/>
  <c r="FD308" i="44"/>
  <c r="FC308" i="44"/>
  <c r="FB308" i="44"/>
  <c r="FA308" i="44"/>
  <c r="EZ308" i="44"/>
  <c r="EY308" i="44"/>
  <c r="EX308" i="44"/>
  <c r="EW308" i="44"/>
  <c r="EV308" i="44"/>
  <c r="EU308" i="44"/>
  <c r="ES308" i="44"/>
  <c r="ER308" i="44"/>
  <c r="EQ308" i="44"/>
  <c r="EP308" i="44"/>
  <c r="EO308" i="44"/>
  <c r="EN308" i="44"/>
  <c r="EM308" i="44"/>
  <c r="EL308" i="44"/>
  <c r="EK308" i="44"/>
  <c r="EJ308" i="44"/>
  <c r="EI308" i="44"/>
  <c r="EH308" i="44"/>
  <c r="EG308" i="44"/>
  <c r="EF308" i="44"/>
  <c r="EE308" i="44"/>
  <c r="ED308" i="44"/>
  <c r="EC308" i="44"/>
  <c r="EB308" i="44"/>
  <c r="EA308" i="44"/>
  <c r="DZ308" i="44"/>
  <c r="DY308" i="44"/>
  <c r="DX308" i="44"/>
  <c r="DW308" i="44"/>
  <c r="GM307" i="44"/>
  <c r="GK307" i="44"/>
  <c r="GJ307" i="44"/>
  <c r="GI307" i="44"/>
  <c r="GH307" i="44"/>
  <c r="GG307" i="44"/>
  <c r="GF307" i="44"/>
  <c r="GE307" i="44"/>
  <c r="GD307" i="44"/>
  <c r="GC307" i="44"/>
  <c r="GB307" i="44"/>
  <c r="GA307" i="44"/>
  <c r="FZ307" i="44"/>
  <c r="FY307" i="44"/>
  <c r="FT307" i="44"/>
  <c r="FS307" i="44"/>
  <c r="FR307" i="44"/>
  <c r="FQ307" i="44"/>
  <c r="FP307" i="44"/>
  <c r="FO307" i="44"/>
  <c r="FN307" i="44"/>
  <c r="FM307" i="44"/>
  <c r="FL307" i="44"/>
  <c r="FK307" i="44"/>
  <c r="FJ307" i="44"/>
  <c r="FI307" i="44"/>
  <c r="FH307" i="44"/>
  <c r="FG307" i="44"/>
  <c r="FF307" i="44"/>
  <c r="FE307" i="44"/>
  <c r="FD307" i="44"/>
  <c r="FC307" i="44"/>
  <c r="FB307" i="44"/>
  <c r="FA307" i="44"/>
  <c r="EZ307" i="44"/>
  <c r="EY307" i="44"/>
  <c r="EX307" i="44"/>
  <c r="EW307" i="44"/>
  <c r="EV307" i="44"/>
  <c r="EU307" i="44"/>
  <c r="ES307" i="44"/>
  <c r="ER307" i="44"/>
  <c r="EQ307" i="44"/>
  <c r="EP307" i="44"/>
  <c r="EO307" i="44"/>
  <c r="EN307" i="44"/>
  <c r="EM307" i="44"/>
  <c r="EL307" i="44"/>
  <c r="EK307" i="44"/>
  <c r="EJ307" i="44"/>
  <c r="EI307" i="44"/>
  <c r="EH307" i="44"/>
  <c r="EG307" i="44"/>
  <c r="EF307" i="44"/>
  <c r="EE307" i="44"/>
  <c r="ED307" i="44"/>
  <c r="EC307" i="44"/>
  <c r="EB307" i="44"/>
  <c r="EA307" i="44"/>
  <c r="DW307" i="44"/>
  <c r="GM302" i="44"/>
  <c r="GK302" i="44"/>
  <c r="GJ302" i="44"/>
  <c r="GI302" i="44"/>
  <c r="GH302" i="44"/>
  <c r="GG302" i="44"/>
  <c r="GF302" i="44"/>
  <c r="GE302" i="44"/>
  <c r="GD302" i="44"/>
  <c r="GC302" i="44"/>
  <c r="GB302" i="44"/>
  <c r="GA302" i="44"/>
  <c r="FZ302" i="44"/>
  <c r="FY302" i="44"/>
  <c r="FT302" i="44"/>
  <c r="FS302" i="44"/>
  <c r="FR302" i="44"/>
  <c r="FQ302" i="44"/>
  <c r="FP302" i="44"/>
  <c r="FO302" i="44"/>
  <c r="FN302" i="44"/>
  <c r="FM302" i="44"/>
  <c r="FL302" i="44"/>
  <c r="FK302" i="44"/>
  <c r="FJ302" i="44"/>
  <c r="FI302" i="44"/>
  <c r="FH302" i="44"/>
  <c r="FG302" i="44"/>
  <c r="FF302" i="44"/>
  <c r="FE302" i="44"/>
  <c r="FD302" i="44"/>
  <c r="FC302" i="44"/>
  <c r="FB302" i="44"/>
  <c r="FA302" i="44"/>
  <c r="EZ302" i="44"/>
  <c r="EY302" i="44"/>
  <c r="EX302" i="44"/>
  <c r="EW302" i="44"/>
  <c r="EV302" i="44"/>
  <c r="EU302" i="44"/>
  <c r="ES302" i="44"/>
  <c r="ER302" i="44"/>
  <c r="EQ302" i="44"/>
  <c r="EP302" i="44"/>
  <c r="EO302" i="44"/>
  <c r="EN302" i="44"/>
  <c r="EM302" i="44"/>
  <c r="EL302" i="44"/>
  <c r="EK302" i="44"/>
  <c r="EJ302" i="44"/>
  <c r="EI302" i="44"/>
  <c r="EH302" i="44"/>
  <c r="EG302" i="44"/>
  <c r="EF302" i="44"/>
  <c r="EE302" i="44"/>
  <c r="ED302" i="44"/>
  <c r="EC302" i="44"/>
  <c r="EB302" i="44"/>
  <c r="EA302" i="44"/>
  <c r="DW302" i="44"/>
  <c r="GM301" i="44"/>
  <c r="GK301" i="44"/>
  <c r="GJ301" i="44"/>
  <c r="GI301" i="44"/>
  <c r="GH301" i="44"/>
  <c r="GG301" i="44"/>
  <c r="GF301" i="44"/>
  <c r="GE301" i="44"/>
  <c r="GD301" i="44"/>
  <c r="GC301" i="44"/>
  <c r="GB301" i="44"/>
  <c r="GA301" i="44"/>
  <c r="FZ301" i="44"/>
  <c r="FY301" i="44"/>
  <c r="FT301" i="44"/>
  <c r="FS301" i="44"/>
  <c r="FR301" i="44"/>
  <c r="FQ301" i="44"/>
  <c r="FP301" i="44"/>
  <c r="FO301" i="44"/>
  <c r="FN301" i="44"/>
  <c r="FM301" i="44"/>
  <c r="FL301" i="44"/>
  <c r="FK301" i="44"/>
  <c r="FJ301" i="44"/>
  <c r="FI301" i="44"/>
  <c r="FH301" i="44"/>
  <c r="FG301" i="44"/>
  <c r="FF301" i="44"/>
  <c r="FE301" i="44"/>
  <c r="FD301" i="44"/>
  <c r="FC301" i="44"/>
  <c r="FB301" i="44"/>
  <c r="FA301" i="44"/>
  <c r="EZ301" i="44"/>
  <c r="EY301" i="44"/>
  <c r="EX301" i="44"/>
  <c r="EW301" i="44"/>
  <c r="EV301" i="44"/>
  <c r="EU301" i="44"/>
  <c r="ES301" i="44"/>
  <c r="ER301" i="44"/>
  <c r="EQ301" i="44"/>
  <c r="EP301" i="44"/>
  <c r="EO301" i="44"/>
  <c r="EN301" i="44"/>
  <c r="EM301" i="44"/>
  <c r="EL301" i="44"/>
  <c r="EK301" i="44"/>
  <c r="EJ301" i="44"/>
  <c r="EI301" i="44"/>
  <c r="EH301" i="44"/>
  <c r="EG301" i="44"/>
  <c r="EF301" i="44"/>
  <c r="EE301" i="44"/>
  <c r="ED301" i="44"/>
  <c r="EC301" i="44"/>
  <c r="EB301" i="44"/>
  <c r="EA301" i="44"/>
  <c r="DW301" i="44"/>
  <c r="GM299" i="44"/>
  <c r="GK299" i="44"/>
  <c r="GJ299" i="44"/>
  <c r="GI299" i="44"/>
  <c r="GH299" i="44"/>
  <c r="GG299" i="44"/>
  <c r="GF299" i="44"/>
  <c r="GE299" i="44"/>
  <c r="GD299" i="44"/>
  <c r="GC299" i="44"/>
  <c r="GB299" i="44"/>
  <c r="GA299" i="44"/>
  <c r="FZ299" i="44"/>
  <c r="FY299" i="44"/>
  <c r="FT299" i="44"/>
  <c r="FS299" i="44"/>
  <c r="FR299" i="44"/>
  <c r="FQ299" i="44"/>
  <c r="FP299" i="44"/>
  <c r="FO299" i="44"/>
  <c r="FN299" i="44"/>
  <c r="FM299" i="44"/>
  <c r="FL299" i="44"/>
  <c r="FK299" i="44"/>
  <c r="FJ299" i="44"/>
  <c r="FI299" i="44"/>
  <c r="FH299" i="44"/>
  <c r="FG299" i="44"/>
  <c r="FF299" i="44"/>
  <c r="FE299" i="44"/>
  <c r="FD299" i="44"/>
  <c r="FC299" i="44"/>
  <c r="FB299" i="44"/>
  <c r="FA299" i="44"/>
  <c r="EZ299" i="44"/>
  <c r="EY299" i="44"/>
  <c r="EX299" i="44"/>
  <c r="EW299" i="44"/>
  <c r="EV299" i="44"/>
  <c r="EU299" i="44"/>
  <c r="ES299" i="44"/>
  <c r="ER299" i="44"/>
  <c r="EQ299" i="44"/>
  <c r="EP299" i="44"/>
  <c r="EO299" i="44"/>
  <c r="EN299" i="44"/>
  <c r="EM299" i="44"/>
  <c r="EL299" i="44"/>
  <c r="EK299" i="44"/>
  <c r="EJ299" i="44"/>
  <c r="EI299" i="44"/>
  <c r="EH299" i="44"/>
  <c r="EG299" i="44"/>
  <c r="EF299" i="44"/>
  <c r="EE299" i="44"/>
  <c r="ED299" i="44"/>
  <c r="EC299" i="44"/>
  <c r="EB299" i="44"/>
  <c r="EA299" i="44"/>
  <c r="DW299" i="44"/>
  <c r="GM298" i="44"/>
  <c r="GK298" i="44"/>
  <c r="GJ298" i="44"/>
  <c r="GI298" i="44"/>
  <c r="GH298" i="44"/>
  <c r="GG298" i="44"/>
  <c r="GF298" i="44"/>
  <c r="GE298" i="44"/>
  <c r="GD298" i="44"/>
  <c r="GC298" i="44"/>
  <c r="GB298" i="44"/>
  <c r="GA298" i="44"/>
  <c r="FZ298" i="44"/>
  <c r="FY298" i="44"/>
  <c r="FT298" i="44"/>
  <c r="FS298" i="44"/>
  <c r="FR298" i="44"/>
  <c r="FQ298" i="44"/>
  <c r="FP298" i="44"/>
  <c r="FO298" i="44"/>
  <c r="FN298" i="44"/>
  <c r="FM298" i="44"/>
  <c r="FL298" i="44"/>
  <c r="FK298" i="44"/>
  <c r="FJ298" i="44"/>
  <c r="FI298" i="44"/>
  <c r="FH298" i="44"/>
  <c r="FG298" i="44"/>
  <c r="FF298" i="44"/>
  <c r="FE298" i="44"/>
  <c r="FD298" i="44"/>
  <c r="FC298" i="44"/>
  <c r="FB298" i="44"/>
  <c r="FA298" i="44"/>
  <c r="EZ298" i="44"/>
  <c r="EY298" i="44"/>
  <c r="EX298" i="44"/>
  <c r="EW298" i="44"/>
  <c r="EV298" i="44"/>
  <c r="EU298" i="44"/>
  <c r="ES298" i="44"/>
  <c r="ER298" i="44"/>
  <c r="EQ298" i="44"/>
  <c r="EP298" i="44"/>
  <c r="EO298" i="44"/>
  <c r="EN298" i="44"/>
  <c r="EM298" i="44"/>
  <c r="EL298" i="44"/>
  <c r="EK298" i="44"/>
  <c r="EJ298" i="44"/>
  <c r="EI298" i="44"/>
  <c r="EH298" i="44"/>
  <c r="EG298" i="44"/>
  <c r="EF298" i="44"/>
  <c r="EE298" i="44"/>
  <c r="ED298" i="44"/>
  <c r="EC298" i="44"/>
  <c r="EB298" i="44"/>
  <c r="EA298" i="44"/>
  <c r="DW298" i="44"/>
  <c r="GM297" i="44"/>
  <c r="GK297" i="44"/>
  <c r="GJ297" i="44"/>
  <c r="GI297" i="44"/>
  <c r="GH297" i="44"/>
  <c r="GG297" i="44"/>
  <c r="GF297" i="44"/>
  <c r="GE297" i="44"/>
  <c r="GD297" i="44"/>
  <c r="GC297" i="44"/>
  <c r="GB297" i="44"/>
  <c r="GA297" i="44"/>
  <c r="FZ297" i="44"/>
  <c r="FY297" i="44"/>
  <c r="FT297" i="44"/>
  <c r="FS297" i="44"/>
  <c r="FR297" i="44"/>
  <c r="FQ297" i="44"/>
  <c r="FP297" i="44"/>
  <c r="FO297" i="44"/>
  <c r="FN297" i="44"/>
  <c r="FM297" i="44"/>
  <c r="FL297" i="44"/>
  <c r="FK297" i="44"/>
  <c r="FJ297" i="44"/>
  <c r="FI297" i="44"/>
  <c r="FH297" i="44"/>
  <c r="FG297" i="44"/>
  <c r="FF297" i="44"/>
  <c r="FE297" i="44"/>
  <c r="FD297" i="44"/>
  <c r="FC297" i="44"/>
  <c r="FB297" i="44"/>
  <c r="FA297" i="44"/>
  <c r="EZ297" i="44"/>
  <c r="EY297" i="44"/>
  <c r="EX297" i="44"/>
  <c r="EW297" i="44"/>
  <c r="EV297" i="44"/>
  <c r="EU297" i="44"/>
  <c r="ES297" i="44"/>
  <c r="ER297" i="44"/>
  <c r="EQ297" i="44"/>
  <c r="EP297" i="44"/>
  <c r="EO297" i="44"/>
  <c r="EN297" i="44"/>
  <c r="EM297" i="44"/>
  <c r="EL297" i="44"/>
  <c r="EK297" i="44"/>
  <c r="EJ297" i="44"/>
  <c r="EI297" i="44"/>
  <c r="EH297" i="44"/>
  <c r="EG297" i="44"/>
  <c r="EF297" i="44"/>
  <c r="EE297" i="44"/>
  <c r="ED297" i="44"/>
  <c r="EC297" i="44"/>
  <c r="EB297" i="44"/>
  <c r="EA297" i="44"/>
  <c r="DW297" i="44"/>
  <c r="GM295" i="44"/>
  <c r="GK295" i="44"/>
  <c r="GJ295" i="44"/>
  <c r="GI295" i="44"/>
  <c r="GH295" i="44"/>
  <c r="GG295" i="44"/>
  <c r="GF295" i="44"/>
  <c r="GE295" i="44"/>
  <c r="GD295" i="44"/>
  <c r="GC295" i="44"/>
  <c r="GB295" i="44"/>
  <c r="GA295" i="44"/>
  <c r="FZ295" i="44"/>
  <c r="FY295" i="44"/>
  <c r="FT295" i="44"/>
  <c r="FS295" i="44"/>
  <c r="FR295" i="44"/>
  <c r="FQ295" i="44"/>
  <c r="FP295" i="44"/>
  <c r="FO295" i="44"/>
  <c r="FN295" i="44"/>
  <c r="FM295" i="44"/>
  <c r="FL295" i="44"/>
  <c r="FK295" i="44"/>
  <c r="FJ295" i="44"/>
  <c r="FI295" i="44"/>
  <c r="FH295" i="44"/>
  <c r="FG295" i="44"/>
  <c r="FF295" i="44"/>
  <c r="FE295" i="44"/>
  <c r="FD295" i="44"/>
  <c r="FC295" i="44"/>
  <c r="FB295" i="44"/>
  <c r="FA295" i="44"/>
  <c r="EZ295" i="44"/>
  <c r="EY295" i="44"/>
  <c r="EX295" i="44"/>
  <c r="EW295" i="44"/>
  <c r="EV295" i="44"/>
  <c r="EU295" i="44"/>
  <c r="ES295" i="44"/>
  <c r="ER295" i="44"/>
  <c r="EQ295" i="44"/>
  <c r="EP295" i="44"/>
  <c r="EO295" i="44"/>
  <c r="EN295" i="44"/>
  <c r="EM295" i="44"/>
  <c r="EL295" i="44"/>
  <c r="EK295" i="44"/>
  <c r="EJ295" i="44"/>
  <c r="EI295" i="44"/>
  <c r="EH295" i="44"/>
  <c r="EG295" i="44"/>
  <c r="EF295" i="44"/>
  <c r="EE295" i="44"/>
  <c r="ED295" i="44"/>
  <c r="EC295" i="44"/>
  <c r="EB295" i="44"/>
  <c r="EA295" i="44"/>
  <c r="DW295" i="44"/>
  <c r="GM294" i="44"/>
  <c r="GK294" i="44"/>
  <c r="GJ294" i="44"/>
  <c r="GI294" i="44"/>
  <c r="GH294" i="44"/>
  <c r="GG294" i="44"/>
  <c r="GF294" i="44"/>
  <c r="GE294" i="44"/>
  <c r="GD294" i="44"/>
  <c r="GC294" i="44"/>
  <c r="GB294" i="44"/>
  <c r="GA294" i="44"/>
  <c r="FZ294" i="44"/>
  <c r="FY294" i="44"/>
  <c r="FT294" i="44"/>
  <c r="FS294" i="44"/>
  <c r="FR294" i="44"/>
  <c r="FQ294" i="44"/>
  <c r="FP294" i="44"/>
  <c r="FO294" i="44"/>
  <c r="FN294" i="44"/>
  <c r="FM294" i="44"/>
  <c r="FL294" i="44"/>
  <c r="FK294" i="44"/>
  <c r="FJ294" i="44"/>
  <c r="FI294" i="44"/>
  <c r="FH294" i="44"/>
  <c r="FG294" i="44"/>
  <c r="FF294" i="44"/>
  <c r="FE294" i="44"/>
  <c r="FD294" i="44"/>
  <c r="FC294" i="44"/>
  <c r="FB294" i="44"/>
  <c r="FA294" i="44"/>
  <c r="EZ294" i="44"/>
  <c r="EY294" i="44"/>
  <c r="EX294" i="44"/>
  <c r="EW294" i="44"/>
  <c r="EV294" i="44"/>
  <c r="EU294" i="44"/>
  <c r="ES294" i="44"/>
  <c r="ER294" i="44"/>
  <c r="EQ294" i="44"/>
  <c r="EP294" i="44"/>
  <c r="EO294" i="44"/>
  <c r="EN294" i="44"/>
  <c r="EM294" i="44"/>
  <c r="EL294" i="44"/>
  <c r="EK294" i="44"/>
  <c r="EJ294" i="44"/>
  <c r="EI294" i="44"/>
  <c r="EH294" i="44"/>
  <c r="EG294" i="44"/>
  <c r="EF294" i="44"/>
  <c r="EE294" i="44"/>
  <c r="ED294" i="44"/>
  <c r="EC294" i="44"/>
  <c r="EB294" i="44"/>
  <c r="EA294" i="44"/>
  <c r="DZ294" i="44"/>
  <c r="DY294" i="44"/>
  <c r="DX294" i="44"/>
  <c r="DW294" i="44"/>
  <c r="GM293" i="44"/>
  <c r="GK293" i="44"/>
  <c r="GJ293" i="44"/>
  <c r="GI293" i="44"/>
  <c r="GH293" i="44"/>
  <c r="GG293" i="44"/>
  <c r="GF293" i="44"/>
  <c r="GE293" i="44"/>
  <c r="GD293" i="44"/>
  <c r="GC293" i="44"/>
  <c r="GB293" i="44"/>
  <c r="GA293" i="44"/>
  <c r="FZ293" i="44"/>
  <c r="FY293" i="44"/>
  <c r="FT293" i="44"/>
  <c r="FS293" i="44"/>
  <c r="FR293" i="44"/>
  <c r="FQ293" i="44"/>
  <c r="FP293" i="44"/>
  <c r="FO293" i="44"/>
  <c r="FN293" i="44"/>
  <c r="FM293" i="44"/>
  <c r="FL293" i="44"/>
  <c r="FK293" i="44"/>
  <c r="FJ293" i="44"/>
  <c r="FI293" i="44"/>
  <c r="FH293" i="44"/>
  <c r="FG293" i="44"/>
  <c r="FF293" i="44"/>
  <c r="FE293" i="44"/>
  <c r="FD293" i="44"/>
  <c r="FC293" i="44"/>
  <c r="FB293" i="44"/>
  <c r="FA293" i="44"/>
  <c r="EZ293" i="44"/>
  <c r="EY293" i="44"/>
  <c r="EX293" i="44"/>
  <c r="EW293" i="44"/>
  <c r="EV293" i="44"/>
  <c r="EU293" i="44"/>
  <c r="ES293" i="44"/>
  <c r="ER293" i="44"/>
  <c r="EQ293" i="44"/>
  <c r="EP293" i="44"/>
  <c r="EO293" i="44"/>
  <c r="EN293" i="44"/>
  <c r="EM293" i="44"/>
  <c r="EL293" i="44"/>
  <c r="EK293" i="44"/>
  <c r="EJ293" i="44"/>
  <c r="EI293" i="44"/>
  <c r="EH293" i="44"/>
  <c r="EG293" i="44"/>
  <c r="EF293" i="44"/>
  <c r="EE293" i="44"/>
  <c r="ED293" i="44"/>
  <c r="EC293" i="44"/>
  <c r="EB293" i="44"/>
  <c r="EA293" i="44"/>
  <c r="DZ293" i="44"/>
  <c r="DY293" i="44"/>
  <c r="DX293" i="44"/>
  <c r="DW293" i="44"/>
  <c r="GM292" i="44"/>
  <c r="GK292" i="44"/>
  <c r="GJ292" i="44"/>
  <c r="GI292" i="44"/>
  <c r="GH292" i="44"/>
  <c r="GG292" i="44"/>
  <c r="GF292" i="44"/>
  <c r="GE292" i="44"/>
  <c r="GD292" i="44"/>
  <c r="GC292" i="44"/>
  <c r="GB292" i="44"/>
  <c r="GA292" i="44"/>
  <c r="FZ292" i="44"/>
  <c r="FY292" i="44"/>
  <c r="FT292" i="44"/>
  <c r="FS292" i="44"/>
  <c r="FR292" i="44"/>
  <c r="FQ292" i="44"/>
  <c r="FP292" i="44"/>
  <c r="FO292" i="44"/>
  <c r="FN292" i="44"/>
  <c r="FM292" i="44"/>
  <c r="FL292" i="44"/>
  <c r="FK292" i="44"/>
  <c r="FJ292" i="44"/>
  <c r="FI292" i="44"/>
  <c r="FH292" i="44"/>
  <c r="FG292" i="44"/>
  <c r="FF292" i="44"/>
  <c r="FE292" i="44"/>
  <c r="FD292" i="44"/>
  <c r="FC292" i="44"/>
  <c r="FB292" i="44"/>
  <c r="FA292" i="44"/>
  <c r="EZ292" i="44"/>
  <c r="EY292" i="44"/>
  <c r="EX292" i="44"/>
  <c r="EW292" i="44"/>
  <c r="EV292" i="44"/>
  <c r="EU292" i="44"/>
  <c r="ES292" i="44"/>
  <c r="ER292" i="44"/>
  <c r="EQ292" i="44"/>
  <c r="EP292" i="44"/>
  <c r="EO292" i="44"/>
  <c r="EN292" i="44"/>
  <c r="EM292" i="44"/>
  <c r="EL292" i="44"/>
  <c r="EK292" i="44"/>
  <c r="EJ292" i="44"/>
  <c r="EI292" i="44"/>
  <c r="EH292" i="44"/>
  <c r="EG292" i="44"/>
  <c r="EF292" i="44"/>
  <c r="EE292" i="44"/>
  <c r="ED292" i="44"/>
  <c r="EC292" i="44"/>
  <c r="EB292" i="44"/>
  <c r="EA292" i="44"/>
  <c r="DZ292" i="44"/>
  <c r="DY292" i="44"/>
  <c r="DX292" i="44"/>
  <c r="DW292" i="44"/>
  <c r="GM291" i="44"/>
  <c r="GK291" i="44"/>
  <c r="GJ291" i="44"/>
  <c r="GI291" i="44"/>
  <c r="GH291" i="44"/>
  <c r="GG291" i="44"/>
  <c r="GF291" i="44"/>
  <c r="GE291" i="44"/>
  <c r="GD291" i="44"/>
  <c r="GC291" i="44"/>
  <c r="GB291" i="44"/>
  <c r="GA291" i="44"/>
  <c r="FZ291" i="44"/>
  <c r="FY291" i="44"/>
  <c r="FT291" i="44"/>
  <c r="FS291" i="44"/>
  <c r="FR291" i="44"/>
  <c r="FQ291" i="44"/>
  <c r="FP291" i="44"/>
  <c r="FO291" i="44"/>
  <c r="FN291" i="44"/>
  <c r="FM291" i="44"/>
  <c r="FL291" i="44"/>
  <c r="FK291" i="44"/>
  <c r="FJ291" i="44"/>
  <c r="FI291" i="44"/>
  <c r="FH291" i="44"/>
  <c r="FG291" i="44"/>
  <c r="FF291" i="44"/>
  <c r="FE291" i="44"/>
  <c r="FD291" i="44"/>
  <c r="FC291" i="44"/>
  <c r="FB291" i="44"/>
  <c r="FA291" i="44"/>
  <c r="EZ291" i="44"/>
  <c r="EY291" i="44"/>
  <c r="EX291" i="44"/>
  <c r="EW291" i="44"/>
  <c r="EV291" i="44"/>
  <c r="EU291" i="44"/>
  <c r="ES291" i="44"/>
  <c r="ER291" i="44"/>
  <c r="EQ291" i="44"/>
  <c r="EP291" i="44"/>
  <c r="EO291" i="44"/>
  <c r="EN291" i="44"/>
  <c r="EM291" i="44"/>
  <c r="EL291" i="44"/>
  <c r="EK291" i="44"/>
  <c r="EJ291" i="44"/>
  <c r="EI291" i="44"/>
  <c r="EH291" i="44"/>
  <c r="EG291" i="44"/>
  <c r="EF291" i="44"/>
  <c r="EE291" i="44"/>
  <c r="ED291" i="44"/>
  <c r="EC291" i="44"/>
  <c r="EB291" i="44"/>
  <c r="EA291" i="44"/>
  <c r="DZ291" i="44"/>
  <c r="DY291" i="44"/>
  <c r="DX291" i="44"/>
  <c r="DW291" i="44"/>
  <c r="GM290" i="44"/>
  <c r="GK290" i="44"/>
  <c r="GJ290" i="44"/>
  <c r="GI290" i="44"/>
  <c r="GH290" i="44"/>
  <c r="GG290" i="44"/>
  <c r="GF290" i="44"/>
  <c r="GE290" i="44"/>
  <c r="GD290" i="44"/>
  <c r="GC290" i="44"/>
  <c r="GB290" i="44"/>
  <c r="GA290" i="44"/>
  <c r="FZ290" i="44"/>
  <c r="FY290" i="44"/>
  <c r="FT290" i="44"/>
  <c r="FS290" i="44"/>
  <c r="FR290" i="44"/>
  <c r="FQ290" i="44"/>
  <c r="FP290" i="44"/>
  <c r="FO290" i="44"/>
  <c r="FN290" i="44"/>
  <c r="FM290" i="44"/>
  <c r="FL290" i="44"/>
  <c r="FK290" i="44"/>
  <c r="FJ290" i="44"/>
  <c r="FI290" i="44"/>
  <c r="FH290" i="44"/>
  <c r="FG290" i="44"/>
  <c r="FF290" i="44"/>
  <c r="FE290" i="44"/>
  <c r="FD290" i="44"/>
  <c r="FC290" i="44"/>
  <c r="FB290" i="44"/>
  <c r="FA290" i="44"/>
  <c r="EZ290" i="44"/>
  <c r="EY290" i="44"/>
  <c r="EX290" i="44"/>
  <c r="EW290" i="44"/>
  <c r="EV290" i="44"/>
  <c r="EU290" i="44"/>
  <c r="ES290" i="44"/>
  <c r="ER290" i="44"/>
  <c r="EQ290" i="44"/>
  <c r="EP290" i="44"/>
  <c r="EO290" i="44"/>
  <c r="EN290" i="44"/>
  <c r="EM290" i="44"/>
  <c r="EL290" i="44"/>
  <c r="EK290" i="44"/>
  <c r="EJ290" i="44"/>
  <c r="EI290" i="44"/>
  <c r="EH290" i="44"/>
  <c r="EG290" i="44"/>
  <c r="EF290" i="44"/>
  <c r="EE290" i="44"/>
  <c r="ED290" i="44"/>
  <c r="EC290" i="44"/>
  <c r="EB290" i="44"/>
  <c r="EA290" i="44"/>
  <c r="DZ290" i="44"/>
  <c r="DY290" i="44"/>
  <c r="DX290" i="44"/>
  <c r="DW290" i="44"/>
  <c r="GM289" i="44"/>
  <c r="GK289" i="44"/>
  <c r="GJ289" i="44"/>
  <c r="GI289" i="44"/>
  <c r="GH289" i="44"/>
  <c r="GG289" i="44"/>
  <c r="GF289" i="44"/>
  <c r="GE289" i="44"/>
  <c r="GD289" i="44"/>
  <c r="GC289" i="44"/>
  <c r="GB289" i="44"/>
  <c r="GA289" i="44"/>
  <c r="FZ289" i="44"/>
  <c r="FY289" i="44"/>
  <c r="FT289" i="44"/>
  <c r="FS289" i="44"/>
  <c r="FR289" i="44"/>
  <c r="FQ289" i="44"/>
  <c r="FP289" i="44"/>
  <c r="FO289" i="44"/>
  <c r="FN289" i="44"/>
  <c r="FM289" i="44"/>
  <c r="FL289" i="44"/>
  <c r="FK289" i="44"/>
  <c r="FJ289" i="44"/>
  <c r="FI289" i="44"/>
  <c r="FH289" i="44"/>
  <c r="FG289" i="44"/>
  <c r="FF289" i="44"/>
  <c r="FE289" i="44"/>
  <c r="FD289" i="44"/>
  <c r="FC289" i="44"/>
  <c r="FB289" i="44"/>
  <c r="EW289" i="44"/>
  <c r="EV289" i="44"/>
  <c r="EU289" i="44"/>
  <c r="ES289" i="44"/>
  <c r="ER289" i="44"/>
  <c r="EQ289" i="44"/>
  <c r="EP289" i="44"/>
  <c r="EO289" i="44"/>
  <c r="EN289" i="44"/>
  <c r="EM289" i="44"/>
  <c r="EL289" i="44"/>
  <c r="EK289" i="44"/>
  <c r="EJ289" i="44"/>
  <c r="EI289" i="44"/>
  <c r="EH289" i="44"/>
  <c r="EG289" i="44"/>
  <c r="EF289" i="44"/>
  <c r="EE289" i="44"/>
  <c r="ED289" i="44"/>
  <c r="EC289" i="44"/>
  <c r="EB289" i="44"/>
  <c r="EA289" i="44"/>
  <c r="DZ289" i="44"/>
  <c r="DY289" i="44"/>
  <c r="DX289" i="44"/>
  <c r="DW289" i="44"/>
  <c r="GM288" i="44"/>
  <c r="GK288" i="44"/>
  <c r="GJ288" i="44"/>
  <c r="GI288" i="44"/>
  <c r="GH288" i="44"/>
  <c r="GG288" i="44"/>
  <c r="GF288" i="44"/>
  <c r="GE288" i="44"/>
  <c r="GD288" i="44"/>
  <c r="GC288" i="44"/>
  <c r="GB288" i="44"/>
  <c r="GA288" i="44"/>
  <c r="FZ288" i="44"/>
  <c r="FY288" i="44"/>
  <c r="FT288" i="44"/>
  <c r="FS288" i="44"/>
  <c r="FR288" i="44"/>
  <c r="FQ288" i="44"/>
  <c r="FP288" i="44"/>
  <c r="FO288" i="44"/>
  <c r="FN288" i="44"/>
  <c r="FM288" i="44"/>
  <c r="FL288" i="44"/>
  <c r="FK288" i="44"/>
  <c r="FJ288" i="44"/>
  <c r="FI288" i="44"/>
  <c r="FH288" i="44"/>
  <c r="FG288" i="44"/>
  <c r="FF288" i="44"/>
  <c r="FE288" i="44"/>
  <c r="FD288" i="44"/>
  <c r="FC288" i="44"/>
  <c r="FB288" i="44"/>
  <c r="FA288" i="44"/>
  <c r="EZ288" i="44"/>
  <c r="EY288" i="44"/>
  <c r="EX288" i="44"/>
  <c r="EW288" i="44"/>
  <c r="EV288" i="44"/>
  <c r="EU288" i="44"/>
  <c r="ES288" i="44"/>
  <c r="ER288" i="44"/>
  <c r="EM288" i="44"/>
  <c r="EL288" i="44"/>
  <c r="EK288" i="44"/>
  <c r="EJ288" i="44"/>
  <c r="EI288" i="44"/>
  <c r="EH288" i="44"/>
  <c r="EG288" i="44"/>
  <c r="EE288" i="44"/>
  <c r="ED288" i="44"/>
  <c r="EC288" i="44"/>
  <c r="DZ288" i="44"/>
  <c r="DY288" i="44"/>
  <c r="DW288" i="44"/>
  <c r="GM287" i="44"/>
  <c r="GK287" i="44"/>
  <c r="GJ287" i="44"/>
  <c r="GI287" i="44"/>
  <c r="GH287" i="44"/>
  <c r="GG287" i="44"/>
  <c r="GF287" i="44"/>
  <c r="GE287" i="44"/>
  <c r="GD287" i="44"/>
  <c r="GC287" i="44"/>
  <c r="GB287" i="44"/>
  <c r="GA287" i="44"/>
  <c r="FZ287" i="44"/>
  <c r="FY287" i="44"/>
  <c r="FT287" i="44"/>
  <c r="FS287" i="44"/>
  <c r="FR287" i="44"/>
  <c r="FQ287" i="44"/>
  <c r="FP287" i="44"/>
  <c r="FO287" i="44"/>
  <c r="FN287" i="44"/>
  <c r="FM287" i="44"/>
  <c r="FL287" i="44"/>
  <c r="FK287" i="44"/>
  <c r="FJ287" i="44"/>
  <c r="FI287" i="44"/>
  <c r="FH287" i="44"/>
  <c r="FG287" i="44"/>
  <c r="FF287" i="44"/>
  <c r="FE287" i="44"/>
  <c r="FD287" i="44"/>
  <c r="FC287" i="44"/>
  <c r="FB287" i="44"/>
  <c r="FA287" i="44"/>
  <c r="EZ287" i="44"/>
  <c r="EY287" i="44"/>
  <c r="EX287" i="44"/>
  <c r="EW287" i="44"/>
  <c r="EU287" i="44"/>
  <c r="ES287" i="44"/>
  <c r="EQ287" i="44"/>
  <c r="EP287" i="44"/>
  <c r="EM287" i="44"/>
  <c r="EL287" i="44"/>
  <c r="EK287" i="44"/>
  <c r="EJ287" i="44"/>
  <c r="EI287" i="44"/>
  <c r="EH287" i="44"/>
  <c r="EG287" i="44"/>
  <c r="EE287" i="44"/>
  <c r="ED287" i="44"/>
  <c r="EC287" i="44"/>
  <c r="DZ287" i="44"/>
  <c r="DY287" i="44"/>
  <c r="DW287" i="44"/>
  <c r="GM286" i="44"/>
  <c r="GK286" i="44"/>
  <c r="GJ286" i="44"/>
  <c r="GI286" i="44"/>
  <c r="GH286" i="44"/>
  <c r="GG286" i="44"/>
  <c r="GF286" i="44"/>
  <c r="GE286" i="44"/>
  <c r="GD286" i="44"/>
  <c r="GC286" i="44"/>
  <c r="GB286" i="44"/>
  <c r="GA286" i="44"/>
  <c r="FZ286" i="44"/>
  <c r="FY286" i="44"/>
  <c r="FT286" i="44"/>
  <c r="FS286" i="44"/>
  <c r="FR286" i="44"/>
  <c r="FO286" i="44"/>
  <c r="FN286" i="44"/>
  <c r="FM286" i="44"/>
  <c r="FL286" i="44"/>
  <c r="FK286" i="44"/>
  <c r="FJ286" i="44"/>
  <c r="FI286" i="44"/>
  <c r="FH286" i="44"/>
  <c r="FG286" i="44"/>
  <c r="FF286" i="44"/>
  <c r="FE286" i="44"/>
  <c r="FD286" i="44"/>
  <c r="FC286" i="44"/>
  <c r="FB286" i="44"/>
  <c r="FA286" i="44"/>
  <c r="EZ286" i="44"/>
  <c r="EY286" i="44"/>
  <c r="EX286" i="44"/>
  <c r="EW286" i="44"/>
  <c r="EV286" i="44"/>
  <c r="EU286" i="44"/>
  <c r="ES286" i="44"/>
  <c r="ER286" i="44"/>
  <c r="EQ286" i="44"/>
  <c r="EP286" i="44"/>
  <c r="EO286" i="44"/>
  <c r="EN286" i="44"/>
  <c r="EM286" i="44"/>
  <c r="EL286" i="44"/>
  <c r="EK286" i="44"/>
  <c r="EJ286" i="44"/>
  <c r="EI286" i="44"/>
  <c r="EH286" i="44"/>
  <c r="EG286" i="44"/>
  <c r="EF286" i="44"/>
  <c r="EE286" i="44"/>
  <c r="ED286" i="44"/>
  <c r="EC286" i="44"/>
  <c r="EB286" i="44"/>
  <c r="EA286" i="44"/>
  <c r="DZ286" i="44"/>
  <c r="DY286" i="44"/>
  <c r="DW286" i="44"/>
  <c r="GM285" i="44"/>
  <c r="GK285" i="44"/>
  <c r="GJ285" i="44"/>
  <c r="GI285" i="44"/>
  <c r="GH285" i="44"/>
  <c r="GG285" i="44"/>
  <c r="GF285" i="44"/>
  <c r="GE285" i="44"/>
  <c r="GD285" i="44"/>
  <c r="GC285" i="44"/>
  <c r="GB285" i="44"/>
  <c r="GA285" i="44"/>
  <c r="FZ285" i="44"/>
  <c r="FY285" i="44"/>
  <c r="FT285" i="44"/>
  <c r="FS285" i="44"/>
  <c r="FR285" i="44"/>
  <c r="FQ285" i="44"/>
  <c r="FP285" i="44"/>
  <c r="FO285" i="44"/>
  <c r="FN285" i="44"/>
  <c r="FM285" i="44"/>
  <c r="FL285" i="44"/>
  <c r="FK285" i="44"/>
  <c r="FJ285" i="44"/>
  <c r="FI285" i="44"/>
  <c r="FH285" i="44"/>
  <c r="FG285" i="44"/>
  <c r="FF285" i="44"/>
  <c r="FE285" i="44"/>
  <c r="FD285" i="44"/>
  <c r="FC285" i="44"/>
  <c r="FB285" i="44"/>
  <c r="FA285" i="44"/>
  <c r="EZ285" i="44"/>
  <c r="EY285" i="44"/>
  <c r="EX285" i="44"/>
  <c r="EW285" i="44"/>
  <c r="EV285" i="44"/>
  <c r="EU285" i="44"/>
  <c r="ES285" i="44"/>
  <c r="ER285" i="44"/>
  <c r="EQ285" i="44"/>
  <c r="EP285" i="44"/>
  <c r="EO285" i="44"/>
  <c r="EN285" i="44"/>
  <c r="EM285" i="44"/>
  <c r="EL285" i="44"/>
  <c r="EK285" i="44"/>
  <c r="EJ285" i="44"/>
  <c r="EI285" i="44"/>
  <c r="EH285" i="44"/>
  <c r="EG285" i="44"/>
  <c r="EF285" i="44"/>
  <c r="EE285" i="44"/>
  <c r="ED285" i="44"/>
  <c r="EC285" i="44"/>
  <c r="EB285" i="44"/>
  <c r="EA285" i="44"/>
  <c r="DZ285" i="44"/>
  <c r="DY285" i="44"/>
  <c r="DX285" i="44"/>
  <c r="DW285" i="44"/>
  <c r="GM284" i="44"/>
  <c r="GK284" i="44"/>
  <c r="GJ284" i="44"/>
  <c r="GI284" i="44"/>
  <c r="GH284" i="44"/>
  <c r="GG284" i="44"/>
  <c r="GF284" i="44"/>
  <c r="GE284" i="44"/>
  <c r="GD284" i="44"/>
  <c r="GC284" i="44"/>
  <c r="GB284" i="44"/>
  <c r="GA284" i="44"/>
  <c r="FZ284" i="44"/>
  <c r="FY284" i="44"/>
  <c r="FT284" i="44"/>
  <c r="FS284" i="44"/>
  <c r="FR284" i="44"/>
  <c r="FQ284" i="44"/>
  <c r="FP284" i="44"/>
  <c r="FO284" i="44"/>
  <c r="FN284" i="44"/>
  <c r="FM284" i="44"/>
  <c r="FL284" i="44"/>
  <c r="FK284" i="44"/>
  <c r="FJ284" i="44"/>
  <c r="FI284" i="44"/>
  <c r="FH284" i="44"/>
  <c r="FG284" i="44"/>
  <c r="FF284" i="44"/>
  <c r="FE284" i="44"/>
  <c r="FD284" i="44"/>
  <c r="FC284" i="44"/>
  <c r="FB284" i="44"/>
  <c r="FA284" i="44"/>
  <c r="EZ284" i="44"/>
  <c r="EY284" i="44"/>
  <c r="EX284" i="44"/>
  <c r="EW284" i="44"/>
  <c r="EV284" i="44"/>
  <c r="EU284" i="44"/>
  <c r="ES284" i="44"/>
  <c r="ER284" i="44"/>
  <c r="EQ284" i="44"/>
  <c r="EP284" i="44"/>
  <c r="EO284" i="44"/>
  <c r="EN284" i="44"/>
  <c r="EM284" i="44"/>
  <c r="EL284" i="44"/>
  <c r="EK284" i="44"/>
  <c r="EJ284" i="44"/>
  <c r="EI284" i="44"/>
  <c r="EH284" i="44"/>
  <c r="EG284" i="44"/>
  <c r="EF284" i="44"/>
  <c r="EE284" i="44"/>
  <c r="ED284" i="44"/>
  <c r="EC284" i="44"/>
  <c r="EB284" i="44"/>
  <c r="EA284" i="44"/>
  <c r="DZ284" i="44"/>
  <c r="DY284" i="44"/>
  <c r="DX284" i="44"/>
  <c r="DW284" i="44"/>
  <c r="GM283" i="44"/>
  <c r="GK283" i="44"/>
  <c r="GJ283" i="44"/>
  <c r="GI283" i="44"/>
  <c r="GH283" i="44"/>
  <c r="GG283" i="44"/>
  <c r="GF283" i="44"/>
  <c r="GE283" i="44"/>
  <c r="GD283" i="44"/>
  <c r="GC283" i="44"/>
  <c r="GB283" i="44"/>
  <c r="GA283" i="44"/>
  <c r="FZ283" i="44"/>
  <c r="FY283" i="44"/>
  <c r="FT283" i="44"/>
  <c r="FS283" i="44"/>
  <c r="FR283" i="44"/>
  <c r="FQ283" i="44"/>
  <c r="FP283" i="44"/>
  <c r="FO283" i="44"/>
  <c r="FN283" i="44"/>
  <c r="FM283" i="44"/>
  <c r="FL283" i="44"/>
  <c r="FK283" i="44"/>
  <c r="FJ283" i="44"/>
  <c r="FI283" i="44"/>
  <c r="FH283" i="44"/>
  <c r="FG283" i="44"/>
  <c r="FF283" i="44"/>
  <c r="FE283" i="44"/>
  <c r="FD283" i="44"/>
  <c r="FC283" i="44"/>
  <c r="FB283" i="44"/>
  <c r="FA283" i="44"/>
  <c r="EZ283" i="44"/>
  <c r="EY283" i="44"/>
  <c r="EX283" i="44"/>
  <c r="EW283" i="44"/>
  <c r="EV283" i="44"/>
  <c r="EU283" i="44"/>
  <c r="ES283" i="44"/>
  <c r="ER283" i="44"/>
  <c r="EQ283" i="44"/>
  <c r="EP283" i="44"/>
  <c r="EO283" i="44"/>
  <c r="EN283" i="44"/>
  <c r="EM283" i="44"/>
  <c r="EL283" i="44"/>
  <c r="EK283" i="44"/>
  <c r="EJ283" i="44"/>
  <c r="EI283" i="44"/>
  <c r="EH283" i="44"/>
  <c r="EG283" i="44"/>
  <c r="EF283" i="44"/>
  <c r="EE283" i="44"/>
  <c r="ED283" i="44"/>
  <c r="EC283" i="44"/>
  <c r="EB283" i="44"/>
  <c r="EA283" i="44"/>
  <c r="DZ283" i="44"/>
  <c r="DY283" i="44"/>
  <c r="DX283" i="44"/>
  <c r="DW283" i="44"/>
  <c r="GM282" i="44"/>
  <c r="GK282" i="44"/>
  <c r="GJ282" i="44"/>
  <c r="GI282" i="44"/>
  <c r="GH282" i="44"/>
  <c r="GG282" i="44"/>
  <c r="GF282" i="44"/>
  <c r="GE282" i="44"/>
  <c r="GD282" i="44"/>
  <c r="GC282" i="44"/>
  <c r="GB282" i="44"/>
  <c r="GA282" i="44"/>
  <c r="FZ282" i="44"/>
  <c r="FY282" i="44"/>
  <c r="FT282" i="44"/>
  <c r="FS282" i="44"/>
  <c r="FR282" i="44"/>
  <c r="FQ282" i="44"/>
  <c r="FP282" i="44"/>
  <c r="FO282" i="44"/>
  <c r="FN282" i="44"/>
  <c r="FM282" i="44"/>
  <c r="FL282" i="44"/>
  <c r="FK282" i="44"/>
  <c r="FJ282" i="44"/>
  <c r="FI282" i="44"/>
  <c r="FH282" i="44"/>
  <c r="FG282" i="44"/>
  <c r="FF282" i="44"/>
  <c r="FE282" i="44"/>
  <c r="FD282" i="44"/>
  <c r="FC282" i="44"/>
  <c r="FB282" i="44"/>
  <c r="FA282" i="44"/>
  <c r="EZ282" i="44"/>
  <c r="EY282" i="44"/>
  <c r="EX282" i="44"/>
  <c r="EW282" i="44"/>
  <c r="EV282" i="44"/>
  <c r="EU282" i="44"/>
  <c r="ES282" i="44"/>
  <c r="ER282" i="44"/>
  <c r="EQ282" i="44"/>
  <c r="EP282" i="44"/>
  <c r="EO282" i="44"/>
  <c r="EN282" i="44"/>
  <c r="EM282" i="44"/>
  <c r="EL282" i="44"/>
  <c r="EK282" i="44"/>
  <c r="EJ282" i="44"/>
  <c r="EI282" i="44"/>
  <c r="EH282" i="44"/>
  <c r="EG282" i="44"/>
  <c r="EF282" i="44"/>
  <c r="EE282" i="44"/>
  <c r="ED282" i="44"/>
  <c r="EC282" i="44"/>
  <c r="EB282" i="44"/>
  <c r="EA282" i="44"/>
  <c r="DZ282" i="44"/>
  <c r="DY282" i="44"/>
  <c r="DX282" i="44"/>
  <c r="GM281" i="44"/>
  <c r="GK281" i="44"/>
  <c r="GJ281" i="44"/>
  <c r="GI281" i="44"/>
  <c r="GH281" i="44"/>
  <c r="GG281" i="44"/>
  <c r="GF281" i="44"/>
  <c r="GE281" i="44"/>
  <c r="GD281" i="44"/>
  <c r="GC281" i="44"/>
  <c r="GB281" i="44"/>
  <c r="GA281" i="44"/>
  <c r="FZ281" i="44"/>
  <c r="FY281" i="44"/>
  <c r="FT281" i="44"/>
  <c r="FS281" i="44"/>
  <c r="FR281" i="44"/>
  <c r="FQ281" i="44"/>
  <c r="FP281" i="44"/>
  <c r="FO281" i="44"/>
  <c r="FN281" i="44"/>
  <c r="FM281" i="44"/>
  <c r="FL281" i="44"/>
  <c r="FK281" i="44"/>
  <c r="FJ281" i="44"/>
  <c r="FI281" i="44"/>
  <c r="FH281" i="44"/>
  <c r="FG281" i="44"/>
  <c r="FF281" i="44"/>
  <c r="FE281" i="44"/>
  <c r="FD281" i="44"/>
  <c r="FC281" i="44"/>
  <c r="FB281" i="44"/>
  <c r="FA281" i="44"/>
  <c r="EZ281" i="44"/>
  <c r="EY281" i="44"/>
  <c r="EX281" i="44"/>
  <c r="EW281" i="44"/>
  <c r="EV281" i="44"/>
  <c r="EU281" i="44"/>
  <c r="ES281" i="44"/>
  <c r="ER281" i="44"/>
  <c r="EQ281" i="44"/>
  <c r="EP281" i="44"/>
  <c r="EO281" i="44"/>
  <c r="EN281" i="44"/>
  <c r="EM281" i="44"/>
  <c r="EL281" i="44"/>
  <c r="EK281" i="44"/>
  <c r="EJ281" i="44"/>
  <c r="EI281" i="44"/>
  <c r="EH281" i="44"/>
  <c r="EG281" i="44"/>
  <c r="EF281" i="44"/>
  <c r="EE281" i="44"/>
  <c r="ED281" i="44"/>
  <c r="EC281" i="44"/>
  <c r="EB281" i="44"/>
  <c r="EA281" i="44"/>
  <c r="DZ281" i="44"/>
  <c r="DY281" i="44"/>
  <c r="DX281" i="44"/>
  <c r="GM280" i="44"/>
  <c r="GK280" i="44"/>
  <c r="GJ280" i="44"/>
  <c r="GI280" i="44"/>
  <c r="GH280" i="44"/>
  <c r="GG280" i="44"/>
  <c r="GF280" i="44"/>
  <c r="GE280" i="44"/>
  <c r="GD280" i="44"/>
  <c r="GC280" i="44"/>
  <c r="GB280" i="44"/>
  <c r="GA280" i="44"/>
  <c r="FZ280" i="44"/>
  <c r="FY280" i="44"/>
  <c r="FT280" i="44"/>
  <c r="FS280" i="44"/>
  <c r="FR280" i="44"/>
  <c r="FQ280" i="44"/>
  <c r="FP280" i="44"/>
  <c r="FO280" i="44"/>
  <c r="FN280" i="44"/>
  <c r="FM280" i="44"/>
  <c r="FL280" i="44"/>
  <c r="FK280" i="44"/>
  <c r="FJ280" i="44"/>
  <c r="FI280" i="44"/>
  <c r="FH280" i="44"/>
  <c r="FG280" i="44"/>
  <c r="FF280" i="44"/>
  <c r="FE280" i="44"/>
  <c r="FD280" i="44"/>
  <c r="FC280" i="44"/>
  <c r="FB280" i="44"/>
  <c r="FA280" i="44"/>
  <c r="EZ280" i="44"/>
  <c r="EY280" i="44"/>
  <c r="EX280" i="44"/>
  <c r="EW280" i="44"/>
  <c r="EV280" i="44"/>
  <c r="EU280" i="44"/>
  <c r="ES280" i="44"/>
  <c r="ER280" i="44"/>
  <c r="EQ280" i="44"/>
  <c r="EP280" i="44"/>
  <c r="EO280" i="44"/>
  <c r="EN280" i="44"/>
  <c r="EM280" i="44"/>
  <c r="EL280" i="44"/>
  <c r="EK280" i="44"/>
  <c r="EJ280" i="44"/>
  <c r="EI280" i="44"/>
  <c r="EH280" i="44"/>
  <c r="EG280" i="44"/>
  <c r="EF280" i="44"/>
  <c r="EE280" i="44"/>
  <c r="ED280" i="44"/>
  <c r="EC280" i="44"/>
  <c r="EB280" i="44"/>
  <c r="EA280" i="44"/>
  <c r="DZ280" i="44"/>
  <c r="DY280" i="44"/>
  <c r="DX280" i="44"/>
  <c r="GM279" i="44"/>
  <c r="GK279" i="44"/>
  <c r="GJ279" i="44"/>
  <c r="GI279" i="44"/>
  <c r="GH279" i="44"/>
  <c r="GG279" i="44"/>
  <c r="GF279" i="44"/>
  <c r="GE279" i="44"/>
  <c r="GD279" i="44"/>
  <c r="GC279" i="44"/>
  <c r="GB279" i="44"/>
  <c r="GA279" i="44"/>
  <c r="FZ279" i="44"/>
  <c r="FY279" i="44"/>
  <c r="FT279" i="44"/>
  <c r="FS279" i="44"/>
  <c r="FR279" i="44"/>
  <c r="FQ279" i="44"/>
  <c r="FP279" i="44"/>
  <c r="FO279" i="44"/>
  <c r="FN279" i="44"/>
  <c r="FM279" i="44"/>
  <c r="FL279" i="44"/>
  <c r="FK279" i="44"/>
  <c r="FJ279" i="44"/>
  <c r="FI279" i="44"/>
  <c r="FH279" i="44"/>
  <c r="FG279" i="44"/>
  <c r="FF279" i="44"/>
  <c r="FE279" i="44"/>
  <c r="FD279" i="44"/>
  <c r="FC279" i="44"/>
  <c r="FB279" i="44"/>
  <c r="FA279" i="44"/>
  <c r="EZ279" i="44"/>
  <c r="EY279" i="44"/>
  <c r="EX279" i="44"/>
  <c r="EW279" i="44"/>
  <c r="EV279" i="44"/>
  <c r="EU279" i="44"/>
  <c r="ES279" i="44"/>
  <c r="ER279" i="44"/>
  <c r="EQ279" i="44"/>
  <c r="EP279" i="44"/>
  <c r="EO279" i="44"/>
  <c r="EN279" i="44"/>
  <c r="EM279" i="44"/>
  <c r="EL279" i="44"/>
  <c r="EK279" i="44"/>
  <c r="EJ279" i="44"/>
  <c r="EI279" i="44"/>
  <c r="EH279" i="44"/>
  <c r="EG279" i="44"/>
  <c r="EF279" i="44"/>
  <c r="EE279" i="44"/>
  <c r="ED279" i="44"/>
  <c r="EC279" i="44"/>
  <c r="EB279" i="44"/>
  <c r="EA279" i="44"/>
  <c r="DZ279" i="44"/>
  <c r="DY279" i="44"/>
  <c r="DX279" i="44"/>
  <c r="DW279" i="44"/>
  <c r="GM278" i="44"/>
  <c r="GK278" i="44"/>
  <c r="GJ278" i="44"/>
  <c r="GI278" i="44"/>
  <c r="GH278" i="44"/>
  <c r="GG278" i="44"/>
  <c r="GF278" i="44"/>
  <c r="GE278" i="44"/>
  <c r="GD278" i="44"/>
  <c r="GC278" i="44"/>
  <c r="GA278" i="44"/>
  <c r="FT278" i="44"/>
  <c r="FS278" i="44"/>
  <c r="FQ278" i="44"/>
  <c r="FO278" i="44"/>
  <c r="FN278" i="44"/>
  <c r="FM278" i="44"/>
  <c r="FL278" i="44"/>
  <c r="FK278" i="44"/>
  <c r="FJ278" i="44"/>
  <c r="FI278" i="44"/>
  <c r="FH278" i="44"/>
  <c r="FG278" i="44"/>
  <c r="FF278" i="44"/>
  <c r="FE278" i="44"/>
  <c r="FD278" i="44"/>
  <c r="FC278" i="44"/>
  <c r="FB278" i="44"/>
  <c r="FA278" i="44"/>
  <c r="EZ278" i="44"/>
  <c r="EY278" i="44"/>
  <c r="EX278" i="44"/>
  <c r="EW278" i="44"/>
  <c r="EV278" i="44"/>
  <c r="EU278" i="44"/>
  <c r="ES278" i="44"/>
  <c r="ER278" i="44"/>
  <c r="EQ278" i="44"/>
  <c r="EP278" i="44"/>
  <c r="EO278" i="44"/>
  <c r="EN278" i="44"/>
  <c r="EM278" i="44"/>
  <c r="EL278" i="44"/>
  <c r="EK278" i="44"/>
  <c r="EJ278" i="44"/>
  <c r="EI278" i="44"/>
  <c r="EH278" i="44"/>
  <c r="EG278" i="44"/>
  <c r="EF278" i="44"/>
  <c r="EE278" i="44"/>
  <c r="ED278" i="44"/>
  <c r="EC278" i="44"/>
  <c r="EB278" i="44"/>
  <c r="EA278" i="44"/>
  <c r="DZ278" i="44"/>
  <c r="DY278" i="44"/>
  <c r="DW278" i="44"/>
  <c r="GM277" i="44"/>
  <c r="GK277" i="44"/>
  <c r="GJ277" i="44"/>
  <c r="GI277" i="44"/>
  <c r="GH277" i="44"/>
  <c r="GG277" i="44"/>
  <c r="GF277" i="44"/>
  <c r="GE277" i="44"/>
  <c r="GD277" i="44"/>
  <c r="GC277" i="44"/>
  <c r="GB277" i="44"/>
  <c r="GA277" i="44"/>
  <c r="FZ277" i="44"/>
  <c r="FY277" i="44"/>
  <c r="FT277" i="44"/>
  <c r="FS277" i="44"/>
  <c r="FR277" i="44"/>
  <c r="FQ277" i="44"/>
  <c r="FP277" i="44"/>
  <c r="FO277" i="44"/>
  <c r="FN277" i="44"/>
  <c r="FM277" i="44"/>
  <c r="FL277" i="44"/>
  <c r="FK277" i="44"/>
  <c r="FJ277" i="44"/>
  <c r="FI277" i="44"/>
  <c r="FH277" i="44"/>
  <c r="FG277" i="44"/>
  <c r="FF277" i="44"/>
  <c r="FE277" i="44"/>
  <c r="FD277" i="44"/>
  <c r="FC277" i="44"/>
  <c r="FB277" i="44"/>
  <c r="FA277" i="44"/>
  <c r="EZ277" i="44"/>
  <c r="EY277" i="44"/>
  <c r="EX277" i="44"/>
  <c r="EW277" i="44"/>
  <c r="EV277" i="44"/>
  <c r="EU277" i="44"/>
  <c r="ES277" i="44"/>
  <c r="ER277" i="44"/>
  <c r="EQ277" i="44"/>
  <c r="EP277" i="44"/>
  <c r="EO277" i="44"/>
  <c r="EN277" i="44"/>
  <c r="EM277" i="44"/>
  <c r="EL277" i="44"/>
  <c r="EK277" i="44"/>
  <c r="EJ277" i="44"/>
  <c r="EI277" i="44"/>
  <c r="EH277" i="44"/>
  <c r="EG277" i="44"/>
  <c r="EF277" i="44"/>
  <c r="EE277" i="44"/>
  <c r="ED277" i="44"/>
  <c r="EC277" i="44"/>
  <c r="EB277" i="44"/>
  <c r="EA277" i="44"/>
  <c r="DZ277" i="44"/>
  <c r="DY277" i="44"/>
  <c r="DX277" i="44"/>
  <c r="DW277" i="44"/>
  <c r="GM276" i="44"/>
  <c r="GK276" i="44"/>
  <c r="GJ276" i="44"/>
  <c r="GI276" i="44"/>
  <c r="GH276" i="44"/>
  <c r="GG276" i="44"/>
  <c r="GF276" i="44"/>
  <c r="GE276" i="44"/>
  <c r="GD276" i="44"/>
  <c r="GC276" i="44"/>
  <c r="GB276" i="44"/>
  <c r="GA276" i="44"/>
  <c r="FZ276" i="44"/>
  <c r="FY276" i="44"/>
  <c r="FT276" i="44"/>
  <c r="FS276" i="44"/>
  <c r="FR276" i="44"/>
  <c r="FQ276" i="44"/>
  <c r="FP276" i="44"/>
  <c r="FO276" i="44"/>
  <c r="FN276" i="44"/>
  <c r="FM276" i="44"/>
  <c r="FL276" i="44"/>
  <c r="FK276" i="44"/>
  <c r="FJ276" i="44"/>
  <c r="FI276" i="44"/>
  <c r="FH276" i="44"/>
  <c r="FG276" i="44"/>
  <c r="FF276" i="44"/>
  <c r="FE276" i="44"/>
  <c r="FD276" i="44"/>
  <c r="FC276" i="44"/>
  <c r="FB276" i="44"/>
  <c r="FA276" i="44"/>
  <c r="EZ276" i="44"/>
  <c r="EY276" i="44"/>
  <c r="EX276" i="44"/>
  <c r="EV276" i="44"/>
  <c r="EU276" i="44"/>
  <c r="ES276" i="44"/>
  <c r="EQ276" i="44"/>
  <c r="EM276" i="44"/>
  <c r="EL276" i="44"/>
  <c r="EK276" i="44"/>
  <c r="EJ276" i="44"/>
  <c r="EI276" i="44"/>
  <c r="EH276" i="44"/>
  <c r="EG276" i="44"/>
  <c r="EE276" i="44"/>
  <c r="ED276" i="44"/>
  <c r="EC276" i="44"/>
  <c r="DZ276" i="44"/>
  <c r="DY276" i="44"/>
  <c r="DW276" i="44"/>
  <c r="GM275" i="44"/>
  <c r="GK275" i="44"/>
  <c r="GJ275" i="44"/>
  <c r="GI275" i="44"/>
  <c r="GH275" i="44"/>
  <c r="GG275" i="44"/>
  <c r="GF275" i="44"/>
  <c r="GE275" i="44"/>
  <c r="GD275" i="44"/>
  <c r="GC275" i="44"/>
  <c r="GB275" i="44"/>
  <c r="GA275" i="44"/>
  <c r="FZ275" i="44"/>
  <c r="FY275" i="44"/>
  <c r="FT275" i="44"/>
  <c r="FS275" i="44"/>
  <c r="FR275" i="44"/>
  <c r="FQ275" i="44"/>
  <c r="FP275" i="44"/>
  <c r="FO275" i="44"/>
  <c r="FN275" i="44"/>
  <c r="FM275" i="44"/>
  <c r="FL275" i="44"/>
  <c r="FK275" i="44"/>
  <c r="FJ275" i="44"/>
  <c r="FI275" i="44"/>
  <c r="FH275" i="44"/>
  <c r="FG275" i="44"/>
  <c r="FF275" i="44"/>
  <c r="FE275" i="44"/>
  <c r="FD275" i="44"/>
  <c r="FC275" i="44"/>
  <c r="FB275" i="44"/>
  <c r="FA275" i="44"/>
  <c r="EZ275" i="44"/>
  <c r="EY275" i="44"/>
  <c r="EX275" i="44"/>
  <c r="EW275" i="44"/>
  <c r="EV275" i="44"/>
  <c r="EU275" i="44"/>
  <c r="ES275" i="44"/>
  <c r="ER275" i="44"/>
  <c r="EQ275" i="44"/>
  <c r="EP275" i="44"/>
  <c r="EO275" i="44"/>
  <c r="EN275" i="44"/>
  <c r="EM275" i="44"/>
  <c r="EL275" i="44"/>
  <c r="EK275" i="44"/>
  <c r="EJ275" i="44"/>
  <c r="EI275" i="44"/>
  <c r="EH275" i="44"/>
  <c r="EG275" i="44"/>
  <c r="EF275" i="44"/>
  <c r="EE275" i="44"/>
  <c r="ED275" i="44"/>
  <c r="EC275" i="44"/>
  <c r="EB275" i="44"/>
  <c r="EA275" i="44"/>
  <c r="DZ275" i="44"/>
  <c r="DY275" i="44"/>
  <c r="DX275" i="44"/>
  <c r="DW275" i="44"/>
  <c r="GM274" i="44"/>
  <c r="GK274" i="44"/>
  <c r="GJ274" i="44"/>
  <c r="GI274" i="44"/>
  <c r="GH274" i="44"/>
  <c r="GG274" i="44"/>
  <c r="GF274" i="44"/>
  <c r="GE274" i="44"/>
  <c r="GD274" i="44"/>
  <c r="GC274" i="44"/>
  <c r="GB274" i="44"/>
  <c r="GA274" i="44"/>
  <c r="FZ274" i="44"/>
  <c r="FY274" i="44"/>
  <c r="FT274" i="44"/>
  <c r="FS274" i="44"/>
  <c r="FR274" i="44"/>
  <c r="FQ274" i="44"/>
  <c r="FP274" i="44"/>
  <c r="FO274" i="44"/>
  <c r="FN274" i="44"/>
  <c r="FM274" i="44"/>
  <c r="FL274" i="44"/>
  <c r="FK274" i="44"/>
  <c r="FJ274" i="44"/>
  <c r="FI274" i="44"/>
  <c r="FH274" i="44"/>
  <c r="FG274" i="44"/>
  <c r="FF274" i="44"/>
  <c r="FE274" i="44"/>
  <c r="FD274" i="44"/>
  <c r="FC274" i="44"/>
  <c r="FB274" i="44"/>
  <c r="FA274" i="44"/>
  <c r="EZ274" i="44"/>
  <c r="EY274" i="44"/>
  <c r="EX274" i="44"/>
  <c r="EW274" i="44"/>
  <c r="EV274" i="44"/>
  <c r="EU274" i="44"/>
  <c r="ES274" i="44"/>
  <c r="ER274" i="44"/>
  <c r="EQ274" i="44"/>
  <c r="EP274" i="44"/>
  <c r="EO274" i="44"/>
  <c r="EN274" i="44"/>
  <c r="EM274" i="44"/>
  <c r="EL274" i="44"/>
  <c r="EK274" i="44"/>
  <c r="EJ274" i="44"/>
  <c r="EI274" i="44"/>
  <c r="EH274" i="44"/>
  <c r="EG274" i="44"/>
  <c r="EF274" i="44"/>
  <c r="EE274" i="44"/>
  <c r="ED274" i="44"/>
  <c r="EC274" i="44"/>
  <c r="EB274" i="44"/>
  <c r="EA274" i="44"/>
  <c r="DZ274" i="44"/>
  <c r="DW274" i="44"/>
  <c r="GM273" i="44"/>
  <c r="GK273" i="44"/>
  <c r="GJ273" i="44"/>
  <c r="GI273" i="44"/>
  <c r="GH273" i="44"/>
  <c r="GG273" i="44"/>
  <c r="GF273" i="44"/>
  <c r="GE273" i="44"/>
  <c r="GD273" i="44"/>
  <c r="GC273" i="44"/>
  <c r="GB273" i="44"/>
  <c r="GA273" i="44"/>
  <c r="FZ273" i="44"/>
  <c r="FY273" i="44"/>
  <c r="FT273" i="44"/>
  <c r="FS273" i="44"/>
  <c r="FR273" i="44"/>
  <c r="FQ273" i="44"/>
  <c r="FP273" i="44"/>
  <c r="FO273" i="44"/>
  <c r="FN273" i="44"/>
  <c r="FM273" i="44"/>
  <c r="FL273" i="44"/>
  <c r="FK273" i="44"/>
  <c r="FJ273" i="44"/>
  <c r="FI273" i="44"/>
  <c r="FH273" i="44"/>
  <c r="FG273" i="44"/>
  <c r="FF273" i="44"/>
  <c r="FE273" i="44"/>
  <c r="FD273" i="44"/>
  <c r="FC273" i="44"/>
  <c r="FB273" i="44"/>
  <c r="FA273" i="44"/>
  <c r="EZ273" i="44"/>
  <c r="EY273" i="44"/>
  <c r="EX273" i="44"/>
  <c r="EW273" i="44"/>
  <c r="EV273" i="44"/>
  <c r="EU273" i="44"/>
  <c r="ES273" i="44"/>
  <c r="ER273" i="44"/>
  <c r="EQ273" i="44"/>
  <c r="EP273" i="44"/>
  <c r="EO273" i="44"/>
  <c r="EN273" i="44"/>
  <c r="EM273" i="44"/>
  <c r="EL273" i="44"/>
  <c r="EK273" i="44"/>
  <c r="EJ273" i="44"/>
  <c r="EI273" i="44"/>
  <c r="EH273" i="44"/>
  <c r="EG273" i="44"/>
  <c r="EF273" i="44"/>
  <c r="EE273" i="44"/>
  <c r="ED273" i="44"/>
  <c r="EC273" i="44"/>
  <c r="EB273" i="44"/>
  <c r="EA273" i="44"/>
  <c r="DZ273" i="44"/>
  <c r="DW273" i="44"/>
  <c r="GM272" i="44"/>
  <c r="GK272" i="44"/>
  <c r="GJ272" i="44"/>
  <c r="GI272" i="44"/>
  <c r="GH272" i="44"/>
  <c r="GG272" i="44"/>
  <c r="GF272" i="44"/>
  <c r="GE272" i="44"/>
  <c r="GD272" i="44"/>
  <c r="GC272" i="44"/>
  <c r="GB272" i="44"/>
  <c r="GA272" i="44"/>
  <c r="FZ272" i="44"/>
  <c r="FY272" i="44"/>
  <c r="FT272" i="44"/>
  <c r="FS272" i="44"/>
  <c r="FR272" i="44"/>
  <c r="FQ272" i="44"/>
  <c r="FP272" i="44"/>
  <c r="FO272" i="44"/>
  <c r="FN272" i="44"/>
  <c r="FM272" i="44"/>
  <c r="FL272" i="44"/>
  <c r="FK272" i="44"/>
  <c r="FJ272" i="44"/>
  <c r="FI272" i="44"/>
  <c r="FH272" i="44"/>
  <c r="FG272" i="44"/>
  <c r="FF272" i="44"/>
  <c r="FE272" i="44"/>
  <c r="FD272" i="44"/>
  <c r="FC272" i="44"/>
  <c r="FB272" i="44"/>
  <c r="FA272" i="44"/>
  <c r="EZ272" i="44"/>
  <c r="EY272" i="44"/>
  <c r="EX272" i="44"/>
  <c r="EW272" i="44"/>
  <c r="EV272" i="44"/>
  <c r="EU272" i="44"/>
  <c r="ES272" i="44"/>
  <c r="ER272" i="44"/>
  <c r="EQ272" i="44"/>
  <c r="EP272" i="44"/>
  <c r="EO272" i="44"/>
  <c r="EN272" i="44"/>
  <c r="EM272" i="44"/>
  <c r="EL272" i="44"/>
  <c r="EK272" i="44"/>
  <c r="EJ272" i="44"/>
  <c r="EI272" i="44"/>
  <c r="EH272" i="44"/>
  <c r="EG272" i="44"/>
  <c r="EF272" i="44"/>
  <c r="EE272" i="44"/>
  <c r="ED272" i="44"/>
  <c r="EC272" i="44"/>
  <c r="EB272" i="44"/>
  <c r="EA272" i="44"/>
  <c r="DZ272" i="44"/>
  <c r="DW272" i="44"/>
  <c r="GM271" i="44"/>
  <c r="GK271" i="44"/>
  <c r="GJ271" i="44"/>
  <c r="GI271" i="44"/>
  <c r="GH271" i="44"/>
  <c r="GG271" i="44"/>
  <c r="GF271" i="44"/>
  <c r="GE271" i="44"/>
  <c r="GD271" i="44"/>
  <c r="GC271" i="44"/>
  <c r="GB271" i="44"/>
  <c r="GA271" i="44"/>
  <c r="FZ271" i="44"/>
  <c r="FY271" i="44"/>
  <c r="FT271" i="44"/>
  <c r="FS271" i="44"/>
  <c r="FR271" i="44"/>
  <c r="FQ271" i="44"/>
  <c r="FP271" i="44"/>
  <c r="FO271" i="44"/>
  <c r="FN271" i="44"/>
  <c r="FM271" i="44"/>
  <c r="FL271" i="44"/>
  <c r="FK271" i="44"/>
  <c r="FJ271" i="44"/>
  <c r="FI271" i="44"/>
  <c r="FH271" i="44"/>
  <c r="FG271" i="44"/>
  <c r="FF271" i="44"/>
  <c r="FE271" i="44"/>
  <c r="FD271" i="44"/>
  <c r="FC271" i="44"/>
  <c r="FB271" i="44"/>
  <c r="FA271" i="44"/>
  <c r="EZ271" i="44"/>
  <c r="EY271" i="44"/>
  <c r="EX271" i="44"/>
  <c r="EW271" i="44"/>
  <c r="EV271" i="44"/>
  <c r="EU271" i="44"/>
  <c r="ES271" i="44"/>
  <c r="ER271" i="44"/>
  <c r="EQ271" i="44"/>
  <c r="EP271" i="44"/>
  <c r="EO271" i="44"/>
  <c r="EN271" i="44"/>
  <c r="EM271" i="44"/>
  <c r="EL271" i="44"/>
  <c r="EK271" i="44"/>
  <c r="EJ271" i="44"/>
  <c r="EI271" i="44"/>
  <c r="EH271" i="44"/>
  <c r="EG271" i="44"/>
  <c r="EF271" i="44"/>
  <c r="EE271" i="44"/>
  <c r="ED271" i="44"/>
  <c r="EC271" i="44"/>
  <c r="EB271" i="44"/>
  <c r="EA271" i="44"/>
  <c r="DZ271" i="44"/>
  <c r="DW271" i="44"/>
  <c r="GM270" i="44"/>
  <c r="GK270" i="44"/>
  <c r="GJ270" i="44"/>
  <c r="GI270" i="44"/>
  <c r="GH270" i="44"/>
  <c r="GG270" i="44"/>
  <c r="GF270" i="44"/>
  <c r="GE270" i="44"/>
  <c r="GD270" i="44"/>
  <c r="GC270" i="44"/>
  <c r="GB270" i="44"/>
  <c r="GA270" i="44"/>
  <c r="FZ270" i="44"/>
  <c r="FY270" i="44"/>
  <c r="FT270" i="44"/>
  <c r="FS270" i="44"/>
  <c r="FR270" i="44"/>
  <c r="FQ270" i="44"/>
  <c r="FP270" i="44"/>
  <c r="FO270" i="44"/>
  <c r="FN270" i="44"/>
  <c r="FM270" i="44"/>
  <c r="FL270" i="44"/>
  <c r="FK270" i="44"/>
  <c r="FJ270" i="44"/>
  <c r="FI270" i="44"/>
  <c r="FH270" i="44"/>
  <c r="FG270" i="44"/>
  <c r="FF270" i="44"/>
  <c r="FE270" i="44"/>
  <c r="FD270" i="44"/>
  <c r="FC270" i="44"/>
  <c r="FB270" i="44"/>
  <c r="FA270" i="44"/>
  <c r="EZ270" i="44"/>
  <c r="EY270" i="44"/>
  <c r="EX270" i="44"/>
  <c r="EW270" i="44"/>
  <c r="EV270" i="44"/>
  <c r="EU270" i="44"/>
  <c r="ES270" i="44"/>
  <c r="ER270" i="44"/>
  <c r="EQ270" i="44"/>
  <c r="EP270" i="44"/>
  <c r="EO270" i="44"/>
  <c r="EN270" i="44"/>
  <c r="EM270" i="44"/>
  <c r="EL270" i="44"/>
  <c r="EK270" i="44"/>
  <c r="EJ270" i="44"/>
  <c r="EG270" i="44"/>
  <c r="EE270" i="44"/>
  <c r="ED270" i="44"/>
  <c r="EC270" i="44"/>
  <c r="DZ270" i="44"/>
  <c r="DW270" i="44"/>
  <c r="GM269" i="44"/>
  <c r="GK269" i="44"/>
  <c r="GJ269" i="44"/>
  <c r="GI269" i="44"/>
  <c r="GH269" i="44"/>
  <c r="GG269" i="44"/>
  <c r="GF269" i="44"/>
  <c r="GE269" i="44"/>
  <c r="GD269" i="44"/>
  <c r="GC269" i="44"/>
  <c r="GB269" i="44"/>
  <c r="GA269" i="44"/>
  <c r="FZ269" i="44"/>
  <c r="FY269" i="44"/>
  <c r="FT269" i="44"/>
  <c r="FS269" i="44"/>
  <c r="FR269" i="44"/>
  <c r="FQ269" i="44"/>
  <c r="FP269" i="44"/>
  <c r="FO269" i="44"/>
  <c r="FN269" i="44"/>
  <c r="FM269" i="44"/>
  <c r="FL269" i="44"/>
  <c r="FK269" i="44"/>
  <c r="FJ269" i="44"/>
  <c r="FI269" i="44"/>
  <c r="FH269" i="44"/>
  <c r="FG269" i="44"/>
  <c r="FF269" i="44"/>
  <c r="FE269" i="44"/>
  <c r="FD269" i="44"/>
  <c r="FC269" i="44"/>
  <c r="FB269" i="44"/>
  <c r="FA269" i="44"/>
  <c r="EZ269" i="44"/>
  <c r="EY269" i="44"/>
  <c r="EX269" i="44"/>
  <c r="EW269" i="44"/>
  <c r="EV269" i="44"/>
  <c r="EU269" i="44"/>
  <c r="ES269" i="44"/>
  <c r="ER269" i="44"/>
  <c r="EQ269" i="44"/>
  <c r="EP269" i="44"/>
  <c r="EO269" i="44"/>
  <c r="EN269" i="44"/>
  <c r="EM269" i="44"/>
  <c r="EL269" i="44"/>
  <c r="EK269" i="44"/>
  <c r="EJ269" i="44"/>
  <c r="EI269" i="44"/>
  <c r="EH269" i="44"/>
  <c r="EG269" i="44"/>
  <c r="EF269" i="44"/>
  <c r="EE269" i="44"/>
  <c r="ED269" i="44"/>
  <c r="EC269" i="44"/>
  <c r="EB269" i="44"/>
  <c r="EA269" i="44"/>
  <c r="DZ269" i="44"/>
  <c r="DW269" i="44"/>
  <c r="GM268" i="44"/>
  <c r="GK268" i="44"/>
  <c r="GJ268" i="44"/>
  <c r="GI268" i="44"/>
  <c r="GH268" i="44"/>
  <c r="GG268" i="44"/>
  <c r="GF268" i="44"/>
  <c r="GE268" i="44"/>
  <c r="GD268" i="44"/>
  <c r="GC268" i="44"/>
  <c r="GB268" i="44"/>
  <c r="GA268" i="44"/>
  <c r="FZ268" i="44"/>
  <c r="FY268" i="44"/>
  <c r="FT268" i="44"/>
  <c r="FS268" i="44"/>
  <c r="FR268" i="44"/>
  <c r="FQ268" i="44"/>
  <c r="FP268" i="44"/>
  <c r="FO268" i="44"/>
  <c r="FN268" i="44"/>
  <c r="FM268" i="44"/>
  <c r="FL268" i="44"/>
  <c r="FK268" i="44"/>
  <c r="FJ268" i="44"/>
  <c r="FI268" i="44"/>
  <c r="FH268" i="44"/>
  <c r="FG268" i="44"/>
  <c r="FF268" i="44"/>
  <c r="FE268" i="44"/>
  <c r="FD268" i="44"/>
  <c r="FC268" i="44"/>
  <c r="FB268" i="44"/>
  <c r="FA268" i="44"/>
  <c r="EZ268" i="44"/>
  <c r="EY268" i="44"/>
  <c r="EX268" i="44"/>
  <c r="EW268" i="44"/>
  <c r="EV268" i="44"/>
  <c r="EU268" i="44"/>
  <c r="ES268" i="44"/>
  <c r="ER268" i="44"/>
  <c r="EQ268" i="44"/>
  <c r="EP268" i="44"/>
  <c r="EO268" i="44"/>
  <c r="EN268" i="44"/>
  <c r="EM268" i="44"/>
  <c r="EL268" i="44"/>
  <c r="EK268" i="44"/>
  <c r="EJ268" i="44"/>
  <c r="EI268" i="44"/>
  <c r="EH268" i="44"/>
  <c r="EG268" i="44"/>
  <c r="EF268" i="44"/>
  <c r="EE268" i="44"/>
  <c r="ED268" i="44"/>
  <c r="EC268" i="44"/>
  <c r="EB268" i="44"/>
  <c r="EA268" i="44"/>
  <c r="DZ268" i="44"/>
  <c r="DW268" i="44"/>
  <c r="GM267" i="44"/>
  <c r="GK267" i="44"/>
  <c r="GJ267" i="44"/>
  <c r="GI267" i="44"/>
  <c r="GH267" i="44"/>
  <c r="GG267" i="44"/>
  <c r="GF267" i="44"/>
  <c r="GE267" i="44"/>
  <c r="GD267" i="44"/>
  <c r="GC267" i="44"/>
  <c r="GB267" i="44"/>
  <c r="GA267" i="44"/>
  <c r="FZ267" i="44"/>
  <c r="FY267" i="44"/>
  <c r="FT267" i="44"/>
  <c r="FS267" i="44"/>
  <c r="FR267" i="44"/>
  <c r="FQ267" i="44"/>
  <c r="FP267" i="44"/>
  <c r="FO267" i="44"/>
  <c r="FN267" i="44"/>
  <c r="FM267" i="44"/>
  <c r="FL267" i="44"/>
  <c r="FK267" i="44"/>
  <c r="FJ267" i="44"/>
  <c r="FI267" i="44"/>
  <c r="FH267" i="44"/>
  <c r="FG267" i="44"/>
  <c r="FF267" i="44"/>
  <c r="FE267" i="44"/>
  <c r="FD267" i="44"/>
  <c r="FC267" i="44"/>
  <c r="FB267" i="44"/>
  <c r="FA267" i="44"/>
  <c r="EZ267" i="44"/>
  <c r="EY267" i="44"/>
  <c r="EX267" i="44"/>
  <c r="EW267" i="44"/>
  <c r="EV267" i="44"/>
  <c r="EU267" i="44"/>
  <c r="ES267" i="44"/>
  <c r="ER267" i="44"/>
  <c r="EQ267" i="44"/>
  <c r="EP267" i="44"/>
  <c r="EO267" i="44"/>
  <c r="EN267" i="44"/>
  <c r="EM267" i="44"/>
  <c r="EL267" i="44"/>
  <c r="EK267" i="44"/>
  <c r="EJ267" i="44"/>
  <c r="EI267" i="44"/>
  <c r="EH267" i="44"/>
  <c r="EG267" i="44"/>
  <c r="EF267" i="44"/>
  <c r="EE267" i="44"/>
  <c r="ED267" i="44"/>
  <c r="EC267" i="44"/>
  <c r="EB267" i="44"/>
  <c r="EA267" i="44"/>
  <c r="DZ267" i="44"/>
  <c r="DW267" i="44"/>
  <c r="GM266" i="44"/>
  <c r="GK266" i="44"/>
  <c r="GJ266" i="44"/>
  <c r="GI266" i="44"/>
  <c r="GH266" i="44"/>
  <c r="GG266" i="44"/>
  <c r="GF266" i="44"/>
  <c r="GE266" i="44"/>
  <c r="GD266" i="44"/>
  <c r="GC266" i="44"/>
  <c r="GB266" i="44"/>
  <c r="GA266" i="44"/>
  <c r="FZ266" i="44"/>
  <c r="FY266" i="44"/>
  <c r="FT266" i="44"/>
  <c r="FS266" i="44"/>
  <c r="FR266" i="44"/>
  <c r="FQ266" i="44"/>
  <c r="FP266" i="44"/>
  <c r="FO266" i="44"/>
  <c r="FN266" i="44"/>
  <c r="FM266" i="44"/>
  <c r="FL266" i="44"/>
  <c r="FK266" i="44"/>
  <c r="FJ266" i="44"/>
  <c r="FI266" i="44"/>
  <c r="FH266" i="44"/>
  <c r="FG266" i="44"/>
  <c r="FF266" i="44"/>
  <c r="FE266" i="44"/>
  <c r="FD266" i="44"/>
  <c r="FC266" i="44"/>
  <c r="FB266" i="44"/>
  <c r="FA266" i="44"/>
  <c r="EZ266" i="44"/>
  <c r="EY266" i="44"/>
  <c r="EX266" i="44"/>
  <c r="EW266" i="44"/>
  <c r="EV266" i="44"/>
  <c r="EU266" i="44"/>
  <c r="ES266" i="44"/>
  <c r="ER266" i="44"/>
  <c r="EQ266" i="44"/>
  <c r="EP266" i="44"/>
  <c r="EO266" i="44"/>
  <c r="EN266" i="44"/>
  <c r="EM266" i="44"/>
  <c r="EL266" i="44"/>
  <c r="EK266" i="44"/>
  <c r="EJ266" i="44"/>
  <c r="EI266" i="44"/>
  <c r="EH266" i="44"/>
  <c r="EG266" i="44"/>
  <c r="EF266" i="44"/>
  <c r="EE266" i="44"/>
  <c r="ED266" i="44"/>
  <c r="EC266" i="44"/>
  <c r="EB266" i="44"/>
  <c r="EA266" i="44"/>
  <c r="DZ266" i="44"/>
  <c r="DW266" i="44"/>
  <c r="GM265" i="44"/>
  <c r="GK265" i="44"/>
  <c r="GJ265" i="44"/>
  <c r="GI265" i="44"/>
  <c r="GH265" i="44"/>
  <c r="GG265" i="44"/>
  <c r="GF265" i="44"/>
  <c r="GE265" i="44"/>
  <c r="GD265" i="44"/>
  <c r="GC265" i="44"/>
  <c r="GB265" i="44"/>
  <c r="GA265" i="44"/>
  <c r="FZ265" i="44"/>
  <c r="FY265" i="44"/>
  <c r="FT265" i="44"/>
  <c r="FS265" i="44"/>
  <c r="FR265" i="44"/>
  <c r="FQ265" i="44"/>
  <c r="FP265" i="44"/>
  <c r="FO265" i="44"/>
  <c r="FN265" i="44"/>
  <c r="FM265" i="44"/>
  <c r="FL265" i="44"/>
  <c r="FK265" i="44"/>
  <c r="FJ265" i="44"/>
  <c r="FI265" i="44"/>
  <c r="FH265" i="44"/>
  <c r="FG265" i="44"/>
  <c r="FF265" i="44"/>
  <c r="FE265" i="44"/>
  <c r="FD265" i="44"/>
  <c r="FC265" i="44"/>
  <c r="FB265" i="44"/>
  <c r="FA265" i="44"/>
  <c r="EZ265" i="44"/>
  <c r="EY265" i="44"/>
  <c r="EX265" i="44"/>
  <c r="EW265" i="44"/>
  <c r="EV265" i="44"/>
  <c r="EU265" i="44"/>
  <c r="ES265" i="44"/>
  <c r="ER265" i="44"/>
  <c r="EQ265" i="44"/>
  <c r="EP265" i="44"/>
  <c r="EO265" i="44"/>
  <c r="EN265" i="44"/>
  <c r="EM265" i="44"/>
  <c r="EL265" i="44"/>
  <c r="EK265" i="44"/>
  <c r="EJ265" i="44"/>
  <c r="EG265" i="44"/>
  <c r="EE265" i="44"/>
  <c r="ED265" i="44"/>
  <c r="EC265" i="44"/>
  <c r="DZ265" i="44"/>
  <c r="DY265" i="44"/>
  <c r="DW265" i="44"/>
  <c r="GM264" i="44"/>
  <c r="GK264" i="44"/>
  <c r="GJ264" i="44"/>
  <c r="GI264" i="44"/>
  <c r="GH264" i="44"/>
  <c r="GG264" i="44"/>
  <c r="GF264" i="44"/>
  <c r="GE264" i="44"/>
  <c r="GD264" i="44"/>
  <c r="GC264" i="44"/>
  <c r="GB264" i="44"/>
  <c r="GA264" i="44"/>
  <c r="FZ264" i="44"/>
  <c r="FY264" i="44"/>
  <c r="FT264" i="44"/>
  <c r="FS264" i="44"/>
  <c r="FR264" i="44"/>
  <c r="FQ264" i="44"/>
  <c r="FP264" i="44"/>
  <c r="FO264" i="44"/>
  <c r="FN264" i="44"/>
  <c r="FM264" i="44"/>
  <c r="FL264" i="44"/>
  <c r="FK264" i="44"/>
  <c r="FJ264" i="44"/>
  <c r="FI264" i="44"/>
  <c r="FH264" i="44"/>
  <c r="FG264" i="44"/>
  <c r="FF264" i="44"/>
  <c r="FE264" i="44"/>
  <c r="FD264" i="44"/>
  <c r="FC264" i="44"/>
  <c r="FB264" i="44"/>
  <c r="FA264" i="44"/>
  <c r="EZ264" i="44"/>
  <c r="EY264" i="44"/>
  <c r="EX264" i="44"/>
  <c r="EW264" i="44"/>
  <c r="EV264" i="44"/>
  <c r="EU264" i="44"/>
  <c r="ES264" i="44"/>
  <c r="ER264" i="44"/>
  <c r="EQ264" i="44"/>
  <c r="EP264" i="44"/>
  <c r="EO264" i="44"/>
  <c r="EN264" i="44"/>
  <c r="EM264" i="44"/>
  <c r="EL264" i="44"/>
  <c r="EK264" i="44"/>
  <c r="EJ264" i="44"/>
  <c r="EG264" i="44"/>
  <c r="EE264" i="44"/>
  <c r="ED264" i="44"/>
  <c r="EC264" i="44"/>
  <c r="DZ264" i="44"/>
  <c r="DY264" i="44"/>
  <c r="DW264" i="44"/>
  <c r="GM263" i="44"/>
  <c r="GK263" i="44"/>
  <c r="GJ263" i="44"/>
  <c r="GI263" i="44"/>
  <c r="GH263" i="44"/>
  <c r="GG263" i="44"/>
  <c r="GF263" i="44"/>
  <c r="GE263" i="44"/>
  <c r="GD263" i="44"/>
  <c r="GC263" i="44"/>
  <c r="GB263" i="44"/>
  <c r="GA263" i="44"/>
  <c r="FZ263" i="44"/>
  <c r="FY263" i="44"/>
  <c r="FT263" i="44"/>
  <c r="FS263" i="44"/>
  <c r="FR263" i="44"/>
  <c r="FQ263" i="44"/>
  <c r="FP263" i="44"/>
  <c r="FO263" i="44"/>
  <c r="FN263" i="44"/>
  <c r="FM263" i="44"/>
  <c r="FL263" i="44"/>
  <c r="FK263" i="44"/>
  <c r="FJ263" i="44"/>
  <c r="FI263" i="44"/>
  <c r="FH263" i="44"/>
  <c r="FG263" i="44"/>
  <c r="FF263" i="44"/>
  <c r="FE263" i="44"/>
  <c r="FD263" i="44"/>
  <c r="FC263" i="44"/>
  <c r="FB263" i="44"/>
  <c r="FA263" i="44"/>
  <c r="EZ263" i="44"/>
  <c r="EY263" i="44"/>
  <c r="EX263" i="44"/>
  <c r="EW263" i="44"/>
  <c r="EV263" i="44"/>
  <c r="EU263" i="44"/>
  <c r="ES263" i="44"/>
  <c r="ER263" i="44"/>
  <c r="EQ263" i="44"/>
  <c r="EP263" i="44"/>
  <c r="EO263" i="44"/>
  <c r="EN263" i="44"/>
  <c r="EM263" i="44"/>
  <c r="EL263" i="44"/>
  <c r="EK263" i="44"/>
  <c r="EJ263" i="44"/>
  <c r="EG263" i="44"/>
  <c r="EE263" i="44"/>
  <c r="ED263" i="44"/>
  <c r="EC263" i="44"/>
  <c r="DZ263" i="44"/>
  <c r="DY263" i="44"/>
  <c r="DW263" i="44"/>
  <c r="GM262" i="44"/>
  <c r="GK262" i="44"/>
  <c r="GJ262" i="44"/>
  <c r="GI262" i="44"/>
  <c r="GH262" i="44"/>
  <c r="GG262" i="44"/>
  <c r="GF262" i="44"/>
  <c r="GE262" i="44"/>
  <c r="GD262" i="44"/>
  <c r="GC262" i="44"/>
  <c r="GB262" i="44"/>
  <c r="GA262" i="44"/>
  <c r="FZ262" i="44"/>
  <c r="FY262" i="44"/>
  <c r="FT262" i="44"/>
  <c r="FS262" i="44"/>
  <c r="FR262" i="44"/>
  <c r="FQ262" i="44"/>
  <c r="FP262" i="44"/>
  <c r="FO262" i="44"/>
  <c r="FN262" i="44"/>
  <c r="FM262" i="44"/>
  <c r="FL262" i="44"/>
  <c r="FK262" i="44"/>
  <c r="FJ262" i="44"/>
  <c r="FI262" i="44"/>
  <c r="FH262" i="44"/>
  <c r="FG262" i="44"/>
  <c r="FF262" i="44"/>
  <c r="FE262" i="44"/>
  <c r="FD262" i="44"/>
  <c r="FC262" i="44"/>
  <c r="FB262" i="44"/>
  <c r="FA262" i="44"/>
  <c r="EZ262" i="44"/>
  <c r="EY262" i="44"/>
  <c r="EX262" i="44"/>
  <c r="EW262" i="44"/>
  <c r="EV262" i="44"/>
  <c r="EU262" i="44"/>
  <c r="ES262" i="44"/>
  <c r="ER262" i="44"/>
  <c r="EQ262" i="44"/>
  <c r="EP262" i="44"/>
  <c r="EO262" i="44"/>
  <c r="EN262" i="44"/>
  <c r="EM262" i="44"/>
  <c r="EL262" i="44"/>
  <c r="EK262" i="44"/>
  <c r="EJ262" i="44"/>
  <c r="EG262" i="44"/>
  <c r="EE262" i="44"/>
  <c r="ED262" i="44"/>
  <c r="EC262" i="44"/>
  <c r="DZ262" i="44"/>
  <c r="DY262" i="44"/>
  <c r="DW262" i="44"/>
  <c r="GM261" i="44"/>
  <c r="GK261" i="44"/>
  <c r="GJ261" i="44"/>
  <c r="GI261" i="44"/>
  <c r="GH261" i="44"/>
  <c r="GG261" i="44"/>
  <c r="GF261" i="44"/>
  <c r="GE261" i="44"/>
  <c r="GD261" i="44"/>
  <c r="GC261" i="44"/>
  <c r="GB261" i="44"/>
  <c r="GA261" i="44"/>
  <c r="FZ261" i="44"/>
  <c r="FY261" i="44"/>
  <c r="FT261" i="44"/>
  <c r="FS261" i="44"/>
  <c r="FR261" i="44"/>
  <c r="FQ261" i="44"/>
  <c r="FP261" i="44"/>
  <c r="FO261" i="44"/>
  <c r="FN261" i="44"/>
  <c r="FM261" i="44"/>
  <c r="FL261" i="44"/>
  <c r="FK261" i="44"/>
  <c r="FJ261" i="44"/>
  <c r="FI261" i="44"/>
  <c r="FH261" i="44"/>
  <c r="FG261" i="44"/>
  <c r="FF261" i="44"/>
  <c r="FE261" i="44"/>
  <c r="FD261" i="44"/>
  <c r="FC261" i="44"/>
  <c r="FB261" i="44"/>
  <c r="FA261" i="44"/>
  <c r="EZ261" i="44"/>
  <c r="EY261" i="44"/>
  <c r="EX261" i="44"/>
  <c r="EW261" i="44"/>
  <c r="EV261" i="44"/>
  <c r="EU261" i="44"/>
  <c r="ES261" i="44"/>
  <c r="ER261" i="44"/>
  <c r="EQ261" i="44"/>
  <c r="EP261" i="44"/>
  <c r="EO261" i="44"/>
  <c r="EN261" i="44"/>
  <c r="EM261" i="44"/>
  <c r="EL261" i="44"/>
  <c r="EK261" i="44"/>
  <c r="EJ261" i="44"/>
  <c r="EG261" i="44"/>
  <c r="EE261" i="44"/>
  <c r="ED261" i="44"/>
  <c r="EC261" i="44"/>
  <c r="DZ261" i="44"/>
  <c r="DY261" i="44"/>
  <c r="DW261" i="44"/>
  <c r="GM260" i="44"/>
  <c r="GK260" i="44"/>
  <c r="GJ260" i="44"/>
  <c r="GI260" i="44"/>
  <c r="GH260" i="44"/>
  <c r="GG260" i="44"/>
  <c r="GF260" i="44"/>
  <c r="GE260" i="44"/>
  <c r="GD260" i="44"/>
  <c r="GC260" i="44"/>
  <c r="GB260" i="44"/>
  <c r="GA260" i="44"/>
  <c r="FZ260" i="44"/>
  <c r="FY260" i="44"/>
  <c r="FT260" i="44"/>
  <c r="FS260" i="44"/>
  <c r="FR260" i="44"/>
  <c r="FQ260" i="44"/>
  <c r="FP260" i="44"/>
  <c r="FO260" i="44"/>
  <c r="FN260" i="44"/>
  <c r="FM260" i="44"/>
  <c r="FL260" i="44"/>
  <c r="FK260" i="44"/>
  <c r="FJ260" i="44"/>
  <c r="FI260" i="44"/>
  <c r="FH260" i="44"/>
  <c r="FG260" i="44"/>
  <c r="FF260" i="44"/>
  <c r="FE260" i="44"/>
  <c r="FD260" i="44"/>
  <c r="FC260" i="44"/>
  <c r="FB260" i="44"/>
  <c r="FA260" i="44"/>
  <c r="EZ260" i="44"/>
  <c r="EY260" i="44"/>
  <c r="EX260" i="44"/>
  <c r="EW260" i="44"/>
  <c r="EV260" i="44"/>
  <c r="EU260" i="44"/>
  <c r="ES260" i="44"/>
  <c r="ER260" i="44"/>
  <c r="EQ260" i="44"/>
  <c r="EP260" i="44"/>
  <c r="EO260" i="44"/>
  <c r="EN260" i="44"/>
  <c r="EM260" i="44"/>
  <c r="EL260" i="44"/>
  <c r="EK260" i="44"/>
  <c r="EJ260" i="44"/>
  <c r="EG260" i="44"/>
  <c r="EE260" i="44"/>
  <c r="ED260" i="44"/>
  <c r="EC260" i="44"/>
  <c r="DZ260" i="44"/>
  <c r="DY260" i="44"/>
  <c r="DW260" i="44"/>
  <c r="GM259" i="44"/>
  <c r="GK259" i="44"/>
  <c r="GJ259" i="44"/>
  <c r="GI259" i="44"/>
  <c r="GH259" i="44"/>
  <c r="GG259" i="44"/>
  <c r="GF259" i="44"/>
  <c r="GE259" i="44"/>
  <c r="GD259" i="44"/>
  <c r="GC259" i="44"/>
  <c r="GB259" i="44"/>
  <c r="GA259" i="44"/>
  <c r="FZ259" i="44"/>
  <c r="FY259" i="44"/>
  <c r="FT259" i="44"/>
  <c r="FS259" i="44"/>
  <c r="FR259" i="44"/>
  <c r="FQ259" i="44"/>
  <c r="FP259" i="44"/>
  <c r="FO259" i="44"/>
  <c r="FN259" i="44"/>
  <c r="FM259" i="44"/>
  <c r="FL259" i="44"/>
  <c r="FK259" i="44"/>
  <c r="FJ259" i="44"/>
  <c r="FI259" i="44"/>
  <c r="FH259" i="44"/>
  <c r="FG259" i="44"/>
  <c r="FF259" i="44"/>
  <c r="FE259" i="44"/>
  <c r="FD259" i="44"/>
  <c r="FC259" i="44"/>
  <c r="FB259" i="44"/>
  <c r="FA259" i="44"/>
  <c r="EZ259" i="44"/>
  <c r="EY259" i="44"/>
  <c r="EX259" i="44"/>
  <c r="EW259" i="44"/>
  <c r="EV259" i="44"/>
  <c r="EU259" i="44"/>
  <c r="ES259" i="44"/>
  <c r="ER259" i="44"/>
  <c r="EQ259" i="44"/>
  <c r="EP259" i="44"/>
  <c r="EO259" i="44"/>
  <c r="EN259" i="44"/>
  <c r="EM259" i="44"/>
  <c r="EL259" i="44"/>
  <c r="EK259" i="44"/>
  <c r="EJ259" i="44"/>
  <c r="EG259" i="44"/>
  <c r="EE259" i="44"/>
  <c r="ED259" i="44"/>
  <c r="EC259" i="44"/>
  <c r="DZ259" i="44"/>
  <c r="DY259" i="44"/>
  <c r="DW259" i="44"/>
  <c r="GM258" i="44"/>
  <c r="GK258" i="44"/>
  <c r="GJ258" i="44"/>
  <c r="GI258" i="44"/>
  <c r="GH258" i="44"/>
  <c r="GG258" i="44"/>
  <c r="GF258" i="44"/>
  <c r="GE258" i="44"/>
  <c r="GD258" i="44"/>
  <c r="GC258" i="44"/>
  <c r="GB258" i="44"/>
  <c r="GA258" i="44"/>
  <c r="FZ258" i="44"/>
  <c r="FY258" i="44"/>
  <c r="FT258" i="44"/>
  <c r="FS258" i="44"/>
  <c r="FR258" i="44"/>
  <c r="FQ258" i="44"/>
  <c r="FP258" i="44"/>
  <c r="FO258" i="44"/>
  <c r="FN258" i="44"/>
  <c r="FM258" i="44"/>
  <c r="FL258" i="44"/>
  <c r="FK258" i="44"/>
  <c r="FJ258" i="44"/>
  <c r="FI258" i="44"/>
  <c r="FH258" i="44"/>
  <c r="FG258" i="44"/>
  <c r="FF258" i="44"/>
  <c r="FE258" i="44"/>
  <c r="FD258" i="44"/>
  <c r="FC258" i="44"/>
  <c r="FB258" i="44"/>
  <c r="FA258" i="44"/>
  <c r="EZ258" i="44"/>
  <c r="EY258" i="44"/>
  <c r="EX258" i="44"/>
  <c r="EW258" i="44"/>
  <c r="EV258" i="44"/>
  <c r="EU258" i="44"/>
  <c r="ES258" i="44"/>
  <c r="ER258" i="44"/>
  <c r="EQ258" i="44"/>
  <c r="EP258" i="44"/>
  <c r="EO258" i="44"/>
  <c r="EN258" i="44"/>
  <c r="EM258" i="44"/>
  <c r="EL258" i="44"/>
  <c r="EK258" i="44"/>
  <c r="EJ258" i="44"/>
  <c r="EG258" i="44"/>
  <c r="EE258" i="44"/>
  <c r="ED258" i="44"/>
  <c r="EC258" i="44"/>
  <c r="DZ258" i="44"/>
  <c r="DY258" i="44"/>
  <c r="DW258" i="44"/>
  <c r="GM257" i="44"/>
  <c r="GK257" i="44"/>
  <c r="GJ257" i="44"/>
  <c r="GI257" i="44"/>
  <c r="GH257" i="44"/>
  <c r="GG257" i="44"/>
  <c r="GF257" i="44"/>
  <c r="GE257" i="44"/>
  <c r="GD257" i="44"/>
  <c r="GC257" i="44"/>
  <c r="GB257" i="44"/>
  <c r="GA257" i="44"/>
  <c r="FZ257" i="44"/>
  <c r="FY257" i="44"/>
  <c r="FT257" i="44"/>
  <c r="FS257" i="44"/>
  <c r="FR257" i="44"/>
  <c r="FQ257" i="44"/>
  <c r="FP257" i="44"/>
  <c r="FO257" i="44"/>
  <c r="FN257" i="44"/>
  <c r="FM257" i="44"/>
  <c r="FL257" i="44"/>
  <c r="FK257" i="44"/>
  <c r="FJ257" i="44"/>
  <c r="FI257" i="44"/>
  <c r="FH257" i="44"/>
  <c r="FG257" i="44"/>
  <c r="FF257" i="44"/>
  <c r="FE257" i="44"/>
  <c r="FD257" i="44"/>
  <c r="FC257" i="44"/>
  <c r="FB257" i="44"/>
  <c r="FA257" i="44"/>
  <c r="EZ257" i="44"/>
  <c r="EY257" i="44"/>
  <c r="EX257" i="44"/>
  <c r="EW257" i="44"/>
  <c r="EV257" i="44"/>
  <c r="EU257" i="44"/>
  <c r="ES257" i="44"/>
  <c r="ER257" i="44"/>
  <c r="EQ257" i="44"/>
  <c r="EP257" i="44"/>
  <c r="EO257" i="44"/>
  <c r="EN257" i="44"/>
  <c r="EM257" i="44"/>
  <c r="EL257" i="44"/>
  <c r="EK257" i="44"/>
  <c r="EJ257" i="44"/>
  <c r="EG257" i="44"/>
  <c r="EE257" i="44"/>
  <c r="ED257" i="44"/>
  <c r="EC257" i="44"/>
  <c r="DZ257" i="44"/>
  <c r="DY257" i="44"/>
  <c r="DW257" i="44"/>
  <c r="GM256" i="44"/>
  <c r="GK256" i="44"/>
  <c r="GJ256" i="44"/>
  <c r="GI256" i="44"/>
  <c r="GH256" i="44"/>
  <c r="GG256" i="44"/>
  <c r="GF256" i="44"/>
  <c r="GE256" i="44"/>
  <c r="GD256" i="44"/>
  <c r="GC256" i="44"/>
  <c r="GB256" i="44"/>
  <c r="GA256" i="44"/>
  <c r="FZ256" i="44"/>
  <c r="FY256" i="44"/>
  <c r="FT256" i="44"/>
  <c r="FS256" i="44"/>
  <c r="FR256" i="44"/>
  <c r="FQ256" i="44"/>
  <c r="FP256" i="44"/>
  <c r="FO256" i="44"/>
  <c r="FN256" i="44"/>
  <c r="FM256" i="44"/>
  <c r="FL256" i="44"/>
  <c r="FK256" i="44"/>
  <c r="FJ256" i="44"/>
  <c r="FI256" i="44"/>
  <c r="FH256" i="44"/>
  <c r="FG256" i="44"/>
  <c r="FF256" i="44"/>
  <c r="FE256" i="44"/>
  <c r="FD256" i="44"/>
  <c r="FC256" i="44"/>
  <c r="FB256" i="44"/>
  <c r="FA256" i="44"/>
  <c r="EZ256" i="44"/>
  <c r="EY256" i="44"/>
  <c r="EX256" i="44"/>
  <c r="EW256" i="44"/>
  <c r="EV256" i="44"/>
  <c r="EU256" i="44"/>
  <c r="ES256" i="44"/>
  <c r="ER256" i="44"/>
  <c r="EQ256" i="44"/>
  <c r="EP256" i="44"/>
  <c r="EO256" i="44"/>
  <c r="EN256" i="44"/>
  <c r="EM256" i="44"/>
  <c r="EL256" i="44"/>
  <c r="EK256" i="44"/>
  <c r="EJ256" i="44"/>
  <c r="EI256" i="44"/>
  <c r="EG256" i="44"/>
  <c r="EE256" i="44"/>
  <c r="ED256" i="44"/>
  <c r="EC256" i="44"/>
  <c r="DZ256" i="44"/>
  <c r="DY256" i="44"/>
  <c r="DW256" i="44"/>
  <c r="GM255" i="44"/>
  <c r="GK255" i="44"/>
  <c r="GJ255" i="44"/>
  <c r="GI255" i="44"/>
  <c r="GH255" i="44"/>
  <c r="GG255" i="44"/>
  <c r="GF255" i="44"/>
  <c r="GE255" i="44"/>
  <c r="GD255" i="44"/>
  <c r="GC255" i="44"/>
  <c r="GB255" i="44"/>
  <c r="GA255" i="44"/>
  <c r="FZ255" i="44"/>
  <c r="FY255" i="44"/>
  <c r="FT255" i="44"/>
  <c r="FS255" i="44"/>
  <c r="FR255" i="44"/>
  <c r="FQ255" i="44"/>
  <c r="FP255" i="44"/>
  <c r="FO255" i="44"/>
  <c r="FN255" i="44"/>
  <c r="FM255" i="44"/>
  <c r="FL255" i="44"/>
  <c r="FK255" i="44"/>
  <c r="FJ255" i="44"/>
  <c r="FI255" i="44"/>
  <c r="FH255" i="44"/>
  <c r="FG255" i="44"/>
  <c r="FF255" i="44"/>
  <c r="FE255" i="44"/>
  <c r="FD255" i="44"/>
  <c r="FC255" i="44"/>
  <c r="FB255" i="44"/>
  <c r="FA255" i="44"/>
  <c r="EZ255" i="44"/>
  <c r="EY255" i="44"/>
  <c r="EX255" i="44"/>
  <c r="EW255" i="44"/>
  <c r="EV255" i="44"/>
  <c r="EU255" i="44"/>
  <c r="ES255" i="44"/>
  <c r="ER255" i="44"/>
  <c r="EQ255" i="44"/>
  <c r="EP255" i="44"/>
  <c r="EO255" i="44"/>
  <c r="EN255" i="44"/>
  <c r="EM255" i="44"/>
  <c r="EL255" i="44"/>
  <c r="EK255" i="44"/>
  <c r="EJ255" i="44"/>
  <c r="EI255" i="44"/>
  <c r="EG255" i="44"/>
  <c r="EE255" i="44"/>
  <c r="ED255" i="44"/>
  <c r="EC255" i="44"/>
  <c r="DZ255" i="44"/>
  <c r="DY255" i="44"/>
  <c r="DW255" i="44"/>
  <c r="GM254" i="44"/>
  <c r="GK254" i="44"/>
  <c r="GJ254" i="44"/>
  <c r="GI254" i="44"/>
  <c r="GH254" i="44"/>
  <c r="GG254" i="44"/>
  <c r="GF254" i="44"/>
  <c r="GE254" i="44"/>
  <c r="GD254" i="44"/>
  <c r="GC254" i="44"/>
  <c r="GB254" i="44"/>
  <c r="GA254" i="44"/>
  <c r="FZ254" i="44"/>
  <c r="FY254" i="44"/>
  <c r="FT254" i="44"/>
  <c r="FS254" i="44"/>
  <c r="FR254" i="44"/>
  <c r="FQ254" i="44"/>
  <c r="FP254" i="44"/>
  <c r="FO254" i="44"/>
  <c r="FN254" i="44"/>
  <c r="FM254" i="44"/>
  <c r="FL254" i="44"/>
  <c r="FK254" i="44"/>
  <c r="FJ254" i="44"/>
  <c r="FI254" i="44"/>
  <c r="FH254" i="44"/>
  <c r="FG254" i="44"/>
  <c r="FF254" i="44"/>
  <c r="FE254" i="44"/>
  <c r="FD254" i="44"/>
  <c r="FC254" i="44"/>
  <c r="FB254" i="44"/>
  <c r="FA254" i="44"/>
  <c r="EZ254" i="44"/>
  <c r="EY254" i="44"/>
  <c r="EX254" i="44"/>
  <c r="EW254" i="44"/>
  <c r="EV254" i="44"/>
  <c r="EU254" i="44"/>
  <c r="ES254" i="44"/>
  <c r="ER254" i="44"/>
  <c r="EQ254" i="44"/>
  <c r="EP254" i="44"/>
  <c r="EO254" i="44"/>
  <c r="EN254" i="44"/>
  <c r="EM254" i="44"/>
  <c r="EL254" i="44"/>
  <c r="EK254" i="44"/>
  <c r="EJ254" i="44"/>
  <c r="EI254" i="44"/>
  <c r="EG254" i="44"/>
  <c r="EE254" i="44"/>
  <c r="ED254" i="44"/>
  <c r="EC254" i="44"/>
  <c r="DZ254" i="44"/>
  <c r="DY254" i="44"/>
  <c r="DW254" i="44"/>
  <c r="GM253" i="44"/>
  <c r="GK253" i="44"/>
  <c r="GJ253" i="44"/>
  <c r="GI253" i="44"/>
  <c r="GH253" i="44"/>
  <c r="GG253" i="44"/>
  <c r="GF253" i="44"/>
  <c r="GE253" i="44"/>
  <c r="GD253" i="44"/>
  <c r="GC253" i="44"/>
  <c r="GB253" i="44"/>
  <c r="GA253" i="44"/>
  <c r="FZ253" i="44"/>
  <c r="FY253" i="44"/>
  <c r="FT253" i="44"/>
  <c r="FS253" i="44"/>
  <c r="FR253" i="44"/>
  <c r="FQ253" i="44"/>
  <c r="FP253" i="44"/>
  <c r="FO253" i="44"/>
  <c r="FN253" i="44"/>
  <c r="FM253" i="44"/>
  <c r="FL253" i="44"/>
  <c r="FK253" i="44"/>
  <c r="FJ253" i="44"/>
  <c r="FI253" i="44"/>
  <c r="FH253" i="44"/>
  <c r="FG253" i="44"/>
  <c r="FF253" i="44"/>
  <c r="FE253" i="44"/>
  <c r="FD253" i="44"/>
  <c r="FC253" i="44"/>
  <c r="FB253" i="44"/>
  <c r="FA253" i="44"/>
  <c r="EZ253" i="44"/>
  <c r="EY253" i="44"/>
  <c r="EX253" i="44"/>
  <c r="EW253" i="44"/>
  <c r="EV253" i="44"/>
  <c r="EU253" i="44"/>
  <c r="ES253" i="44"/>
  <c r="ER253" i="44"/>
  <c r="EQ253" i="44"/>
  <c r="EP253" i="44"/>
  <c r="EO253" i="44"/>
  <c r="EN253" i="44"/>
  <c r="EM253" i="44"/>
  <c r="EL253" i="44"/>
  <c r="EK253" i="44"/>
  <c r="EJ253" i="44"/>
  <c r="EG253" i="44"/>
  <c r="EE253" i="44"/>
  <c r="ED253" i="44"/>
  <c r="EC253" i="44"/>
  <c r="DZ253" i="44"/>
  <c r="DY253" i="44"/>
  <c r="DW253" i="44"/>
  <c r="GM251" i="44"/>
  <c r="GK251" i="44"/>
  <c r="GJ251" i="44"/>
  <c r="GI251" i="44"/>
  <c r="GH251" i="44"/>
  <c r="GG251" i="44"/>
  <c r="GF251" i="44"/>
  <c r="GE251" i="44"/>
  <c r="GD251" i="44"/>
  <c r="GC251" i="44"/>
  <c r="GB251" i="44"/>
  <c r="GA251" i="44"/>
  <c r="FZ251" i="44"/>
  <c r="FY251" i="44"/>
  <c r="FT251" i="44"/>
  <c r="FS251" i="44"/>
  <c r="FR251" i="44"/>
  <c r="FQ251" i="44"/>
  <c r="FP251" i="44"/>
  <c r="FO251" i="44"/>
  <c r="FN251" i="44"/>
  <c r="FM251" i="44"/>
  <c r="FL251" i="44"/>
  <c r="FK251" i="44"/>
  <c r="FJ251" i="44"/>
  <c r="FI251" i="44"/>
  <c r="FH251" i="44"/>
  <c r="FG251" i="44"/>
  <c r="FF251" i="44"/>
  <c r="FE251" i="44"/>
  <c r="FD251" i="44"/>
  <c r="FC251" i="44"/>
  <c r="FB251" i="44"/>
  <c r="FA251" i="44"/>
  <c r="EZ251" i="44"/>
  <c r="EY251" i="44"/>
  <c r="EX251" i="44"/>
  <c r="EW251" i="44"/>
  <c r="EV251" i="44"/>
  <c r="EU251" i="44"/>
  <c r="ES251" i="44"/>
  <c r="ER251" i="44"/>
  <c r="EQ251" i="44"/>
  <c r="EP251" i="44"/>
  <c r="EO251" i="44"/>
  <c r="EN251" i="44"/>
  <c r="EM251" i="44"/>
  <c r="EL251" i="44"/>
  <c r="EK251" i="44"/>
  <c r="EJ251" i="44"/>
  <c r="EG251" i="44"/>
  <c r="EE251" i="44"/>
  <c r="ED251" i="44"/>
  <c r="EC251" i="44"/>
  <c r="DZ251" i="44"/>
  <c r="DY251" i="44"/>
  <c r="DW251" i="44"/>
  <c r="GM249" i="44"/>
  <c r="GK249" i="44"/>
  <c r="GJ249" i="44"/>
  <c r="GI249" i="44"/>
  <c r="GH249" i="44"/>
  <c r="GG249" i="44"/>
  <c r="GF249" i="44"/>
  <c r="GE249" i="44"/>
  <c r="GD249" i="44"/>
  <c r="GC249" i="44"/>
  <c r="GB249" i="44"/>
  <c r="GA249" i="44"/>
  <c r="FZ249" i="44"/>
  <c r="FY249" i="44"/>
  <c r="FT249" i="44"/>
  <c r="FS249" i="44"/>
  <c r="FR249" i="44"/>
  <c r="FQ249" i="44"/>
  <c r="FP249" i="44"/>
  <c r="FO249" i="44"/>
  <c r="FN249" i="44"/>
  <c r="FM249" i="44"/>
  <c r="FL249" i="44"/>
  <c r="FK249" i="44"/>
  <c r="FJ249" i="44"/>
  <c r="FI249" i="44"/>
  <c r="FH249" i="44"/>
  <c r="FG249" i="44"/>
  <c r="FF249" i="44"/>
  <c r="FE249" i="44"/>
  <c r="FD249" i="44"/>
  <c r="FC249" i="44"/>
  <c r="FB249" i="44"/>
  <c r="FA249" i="44"/>
  <c r="EZ249" i="44"/>
  <c r="EY249" i="44"/>
  <c r="EX249" i="44"/>
  <c r="EW249" i="44"/>
  <c r="EV249" i="44"/>
  <c r="EU249" i="44"/>
  <c r="ES249" i="44"/>
  <c r="ER249" i="44"/>
  <c r="EQ249" i="44"/>
  <c r="EP249" i="44"/>
  <c r="EO249" i="44"/>
  <c r="EN249" i="44"/>
  <c r="EM249" i="44"/>
  <c r="EL249" i="44"/>
  <c r="EK249" i="44"/>
  <c r="EJ249" i="44"/>
  <c r="EG249" i="44"/>
  <c r="EE249" i="44"/>
  <c r="ED249" i="44"/>
  <c r="EC249" i="44"/>
  <c r="DZ249" i="44"/>
  <c r="DY249" i="44"/>
  <c r="DW249" i="44"/>
  <c r="GM248" i="44"/>
  <c r="GK248" i="44"/>
  <c r="GJ248" i="44"/>
  <c r="GI248" i="44"/>
  <c r="GH248" i="44"/>
  <c r="GG248" i="44"/>
  <c r="GF248" i="44"/>
  <c r="GE248" i="44"/>
  <c r="GD248" i="44"/>
  <c r="GC248" i="44"/>
  <c r="GB248" i="44"/>
  <c r="GA248" i="44"/>
  <c r="FZ248" i="44"/>
  <c r="FY248" i="44"/>
  <c r="FT248" i="44"/>
  <c r="FS248" i="44"/>
  <c r="FR248" i="44"/>
  <c r="FQ248" i="44"/>
  <c r="FP248" i="44"/>
  <c r="FO248" i="44"/>
  <c r="FN248" i="44"/>
  <c r="FM248" i="44"/>
  <c r="FL248" i="44"/>
  <c r="FK248" i="44"/>
  <c r="FJ248" i="44"/>
  <c r="FI248" i="44"/>
  <c r="FH248" i="44"/>
  <c r="FG248" i="44"/>
  <c r="FF248" i="44"/>
  <c r="FE248" i="44"/>
  <c r="FD248" i="44"/>
  <c r="FC248" i="44"/>
  <c r="FB248" i="44"/>
  <c r="FA248" i="44"/>
  <c r="EZ248" i="44"/>
  <c r="EY248" i="44"/>
  <c r="EX248" i="44"/>
  <c r="EW248" i="44"/>
  <c r="EV248" i="44"/>
  <c r="EU248" i="44"/>
  <c r="ES248" i="44"/>
  <c r="ER248" i="44"/>
  <c r="EQ248" i="44"/>
  <c r="EP248" i="44"/>
  <c r="EO248" i="44"/>
  <c r="EN248" i="44"/>
  <c r="EM248" i="44"/>
  <c r="EL248" i="44"/>
  <c r="EK248" i="44"/>
  <c r="EJ248" i="44"/>
  <c r="EI248" i="44"/>
  <c r="EG248" i="44"/>
  <c r="EE248" i="44"/>
  <c r="ED248" i="44"/>
  <c r="EC248" i="44"/>
  <c r="DZ248" i="44"/>
  <c r="DY248" i="44"/>
  <c r="DW248" i="44"/>
  <c r="GM247" i="44"/>
  <c r="GK247" i="44"/>
  <c r="GJ247" i="44"/>
  <c r="GI247" i="44"/>
  <c r="GH247" i="44"/>
  <c r="GG247" i="44"/>
  <c r="GF247" i="44"/>
  <c r="GE247" i="44"/>
  <c r="GD247" i="44"/>
  <c r="GC247" i="44"/>
  <c r="GB247" i="44"/>
  <c r="GA247" i="44"/>
  <c r="FZ247" i="44"/>
  <c r="FY247" i="44"/>
  <c r="FT247" i="44"/>
  <c r="FS247" i="44"/>
  <c r="FR247" i="44"/>
  <c r="FQ247" i="44"/>
  <c r="FP247" i="44"/>
  <c r="FO247" i="44"/>
  <c r="FN247" i="44"/>
  <c r="FM247" i="44"/>
  <c r="FL247" i="44"/>
  <c r="FK247" i="44"/>
  <c r="FJ247" i="44"/>
  <c r="FI247" i="44"/>
  <c r="FH247" i="44"/>
  <c r="FG247" i="44"/>
  <c r="FF247" i="44"/>
  <c r="FE247" i="44"/>
  <c r="FD247" i="44"/>
  <c r="FC247" i="44"/>
  <c r="FB247" i="44"/>
  <c r="FA247" i="44"/>
  <c r="EZ247" i="44"/>
  <c r="EY247" i="44"/>
  <c r="EX247" i="44"/>
  <c r="EW247" i="44"/>
  <c r="EV247" i="44"/>
  <c r="EU247" i="44"/>
  <c r="ES247" i="44"/>
  <c r="ER247" i="44"/>
  <c r="EQ247" i="44"/>
  <c r="EP247" i="44"/>
  <c r="EO247" i="44"/>
  <c r="EN247" i="44"/>
  <c r="EM247" i="44"/>
  <c r="EL247" i="44"/>
  <c r="EK247" i="44"/>
  <c r="EJ247" i="44"/>
  <c r="EG247" i="44"/>
  <c r="EE247" i="44"/>
  <c r="ED247" i="44"/>
  <c r="EC247" i="44"/>
  <c r="DZ247" i="44"/>
  <c r="DY247" i="44"/>
  <c r="DW247" i="44"/>
  <c r="GM246" i="44"/>
  <c r="GK246" i="44"/>
  <c r="GJ246" i="44"/>
  <c r="GI246" i="44"/>
  <c r="GH246" i="44"/>
  <c r="GG246" i="44"/>
  <c r="GF246" i="44"/>
  <c r="GE246" i="44"/>
  <c r="GD246" i="44"/>
  <c r="GC246" i="44"/>
  <c r="GB246" i="44"/>
  <c r="GA246" i="44"/>
  <c r="FZ246" i="44"/>
  <c r="FY246" i="44"/>
  <c r="FT246" i="44"/>
  <c r="FS246" i="44"/>
  <c r="FR246" i="44"/>
  <c r="FQ246" i="44"/>
  <c r="FP246" i="44"/>
  <c r="FO246" i="44"/>
  <c r="FN246" i="44"/>
  <c r="FM246" i="44"/>
  <c r="FL246" i="44"/>
  <c r="FK246" i="44"/>
  <c r="FJ246" i="44"/>
  <c r="FI246" i="44"/>
  <c r="FH246" i="44"/>
  <c r="FG246" i="44"/>
  <c r="FF246" i="44"/>
  <c r="FE246" i="44"/>
  <c r="FD246" i="44"/>
  <c r="FC246" i="44"/>
  <c r="FB246" i="44"/>
  <c r="FA246" i="44"/>
  <c r="EZ246" i="44"/>
  <c r="EY246" i="44"/>
  <c r="EX246" i="44"/>
  <c r="EW246" i="44"/>
  <c r="EV246" i="44"/>
  <c r="EU246" i="44"/>
  <c r="ES246" i="44"/>
  <c r="ER246" i="44"/>
  <c r="EQ246" i="44"/>
  <c r="EP246" i="44"/>
  <c r="EO246" i="44"/>
  <c r="EN246" i="44"/>
  <c r="EM246" i="44"/>
  <c r="EL246" i="44"/>
  <c r="EK246" i="44"/>
  <c r="EJ246" i="44"/>
  <c r="EI246" i="44"/>
  <c r="EH246" i="44"/>
  <c r="EG246" i="44"/>
  <c r="EF246" i="44"/>
  <c r="EE246" i="44"/>
  <c r="ED246" i="44"/>
  <c r="EC246" i="44"/>
  <c r="EB246" i="44"/>
  <c r="EA246" i="44"/>
  <c r="DZ246" i="44"/>
  <c r="DY246" i="44"/>
  <c r="DX246" i="44"/>
  <c r="DW246" i="44"/>
  <c r="GM245" i="44"/>
  <c r="GK245" i="44"/>
  <c r="GJ245" i="44"/>
  <c r="GI245" i="44"/>
  <c r="GH245" i="44"/>
  <c r="GG245" i="44"/>
  <c r="GF245" i="44"/>
  <c r="GE245" i="44"/>
  <c r="GD245" i="44"/>
  <c r="GC245" i="44"/>
  <c r="GB245" i="44"/>
  <c r="GA245" i="44"/>
  <c r="FZ245" i="44"/>
  <c r="FY245" i="44"/>
  <c r="FT245" i="44"/>
  <c r="FS245" i="44"/>
  <c r="FR245" i="44"/>
  <c r="FQ245" i="44"/>
  <c r="FP245" i="44"/>
  <c r="FO245" i="44"/>
  <c r="FN245" i="44"/>
  <c r="FM245" i="44"/>
  <c r="FL245" i="44"/>
  <c r="FK245" i="44"/>
  <c r="FJ245" i="44"/>
  <c r="FI245" i="44"/>
  <c r="FH245" i="44"/>
  <c r="FG245" i="44"/>
  <c r="FF245" i="44"/>
  <c r="FE245" i="44"/>
  <c r="FD245" i="44"/>
  <c r="FC245" i="44"/>
  <c r="FB245" i="44"/>
  <c r="FA245" i="44"/>
  <c r="EZ245" i="44"/>
  <c r="EY245" i="44"/>
  <c r="EX245" i="44"/>
  <c r="EW245" i="44"/>
  <c r="EV245" i="44"/>
  <c r="EU245" i="44"/>
  <c r="ES245" i="44"/>
  <c r="ER245" i="44"/>
  <c r="EQ245" i="44"/>
  <c r="EP245" i="44"/>
  <c r="EO245" i="44"/>
  <c r="EN245" i="44"/>
  <c r="EM245" i="44"/>
  <c r="EL245" i="44"/>
  <c r="EK245" i="44"/>
  <c r="EJ245" i="44"/>
  <c r="EI245" i="44"/>
  <c r="EH245" i="44"/>
  <c r="EG245" i="44"/>
  <c r="EF245" i="44"/>
  <c r="EE245" i="44"/>
  <c r="ED245" i="44"/>
  <c r="EC245" i="44"/>
  <c r="EB245" i="44"/>
  <c r="EA245" i="44"/>
  <c r="DZ245" i="44"/>
  <c r="DW245" i="44"/>
  <c r="GM244" i="44"/>
  <c r="GK244" i="44"/>
  <c r="GJ244" i="44"/>
  <c r="GI244" i="44"/>
  <c r="GH244" i="44"/>
  <c r="GG244" i="44"/>
  <c r="GF244" i="44"/>
  <c r="GE244" i="44"/>
  <c r="GD244" i="44"/>
  <c r="GC244" i="44"/>
  <c r="GB244" i="44"/>
  <c r="GA244" i="44"/>
  <c r="FZ244" i="44"/>
  <c r="FY244" i="44"/>
  <c r="FT244" i="44"/>
  <c r="FS244" i="44"/>
  <c r="FR244" i="44"/>
  <c r="FQ244" i="44"/>
  <c r="FP244" i="44"/>
  <c r="FO244" i="44"/>
  <c r="FN244" i="44"/>
  <c r="FM244" i="44"/>
  <c r="FL244" i="44"/>
  <c r="FK244" i="44"/>
  <c r="FJ244" i="44"/>
  <c r="FI244" i="44"/>
  <c r="FH244" i="44"/>
  <c r="FG244" i="44"/>
  <c r="FF244" i="44"/>
  <c r="FE244" i="44"/>
  <c r="FD244" i="44"/>
  <c r="FC244" i="44"/>
  <c r="FB244" i="44"/>
  <c r="FA244" i="44"/>
  <c r="EZ244" i="44"/>
  <c r="EY244" i="44"/>
  <c r="EX244" i="44"/>
  <c r="EW244" i="44"/>
  <c r="EV244" i="44"/>
  <c r="EU244" i="44"/>
  <c r="ES244" i="44"/>
  <c r="ER244" i="44"/>
  <c r="EQ244" i="44"/>
  <c r="EP244" i="44"/>
  <c r="EO244" i="44"/>
  <c r="EN244" i="44"/>
  <c r="EM244" i="44"/>
  <c r="EL244" i="44"/>
  <c r="EK244" i="44"/>
  <c r="EJ244" i="44"/>
  <c r="EI244" i="44"/>
  <c r="EH244" i="44"/>
  <c r="EG244" i="44"/>
  <c r="EF244" i="44"/>
  <c r="EE244" i="44"/>
  <c r="ED244" i="44"/>
  <c r="EC244" i="44"/>
  <c r="EB244" i="44"/>
  <c r="EA244" i="44"/>
  <c r="DZ244" i="44"/>
  <c r="DW244" i="44"/>
  <c r="GM243" i="44"/>
  <c r="GK243" i="44"/>
  <c r="GJ243" i="44"/>
  <c r="GI243" i="44"/>
  <c r="GH243" i="44"/>
  <c r="GG243" i="44"/>
  <c r="GF243" i="44"/>
  <c r="GE243" i="44"/>
  <c r="GD243" i="44"/>
  <c r="GC243" i="44"/>
  <c r="GB243" i="44"/>
  <c r="GA243" i="44"/>
  <c r="FZ243" i="44"/>
  <c r="FY243" i="44"/>
  <c r="FT243" i="44"/>
  <c r="FS243" i="44"/>
  <c r="FR243" i="44"/>
  <c r="FQ243" i="44"/>
  <c r="FP243" i="44"/>
  <c r="FO243" i="44"/>
  <c r="FN243" i="44"/>
  <c r="FM243" i="44"/>
  <c r="FL243" i="44"/>
  <c r="FK243" i="44"/>
  <c r="FJ243" i="44"/>
  <c r="FI243" i="44"/>
  <c r="FH243" i="44"/>
  <c r="FG243" i="44"/>
  <c r="FF243" i="44"/>
  <c r="FE243" i="44"/>
  <c r="FD243" i="44"/>
  <c r="FC243" i="44"/>
  <c r="FB243" i="44"/>
  <c r="FA243" i="44"/>
  <c r="EZ243" i="44"/>
  <c r="EY243" i="44"/>
  <c r="EX243" i="44"/>
  <c r="EW243" i="44"/>
  <c r="EV243" i="44"/>
  <c r="EU243" i="44"/>
  <c r="ES243" i="44"/>
  <c r="ER243" i="44"/>
  <c r="EQ243" i="44"/>
  <c r="EP243" i="44"/>
  <c r="EO243" i="44"/>
  <c r="EN243" i="44"/>
  <c r="EM243" i="44"/>
  <c r="EL243" i="44"/>
  <c r="EK243" i="44"/>
  <c r="EJ243" i="44"/>
  <c r="EI243" i="44"/>
  <c r="EH243" i="44"/>
  <c r="EG243" i="44"/>
  <c r="EF243" i="44"/>
  <c r="EE243" i="44"/>
  <c r="ED243" i="44"/>
  <c r="EC243" i="44"/>
  <c r="EB243" i="44"/>
  <c r="EA243" i="44"/>
  <c r="DZ243" i="44"/>
  <c r="DW243" i="44"/>
  <c r="GM242" i="44"/>
  <c r="GK242" i="44"/>
  <c r="GJ242" i="44"/>
  <c r="GI242" i="44"/>
  <c r="GH242" i="44"/>
  <c r="GG242" i="44"/>
  <c r="GF242" i="44"/>
  <c r="GE242" i="44"/>
  <c r="GD242" i="44"/>
  <c r="GC242" i="44"/>
  <c r="GB242" i="44"/>
  <c r="GA242" i="44"/>
  <c r="FZ242" i="44"/>
  <c r="FY242" i="44"/>
  <c r="FT242" i="44"/>
  <c r="FS242" i="44"/>
  <c r="FR242" i="44"/>
  <c r="FQ242" i="44"/>
  <c r="FP242" i="44"/>
  <c r="FO242" i="44"/>
  <c r="FN242" i="44"/>
  <c r="FM242" i="44"/>
  <c r="FL242" i="44"/>
  <c r="FK242" i="44"/>
  <c r="FJ242" i="44"/>
  <c r="FI242" i="44"/>
  <c r="FH242" i="44"/>
  <c r="FG242" i="44"/>
  <c r="FF242" i="44"/>
  <c r="FE242" i="44"/>
  <c r="FD242" i="44"/>
  <c r="FC242" i="44"/>
  <c r="FB242" i="44"/>
  <c r="FA242" i="44"/>
  <c r="EZ242" i="44"/>
  <c r="EY242" i="44"/>
  <c r="EX242" i="44"/>
  <c r="EW242" i="44"/>
  <c r="EV242" i="44"/>
  <c r="EU242" i="44"/>
  <c r="ES242" i="44"/>
  <c r="ER242" i="44"/>
  <c r="EQ242" i="44"/>
  <c r="EP242" i="44"/>
  <c r="EO242" i="44"/>
  <c r="EN242" i="44"/>
  <c r="EM242" i="44"/>
  <c r="EL242" i="44"/>
  <c r="EK242" i="44"/>
  <c r="EJ242" i="44"/>
  <c r="EG242" i="44"/>
  <c r="EE242" i="44"/>
  <c r="ED242" i="44"/>
  <c r="EC242" i="44"/>
  <c r="DZ242" i="44"/>
  <c r="DY242" i="44"/>
  <c r="DW242" i="44"/>
  <c r="GM241" i="44"/>
  <c r="GK241" i="44"/>
  <c r="GJ241" i="44"/>
  <c r="GI241" i="44"/>
  <c r="GH241" i="44"/>
  <c r="GG241" i="44"/>
  <c r="GF241" i="44"/>
  <c r="GE241" i="44"/>
  <c r="GD241" i="44"/>
  <c r="GC241" i="44"/>
  <c r="GB241" i="44"/>
  <c r="GA241" i="44"/>
  <c r="FZ241" i="44"/>
  <c r="FY241" i="44"/>
  <c r="FT241" i="44"/>
  <c r="FS241" i="44"/>
  <c r="FR241" i="44"/>
  <c r="FQ241" i="44"/>
  <c r="FP241" i="44"/>
  <c r="FO241" i="44"/>
  <c r="FN241" i="44"/>
  <c r="FM241" i="44"/>
  <c r="FL241" i="44"/>
  <c r="FK241" i="44"/>
  <c r="FJ241" i="44"/>
  <c r="FI241" i="44"/>
  <c r="FH241" i="44"/>
  <c r="FG241" i="44"/>
  <c r="FF241" i="44"/>
  <c r="FE241" i="44"/>
  <c r="FD241" i="44"/>
  <c r="FC241" i="44"/>
  <c r="FB241" i="44"/>
  <c r="FA241" i="44"/>
  <c r="EZ241" i="44"/>
  <c r="EY241" i="44"/>
  <c r="EX241" i="44"/>
  <c r="EW241" i="44"/>
  <c r="EV241" i="44"/>
  <c r="EU241" i="44"/>
  <c r="ES241" i="44"/>
  <c r="ER241" i="44"/>
  <c r="EQ241" i="44"/>
  <c r="EP241" i="44"/>
  <c r="EO241" i="44"/>
  <c r="EN241" i="44"/>
  <c r="EM241" i="44"/>
  <c r="EL241" i="44"/>
  <c r="EK241" i="44"/>
  <c r="EJ241" i="44"/>
  <c r="EI241" i="44"/>
  <c r="EH241" i="44"/>
  <c r="EG241" i="44"/>
  <c r="EF241" i="44"/>
  <c r="EE241" i="44"/>
  <c r="ED241" i="44"/>
  <c r="EC241" i="44"/>
  <c r="EB241" i="44"/>
  <c r="EA241" i="44"/>
  <c r="DZ241" i="44"/>
  <c r="DW241" i="44"/>
  <c r="GM240" i="44"/>
  <c r="GK240" i="44"/>
  <c r="GJ240" i="44"/>
  <c r="GI240" i="44"/>
  <c r="GH240" i="44"/>
  <c r="GG240" i="44"/>
  <c r="GF240" i="44"/>
  <c r="GE240" i="44"/>
  <c r="GD240" i="44"/>
  <c r="GC240" i="44"/>
  <c r="GB240" i="44"/>
  <c r="GA240" i="44"/>
  <c r="FZ240" i="44"/>
  <c r="FY240" i="44"/>
  <c r="FT240" i="44"/>
  <c r="FS240" i="44"/>
  <c r="FR240" i="44"/>
  <c r="FQ240" i="44"/>
  <c r="FP240" i="44"/>
  <c r="FO240" i="44"/>
  <c r="FN240" i="44"/>
  <c r="FM240" i="44"/>
  <c r="FL240" i="44"/>
  <c r="FK240" i="44"/>
  <c r="FJ240" i="44"/>
  <c r="FI240" i="44"/>
  <c r="FH240" i="44"/>
  <c r="FG240" i="44"/>
  <c r="FF240" i="44"/>
  <c r="FE240" i="44"/>
  <c r="FD240" i="44"/>
  <c r="FC240" i="44"/>
  <c r="FB240" i="44"/>
  <c r="FA240" i="44"/>
  <c r="EZ240" i="44"/>
  <c r="EY240" i="44"/>
  <c r="EX240" i="44"/>
  <c r="EW240" i="44"/>
  <c r="EV240" i="44"/>
  <c r="EU240" i="44"/>
  <c r="ES240" i="44"/>
  <c r="ER240" i="44"/>
  <c r="EQ240" i="44"/>
  <c r="EP240" i="44"/>
  <c r="EO240" i="44"/>
  <c r="EN240" i="44"/>
  <c r="EM240" i="44"/>
  <c r="EL240" i="44"/>
  <c r="EK240" i="44"/>
  <c r="EJ240" i="44"/>
  <c r="EI240" i="44"/>
  <c r="EH240" i="44"/>
  <c r="EG240" i="44"/>
  <c r="EF240" i="44"/>
  <c r="EE240" i="44"/>
  <c r="ED240" i="44"/>
  <c r="EC240" i="44"/>
  <c r="EB240" i="44"/>
  <c r="EA240" i="44"/>
  <c r="DZ240" i="44"/>
  <c r="DW240" i="44"/>
  <c r="GM239" i="44"/>
  <c r="GK239" i="44"/>
  <c r="GJ239" i="44"/>
  <c r="GI239" i="44"/>
  <c r="GH239" i="44"/>
  <c r="GG239" i="44"/>
  <c r="GF239" i="44"/>
  <c r="GE239" i="44"/>
  <c r="GD239" i="44"/>
  <c r="GC239" i="44"/>
  <c r="GB239" i="44"/>
  <c r="GA239" i="44"/>
  <c r="FZ239" i="44"/>
  <c r="FY239" i="44"/>
  <c r="FT239" i="44"/>
  <c r="FS239" i="44"/>
  <c r="FR239" i="44"/>
  <c r="FQ239" i="44"/>
  <c r="FP239" i="44"/>
  <c r="FO239" i="44"/>
  <c r="FN239" i="44"/>
  <c r="FM239" i="44"/>
  <c r="FL239" i="44"/>
  <c r="FK239" i="44"/>
  <c r="FJ239" i="44"/>
  <c r="FI239" i="44"/>
  <c r="FH239" i="44"/>
  <c r="FG239" i="44"/>
  <c r="FF239" i="44"/>
  <c r="FE239" i="44"/>
  <c r="FD239" i="44"/>
  <c r="FC239" i="44"/>
  <c r="FB239" i="44"/>
  <c r="FA239" i="44"/>
  <c r="EZ239" i="44"/>
  <c r="EY239" i="44"/>
  <c r="EX239" i="44"/>
  <c r="EW239" i="44"/>
  <c r="EV239" i="44"/>
  <c r="EU239" i="44"/>
  <c r="ES239" i="44"/>
  <c r="ER239" i="44"/>
  <c r="EQ239" i="44"/>
  <c r="EP239" i="44"/>
  <c r="EO239" i="44"/>
  <c r="EN239" i="44"/>
  <c r="EM239" i="44"/>
  <c r="EL239" i="44"/>
  <c r="EK239" i="44"/>
  <c r="EJ239" i="44"/>
  <c r="EI239" i="44"/>
  <c r="EH239" i="44"/>
  <c r="EG239" i="44"/>
  <c r="EF239" i="44"/>
  <c r="EE239" i="44"/>
  <c r="ED239" i="44"/>
  <c r="EC239" i="44"/>
  <c r="EB239" i="44"/>
  <c r="EA239" i="44"/>
  <c r="DZ239" i="44"/>
  <c r="DW239" i="44"/>
  <c r="GM238" i="44"/>
  <c r="GK238" i="44"/>
  <c r="GJ238" i="44"/>
  <c r="GI238" i="44"/>
  <c r="GH238" i="44"/>
  <c r="GG238" i="44"/>
  <c r="GF238" i="44"/>
  <c r="GE238" i="44"/>
  <c r="GD238" i="44"/>
  <c r="GC238" i="44"/>
  <c r="GB238" i="44"/>
  <c r="GA238" i="44"/>
  <c r="FZ238" i="44"/>
  <c r="FY238" i="44"/>
  <c r="FT238" i="44"/>
  <c r="FS238" i="44"/>
  <c r="FR238" i="44"/>
  <c r="FQ238" i="44"/>
  <c r="FP238" i="44"/>
  <c r="FO238" i="44"/>
  <c r="FN238" i="44"/>
  <c r="FM238" i="44"/>
  <c r="FL238" i="44"/>
  <c r="FK238" i="44"/>
  <c r="FJ238" i="44"/>
  <c r="FI238" i="44"/>
  <c r="FH238" i="44"/>
  <c r="FG238" i="44"/>
  <c r="FF238" i="44"/>
  <c r="FE238" i="44"/>
  <c r="FD238" i="44"/>
  <c r="FC238" i="44"/>
  <c r="FB238" i="44"/>
  <c r="FA238" i="44"/>
  <c r="EZ238" i="44"/>
  <c r="EY238" i="44"/>
  <c r="EX238" i="44"/>
  <c r="EW238" i="44"/>
  <c r="EV238" i="44"/>
  <c r="EU238" i="44"/>
  <c r="ES238" i="44"/>
  <c r="ER238" i="44"/>
  <c r="EQ238" i="44"/>
  <c r="EP238" i="44"/>
  <c r="EO238" i="44"/>
  <c r="EN238" i="44"/>
  <c r="EM238" i="44"/>
  <c r="EL238" i="44"/>
  <c r="EK238" i="44"/>
  <c r="EJ238" i="44"/>
  <c r="EG238" i="44"/>
  <c r="EE238" i="44"/>
  <c r="ED238" i="44"/>
  <c r="EC238" i="44"/>
  <c r="DZ238" i="44"/>
  <c r="DY238" i="44"/>
  <c r="DW238" i="44"/>
  <c r="GM237" i="44"/>
  <c r="GK237" i="44"/>
  <c r="GJ237" i="44"/>
  <c r="GI237" i="44"/>
  <c r="GH237" i="44"/>
  <c r="GG237" i="44"/>
  <c r="GF237" i="44"/>
  <c r="GE237" i="44"/>
  <c r="GD237" i="44"/>
  <c r="GC237" i="44"/>
  <c r="GB237" i="44"/>
  <c r="GA237" i="44"/>
  <c r="FZ237" i="44"/>
  <c r="FY237" i="44"/>
  <c r="FT237" i="44"/>
  <c r="FS237" i="44"/>
  <c r="FR237" i="44"/>
  <c r="FQ237" i="44"/>
  <c r="FP237" i="44"/>
  <c r="FO237" i="44"/>
  <c r="FN237" i="44"/>
  <c r="FM237" i="44"/>
  <c r="FL237" i="44"/>
  <c r="FK237" i="44"/>
  <c r="FJ237" i="44"/>
  <c r="FI237" i="44"/>
  <c r="FH237" i="44"/>
  <c r="FG237" i="44"/>
  <c r="FF237" i="44"/>
  <c r="FE237" i="44"/>
  <c r="FD237" i="44"/>
  <c r="FC237" i="44"/>
  <c r="FB237" i="44"/>
  <c r="FA237" i="44"/>
  <c r="EZ237" i="44"/>
  <c r="EY237" i="44"/>
  <c r="EX237" i="44"/>
  <c r="EW237" i="44"/>
  <c r="EV237" i="44"/>
  <c r="EU237" i="44"/>
  <c r="ES237" i="44"/>
  <c r="ER237" i="44"/>
  <c r="EQ237" i="44"/>
  <c r="EP237" i="44"/>
  <c r="EO237" i="44"/>
  <c r="EN237" i="44"/>
  <c r="EM237" i="44"/>
  <c r="EL237" i="44"/>
  <c r="EK237" i="44"/>
  <c r="EJ237" i="44"/>
  <c r="EG237" i="44"/>
  <c r="EE237" i="44"/>
  <c r="ED237" i="44"/>
  <c r="EC237" i="44"/>
  <c r="DZ237" i="44"/>
  <c r="DY237" i="44"/>
  <c r="DW237" i="44"/>
  <c r="GM236" i="44"/>
  <c r="GK236" i="44"/>
  <c r="GJ236" i="44"/>
  <c r="GI236" i="44"/>
  <c r="GH236" i="44"/>
  <c r="GG236" i="44"/>
  <c r="GF236" i="44"/>
  <c r="GE236" i="44"/>
  <c r="GD236" i="44"/>
  <c r="GC236" i="44"/>
  <c r="GB236" i="44"/>
  <c r="GA236" i="44"/>
  <c r="FZ236" i="44"/>
  <c r="FY236" i="44"/>
  <c r="FT236" i="44"/>
  <c r="FS236" i="44"/>
  <c r="FR236" i="44"/>
  <c r="FQ236" i="44"/>
  <c r="FP236" i="44"/>
  <c r="FO236" i="44"/>
  <c r="FN236" i="44"/>
  <c r="FM236" i="44"/>
  <c r="FL236" i="44"/>
  <c r="FK236" i="44"/>
  <c r="FJ236" i="44"/>
  <c r="FI236" i="44"/>
  <c r="FH236" i="44"/>
  <c r="FG236" i="44"/>
  <c r="FF236" i="44"/>
  <c r="FE236" i="44"/>
  <c r="FD236" i="44"/>
  <c r="FC236" i="44"/>
  <c r="FB236" i="44"/>
  <c r="FA236" i="44"/>
  <c r="EZ236" i="44"/>
  <c r="EY236" i="44"/>
  <c r="EX236" i="44"/>
  <c r="EW236" i="44"/>
  <c r="EV236" i="44"/>
  <c r="EU236" i="44"/>
  <c r="ES236" i="44"/>
  <c r="ER236" i="44"/>
  <c r="EQ236" i="44"/>
  <c r="EP236" i="44"/>
  <c r="EO236" i="44"/>
  <c r="EN236" i="44"/>
  <c r="EM236" i="44"/>
  <c r="EL236" i="44"/>
  <c r="EK236" i="44"/>
  <c r="EJ236" i="44"/>
  <c r="EG236" i="44"/>
  <c r="EE236" i="44"/>
  <c r="ED236" i="44"/>
  <c r="EC236" i="44"/>
  <c r="DZ236" i="44"/>
  <c r="DY236" i="44"/>
  <c r="DW236" i="44"/>
  <c r="GM235" i="44"/>
  <c r="GK235" i="44"/>
  <c r="GJ235" i="44"/>
  <c r="GI235" i="44"/>
  <c r="GH235" i="44"/>
  <c r="GG235" i="44"/>
  <c r="GF235" i="44"/>
  <c r="GE235" i="44"/>
  <c r="GD235" i="44"/>
  <c r="GC235" i="44"/>
  <c r="GB235" i="44"/>
  <c r="GA235" i="44"/>
  <c r="FZ235" i="44"/>
  <c r="FY235" i="44"/>
  <c r="FT235" i="44"/>
  <c r="FS235" i="44"/>
  <c r="FR235" i="44"/>
  <c r="FQ235" i="44"/>
  <c r="FP235" i="44"/>
  <c r="FO235" i="44"/>
  <c r="FN235" i="44"/>
  <c r="FM235" i="44"/>
  <c r="FL235" i="44"/>
  <c r="FK235" i="44"/>
  <c r="FJ235" i="44"/>
  <c r="FI235" i="44"/>
  <c r="FH235" i="44"/>
  <c r="FG235" i="44"/>
  <c r="FF235" i="44"/>
  <c r="FE235" i="44"/>
  <c r="FD235" i="44"/>
  <c r="FC235" i="44"/>
  <c r="FB235" i="44"/>
  <c r="FA235" i="44"/>
  <c r="EZ235" i="44"/>
  <c r="EY235" i="44"/>
  <c r="EX235" i="44"/>
  <c r="EW235" i="44"/>
  <c r="EV235" i="44"/>
  <c r="EU235" i="44"/>
  <c r="ES235" i="44"/>
  <c r="ER235" i="44"/>
  <c r="EQ235" i="44"/>
  <c r="EP235" i="44"/>
  <c r="EO235" i="44"/>
  <c r="EN235" i="44"/>
  <c r="EM235" i="44"/>
  <c r="EL235" i="44"/>
  <c r="EK235" i="44"/>
  <c r="EJ235" i="44"/>
  <c r="EG235" i="44"/>
  <c r="EE235" i="44"/>
  <c r="ED235" i="44"/>
  <c r="EC235" i="44"/>
  <c r="DZ235" i="44"/>
  <c r="DW235" i="44"/>
  <c r="GM234" i="44"/>
  <c r="GK234" i="44"/>
  <c r="GJ234" i="44"/>
  <c r="GI234" i="44"/>
  <c r="GH234" i="44"/>
  <c r="GG234" i="44"/>
  <c r="GF234" i="44"/>
  <c r="GE234" i="44"/>
  <c r="GD234" i="44"/>
  <c r="GC234" i="44"/>
  <c r="GB234" i="44"/>
  <c r="GA234" i="44"/>
  <c r="FZ234" i="44"/>
  <c r="FY234" i="44"/>
  <c r="FT234" i="44"/>
  <c r="FS234" i="44"/>
  <c r="FR234" i="44"/>
  <c r="FQ234" i="44"/>
  <c r="FP234" i="44"/>
  <c r="FO234" i="44"/>
  <c r="FN234" i="44"/>
  <c r="FM234" i="44"/>
  <c r="FL234" i="44"/>
  <c r="FK234" i="44"/>
  <c r="FJ234" i="44"/>
  <c r="FI234" i="44"/>
  <c r="FH234" i="44"/>
  <c r="FG234" i="44"/>
  <c r="FF234" i="44"/>
  <c r="FE234" i="44"/>
  <c r="FD234" i="44"/>
  <c r="FC234" i="44"/>
  <c r="FB234" i="44"/>
  <c r="FA234" i="44"/>
  <c r="EZ234" i="44"/>
  <c r="EY234" i="44"/>
  <c r="EX234" i="44"/>
  <c r="EW234" i="44"/>
  <c r="EV234" i="44"/>
  <c r="EU234" i="44"/>
  <c r="ES234" i="44"/>
  <c r="ER234" i="44"/>
  <c r="EQ234" i="44"/>
  <c r="EP234" i="44"/>
  <c r="EO234" i="44"/>
  <c r="EN234" i="44"/>
  <c r="EM234" i="44"/>
  <c r="EL234" i="44"/>
  <c r="EK234" i="44"/>
  <c r="EJ234" i="44"/>
  <c r="EG234" i="44"/>
  <c r="EE234" i="44"/>
  <c r="ED234" i="44"/>
  <c r="EC234" i="44"/>
  <c r="DZ234" i="44"/>
  <c r="DY234" i="44"/>
  <c r="DW234" i="44"/>
  <c r="GM233" i="44"/>
  <c r="GK233" i="44"/>
  <c r="GJ233" i="44"/>
  <c r="GI233" i="44"/>
  <c r="GH233" i="44"/>
  <c r="GG233" i="44"/>
  <c r="GF233" i="44"/>
  <c r="GE233" i="44"/>
  <c r="GD233" i="44"/>
  <c r="GC233" i="44"/>
  <c r="GB233" i="44"/>
  <c r="GA233" i="44"/>
  <c r="FZ233" i="44"/>
  <c r="FY233" i="44"/>
  <c r="FT233" i="44"/>
  <c r="FS233" i="44"/>
  <c r="FR233" i="44"/>
  <c r="FQ233" i="44"/>
  <c r="FP233" i="44"/>
  <c r="FO233" i="44"/>
  <c r="FN233" i="44"/>
  <c r="FM233" i="44"/>
  <c r="FL233" i="44"/>
  <c r="FK233" i="44"/>
  <c r="FJ233" i="44"/>
  <c r="FI233" i="44"/>
  <c r="FH233" i="44"/>
  <c r="FG233" i="44"/>
  <c r="FF233" i="44"/>
  <c r="FE233" i="44"/>
  <c r="FD233" i="44"/>
  <c r="FC233" i="44"/>
  <c r="FB233" i="44"/>
  <c r="FA233" i="44"/>
  <c r="EZ233" i="44"/>
  <c r="EY233" i="44"/>
  <c r="EX233" i="44"/>
  <c r="EW233" i="44"/>
  <c r="EV233" i="44"/>
  <c r="EU233" i="44"/>
  <c r="ES233" i="44"/>
  <c r="ER233" i="44"/>
  <c r="EQ233" i="44"/>
  <c r="EP233" i="44"/>
  <c r="EO233" i="44"/>
  <c r="EN233" i="44"/>
  <c r="EM233" i="44"/>
  <c r="EL233" i="44"/>
  <c r="EK233" i="44"/>
  <c r="EJ233" i="44"/>
  <c r="EG233" i="44"/>
  <c r="EE233" i="44"/>
  <c r="ED233" i="44"/>
  <c r="EC233" i="44"/>
  <c r="DZ233" i="44"/>
  <c r="DY233" i="44"/>
  <c r="DW233" i="44"/>
  <c r="GM232" i="44"/>
  <c r="GK232" i="44"/>
  <c r="GJ232" i="44"/>
  <c r="GI232" i="44"/>
  <c r="GH232" i="44"/>
  <c r="GG232" i="44"/>
  <c r="GF232" i="44"/>
  <c r="GE232" i="44"/>
  <c r="GD232" i="44"/>
  <c r="GC232" i="44"/>
  <c r="GB232" i="44"/>
  <c r="GA232" i="44"/>
  <c r="FZ232" i="44"/>
  <c r="FY232" i="44"/>
  <c r="FT232" i="44"/>
  <c r="FS232" i="44"/>
  <c r="FR232" i="44"/>
  <c r="FQ232" i="44"/>
  <c r="FP232" i="44"/>
  <c r="FO232" i="44"/>
  <c r="FN232" i="44"/>
  <c r="FM232" i="44"/>
  <c r="FL232" i="44"/>
  <c r="FK232" i="44"/>
  <c r="FJ232" i="44"/>
  <c r="FI232" i="44"/>
  <c r="FH232" i="44"/>
  <c r="FG232" i="44"/>
  <c r="FF232" i="44"/>
  <c r="FE232" i="44"/>
  <c r="FD232" i="44"/>
  <c r="FC232" i="44"/>
  <c r="FB232" i="44"/>
  <c r="FA232" i="44"/>
  <c r="EZ232" i="44"/>
  <c r="EY232" i="44"/>
  <c r="EX232" i="44"/>
  <c r="EW232" i="44"/>
  <c r="EV232" i="44"/>
  <c r="EU232" i="44"/>
  <c r="ES232" i="44"/>
  <c r="ER232" i="44"/>
  <c r="EQ232" i="44"/>
  <c r="EP232" i="44"/>
  <c r="EO232" i="44"/>
  <c r="EN232" i="44"/>
  <c r="EM232" i="44"/>
  <c r="EL232" i="44"/>
  <c r="EK232" i="44"/>
  <c r="EJ232" i="44"/>
  <c r="EG232" i="44"/>
  <c r="EE232" i="44"/>
  <c r="ED232" i="44"/>
  <c r="EC232" i="44"/>
  <c r="DZ232" i="44"/>
  <c r="DY232" i="44"/>
  <c r="DW232" i="44"/>
  <c r="GM231" i="44"/>
  <c r="GK231" i="44"/>
  <c r="GJ231" i="44"/>
  <c r="GI231" i="44"/>
  <c r="GH231" i="44"/>
  <c r="GG231" i="44"/>
  <c r="GF231" i="44"/>
  <c r="GE231" i="44"/>
  <c r="GD231" i="44"/>
  <c r="GC231" i="44"/>
  <c r="GB231" i="44"/>
  <c r="GA231" i="44"/>
  <c r="FZ231" i="44"/>
  <c r="FY231" i="44"/>
  <c r="FT231" i="44"/>
  <c r="FS231" i="44"/>
  <c r="FR231" i="44"/>
  <c r="FQ231" i="44"/>
  <c r="FP231" i="44"/>
  <c r="FO231" i="44"/>
  <c r="FN231" i="44"/>
  <c r="FM231" i="44"/>
  <c r="FL231" i="44"/>
  <c r="FK231" i="44"/>
  <c r="FJ231" i="44"/>
  <c r="FI231" i="44"/>
  <c r="FH231" i="44"/>
  <c r="FG231" i="44"/>
  <c r="FF231" i="44"/>
  <c r="FE231" i="44"/>
  <c r="FD231" i="44"/>
  <c r="FC231" i="44"/>
  <c r="FB231" i="44"/>
  <c r="FA231" i="44"/>
  <c r="EZ231" i="44"/>
  <c r="EY231" i="44"/>
  <c r="EX231" i="44"/>
  <c r="EW231" i="44"/>
  <c r="EV231" i="44"/>
  <c r="EU231" i="44"/>
  <c r="ES231" i="44"/>
  <c r="ER231" i="44"/>
  <c r="EQ231" i="44"/>
  <c r="EP231" i="44"/>
  <c r="EO231" i="44"/>
  <c r="EN231" i="44"/>
  <c r="EM231" i="44"/>
  <c r="EL231" i="44"/>
  <c r="EK231" i="44"/>
  <c r="EJ231" i="44"/>
  <c r="EG231" i="44"/>
  <c r="EE231" i="44"/>
  <c r="ED231" i="44"/>
  <c r="EC231" i="44"/>
  <c r="DZ231" i="44"/>
  <c r="DY231" i="44"/>
  <c r="DW231" i="44"/>
  <c r="GM230" i="44"/>
  <c r="GK230" i="44"/>
  <c r="GJ230" i="44"/>
  <c r="GI230" i="44"/>
  <c r="GH230" i="44"/>
  <c r="GG230" i="44"/>
  <c r="GF230" i="44"/>
  <c r="GE230" i="44"/>
  <c r="GD230" i="44"/>
  <c r="GC230" i="44"/>
  <c r="GB230" i="44"/>
  <c r="GA230" i="44"/>
  <c r="FZ230" i="44"/>
  <c r="FY230" i="44"/>
  <c r="FT230" i="44"/>
  <c r="FS230" i="44"/>
  <c r="FR230" i="44"/>
  <c r="FQ230" i="44"/>
  <c r="FP230" i="44"/>
  <c r="FO230" i="44"/>
  <c r="FN230" i="44"/>
  <c r="FM230" i="44"/>
  <c r="FL230" i="44"/>
  <c r="FK230" i="44"/>
  <c r="FJ230" i="44"/>
  <c r="FI230" i="44"/>
  <c r="FH230" i="44"/>
  <c r="FG230" i="44"/>
  <c r="FF230" i="44"/>
  <c r="FE230" i="44"/>
  <c r="FD230" i="44"/>
  <c r="FC230" i="44"/>
  <c r="FB230" i="44"/>
  <c r="FA230" i="44"/>
  <c r="EZ230" i="44"/>
  <c r="EY230" i="44"/>
  <c r="EX230" i="44"/>
  <c r="EW230" i="44"/>
  <c r="EV230" i="44"/>
  <c r="EU230" i="44"/>
  <c r="ES230" i="44"/>
  <c r="ER230" i="44"/>
  <c r="EQ230" i="44"/>
  <c r="EP230" i="44"/>
  <c r="EO230" i="44"/>
  <c r="EN230" i="44"/>
  <c r="EM230" i="44"/>
  <c r="EL230" i="44"/>
  <c r="EK230" i="44"/>
  <c r="EJ230" i="44"/>
  <c r="EG230" i="44"/>
  <c r="EE230" i="44"/>
  <c r="ED230" i="44"/>
  <c r="EC230" i="44"/>
  <c r="DZ230" i="44"/>
  <c r="DY230" i="44"/>
  <c r="DW230" i="44"/>
  <c r="GM229" i="44"/>
  <c r="GK229" i="44"/>
  <c r="GJ229" i="44"/>
  <c r="GI229" i="44"/>
  <c r="GH229" i="44"/>
  <c r="GG229" i="44"/>
  <c r="GF229" i="44"/>
  <c r="GE229" i="44"/>
  <c r="GD229" i="44"/>
  <c r="GC229" i="44"/>
  <c r="GB229" i="44"/>
  <c r="GA229" i="44"/>
  <c r="FZ229" i="44"/>
  <c r="FY229" i="44"/>
  <c r="FT229" i="44"/>
  <c r="FS229" i="44"/>
  <c r="FR229" i="44"/>
  <c r="FQ229" i="44"/>
  <c r="FP229" i="44"/>
  <c r="FO229" i="44"/>
  <c r="FN229" i="44"/>
  <c r="FM229" i="44"/>
  <c r="FL229" i="44"/>
  <c r="FK229" i="44"/>
  <c r="FJ229" i="44"/>
  <c r="FI229" i="44"/>
  <c r="FH229" i="44"/>
  <c r="FG229" i="44"/>
  <c r="FF229" i="44"/>
  <c r="FE229" i="44"/>
  <c r="FD229" i="44"/>
  <c r="FC229" i="44"/>
  <c r="FB229" i="44"/>
  <c r="FA229" i="44"/>
  <c r="EZ229" i="44"/>
  <c r="EY229" i="44"/>
  <c r="EX229" i="44"/>
  <c r="EW229" i="44"/>
  <c r="EV229" i="44"/>
  <c r="EU229" i="44"/>
  <c r="ES229" i="44"/>
  <c r="ER229" i="44"/>
  <c r="EQ229" i="44"/>
  <c r="EP229" i="44"/>
  <c r="EO229" i="44"/>
  <c r="EN229" i="44"/>
  <c r="EM229" i="44"/>
  <c r="EL229" i="44"/>
  <c r="EK229" i="44"/>
  <c r="EJ229" i="44"/>
  <c r="EG229" i="44"/>
  <c r="EE229" i="44"/>
  <c r="ED229" i="44"/>
  <c r="EC229" i="44"/>
  <c r="DZ229" i="44"/>
  <c r="DY229" i="44"/>
  <c r="DW229" i="44"/>
  <c r="GM228" i="44"/>
  <c r="GK228" i="44"/>
  <c r="GJ228" i="44"/>
  <c r="GI228" i="44"/>
  <c r="GH228" i="44"/>
  <c r="GG228" i="44"/>
  <c r="GF228" i="44"/>
  <c r="GE228" i="44"/>
  <c r="GD228" i="44"/>
  <c r="GC228" i="44"/>
  <c r="GB228" i="44"/>
  <c r="GA228" i="44"/>
  <c r="FZ228" i="44"/>
  <c r="FY228" i="44"/>
  <c r="FT228" i="44"/>
  <c r="FS228" i="44"/>
  <c r="FR228" i="44"/>
  <c r="FQ228" i="44"/>
  <c r="FP228" i="44"/>
  <c r="FO228" i="44"/>
  <c r="FN228" i="44"/>
  <c r="FM228" i="44"/>
  <c r="FL228" i="44"/>
  <c r="FK228" i="44"/>
  <c r="FJ228" i="44"/>
  <c r="FI228" i="44"/>
  <c r="FH228" i="44"/>
  <c r="FG228" i="44"/>
  <c r="FF228" i="44"/>
  <c r="FE228" i="44"/>
  <c r="FD228" i="44"/>
  <c r="FC228" i="44"/>
  <c r="FB228" i="44"/>
  <c r="FA228" i="44"/>
  <c r="EZ228" i="44"/>
  <c r="EY228" i="44"/>
  <c r="EX228" i="44"/>
  <c r="EW228" i="44"/>
  <c r="EV228" i="44"/>
  <c r="EU228" i="44"/>
  <c r="ES228" i="44"/>
  <c r="ER228" i="44"/>
  <c r="EQ228" i="44"/>
  <c r="EP228" i="44"/>
  <c r="EO228" i="44"/>
  <c r="EN228" i="44"/>
  <c r="EM228" i="44"/>
  <c r="EL228" i="44"/>
  <c r="EK228" i="44"/>
  <c r="EJ228" i="44"/>
  <c r="EG228" i="44"/>
  <c r="EE228" i="44"/>
  <c r="ED228" i="44"/>
  <c r="EC228" i="44"/>
  <c r="DZ228" i="44"/>
  <c r="DY228" i="44"/>
  <c r="DW228" i="44"/>
  <c r="GM227" i="44"/>
  <c r="GK227" i="44"/>
  <c r="GJ227" i="44"/>
  <c r="GI227" i="44"/>
  <c r="GH227" i="44"/>
  <c r="GG227" i="44"/>
  <c r="GF227" i="44"/>
  <c r="GE227" i="44"/>
  <c r="GD227" i="44"/>
  <c r="GC227" i="44"/>
  <c r="GB227" i="44"/>
  <c r="GA227" i="44"/>
  <c r="FZ227" i="44"/>
  <c r="FY227" i="44"/>
  <c r="FT227" i="44"/>
  <c r="FS227" i="44"/>
  <c r="FR227" i="44"/>
  <c r="FQ227" i="44"/>
  <c r="FP227" i="44"/>
  <c r="FO227" i="44"/>
  <c r="FN227" i="44"/>
  <c r="FM227" i="44"/>
  <c r="FL227" i="44"/>
  <c r="FK227" i="44"/>
  <c r="FJ227" i="44"/>
  <c r="FI227" i="44"/>
  <c r="FH227" i="44"/>
  <c r="FG227" i="44"/>
  <c r="FF227" i="44"/>
  <c r="FE227" i="44"/>
  <c r="FD227" i="44"/>
  <c r="FC227" i="44"/>
  <c r="FB227" i="44"/>
  <c r="FA227" i="44"/>
  <c r="EZ227" i="44"/>
  <c r="EY227" i="44"/>
  <c r="EX227" i="44"/>
  <c r="EW227" i="44"/>
  <c r="EV227" i="44"/>
  <c r="EU227" i="44"/>
  <c r="ES227" i="44"/>
  <c r="ER227" i="44"/>
  <c r="EQ227" i="44"/>
  <c r="EP227" i="44"/>
  <c r="EO227" i="44"/>
  <c r="EN227" i="44"/>
  <c r="EM227" i="44"/>
  <c r="EL227" i="44"/>
  <c r="EK227" i="44"/>
  <c r="EJ227" i="44"/>
  <c r="EG227" i="44"/>
  <c r="EE227" i="44"/>
  <c r="ED227" i="44"/>
  <c r="EC227" i="44"/>
  <c r="DZ227" i="44"/>
  <c r="DY227" i="44"/>
  <c r="DW227" i="44"/>
  <c r="GM226" i="44"/>
  <c r="GK226" i="44"/>
  <c r="GJ226" i="44"/>
  <c r="GI226" i="44"/>
  <c r="GH226" i="44"/>
  <c r="GG226" i="44"/>
  <c r="GF226" i="44"/>
  <c r="GE226" i="44"/>
  <c r="GD226" i="44"/>
  <c r="GC226" i="44"/>
  <c r="GB226" i="44"/>
  <c r="GA226" i="44"/>
  <c r="FZ226" i="44"/>
  <c r="FY226" i="44"/>
  <c r="FT226" i="44"/>
  <c r="FS226" i="44"/>
  <c r="FR226" i="44"/>
  <c r="FQ226" i="44"/>
  <c r="FP226" i="44"/>
  <c r="FO226" i="44"/>
  <c r="FN226" i="44"/>
  <c r="FM226" i="44"/>
  <c r="FL226" i="44"/>
  <c r="FK226" i="44"/>
  <c r="FJ226" i="44"/>
  <c r="FI226" i="44"/>
  <c r="FH226" i="44"/>
  <c r="FG226" i="44"/>
  <c r="FF226" i="44"/>
  <c r="FE226" i="44"/>
  <c r="FD226" i="44"/>
  <c r="FC226" i="44"/>
  <c r="FB226" i="44"/>
  <c r="FA226" i="44"/>
  <c r="EZ226" i="44"/>
  <c r="EY226" i="44"/>
  <c r="EX226" i="44"/>
  <c r="EW226" i="44"/>
  <c r="EV226" i="44"/>
  <c r="EU226" i="44"/>
  <c r="ES226" i="44"/>
  <c r="ER226" i="44"/>
  <c r="EQ226" i="44"/>
  <c r="EP226" i="44"/>
  <c r="EO226" i="44"/>
  <c r="EN226" i="44"/>
  <c r="EM226" i="44"/>
  <c r="EL226" i="44"/>
  <c r="EK226" i="44"/>
  <c r="EJ226" i="44"/>
  <c r="EI226" i="44"/>
  <c r="EG226" i="44"/>
  <c r="EE226" i="44"/>
  <c r="ED226" i="44"/>
  <c r="EC226" i="44"/>
  <c r="DZ226" i="44"/>
  <c r="DY226" i="44"/>
  <c r="DW226" i="44"/>
  <c r="GM225" i="44"/>
  <c r="GK225" i="44"/>
  <c r="GJ225" i="44"/>
  <c r="GI225" i="44"/>
  <c r="GH225" i="44"/>
  <c r="GG225" i="44"/>
  <c r="GF225" i="44"/>
  <c r="GE225" i="44"/>
  <c r="GD225" i="44"/>
  <c r="GC225" i="44"/>
  <c r="GB225" i="44"/>
  <c r="GA225" i="44"/>
  <c r="FZ225" i="44"/>
  <c r="FY225" i="44"/>
  <c r="FT225" i="44"/>
  <c r="FS225" i="44"/>
  <c r="FR225" i="44"/>
  <c r="FQ225" i="44"/>
  <c r="FP225" i="44"/>
  <c r="FO225" i="44"/>
  <c r="FN225" i="44"/>
  <c r="FM225" i="44"/>
  <c r="FL225" i="44"/>
  <c r="FK225" i="44"/>
  <c r="FJ225" i="44"/>
  <c r="FI225" i="44"/>
  <c r="FH225" i="44"/>
  <c r="FG225" i="44"/>
  <c r="FF225" i="44"/>
  <c r="FE225" i="44"/>
  <c r="FD225" i="44"/>
  <c r="FC225" i="44"/>
  <c r="FB225" i="44"/>
  <c r="FA225" i="44"/>
  <c r="EZ225" i="44"/>
  <c r="EY225" i="44"/>
  <c r="EX225" i="44"/>
  <c r="EW225" i="44"/>
  <c r="EV225" i="44"/>
  <c r="EU225" i="44"/>
  <c r="ES225" i="44"/>
  <c r="ER225" i="44"/>
  <c r="EQ225" i="44"/>
  <c r="EP225" i="44"/>
  <c r="EO225" i="44"/>
  <c r="EN225" i="44"/>
  <c r="EM225" i="44"/>
  <c r="EL225" i="44"/>
  <c r="EK225" i="44"/>
  <c r="EJ225" i="44"/>
  <c r="EI225" i="44"/>
  <c r="EG225" i="44"/>
  <c r="EE225" i="44"/>
  <c r="ED225" i="44"/>
  <c r="EC225" i="44"/>
  <c r="DZ225" i="44"/>
  <c r="DY225" i="44"/>
  <c r="DW225" i="44"/>
  <c r="GM224" i="44"/>
  <c r="GK224" i="44"/>
  <c r="GJ224" i="44"/>
  <c r="GI224" i="44"/>
  <c r="GH224" i="44"/>
  <c r="GG224" i="44"/>
  <c r="GF224" i="44"/>
  <c r="GE224" i="44"/>
  <c r="GD224" i="44"/>
  <c r="GC224" i="44"/>
  <c r="GB224" i="44"/>
  <c r="GA224" i="44"/>
  <c r="FZ224" i="44"/>
  <c r="FY224" i="44"/>
  <c r="FT224" i="44"/>
  <c r="FS224" i="44"/>
  <c r="FR224" i="44"/>
  <c r="FQ224" i="44"/>
  <c r="FP224" i="44"/>
  <c r="FO224" i="44"/>
  <c r="FN224" i="44"/>
  <c r="FM224" i="44"/>
  <c r="FL224" i="44"/>
  <c r="FK224" i="44"/>
  <c r="FJ224" i="44"/>
  <c r="FI224" i="44"/>
  <c r="FH224" i="44"/>
  <c r="FG224" i="44"/>
  <c r="FF224" i="44"/>
  <c r="FE224" i="44"/>
  <c r="FD224" i="44"/>
  <c r="FC224" i="44"/>
  <c r="FB224" i="44"/>
  <c r="FA224" i="44"/>
  <c r="EZ224" i="44"/>
  <c r="EY224" i="44"/>
  <c r="EX224" i="44"/>
  <c r="EW224" i="44"/>
  <c r="EV224" i="44"/>
  <c r="EU224" i="44"/>
  <c r="ES224" i="44"/>
  <c r="ER224" i="44"/>
  <c r="EQ224" i="44"/>
  <c r="EP224" i="44"/>
  <c r="EO224" i="44"/>
  <c r="EN224" i="44"/>
  <c r="EM224" i="44"/>
  <c r="EL224" i="44"/>
  <c r="EK224" i="44"/>
  <c r="EJ224" i="44"/>
  <c r="EI224" i="44"/>
  <c r="EG224" i="44"/>
  <c r="EE224" i="44"/>
  <c r="ED224" i="44"/>
  <c r="EC224" i="44"/>
  <c r="DZ224" i="44"/>
  <c r="DW224" i="44"/>
  <c r="GM223" i="44"/>
  <c r="GK223" i="44"/>
  <c r="GJ223" i="44"/>
  <c r="GI223" i="44"/>
  <c r="GH223" i="44"/>
  <c r="GG223" i="44"/>
  <c r="GF223" i="44"/>
  <c r="GE223" i="44"/>
  <c r="GD223" i="44"/>
  <c r="GC223" i="44"/>
  <c r="GB223" i="44"/>
  <c r="GA223" i="44"/>
  <c r="FZ223" i="44"/>
  <c r="FY223" i="44"/>
  <c r="FT223" i="44"/>
  <c r="FS223" i="44"/>
  <c r="FR223" i="44"/>
  <c r="FQ223" i="44"/>
  <c r="FP223" i="44"/>
  <c r="FO223" i="44"/>
  <c r="FN223" i="44"/>
  <c r="FM223" i="44"/>
  <c r="FL223" i="44"/>
  <c r="FK223" i="44"/>
  <c r="FJ223" i="44"/>
  <c r="FI223" i="44"/>
  <c r="FH223" i="44"/>
  <c r="FG223" i="44"/>
  <c r="FF223" i="44"/>
  <c r="FE223" i="44"/>
  <c r="FD223" i="44"/>
  <c r="FC223" i="44"/>
  <c r="FB223" i="44"/>
  <c r="FA223" i="44"/>
  <c r="EZ223" i="44"/>
  <c r="EY223" i="44"/>
  <c r="EX223" i="44"/>
  <c r="EW223" i="44"/>
  <c r="EV223" i="44"/>
  <c r="EU223" i="44"/>
  <c r="ES223" i="44"/>
  <c r="ER223" i="44"/>
  <c r="EQ223" i="44"/>
  <c r="EP223" i="44"/>
  <c r="EO223" i="44"/>
  <c r="EN223" i="44"/>
  <c r="EM223" i="44"/>
  <c r="EL223" i="44"/>
  <c r="EK223" i="44"/>
  <c r="EJ223" i="44"/>
  <c r="EI223" i="44"/>
  <c r="EG223" i="44"/>
  <c r="EE223" i="44"/>
  <c r="ED223" i="44"/>
  <c r="EC223" i="44"/>
  <c r="DZ223" i="44"/>
  <c r="DY223" i="44"/>
  <c r="DW223" i="44"/>
  <c r="GM222" i="44"/>
  <c r="GK222" i="44"/>
  <c r="GJ222" i="44"/>
  <c r="GI222" i="44"/>
  <c r="GH222" i="44"/>
  <c r="GG222" i="44"/>
  <c r="GF222" i="44"/>
  <c r="GE222" i="44"/>
  <c r="GD222" i="44"/>
  <c r="GC222" i="44"/>
  <c r="GB222" i="44"/>
  <c r="GA222" i="44"/>
  <c r="FZ222" i="44"/>
  <c r="FY222" i="44"/>
  <c r="FT222" i="44"/>
  <c r="FS222" i="44"/>
  <c r="FR222" i="44"/>
  <c r="FQ222" i="44"/>
  <c r="FP222" i="44"/>
  <c r="FO222" i="44"/>
  <c r="FN222" i="44"/>
  <c r="FM222" i="44"/>
  <c r="FL222" i="44"/>
  <c r="FK222" i="44"/>
  <c r="FJ222" i="44"/>
  <c r="FI222" i="44"/>
  <c r="FH222" i="44"/>
  <c r="FG222" i="44"/>
  <c r="FF222" i="44"/>
  <c r="FE222" i="44"/>
  <c r="FD222" i="44"/>
  <c r="FC222" i="44"/>
  <c r="FB222" i="44"/>
  <c r="FA222" i="44"/>
  <c r="EZ222" i="44"/>
  <c r="EY222" i="44"/>
  <c r="EX222" i="44"/>
  <c r="EW222" i="44"/>
  <c r="EV222" i="44"/>
  <c r="EU222" i="44"/>
  <c r="ES222" i="44"/>
  <c r="ER222" i="44"/>
  <c r="EQ222" i="44"/>
  <c r="EP222" i="44"/>
  <c r="EO222" i="44"/>
  <c r="EN222" i="44"/>
  <c r="EM222" i="44"/>
  <c r="EL222" i="44"/>
  <c r="EK222" i="44"/>
  <c r="EJ222" i="44"/>
  <c r="EI222" i="44"/>
  <c r="EG222" i="44"/>
  <c r="EE222" i="44"/>
  <c r="ED222" i="44"/>
  <c r="EC222" i="44"/>
  <c r="DZ222" i="44"/>
  <c r="DY222" i="44"/>
  <c r="DW222" i="44"/>
  <c r="GM221" i="44"/>
  <c r="GK221" i="44"/>
  <c r="GJ221" i="44"/>
  <c r="GI221" i="44"/>
  <c r="GH221" i="44"/>
  <c r="GG221" i="44"/>
  <c r="GF221" i="44"/>
  <c r="GE221" i="44"/>
  <c r="GD221" i="44"/>
  <c r="GC221" i="44"/>
  <c r="GB221" i="44"/>
  <c r="GA221" i="44"/>
  <c r="FZ221" i="44"/>
  <c r="FY221" i="44"/>
  <c r="FT221" i="44"/>
  <c r="FS221" i="44"/>
  <c r="FR221" i="44"/>
  <c r="FQ221" i="44"/>
  <c r="FP221" i="44"/>
  <c r="FO221" i="44"/>
  <c r="FN221" i="44"/>
  <c r="FM221" i="44"/>
  <c r="FL221" i="44"/>
  <c r="FK221" i="44"/>
  <c r="FJ221" i="44"/>
  <c r="FI221" i="44"/>
  <c r="FH221" i="44"/>
  <c r="FG221" i="44"/>
  <c r="FF221" i="44"/>
  <c r="FE221" i="44"/>
  <c r="FD221" i="44"/>
  <c r="FC221" i="44"/>
  <c r="FB221" i="44"/>
  <c r="FA221" i="44"/>
  <c r="EZ221" i="44"/>
  <c r="EY221" i="44"/>
  <c r="EX221" i="44"/>
  <c r="EW221" i="44"/>
  <c r="EV221" i="44"/>
  <c r="EU221" i="44"/>
  <c r="ES221" i="44"/>
  <c r="ER221" i="44"/>
  <c r="EQ221" i="44"/>
  <c r="EP221" i="44"/>
  <c r="EO221" i="44"/>
  <c r="EN221" i="44"/>
  <c r="EM221" i="44"/>
  <c r="EL221" i="44"/>
  <c r="EK221" i="44"/>
  <c r="EJ221" i="44"/>
  <c r="EI221" i="44"/>
  <c r="EG221" i="44"/>
  <c r="EE221" i="44"/>
  <c r="ED221" i="44"/>
  <c r="EC221" i="44"/>
  <c r="DZ221" i="44"/>
  <c r="DY221" i="44"/>
  <c r="DW221" i="44"/>
  <c r="GM220" i="44"/>
  <c r="GK220" i="44"/>
  <c r="GJ220" i="44"/>
  <c r="GI220" i="44"/>
  <c r="GH220" i="44"/>
  <c r="GG220" i="44"/>
  <c r="GF220" i="44"/>
  <c r="GE220" i="44"/>
  <c r="GD220" i="44"/>
  <c r="GC220" i="44"/>
  <c r="GB220" i="44"/>
  <c r="GA220" i="44"/>
  <c r="FZ220" i="44"/>
  <c r="FY220" i="44"/>
  <c r="FT220" i="44"/>
  <c r="FS220" i="44"/>
  <c r="FR220" i="44"/>
  <c r="FQ220" i="44"/>
  <c r="FP220" i="44"/>
  <c r="FO220" i="44"/>
  <c r="FN220" i="44"/>
  <c r="FM220" i="44"/>
  <c r="FL220" i="44"/>
  <c r="FK220" i="44"/>
  <c r="FJ220" i="44"/>
  <c r="FI220" i="44"/>
  <c r="FH220" i="44"/>
  <c r="FG220" i="44"/>
  <c r="FF220" i="44"/>
  <c r="FE220" i="44"/>
  <c r="FD220" i="44"/>
  <c r="FC220" i="44"/>
  <c r="FB220" i="44"/>
  <c r="FA220" i="44"/>
  <c r="EZ220" i="44"/>
  <c r="EY220" i="44"/>
  <c r="EX220" i="44"/>
  <c r="EW220" i="44"/>
  <c r="EV220" i="44"/>
  <c r="EU220" i="44"/>
  <c r="ES220" i="44"/>
  <c r="ER220" i="44"/>
  <c r="EQ220" i="44"/>
  <c r="EP220" i="44"/>
  <c r="EO220" i="44"/>
  <c r="EN220" i="44"/>
  <c r="EM220" i="44"/>
  <c r="EL220" i="44"/>
  <c r="EK220" i="44"/>
  <c r="EJ220" i="44"/>
  <c r="EG220" i="44"/>
  <c r="EE220" i="44"/>
  <c r="ED220" i="44"/>
  <c r="EC220" i="44"/>
  <c r="DZ220" i="44"/>
  <c r="DY220" i="44"/>
  <c r="DW220" i="44"/>
  <c r="GM219" i="44"/>
  <c r="GK219" i="44"/>
  <c r="GJ219" i="44"/>
  <c r="GI219" i="44"/>
  <c r="GH219" i="44"/>
  <c r="GG219" i="44"/>
  <c r="GF219" i="44"/>
  <c r="GE219" i="44"/>
  <c r="GD219" i="44"/>
  <c r="GC219" i="44"/>
  <c r="GB219" i="44"/>
  <c r="GA219" i="44"/>
  <c r="FZ219" i="44"/>
  <c r="FY219" i="44"/>
  <c r="FT219" i="44"/>
  <c r="FS219" i="44"/>
  <c r="FR219" i="44"/>
  <c r="FQ219" i="44"/>
  <c r="FP219" i="44"/>
  <c r="FO219" i="44"/>
  <c r="FN219" i="44"/>
  <c r="FM219" i="44"/>
  <c r="FL219" i="44"/>
  <c r="FK219" i="44"/>
  <c r="FJ219" i="44"/>
  <c r="FI219" i="44"/>
  <c r="FH219" i="44"/>
  <c r="FG219" i="44"/>
  <c r="FF219" i="44"/>
  <c r="FE219" i="44"/>
  <c r="FD219" i="44"/>
  <c r="FC219" i="44"/>
  <c r="FB219" i="44"/>
  <c r="FA219" i="44"/>
  <c r="EZ219" i="44"/>
  <c r="EY219" i="44"/>
  <c r="EX219" i="44"/>
  <c r="EW219" i="44"/>
  <c r="EV219" i="44"/>
  <c r="EU219" i="44"/>
  <c r="ES219" i="44"/>
  <c r="ER219" i="44"/>
  <c r="EQ219" i="44"/>
  <c r="EP219" i="44"/>
  <c r="EO219" i="44"/>
  <c r="EN219" i="44"/>
  <c r="EM219" i="44"/>
  <c r="EL219" i="44"/>
  <c r="EK219" i="44"/>
  <c r="EJ219" i="44"/>
  <c r="EI219" i="44"/>
  <c r="EG219" i="44"/>
  <c r="EE219" i="44"/>
  <c r="ED219" i="44"/>
  <c r="EC219" i="44"/>
  <c r="DZ219" i="44"/>
  <c r="DY219" i="44"/>
  <c r="DW219" i="44"/>
  <c r="GM218" i="44"/>
  <c r="GK218" i="44"/>
  <c r="GJ218" i="44"/>
  <c r="GI218" i="44"/>
  <c r="GH218" i="44"/>
  <c r="GG218" i="44"/>
  <c r="GF218" i="44"/>
  <c r="GE218" i="44"/>
  <c r="GD218" i="44"/>
  <c r="GC218" i="44"/>
  <c r="GB218" i="44"/>
  <c r="GA218" i="44"/>
  <c r="FZ218" i="44"/>
  <c r="FY218" i="44"/>
  <c r="FT218" i="44"/>
  <c r="FS218" i="44"/>
  <c r="FR218" i="44"/>
  <c r="FQ218" i="44"/>
  <c r="FP218" i="44"/>
  <c r="FO218" i="44"/>
  <c r="FN218" i="44"/>
  <c r="FM218" i="44"/>
  <c r="FL218" i="44"/>
  <c r="FK218" i="44"/>
  <c r="FJ218" i="44"/>
  <c r="FI218" i="44"/>
  <c r="FH218" i="44"/>
  <c r="FG218" i="44"/>
  <c r="FF218" i="44"/>
  <c r="FE218" i="44"/>
  <c r="FD218" i="44"/>
  <c r="FC218" i="44"/>
  <c r="FB218" i="44"/>
  <c r="FA218" i="44"/>
  <c r="EZ218" i="44"/>
  <c r="EY218" i="44"/>
  <c r="EX218" i="44"/>
  <c r="EW218" i="44"/>
  <c r="EV218" i="44"/>
  <c r="EU218" i="44"/>
  <c r="ES218" i="44"/>
  <c r="ER218" i="44"/>
  <c r="EQ218" i="44"/>
  <c r="EP218" i="44"/>
  <c r="EO218" i="44"/>
  <c r="EN218" i="44"/>
  <c r="EM218" i="44"/>
  <c r="EL218" i="44"/>
  <c r="EK218" i="44"/>
  <c r="EJ218" i="44"/>
  <c r="EI218" i="44"/>
  <c r="EG218" i="44"/>
  <c r="EE218" i="44"/>
  <c r="ED218" i="44"/>
  <c r="EC218" i="44"/>
  <c r="DZ218" i="44"/>
  <c r="DY218" i="44"/>
  <c r="DW218" i="44"/>
  <c r="GM217" i="44"/>
  <c r="GK217" i="44"/>
  <c r="GJ217" i="44"/>
  <c r="GI217" i="44"/>
  <c r="GH217" i="44"/>
  <c r="GG217" i="44"/>
  <c r="GF217" i="44"/>
  <c r="GE217" i="44"/>
  <c r="GD217" i="44"/>
  <c r="GC217" i="44"/>
  <c r="GB217" i="44"/>
  <c r="GA217" i="44"/>
  <c r="FZ217" i="44"/>
  <c r="FY217" i="44"/>
  <c r="FT217" i="44"/>
  <c r="FS217" i="44"/>
  <c r="FR217" i="44"/>
  <c r="FQ217" i="44"/>
  <c r="FP217" i="44"/>
  <c r="FO217" i="44"/>
  <c r="FN217" i="44"/>
  <c r="FM217" i="44"/>
  <c r="FL217" i="44"/>
  <c r="FK217" i="44"/>
  <c r="FJ217" i="44"/>
  <c r="FI217" i="44"/>
  <c r="FH217" i="44"/>
  <c r="FG217" i="44"/>
  <c r="FF217" i="44"/>
  <c r="FE217" i="44"/>
  <c r="FD217" i="44"/>
  <c r="FC217" i="44"/>
  <c r="FB217" i="44"/>
  <c r="FA217" i="44"/>
  <c r="EZ217" i="44"/>
  <c r="EY217" i="44"/>
  <c r="EX217" i="44"/>
  <c r="EW217" i="44"/>
  <c r="EV217" i="44"/>
  <c r="EU217" i="44"/>
  <c r="ES217" i="44"/>
  <c r="ER217" i="44"/>
  <c r="EQ217" i="44"/>
  <c r="EP217" i="44"/>
  <c r="EO217" i="44"/>
  <c r="EN217" i="44"/>
  <c r="EM217" i="44"/>
  <c r="EL217" i="44"/>
  <c r="EK217" i="44"/>
  <c r="EJ217" i="44"/>
  <c r="EG217" i="44"/>
  <c r="EE217" i="44"/>
  <c r="ED217" i="44"/>
  <c r="EC217" i="44"/>
  <c r="DZ217" i="44"/>
  <c r="DY217" i="44"/>
  <c r="DW217" i="44"/>
  <c r="GM216" i="44"/>
  <c r="GK216" i="44"/>
  <c r="GJ216" i="44"/>
  <c r="GI216" i="44"/>
  <c r="GH216" i="44"/>
  <c r="GG216" i="44"/>
  <c r="GF216" i="44"/>
  <c r="GE216" i="44"/>
  <c r="GD216" i="44"/>
  <c r="GC216" i="44"/>
  <c r="GB216" i="44"/>
  <c r="GA216" i="44"/>
  <c r="FZ216" i="44"/>
  <c r="FY216" i="44"/>
  <c r="FT216" i="44"/>
  <c r="FS216" i="44"/>
  <c r="FR216" i="44"/>
  <c r="FQ216" i="44"/>
  <c r="FP216" i="44"/>
  <c r="FO216" i="44"/>
  <c r="FN216" i="44"/>
  <c r="FM216" i="44"/>
  <c r="FL216" i="44"/>
  <c r="FK216" i="44"/>
  <c r="FJ216" i="44"/>
  <c r="FI216" i="44"/>
  <c r="FH216" i="44"/>
  <c r="FG216" i="44"/>
  <c r="FF216" i="44"/>
  <c r="FE216" i="44"/>
  <c r="FD216" i="44"/>
  <c r="FC216" i="44"/>
  <c r="FB216" i="44"/>
  <c r="FA216" i="44"/>
  <c r="EZ216" i="44"/>
  <c r="EY216" i="44"/>
  <c r="EX216" i="44"/>
  <c r="EW216" i="44"/>
  <c r="EV216" i="44"/>
  <c r="EU216" i="44"/>
  <c r="ES216" i="44"/>
  <c r="ER216" i="44"/>
  <c r="EQ216" i="44"/>
  <c r="EP216" i="44"/>
  <c r="EO216" i="44"/>
  <c r="EN216" i="44"/>
  <c r="EM216" i="44"/>
  <c r="EL216" i="44"/>
  <c r="EK216" i="44"/>
  <c r="EJ216" i="44"/>
  <c r="EI216" i="44"/>
  <c r="EG216" i="44"/>
  <c r="EE216" i="44"/>
  <c r="ED216" i="44"/>
  <c r="EC216" i="44"/>
  <c r="DZ216" i="44"/>
  <c r="DY216" i="44"/>
  <c r="DW216" i="44"/>
  <c r="GM215" i="44"/>
  <c r="GK215" i="44"/>
  <c r="GJ215" i="44"/>
  <c r="GI215" i="44"/>
  <c r="GH215" i="44"/>
  <c r="GG215" i="44"/>
  <c r="GF215" i="44"/>
  <c r="GE215" i="44"/>
  <c r="GD215" i="44"/>
  <c r="GC215" i="44"/>
  <c r="GB215" i="44"/>
  <c r="GA215" i="44"/>
  <c r="FZ215" i="44"/>
  <c r="FY215" i="44"/>
  <c r="FT215" i="44"/>
  <c r="FS215" i="44"/>
  <c r="FR215" i="44"/>
  <c r="FQ215" i="44"/>
  <c r="FP215" i="44"/>
  <c r="FO215" i="44"/>
  <c r="FN215" i="44"/>
  <c r="FM215" i="44"/>
  <c r="FL215" i="44"/>
  <c r="FK215" i="44"/>
  <c r="FJ215" i="44"/>
  <c r="FI215" i="44"/>
  <c r="FH215" i="44"/>
  <c r="FG215" i="44"/>
  <c r="FF215" i="44"/>
  <c r="FE215" i="44"/>
  <c r="FD215" i="44"/>
  <c r="FC215" i="44"/>
  <c r="FB215" i="44"/>
  <c r="FA215" i="44"/>
  <c r="EZ215" i="44"/>
  <c r="EY215" i="44"/>
  <c r="EX215" i="44"/>
  <c r="EW215" i="44"/>
  <c r="EV215" i="44"/>
  <c r="EU215" i="44"/>
  <c r="ES215" i="44"/>
  <c r="ER215" i="44"/>
  <c r="EQ215" i="44"/>
  <c r="EP215" i="44"/>
  <c r="EO215" i="44"/>
  <c r="EN215" i="44"/>
  <c r="EM215" i="44"/>
  <c r="EL215" i="44"/>
  <c r="EK215" i="44"/>
  <c r="EJ215" i="44"/>
  <c r="EI215" i="44"/>
  <c r="EH215" i="44"/>
  <c r="EG215" i="44"/>
  <c r="EF215" i="44"/>
  <c r="EE215" i="44"/>
  <c r="ED215" i="44"/>
  <c r="EC215" i="44"/>
  <c r="EB215" i="44"/>
  <c r="EA215" i="44"/>
  <c r="DZ215" i="44"/>
  <c r="DY215" i="44"/>
  <c r="DX215" i="44"/>
  <c r="DW215" i="44"/>
  <c r="GM214" i="44"/>
  <c r="GK214" i="44"/>
  <c r="GJ214" i="44"/>
  <c r="GI214" i="44"/>
  <c r="GH214" i="44"/>
  <c r="GG214" i="44"/>
  <c r="GF214" i="44"/>
  <c r="GE214" i="44"/>
  <c r="GD214" i="44"/>
  <c r="GC214" i="44"/>
  <c r="GB214" i="44"/>
  <c r="GA214" i="44"/>
  <c r="FZ214" i="44"/>
  <c r="FY214" i="44"/>
  <c r="FT214" i="44"/>
  <c r="FS214" i="44"/>
  <c r="FR214" i="44"/>
  <c r="FQ214" i="44"/>
  <c r="FP214" i="44"/>
  <c r="FO214" i="44"/>
  <c r="FN214" i="44"/>
  <c r="FM214" i="44"/>
  <c r="FL214" i="44"/>
  <c r="FK214" i="44"/>
  <c r="FJ214" i="44"/>
  <c r="FI214" i="44"/>
  <c r="FH214" i="44"/>
  <c r="FG214" i="44"/>
  <c r="FF214" i="44"/>
  <c r="FE214" i="44"/>
  <c r="FD214" i="44"/>
  <c r="FC214" i="44"/>
  <c r="FB214" i="44"/>
  <c r="FA214" i="44"/>
  <c r="EZ214" i="44"/>
  <c r="EY214" i="44"/>
  <c r="EX214" i="44"/>
  <c r="EW214" i="44"/>
  <c r="EV214" i="44"/>
  <c r="EU214" i="44"/>
  <c r="ES214" i="44"/>
  <c r="ER214" i="44"/>
  <c r="EQ214" i="44"/>
  <c r="EP214" i="44"/>
  <c r="EO214" i="44"/>
  <c r="EN214" i="44"/>
  <c r="EM214" i="44"/>
  <c r="EL214" i="44"/>
  <c r="EK214" i="44"/>
  <c r="EG214" i="44"/>
  <c r="EE214" i="44"/>
  <c r="ED214" i="44"/>
  <c r="EC214" i="44"/>
  <c r="DZ214" i="44"/>
  <c r="DY214" i="44"/>
  <c r="DW214" i="44"/>
  <c r="GM213" i="44"/>
  <c r="GK213" i="44"/>
  <c r="GJ213" i="44"/>
  <c r="GI213" i="44"/>
  <c r="GH213" i="44"/>
  <c r="GG213" i="44"/>
  <c r="GF213" i="44"/>
  <c r="GE213" i="44"/>
  <c r="GD213" i="44"/>
  <c r="GC213" i="44"/>
  <c r="GB213" i="44"/>
  <c r="GA213" i="44"/>
  <c r="FZ213" i="44"/>
  <c r="FY213" i="44"/>
  <c r="FT213" i="44"/>
  <c r="FS213" i="44"/>
  <c r="FR213" i="44"/>
  <c r="FQ213" i="44"/>
  <c r="FP213" i="44"/>
  <c r="FO213" i="44"/>
  <c r="FN213" i="44"/>
  <c r="FM213" i="44"/>
  <c r="FL213" i="44"/>
  <c r="FK213" i="44"/>
  <c r="FJ213" i="44"/>
  <c r="FI213" i="44"/>
  <c r="FH213" i="44"/>
  <c r="FG213" i="44"/>
  <c r="FF213" i="44"/>
  <c r="FE213" i="44"/>
  <c r="FD213" i="44"/>
  <c r="FC213" i="44"/>
  <c r="FB213" i="44"/>
  <c r="FA213" i="44"/>
  <c r="EZ213" i="44"/>
  <c r="EY213" i="44"/>
  <c r="EX213" i="44"/>
  <c r="EW213" i="44"/>
  <c r="EV213" i="44"/>
  <c r="EU213" i="44"/>
  <c r="ES213" i="44"/>
  <c r="ER213" i="44"/>
  <c r="EQ213" i="44"/>
  <c r="EP213" i="44"/>
  <c r="EO213" i="44"/>
  <c r="EN213" i="44"/>
  <c r="EM213" i="44"/>
  <c r="EL213" i="44"/>
  <c r="EK213" i="44"/>
  <c r="EG213" i="44"/>
  <c r="EE213" i="44"/>
  <c r="ED213" i="44"/>
  <c r="EC213" i="44"/>
  <c r="DZ213" i="44"/>
  <c r="DY213" i="44"/>
  <c r="DW213" i="44"/>
  <c r="GM212" i="44"/>
  <c r="GK212" i="44"/>
  <c r="GJ212" i="44"/>
  <c r="GI212" i="44"/>
  <c r="GH212" i="44"/>
  <c r="GG212" i="44"/>
  <c r="GF212" i="44"/>
  <c r="GE212" i="44"/>
  <c r="GD212" i="44"/>
  <c r="GC212" i="44"/>
  <c r="GB212" i="44"/>
  <c r="GA212" i="44"/>
  <c r="FZ212" i="44"/>
  <c r="FY212" i="44"/>
  <c r="FT212" i="44"/>
  <c r="FS212" i="44"/>
  <c r="FR212" i="44"/>
  <c r="FQ212" i="44"/>
  <c r="FP212" i="44"/>
  <c r="FO212" i="44"/>
  <c r="FN212" i="44"/>
  <c r="FM212" i="44"/>
  <c r="FL212" i="44"/>
  <c r="FK212" i="44"/>
  <c r="FJ212" i="44"/>
  <c r="FI212" i="44"/>
  <c r="FH212" i="44"/>
  <c r="FG212" i="44"/>
  <c r="FF212" i="44"/>
  <c r="FE212" i="44"/>
  <c r="FD212" i="44"/>
  <c r="FC212" i="44"/>
  <c r="FB212" i="44"/>
  <c r="FA212" i="44"/>
  <c r="EZ212" i="44"/>
  <c r="EY212" i="44"/>
  <c r="EX212" i="44"/>
  <c r="EW212" i="44"/>
  <c r="EV212" i="44"/>
  <c r="EU212" i="44"/>
  <c r="ES212" i="44"/>
  <c r="ER212" i="44"/>
  <c r="EQ212" i="44"/>
  <c r="EP212" i="44"/>
  <c r="EO212" i="44"/>
  <c r="EN212" i="44"/>
  <c r="EM212" i="44"/>
  <c r="EL212" i="44"/>
  <c r="EK212" i="44"/>
  <c r="EG212" i="44"/>
  <c r="EE212" i="44"/>
  <c r="ED212" i="44"/>
  <c r="EC212" i="44"/>
  <c r="DZ212" i="44"/>
  <c r="DY212" i="44"/>
  <c r="DW212" i="44"/>
  <c r="GM211" i="44"/>
  <c r="GK211" i="44"/>
  <c r="GJ211" i="44"/>
  <c r="GI211" i="44"/>
  <c r="GH211" i="44"/>
  <c r="GG211" i="44"/>
  <c r="GF211" i="44"/>
  <c r="GE211" i="44"/>
  <c r="GD211" i="44"/>
  <c r="GC211" i="44"/>
  <c r="GB211" i="44"/>
  <c r="GA211" i="44"/>
  <c r="FZ211" i="44"/>
  <c r="FY211" i="44"/>
  <c r="FT211" i="44"/>
  <c r="FS211" i="44"/>
  <c r="FR211" i="44"/>
  <c r="FQ211" i="44"/>
  <c r="FP211" i="44"/>
  <c r="FO211" i="44"/>
  <c r="FN211" i="44"/>
  <c r="FM211" i="44"/>
  <c r="FL211" i="44"/>
  <c r="FK211" i="44"/>
  <c r="FJ211" i="44"/>
  <c r="FI211" i="44"/>
  <c r="FH211" i="44"/>
  <c r="FG211" i="44"/>
  <c r="FF211" i="44"/>
  <c r="FE211" i="44"/>
  <c r="FD211" i="44"/>
  <c r="FC211" i="44"/>
  <c r="FB211" i="44"/>
  <c r="FA211" i="44"/>
  <c r="EZ211" i="44"/>
  <c r="EY211" i="44"/>
  <c r="EX211" i="44"/>
  <c r="EW211" i="44"/>
  <c r="EV211" i="44"/>
  <c r="EU211" i="44"/>
  <c r="ES211" i="44"/>
  <c r="ER211" i="44"/>
  <c r="EQ211" i="44"/>
  <c r="EP211" i="44"/>
  <c r="EO211" i="44"/>
  <c r="EN211" i="44"/>
  <c r="EM211" i="44"/>
  <c r="EL211" i="44"/>
  <c r="EK211" i="44"/>
  <c r="EG211" i="44"/>
  <c r="EE211" i="44"/>
  <c r="ED211" i="44"/>
  <c r="EC211" i="44"/>
  <c r="DZ211" i="44"/>
  <c r="DY211" i="44"/>
  <c r="DW211" i="44"/>
  <c r="GM210" i="44"/>
  <c r="GK210" i="44"/>
  <c r="GJ210" i="44"/>
  <c r="GI210" i="44"/>
  <c r="GH210" i="44"/>
  <c r="GG210" i="44"/>
  <c r="GF210" i="44"/>
  <c r="GE210" i="44"/>
  <c r="GD210" i="44"/>
  <c r="GC210" i="44"/>
  <c r="GB210" i="44"/>
  <c r="GA210" i="44"/>
  <c r="FZ210" i="44"/>
  <c r="FY210" i="44"/>
  <c r="FT210" i="44"/>
  <c r="FS210" i="44"/>
  <c r="FR210" i="44"/>
  <c r="FQ210" i="44"/>
  <c r="FP210" i="44"/>
  <c r="FO210" i="44"/>
  <c r="FN210" i="44"/>
  <c r="FM210" i="44"/>
  <c r="FL210" i="44"/>
  <c r="FK210" i="44"/>
  <c r="FJ210" i="44"/>
  <c r="FI210" i="44"/>
  <c r="FH210" i="44"/>
  <c r="FG210" i="44"/>
  <c r="FF210" i="44"/>
  <c r="FE210" i="44"/>
  <c r="FD210" i="44"/>
  <c r="FC210" i="44"/>
  <c r="FB210" i="44"/>
  <c r="FA210" i="44"/>
  <c r="EZ210" i="44"/>
  <c r="EY210" i="44"/>
  <c r="EX210" i="44"/>
  <c r="EW210" i="44"/>
  <c r="EV210" i="44"/>
  <c r="EU210" i="44"/>
  <c r="ES210" i="44"/>
  <c r="ER210" i="44"/>
  <c r="EQ210" i="44"/>
  <c r="EP210" i="44"/>
  <c r="EO210" i="44"/>
  <c r="EN210" i="44"/>
  <c r="EM210" i="44"/>
  <c r="EL210" i="44"/>
  <c r="EK210" i="44"/>
  <c r="EG210" i="44"/>
  <c r="EE210" i="44"/>
  <c r="ED210" i="44"/>
  <c r="EC210" i="44"/>
  <c r="DZ210" i="44"/>
  <c r="DY210" i="44"/>
  <c r="DW210" i="44"/>
  <c r="GM209" i="44"/>
  <c r="GK209" i="44"/>
  <c r="GJ209" i="44"/>
  <c r="GI209" i="44"/>
  <c r="GH209" i="44"/>
  <c r="GG209" i="44"/>
  <c r="GF209" i="44"/>
  <c r="GE209" i="44"/>
  <c r="GD209" i="44"/>
  <c r="GC209" i="44"/>
  <c r="GB209" i="44"/>
  <c r="GA209" i="44"/>
  <c r="FZ209" i="44"/>
  <c r="FY209" i="44"/>
  <c r="FT209" i="44"/>
  <c r="FS209" i="44"/>
  <c r="FR209" i="44"/>
  <c r="FQ209" i="44"/>
  <c r="FP209" i="44"/>
  <c r="FO209" i="44"/>
  <c r="FN209" i="44"/>
  <c r="FM209" i="44"/>
  <c r="FL209" i="44"/>
  <c r="FK209" i="44"/>
  <c r="FJ209" i="44"/>
  <c r="FI209" i="44"/>
  <c r="FH209" i="44"/>
  <c r="FG209" i="44"/>
  <c r="FF209" i="44"/>
  <c r="FE209" i="44"/>
  <c r="FD209" i="44"/>
  <c r="FC209" i="44"/>
  <c r="FB209" i="44"/>
  <c r="FA209" i="44"/>
  <c r="EZ209" i="44"/>
  <c r="EY209" i="44"/>
  <c r="EX209" i="44"/>
  <c r="EW209" i="44"/>
  <c r="EV209" i="44"/>
  <c r="EU209" i="44"/>
  <c r="ES209" i="44"/>
  <c r="ER209" i="44"/>
  <c r="EQ209" i="44"/>
  <c r="EP209" i="44"/>
  <c r="EO209" i="44"/>
  <c r="EN209" i="44"/>
  <c r="EM209" i="44"/>
  <c r="EL209" i="44"/>
  <c r="EK209" i="44"/>
  <c r="EG209" i="44"/>
  <c r="EE209" i="44"/>
  <c r="ED209" i="44"/>
  <c r="EC209" i="44"/>
  <c r="DZ209" i="44"/>
  <c r="DY209" i="44"/>
  <c r="DW209" i="44"/>
  <c r="GM208" i="44"/>
  <c r="GK208" i="44"/>
  <c r="GJ208" i="44"/>
  <c r="GI208" i="44"/>
  <c r="GH208" i="44"/>
  <c r="GG208" i="44"/>
  <c r="GF208" i="44"/>
  <c r="GE208" i="44"/>
  <c r="GD208" i="44"/>
  <c r="GC208" i="44"/>
  <c r="GB208" i="44"/>
  <c r="GA208" i="44"/>
  <c r="FZ208" i="44"/>
  <c r="FY208" i="44"/>
  <c r="FT208" i="44"/>
  <c r="FS208" i="44"/>
  <c r="FR208" i="44"/>
  <c r="FQ208" i="44"/>
  <c r="FP208" i="44"/>
  <c r="FO208" i="44"/>
  <c r="FN208" i="44"/>
  <c r="FM208" i="44"/>
  <c r="FL208" i="44"/>
  <c r="FK208" i="44"/>
  <c r="FJ208" i="44"/>
  <c r="FI208" i="44"/>
  <c r="FH208" i="44"/>
  <c r="FG208" i="44"/>
  <c r="FF208" i="44"/>
  <c r="FE208" i="44"/>
  <c r="FD208" i="44"/>
  <c r="FC208" i="44"/>
  <c r="FB208" i="44"/>
  <c r="FA208" i="44"/>
  <c r="EZ208" i="44"/>
  <c r="EY208" i="44"/>
  <c r="EX208" i="44"/>
  <c r="EW208" i="44"/>
  <c r="EV208" i="44"/>
  <c r="EU208" i="44"/>
  <c r="ES208" i="44"/>
  <c r="ER208" i="44"/>
  <c r="EQ208" i="44"/>
  <c r="EP208" i="44"/>
  <c r="EO208" i="44"/>
  <c r="EN208" i="44"/>
  <c r="EM208" i="44"/>
  <c r="EL208" i="44"/>
  <c r="EG208" i="44"/>
  <c r="EE208" i="44"/>
  <c r="ED208" i="44"/>
  <c r="EC208" i="44"/>
  <c r="DZ208" i="44"/>
  <c r="DY208" i="44"/>
  <c r="DW208" i="44"/>
  <c r="GM207" i="44"/>
  <c r="GK207" i="44"/>
  <c r="GJ207" i="44"/>
  <c r="GI207" i="44"/>
  <c r="GH207" i="44"/>
  <c r="GG207" i="44"/>
  <c r="GF207" i="44"/>
  <c r="GE207" i="44"/>
  <c r="GD207" i="44"/>
  <c r="GC207" i="44"/>
  <c r="GB207" i="44"/>
  <c r="GA207" i="44"/>
  <c r="FZ207" i="44"/>
  <c r="FY207" i="44"/>
  <c r="FT207" i="44"/>
  <c r="FS207" i="44"/>
  <c r="FR207" i="44"/>
  <c r="FQ207" i="44"/>
  <c r="FP207" i="44"/>
  <c r="FO207" i="44"/>
  <c r="FN207" i="44"/>
  <c r="FM207" i="44"/>
  <c r="FL207" i="44"/>
  <c r="FK207" i="44"/>
  <c r="FJ207" i="44"/>
  <c r="FI207" i="44"/>
  <c r="FH207" i="44"/>
  <c r="FG207" i="44"/>
  <c r="FF207" i="44"/>
  <c r="FE207" i="44"/>
  <c r="FD207" i="44"/>
  <c r="FC207" i="44"/>
  <c r="FB207" i="44"/>
  <c r="FA207" i="44"/>
  <c r="EZ207" i="44"/>
  <c r="EY207" i="44"/>
  <c r="EX207" i="44"/>
  <c r="EW207" i="44"/>
  <c r="EV207" i="44"/>
  <c r="EU207" i="44"/>
  <c r="ES207" i="44"/>
  <c r="ER207" i="44"/>
  <c r="EQ207" i="44"/>
  <c r="EP207" i="44"/>
  <c r="EO207" i="44"/>
  <c r="EN207" i="44"/>
  <c r="EM207" i="44"/>
  <c r="EL207" i="44"/>
  <c r="EK207" i="44"/>
  <c r="EJ207" i="44"/>
  <c r="EI207" i="44"/>
  <c r="EH207" i="44"/>
  <c r="EG207" i="44"/>
  <c r="EF207" i="44"/>
  <c r="EE207" i="44"/>
  <c r="ED207" i="44"/>
  <c r="EC207" i="44"/>
  <c r="EB207" i="44"/>
  <c r="EA207" i="44"/>
  <c r="DZ207" i="44"/>
  <c r="DY207" i="44"/>
  <c r="DX207" i="44"/>
  <c r="DW207" i="44"/>
  <c r="GM206" i="44"/>
  <c r="GK206" i="44"/>
  <c r="GJ206" i="44"/>
  <c r="GI206" i="44"/>
  <c r="GH206" i="44"/>
  <c r="GG206" i="44"/>
  <c r="GF206" i="44"/>
  <c r="GE206" i="44"/>
  <c r="GD206" i="44"/>
  <c r="GC206" i="44"/>
  <c r="GB206" i="44"/>
  <c r="GA206" i="44"/>
  <c r="FZ206" i="44"/>
  <c r="FY206" i="44"/>
  <c r="FT206" i="44"/>
  <c r="FS206" i="44"/>
  <c r="FR206" i="44"/>
  <c r="FQ206" i="44"/>
  <c r="FP206" i="44"/>
  <c r="FO206" i="44"/>
  <c r="FN206" i="44"/>
  <c r="FM206" i="44"/>
  <c r="FL206" i="44"/>
  <c r="FK206" i="44"/>
  <c r="FJ206" i="44"/>
  <c r="FI206" i="44"/>
  <c r="FH206" i="44"/>
  <c r="FG206" i="44"/>
  <c r="FF206" i="44"/>
  <c r="FE206" i="44"/>
  <c r="FD206" i="44"/>
  <c r="FC206" i="44"/>
  <c r="FB206" i="44"/>
  <c r="FA206" i="44"/>
  <c r="EZ206" i="44"/>
  <c r="EY206" i="44"/>
  <c r="EX206" i="44"/>
  <c r="EW206" i="44"/>
  <c r="EV206" i="44"/>
  <c r="EU206" i="44"/>
  <c r="ES206" i="44"/>
  <c r="ER206" i="44"/>
  <c r="EQ206" i="44"/>
  <c r="EP206" i="44"/>
  <c r="EO206" i="44"/>
  <c r="EN206" i="44"/>
  <c r="EM206" i="44"/>
  <c r="EL206" i="44"/>
  <c r="EG206" i="44"/>
  <c r="EE206" i="44"/>
  <c r="ED206" i="44"/>
  <c r="EC206" i="44"/>
  <c r="DZ206" i="44"/>
  <c r="DY206" i="44"/>
  <c r="DW206" i="44"/>
  <c r="GM204" i="44"/>
  <c r="GK204" i="44"/>
  <c r="GJ204" i="44"/>
  <c r="GI204" i="44"/>
  <c r="GH204" i="44"/>
  <c r="GG204" i="44"/>
  <c r="GF204" i="44"/>
  <c r="GE204" i="44"/>
  <c r="GD204" i="44"/>
  <c r="GC204" i="44"/>
  <c r="GB204" i="44"/>
  <c r="GA204" i="44"/>
  <c r="FZ204" i="44"/>
  <c r="FY204" i="44"/>
  <c r="FT204" i="44"/>
  <c r="FS204" i="44"/>
  <c r="FR204" i="44"/>
  <c r="FQ204" i="44"/>
  <c r="FP204" i="44"/>
  <c r="FO204" i="44"/>
  <c r="FN204" i="44"/>
  <c r="FM204" i="44"/>
  <c r="FL204" i="44"/>
  <c r="FK204" i="44"/>
  <c r="FJ204" i="44"/>
  <c r="FI204" i="44"/>
  <c r="FH204" i="44"/>
  <c r="FG204" i="44"/>
  <c r="FF204" i="44"/>
  <c r="FE204" i="44"/>
  <c r="FD204" i="44"/>
  <c r="FC204" i="44"/>
  <c r="FB204" i="44"/>
  <c r="FA204" i="44"/>
  <c r="EZ204" i="44"/>
  <c r="EY204" i="44"/>
  <c r="EX204" i="44"/>
  <c r="EW204" i="44"/>
  <c r="EV204" i="44"/>
  <c r="EU204" i="44"/>
  <c r="ES204" i="44"/>
  <c r="ER204" i="44"/>
  <c r="EQ204" i="44"/>
  <c r="EP204" i="44"/>
  <c r="EO204" i="44"/>
  <c r="EN204" i="44"/>
  <c r="EM204" i="44"/>
  <c r="EL204" i="44"/>
  <c r="EG204" i="44"/>
  <c r="EE204" i="44"/>
  <c r="ED204" i="44"/>
  <c r="EC204" i="44"/>
  <c r="DZ204" i="44"/>
  <c r="DY204" i="44"/>
  <c r="DW204" i="44"/>
  <c r="GM202" i="44"/>
  <c r="GK202" i="44"/>
  <c r="GJ202" i="44"/>
  <c r="GI202" i="44"/>
  <c r="GH202" i="44"/>
  <c r="GG202" i="44"/>
  <c r="GF202" i="44"/>
  <c r="GE202" i="44"/>
  <c r="GD202" i="44"/>
  <c r="GC202" i="44"/>
  <c r="GB202" i="44"/>
  <c r="GA202" i="44"/>
  <c r="FZ202" i="44"/>
  <c r="FY202" i="44"/>
  <c r="FT202" i="44"/>
  <c r="FS202" i="44"/>
  <c r="FR202" i="44"/>
  <c r="FQ202" i="44"/>
  <c r="FP202" i="44"/>
  <c r="FO202" i="44"/>
  <c r="FN202" i="44"/>
  <c r="FM202" i="44"/>
  <c r="FL202" i="44"/>
  <c r="FK202" i="44"/>
  <c r="FJ202" i="44"/>
  <c r="FI202" i="44"/>
  <c r="FH202" i="44"/>
  <c r="FG202" i="44"/>
  <c r="FF202" i="44"/>
  <c r="FE202" i="44"/>
  <c r="FD202" i="44"/>
  <c r="FC202" i="44"/>
  <c r="FB202" i="44"/>
  <c r="FA202" i="44"/>
  <c r="EZ202" i="44"/>
  <c r="EY202" i="44"/>
  <c r="EX202" i="44"/>
  <c r="EW202" i="44"/>
  <c r="EV202" i="44"/>
  <c r="EU202" i="44"/>
  <c r="ES202" i="44"/>
  <c r="ER202" i="44"/>
  <c r="EQ202" i="44"/>
  <c r="EP202" i="44"/>
  <c r="EO202" i="44"/>
  <c r="EN202" i="44"/>
  <c r="EM202" i="44"/>
  <c r="EL202" i="44"/>
  <c r="EG202" i="44"/>
  <c r="EE202" i="44"/>
  <c r="ED202" i="44"/>
  <c r="EC202" i="44"/>
  <c r="DZ202" i="44"/>
  <c r="DY202" i="44"/>
  <c r="DW202" i="44"/>
  <c r="GM201" i="44"/>
  <c r="GK201" i="44"/>
  <c r="GJ201" i="44"/>
  <c r="GI201" i="44"/>
  <c r="GH201" i="44"/>
  <c r="GG201" i="44"/>
  <c r="GF201" i="44"/>
  <c r="GE201" i="44"/>
  <c r="GD201" i="44"/>
  <c r="GC201" i="44"/>
  <c r="GB201" i="44"/>
  <c r="GA201" i="44"/>
  <c r="FZ201" i="44"/>
  <c r="FY201" i="44"/>
  <c r="FT201" i="44"/>
  <c r="FS201" i="44"/>
  <c r="FR201" i="44"/>
  <c r="FQ201" i="44"/>
  <c r="FP201" i="44"/>
  <c r="FO201" i="44"/>
  <c r="FN201" i="44"/>
  <c r="FM201" i="44"/>
  <c r="FL201" i="44"/>
  <c r="FK201" i="44"/>
  <c r="FJ201" i="44"/>
  <c r="FI201" i="44"/>
  <c r="FH201" i="44"/>
  <c r="FG201" i="44"/>
  <c r="FF201" i="44"/>
  <c r="FE201" i="44"/>
  <c r="FD201" i="44"/>
  <c r="FC201" i="44"/>
  <c r="FB201" i="44"/>
  <c r="FA201" i="44"/>
  <c r="EZ201" i="44"/>
  <c r="EY201" i="44"/>
  <c r="EX201" i="44"/>
  <c r="EW201" i="44"/>
  <c r="EV201" i="44"/>
  <c r="EU201" i="44"/>
  <c r="ES201" i="44"/>
  <c r="ER201" i="44"/>
  <c r="EQ201" i="44"/>
  <c r="EP201" i="44"/>
  <c r="EO201" i="44"/>
  <c r="EN201" i="44"/>
  <c r="EM201" i="44"/>
  <c r="EL201" i="44"/>
  <c r="EK201" i="44"/>
  <c r="EJ201" i="44"/>
  <c r="EI201" i="44"/>
  <c r="EH201" i="44"/>
  <c r="EG201" i="44"/>
  <c r="EF201" i="44"/>
  <c r="EE201" i="44"/>
  <c r="ED201" i="44"/>
  <c r="EC201" i="44"/>
  <c r="EB201" i="44"/>
  <c r="EA201" i="44"/>
  <c r="DZ201" i="44"/>
  <c r="DY201" i="44"/>
  <c r="DX201" i="44"/>
  <c r="DW201" i="44"/>
  <c r="GM200" i="44"/>
  <c r="GK200" i="44"/>
  <c r="GJ200" i="44"/>
  <c r="GI200" i="44"/>
  <c r="GH200" i="44"/>
  <c r="GG200" i="44"/>
  <c r="GF200" i="44"/>
  <c r="GE200" i="44"/>
  <c r="GD200" i="44"/>
  <c r="GC200" i="44"/>
  <c r="GB200" i="44"/>
  <c r="GA200" i="44"/>
  <c r="FZ200" i="44"/>
  <c r="FY200" i="44"/>
  <c r="FT200" i="44"/>
  <c r="FS200" i="44"/>
  <c r="FR200" i="44"/>
  <c r="FQ200" i="44"/>
  <c r="FP200" i="44"/>
  <c r="FO200" i="44"/>
  <c r="FN200" i="44"/>
  <c r="FM200" i="44"/>
  <c r="FL200" i="44"/>
  <c r="FK200" i="44"/>
  <c r="FJ200" i="44"/>
  <c r="FI200" i="44"/>
  <c r="FH200" i="44"/>
  <c r="FG200" i="44"/>
  <c r="FF200" i="44"/>
  <c r="FE200" i="44"/>
  <c r="FD200" i="44"/>
  <c r="FC200" i="44"/>
  <c r="FB200" i="44"/>
  <c r="FA200" i="44"/>
  <c r="EZ200" i="44"/>
  <c r="EY200" i="44"/>
  <c r="EX200" i="44"/>
  <c r="EW200" i="44"/>
  <c r="EV200" i="44"/>
  <c r="EU200" i="44"/>
  <c r="ES200" i="44"/>
  <c r="ER200" i="44"/>
  <c r="EQ200" i="44"/>
  <c r="EP200" i="44"/>
  <c r="EO200" i="44"/>
  <c r="EN200" i="44"/>
  <c r="EM200" i="44"/>
  <c r="EG200" i="44"/>
  <c r="EE200" i="44"/>
  <c r="ED200" i="44"/>
  <c r="EC200" i="44"/>
  <c r="DZ200" i="44"/>
  <c r="DY200" i="44"/>
  <c r="DW200" i="44"/>
  <c r="GM199" i="44"/>
  <c r="GK199" i="44"/>
  <c r="GJ199" i="44"/>
  <c r="GI199" i="44"/>
  <c r="GH199" i="44"/>
  <c r="GG199" i="44"/>
  <c r="GF199" i="44"/>
  <c r="GE199" i="44"/>
  <c r="GD199" i="44"/>
  <c r="GC199" i="44"/>
  <c r="GB199" i="44"/>
  <c r="GA199" i="44"/>
  <c r="FZ199" i="44"/>
  <c r="FY199" i="44"/>
  <c r="FT199" i="44"/>
  <c r="FS199" i="44"/>
  <c r="FR199" i="44"/>
  <c r="FQ199" i="44"/>
  <c r="FP199" i="44"/>
  <c r="FO199" i="44"/>
  <c r="FN199" i="44"/>
  <c r="FM199" i="44"/>
  <c r="FL199" i="44"/>
  <c r="FK199" i="44"/>
  <c r="FJ199" i="44"/>
  <c r="FI199" i="44"/>
  <c r="FH199" i="44"/>
  <c r="FG199" i="44"/>
  <c r="FF199" i="44"/>
  <c r="FE199" i="44"/>
  <c r="FD199" i="44"/>
  <c r="FC199" i="44"/>
  <c r="FB199" i="44"/>
  <c r="FA199" i="44"/>
  <c r="EZ199" i="44"/>
  <c r="EY199" i="44"/>
  <c r="EX199" i="44"/>
  <c r="EW199" i="44"/>
  <c r="EV199" i="44"/>
  <c r="EU199" i="44"/>
  <c r="ES199" i="44"/>
  <c r="ER199" i="44"/>
  <c r="EQ199" i="44"/>
  <c r="EP199" i="44"/>
  <c r="EO199" i="44"/>
  <c r="EN199" i="44"/>
  <c r="EM199" i="44"/>
  <c r="EG199" i="44"/>
  <c r="EE199" i="44"/>
  <c r="ED199" i="44"/>
  <c r="EC199" i="44"/>
  <c r="DZ199" i="44"/>
  <c r="DY199" i="44"/>
  <c r="DW199" i="44"/>
  <c r="GM198" i="44"/>
  <c r="GK198" i="44"/>
  <c r="GJ198" i="44"/>
  <c r="GI198" i="44"/>
  <c r="GH198" i="44"/>
  <c r="GG198" i="44"/>
  <c r="GF198" i="44"/>
  <c r="GE198" i="44"/>
  <c r="GD198" i="44"/>
  <c r="GC198" i="44"/>
  <c r="GB198" i="44"/>
  <c r="GA198" i="44"/>
  <c r="FZ198" i="44"/>
  <c r="FY198" i="44"/>
  <c r="FT198" i="44"/>
  <c r="FS198" i="44"/>
  <c r="FR198" i="44"/>
  <c r="FQ198" i="44"/>
  <c r="FP198" i="44"/>
  <c r="FO198" i="44"/>
  <c r="FN198" i="44"/>
  <c r="FM198" i="44"/>
  <c r="FL198" i="44"/>
  <c r="FK198" i="44"/>
  <c r="FJ198" i="44"/>
  <c r="FI198" i="44"/>
  <c r="FH198" i="44"/>
  <c r="FG198" i="44"/>
  <c r="FF198" i="44"/>
  <c r="FE198" i="44"/>
  <c r="FD198" i="44"/>
  <c r="FC198" i="44"/>
  <c r="FB198" i="44"/>
  <c r="FA198" i="44"/>
  <c r="EZ198" i="44"/>
  <c r="EY198" i="44"/>
  <c r="EX198" i="44"/>
  <c r="EW198" i="44"/>
  <c r="EV198" i="44"/>
  <c r="EU198" i="44"/>
  <c r="ES198" i="44"/>
  <c r="ER198" i="44"/>
  <c r="EQ198" i="44"/>
  <c r="EP198" i="44"/>
  <c r="EO198" i="44"/>
  <c r="EN198" i="44"/>
  <c r="EM198" i="44"/>
  <c r="EG198" i="44"/>
  <c r="EE198" i="44"/>
  <c r="ED198" i="44"/>
  <c r="EC198" i="44"/>
  <c r="DZ198" i="44"/>
  <c r="DY198" i="44"/>
  <c r="DW198" i="44"/>
  <c r="GM197" i="44"/>
  <c r="GK197" i="44"/>
  <c r="GJ197" i="44"/>
  <c r="GI197" i="44"/>
  <c r="GH197" i="44"/>
  <c r="GG197" i="44"/>
  <c r="GF197" i="44"/>
  <c r="GE197" i="44"/>
  <c r="GD197" i="44"/>
  <c r="GC197" i="44"/>
  <c r="GB197" i="44"/>
  <c r="GA197" i="44"/>
  <c r="FZ197" i="44"/>
  <c r="FY197" i="44"/>
  <c r="FT197" i="44"/>
  <c r="FS197" i="44"/>
  <c r="FR197" i="44"/>
  <c r="FQ197" i="44"/>
  <c r="FP197" i="44"/>
  <c r="FO197" i="44"/>
  <c r="FN197" i="44"/>
  <c r="FM197" i="44"/>
  <c r="FL197" i="44"/>
  <c r="FK197" i="44"/>
  <c r="FJ197" i="44"/>
  <c r="FI197" i="44"/>
  <c r="FH197" i="44"/>
  <c r="FG197" i="44"/>
  <c r="FF197" i="44"/>
  <c r="FE197" i="44"/>
  <c r="FD197" i="44"/>
  <c r="FC197" i="44"/>
  <c r="FB197" i="44"/>
  <c r="FA197" i="44"/>
  <c r="EZ197" i="44"/>
  <c r="EY197" i="44"/>
  <c r="EX197" i="44"/>
  <c r="EW197" i="44"/>
  <c r="EV197" i="44"/>
  <c r="EU197" i="44"/>
  <c r="ES197" i="44"/>
  <c r="ER197" i="44"/>
  <c r="EQ197" i="44"/>
  <c r="EP197" i="44"/>
  <c r="EO197" i="44"/>
  <c r="EN197" i="44"/>
  <c r="EM197" i="44"/>
  <c r="EG197" i="44"/>
  <c r="EE197" i="44"/>
  <c r="ED197" i="44"/>
  <c r="EC197" i="44"/>
  <c r="DZ197" i="44"/>
  <c r="DY197" i="44"/>
  <c r="DW197" i="44"/>
  <c r="GM196" i="44"/>
  <c r="GK196" i="44"/>
  <c r="GJ196" i="44"/>
  <c r="GI196" i="44"/>
  <c r="GH196" i="44"/>
  <c r="GG196" i="44"/>
  <c r="GF196" i="44"/>
  <c r="GE196" i="44"/>
  <c r="GD196" i="44"/>
  <c r="GC196" i="44"/>
  <c r="GB196" i="44"/>
  <c r="GA196" i="44"/>
  <c r="FZ196" i="44"/>
  <c r="FY196" i="44"/>
  <c r="FT196" i="44"/>
  <c r="FS196" i="44"/>
  <c r="FR196" i="44"/>
  <c r="FQ196" i="44"/>
  <c r="FP196" i="44"/>
  <c r="FO196" i="44"/>
  <c r="FN196" i="44"/>
  <c r="FM196" i="44"/>
  <c r="FL196" i="44"/>
  <c r="FK196" i="44"/>
  <c r="FJ196" i="44"/>
  <c r="FI196" i="44"/>
  <c r="FH196" i="44"/>
  <c r="FG196" i="44"/>
  <c r="FF196" i="44"/>
  <c r="FE196" i="44"/>
  <c r="FD196" i="44"/>
  <c r="FC196" i="44"/>
  <c r="FB196" i="44"/>
  <c r="FA196" i="44"/>
  <c r="EZ196" i="44"/>
  <c r="EY196" i="44"/>
  <c r="EX196" i="44"/>
  <c r="EW196" i="44"/>
  <c r="EV196" i="44"/>
  <c r="EU196" i="44"/>
  <c r="ES196" i="44"/>
  <c r="ER196" i="44"/>
  <c r="EQ196" i="44"/>
  <c r="EP196" i="44"/>
  <c r="EO196" i="44"/>
  <c r="EN196" i="44"/>
  <c r="EM196" i="44"/>
  <c r="EG196" i="44"/>
  <c r="EE196" i="44"/>
  <c r="ED196" i="44"/>
  <c r="EC196" i="44"/>
  <c r="DZ196" i="44"/>
  <c r="DY196" i="44"/>
  <c r="DW196" i="44"/>
  <c r="GM195" i="44"/>
  <c r="GK195" i="44"/>
  <c r="GJ195" i="44"/>
  <c r="GI195" i="44"/>
  <c r="GH195" i="44"/>
  <c r="GG195" i="44"/>
  <c r="GF195" i="44"/>
  <c r="GE195" i="44"/>
  <c r="GD195" i="44"/>
  <c r="GC195" i="44"/>
  <c r="GB195" i="44"/>
  <c r="GA195" i="44"/>
  <c r="FZ195" i="44"/>
  <c r="FY195" i="44"/>
  <c r="FT195" i="44"/>
  <c r="FS195" i="44"/>
  <c r="FR195" i="44"/>
  <c r="FQ195" i="44"/>
  <c r="FP195" i="44"/>
  <c r="FO195" i="44"/>
  <c r="FN195" i="44"/>
  <c r="FM195" i="44"/>
  <c r="FL195" i="44"/>
  <c r="FK195" i="44"/>
  <c r="FJ195" i="44"/>
  <c r="FI195" i="44"/>
  <c r="FH195" i="44"/>
  <c r="FG195" i="44"/>
  <c r="FF195" i="44"/>
  <c r="FE195" i="44"/>
  <c r="FD195" i="44"/>
  <c r="FC195" i="44"/>
  <c r="FB195" i="44"/>
  <c r="FA195" i="44"/>
  <c r="EZ195" i="44"/>
  <c r="EY195" i="44"/>
  <c r="EX195" i="44"/>
  <c r="EW195" i="44"/>
  <c r="EV195" i="44"/>
  <c r="EU195" i="44"/>
  <c r="ES195" i="44"/>
  <c r="ER195" i="44"/>
  <c r="EQ195" i="44"/>
  <c r="EP195" i="44"/>
  <c r="EO195" i="44"/>
  <c r="EN195" i="44"/>
  <c r="EM195" i="44"/>
  <c r="EL195" i="44"/>
  <c r="EG195" i="44"/>
  <c r="EE195" i="44"/>
  <c r="ED195" i="44"/>
  <c r="EC195" i="44"/>
  <c r="DZ195" i="44"/>
  <c r="DY195" i="44"/>
  <c r="DW195" i="44"/>
  <c r="GM193" i="44"/>
  <c r="GK193" i="44"/>
  <c r="GJ193" i="44"/>
  <c r="GI193" i="44"/>
  <c r="GH193" i="44"/>
  <c r="GG193" i="44"/>
  <c r="GF193" i="44"/>
  <c r="GE193" i="44"/>
  <c r="GD193" i="44"/>
  <c r="GC193" i="44"/>
  <c r="GB193" i="44"/>
  <c r="GA193" i="44"/>
  <c r="FZ193" i="44"/>
  <c r="FY193" i="44"/>
  <c r="FT193" i="44"/>
  <c r="FS193" i="44"/>
  <c r="FR193" i="44"/>
  <c r="FQ193" i="44"/>
  <c r="FP193" i="44"/>
  <c r="FO193" i="44"/>
  <c r="FN193" i="44"/>
  <c r="FM193" i="44"/>
  <c r="FL193" i="44"/>
  <c r="FK193" i="44"/>
  <c r="FJ193" i="44"/>
  <c r="FI193" i="44"/>
  <c r="FH193" i="44"/>
  <c r="FG193" i="44"/>
  <c r="FF193" i="44"/>
  <c r="FE193" i="44"/>
  <c r="FD193" i="44"/>
  <c r="FC193" i="44"/>
  <c r="FB193" i="44"/>
  <c r="FA193" i="44"/>
  <c r="EZ193" i="44"/>
  <c r="EY193" i="44"/>
  <c r="EX193" i="44"/>
  <c r="EW193" i="44"/>
  <c r="EV193" i="44"/>
  <c r="EU193" i="44"/>
  <c r="ES193" i="44"/>
  <c r="ER193" i="44"/>
  <c r="EQ193" i="44"/>
  <c r="EP193" i="44"/>
  <c r="EO193" i="44"/>
  <c r="EN193" i="44"/>
  <c r="EM193" i="44"/>
  <c r="EL193" i="44"/>
  <c r="EG193" i="44"/>
  <c r="EE193" i="44"/>
  <c r="ED193" i="44"/>
  <c r="EC193" i="44"/>
  <c r="DZ193" i="44"/>
  <c r="DY193" i="44"/>
  <c r="DW193" i="44"/>
  <c r="GM191" i="44"/>
  <c r="GK191" i="44"/>
  <c r="GJ191" i="44"/>
  <c r="GI191" i="44"/>
  <c r="GH191" i="44"/>
  <c r="GG191" i="44"/>
  <c r="GF191" i="44"/>
  <c r="GE191" i="44"/>
  <c r="GD191" i="44"/>
  <c r="GC191" i="44"/>
  <c r="GB191" i="44"/>
  <c r="GA191" i="44"/>
  <c r="FZ191" i="44"/>
  <c r="FY191" i="44"/>
  <c r="FT191" i="44"/>
  <c r="FS191" i="44"/>
  <c r="FR191" i="44"/>
  <c r="FQ191" i="44"/>
  <c r="FP191" i="44"/>
  <c r="FO191" i="44"/>
  <c r="FN191" i="44"/>
  <c r="FM191" i="44"/>
  <c r="FL191" i="44"/>
  <c r="FK191" i="44"/>
  <c r="FJ191" i="44"/>
  <c r="FI191" i="44"/>
  <c r="FH191" i="44"/>
  <c r="FG191" i="44"/>
  <c r="FF191" i="44"/>
  <c r="FE191" i="44"/>
  <c r="FD191" i="44"/>
  <c r="FC191" i="44"/>
  <c r="FB191" i="44"/>
  <c r="FA191" i="44"/>
  <c r="EZ191" i="44"/>
  <c r="EY191" i="44"/>
  <c r="EX191" i="44"/>
  <c r="EW191" i="44"/>
  <c r="EV191" i="44"/>
  <c r="EU191" i="44"/>
  <c r="ES191" i="44"/>
  <c r="ER191" i="44"/>
  <c r="EQ191" i="44"/>
  <c r="EP191" i="44"/>
  <c r="EO191" i="44"/>
  <c r="EN191" i="44"/>
  <c r="EM191" i="44"/>
  <c r="EL191" i="44"/>
  <c r="EG191" i="44"/>
  <c r="EE191" i="44"/>
  <c r="ED191" i="44"/>
  <c r="EC191" i="44"/>
  <c r="DZ191" i="44"/>
  <c r="DY191" i="44"/>
  <c r="DW191" i="44"/>
  <c r="GM190" i="44"/>
  <c r="GK190" i="44"/>
  <c r="GJ190" i="44"/>
  <c r="GI190" i="44"/>
  <c r="GH190" i="44"/>
  <c r="GG190" i="44"/>
  <c r="GF190" i="44"/>
  <c r="GE190" i="44"/>
  <c r="GD190" i="44"/>
  <c r="GC190" i="44"/>
  <c r="GB190" i="44"/>
  <c r="GA190" i="44"/>
  <c r="FZ190" i="44"/>
  <c r="FY190" i="44"/>
  <c r="FT190" i="44"/>
  <c r="FS190" i="44"/>
  <c r="FR190" i="44"/>
  <c r="FQ190" i="44"/>
  <c r="FP190" i="44"/>
  <c r="FO190" i="44"/>
  <c r="FN190" i="44"/>
  <c r="FM190" i="44"/>
  <c r="FL190" i="44"/>
  <c r="FK190" i="44"/>
  <c r="FJ190" i="44"/>
  <c r="FI190" i="44"/>
  <c r="FH190" i="44"/>
  <c r="FG190" i="44"/>
  <c r="FF190" i="44"/>
  <c r="FE190" i="44"/>
  <c r="FD190" i="44"/>
  <c r="FC190" i="44"/>
  <c r="FB190" i="44"/>
  <c r="FA190" i="44"/>
  <c r="EZ190" i="44"/>
  <c r="EY190" i="44"/>
  <c r="EX190" i="44"/>
  <c r="EW190" i="44"/>
  <c r="EV190" i="44"/>
  <c r="EU190" i="44"/>
  <c r="ES190" i="44"/>
  <c r="ER190" i="44"/>
  <c r="EQ190" i="44"/>
  <c r="EP190" i="44"/>
  <c r="EO190" i="44"/>
  <c r="EN190" i="44"/>
  <c r="EM190" i="44"/>
  <c r="EL190" i="44"/>
  <c r="EK190" i="44"/>
  <c r="EJ190" i="44"/>
  <c r="EI190" i="44"/>
  <c r="EH190" i="44"/>
  <c r="EG190" i="44"/>
  <c r="EF190" i="44"/>
  <c r="EE190" i="44"/>
  <c r="ED190" i="44"/>
  <c r="EC190" i="44"/>
  <c r="EB190" i="44"/>
  <c r="EA190" i="44"/>
  <c r="DZ190" i="44"/>
  <c r="DY190" i="44"/>
  <c r="DX190" i="44"/>
  <c r="DW190" i="44"/>
  <c r="GM189" i="44"/>
  <c r="GK189" i="44"/>
  <c r="GJ189" i="44"/>
  <c r="GI189" i="44"/>
  <c r="GH189" i="44"/>
  <c r="GG189" i="44"/>
  <c r="GF189" i="44"/>
  <c r="GE189" i="44"/>
  <c r="GD189" i="44"/>
  <c r="GC189" i="44"/>
  <c r="GB189" i="44"/>
  <c r="GA189" i="44"/>
  <c r="FZ189" i="44"/>
  <c r="FY189" i="44"/>
  <c r="FT189" i="44"/>
  <c r="FS189" i="44"/>
  <c r="FR189" i="44"/>
  <c r="FQ189" i="44"/>
  <c r="FP189" i="44"/>
  <c r="FO189" i="44"/>
  <c r="FN189" i="44"/>
  <c r="FM189" i="44"/>
  <c r="FL189" i="44"/>
  <c r="FK189" i="44"/>
  <c r="FJ189" i="44"/>
  <c r="FI189" i="44"/>
  <c r="FH189" i="44"/>
  <c r="FG189" i="44"/>
  <c r="FF189" i="44"/>
  <c r="FE189" i="44"/>
  <c r="FD189" i="44"/>
  <c r="FC189" i="44"/>
  <c r="FB189" i="44"/>
  <c r="FA189" i="44"/>
  <c r="EZ189" i="44"/>
  <c r="EY189" i="44"/>
  <c r="EX189" i="44"/>
  <c r="EW189" i="44"/>
  <c r="EV189" i="44"/>
  <c r="EU189" i="44"/>
  <c r="ES189" i="44"/>
  <c r="ER189" i="44"/>
  <c r="EQ189" i="44"/>
  <c r="EP189" i="44"/>
  <c r="EO189" i="44"/>
  <c r="EN189" i="44"/>
  <c r="EM189" i="44"/>
  <c r="EL189" i="44"/>
  <c r="EK189" i="44"/>
  <c r="EJ189" i="44"/>
  <c r="EI189" i="44"/>
  <c r="EH189" i="44"/>
  <c r="EG189" i="44"/>
  <c r="EF189" i="44"/>
  <c r="EE189" i="44"/>
  <c r="EB189" i="44"/>
  <c r="DZ189" i="44"/>
  <c r="DY189" i="44"/>
  <c r="DW189" i="44"/>
  <c r="GM188" i="44"/>
  <c r="GK188" i="44"/>
  <c r="GJ188" i="44"/>
  <c r="GI188" i="44"/>
  <c r="GH188" i="44"/>
  <c r="GG188" i="44"/>
  <c r="GF188" i="44"/>
  <c r="GE188" i="44"/>
  <c r="GD188" i="44"/>
  <c r="GC188" i="44"/>
  <c r="GB188" i="44"/>
  <c r="GA188" i="44"/>
  <c r="FZ188" i="44"/>
  <c r="FY188" i="44"/>
  <c r="FT188" i="44"/>
  <c r="FS188" i="44"/>
  <c r="FR188" i="44"/>
  <c r="FQ188" i="44"/>
  <c r="FP188" i="44"/>
  <c r="FO188" i="44"/>
  <c r="FN188" i="44"/>
  <c r="FM188" i="44"/>
  <c r="FL188" i="44"/>
  <c r="FK188" i="44"/>
  <c r="FJ188" i="44"/>
  <c r="FI188" i="44"/>
  <c r="FH188" i="44"/>
  <c r="FG188" i="44"/>
  <c r="FF188" i="44"/>
  <c r="FE188" i="44"/>
  <c r="FD188" i="44"/>
  <c r="FC188" i="44"/>
  <c r="FB188" i="44"/>
  <c r="FA188" i="44"/>
  <c r="EZ188" i="44"/>
  <c r="EY188" i="44"/>
  <c r="EX188" i="44"/>
  <c r="EW188" i="44"/>
  <c r="EV188" i="44"/>
  <c r="EU188" i="44"/>
  <c r="ES188" i="44"/>
  <c r="ER188" i="44"/>
  <c r="EQ188" i="44"/>
  <c r="EP188" i="44"/>
  <c r="EO188" i="44"/>
  <c r="EN188" i="44"/>
  <c r="EM188" i="44"/>
  <c r="EL188" i="44"/>
  <c r="EK188" i="44"/>
  <c r="EJ188" i="44"/>
  <c r="EI188" i="44"/>
  <c r="EH188" i="44"/>
  <c r="EG188" i="44"/>
  <c r="EF188" i="44"/>
  <c r="EE188" i="44"/>
  <c r="ED188" i="44"/>
  <c r="EB188" i="44"/>
  <c r="DZ188" i="44"/>
  <c r="DY188" i="44"/>
  <c r="DW188" i="44"/>
  <c r="GM187" i="44"/>
  <c r="GK187" i="44"/>
  <c r="GJ187" i="44"/>
  <c r="GI187" i="44"/>
  <c r="GH187" i="44"/>
  <c r="GG187" i="44"/>
  <c r="GF187" i="44"/>
  <c r="GE187" i="44"/>
  <c r="GD187" i="44"/>
  <c r="GC187" i="44"/>
  <c r="GB187" i="44"/>
  <c r="GA187" i="44"/>
  <c r="FZ187" i="44"/>
  <c r="FY187" i="44"/>
  <c r="FT187" i="44"/>
  <c r="FS187" i="44"/>
  <c r="FR187" i="44"/>
  <c r="FQ187" i="44"/>
  <c r="FP187" i="44"/>
  <c r="FO187" i="44"/>
  <c r="FN187" i="44"/>
  <c r="FM187" i="44"/>
  <c r="FL187" i="44"/>
  <c r="FK187" i="44"/>
  <c r="FJ187" i="44"/>
  <c r="FI187" i="44"/>
  <c r="FH187" i="44"/>
  <c r="FG187" i="44"/>
  <c r="FF187" i="44"/>
  <c r="FE187" i="44"/>
  <c r="FD187" i="44"/>
  <c r="FC187" i="44"/>
  <c r="FB187" i="44"/>
  <c r="FA187" i="44"/>
  <c r="EZ187" i="44"/>
  <c r="EY187" i="44"/>
  <c r="EX187" i="44"/>
  <c r="EW187" i="44"/>
  <c r="EV187" i="44"/>
  <c r="EU187" i="44"/>
  <c r="ES187" i="44"/>
  <c r="ER187" i="44"/>
  <c r="EQ187" i="44"/>
  <c r="EP187" i="44"/>
  <c r="EO187" i="44"/>
  <c r="EN187" i="44"/>
  <c r="EM187" i="44"/>
  <c r="EL187" i="44"/>
  <c r="EK187" i="44"/>
  <c r="EJ187" i="44"/>
  <c r="EI187" i="44"/>
  <c r="EH187" i="44"/>
  <c r="EG187" i="44"/>
  <c r="EF187" i="44"/>
  <c r="EE187" i="44"/>
  <c r="ED187" i="44"/>
  <c r="EB187" i="44"/>
  <c r="DZ187" i="44"/>
  <c r="DY187" i="44"/>
  <c r="DW187" i="44"/>
  <c r="GM186" i="44"/>
  <c r="GK186" i="44"/>
  <c r="GJ186" i="44"/>
  <c r="GI186" i="44"/>
  <c r="GH186" i="44"/>
  <c r="GG186" i="44"/>
  <c r="GF186" i="44"/>
  <c r="GE186" i="44"/>
  <c r="GD186" i="44"/>
  <c r="GC186" i="44"/>
  <c r="GB186" i="44"/>
  <c r="GA186" i="44"/>
  <c r="FZ186" i="44"/>
  <c r="FY186" i="44"/>
  <c r="FT186" i="44"/>
  <c r="FS186" i="44"/>
  <c r="FR186" i="44"/>
  <c r="FQ186" i="44"/>
  <c r="FP186" i="44"/>
  <c r="FO186" i="44"/>
  <c r="FN186" i="44"/>
  <c r="FM186" i="44"/>
  <c r="FL186" i="44"/>
  <c r="FK186" i="44"/>
  <c r="FJ186" i="44"/>
  <c r="FI186" i="44"/>
  <c r="FH186" i="44"/>
  <c r="FG186" i="44"/>
  <c r="FF186" i="44"/>
  <c r="FE186" i="44"/>
  <c r="FD186" i="44"/>
  <c r="FC186" i="44"/>
  <c r="FB186" i="44"/>
  <c r="FA186" i="44"/>
  <c r="EZ186" i="44"/>
  <c r="EY186" i="44"/>
  <c r="EX186" i="44"/>
  <c r="EW186" i="44"/>
  <c r="EV186" i="44"/>
  <c r="EU186" i="44"/>
  <c r="ES186" i="44"/>
  <c r="ER186" i="44"/>
  <c r="EQ186" i="44"/>
  <c r="EP186" i="44"/>
  <c r="EO186" i="44"/>
  <c r="EN186" i="44"/>
  <c r="EM186" i="44"/>
  <c r="EL186" i="44"/>
  <c r="EK186" i="44"/>
  <c r="EJ186" i="44"/>
  <c r="EI186" i="44"/>
  <c r="EH186" i="44"/>
  <c r="EG186" i="44"/>
  <c r="EF186" i="44"/>
  <c r="EE186" i="44"/>
  <c r="ED186" i="44"/>
  <c r="EC186" i="44"/>
  <c r="EB186" i="44"/>
  <c r="EA186" i="44"/>
  <c r="DZ186" i="44"/>
  <c r="DY186" i="44"/>
  <c r="DX186" i="44"/>
  <c r="DW186" i="44"/>
  <c r="GM185" i="44"/>
  <c r="GK185" i="44"/>
  <c r="GJ185" i="44"/>
  <c r="GI185" i="44"/>
  <c r="GH185" i="44"/>
  <c r="GG185" i="44"/>
  <c r="GF185" i="44"/>
  <c r="GE185" i="44"/>
  <c r="GD185" i="44"/>
  <c r="GC185" i="44"/>
  <c r="GB185" i="44"/>
  <c r="GA185" i="44"/>
  <c r="FZ185" i="44"/>
  <c r="FY185" i="44"/>
  <c r="FT185" i="44"/>
  <c r="FS185" i="44"/>
  <c r="FR185" i="44"/>
  <c r="FQ185" i="44"/>
  <c r="FP185" i="44"/>
  <c r="FO185" i="44"/>
  <c r="FN185" i="44"/>
  <c r="FM185" i="44"/>
  <c r="FL185" i="44"/>
  <c r="FK185" i="44"/>
  <c r="FJ185" i="44"/>
  <c r="FI185" i="44"/>
  <c r="FH185" i="44"/>
  <c r="FG185" i="44"/>
  <c r="FF185" i="44"/>
  <c r="FE185" i="44"/>
  <c r="FD185" i="44"/>
  <c r="FC185" i="44"/>
  <c r="FB185" i="44"/>
  <c r="FA185" i="44"/>
  <c r="EZ185" i="44"/>
  <c r="EY185" i="44"/>
  <c r="EX185" i="44"/>
  <c r="EW185" i="44"/>
  <c r="EV185" i="44"/>
  <c r="EU185" i="44"/>
  <c r="ES185" i="44"/>
  <c r="ER185" i="44"/>
  <c r="EQ185" i="44"/>
  <c r="EP185" i="44"/>
  <c r="EO185" i="44"/>
  <c r="EN185" i="44"/>
  <c r="EM185" i="44"/>
  <c r="EG185" i="44"/>
  <c r="EE185" i="44"/>
  <c r="ED185" i="44"/>
  <c r="EC185" i="44"/>
  <c r="DZ185" i="44"/>
  <c r="DY185" i="44"/>
  <c r="DW185" i="44"/>
  <c r="GM184" i="44"/>
  <c r="GK184" i="44"/>
  <c r="GJ184" i="44"/>
  <c r="GI184" i="44"/>
  <c r="GH184" i="44"/>
  <c r="GG184" i="44"/>
  <c r="GF184" i="44"/>
  <c r="GE184" i="44"/>
  <c r="GD184" i="44"/>
  <c r="GC184" i="44"/>
  <c r="GB184" i="44"/>
  <c r="GA184" i="44"/>
  <c r="FZ184" i="44"/>
  <c r="FY184" i="44"/>
  <c r="FT184" i="44"/>
  <c r="FS184" i="44"/>
  <c r="FR184" i="44"/>
  <c r="FQ184" i="44"/>
  <c r="FP184" i="44"/>
  <c r="FO184" i="44"/>
  <c r="FN184" i="44"/>
  <c r="FM184" i="44"/>
  <c r="FL184" i="44"/>
  <c r="FK184" i="44"/>
  <c r="FJ184" i="44"/>
  <c r="FI184" i="44"/>
  <c r="FH184" i="44"/>
  <c r="FG184" i="44"/>
  <c r="FF184" i="44"/>
  <c r="FE184" i="44"/>
  <c r="FD184" i="44"/>
  <c r="FC184" i="44"/>
  <c r="FB184" i="44"/>
  <c r="FA184" i="44"/>
  <c r="EZ184" i="44"/>
  <c r="EY184" i="44"/>
  <c r="EX184" i="44"/>
  <c r="EW184" i="44"/>
  <c r="EV184" i="44"/>
  <c r="EU184" i="44"/>
  <c r="ES184" i="44"/>
  <c r="ER184" i="44"/>
  <c r="EQ184" i="44"/>
  <c r="EP184" i="44"/>
  <c r="EO184" i="44"/>
  <c r="EN184" i="44"/>
  <c r="EM184" i="44"/>
  <c r="EG184" i="44"/>
  <c r="EE184" i="44"/>
  <c r="ED184" i="44"/>
  <c r="EC184" i="44"/>
  <c r="DZ184" i="44"/>
  <c r="DY184" i="44"/>
  <c r="DW184" i="44"/>
  <c r="GM183" i="44"/>
  <c r="GK183" i="44"/>
  <c r="GJ183" i="44"/>
  <c r="GI183" i="44"/>
  <c r="GH183" i="44"/>
  <c r="GG183" i="44"/>
  <c r="GF183" i="44"/>
  <c r="GE183" i="44"/>
  <c r="GD183" i="44"/>
  <c r="GC183" i="44"/>
  <c r="GB183" i="44"/>
  <c r="GA183" i="44"/>
  <c r="FZ183" i="44"/>
  <c r="FY183" i="44"/>
  <c r="FT183" i="44"/>
  <c r="FS183" i="44"/>
  <c r="FR183" i="44"/>
  <c r="FQ183" i="44"/>
  <c r="FP183" i="44"/>
  <c r="FO183" i="44"/>
  <c r="FN183" i="44"/>
  <c r="FM183" i="44"/>
  <c r="FL183" i="44"/>
  <c r="FK183" i="44"/>
  <c r="FJ183" i="44"/>
  <c r="FI183" i="44"/>
  <c r="FH183" i="44"/>
  <c r="FG183" i="44"/>
  <c r="FF183" i="44"/>
  <c r="FE183" i="44"/>
  <c r="FD183" i="44"/>
  <c r="FC183" i="44"/>
  <c r="FB183" i="44"/>
  <c r="FA183" i="44"/>
  <c r="EZ183" i="44"/>
  <c r="EY183" i="44"/>
  <c r="EX183" i="44"/>
  <c r="EW183" i="44"/>
  <c r="EV183" i="44"/>
  <c r="EU183" i="44"/>
  <c r="ES183" i="44"/>
  <c r="ER183" i="44"/>
  <c r="EQ183" i="44"/>
  <c r="EP183" i="44"/>
  <c r="EO183" i="44"/>
  <c r="EN183" i="44"/>
  <c r="EM183" i="44"/>
  <c r="EL183" i="44"/>
  <c r="EK183" i="44"/>
  <c r="EJ183" i="44"/>
  <c r="EI183" i="44"/>
  <c r="EH183" i="44"/>
  <c r="EG183" i="44"/>
  <c r="EF183" i="44"/>
  <c r="EE183" i="44"/>
  <c r="ED183" i="44"/>
  <c r="EC183" i="44"/>
  <c r="EB183" i="44"/>
  <c r="EA183" i="44"/>
  <c r="DZ183" i="44"/>
  <c r="DY183" i="44"/>
  <c r="DX183" i="44"/>
  <c r="DW183" i="44"/>
  <c r="GM182" i="44"/>
  <c r="GK182" i="44"/>
  <c r="GJ182" i="44"/>
  <c r="GI182" i="44"/>
  <c r="GH182" i="44"/>
  <c r="GG182" i="44"/>
  <c r="GF182" i="44"/>
  <c r="GE182" i="44"/>
  <c r="GD182" i="44"/>
  <c r="GC182" i="44"/>
  <c r="GB182" i="44"/>
  <c r="GA182" i="44"/>
  <c r="FZ182" i="44"/>
  <c r="FY182" i="44"/>
  <c r="FT182" i="44"/>
  <c r="FS182" i="44"/>
  <c r="FR182" i="44"/>
  <c r="FQ182" i="44"/>
  <c r="FP182" i="44"/>
  <c r="FO182" i="44"/>
  <c r="FN182" i="44"/>
  <c r="FL182" i="44"/>
  <c r="FK182" i="44"/>
  <c r="FG182" i="44"/>
  <c r="FF182" i="44"/>
  <c r="FE182" i="44"/>
  <c r="FD182" i="44"/>
  <c r="FC182" i="44"/>
  <c r="FB182" i="44"/>
  <c r="FA182" i="44"/>
  <c r="EZ182" i="44"/>
  <c r="EY182" i="44"/>
  <c r="EW182" i="44"/>
  <c r="EV182" i="44"/>
  <c r="EU182" i="44"/>
  <c r="ES182" i="44"/>
  <c r="ER182" i="44"/>
  <c r="EQ182" i="44"/>
  <c r="EP182" i="44"/>
  <c r="EO182" i="44"/>
  <c r="EN182" i="44"/>
  <c r="EM182" i="44"/>
  <c r="EL182" i="44"/>
  <c r="EK182" i="44"/>
  <c r="EJ182" i="44"/>
  <c r="EI182" i="44"/>
  <c r="EH182" i="44"/>
  <c r="EG182" i="44"/>
  <c r="EF182" i="44"/>
  <c r="EE182" i="44"/>
  <c r="ED182" i="44"/>
  <c r="EC182" i="44"/>
  <c r="EB182" i="44"/>
  <c r="EA182" i="44"/>
  <c r="DZ182" i="44"/>
  <c r="DY182" i="44"/>
  <c r="DX182" i="44"/>
  <c r="DW182" i="44"/>
  <c r="GM181" i="44"/>
  <c r="GK181" i="44"/>
  <c r="GJ181" i="44"/>
  <c r="GI181" i="44"/>
  <c r="GH181" i="44"/>
  <c r="GG181" i="44"/>
  <c r="GF181" i="44"/>
  <c r="GE181" i="44"/>
  <c r="GD181" i="44"/>
  <c r="GC181" i="44"/>
  <c r="GB181" i="44"/>
  <c r="GA181" i="44"/>
  <c r="FZ181" i="44"/>
  <c r="FY181" i="44"/>
  <c r="FT181" i="44"/>
  <c r="FS181" i="44"/>
  <c r="FR181" i="44"/>
  <c r="FQ181" i="44"/>
  <c r="FP181" i="44"/>
  <c r="FO181" i="44"/>
  <c r="FN181" i="44"/>
  <c r="FM181" i="44"/>
  <c r="FL181" i="44"/>
  <c r="FK181" i="44"/>
  <c r="FJ181" i="44"/>
  <c r="FI181" i="44"/>
  <c r="FH181" i="44"/>
  <c r="FG181" i="44"/>
  <c r="FF181" i="44"/>
  <c r="FE181" i="44"/>
  <c r="FD181" i="44"/>
  <c r="FC181" i="44"/>
  <c r="FB181" i="44"/>
  <c r="FA181" i="44"/>
  <c r="EZ181" i="44"/>
  <c r="EY181" i="44"/>
  <c r="EX181" i="44"/>
  <c r="EW181" i="44"/>
  <c r="EV181" i="44"/>
  <c r="EU181" i="44"/>
  <c r="ES181" i="44"/>
  <c r="ER181" i="44"/>
  <c r="EQ181" i="44"/>
  <c r="EP181" i="44"/>
  <c r="EO181" i="44"/>
  <c r="EN181" i="44"/>
  <c r="EM181" i="44"/>
  <c r="EL181" i="44"/>
  <c r="EK181" i="44"/>
  <c r="EJ181" i="44"/>
  <c r="EI181" i="44"/>
  <c r="EH181" i="44"/>
  <c r="EG181" i="44"/>
  <c r="EF181" i="44"/>
  <c r="EE181" i="44"/>
  <c r="ED181" i="44"/>
  <c r="EC181" i="44"/>
  <c r="EB181" i="44"/>
  <c r="EA181" i="44"/>
  <c r="DZ181" i="44"/>
  <c r="DY181" i="44"/>
  <c r="DX181" i="44"/>
  <c r="DW181" i="44"/>
  <c r="GM180" i="44"/>
  <c r="GK180" i="44"/>
  <c r="GJ180" i="44"/>
  <c r="GI180" i="44"/>
  <c r="GH180" i="44"/>
  <c r="GG180" i="44"/>
  <c r="GF180" i="44"/>
  <c r="GE180" i="44"/>
  <c r="GD180" i="44"/>
  <c r="GC180" i="44"/>
  <c r="GB180" i="44"/>
  <c r="GA180" i="44"/>
  <c r="FZ180" i="44"/>
  <c r="FY180" i="44"/>
  <c r="FT180" i="44"/>
  <c r="FS180" i="44"/>
  <c r="FR180" i="44"/>
  <c r="FQ180" i="44"/>
  <c r="FP180" i="44"/>
  <c r="FO180" i="44"/>
  <c r="FN180" i="44"/>
  <c r="FM180" i="44"/>
  <c r="FL180" i="44"/>
  <c r="FK180" i="44"/>
  <c r="FJ180" i="44"/>
  <c r="FI180" i="44"/>
  <c r="FH180" i="44"/>
  <c r="FG180" i="44"/>
  <c r="FF180" i="44"/>
  <c r="FE180" i="44"/>
  <c r="FD180" i="44"/>
  <c r="FC180" i="44"/>
  <c r="FB180" i="44"/>
  <c r="FA180" i="44"/>
  <c r="EZ180" i="44"/>
  <c r="EY180" i="44"/>
  <c r="EX180" i="44"/>
  <c r="EW180" i="44"/>
  <c r="EU180" i="44"/>
  <c r="ES180" i="44"/>
  <c r="EQ180" i="44"/>
  <c r="EM180" i="44"/>
  <c r="EL180" i="44"/>
  <c r="EK180" i="44"/>
  <c r="EJ180" i="44"/>
  <c r="EI180" i="44"/>
  <c r="EH180" i="44"/>
  <c r="EG180" i="44"/>
  <c r="EE180" i="44"/>
  <c r="ED180" i="44"/>
  <c r="EC180" i="44"/>
  <c r="DZ180" i="44"/>
  <c r="DY180" i="44"/>
  <c r="DW180" i="44"/>
  <c r="GM179" i="44"/>
  <c r="GK179" i="44"/>
  <c r="GJ179" i="44"/>
  <c r="GI179" i="44"/>
  <c r="GH179" i="44"/>
  <c r="GG179" i="44"/>
  <c r="GF179" i="44"/>
  <c r="GE179" i="44"/>
  <c r="GD179" i="44"/>
  <c r="GC179" i="44"/>
  <c r="GB179" i="44"/>
  <c r="GA179" i="44"/>
  <c r="FZ179" i="44"/>
  <c r="FY179" i="44"/>
  <c r="FT179" i="44"/>
  <c r="FS179" i="44"/>
  <c r="FR179" i="44"/>
  <c r="FQ179" i="44"/>
  <c r="FP179" i="44"/>
  <c r="FO179" i="44"/>
  <c r="FN179" i="44"/>
  <c r="FM179" i="44"/>
  <c r="FL179" i="44"/>
  <c r="FK179" i="44"/>
  <c r="FJ179" i="44"/>
  <c r="FI179" i="44"/>
  <c r="FH179" i="44"/>
  <c r="FG179" i="44"/>
  <c r="FF179" i="44"/>
  <c r="FE179" i="44"/>
  <c r="FD179" i="44"/>
  <c r="FC179" i="44"/>
  <c r="FB179" i="44"/>
  <c r="FA179" i="44"/>
  <c r="EZ179" i="44"/>
  <c r="EY179" i="44"/>
  <c r="EX179" i="44"/>
  <c r="EW179" i="44"/>
  <c r="EU179" i="44"/>
  <c r="ES179" i="44"/>
  <c r="EQ179" i="44"/>
  <c r="EM179" i="44"/>
  <c r="EL179" i="44"/>
  <c r="EK179" i="44"/>
  <c r="EJ179" i="44"/>
  <c r="EI179" i="44"/>
  <c r="EH179" i="44"/>
  <c r="EG179" i="44"/>
  <c r="EE179" i="44"/>
  <c r="ED179" i="44"/>
  <c r="EC179" i="44"/>
  <c r="DZ179" i="44"/>
  <c r="DY179" i="44"/>
  <c r="DW179" i="44"/>
  <c r="GM178" i="44"/>
  <c r="GK178" i="44"/>
  <c r="GJ178" i="44"/>
  <c r="GI178" i="44"/>
  <c r="GH178" i="44"/>
  <c r="GG178" i="44"/>
  <c r="GF178" i="44"/>
  <c r="GE178" i="44"/>
  <c r="GD178" i="44"/>
  <c r="GC178" i="44"/>
  <c r="GB178" i="44"/>
  <c r="GA178" i="44"/>
  <c r="FZ178" i="44"/>
  <c r="FY178" i="44"/>
  <c r="FT178" i="44"/>
  <c r="FS178" i="44"/>
  <c r="FR178" i="44"/>
  <c r="FQ178" i="44"/>
  <c r="FP178" i="44"/>
  <c r="FO178" i="44"/>
  <c r="FN178" i="44"/>
  <c r="FM178" i="44"/>
  <c r="FL178" i="44"/>
  <c r="FK178" i="44"/>
  <c r="FJ178" i="44"/>
  <c r="FI178" i="44"/>
  <c r="FH178" i="44"/>
  <c r="FG178" i="44"/>
  <c r="FF178" i="44"/>
  <c r="FE178" i="44"/>
  <c r="FD178" i="44"/>
  <c r="FC178" i="44"/>
  <c r="FB178" i="44"/>
  <c r="FA178" i="44"/>
  <c r="EZ178" i="44"/>
  <c r="EY178" i="44"/>
  <c r="EX178" i="44"/>
  <c r="EW178" i="44"/>
  <c r="EU178" i="44"/>
  <c r="ES178" i="44"/>
  <c r="EQ178" i="44"/>
  <c r="EM178" i="44"/>
  <c r="EL178" i="44"/>
  <c r="EK178" i="44"/>
  <c r="EJ178" i="44"/>
  <c r="EI178" i="44"/>
  <c r="EH178" i="44"/>
  <c r="EG178" i="44"/>
  <c r="EE178" i="44"/>
  <c r="ED178" i="44"/>
  <c r="EC178" i="44"/>
  <c r="DZ178" i="44"/>
  <c r="DY178" i="44"/>
  <c r="DW178" i="44"/>
  <c r="GM177" i="44"/>
  <c r="GK177" i="44"/>
  <c r="GJ177" i="44"/>
  <c r="GI177" i="44"/>
  <c r="GH177" i="44"/>
  <c r="GG177" i="44"/>
  <c r="GF177" i="44"/>
  <c r="GE177" i="44"/>
  <c r="GD177" i="44"/>
  <c r="GC177" i="44"/>
  <c r="GB177" i="44"/>
  <c r="GA177" i="44"/>
  <c r="FZ177" i="44"/>
  <c r="FY177" i="44"/>
  <c r="FT177" i="44"/>
  <c r="FS177" i="44"/>
  <c r="FR177" i="44"/>
  <c r="FQ177" i="44"/>
  <c r="FP177" i="44"/>
  <c r="FO177" i="44"/>
  <c r="FN177" i="44"/>
  <c r="FM177" i="44"/>
  <c r="FL177" i="44"/>
  <c r="FK177" i="44"/>
  <c r="FJ177" i="44"/>
  <c r="FI177" i="44"/>
  <c r="FH177" i="44"/>
  <c r="FG177" i="44"/>
  <c r="FF177" i="44"/>
  <c r="FE177" i="44"/>
  <c r="FD177" i="44"/>
  <c r="FC177" i="44"/>
  <c r="FB177" i="44"/>
  <c r="FA177" i="44"/>
  <c r="EZ177" i="44"/>
  <c r="EY177" i="44"/>
  <c r="EX177" i="44"/>
  <c r="EW177" i="44"/>
  <c r="EU177" i="44"/>
  <c r="ES177" i="44"/>
  <c r="EQ177" i="44"/>
  <c r="EM177" i="44"/>
  <c r="EL177" i="44"/>
  <c r="EK177" i="44"/>
  <c r="EJ177" i="44"/>
  <c r="EI177" i="44"/>
  <c r="EH177" i="44"/>
  <c r="EG177" i="44"/>
  <c r="EE177" i="44"/>
  <c r="ED177" i="44"/>
  <c r="EC177" i="44"/>
  <c r="DZ177" i="44"/>
  <c r="DY177" i="44"/>
  <c r="DW177" i="44"/>
  <c r="GM176" i="44"/>
  <c r="GK176" i="44"/>
  <c r="GJ176" i="44"/>
  <c r="GI176" i="44"/>
  <c r="GH176" i="44"/>
  <c r="GG176" i="44"/>
  <c r="GF176" i="44"/>
  <c r="GE176" i="44"/>
  <c r="GD176" i="44"/>
  <c r="GC176" i="44"/>
  <c r="GB176" i="44"/>
  <c r="GA176" i="44"/>
  <c r="FZ176" i="44"/>
  <c r="FY176" i="44"/>
  <c r="FT176" i="44"/>
  <c r="FS176" i="44"/>
  <c r="FR176" i="44"/>
  <c r="FQ176" i="44"/>
  <c r="FP176" i="44"/>
  <c r="FO176" i="44"/>
  <c r="FN176" i="44"/>
  <c r="FM176" i="44"/>
  <c r="FL176" i="44"/>
  <c r="FK176" i="44"/>
  <c r="FJ176" i="44"/>
  <c r="FI176" i="44"/>
  <c r="FH176" i="44"/>
  <c r="FG176" i="44"/>
  <c r="FF176" i="44"/>
  <c r="FE176" i="44"/>
  <c r="FD176" i="44"/>
  <c r="FC176" i="44"/>
  <c r="FB176" i="44"/>
  <c r="FA176" i="44"/>
  <c r="EZ176" i="44"/>
  <c r="EY176" i="44"/>
  <c r="EX176" i="44"/>
  <c r="EW176" i="44"/>
  <c r="EU176" i="44"/>
  <c r="ES176" i="44"/>
  <c r="EQ176" i="44"/>
  <c r="EM176" i="44"/>
  <c r="EL176" i="44"/>
  <c r="EK176" i="44"/>
  <c r="EJ176" i="44"/>
  <c r="EI176" i="44"/>
  <c r="EH176" i="44"/>
  <c r="EG176" i="44"/>
  <c r="EE176" i="44"/>
  <c r="ED176" i="44"/>
  <c r="EC176" i="44"/>
  <c r="DZ176" i="44"/>
  <c r="DY176" i="44"/>
  <c r="DW176" i="44"/>
  <c r="GM175" i="44"/>
  <c r="GK175" i="44"/>
  <c r="GJ175" i="44"/>
  <c r="GI175" i="44"/>
  <c r="GH175" i="44"/>
  <c r="GG175" i="44"/>
  <c r="GF175" i="44"/>
  <c r="GE175" i="44"/>
  <c r="GD175" i="44"/>
  <c r="GC175" i="44"/>
  <c r="GB175" i="44"/>
  <c r="GA175" i="44"/>
  <c r="FZ175" i="44"/>
  <c r="FY175" i="44"/>
  <c r="FT175" i="44"/>
  <c r="FS175" i="44"/>
  <c r="FR175" i="44"/>
  <c r="FQ175" i="44"/>
  <c r="FP175" i="44"/>
  <c r="FO175" i="44"/>
  <c r="FN175" i="44"/>
  <c r="FM175" i="44"/>
  <c r="FL175" i="44"/>
  <c r="FK175" i="44"/>
  <c r="FJ175" i="44"/>
  <c r="FI175" i="44"/>
  <c r="FH175" i="44"/>
  <c r="FG175" i="44"/>
  <c r="FF175" i="44"/>
  <c r="FE175" i="44"/>
  <c r="FD175" i="44"/>
  <c r="FC175" i="44"/>
  <c r="FB175" i="44"/>
  <c r="FA175" i="44"/>
  <c r="EZ175" i="44"/>
  <c r="EY175" i="44"/>
  <c r="EX175" i="44"/>
  <c r="EW175" i="44"/>
  <c r="EV175" i="44"/>
  <c r="EU175" i="44"/>
  <c r="ES175" i="44"/>
  <c r="ER175" i="44"/>
  <c r="EQ175" i="44"/>
  <c r="EP175" i="44"/>
  <c r="EO175" i="44"/>
  <c r="EN175" i="44"/>
  <c r="EM175" i="44"/>
  <c r="EL175" i="44"/>
  <c r="EK175" i="44"/>
  <c r="EJ175" i="44"/>
  <c r="EI175" i="44"/>
  <c r="EH175" i="44"/>
  <c r="EG175" i="44"/>
  <c r="EF175" i="44"/>
  <c r="EE175" i="44"/>
  <c r="ED175" i="44"/>
  <c r="EC175" i="44"/>
  <c r="EB175" i="44"/>
  <c r="EA175" i="44"/>
  <c r="DZ175" i="44"/>
  <c r="DY175" i="44"/>
  <c r="DX175" i="44"/>
  <c r="DW175" i="44"/>
  <c r="GM173" i="44"/>
  <c r="GK173" i="44"/>
  <c r="GJ173" i="44"/>
  <c r="GI173" i="44"/>
  <c r="GH173" i="44"/>
  <c r="GG173" i="44"/>
  <c r="GF173" i="44"/>
  <c r="GE173" i="44"/>
  <c r="GD173" i="44"/>
  <c r="GC173" i="44"/>
  <c r="GB173" i="44"/>
  <c r="GA173" i="44"/>
  <c r="FZ173" i="44"/>
  <c r="FY173" i="44"/>
  <c r="FT173" i="44"/>
  <c r="FS173" i="44"/>
  <c r="FR173" i="44"/>
  <c r="FQ173" i="44"/>
  <c r="FP173" i="44"/>
  <c r="FO173" i="44"/>
  <c r="FN173" i="44"/>
  <c r="FM173" i="44"/>
  <c r="FL173" i="44"/>
  <c r="FK173" i="44"/>
  <c r="FJ173" i="44"/>
  <c r="FI173" i="44"/>
  <c r="FH173" i="44"/>
  <c r="FG173" i="44"/>
  <c r="FF173" i="44"/>
  <c r="FE173" i="44"/>
  <c r="FD173" i="44"/>
  <c r="FC173" i="44"/>
  <c r="FB173" i="44"/>
  <c r="FA173" i="44"/>
  <c r="EZ173" i="44"/>
  <c r="EY173" i="44"/>
  <c r="EX173" i="44"/>
  <c r="EW173" i="44"/>
  <c r="EV173" i="44"/>
  <c r="EU173" i="44"/>
  <c r="ES173" i="44"/>
  <c r="ER173" i="44"/>
  <c r="EQ173" i="44"/>
  <c r="EP173" i="44"/>
  <c r="EO173" i="44"/>
  <c r="EN173" i="44"/>
  <c r="EM173" i="44"/>
  <c r="EL173" i="44"/>
  <c r="EK173" i="44"/>
  <c r="EG173" i="44"/>
  <c r="EE173" i="44"/>
  <c r="ED173" i="44"/>
  <c r="EC173" i="44"/>
  <c r="DZ173" i="44"/>
  <c r="DY173" i="44"/>
  <c r="DW173" i="44"/>
  <c r="GM171" i="44"/>
  <c r="GK171" i="44"/>
  <c r="GJ171" i="44"/>
  <c r="GI171" i="44"/>
  <c r="GH171" i="44"/>
  <c r="GG171" i="44"/>
  <c r="GF171" i="44"/>
  <c r="GE171" i="44"/>
  <c r="GD171" i="44"/>
  <c r="GC171" i="44"/>
  <c r="GB171" i="44"/>
  <c r="GA171" i="44"/>
  <c r="FZ171" i="44"/>
  <c r="FY171" i="44"/>
  <c r="FT171" i="44"/>
  <c r="FS171" i="44"/>
  <c r="FR171" i="44"/>
  <c r="FQ171" i="44"/>
  <c r="FP171" i="44"/>
  <c r="FO171" i="44"/>
  <c r="FN171" i="44"/>
  <c r="FM171" i="44"/>
  <c r="FL171" i="44"/>
  <c r="FK171" i="44"/>
  <c r="FJ171" i="44"/>
  <c r="FI171" i="44"/>
  <c r="FH171" i="44"/>
  <c r="FG171" i="44"/>
  <c r="FF171" i="44"/>
  <c r="FE171" i="44"/>
  <c r="FD171" i="44"/>
  <c r="FC171" i="44"/>
  <c r="FB171" i="44"/>
  <c r="FA171" i="44"/>
  <c r="EZ171" i="44"/>
  <c r="EY171" i="44"/>
  <c r="EX171" i="44"/>
  <c r="EW171" i="44"/>
  <c r="EV171" i="44"/>
  <c r="EU171" i="44"/>
  <c r="ES171" i="44"/>
  <c r="ER171" i="44"/>
  <c r="EQ171" i="44"/>
  <c r="EP171" i="44"/>
  <c r="EO171" i="44"/>
  <c r="EN171" i="44"/>
  <c r="EM171" i="44"/>
  <c r="EL171" i="44"/>
  <c r="EK171" i="44"/>
  <c r="EG171" i="44"/>
  <c r="EE171" i="44"/>
  <c r="ED171" i="44"/>
  <c r="EC171" i="44"/>
  <c r="DZ171" i="44"/>
  <c r="DY171" i="44"/>
  <c r="DW171" i="44"/>
  <c r="GM169" i="44"/>
  <c r="GK169" i="44"/>
  <c r="GJ169" i="44"/>
  <c r="GI169" i="44"/>
  <c r="GH169" i="44"/>
  <c r="GG169" i="44"/>
  <c r="GF169" i="44"/>
  <c r="GE169" i="44"/>
  <c r="GD169" i="44"/>
  <c r="GC169" i="44"/>
  <c r="GB169" i="44"/>
  <c r="GA169" i="44"/>
  <c r="FZ169" i="44"/>
  <c r="FY169" i="44"/>
  <c r="FT169" i="44"/>
  <c r="FS169" i="44"/>
  <c r="FR169" i="44"/>
  <c r="FQ169" i="44"/>
  <c r="FP169" i="44"/>
  <c r="FO169" i="44"/>
  <c r="FN169" i="44"/>
  <c r="FM169" i="44"/>
  <c r="FL169" i="44"/>
  <c r="FK169" i="44"/>
  <c r="FJ169" i="44"/>
  <c r="FI169" i="44"/>
  <c r="FH169" i="44"/>
  <c r="FG169" i="44"/>
  <c r="FF169" i="44"/>
  <c r="FE169" i="44"/>
  <c r="FD169" i="44"/>
  <c r="FC169" i="44"/>
  <c r="FB169" i="44"/>
  <c r="FA169" i="44"/>
  <c r="EZ169" i="44"/>
  <c r="EY169" i="44"/>
  <c r="EX169" i="44"/>
  <c r="EW169" i="44"/>
  <c r="EV169" i="44"/>
  <c r="EU169" i="44"/>
  <c r="ES169" i="44"/>
  <c r="ER169" i="44"/>
  <c r="EQ169" i="44"/>
  <c r="EP169" i="44"/>
  <c r="EO169" i="44"/>
  <c r="EN169" i="44"/>
  <c r="EM169" i="44"/>
  <c r="EG169" i="44"/>
  <c r="EE169" i="44"/>
  <c r="ED169" i="44"/>
  <c r="EC169" i="44"/>
  <c r="DZ169" i="44"/>
  <c r="DY169" i="44"/>
  <c r="DW169" i="44"/>
  <c r="GM167" i="44"/>
  <c r="GK167" i="44"/>
  <c r="GJ167" i="44"/>
  <c r="GI167" i="44"/>
  <c r="GH167" i="44"/>
  <c r="GG167" i="44"/>
  <c r="GF167" i="44"/>
  <c r="GE167" i="44"/>
  <c r="GD167" i="44"/>
  <c r="GC167" i="44"/>
  <c r="GB167" i="44"/>
  <c r="GA167" i="44"/>
  <c r="FZ167" i="44"/>
  <c r="FY167" i="44"/>
  <c r="FT167" i="44"/>
  <c r="FS167" i="44"/>
  <c r="FR167" i="44"/>
  <c r="FQ167" i="44"/>
  <c r="FP167" i="44"/>
  <c r="FO167" i="44"/>
  <c r="FN167" i="44"/>
  <c r="FM167" i="44"/>
  <c r="FL167" i="44"/>
  <c r="FK167" i="44"/>
  <c r="FJ167" i="44"/>
  <c r="FI167" i="44"/>
  <c r="FH167" i="44"/>
  <c r="FG167" i="44"/>
  <c r="FF167" i="44"/>
  <c r="FE167" i="44"/>
  <c r="FD167" i="44"/>
  <c r="FC167" i="44"/>
  <c r="FB167" i="44"/>
  <c r="FA167" i="44"/>
  <c r="EZ167" i="44"/>
  <c r="EY167" i="44"/>
  <c r="EX167" i="44"/>
  <c r="EW167" i="44"/>
  <c r="EV167" i="44"/>
  <c r="EU167" i="44"/>
  <c r="ES167" i="44"/>
  <c r="ER167" i="44"/>
  <c r="EQ167" i="44"/>
  <c r="EP167" i="44"/>
  <c r="EO167" i="44"/>
  <c r="EN167" i="44"/>
  <c r="EM167" i="44"/>
  <c r="EG167" i="44"/>
  <c r="EE167" i="44"/>
  <c r="ED167" i="44"/>
  <c r="EC167" i="44"/>
  <c r="DZ167" i="44"/>
  <c r="DY167" i="44"/>
  <c r="DW167" i="44"/>
  <c r="GM166" i="44"/>
  <c r="GK166" i="44"/>
  <c r="GJ166" i="44"/>
  <c r="GI166" i="44"/>
  <c r="GH166" i="44"/>
  <c r="GG166" i="44"/>
  <c r="GF166" i="44"/>
  <c r="GE166" i="44"/>
  <c r="GD166" i="44"/>
  <c r="GC166" i="44"/>
  <c r="GB166" i="44"/>
  <c r="GA166" i="44"/>
  <c r="FZ166" i="44"/>
  <c r="FY166" i="44"/>
  <c r="FT166" i="44"/>
  <c r="FS166" i="44"/>
  <c r="FR166" i="44"/>
  <c r="FQ166" i="44"/>
  <c r="FP166" i="44"/>
  <c r="FO166" i="44"/>
  <c r="FN166" i="44"/>
  <c r="FM166" i="44"/>
  <c r="FL166" i="44"/>
  <c r="FK166" i="44"/>
  <c r="FJ166" i="44"/>
  <c r="FI166" i="44"/>
  <c r="FH166" i="44"/>
  <c r="FG166" i="44"/>
  <c r="FF166" i="44"/>
  <c r="FE166" i="44"/>
  <c r="FD166" i="44"/>
  <c r="FC166" i="44"/>
  <c r="FB166" i="44"/>
  <c r="FA166" i="44"/>
  <c r="EZ166" i="44"/>
  <c r="EY166" i="44"/>
  <c r="EX166" i="44"/>
  <c r="EW166" i="44"/>
  <c r="EV166" i="44"/>
  <c r="EU166" i="44"/>
  <c r="ES166" i="44"/>
  <c r="ER166" i="44"/>
  <c r="EQ166" i="44"/>
  <c r="EP166" i="44"/>
  <c r="EO166" i="44"/>
  <c r="EN166" i="44"/>
  <c r="EM166" i="44"/>
  <c r="EL166" i="44"/>
  <c r="EK166" i="44"/>
  <c r="EJ166" i="44"/>
  <c r="EG166" i="44"/>
  <c r="EE166" i="44"/>
  <c r="ED166" i="44"/>
  <c r="EC166" i="44"/>
  <c r="DZ166" i="44"/>
  <c r="DY166" i="44"/>
  <c r="DW166" i="44"/>
  <c r="GM165" i="44"/>
  <c r="GK165" i="44"/>
  <c r="GJ165" i="44"/>
  <c r="GI165" i="44"/>
  <c r="GH165" i="44"/>
  <c r="GG165" i="44"/>
  <c r="GF165" i="44"/>
  <c r="GE165" i="44"/>
  <c r="GD165" i="44"/>
  <c r="GC165" i="44"/>
  <c r="GB165" i="44"/>
  <c r="GA165" i="44"/>
  <c r="FZ165" i="44"/>
  <c r="FY165" i="44"/>
  <c r="FT165" i="44"/>
  <c r="FS165" i="44"/>
  <c r="FR165" i="44"/>
  <c r="FQ165" i="44"/>
  <c r="FP165" i="44"/>
  <c r="FO165" i="44"/>
  <c r="FN165" i="44"/>
  <c r="FM165" i="44"/>
  <c r="FL165" i="44"/>
  <c r="FK165" i="44"/>
  <c r="FJ165" i="44"/>
  <c r="FI165" i="44"/>
  <c r="FH165" i="44"/>
  <c r="FG165" i="44"/>
  <c r="FF165" i="44"/>
  <c r="FE165" i="44"/>
  <c r="FD165" i="44"/>
  <c r="FC165" i="44"/>
  <c r="FB165" i="44"/>
  <c r="FA165" i="44"/>
  <c r="EZ165" i="44"/>
  <c r="EY165" i="44"/>
  <c r="EX165" i="44"/>
  <c r="EW165" i="44"/>
  <c r="EV165" i="44"/>
  <c r="EU165" i="44"/>
  <c r="ES165" i="44"/>
  <c r="ER165" i="44"/>
  <c r="EQ165" i="44"/>
  <c r="EP165" i="44"/>
  <c r="EO165" i="44"/>
  <c r="EN165" i="44"/>
  <c r="EM165" i="44"/>
  <c r="EL165" i="44"/>
  <c r="EK165" i="44"/>
  <c r="EJ165" i="44"/>
  <c r="EG165" i="44"/>
  <c r="EE165" i="44"/>
  <c r="ED165" i="44"/>
  <c r="EC165" i="44"/>
  <c r="DZ165" i="44"/>
  <c r="DY165" i="44"/>
  <c r="DW165" i="44"/>
  <c r="GM164" i="44"/>
  <c r="GK164" i="44"/>
  <c r="GJ164" i="44"/>
  <c r="GI164" i="44"/>
  <c r="GH164" i="44"/>
  <c r="GG164" i="44"/>
  <c r="GF164" i="44"/>
  <c r="GE164" i="44"/>
  <c r="GD164" i="44"/>
  <c r="GC164" i="44"/>
  <c r="GB164" i="44"/>
  <c r="GA164" i="44"/>
  <c r="FZ164" i="44"/>
  <c r="FY164" i="44"/>
  <c r="FT164" i="44"/>
  <c r="FS164" i="44"/>
  <c r="FR164" i="44"/>
  <c r="FQ164" i="44"/>
  <c r="FP164" i="44"/>
  <c r="FO164" i="44"/>
  <c r="FN164" i="44"/>
  <c r="FM164" i="44"/>
  <c r="FL164" i="44"/>
  <c r="FK164" i="44"/>
  <c r="FJ164" i="44"/>
  <c r="FI164" i="44"/>
  <c r="FH164" i="44"/>
  <c r="FG164" i="44"/>
  <c r="FF164" i="44"/>
  <c r="FE164" i="44"/>
  <c r="FD164" i="44"/>
  <c r="FC164" i="44"/>
  <c r="FB164" i="44"/>
  <c r="FA164" i="44"/>
  <c r="EZ164" i="44"/>
  <c r="EY164" i="44"/>
  <c r="EX164" i="44"/>
  <c r="EW164" i="44"/>
  <c r="EV164" i="44"/>
  <c r="EU164" i="44"/>
  <c r="ES164" i="44"/>
  <c r="ER164" i="44"/>
  <c r="EQ164" i="44"/>
  <c r="EP164" i="44"/>
  <c r="EO164" i="44"/>
  <c r="EN164" i="44"/>
  <c r="EM164" i="44"/>
  <c r="EL164" i="44"/>
  <c r="EK164" i="44"/>
  <c r="EJ164" i="44"/>
  <c r="EI164" i="44"/>
  <c r="EH164" i="44"/>
  <c r="EG164" i="44"/>
  <c r="EF164" i="44"/>
  <c r="EE164" i="44"/>
  <c r="ED164" i="44"/>
  <c r="EC164" i="44"/>
  <c r="EB164" i="44"/>
  <c r="EA164" i="44"/>
  <c r="DZ164" i="44"/>
  <c r="DY164" i="44"/>
  <c r="DX164" i="44"/>
  <c r="DW164" i="44"/>
  <c r="GM163" i="44"/>
  <c r="GK163" i="44"/>
  <c r="GJ163" i="44"/>
  <c r="GI163" i="44"/>
  <c r="GH163" i="44"/>
  <c r="GG163" i="44"/>
  <c r="GF163" i="44"/>
  <c r="GE163" i="44"/>
  <c r="GD163" i="44"/>
  <c r="GC163" i="44"/>
  <c r="GB163" i="44"/>
  <c r="GA163" i="44"/>
  <c r="FZ163" i="44"/>
  <c r="FY163" i="44"/>
  <c r="FT163" i="44"/>
  <c r="FS163" i="44"/>
  <c r="FR163" i="44"/>
  <c r="FQ163" i="44"/>
  <c r="FP163" i="44"/>
  <c r="FO163" i="44"/>
  <c r="FN163" i="44"/>
  <c r="FM163" i="44"/>
  <c r="FL163" i="44"/>
  <c r="FK163" i="44"/>
  <c r="FJ163" i="44"/>
  <c r="FI163" i="44"/>
  <c r="FH163" i="44"/>
  <c r="FG163" i="44"/>
  <c r="FF163" i="44"/>
  <c r="FE163" i="44"/>
  <c r="FD163" i="44"/>
  <c r="FC163" i="44"/>
  <c r="FB163" i="44"/>
  <c r="FA163" i="44"/>
  <c r="EZ163" i="44"/>
  <c r="EY163" i="44"/>
  <c r="EX163" i="44"/>
  <c r="EW163" i="44"/>
  <c r="EV163" i="44"/>
  <c r="EU163" i="44"/>
  <c r="ES163" i="44"/>
  <c r="ER163" i="44"/>
  <c r="EQ163" i="44"/>
  <c r="EP163" i="44"/>
  <c r="EO163" i="44"/>
  <c r="EN163" i="44"/>
  <c r="EM163" i="44"/>
  <c r="EL163" i="44"/>
  <c r="EK163" i="44"/>
  <c r="EJ163" i="44"/>
  <c r="EI163" i="44"/>
  <c r="EH163" i="44"/>
  <c r="EG163" i="44"/>
  <c r="EF163" i="44"/>
  <c r="EE163" i="44"/>
  <c r="ED163" i="44"/>
  <c r="EC163" i="44"/>
  <c r="EB163" i="44"/>
  <c r="EA163" i="44"/>
  <c r="DZ163" i="44"/>
  <c r="DY163" i="44"/>
  <c r="DX163" i="44"/>
  <c r="DW163" i="44"/>
  <c r="GM162" i="44"/>
  <c r="GK162" i="44"/>
  <c r="GJ162" i="44"/>
  <c r="GI162" i="44"/>
  <c r="GH162" i="44"/>
  <c r="GG162" i="44"/>
  <c r="GF162" i="44"/>
  <c r="GE162" i="44"/>
  <c r="GD162" i="44"/>
  <c r="GC162" i="44"/>
  <c r="GB162" i="44"/>
  <c r="GA162" i="44"/>
  <c r="FZ162" i="44"/>
  <c r="FY162" i="44"/>
  <c r="FT162" i="44"/>
  <c r="FS162" i="44"/>
  <c r="FR162" i="44"/>
  <c r="FQ162" i="44"/>
  <c r="FP162" i="44"/>
  <c r="FO162" i="44"/>
  <c r="FN162" i="44"/>
  <c r="FM162" i="44"/>
  <c r="FL162" i="44"/>
  <c r="FK162" i="44"/>
  <c r="FJ162" i="44"/>
  <c r="FI162" i="44"/>
  <c r="FH162" i="44"/>
  <c r="FG162" i="44"/>
  <c r="FF162" i="44"/>
  <c r="FE162" i="44"/>
  <c r="FD162" i="44"/>
  <c r="FC162" i="44"/>
  <c r="FB162" i="44"/>
  <c r="FA162" i="44"/>
  <c r="EZ162" i="44"/>
  <c r="EY162" i="44"/>
  <c r="EX162" i="44"/>
  <c r="EW162" i="44"/>
  <c r="EV162" i="44"/>
  <c r="EU162" i="44"/>
  <c r="ES162" i="44"/>
  <c r="ER162" i="44"/>
  <c r="EQ162" i="44"/>
  <c r="EP162" i="44"/>
  <c r="EO162" i="44"/>
  <c r="EN162" i="44"/>
  <c r="EM162" i="44"/>
  <c r="EL162" i="44"/>
  <c r="EK162" i="44"/>
  <c r="EJ162" i="44"/>
  <c r="EI162" i="44"/>
  <c r="EH162" i="44"/>
  <c r="EG162" i="44"/>
  <c r="EF162" i="44"/>
  <c r="EE162" i="44"/>
  <c r="ED162" i="44"/>
  <c r="EC162" i="44"/>
  <c r="EB162" i="44"/>
  <c r="EA162" i="44"/>
  <c r="DZ162" i="44"/>
  <c r="DY162" i="44"/>
  <c r="DX162" i="44"/>
  <c r="DW162" i="44"/>
  <c r="GM161" i="44"/>
  <c r="GK161" i="44"/>
  <c r="GJ161" i="44"/>
  <c r="GI161" i="44"/>
  <c r="GH161" i="44"/>
  <c r="GG161" i="44"/>
  <c r="GF161" i="44"/>
  <c r="GE161" i="44"/>
  <c r="GD161" i="44"/>
  <c r="GC161" i="44"/>
  <c r="GB161" i="44"/>
  <c r="GA161" i="44"/>
  <c r="FZ161" i="44"/>
  <c r="FY161" i="44"/>
  <c r="FT161" i="44"/>
  <c r="FS161" i="44"/>
  <c r="FR161" i="44"/>
  <c r="FQ161" i="44"/>
  <c r="FP161" i="44"/>
  <c r="FO161" i="44"/>
  <c r="FN161" i="44"/>
  <c r="FM161" i="44"/>
  <c r="FL161" i="44"/>
  <c r="FK161" i="44"/>
  <c r="FJ161" i="44"/>
  <c r="FI161" i="44"/>
  <c r="FH161" i="44"/>
  <c r="FG161" i="44"/>
  <c r="FF161" i="44"/>
  <c r="FE161" i="44"/>
  <c r="FD161" i="44"/>
  <c r="FC161" i="44"/>
  <c r="FB161" i="44"/>
  <c r="FA161" i="44"/>
  <c r="EZ161" i="44"/>
  <c r="EY161" i="44"/>
  <c r="EX161" i="44"/>
  <c r="EW161" i="44"/>
  <c r="EV161" i="44"/>
  <c r="EU161" i="44"/>
  <c r="ES161" i="44"/>
  <c r="ER161" i="44"/>
  <c r="EQ161" i="44"/>
  <c r="EP161" i="44"/>
  <c r="EO161" i="44"/>
  <c r="EN161" i="44"/>
  <c r="EM161" i="44"/>
  <c r="EL161" i="44"/>
  <c r="EK161" i="44"/>
  <c r="EJ161" i="44"/>
  <c r="EI161" i="44"/>
  <c r="EH161" i="44"/>
  <c r="EG161" i="44"/>
  <c r="EF161" i="44"/>
  <c r="EE161" i="44"/>
  <c r="ED161" i="44"/>
  <c r="EC161" i="44"/>
  <c r="EB161" i="44"/>
  <c r="EA161" i="44"/>
  <c r="DZ161" i="44"/>
  <c r="DY161" i="44"/>
  <c r="DX161" i="44"/>
  <c r="DW161" i="44"/>
  <c r="GM160" i="44"/>
  <c r="GK160" i="44"/>
  <c r="GJ160" i="44"/>
  <c r="GI160" i="44"/>
  <c r="GH160" i="44"/>
  <c r="GG160" i="44"/>
  <c r="GF160" i="44"/>
  <c r="GE160" i="44"/>
  <c r="GD160" i="44"/>
  <c r="GC160" i="44"/>
  <c r="GB160" i="44"/>
  <c r="GA160" i="44"/>
  <c r="FZ160" i="44"/>
  <c r="FY160" i="44"/>
  <c r="FT160" i="44"/>
  <c r="FS160" i="44"/>
  <c r="FR160" i="44"/>
  <c r="FQ160" i="44"/>
  <c r="FP160" i="44"/>
  <c r="FO160" i="44"/>
  <c r="FN160" i="44"/>
  <c r="FM160" i="44"/>
  <c r="FL160" i="44"/>
  <c r="FK160" i="44"/>
  <c r="FJ160" i="44"/>
  <c r="FI160" i="44"/>
  <c r="FH160" i="44"/>
  <c r="FG160" i="44"/>
  <c r="FF160" i="44"/>
  <c r="FE160" i="44"/>
  <c r="FD160" i="44"/>
  <c r="FC160" i="44"/>
  <c r="FB160" i="44"/>
  <c r="FA160" i="44"/>
  <c r="EZ160" i="44"/>
  <c r="EY160" i="44"/>
  <c r="EX160" i="44"/>
  <c r="EW160" i="44"/>
  <c r="EV160" i="44"/>
  <c r="EU160" i="44"/>
  <c r="ES160" i="44"/>
  <c r="ER160" i="44"/>
  <c r="EQ160" i="44"/>
  <c r="EP160" i="44"/>
  <c r="EO160" i="44"/>
  <c r="EN160" i="44"/>
  <c r="EM160" i="44"/>
  <c r="EL160" i="44"/>
  <c r="EK160" i="44"/>
  <c r="EJ160" i="44"/>
  <c r="EI160" i="44"/>
  <c r="EH160" i="44"/>
  <c r="EG160" i="44"/>
  <c r="EF160" i="44"/>
  <c r="EE160" i="44"/>
  <c r="ED160" i="44"/>
  <c r="EC160" i="44"/>
  <c r="EB160" i="44"/>
  <c r="EA160" i="44"/>
  <c r="DZ160" i="44"/>
  <c r="DY160" i="44"/>
  <c r="DX160" i="44"/>
  <c r="DW160" i="44"/>
  <c r="GM159" i="44"/>
  <c r="GK159" i="44"/>
  <c r="GJ159" i="44"/>
  <c r="GI159" i="44"/>
  <c r="GH159" i="44"/>
  <c r="GG159" i="44"/>
  <c r="GF159" i="44"/>
  <c r="GE159" i="44"/>
  <c r="GD159" i="44"/>
  <c r="GC159" i="44"/>
  <c r="GB159" i="44"/>
  <c r="GA159" i="44"/>
  <c r="FZ159" i="44"/>
  <c r="FY159" i="44"/>
  <c r="FT159" i="44"/>
  <c r="FS159" i="44"/>
  <c r="FR159" i="44"/>
  <c r="FQ159" i="44"/>
  <c r="FP159" i="44"/>
  <c r="FO159" i="44"/>
  <c r="FN159" i="44"/>
  <c r="FM159" i="44"/>
  <c r="FL159" i="44"/>
  <c r="FK159" i="44"/>
  <c r="FJ159" i="44"/>
  <c r="FI159" i="44"/>
  <c r="FH159" i="44"/>
  <c r="FG159" i="44"/>
  <c r="FF159" i="44"/>
  <c r="FE159" i="44"/>
  <c r="FD159" i="44"/>
  <c r="FC159" i="44"/>
  <c r="FB159" i="44"/>
  <c r="FA159" i="44"/>
  <c r="EZ159" i="44"/>
  <c r="EY159" i="44"/>
  <c r="EX159" i="44"/>
  <c r="EW159" i="44"/>
  <c r="EV159" i="44"/>
  <c r="EU159" i="44"/>
  <c r="ES159" i="44"/>
  <c r="ER159" i="44"/>
  <c r="EQ159" i="44"/>
  <c r="EP159" i="44"/>
  <c r="EO159" i="44"/>
  <c r="EN159" i="44"/>
  <c r="EM159" i="44"/>
  <c r="EL159" i="44"/>
  <c r="EK159" i="44"/>
  <c r="EJ159" i="44"/>
  <c r="EI159" i="44"/>
  <c r="EH159" i="44"/>
  <c r="EG159" i="44"/>
  <c r="EF159" i="44"/>
  <c r="EE159" i="44"/>
  <c r="ED159" i="44"/>
  <c r="EC159" i="44"/>
  <c r="EB159" i="44"/>
  <c r="EA159" i="44"/>
  <c r="DZ159" i="44"/>
  <c r="DY159" i="44"/>
  <c r="DX159" i="44"/>
  <c r="DW159" i="44"/>
  <c r="GM157" i="44"/>
  <c r="GK157" i="44"/>
  <c r="GJ157" i="44"/>
  <c r="GI157" i="44"/>
  <c r="GH157" i="44"/>
  <c r="GG157" i="44"/>
  <c r="GF157" i="44"/>
  <c r="GE157" i="44"/>
  <c r="GD157" i="44"/>
  <c r="GC157" i="44"/>
  <c r="GB157" i="44"/>
  <c r="GA157" i="44"/>
  <c r="FZ157" i="44"/>
  <c r="FY157" i="44"/>
  <c r="FT157" i="44"/>
  <c r="FS157" i="44"/>
  <c r="FR157" i="44"/>
  <c r="FQ157" i="44"/>
  <c r="FP157" i="44"/>
  <c r="FO157" i="44"/>
  <c r="FN157" i="44"/>
  <c r="FM157" i="44"/>
  <c r="FL157" i="44"/>
  <c r="FK157" i="44"/>
  <c r="FJ157" i="44"/>
  <c r="FI157" i="44"/>
  <c r="FH157" i="44"/>
  <c r="FG157" i="44"/>
  <c r="FF157" i="44"/>
  <c r="FE157" i="44"/>
  <c r="FD157" i="44"/>
  <c r="FC157" i="44"/>
  <c r="FB157" i="44"/>
  <c r="FA157" i="44"/>
  <c r="EZ157" i="44"/>
  <c r="EY157" i="44"/>
  <c r="EX157" i="44"/>
  <c r="EW157" i="44"/>
  <c r="EV157" i="44"/>
  <c r="EU157" i="44"/>
  <c r="ES157" i="44"/>
  <c r="ER157" i="44"/>
  <c r="EQ157" i="44"/>
  <c r="EP157" i="44"/>
  <c r="EO157" i="44"/>
  <c r="EN157" i="44"/>
  <c r="EM157" i="44"/>
  <c r="EL157" i="44"/>
  <c r="EK157" i="44"/>
  <c r="EJ157" i="44"/>
  <c r="EG157" i="44"/>
  <c r="EE157" i="44"/>
  <c r="ED157" i="44"/>
  <c r="EC157" i="44"/>
  <c r="DZ157" i="44"/>
  <c r="DY157" i="44"/>
  <c r="DW157" i="44"/>
  <c r="GM156" i="44"/>
  <c r="GK156" i="44"/>
  <c r="GJ156" i="44"/>
  <c r="GI156" i="44"/>
  <c r="GH156" i="44"/>
  <c r="GG156" i="44"/>
  <c r="GF156" i="44"/>
  <c r="GE156" i="44"/>
  <c r="GD156" i="44"/>
  <c r="GC156" i="44"/>
  <c r="GB156" i="44"/>
  <c r="GA156" i="44"/>
  <c r="FZ156" i="44"/>
  <c r="FY156" i="44"/>
  <c r="FT156" i="44"/>
  <c r="FS156" i="44"/>
  <c r="FR156" i="44"/>
  <c r="FQ156" i="44"/>
  <c r="FP156" i="44"/>
  <c r="FO156" i="44"/>
  <c r="FN156" i="44"/>
  <c r="FM156" i="44"/>
  <c r="FL156" i="44"/>
  <c r="FK156" i="44"/>
  <c r="FJ156" i="44"/>
  <c r="FI156" i="44"/>
  <c r="FH156" i="44"/>
  <c r="FG156" i="44"/>
  <c r="FF156" i="44"/>
  <c r="FE156" i="44"/>
  <c r="FD156" i="44"/>
  <c r="FC156" i="44"/>
  <c r="FB156" i="44"/>
  <c r="FA156" i="44"/>
  <c r="EZ156" i="44"/>
  <c r="EY156" i="44"/>
  <c r="EX156" i="44"/>
  <c r="EW156" i="44"/>
  <c r="EV156" i="44"/>
  <c r="EU156" i="44"/>
  <c r="ES156" i="44"/>
  <c r="ER156" i="44"/>
  <c r="EQ156" i="44"/>
  <c r="EP156" i="44"/>
  <c r="EO156" i="44"/>
  <c r="EN156" i="44"/>
  <c r="EM156" i="44"/>
  <c r="EL156" i="44"/>
  <c r="EK156" i="44"/>
  <c r="EJ156" i="44"/>
  <c r="EI156" i="44"/>
  <c r="EH156" i="44"/>
  <c r="EG156" i="44"/>
  <c r="EF156" i="44"/>
  <c r="EE156" i="44"/>
  <c r="ED156" i="44"/>
  <c r="EC156" i="44"/>
  <c r="EB156" i="44"/>
  <c r="EA156" i="44"/>
  <c r="DZ156" i="44"/>
  <c r="DY156" i="44"/>
  <c r="DX156" i="44"/>
  <c r="DW156" i="44"/>
  <c r="GM154" i="44"/>
  <c r="GK154" i="44"/>
  <c r="GJ154" i="44"/>
  <c r="GI154" i="44"/>
  <c r="GH154" i="44"/>
  <c r="GG154" i="44"/>
  <c r="GF154" i="44"/>
  <c r="GE154" i="44"/>
  <c r="GD154" i="44"/>
  <c r="GC154" i="44"/>
  <c r="GB154" i="44"/>
  <c r="GA154" i="44"/>
  <c r="FZ154" i="44"/>
  <c r="FY154" i="44"/>
  <c r="FT154" i="44"/>
  <c r="FS154" i="44"/>
  <c r="FR154" i="44"/>
  <c r="FQ154" i="44"/>
  <c r="FP154" i="44"/>
  <c r="FO154" i="44"/>
  <c r="FN154" i="44"/>
  <c r="FM154" i="44"/>
  <c r="FL154" i="44"/>
  <c r="FK154" i="44"/>
  <c r="FJ154" i="44"/>
  <c r="FI154" i="44"/>
  <c r="FH154" i="44"/>
  <c r="FG154" i="44"/>
  <c r="FF154" i="44"/>
  <c r="FE154" i="44"/>
  <c r="FD154" i="44"/>
  <c r="FC154" i="44"/>
  <c r="FB154" i="44"/>
  <c r="FA154" i="44"/>
  <c r="EZ154" i="44"/>
  <c r="EY154" i="44"/>
  <c r="EX154" i="44"/>
  <c r="EW154" i="44"/>
  <c r="EV154" i="44"/>
  <c r="EU154" i="44"/>
  <c r="ES154" i="44"/>
  <c r="ER154" i="44"/>
  <c r="EQ154" i="44"/>
  <c r="EP154" i="44"/>
  <c r="EO154" i="44"/>
  <c r="EN154" i="44"/>
  <c r="EM154" i="44"/>
  <c r="EL154" i="44"/>
  <c r="EK154" i="44"/>
  <c r="EJ154" i="44"/>
  <c r="EG154" i="44"/>
  <c r="EE154" i="44"/>
  <c r="ED154" i="44"/>
  <c r="EC154" i="44"/>
  <c r="DZ154" i="44"/>
  <c r="DY154" i="44"/>
  <c r="DW154" i="44"/>
  <c r="GM152" i="44"/>
  <c r="GK152" i="44"/>
  <c r="GJ152" i="44"/>
  <c r="GI152" i="44"/>
  <c r="GH152" i="44"/>
  <c r="GG152" i="44"/>
  <c r="GF152" i="44"/>
  <c r="GE152" i="44"/>
  <c r="GD152" i="44"/>
  <c r="GC152" i="44"/>
  <c r="GB152" i="44"/>
  <c r="GA152" i="44"/>
  <c r="FZ152" i="44"/>
  <c r="FY152" i="44"/>
  <c r="FT152" i="44"/>
  <c r="FS152" i="44"/>
  <c r="FR152" i="44"/>
  <c r="FQ152" i="44"/>
  <c r="FP152" i="44"/>
  <c r="FO152" i="44"/>
  <c r="FN152" i="44"/>
  <c r="FM152" i="44"/>
  <c r="FL152" i="44"/>
  <c r="FK152" i="44"/>
  <c r="FJ152" i="44"/>
  <c r="FI152" i="44"/>
  <c r="FH152" i="44"/>
  <c r="FG152" i="44"/>
  <c r="FF152" i="44"/>
  <c r="FE152" i="44"/>
  <c r="FD152" i="44"/>
  <c r="FC152" i="44"/>
  <c r="FB152" i="44"/>
  <c r="FA152" i="44"/>
  <c r="EZ152" i="44"/>
  <c r="EY152" i="44"/>
  <c r="EX152" i="44"/>
  <c r="EW152" i="44"/>
  <c r="EV152" i="44"/>
  <c r="EU152" i="44"/>
  <c r="ES152" i="44"/>
  <c r="ER152" i="44"/>
  <c r="EQ152" i="44"/>
  <c r="EP152" i="44"/>
  <c r="EO152" i="44"/>
  <c r="EN152" i="44"/>
  <c r="EM152" i="44"/>
  <c r="EL152" i="44"/>
  <c r="EK152" i="44"/>
  <c r="EJ152" i="44"/>
  <c r="EG152" i="44"/>
  <c r="EE152" i="44"/>
  <c r="ED152" i="44"/>
  <c r="EC152" i="44"/>
  <c r="DZ152" i="44"/>
  <c r="DY152" i="44"/>
  <c r="DW152" i="44"/>
  <c r="GM151" i="44"/>
  <c r="GK151" i="44"/>
  <c r="GJ151" i="44"/>
  <c r="GI151" i="44"/>
  <c r="GH151" i="44"/>
  <c r="GG151" i="44"/>
  <c r="GF151" i="44"/>
  <c r="GE151" i="44"/>
  <c r="GD151" i="44"/>
  <c r="GC151" i="44"/>
  <c r="GB151" i="44"/>
  <c r="GA151" i="44"/>
  <c r="FZ151" i="44"/>
  <c r="FY151" i="44"/>
  <c r="FT151" i="44"/>
  <c r="FS151" i="44"/>
  <c r="FR151" i="44"/>
  <c r="FQ151" i="44"/>
  <c r="FP151" i="44"/>
  <c r="FO151" i="44"/>
  <c r="FN151" i="44"/>
  <c r="FM151" i="44"/>
  <c r="FL151" i="44"/>
  <c r="FK151" i="44"/>
  <c r="FJ151" i="44"/>
  <c r="FI151" i="44"/>
  <c r="FH151" i="44"/>
  <c r="FG151" i="44"/>
  <c r="FF151" i="44"/>
  <c r="FE151" i="44"/>
  <c r="FD151" i="44"/>
  <c r="FC151" i="44"/>
  <c r="FB151" i="44"/>
  <c r="FA151" i="44"/>
  <c r="EZ151" i="44"/>
  <c r="EY151" i="44"/>
  <c r="EX151" i="44"/>
  <c r="EW151" i="44"/>
  <c r="EV151" i="44"/>
  <c r="EU151" i="44"/>
  <c r="ES151" i="44"/>
  <c r="ER151" i="44"/>
  <c r="EQ151" i="44"/>
  <c r="EP151" i="44"/>
  <c r="EO151" i="44"/>
  <c r="EN151" i="44"/>
  <c r="EM151" i="44"/>
  <c r="EL151" i="44"/>
  <c r="EK151" i="44"/>
  <c r="EJ151" i="44"/>
  <c r="EI151" i="44"/>
  <c r="EH151" i="44"/>
  <c r="EG151" i="44"/>
  <c r="EF151" i="44"/>
  <c r="EE151" i="44"/>
  <c r="ED151" i="44"/>
  <c r="EC151" i="44"/>
  <c r="EB151" i="44"/>
  <c r="EA151" i="44"/>
  <c r="DZ151" i="44"/>
  <c r="DY151" i="44"/>
  <c r="DX151" i="44"/>
  <c r="DW151" i="44"/>
  <c r="GM150" i="44"/>
  <c r="GK150" i="44"/>
  <c r="GJ150" i="44"/>
  <c r="GI150" i="44"/>
  <c r="GH150" i="44"/>
  <c r="GG150" i="44"/>
  <c r="GF150" i="44"/>
  <c r="GE150" i="44"/>
  <c r="GD150" i="44"/>
  <c r="GC150" i="44"/>
  <c r="GB150" i="44"/>
  <c r="GA150" i="44"/>
  <c r="FZ150" i="44"/>
  <c r="FY150" i="44"/>
  <c r="FT150" i="44"/>
  <c r="FS150" i="44"/>
  <c r="FR150" i="44"/>
  <c r="FQ150" i="44"/>
  <c r="FP150" i="44"/>
  <c r="FO150" i="44"/>
  <c r="FN150" i="44"/>
  <c r="FM150" i="44"/>
  <c r="FL150" i="44"/>
  <c r="FK150" i="44"/>
  <c r="FJ150" i="44"/>
  <c r="FI150" i="44"/>
  <c r="FH150" i="44"/>
  <c r="FG150" i="44"/>
  <c r="FF150" i="44"/>
  <c r="FE150" i="44"/>
  <c r="FD150" i="44"/>
  <c r="FC150" i="44"/>
  <c r="FB150" i="44"/>
  <c r="FA150" i="44"/>
  <c r="EZ150" i="44"/>
  <c r="EY150" i="44"/>
  <c r="EX150" i="44"/>
  <c r="EW150" i="44"/>
  <c r="EV150" i="44"/>
  <c r="EU150" i="44"/>
  <c r="ES150" i="44"/>
  <c r="ER150" i="44"/>
  <c r="EQ150" i="44"/>
  <c r="EP150" i="44"/>
  <c r="EO150" i="44"/>
  <c r="EN150" i="44"/>
  <c r="EM150" i="44"/>
  <c r="EL150" i="44"/>
  <c r="EK150" i="44"/>
  <c r="EJ150" i="44"/>
  <c r="EI150" i="44"/>
  <c r="EH150" i="44"/>
  <c r="EG150" i="44"/>
  <c r="EF150" i="44"/>
  <c r="EE150" i="44"/>
  <c r="ED150" i="44"/>
  <c r="EC150" i="44"/>
  <c r="EB150" i="44"/>
  <c r="EA150" i="44"/>
  <c r="DZ150" i="44"/>
  <c r="DY150" i="44"/>
  <c r="DX150" i="44"/>
  <c r="DW150" i="44"/>
  <c r="GM149" i="44"/>
  <c r="GK149" i="44"/>
  <c r="GJ149" i="44"/>
  <c r="GI149" i="44"/>
  <c r="GH149" i="44"/>
  <c r="GG149" i="44"/>
  <c r="GF149" i="44"/>
  <c r="GE149" i="44"/>
  <c r="GD149" i="44"/>
  <c r="GC149" i="44"/>
  <c r="GB149" i="44"/>
  <c r="GA149" i="44"/>
  <c r="FZ149" i="44"/>
  <c r="FY149" i="44"/>
  <c r="FT149" i="44"/>
  <c r="FS149" i="44"/>
  <c r="FR149" i="44"/>
  <c r="FQ149" i="44"/>
  <c r="FP149" i="44"/>
  <c r="FO149" i="44"/>
  <c r="FN149" i="44"/>
  <c r="FM149" i="44"/>
  <c r="FL149" i="44"/>
  <c r="FK149" i="44"/>
  <c r="FJ149" i="44"/>
  <c r="FI149" i="44"/>
  <c r="FH149" i="44"/>
  <c r="FG149" i="44"/>
  <c r="FF149" i="44"/>
  <c r="FE149" i="44"/>
  <c r="FD149" i="44"/>
  <c r="FC149" i="44"/>
  <c r="FB149" i="44"/>
  <c r="FA149" i="44"/>
  <c r="EZ149" i="44"/>
  <c r="EY149" i="44"/>
  <c r="EX149" i="44"/>
  <c r="EW149" i="44"/>
  <c r="EV149" i="44"/>
  <c r="EU149" i="44"/>
  <c r="ES149" i="44"/>
  <c r="ER149" i="44"/>
  <c r="EQ149" i="44"/>
  <c r="EP149" i="44"/>
  <c r="EO149" i="44"/>
  <c r="EN149" i="44"/>
  <c r="EM149" i="44"/>
  <c r="EL149" i="44"/>
  <c r="EK149" i="44"/>
  <c r="EJ149" i="44"/>
  <c r="EI149" i="44"/>
  <c r="EH149" i="44"/>
  <c r="EG149" i="44"/>
  <c r="EF149" i="44"/>
  <c r="EE149" i="44"/>
  <c r="ED149" i="44"/>
  <c r="EC149" i="44"/>
  <c r="EB149" i="44"/>
  <c r="EA149" i="44"/>
  <c r="DZ149" i="44"/>
  <c r="DY149" i="44"/>
  <c r="DX149" i="44"/>
  <c r="DW149" i="44"/>
  <c r="GM148" i="44"/>
  <c r="GK148" i="44"/>
  <c r="GJ148" i="44"/>
  <c r="GI148" i="44"/>
  <c r="GH148" i="44"/>
  <c r="GG148" i="44"/>
  <c r="GF148" i="44"/>
  <c r="GE148" i="44"/>
  <c r="GD148" i="44"/>
  <c r="GC148" i="44"/>
  <c r="GB148" i="44"/>
  <c r="GA148" i="44"/>
  <c r="FZ148" i="44"/>
  <c r="FY148" i="44"/>
  <c r="FT148" i="44"/>
  <c r="FS148" i="44"/>
  <c r="FR148" i="44"/>
  <c r="FQ148" i="44"/>
  <c r="FP148" i="44"/>
  <c r="FO148" i="44"/>
  <c r="FN148" i="44"/>
  <c r="FM148" i="44"/>
  <c r="FL148" i="44"/>
  <c r="FK148" i="44"/>
  <c r="FJ148" i="44"/>
  <c r="FI148" i="44"/>
  <c r="FH148" i="44"/>
  <c r="FG148" i="44"/>
  <c r="FF148" i="44"/>
  <c r="FE148" i="44"/>
  <c r="FD148" i="44"/>
  <c r="FC148" i="44"/>
  <c r="FB148" i="44"/>
  <c r="FA148" i="44"/>
  <c r="EZ148" i="44"/>
  <c r="EY148" i="44"/>
  <c r="EX148" i="44"/>
  <c r="EW148" i="44"/>
  <c r="EV148" i="44"/>
  <c r="EU148" i="44"/>
  <c r="ES148" i="44"/>
  <c r="ER148" i="44"/>
  <c r="EQ148" i="44"/>
  <c r="EP148" i="44"/>
  <c r="EO148" i="44"/>
  <c r="EN148" i="44"/>
  <c r="EM148" i="44"/>
  <c r="EL148" i="44"/>
  <c r="EK148" i="44"/>
  <c r="EJ148" i="44"/>
  <c r="EI148" i="44"/>
  <c r="EH148" i="44"/>
  <c r="EG148" i="44"/>
  <c r="EF148" i="44"/>
  <c r="EE148" i="44"/>
  <c r="ED148" i="44"/>
  <c r="EC148" i="44"/>
  <c r="EB148" i="44"/>
  <c r="EA148" i="44"/>
  <c r="DZ148" i="44"/>
  <c r="DY148" i="44"/>
  <c r="DX148" i="44"/>
  <c r="DW148" i="44"/>
  <c r="GM147" i="44"/>
  <c r="GK147" i="44"/>
  <c r="GJ147" i="44"/>
  <c r="GI147" i="44"/>
  <c r="GH147" i="44"/>
  <c r="GG147" i="44"/>
  <c r="GF147" i="44"/>
  <c r="GE147" i="44"/>
  <c r="GD147" i="44"/>
  <c r="GC147" i="44"/>
  <c r="GB147" i="44"/>
  <c r="GA147" i="44"/>
  <c r="FZ147" i="44"/>
  <c r="FY147" i="44"/>
  <c r="FT147" i="44"/>
  <c r="FS147" i="44"/>
  <c r="FR147" i="44"/>
  <c r="FQ147" i="44"/>
  <c r="FP147" i="44"/>
  <c r="FO147" i="44"/>
  <c r="FN147" i="44"/>
  <c r="FM147" i="44"/>
  <c r="FL147" i="44"/>
  <c r="FK147" i="44"/>
  <c r="FJ147" i="44"/>
  <c r="FI147" i="44"/>
  <c r="FH147" i="44"/>
  <c r="FG147" i="44"/>
  <c r="FF147" i="44"/>
  <c r="FE147" i="44"/>
  <c r="FD147" i="44"/>
  <c r="FC147" i="44"/>
  <c r="FB147" i="44"/>
  <c r="FA147" i="44"/>
  <c r="EZ147" i="44"/>
  <c r="EY147" i="44"/>
  <c r="EX147" i="44"/>
  <c r="EW147" i="44"/>
  <c r="EV147" i="44"/>
  <c r="EU147" i="44"/>
  <c r="ES147" i="44"/>
  <c r="ER147" i="44"/>
  <c r="EQ147" i="44"/>
  <c r="EP147" i="44"/>
  <c r="EO147" i="44"/>
  <c r="EN147" i="44"/>
  <c r="EM147" i="44"/>
  <c r="EL147" i="44"/>
  <c r="EK147" i="44"/>
  <c r="EJ147" i="44"/>
  <c r="EI147" i="44"/>
  <c r="EH147" i="44"/>
  <c r="EG147" i="44"/>
  <c r="EF147" i="44"/>
  <c r="EE147" i="44"/>
  <c r="ED147" i="44"/>
  <c r="EC147" i="44"/>
  <c r="EB147" i="44"/>
  <c r="EA147" i="44"/>
  <c r="DZ147" i="44"/>
  <c r="DY147" i="44"/>
  <c r="DX147" i="44"/>
  <c r="DW147" i="44"/>
  <c r="GM146" i="44"/>
  <c r="GK146" i="44"/>
  <c r="GJ146" i="44"/>
  <c r="GI146" i="44"/>
  <c r="GH146" i="44"/>
  <c r="GG146" i="44"/>
  <c r="GF146" i="44"/>
  <c r="GE146" i="44"/>
  <c r="GD146" i="44"/>
  <c r="GC146" i="44"/>
  <c r="GB146" i="44"/>
  <c r="GA146" i="44"/>
  <c r="FZ146" i="44"/>
  <c r="FY146" i="44"/>
  <c r="FT146" i="44"/>
  <c r="FS146" i="44"/>
  <c r="FR146" i="44"/>
  <c r="FQ146" i="44"/>
  <c r="FP146" i="44"/>
  <c r="FO146" i="44"/>
  <c r="FN146" i="44"/>
  <c r="FM146" i="44"/>
  <c r="FL146" i="44"/>
  <c r="FK146" i="44"/>
  <c r="FJ146" i="44"/>
  <c r="FI146" i="44"/>
  <c r="FH146" i="44"/>
  <c r="FG146" i="44"/>
  <c r="FF146" i="44"/>
  <c r="FE146" i="44"/>
  <c r="FD146" i="44"/>
  <c r="FC146" i="44"/>
  <c r="FB146" i="44"/>
  <c r="FA146" i="44"/>
  <c r="EZ146" i="44"/>
  <c r="EY146" i="44"/>
  <c r="EX146" i="44"/>
  <c r="EW146" i="44"/>
  <c r="EV146" i="44"/>
  <c r="EU146" i="44"/>
  <c r="ES146" i="44"/>
  <c r="ER146" i="44"/>
  <c r="EQ146" i="44"/>
  <c r="EP146" i="44"/>
  <c r="EO146" i="44"/>
  <c r="EN146" i="44"/>
  <c r="EM146" i="44"/>
  <c r="EL146" i="44"/>
  <c r="EK146" i="44"/>
  <c r="EJ146" i="44"/>
  <c r="EI146" i="44"/>
  <c r="EH146" i="44"/>
  <c r="EG146" i="44"/>
  <c r="EF146" i="44"/>
  <c r="EE146" i="44"/>
  <c r="ED146" i="44"/>
  <c r="EC146" i="44"/>
  <c r="EB146" i="44"/>
  <c r="EA146" i="44"/>
  <c r="DZ146" i="44"/>
  <c r="DY146" i="44"/>
  <c r="DX146" i="44"/>
  <c r="DW146" i="44"/>
  <c r="GM145" i="44"/>
  <c r="GK145" i="44"/>
  <c r="GJ145" i="44"/>
  <c r="GI145" i="44"/>
  <c r="GH145" i="44"/>
  <c r="GG145" i="44"/>
  <c r="GF145" i="44"/>
  <c r="GE145" i="44"/>
  <c r="GD145" i="44"/>
  <c r="GC145" i="44"/>
  <c r="GB145" i="44"/>
  <c r="GA145" i="44"/>
  <c r="FZ145" i="44"/>
  <c r="FY145" i="44"/>
  <c r="FT145" i="44"/>
  <c r="FS145" i="44"/>
  <c r="FR145" i="44"/>
  <c r="FQ145" i="44"/>
  <c r="FP145" i="44"/>
  <c r="FO145" i="44"/>
  <c r="FN145" i="44"/>
  <c r="FM145" i="44"/>
  <c r="FL145" i="44"/>
  <c r="FK145" i="44"/>
  <c r="FJ145" i="44"/>
  <c r="FI145" i="44"/>
  <c r="FH145" i="44"/>
  <c r="FG145" i="44"/>
  <c r="FF145" i="44"/>
  <c r="FE145" i="44"/>
  <c r="FD145" i="44"/>
  <c r="FC145" i="44"/>
  <c r="FB145" i="44"/>
  <c r="FA145" i="44"/>
  <c r="EZ145" i="44"/>
  <c r="EY145" i="44"/>
  <c r="EX145" i="44"/>
  <c r="EW145" i="44"/>
  <c r="EV145" i="44"/>
  <c r="EU145" i="44"/>
  <c r="ES145" i="44"/>
  <c r="ER145" i="44"/>
  <c r="EQ145" i="44"/>
  <c r="EP145" i="44"/>
  <c r="EO145" i="44"/>
  <c r="EN145" i="44"/>
  <c r="EM145" i="44"/>
  <c r="EL145" i="44"/>
  <c r="EK145" i="44"/>
  <c r="EJ145" i="44"/>
  <c r="EI145" i="44"/>
  <c r="EH145" i="44"/>
  <c r="EG145" i="44"/>
  <c r="EF145" i="44"/>
  <c r="EE145" i="44"/>
  <c r="ED145" i="44"/>
  <c r="EC145" i="44"/>
  <c r="EB145" i="44"/>
  <c r="EA145" i="44"/>
  <c r="DZ145" i="44"/>
  <c r="DY145" i="44"/>
  <c r="DX145" i="44"/>
  <c r="DW145" i="44"/>
  <c r="GM144" i="44"/>
  <c r="GK144" i="44"/>
  <c r="GJ144" i="44"/>
  <c r="GI144" i="44"/>
  <c r="GH144" i="44"/>
  <c r="GG144" i="44"/>
  <c r="GF144" i="44"/>
  <c r="GE144" i="44"/>
  <c r="GD144" i="44"/>
  <c r="GC144" i="44"/>
  <c r="GB144" i="44"/>
  <c r="GA144" i="44"/>
  <c r="FZ144" i="44"/>
  <c r="FY144" i="44"/>
  <c r="FT144" i="44"/>
  <c r="FS144" i="44"/>
  <c r="FR144" i="44"/>
  <c r="FQ144" i="44"/>
  <c r="FP144" i="44"/>
  <c r="FO144" i="44"/>
  <c r="FN144" i="44"/>
  <c r="FM144" i="44"/>
  <c r="FL144" i="44"/>
  <c r="FK144" i="44"/>
  <c r="FJ144" i="44"/>
  <c r="FI144" i="44"/>
  <c r="FH144" i="44"/>
  <c r="FG144" i="44"/>
  <c r="FF144" i="44"/>
  <c r="FE144" i="44"/>
  <c r="FD144" i="44"/>
  <c r="FC144" i="44"/>
  <c r="FB144" i="44"/>
  <c r="FA144" i="44"/>
  <c r="EZ144" i="44"/>
  <c r="EY144" i="44"/>
  <c r="EX144" i="44"/>
  <c r="EW144" i="44"/>
  <c r="EV144" i="44"/>
  <c r="EU144" i="44"/>
  <c r="ES144" i="44"/>
  <c r="ER144" i="44"/>
  <c r="EQ144" i="44"/>
  <c r="EP144" i="44"/>
  <c r="EO144" i="44"/>
  <c r="EN144" i="44"/>
  <c r="EM144" i="44"/>
  <c r="EL144" i="44"/>
  <c r="EK144" i="44"/>
  <c r="EJ144" i="44"/>
  <c r="EI144" i="44"/>
  <c r="EH144" i="44"/>
  <c r="EG144" i="44"/>
  <c r="EF144" i="44"/>
  <c r="EE144" i="44"/>
  <c r="ED144" i="44"/>
  <c r="EC144" i="44"/>
  <c r="EB144" i="44"/>
  <c r="EA144" i="44"/>
  <c r="DZ144" i="44"/>
  <c r="DY144" i="44"/>
  <c r="DX144" i="44"/>
  <c r="DW144" i="44"/>
  <c r="GM143" i="44"/>
  <c r="GK143" i="44"/>
  <c r="GJ143" i="44"/>
  <c r="GI143" i="44"/>
  <c r="GH143" i="44"/>
  <c r="GG143" i="44"/>
  <c r="GF143" i="44"/>
  <c r="GE143" i="44"/>
  <c r="GD143" i="44"/>
  <c r="GC143" i="44"/>
  <c r="GB143" i="44"/>
  <c r="GA143" i="44"/>
  <c r="FZ143" i="44"/>
  <c r="FY143" i="44"/>
  <c r="FT143" i="44"/>
  <c r="FS143" i="44"/>
  <c r="FR143" i="44"/>
  <c r="FQ143" i="44"/>
  <c r="FP143" i="44"/>
  <c r="FO143" i="44"/>
  <c r="FN143" i="44"/>
  <c r="FM143" i="44"/>
  <c r="FL143" i="44"/>
  <c r="FK143" i="44"/>
  <c r="FJ143" i="44"/>
  <c r="FI143" i="44"/>
  <c r="FH143" i="44"/>
  <c r="FG143" i="44"/>
  <c r="FF143" i="44"/>
  <c r="FE143" i="44"/>
  <c r="FD143" i="44"/>
  <c r="FC143" i="44"/>
  <c r="FB143" i="44"/>
  <c r="FA143" i="44"/>
  <c r="EZ143" i="44"/>
  <c r="EY143" i="44"/>
  <c r="EX143" i="44"/>
  <c r="EW143" i="44"/>
  <c r="EV143" i="44"/>
  <c r="EU143" i="44"/>
  <c r="ES143" i="44"/>
  <c r="ER143" i="44"/>
  <c r="EQ143" i="44"/>
  <c r="EP143" i="44"/>
  <c r="EO143" i="44"/>
  <c r="EN143" i="44"/>
  <c r="EM143" i="44"/>
  <c r="EL143" i="44"/>
  <c r="EK143" i="44"/>
  <c r="EJ143" i="44"/>
  <c r="EI143" i="44"/>
  <c r="EH143" i="44"/>
  <c r="EG143" i="44"/>
  <c r="EF143" i="44"/>
  <c r="EE143" i="44"/>
  <c r="ED143" i="44"/>
  <c r="EC143" i="44"/>
  <c r="EB143" i="44"/>
  <c r="EA143" i="44"/>
  <c r="DZ143" i="44"/>
  <c r="DY143" i="44"/>
  <c r="DX143" i="44"/>
  <c r="DW143" i="44"/>
  <c r="GM142" i="44"/>
  <c r="GK142" i="44"/>
  <c r="GJ142" i="44"/>
  <c r="GI142" i="44"/>
  <c r="GH142" i="44"/>
  <c r="GG142" i="44"/>
  <c r="GF142" i="44"/>
  <c r="GE142" i="44"/>
  <c r="GD142" i="44"/>
  <c r="GC142" i="44"/>
  <c r="GB142" i="44"/>
  <c r="GA142" i="44"/>
  <c r="FZ142" i="44"/>
  <c r="FY142" i="44"/>
  <c r="FT142" i="44"/>
  <c r="FS142" i="44"/>
  <c r="FR142" i="44"/>
  <c r="FQ142" i="44"/>
  <c r="FP142" i="44"/>
  <c r="FO142" i="44"/>
  <c r="FN142" i="44"/>
  <c r="FM142" i="44"/>
  <c r="FL142" i="44"/>
  <c r="FK142" i="44"/>
  <c r="FJ142" i="44"/>
  <c r="FI142" i="44"/>
  <c r="FH142" i="44"/>
  <c r="FG142" i="44"/>
  <c r="FF142" i="44"/>
  <c r="FE142" i="44"/>
  <c r="FD142" i="44"/>
  <c r="FC142" i="44"/>
  <c r="FB142" i="44"/>
  <c r="FA142" i="44"/>
  <c r="EZ142" i="44"/>
  <c r="EY142" i="44"/>
  <c r="EX142" i="44"/>
  <c r="EW142" i="44"/>
  <c r="EV142" i="44"/>
  <c r="EU142" i="44"/>
  <c r="ES142" i="44"/>
  <c r="ER142" i="44"/>
  <c r="EQ142" i="44"/>
  <c r="EP142" i="44"/>
  <c r="EO142" i="44"/>
  <c r="EN142" i="44"/>
  <c r="EM142" i="44"/>
  <c r="EL142" i="44"/>
  <c r="EK142" i="44"/>
  <c r="EJ142" i="44"/>
  <c r="EI142" i="44"/>
  <c r="EH142" i="44"/>
  <c r="EG142" i="44"/>
  <c r="EF142" i="44"/>
  <c r="EE142" i="44"/>
  <c r="ED142" i="44"/>
  <c r="EC142" i="44"/>
  <c r="EB142" i="44"/>
  <c r="EA142" i="44"/>
  <c r="DZ142" i="44"/>
  <c r="DY142" i="44"/>
  <c r="DX142" i="44"/>
  <c r="DW142" i="44"/>
  <c r="GM141" i="44"/>
  <c r="GK141" i="44"/>
  <c r="GJ141" i="44"/>
  <c r="GI141" i="44"/>
  <c r="GH141" i="44"/>
  <c r="GG141" i="44"/>
  <c r="GF141" i="44"/>
  <c r="GE141" i="44"/>
  <c r="GD141" i="44"/>
  <c r="GC141" i="44"/>
  <c r="GB141" i="44"/>
  <c r="GA141" i="44"/>
  <c r="FZ141" i="44"/>
  <c r="FY141" i="44"/>
  <c r="FT141" i="44"/>
  <c r="FS141" i="44"/>
  <c r="FR141" i="44"/>
  <c r="FQ141" i="44"/>
  <c r="FP141" i="44"/>
  <c r="FO141" i="44"/>
  <c r="FN141" i="44"/>
  <c r="FM141" i="44"/>
  <c r="FL141" i="44"/>
  <c r="FK141" i="44"/>
  <c r="FJ141" i="44"/>
  <c r="FI141" i="44"/>
  <c r="FH141" i="44"/>
  <c r="FG141" i="44"/>
  <c r="FF141" i="44"/>
  <c r="FE141" i="44"/>
  <c r="FD141" i="44"/>
  <c r="FC141" i="44"/>
  <c r="FB141" i="44"/>
  <c r="FA141" i="44"/>
  <c r="EZ141" i="44"/>
  <c r="EY141" i="44"/>
  <c r="EX141" i="44"/>
  <c r="EW141" i="44"/>
  <c r="EV141" i="44"/>
  <c r="EU141" i="44"/>
  <c r="ES141" i="44"/>
  <c r="ER141" i="44"/>
  <c r="EQ141" i="44"/>
  <c r="EP141" i="44"/>
  <c r="EO141" i="44"/>
  <c r="EN141" i="44"/>
  <c r="EM141" i="44"/>
  <c r="EL141" i="44"/>
  <c r="EK141" i="44"/>
  <c r="EJ141" i="44"/>
  <c r="EI141" i="44"/>
  <c r="EH141" i="44"/>
  <c r="EG141" i="44"/>
  <c r="EF141" i="44"/>
  <c r="EE141" i="44"/>
  <c r="ED141" i="44"/>
  <c r="EC141" i="44"/>
  <c r="EB141" i="44"/>
  <c r="EA141" i="44"/>
  <c r="DZ141" i="44"/>
  <c r="DY141" i="44"/>
  <c r="DX141" i="44"/>
  <c r="DW141" i="44"/>
  <c r="GM140" i="44"/>
  <c r="GK140" i="44"/>
  <c r="GJ140" i="44"/>
  <c r="GI140" i="44"/>
  <c r="GH140" i="44"/>
  <c r="GG140" i="44"/>
  <c r="GF140" i="44"/>
  <c r="GE140" i="44"/>
  <c r="GD140" i="44"/>
  <c r="GC140" i="44"/>
  <c r="GB140" i="44"/>
  <c r="GA140" i="44"/>
  <c r="FZ140" i="44"/>
  <c r="FY140" i="44"/>
  <c r="FT140" i="44"/>
  <c r="FS140" i="44"/>
  <c r="FR140" i="44"/>
  <c r="FQ140" i="44"/>
  <c r="FP140" i="44"/>
  <c r="FO140" i="44"/>
  <c r="FN140" i="44"/>
  <c r="FM140" i="44"/>
  <c r="FL140" i="44"/>
  <c r="FK140" i="44"/>
  <c r="FJ140" i="44"/>
  <c r="FI140" i="44"/>
  <c r="FH140" i="44"/>
  <c r="FG140" i="44"/>
  <c r="FF140" i="44"/>
  <c r="FE140" i="44"/>
  <c r="FD140" i="44"/>
  <c r="FC140" i="44"/>
  <c r="FB140" i="44"/>
  <c r="FA140" i="44"/>
  <c r="EZ140" i="44"/>
  <c r="EY140" i="44"/>
  <c r="EX140" i="44"/>
  <c r="EW140" i="44"/>
  <c r="EV140" i="44"/>
  <c r="EU140" i="44"/>
  <c r="ES140" i="44"/>
  <c r="ER140" i="44"/>
  <c r="EQ140" i="44"/>
  <c r="EP140" i="44"/>
  <c r="EO140" i="44"/>
  <c r="EN140" i="44"/>
  <c r="EM140" i="44"/>
  <c r="EL140" i="44"/>
  <c r="EK140" i="44"/>
  <c r="EJ140" i="44"/>
  <c r="EI140" i="44"/>
  <c r="EH140" i="44"/>
  <c r="EG140" i="44"/>
  <c r="EF140" i="44"/>
  <c r="EE140" i="44"/>
  <c r="ED140" i="44"/>
  <c r="EC140" i="44"/>
  <c r="EB140" i="44"/>
  <c r="EA140" i="44"/>
  <c r="DZ140" i="44"/>
  <c r="DY140" i="44"/>
  <c r="DX140" i="44"/>
  <c r="DW140" i="44"/>
  <c r="GM139" i="44"/>
  <c r="GK139" i="44"/>
  <c r="GJ139" i="44"/>
  <c r="GI139" i="44"/>
  <c r="GH139" i="44"/>
  <c r="GG139" i="44"/>
  <c r="GF139" i="44"/>
  <c r="GE139" i="44"/>
  <c r="GD139" i="44"/>
  <c r="GC139" i="44"/>
  <c r="GB139" i="44"/>
  <c r="GA139" i="44"/>
  <c r="FZ139" i="44"/>
  <c r="FY139" i="44"/>
  <c r="FT139" i="44"/>
  <c r="FS139" i="44"/>
  <c r="FR139" i="44"/>
  <c r="FQ139" i="44"/>
  <c r="FP139" i="44"/>
  <c r="FO139" i="44"/>
  <c r="FN139" i="44"/>
  <c r="FM139" i="44"/>
  <c r="FL139" i="44"/>
  <c r="FK139" i="44"/>
  <c r="FJ139" i="44"/>
  <c r="FI139" i="44"/>
  <c r="FH139" i="44"/>
  <c r="FG139" i="44"/>
  <c r="FF139" i="44"/>
  <c r="FE139" i="44"/>
  <c r="FD139" i="44"/>
  <c r="FC139" i="44"/>
  <c r="FB139" i="44"/>
  <c r="FA139" i="44"/>
  <c r="EZ139" i="44"/>
  <c r="EY139" i="44"/>
  <c r="EX139" i="44"/>
  <c r="EW139" i="44"/>
  <c r="EV139" i="44"/>
  <c r="EU139" i="44"/>
  <c r="ES139" i="44"/>
  <c r="ER139" i="44"/>
  <c r="EQ139" i="44"/>
  <c r="EP139" i="44"/>
  <c r="EO139" i="44"/>
  <c r="EN139" i="44"/>
  <c r="EM139" i="44"/>
  <c r="EL139" i="44"/>
  <c r="EK139" i="44"/>
  <c r="EJ139" i="44"/>
  <c r="EI139" i="44"/>
  <c r="EH139" i="44"/>
  <c r="EG139" i="44"/>
  <c r="EF139" i="44"/>
  <c r="EE139" i="44"/>
  <c r="ED139" i="44"/>
  <c r="EC139" i="44"/>
  <c r="EB139" i="44"/>
  <c r="EA139" i="44"/>
  <c r="DZ139" i="44"/>
  <c r="DW139" i="44"/>
  <c r="GM138" i="44"/>
  <c r="GK138" i="44"/>
  <c r="GJ138" i="44"/>
  <c r="GI138" i="44"/>
  <c r="GH138" i="44"/>
  <c r="GG138" i="44"/>
  <c r="GF138" i="44"/>
  <c r="GE138" i="44"/>
  <c r="GD138" i="44"/>
  <c r="GC138" i="44"/>
  <c r="GB138" i="44"/>
  <c r="GA138" i="44"/>
  <c r="FZ138" i="44"/>
  <c r="FY138" i="44"/>
  <c r="FT138" i="44"/>
  <c r="FS138" i="44"/>
  <c r="FR138" i="44"/>
  <c r="FQ138" i="44"/>
  <c r="FP138" i="44"/>
  <c r="FO138" i="44"/>
  <c r="FN138" i="44"/>
  <c r="FM138" i="44"/>
  <c r="FL138" i="44"/>
  <c r="FK138" i="44"/>
  <c r="FJ138" i="44"/>
  <c r="FI138" i="44"/>
  <c r="FH138" i="44"/>
  <c r="FG138" i="44"/>
  <c r="FF138" i="44"/>
  <c r="FE138" i="44"/>
  <c r="FD138" i="44"/>
  <c r="FC138" i="44"/>
  <c r="FB138" i="44"/>
  <c r="FA138" i="44"/>
  <c r="EZ138" i="44"/>
  <c r="EY138" i="44"/>
  <c r="EX138" i="44"/>
  <c r="EW138" i="44"/>
  <c r="EV138" i="44"/>
  <c r="EU138" i="44"/>
  <c r="ES138" i="44"/>
  <c r="ER138" i="44"/>
  <c r="EQ138" i="44"/>
  <c r="EP138" i="44"/>
  <c r="EO138" i="44"/>
  <c r="EN138" i="44"/>
  <c r="EM138" i="44"/>
  <c r="EL138" i="44"/>
  <c r="EK138" i="44"/>
  <c r="EJ138" i="44"/>
  <c r="EI138" i="44"/>
  <c r="EH138" i="44"/>
  <c r="EG138" i="44"/>
  <c r="EF138" i="44"/>
  <c r="EE138" i="44"/>
  <c r="ED138" i="44"/>
  <c r="EC138" i="44"/>
  <c r="EB138" i="44"/>
  <c r="EA138" i="44"/>
  <c r="DZ138" i="44"/>
  <c r="DW138" i="44"/>
  <c r="GM137" i="44"/>
  <c r="GK137" i="44"/>
  <c r="GJ137" i="44"/>
  <c r="GI137" i="44"/>
  <c r="GH137" i="44"/>
  <c r="GG137" i="44"/>
  <c r="GF137" i="44"/>
  <c r="GE137" i="44"/>
  <c r="GD137" i="44"/>
  <c r="GC137" i="44"/>
  <c r="GB137" i="44"/>
  <c r="GA137" i="44"/>
  <c r="FZ137" i="44"/>
  <c r="FY137" i="44"/>
  <c r="FT137" i="44"/>
  <c r="FS137" i="44"/>
  <c r="FR137" i="44"/>
  <c r="FQ137" i="44"/>
  <c r="FP137" i="44"/>
  <c r="FO137" i="44"/>
  <c r="FN137" i="44"/>
  <c r="FM137" i="44"/>
  <c r="FL137" i="44"/>
  <c r="FK137" i="44"/>
  <c r="FJ137" i="44"/>
  <c r="FI137" i="44"/>
  <c r="FH137" i="44"/>
  <c r="FG137" i="44"/>
  <c r="FF137" i="44"/>
  <c r="FE137" i="44"/>
  <c r="FD137" i="44"/>
  <c r="FC137" i="44"/>
  <c r="FB137" i="44"/>
  <c r="FA137" i="44"/>
  <c r="EZ137" i="44"/>
  <c r="EY137" i="44"/>
  <c r="EX137" i="44"/>
  <c r="EW137" i="44"/>
  <c r="EV137" i="44"/>
  <c r="EU137" i="44"/>
  <c r="ES137" i="44"/>
  <c r="ER137" i="44"/>
  <c r="EQ137" i="44"/>
  <c r="EP137" i="44"/>
  <c r="EO137" i="44"/>
  <c r="EN137" i="44"/>
  <c r="EM137" i="44"/>
  <c r="EL137" i="44"/>
  <c r="EK137" i="44"/>
  <c r="EJ137" i="44"/>
  <c r="EI137" i="44"/>
  <c r="EH137" i="44"/>
  <c r="EG137" i="44"/>
  <c r="EF137" i="44"/>
  <c r="EE137" i="44"/>
  <c r="ED137" i="44"/>
  <c r="EC137" i="44"/>
  <c r="EB137" i="44"/>
  <c r="EA137" i="44"/>
  <c r="DZ137" i="44"/>
  <c r="DW137" i="44"/>
  <c r="GM136" i="44"/>
  <c r="GK136" i="44"/>
  <c r="GJ136" i="44"/>
  <c r="GI136" i="44"/>
  <c r="GH136" i="44"/>
  <c r="GG136" i="44"/>
  <c r="GF136" i="44"/>
  <c r="GE136" i="44"/>
  <c r="GD136" i="44"/>
  <c r="GC136" i="44"/>
  <c r="GB136" i="44"/>
  <c r="GA136" i="44"/>
  <c r="FZ136" i="44"/>
  <c r="FY136" i="44"/>
  <c r="FT136" i="44"/>
  <c r="FS136" i="44"/>
  <c r="FR136" i="44"/>
  <c r="FQ136" i="44"/>
  <c r="FP136" i="44"/>
  <c r="FO136" i="44"/>
  <c r="FN136" i="44"/>
  <c r="FM136" i="44"/>
  <c r="FL136" i="44"/>
  <c r="FK136" i="44"/>
  <c r="FJ136" i="44"/>
  <c r="FI136" i="44"/>
  <c r="FH136" i="44"/>
  <c r="FG136" i="44"/>
  <c r="FF136" i="44"/>
  <c r="FE136" i="44"/>
  <c r="FD136" i="44"/>
  <c r="FC136" i="44"/>
  <c r="FB136" i="44"/>
  <c r="FA136" i="44"/>
  <c r="EZ136" i="44"/>
  <c r="EY136" i="44"/>
  <c r="EX136" i="44"/>
  <c r="EW136" i="44"/>
  <c r="EV136" i="44"/>
  <c r="EU136" i="44"/>
  <c r="ES136" i="44"/>
  <c r="ER136" i="44"/>
  <c r="EQ136" i="44"/>
  <c r="EP136" i="44"/>
  <c r="EO136" i="44"/>
  <c r="EN136" i="44"/>
  <c r="EM136" i="44"/>
  <c r="EL136" i="44"/>
  <c r="EK136" i="44"/>
  <c r="EJ136" i="44"/>
  <c r="EG136" i="44"/>
  <c r="EE136" i="44"/>
  <c r="ED136" i="44"/>
  <c r="EC136" i="44"/>
  <c r="DZ136" i="44"/>
  <c r="DY136" i="44"/>
  <c r="DW136" i="44"/>
  <c r="GM135" i="44"/>
  <c r="GK135" i="44"/>
  <c r="GJ135" i="44"/>
  <c r="GI135" i="44"/>
  <c r="GH135" i="44"/>
  <c r="GG135" i="44"/>
  <c r="GF135" i="44"/>
  <c r="GE135" i="44"/>
  <c r="GD135" i="44"/>
  <c r="GC135" i="44"/>
  <c r="GB135" i="44"/>
  <c r="GA135" i="44"/>
  <c r="FZ135" i="44"/>
  <c r="FY135" i="44"/>
  <c r="FT135" i="44"/>
  <c r="FS135" i="44"/>
  <c r="FR135" i="44"/>
  <c r="FQ135" i="44"/>
  <c r="FP135" i="44"/>
  <c r="FO135" i="44"/>
  <c r="FN135" i="44"/>
  <c r="FM135" i="44"/>
  <c r="FL135" i="44"/>
  <c r="FK135" i="44"/>
  <c r="FJ135" i="44"/>
  <c r="FI135" i="44"/>
  <c r="FH135" i="44"/>
  <c r="FG135" i="44"/>
  <c r="FF135" i="44"/>
  <c r="FE135" i="44"/>
  <c r="FD135" i="44"/>
  <c r="FC135" i="44"/>
  <c r="FB135" i="44"/>
  <c r="FA135" i="44"/>
  <c r="EZ135" i="44"/>
  <c r="EY135" i="44"/>
  <c r="EX135" i="44"/>
  <c r="EW135" i="44"/>
  <c r="EV135" i="44"/>
  <c r="EU135" i="44"/>
  <c r="ES135" i="44"/>
  <c r="ER135" i="44"/>
  <c r="EQ135" i="44"/>
  <c r="EP135" i="44"/>
  <c r="EO135" i="44"/>
  <c r="EN135" i="44"/>
  <c r="EM135" i="44"/>
  <c r="EL135" i="44"/>
  <c r="EK135" i="44"/>
  <c r="EJ135" i="44"/>
  <c r="EG135" i="44"/>
  <c r="EE135" i="44"/>
  <c r="ED135" i="44"/>
  <c r="EC135" i="44"/>
  <c r="DZ135" i="44"/>
  <c r="DY135" i="44"/>
  <c r="DW135" i="44"/>
  <c r="GM134" i="44"/>
  <c r="GK134" i="44"/>
  <c r="GJ134" i="44"/>
  <c r="GI134" i="44"/>
  <c r="GH134" i="44"/>
  <c r="GG134" i="44"/>
  <c r="GF134" i="44"/>
  <c r="GE134" i="44"/>
  <c r="GD134" i="44"/>
  <c r="GC134" i="44"/>
  <c r="GB134" i="44"/>
  <c r="GA134" i="44"/>
  <c r="FZ134" i="44"/>
  <c r="FY134" i="44"/>
  <c r="FT134" i="44"/>
  <c r="FS134" i="44"/>
  <c r="FR134" i="44"/>
  <c r="FQ134" i="44"/>
  <c r="FP134" i="44"/>
  <c r="FO134" i="44"/>
  <c r="FN134" i="44"/>
  <c r="FM134" i="44"/>
  <c r="FL134" i="44"/>
  <c r="FK134" i="44"/>
  <c r="FJ134" i="44"/>
  <c r="FI134" i="44"/>
  <c r="FH134" i="44"/>
  <c r="FG134" i="44"/>
  <c r="FF134" i="44"/>
  <c r="FE134" i="44"/>
  <c r="FD134" i="44"/>
  <c r="FC134" i="44"/>
  <c r="FB134" i="44"/>
  <c r="FA134" i="44"/>
  <c r="EZ134" i="44"/>
  <c r="EY134" i="44"/>
  <c r="EX134" i="44"/>
  <c r="EW134" i="44"/>
  <c r="EV134" i="44"/>
  <c r="EU134" i="44"/>
  <c r="ES134" i="44"/>
  <c r="ER134" i="44"/>
  <c r="EQ134" i="44"/>
  <c r="EP134" i="44"/>
  <c r="EO134" i="44"/>
  <c r="EN134" i="44"/>
  <c r="EM134" i="44"/>
  <c r="EL134" i="44"/>
  <c r="EK134" i="44"/>
  <c r="EJ134" i="44"/>
  <c r="EG134" i="44"/>
  <c r="EE134" i="44"/>
  <c r="ED134" i="44"/>
  <c r="EC134" i="44"/>
  <c r="DZ134" i="44"/>
  <c r="DY134" i="44"/>
  <c r="DW134" i="44"/>
  <c r="GM133" i="44"/>
  <c r="GK133" i="44"/>
  <c r="GJ133" i="44"/>
  <c r="GI133" i="44"/>
  <c r="GH133" i="44"/>
  <c r="GG133" i="44"/>
  <c r="GF133" i="44"/>
  <c r="GE133" i="44"/>
  <c r="GD133" i="44"/>
  <c r="GC133" i="44"/>
  <c r="GB133" i="44"/>
  <c r="GA133" i="44"/>
  <c r="FZ133" i="44"/>
  <c r="FY133" i="44"/>
  <c r="FT133" i="44"/>
  <c r="FS133" i="44"/>
  <c r="FR133" i="44"/>
  <c r="FQ133" i="44"/>
  <c r="FP133" i="44"/>
  <c r="FO133" i="44"/>
  <c r="FN133" i="44"/>
  <c r="FM133" i="44"/>
  <c r="FL133" i="44"/>
  <c r="FK133" i="44"/>
  <c r="FJ133" i="44"/>
  <c r="FI133" i="44"/>
  <c r="FH133" i="44"/>
  <c r="FG133" i="44"/>
  <c r="FF133" i="44"/>
  <c r="FE133" i="44"/>
  <c r="FD133" i="44"/>
  <c r="FC133" i="44"/>
  <c r="FB133" i="44"/>
  <c r="FA133" i="44"/>
  <c r="EZ133" i="44"/>
  <c r="EY133" i="44"/>
  <c r="EX133" i="44"/>
  <c r="EW133" i="44"/>
  <c r="EV133" i="44"/>
  <c r="EU133" i="44"/>
  <c r="ES133" i="44"/>
  <c r="ER133" i="44"/>
  <c r="EQ133" i="44"/>
  <c r="EP133" i="44"/>
  <c r="EO133" i="44"/>
  <c r="EN133" i="44"/>
  <c r="EM133" i="44"/>
  <c r="EL133" i="44"/>
  <c r="EK133" i="44"/>
  <c r="EJ133" i="44"/>
  <c r="EG133" i="44"/>
  <c r="EE133" i="44"/>
  <c r="ED133" i="44"/>
  <c r="EC133" i="44"/>
  <c r="DZ133" i="44"/>
  <c r="DY133" i="44"/>
  <c r="DW133" i="44"/>
  <c r="GM132" i="44"/>
  <c r="GK132" i="44"/>
  <c r="GJ132" i="44"/>
  <c r="GI132" i="44"/>
  <c r="GH132" i="44"/>
  <c r="GG132" i="44"/>
  <c r="GF132" i="44"/>
  <c r="GE132" i="44"/>
  <c r="GD132" i="44"/>
  <c r="GC132" i="44"/>
  <c r="GB132" i="44"/>
  <c r="GA132" i="44"/>
  <c r="FZ132" i="44"/>
  <c r="FY132" i="44"/>
  <c r="FT132" i="44"/>
  <c r="FS132" i="44"/>
  <c r="FR132" i="44"/>
  <c r="FQ132" i="44"/>
  <c r="FP132" i="44"/>
  <c r="FO132" i="44"/>
  <c r="FN132" i="44"/>
  <c r="FM132" i="44"/>
  <c r="FL132" i="44"/>
  <c r="FK132" i="44"/>
  <c r="FJ132" i="44"/>
  <c r="FI132" i="44"/>
  <c r="FH132" i="44"/>
  <c r="FG132" i="44"/>
  <c r="FF132" i="44"/>
  <c r="FE132" i="44"/>
  <c r="FD132" i="44"/>
  <c r="FC132" i="44"/>
  <c r="FB132" i="44"/>
  <c r="FA132" i="44"/>
  <c r="EZ132" i="44"/>
  <c r="EY132" i="44"/>
  <c r="EX132" i="44"/>
  <c r="EW132" i="44"/>
  <c r="EV132" i="44"/>
  <c r="EU132" i="44"/>
  <c r="ES132" i="44"/>
  <c r="ER132" i="44"/>
  <c r="EQ132" i="44"/>
  <c r="EP132" i="44"/>
  <c r="EO132" i="44"/>
  <c r="EN132" i="44"/>
  <c r="EM132" i="44"/>
  <c r="EL132" i="44"/>
  <c r="EK132" i="44"/>
  <c r="EJ132" i="44"/>
  <c r="EI132" i="44"/>
  <c r="EH132" i="44"/>
  <c r="EG132" i="44"/>
  <c r="EF132" i="44"/>
  <c r="EE132" i="44"/>
  <c r="ED132" i="44"/>
  <c r="EC132" i="44"/>
  <c r="EB132" i="44"/>
  <c r="EA132" i="44"/>
  <c r="DZ132" i="44"/>
  <c r="DW132" i="44"/>
  <c r="GM131" i="44"/>
  <c r="GK131" i="44"/>
  <c r="GJ131" i="44"/>
  <c r="GI131" i="44"/>
  <c r="GH131" i="44"/>
  <c r="GG131" i="44"/>
  <c r="GF131" i="44"/>
  <c r="GE131" i="44"/>
  <c r="GD131" i="44"/>
  <c r="GC131" i="44"/>
  <c r="GB131" i="44"/>
  <c r="GA131" i="44"/>
  <c r="FZ131" i="44"/>
  <c r="FY131" i="44"/>
  <c r="FT131" i="44"/>
  <c r="FS131" i="44"/>
  <c r="FR131" i="44"/>
  <c r="FQ131" i="44"/>
  <c r="FP131" i="44"/>
  <c r="FO131" i="44"/>
  <c r="FN131" i="44"/>
  <c r="FM131" i="44"/>
  <c r="FL131" i="44"/>
  <c r="FK131" i="44"/>
  <c r="FJ131" i="44"/>
  <c r="FI131" i="44"/>
  <c r="FH131" i="44"/>
  <c r="FG131" i="44"/>
  <c r="FF131" i="44"/>
  <c r="FE131" i="44"/>
  <c r="FD131" i="44"/>
  <c r="FC131" i="44"/>
  <c r="FB131" i="44"/>
  <c r="FA131" i="44"/>
  <c r="EZ131" i="44"/>
  <c r="EY131" i="44"/>
  <c r="EX131" i="44"/>
  <c r="EW131" i="44"/>
  <c r="EV131" i="44"/>
  <c r="EU131" i="44"/>
  <c r="ES131" i="44"/>
  <c r="ER131" i="44"/>
  <c r="EQ131" i="44"/>
  <c r="EP131" i="44"/>
  <c r="EO131" i="44"/>
  <c r="EN131" i="44"/>
  <c r="EM131" i="44"/>
  <c r="EL131" i="44"/>
  <c r="EK131" i="44"/>
  <c r="EJ131" i="44"/>
  <c r="EI131" i="44"/>
  <c r="EH131" i="44"/>
  <c r="EG131" i="44"/>
  <c r="EF131" i="44"/>
  <c r="EE131" i="44"/>
  <c r="ED131" i="44"/>
  <c r="EC131" i="44"/>
  <c r="EB131" i="44"/>
  <c r="EA131" i="44"/>
  <c r="DZ131" i="44"/>
  <c r="DW131" i="44"/>
  <c r="GM130" i="44"/>
  <c r="GK130" i="44"/>
  <c r="GJ130" i="44"/>
  <c r="GI130" i="44"/>
  <c r="GH130" i="44"/>
  <c r="GG130" i="44"/>
  <c r="GF130" i="44"/>
  <c r="GE130" i="44"/>
  <c r="GD130" i="44"/>
  <c r="GC130" i="44"/>
  <c r="GB130" i="44"/>
  <c r="GA130" i="44"/>
  <c r="FZ130" i="44"/>
  <c r="FY130" i="44"/>
  <c r="FT130" i="44"/>
  <c r="FS130" i="44"/>
  <c r="FR130" i="44"/>
  <c r="FQ130" i="44"/>
  <c r="FP130" i="44"/>
  <c r="FO130" i="44"/>
  <c r="FN130" i="44"/>
  <c r="FM130" i="44"/>
  <c r="FL130" i="44"/>
  <c r="FK130" i="44"/>
  <c r="FJ130" i="44"/>
  <c r="FI130" i="44"/>
  <c r="FH130" i="44"/>
  <c r="FG130" i="44"/>
  <c r="FF130" i="44"/>
  <c r="FE130" i="44"/>
  <c r="FD130" i="44"/>
  <c r="FC130" i="44"/>
  <c r="FB130" i="44"/>
  <c r="FA130" i="44"/>
  <c r="EZ130" i="44"/>
  <c r="EY130" i="44"/>
  <c r="EX130" i="44"/>
  <c r="EW130" i="44"/>
  <c r="EV130" i="44"/>
  <c r="EU130" i="44"/>
  <c r="ES130" i="44"/>
  <c r="ER130" i="44"/>
  <c r="EQ130" i="44"/>
  <c r="EP130" i="44"/>
  <c r="EO130" i="44"/>
  <c r="EN130" i="44"/>
  <c r="EM130" i="44"/>
  <c r="EL130" i="44"/>
  <c r="EK130" i="44"/>
  <c r="EJ130" i="44"/>
  <c r="EI130" i="44"/>
  <c r="EH130" i="44"/>
  <c r="EG130" i="44"/>
  <c r="EF130" i="44"/>
  <c r="EE130" i="44"/>
  <c r="ED130" i="44"/>
  <c r="EC130" i="44"/>
  <c r="EB130" i="44"/>
  <c r="EA130" i="44"/>
  <c r="DZ130" i="44"/>
  <c r="DW130" i="44"/>
  <c r="GM129" i="44"/>
  <c r="GK129" i="44"/>
  <c r="GJ129" i="44"/>
  <c r="GI129" i="44"/>
  <c r="GH129" i="44"/>
  <c r="GG129" i="44"/>
  <c r="GF129" i="44"/>
  <c r="GE129" i="44"/>
  <c r="GD129" i="44"/>
  <c r="GC129" i="44"/>
  <c r="GB129" i="44"/>
  <c r="GA129" i="44"/>
  <c r="FZ129" i="44"/>
  <c r="FY129" i="44"/>
  <c r="FT129" i="44"/>
  <c r="FS129" i="44"/>
  <c r="FR129" i="44"/>
  <c r="FQ129" i="44"/>
  <c r="FP129" i="44"/>
  <c r="FO129" i="44"/>
  <c r="FN129" i="44"/>
  <c r="FM129" i="44"/>
  <c r="FL129" i="44"/>
  <c r="FK129" i="44"/>
  <c r="FJ129" i="44"/>
  <c r="FI129" i="44"/>
  <c r="FH129" i="44"/>
  <c r="FG129" i="44"/>
  <c r="FF129" i="44"/>
  <c r="FE129" i="44"/>
  <c r="FD129" i="44"/>
  <c r="FC129" i="44"/>
  <c r="FB129" i="44"/>
  <c r="FA129" i="44"/>
  <c r="EZ129" i="44"/>
  <c r="EY129" i="44"/>
  <c r="EX129" i="44"/>
  <c r="EW129" i="44"/>
  <c r="EV129" i="44"/>
  <c r="EU129" i="44"/>
  <c r="ES129" i="44"/>
  <c r="ER129" i="44"/>
  <c r="EQ129" i="44"/>
  <c r="EP129" i="44"/>
  <c r="EO129" i="44"/>
  <c r="EN129" i="44"/>
  <c r="EM129" i="44"/>
  <c r="EL129" i="44"/>
  <c r="EK129" i="44"/>
  <c r="EJ129" i="44"/>
  <c r="EG129" i="44"/>
  <c r="EE129" i="44"/>
  <c r="ED129" i="44"/>
  <c r="EC129" i="44"/>
  <c r="DZ129" i="44"/>
  <c r="DY129" i="44"/>
  <c r="DW129" i="44"/>
  <c r="GM128" i="44"/>
  <c r="GK128" i="44"/>
  <c r="GJ128" i="44"/>
  <c r="GI128" i="44"/>
  <c r="GH128" i="44"/>
  <c r="GG128" i="44"/>
  <c r="GF128" i="44"/>
  <c r="GE128" i="44"/>
  <c r="GD128" i="44"/>
  <c r="GC128" i="44"/>
  <c r="GB128" i="44"/>
  <c r="GA128" i="44"/>
  <c r="FZ128" i="44"/>
  <c r="FY128" i="44"/>
  <c r="FT128" i="44"/>
  <c r="FS128" i="44"/>
  <c r="FR128" i="44"/>
  <c r="FQ128" i="44"/>
  <c r="FP128" i="44"/>
  <c r="FO128" i="44"/>
  <c r="FN128" i="44"/>
  <c r="FM128" i="44"/>
  <c r="FL128" i="44"/>
  <c r="FK128" i="44"/>
  <c r="FJ128" i="44"/>
  <c r="FI128" i="44"/>
  <c r="FH128" i="44"/>
  <c r="FG128" i="44"/>
  <c r="FF128" i="44"/>
  <c r="FE128" i="44"/>
  <c r="FD128" i="44"/>
  <c r="FC128" i="44"/>
  <c r="FB128" i="44"/>
  <c r="FA128" i="44"/>
  <c r="EZ128" i="44"/>
  <c r="EY128" i="44"/>
  <c r="EX128" i="44"/>
  <c r="EW128" i="44"/>
  <c r="EV128" i="44"/>
  <c r="EU128" i="44"/>
  <c r="ES128" i="44"/>
  <c r="ER128" i="44"/>
  <c r="EQ128" i="44"/>
  <c r="EP128" i="44"/>
  <c r="EO128" i="44"/>
  <c r="EN128" i="44"/>
  <c r="EM128" i="44"/>
  <c r="EL128" i="44"/>
  <c r="EK128" i="44"/>
  <c r="EJ128" i="44"/>
  <c r="EG128" i="44"/>
  <c r="EE128" i="44"/>
  <c r="ED128" i="44"/>
  <c r="EC128" i="44"/>
  <c r="DZ128" i="44"/>
  <c r="DY128" i="44"/>
  <c r="DW128" i="44"/>
  <c r="GM127" i="44"/>
  <c r="GK127" i="44"/>
  <c r="GJ127" i="44"/>
  <c r="GI127" i="44"/>
  <c r="GH127" i="44"/>
  <c r="GG127" i="44"/>
  <c r="GF127" i="44"/>
  <c r="GE127" i="44"/>
  <c r="GD127" i="44"/>
  <c r="GC127" i="44"/>
  <c r="GB127" i="44"/>
  <c r="GA127" i="44"/>
  <c r="FZ127" i="44"/>
  <c r="FY127" i="44"/>
  <c r="FT127" i="44"/>
  <c r="FS127" i="44"/>
  <c r="FR127" i="44"/>
  <c r="FQ127" i="44"/>
  <c r="FP127" i="44"/>
  <c r="FO127" i="44"/>
  <c r="FN127" i="44"/>
  <c r="FM127" i="44"/>
  <c r="FL127" i="44"/>
  <c r="FK127" i="44"/>
  <c r="FJ127" i="44"/>
  <c r="FI127" i="44"/>
  <c r="FH127" i="44"/>
  <c r="FG127" i="44"/>
  <c r="FF127" i="44"/>
  <c r="FE127" i="44"/>
  <c r="FD127" i="44"/>
  <c r="FC127" i="44"/>
  <c r="FB127" i="44"/>
  <c r="FA127" i="44"/>
  <c r="EZ127" i="44"/>
  <c r="EY127" i="44"/>
  <c r="EX127" i="44"/>
  <c r="EW127" i="44"/>
  <c r="EV127" i="44"/>
  <c r="EU127" i="44"/>
  <c r="ES127" i="44"/>
  <c r="ER127" i="44"/>
  <c r="EQ127" i="44"/>
  <c r="EP127" i="44"/>
  <c r="EO127" i="44"/>
  <c r="EN127" i="44"/>
  <c r="EM127" i="44"/>
  <c r="EL127" i="44"/>
  <c r="EK127" i="44"/>
  <c r="EJ127" i="44"/>
  <c r="EG127" i="44"/>
  <c r="EE127" i="44"/>
  <c r="ED127" i="44"/>
  <c r="EC127" i="44"/>
  <c r="DZ127" i="44"/>
  <c r="DY127" i="44"/>
  <c r="DW127" i="44"/>
  <c r="GM126" i="44"/>
  <c r="GK126" i="44"/>
  <c r="GJ126" i="44"/>
  <c r="GI126" i="44"/>
  <c r="GH126" i="44"/>
  <c r="GG126" i="44"/>
  <c r="GF126" i="44"/>
  <c r="GE126" i="44"/>
  <c r="GD126" i="44"/>
  <c r="GC126" i="44"/>
  <c r="GB126" i="44"/>
  <c r="GA126" i="44"/>
  <c r="FZ126" i="44"/>
  <c r="FY126" i="44"/>
  <c r="FT126" i="44"/>
  <c r="FS126" i="44"/>
  <c r="FR126" i="44"/>
  <c r="FQ126" i="44"/>
  <c r="FP126" i="44"/>
  <c r="FO126" i="44"/>
  <c r="FN126" i="44"/>
  <c r="FM126" i="44"/>
  <c r="FL126" i="44"/>
  <c r="FK126" i="44"/>
  <c r="FJ126" i="44"/>
  <c r="FI126" i="44"/>
  <c r="FH126" i="44"/>
  <c r="FG126" i="44"/>
  <c r="FF126" i="44"/>
  <c r="FE126" i="44"/>
  <c r="FD126" i="44"/>
  <c r="FC126" i="44"/>
  <c r="FB126" i="44"/>
  <c r="FA126" i="44"/>
  <c r="EZ126" i="44"/>
  <c r="EY126" i="44"/>
  <c r="EX126" i="44"/>
  <c r="EW126" i="44"/>
  <c r="EV126" i="44"/>
  <c r="EU126" i="44"/>
  <c r="ES126" i="44"/>
  <c r="ER126" i="44"/>
  <c r="EQ126" i="44"/>
  <c r="EP126" i="44"/>
  <c r="EO126" i="44"/>
  <c r="EN126" i="44"/>
  <c r="EM126" i="44"/>
  <c r="EL126" i="44"/>
  <c r="EK126" i="44"/>
  <c r="EJ126" i="44"/>
  <c r="EI126" i="44"/>
  <c r="EH126" i="44"/>
  <c r="EG126" i="44"/>
  <c r="EF126" i="44"/>
  <c r="EE126" i="44"/>
  <c r="ED126" i="44"/>
  <c r="EC126" i="44"/>
  <c r="EB126" i="44"/>
  <c r="EA126" i="44"/>
  <c r="DZ126" i="44"/>
  <c r="DY126" i="44"/>
  <c r="DX126" i="44"/>
  <c r="DW126" i="44"/>
  <c r="GM125" i="44"/>
  <c r="GK125" i="44"/>
  <c r="GJ125" i="44"/>
  <c r="GI125" i="44"/>
  <c r="GH125" i="44"/>
  <c r="GG125" i="44"/>
  <c r="GF125" i="44"/>
  <c r="GE125" i="44"/>
  <c r="GD125" i="44"/>
  <c r="GC125" i="44"/>
  <c r="GB125" i="44"/>
  <c r="GA125" i="44"/>
  <c r="FZ125" i="44"/>
  <c r="FY125" i="44"/>
  <c r="FT125" i="44"/>
  <c r="FS125" i="44"/>
  <c r="FR125" i="44"/>
  <c r="FQ125" i="44"/>
  <c r="FP125" i="44"/>
  <c r="FO125" i="44"/>
  <c r="FN125" i="44"/>
  <c r="FM125" i="44"/>
  <c r="FL125" i="44"/>
  <c r="FK125" i="44"/>
  <c r="FJ125" i="44"/>
  <c r="FI125" i="44"/>
  <c r="FH125" i="44"/>
  <c r="FG125" i="44"/>
  <c r="FF125" i="44"/>
  <c r="FE125" i="44"/>
  <c r="FD125" i="44"/>
  <c r="FC125" i="44"/>
  <c r="FB125" i="44"/>
  <c r="FA125" i="44"/>
  <c r="EZ125" i="44"/>
  <c r="EY125" i="44"/>
  <c r="EX125" i="44"/>
  <c r="EW125" i="44"/>
  <c r="EV125" i="44"/>
  <c r="EU125" i="44"/>
  <c r="ES125" i="44"/>
  <c r="ER125" i="44"/>
  <c r="EQ125" i="44"/>
  <c r="EP125" i="44"/>
  <c r="EO125" i="44"/>
  <c r="EN125" i="44"/>
  <c r="EM125" i="44"/>
  <c r="EL125" i="44"/>
  <c r="EK125" i="44"/>
  <c r="EJ125" i="44"/>
  <c r="EI125" i="44"/>
  <c r="EH125" i="44"/>
  <c r="EG125" i="44"/>
  <c r="EF125" i="44"/>
  <c r="EE125" i="44"/>
  <c r="ED125" i="44"/>
  <c r="EC125" i="44"/>
  <c r="EB125" i="44"/>
  <c r="EA125" i="44"/>
  <c r="DZ125" i="44"/>
  <c r="DW125" i="44"/>
  <c r="GM124" i="44"/>
  <c r="GK124" i="44"/>
  <c r="GJ124" i="44"/>
  <c r="GI124" i="44"/>
  <c r="GH124" i="44"/>
  <c r="GG124" i="44"/>
  <c r="GF124" i="44"/>
  <c r="GE124" i="44"/>
  <c r="GD124" i="44"/>
  <c r="GC124" i="44"/>
  <c r="GB124" i="44"/>
  <c r="GA124" i="44"/>
  <c r="FZ124" i="44"/>
  <c r="FY124" i="44"/>
  <c r="FT124" i="44"/>
  <c r="FS124" i="44"/>
  <c r="FR124" i="44"/>
  <c r="FQ124" i="44"/>
  <c r="FP124" i="44"/>
  <c r="FO124" i="44"/>
  <c r="FN124" i="44"/>
  <c r="FM124" i="44"/>
  <c r="FL124" i="44"/>
  <c r="FK124" i="44"/>
  <c r="FJ124" i="44"/>
  <c r="FI124" i="44"/>
  <c r="FH124" i="44"/>
  <c r="FG124" i="44"/>
  <c r="FF124" i="44"/>
  <c r="FE124" i="44"/>
  <c r="FD124" i="44"/>
  <c r="FC124" i="44"/>
  <c r="FB124" i="44"/>
  <c r="FA124" i="44"/>
  <c r="EZ124" i="44"/>
  <c r="EY124" i="44"/>
  <c r="EX124" i="44"/>
  <c r="EW124" i="44"/>
  <c r="EV124" i="44"/>
  <c r="EU124" i="44"/>
  <c r="ES124" i="44"/>
  <c r="ER124" i="44"/>
  <c r="EQ124" i="44"/>
  <c r="EP124" i="44"/>
  <c r="EO124" i="44"/>
  <c r="EN124" i="44"/>
  <c r="EM124" i="44"/>
  <c r="EL124" i="44"/>
  <c r="EK124" i="44"/>
  <c r="EJ124" i="44"/>
  <c r="EI124" i="44"/>
  <c r="EH124" i="44"/>
  <c r="EG124" i="44"/>
  <c r="EF124" i="44"/>
  <c r="EE124" i="44"/>
  <c r="ED124" i="44"/>
  <c r="EC124" i="44"/>
  <c r="EB124" i="44"/>
  <c r="EA124" i="44"/>
  <c r="DZ124" i="44"/>
  <c r="DW124" i="44"/>
  <c r="GM123" i="44"/>
  <c r="GK123" i="44"/>
  <c r="GJ123" i="44"/>
  <c r="GI123" i="44"/>
  <c r="GH123" i="44"/>
  <c r="GG123" i="44"/>
  <c r="GF123" i="44"/>
  <c r="GE123" i="44"/>
  <c r="GD123" i="44"/>
  <c r="GC123" i="44"/>
  <c r="GB123" i="44"/>
  <c r="GA123" i="44"/>
  <c r="FZ123" i="44"/>
  <c r="FY123" i="44"/>
  <c r="FT123" i="44"/>
  <c r="FS123" i="44"/>
  <c r="FR123" i="44"/>
  <c r="FQ123" i="44"/>
  <c r="FP123" i="44"/>
  <c r="FO123" i="44"/>
  <c r="FN123" i="44"/>
  <c r="FM123" i="44"/>
  <c r="FL123" i="44"/>
  <c r="FK123" i="44"/>
  <c r="FJ123" i="44"/>
  <c r="FI123" i="44"/>
  <c r="FH123" i="44"/>
  <c r="FG123" i="44"/>
  <c r="FF123" i="44"/>
  <c r="FE123" i="44"/>
  <c r="FD123" i="44"/>
  <c r="FC123" i="44"/>
  <c r="FB123" i="44"/>
  <c r="FA123" i="44"/>
  <c r="EZ123" i="44"/>
  <c r="EY123" i="44"/>
  <c r="EX123" i="44"/>
  <c r="EW123" i="44"/>
  <c r="EV123" i="44"/>
  <c r="EU123" i="44"/>
  <c r="ES123" i="44"/>
  <c r="ER123" i="44"/>
  <c r="EQ123" i="44"/>
  <c r="EP123" i="44"/>
  <c r="EO123" i="44"/>
  <c r="EN123" i="44"/>
  <c r="EM123" i="44"/>
  <c r="EL123" i="44"/>
  <c r="EK123" i="44"/>
  <c r="EJ123" i="44"/>
  <c r="EI123" i="44"/>
  <c r="EH123" i="44"/>
  <c r="EG123" i="44"/>
  <c r="EF123" i="44"/>
  <c r="EE123" i="44"/>
  <c r="ED123" i="44"/>
  <c r="EC123" i="44"/>
  <c r="EB123" i="44"/>
  <c r="EA123" i="44"/>
  <c r="DZ123" i="44"/>
  <c r="DW123" i="44"/>
  <c r="GM122" i="44"/>
  <c r="GK122" i="44"/>
  <c r="GJ122" i="44"/>
  <c r="GI122" i="44"/>
  <c r="GH122" i="44"/>
  <c r="GG122" i="44"/>
  <c r="GF122" i="44"/>
  <c r="GE122" i="44"/>
  <c r="GD122" i="44"/>
  <c r="GC122" i="44"/>
  <c r="GB122" i="44"/>
  <c r="GA122" i="44"/>
  <c r="FZ122" i="44"/>
  <c r="FY122" i="44"/>
  <c r="FT122" i="44"/>
  <c r="FS122" i="44"/>
  <c r="FR122" i="44"/>
  <c r="FQ122" i="44"/>
  <c r="FP122" i="44"/>
  <c r="FO122" i="44"/>
  <c r="FN122" i="44"/>
  <c r="FM122" i="44"/>
  <c r="FL122" i="44"/>
  <c r="FK122" i="44"/>
  <c r="FJ122" i="44"/>
  <c r="FI122" i="44"/>
  <c r="FH122" i="44"/>
  <c r="FG122" i="44"/>
  <c r="FF122" i="44"/>
  <c r="FE122" i="44"/>
  <c r="FD122" i="44"/>
  <c r="FC122" i="44"/>
  <c r="FB122" i="44"/>
  <c r="FA122" i="44"/>
  <c r="EZ122" i="44"/>
  <c r="EY122" i="44"/>
  <c r="EX122" i="44"/>
  <c r="EW122" i="44"/>
  <c r="EV122" i="44"/>
  <c r="EU122" i="44"/>
  <c r="ES122" i="44"/>
  <c r="ER122" i="44"/>
  <c r="EQ122" i="44"/>
  <c r="EP122" i="44"/>
  <c r="EO122" i="44"/>
  <c r="EN122" i="44"/>
  <c r="EM122" i="44"/>
  <c r="EL122" i="44"/>
  <c r="EK122" i="44"/>
  <c r="EJ122" i="44"/>
  <c r="EG122" i="44"/>
  <c r="EE122" i="44"/>
  <c r="ED122" i="44"/>
  <c r="EC122" i="44"/>
  <c r="DZ122" i="44"/>
  <c r="DY122" i="44"/>
  <c r="DW122" i="44"/>
  <c r="GM121" i="44"/>
  <c r="GK121" i="44"/>
  <c r="GJ121" i="44"/>
  <c r="GI121" i="44"/>
  <c r="GH121" i="44"/>
  <c r="GG121" i="44"/>
  <c r="GF121" i="44"/>
  <c r="GE121" i="44"/>
  <c r="GD121" i="44"/>
  <c r="GC121" i="44"/>
  <c r="GB121" i="44"/>
  <c r="GA121" i="44"/>
  <c r="FZ121" i="44"/>
  <c r="FY121" i="44"/>
  <c r="FT121" i="44"/>
  <c r="FS121" i="44"/>
  <c r="FR121" i="44"/>
  <c r="FQ121" i="44"/>
  <c r="FP121" i="44"/>
  <c r="FO121" i="44"/>
  <c r="FN121" i="44"/>
  <c r="FM121" i="44"/>
  <c r="FL121" i="44"/>
  <c r="FK121" i="44"/>
  <c r="FJ121" i="44"/>
  <c r="FI121" i="44"/>
  <c r="FH121" i="44"/>
  <c r="FG121" i="44"/>
  <c r="FF121" i="44"/>
  <c r="FE121" i="44"/>
  <c r="FD121" i="44"/>
  <c r="FC121" i="44"/>
  <c r="FB121" i="44"/>
  <c r="FA121" i="44"/>
  <c r="EZ121" i="44"/>
  <c r="EY121" i="44"/>
  <c r="EX121" i="44"/>
  <c r="EW121" i="44"/>
  <c r="EV121" i="44"/>
  <c r="EU121" i="44"/>
  <c r="ES121" i="44"/>
  <c r="ER121" i="44"/>
  <c r="EQ121" i="44"/>
  <c r="EP121" i="44"/>
  <c r="EO121" i="44"/>
  <c r="EN121" i="44"/>
  <c r="EM121" i="44"/>
  <c r="EL121" i="44"/>
  <c r="EK121" i="44"/>
  <c r="EJ121" i="44"/>
  <c r="EG121" i="44"/>
  <c r="EE121" i="44"/>
  <c r="ED121" i="44"/>
  <c r="EC121" i="44"/>
  <c r="DZ121" i="44"/>
  <c r="DY121" i="44"/>
  <c r="DW121" i="44"/>
  <c r="GM120" i="44"/>
  <c r="GK120" i="44"/>
  <c r="GJ120" i="44"/>
  <c r="GI120" i="44"/>
  <c r="GH120" i="44"/>
  <c r="GG120" i="44"/>
  <c r="GF120" i="44"/>
  <c r="GE120" i="44"/>
  <c r="GD120" i="44"/>
  <c r="GC120" i="44"/>
  <c r="GB120" i="44"/>
  <c r="GA120" i="44"/>
  <c r="FZ120" i="44"/>
  <c r="FY120" i="44"/>
  <c r="FT120" i="44"/>
  <c r="FS120" i="44"/>
  <c r="FR120" i="44"/>
  <c r="FQ120" i="44"/>
  <c r="FP120" i="44"/>
  <c r="FO120" i="44"/>
  <c r="FN120" i="44"/>
  <c r="FM120" i="44"/>
  <c r="FL120" i="44"/>
  <c r="FK120" i="44"/>
  <c r="FJ120" i="44"/>
  <c r="FI120" i="44"/>
  <c r="FH120" i="44"/>
  <c r="FG120" i="44"/>
  <c r="FF120" i="44"/>
  <c r="FE120" i="44"/>
  <c r="FD120" i="44"/>
  <c r="FC120" i="44"/>
  <c r="FB120" i="44"/>
  <c r="FA120" i="44"/>
  <c r="EZ120" i="44"/>
  <c r="EY120" i="44"/>
  <c r="EX120" i="44"/>
  <c r="EW120" i="44"/>
  <c r="EV120" i="44"/>
  <c r="EU120" i="44"/>
  <c r="ES120" i="44"/>
  <c r="ER120" i="44"/>
  <c r="EQ120" i="44"/>
  <c r="EP120" i="44"/>
  <c r="EO120" i="44"/>
  <c r="EN120" i="44"/>
  <c r="EM120" i="44"/>
  <c r="EL120" i="44"/>
  <c r="EK120" i="44"/>
  <c r="EJ120" i="44"/>
  <c r="EG120" i="44"/>
  <c r="EE120" i="44"/>
  <c r="ED120" i="44"/>
  <c r="EC120" i="44"/>
  <c r="DZ120" i="44"/>
  <c r="DY120" i="44"/>
  <c r="DW120" i="44"/>
  <c r="GM119" i="44"/>
  <c r="GK119" i="44"/>
  <c r="GJ119" i="44"/>
  <c r="GI119" i="44"/>
  <c r="GH119" i="44"/>
  <c r="GG119" i="44"/>
  <c r="GF119" i="44"/>
  <c r="GE119" i="44"/>
  <c r="GD119" i="44"/>
  <c r="GC119" i="44"/>
  <c r="GB119" i="44"/>
  <c r="GA119" i="44"/>
  <c r="FZ119" i="44"/>
  <c r="FY119" i="44"/>
  <c r="FT119" i="44"/>
  <c r="FS119" i="44"/>
  <c r="FR119" i="44"/>
  <c r="FQ119" i="44"/>
  <c r="FP119" i="44"/>
  <c r="FO119" i="44"/>
  <c r="FN119" i="44"/>
  <c r="FM119" i="44"/>
  <c r="FL119" i="44"/>
  <c r="FK119" i="44"/>
  <c r="FJ119" i="44"/>
  <c r="FI119" i="44"/>
  <c r="FH119" i="44"/>
  <c r="FG119" i="44"/>
  <c r="FF119" i="44"/>
  <c r="FE119" i="44"/>
  <c r="FD119" i="44"/>
  <c r="FC119" i="44"/>
  <c r="FB119" i="44"/>
  <c r="FA119" i="44"/>
  <c r="EZ119" i="44"/>
  <c r="EY119" i="44"/>
  <c r="EX119" i="44"/>
  <c r="EW119" i="44"/>
  <c r="EV119" i="44"/>
  <c r="EU119" i="44"/>
  <c r="ES119" i="44"/>
  <c r="ER119" i="44"/>
  <c r="EQ119" i="44"/>
  <c r="EP119" i="44"/>
  <c r="EO119" i="44"/>
  <c r="EN119" i="44"/>
  <c r="EM119" i="44"/>
  <c r="EL119" i="44"/>
  <c r="EK119" i="44"/>
  <c r="EJ119" i="44"/>
  <c r="EI119" i="44"/>
  <c r="EH119" i="44"/>
  <c r="EG119" i="44"/>
  <c r="EF119" i="44"/>
  <c r="EE119" i="44"/>
  <c r="ED119" i="44"/>
  <c r="EC119" i="44"/>
  <c r="EB119" i="44"/>
  <c r="EA119" i="44"/>
  <c r="DZ119" i="44"/>
  <c r="DW119" i="44"/>
  <c r="GM118" i="44"/>
  <c r="GK118" i="44"/>
  <c r="GJ118" i="44"/>
  <c r="GI118" i="44"/>
  <c r="GH118" i="44"/>
  <c r="GG118" i="44"/>
  <c r="GF118" i="44"/>
  <c r="GE118" i="44"/>
  <c r="GD118" i="44"/>
  <c r="GC118" i="44"/>
  <c r="GB118" i="44"/>
  <c r="GA118" i="44"/>
  <c r="FZ118" i="44"/>
  <c r="FY118" i="44"/>
  <c r="FT118" i="44"/>
  <c r="FS118" i="44"/>
  <c r="FR118" i="44"/>
  <c r="FQ118" i="44"/>
  <c r="FP118" i="44"/>
  <c r="FO118" i="44"/>
  <c r="FN118" i="44"/>
  <c r="FM118" i="44"/>
  <c r="FL118" i="44"/>
  <c r="FK118" i="44"/>
  <c r="FJ118" i="44"/>
  <c r="FI118" i="44"/>
  <c r="FH118" i="44"/>
  <c r="FG118" i="44"/>
  <c r="FF118" i="44"/>
  <c r="FE118" i="44"/>
  <c r="FD118" i="44"/>
  <c r="FC118" i="44"/>
  <c r="FB118" i="44"/>
  <c r="FA118" i="44"/>
  <c r="EZ118" i="44"/>
  <c r="EY118" i="44"/>
  <c r="EX118" i="44"/>
  <c r="EW118" i="44"/>
  <c r="EV118" i="44"/>
  <c r="EU118" i="44"/>
  <c r="ES118" i="44"/>
  <c r="ER118" i="44"/>
  <c r="EQ118" i="44"/>
  <c r="EP118" i="44"/>
  <c r="EO118" i="44"/>
  <c r="EN118" i="44"/>
  <c r="EM118" i="44"/>
  <c r="EL118" i="44"/>
  <c r="EK118" i="44"/>
  <c r="EJ118" i="44"/>
  <c r="EI118" i="44"/>
  <c r="EH118" i="44"/>
  <c r="EG118" i="44"/>
  <c r="EF118" i="44"/>
  <c r="EE118" i="44"/>
  <c r="ED118" i="44"/>
  <c r="EC118" i="44"/>
  <c r="EB118" i="44"/>
  <c r="EA118" i="44"/>
  <c r="DZ118" i="44"/>
  <c r="DW118" i="44"/>
  <c r="GM117" i="44"/>
  <c r="GK117" i="44"/>
  <c r="GJ117" i="44"/>
  <c r="GI117" i="44"/>
  <c r="GH117" i="44"/>
  <c r="GG117" i="44"/>
  <c r="GF117" i="44"/>
  <c r="GE117" i="44"/>
  <c r="GD117" i="44"/>
  <c r="GC117" i="44"/>
  <c r="GB117" i="44"/>
  <c r="GA117" i="44"/>
  <c r="FZ117" i="44"/>
  <c r="FY117" i="44"/>
  <c r="FT117" i="44"/>
  <c r="FS117" i="44"/>
  <c r="FR117" i="44"/>
  <c r="FQ117" i="44"/>
  <c r="FP117" i="44"/>
  <c r="FO117" i="44"/>
  <c r="FN117" i="44"/>
  <c r="FM117" i="44"/>
  <c r="FL117" i="44"/>
  <c r="FK117" i="44"/>
  <c r="FJ117" i="44"/>
  <c r="FI117" i="44"/>
  <c r="FH117" i="44"/>
  <c r="FG117" i="44"/>
  <c r="FF117" i="44"/>
  <c r="FE117" i="44"/>
  <c r="FD117" i="44"/>
  <c r="FC117" i="44"/>
  <c r="FB117" i="44"/>
  <c r="FA117" i="44"/>
  <c r="EZ117" i="44"/>
  <c r="EY117" i="44"/>
  <c r="EX117" i="44"/>
  <c r="EW117" i="44"/>
  <c r="EV117" i="44"/>
  <c r="EU117" i="44"/>
  <c r="ES117" i="44"/>
  <c r="ER117" i="44"/>
  <c r="EQ117" i="44"/>
  <c r="EP117" i="44"/>
  <c r="EO117" i="44"/>
  <c r="EN117" i="44"/>
  <c r="EM117" i="44"/>
  <c r="EL117" i="44"/>
  <c r="EK117" i="44"/>
  <c r="EJ117" i="44"/>
  <c r="EI117" i="44"/>
  <c r="EH117" i="44"/>
  <c r="EG117" i="44"/>
  <c r="EF117" i="44"/>
  <c r="EE117" i="44"/>
  <c r="ED117" i="44"/>
  <c r="EC117" i="44"/>
  <c r="EB117" i="44"/>
  <c r="EA117" i="44"/>
  <c r="DZ117" i="44"/>
  <c r="DW117" i="44"/>
  <c r="GM116" i="44"/>
  <c r="GK116" i="44"/>
  <c r="GJ116" i="44"/>
  <c r="GI116" i="44"/>
  <c r="GH116" i="44"/>
  <c r="GG116" i="44"/>
  <c r="GF116" i="44"/>
  <c r="GE116" i="44"/>
  <c r="GD116" i="44"/>
  <c r="GC116" i="44"/>
  <c r="GB116" i="44"/>
  <c r="GA116" i="44"/>
  <c r="FZ116" i="44"/>
  <c r="FY116" i="44"/>
  <c r="FT116" i="44"/>
  <c r="FS116" i="44"/>
  <c r="FR116" i="44"/>
  <c r="FQ116" i="44"/>
  <c r="FP116" i="44"/>
  <c r="FO116" i="44"/>
  <c r="FN116" i="44"/>
  <c r="FM116" i="44"/>
  <c r="FL116" i="44"/>
  <c r="FK116" i="44"/>
  <c r="FJ116" i="44"/>
  <c r="FI116" i="44"/>
  <c r="FH116" i="44"/>
  <c r="FG116" i="44"/>
  <c r="FF116" i="44"/>
  <c r="FE116" i="44"/>
  <c r="FD116" i="44"/>
  <c r="FC116" i="44"/>
  <c r="FB116" i="44"/>
  <c r="FA116" i="44"/>
  <c r="EZ116" i="44"/>
  <c r="EY116" i="44"/>
  <c r="EX116" i="44"/>
  <c r="EW116" i="44"/>
  <c r="EV116" i="44"/>
  <c r="EU116" i="44"/>
  <c r="ES116" i="44"/>
  <c r="ER116" i="44"/>
  <c r="EQ116" i="44"/>
  <c r="EP116" i="44"/>
  <c r="EO116" i="44"/>
  <c r="EN116" i="44"/>
  <c r="EM116" i="44"/>
  <c r="EL116" i="44"/>
  <c r="EK116" i="44"/>
  <c r="EJ116" i="44"/>
  <c r="EG116" i="44"/>
  <c r="EE116" i="44"/>
  <c r="ED116" i="44"/>
  <c r="EC116" i="44"/>
  <c r="DZ116" i="44"/>
  <c r="DY116" i="44"/>
  <c r="DW116" i="44"/>
  <c r="GM115" i="44"/>
  <c r="GK115" i="44"/>
  <c r="GJ115" i="44"/>
  <c r="GI115" i="44"/>
  <c r="GH115" i="44"/>
  <c r="GG115" i="44"/>
  <c r="GF115" i="44"/>
  <c r="GE115" i="44"/>
  <c r="GD115" i="44"/>
  <c r="GC115" i="44"/>
  <c r="GB115" i="44"/>
  <c r="GA115" i="44"/>
  <c r="FZ115" i="44"/>
  <c r="FY115" i="44"/>
  <c r="FT115" i="44"/>
  <c r="FS115" i="44"/>
  <c r="FR115" i="44"/>
  <c r="FQ115" i="44"/>
  <c r="FP115" i="44"/>
  <c r="FO115" i="44"/>
  <c r="FN115" i="44"/>
  <c r="FM115" i="44"/>
  <c r="FL115" i="44"/>
  <c r="FK115" i="44"/>
  <c r="FJ115" i="44"/>
  <c r="FI115" i="44"/>
  <c r="FH115" i="44"/>
  <c r="FG115" i="44"/>
  <c r="FF115" i="44"/>
  <c r="FE115" i="44"/>
  <c r="FD115" i="44"/>
  <c r="FC115" i="44"/>
  <c r="FB115" i="44"/>
  <c r="FA115" i="44"/>
  <c r="EZ115" i="44"/>
  <c r="EY115" i="44"/>
  <c r="EX115" i="44"/>
  <c r="EW115" i="44"/>
  <c r="EV115" i="44"/>
  <c r="EU115" i="44"/>
  <c r="ES115" i="44"/>
  <c r="ER115" i="44"/>
  <c r="EQ115" i="44"/>
  <c r="EP115" i="44"/>
  <c r="EO115" i="44"/>
  <c r="EN115" i="44"/>
  <c r="EM115" i="44"/>
  <c r="EL115" i="44"/>
  <c r="EK115" i="44"/>
  <c r="EJ115" i="44"/>
  <c r="EG115" i="44"/>
  <c r="EE115" i="44"/>
  <c r="ED115" i="44"/>
  <c r="EC115" i="44"/>
  <c r="DZ115" i="44"/>
  <c r="DY115" i="44"/>
  <c r="DW115" i="44"/>
  <c r="GM114" i="44"/>
  <c r="GK114" i="44"/>
  <c r="GJ114" i="44"/>
  <c r="GI114" i="44"/>
  <c r="GH114" i="44"/>
  <c r="GG114" i="44"/>
  <c r="GF114" i="44"/>
  <c r="GE114" i="44"/>
  <c r="GD114" i="44"/>
  <c r="GC114" i="44"/>
  <c r="GB114" i="44"/>
  <c r="GA114" i="44"/>
  <c r="FZ114" i="44"/>
  <c r="FY114" i="44"/>
  <c r="FT114" i="44"/>
  <c r="FS114" i="44"/>
  <c r="FR114" i="44"/>
  <c r="FQ114" i="44"/>
  <c r="FP114" i="44"/>
  <c r="FO114" i="44"/>
  <c r="FN114" i="44"/>
  <c r="FM114" i="44"/>
  <c r="FL114" i="44"/>
  <c r="FK114" i="44"/>
  <c r="FJ114" i="44"/>
  <c r="FI114" i="44"/>
  <c r="FH114" i="44"/>
  <c r="FG114" i="44"/>
  <c r="FF114" i="44"/>
  <c r="FE114" i="44"/>
  <c r="FD114" i="44"/>
  <c r="FC114" i="44"/>
  <c r="FB114" i="44"/>
  <c r="FA114" i="44"/>
  <c r="EZ114" i="44"/>
  <c r="EY114" i="44"/>
  <c r="EX114" i="44"/>
  <c r="EW114" i="44"/>
  <c r="EV114" i="44"/>
  <c r="EU114" i="44"/>
  <c r="ES114" i="44"/>
  <c r="ER114" i="44"/>
  <c r="EQ114" i="44"/>
  <c r="EP114" i="44"/>
  <c r="EO114" i="44"/>
  <c r="EN114" i="44"/>
  <c r="EM114" i="44"/>
  <c r="EL114" i="44"/>
  <c r="EK114" i="44"/>
  <c r="EJ114" i="44"/>
  <c r="EG114" i="44"/>
  <c r="EE114" i="44"/>
  <c r="ED114" i="44"/>
  <c r="EC114" i="44"/>
  <c r="DZ114" i="44"/>
  <c r="DY114" i="44"/>
  <c r="DW114" i="44"/>
  <c r="GM113" i="44"/>
  <c r="GK113" i="44"/>
  <c r="GJ113" i="44"/>
  <c r="GI113" i="44"/>
  <c r="GH113" i="44"/>
  <c r="GG113" i="44"/>
  <c r="GF113" i="44"/>
  <c r="GE113" i="44"/>
  <c r="GD113" i="44"/>
  <c r="GC113" i="44"/>
  <c r="GB113" i="44"/>
  <c r="GA113" i="44"/>
  <c r="FZ113" i="44"/>
  <c r="FY113" i="44"/>
  <c r="FT113" i="44"/>
  <c r="FS113" i="44"/>
  <c r="FR113" i="44"/>
  <c r="FQ113" i="44"/>
  <c r="FP113" i="44"/>
  <c r="FO113" i="44"/>
  <c r="FN113" i="44"/>
  <c r="FM113" i="44"/>
  <c r="FL113" i="44"/>
  <c r="FK113" i="44"/>
  <c r="FJ113" i="44"/>
  <c r="FI113" i="44"/>
  <c r="FH113" i="44"/>
  <c r="FG113" i="44"/>
  <c r="FF113" i="44"/>
  <c r="FE113" i="44"/>
  <c r="FD113" i="44"/>
  <c r="FC113" i="44"/>
  <c r="FB113" i="44"/>
  <c r="FA113" i="44"/>
  <c r="EZ113" i="44"/>
  <c r="EY113" i="44"/>
  <c r="EX113" i="44"/>
  <c r="EW113" i="44"/>
  <c r="EV113" i="44"/>
  <c r="EU113" i="44"/>
  <c r="ES113" i="44"/>
  <c r="ER113" i="44"/>
  <c r="EQ113" i="44"/>
  <c r="EP113" i="44"/>
  <c r="EO113" i="44"/>
  <c r="EN113" i="44"/>
  <c r="EM113" i="44"/>
  <c r="EL113" i="44"/>
  <c r="EK113" i="44"/>
  <c r="EJ113" i="44"/>
  <c r="EG113" i="44"/>
  <c r="EE113" i="44"/>
  <c r="ED113" i="44"/>
  <c r="EC113" i="44"/>
  <c r="DZ113" i="44"/>
  <c r="DY113" i="44"/>
  <c r="DW113" i="44"/>
  <c r="GM112" i="44"/>
  <c r="GK112" i="44"/>
  <c r="GJ112" i="44"/>
  <c r="GI112" i="44"/>
  <c r="GH112" i="44"/>
  <c r="GG112" i="44"/>
  <c r="GF112" i="44"/>
  <c r="GE112" i="44"/>
  <c r="GD112" i="44"/>
  <c r="GC112" i="44"/>
  <c r="GB112" i="44"/>
  <c r="GA112" i="44"/>
  <c r="FZ112" i="44"/>
  <c r="FY112" i="44"/>
  <c r="FT112" i="44"/>
  <c r="FS112" i="44"/>
  <c r="FR112" i="44"/>
  <c r="FQ112" i="44"/>
  <c r="FP112" i="44"/>
  <c r="FO112" i="44"/>
  <c r="FN112" i="44"/>
  <c r="FM112" i="44"/>
  <c r="FL112" i="44"/>
  <c r="FK112" i="44"/>
  <c r="FJ112" i="44"/>
  <c r="FI112" i="44"/>
  <c r="FH112" i="44"/>
  <c r="FG112" i="44"/>
  <c r="FF112" i="44"/>
  <c r="FE112" i="44"/>
  <c r="FD112" i="44"/>
  <c r="FC112" i="44"/>
  <c r="FB112" i="44"/>
  <c r="FA112" i="44"/>
  <c r="EZ112" i="44"/>
  <c r="EY112" i="44"/>
  <c r="EX112" i="44"/>
  <c r="EW112" i="44"/>
  <c r="EV112" i="44"/>
  <c r="EU112" i="44"/>
  <c r="ES112" i="44"/>
  <c r="ER112" i="44"/>
  <c r="EQ112" i="44"/>
  <c r="EP112" i="44"/>
  <c r="EO112" i="44"/>
  <c r="EN112" i="44"/>
  <c r="EM112" i="44"/>
  <c r="EL112" i="44"/>
  <c r="EK112" i="44"/>
  <c r="EJ112" i="44"/>
  <c r="EG112" i="44"/>
  <c r="EE112" i="44"/>
  <c r="ED112" i="44"/>
  <c r="EC112" i="44"/>
  <c r="DZ112" i="44"/>
  <c r="DY112" i="44"/>
  <c r="DW112" i="44"/>
  <c r="GM111" i="44"/>
  <c r="GK111" i="44"/>
  <c r="GJ111" i="44"/>
  <c r="GI111" i="44"/>
  <c r="GH111" i="44"/>
  <c r="GG111" i="44"/>
  <c r="GF111" i="44"/>
  <c r="GE111" i="44"/>
  <c r="GD111" i="44"/>
  <c r="GC111" i="44"/>
  <c r="GB111" i="44"/>
  <c r="GA111" i="44"/>
  <c r="FZ111" i="44"/>
  <c r="FY111" i="44"/>
  <c r="FT111" i="44"/>
  <c r="FS111" i="44"/>
  <c r="FR111" i="44"/>
  <c r="FQ111" i="44"/>
  <c r="FP111" i="44"/>
  <c r="FO111" i="44"/>
  <c r="FN111" i="44"/>
  <c r="FM111" i="44"/>
  <c r="FL111" i="44"/>
  <c r="FK111" i="44"/>
  <c r="FJ111" i="44"/>
  <c r="FI111" i="44"/>
  <c r="FH111" i="44"/>
  <c r="FG111" i="44"/>
  <c r="FF111" i="44"/>
  <c r="FE111" i="44"/>
  <c r="FD111" i="44"/>
  <c r="FC111" i="44"/>
  <c r="FB111" i="44"/>
  <c r="FA111" i="44"/>
  <c r="EZ111" i="44"/>
  <c r="EY111" i="44"/>
  <c r="EX111" i="44"/>
  <c r="EW111" i="44"/>
  <c r="EV111" i="44"/>
  <c r="EU111" i="44"/>
  <c r="ES111" i="44"/>
  <c r="ER111" i="44"/>
  <c r="EQ111" i="44"/>
  <c r="EP111" i="44"/>
  <c r="EO111" i="44"/>
  <c r="EN111" i="44"/>
  <c r="EM111" i="44"/>
  <c r="EL111" i="44"/>
  <c r="EK111" i="44"/>
  <c r="EJ111" i="44"/>
  <c r="EG111" i="44"/>
  <c r="EE111" i="44"/>
  <c r="ED111" i="44"/>
  <c r="EC111" i="44"/>
  <c r="DZ111" i="44"/>
  <c r="DY111" i="44"/>
  <c r="DW111" i="44"/>
  <c r="GM110" i="44"/>
  <c r="GK110" i="44"/>
  <c r="GJ110" i="44"/>
  <c r="GI110" i="44"/>
  <c r="GH110" i="44"/>
  <c r="GG110" i="44"/>
  <c r="GF110" i="44"/>
  <c r="GE110" i="44"/>
  <c r="GD110" i="44"/>
  <c r="GC110" i="44"/>
  <c r="GB110" i="44"/>
  <c r="GA110" i="44"/>
  <c r="FZ110" i="44"/>
  <c r="FY110" i="44"/>
  <c r="FT110" i="44"/>
  <c r="FS110" i="44"/>
  <c r="FR110" i="44"/>
  <c r="FQ110" i="44"/>
  <c r="FP110" i="44"/>
  <c r="FO110" i="44"/>
  <c r="FN110" i="44"/>
  <c r="FM110" i="44"/>
  <c r="FL110" i="44"/>
  <c r="FK110" i="44"/>
  <c r="FJ110" i="44"/>
  <c r="FI110" i="44"/>
  <c r="FH110" i="44"/>
  <c r="FG110" i="44"/>
  <c r="FF110" i="44"/>
  <c r="FE110" i="44"/>
  <c r="FD110" i="44"/>
  <c r="FC110" i="44"/>
  <c r="FB110" i="44"/>
  <c r="FA110" i="44"/>
  <c r="EZ110" i="44"/>
  <c r="EY110" i="44"/>
  <c r="EX110" i="44"/>
  <c r="EW110" i="44"/>
  <c r="EV110" i="44"/>
  <c r="EU110" i="44"/>
  <c r="ES110" i="44"/>
  <c r="ER110" i="44"/>
  <c r="EQ110" i="44"/>
  <c r="EP110" i="44"/>
  <c r="EO110" i="44"/>
  <c r="EN110" i="44"/>
  <c r="EM110" i="44"/>
  <c r="EL110" i="44"/>
  <c r="EK110" i="44"/>
  <c r="EJ110" i="44"/>
  <c r="EI110" i="44"/>
  <c r="EG110" i="44"/>
  <c r="EE110" i="44"/>
  <c r="ED110" i="44"/>
  <c r="EC110" i="44"/>
  <c r="DZ110" i="44"/>
  <c r="DY110" i="44"/>
  <c r="DW110" i="44"/>
  <c r="GM109" i="44"/>
  <c r="GK109" i="44"/>
  <c r="GJ109" i="44"/>
  <c r="GI109" i="44"/>
  <c r="GH109" i="44"/>
  <c r="GG109" i="44"/>
  <c r="GF109" i="44"/>
  <c r="GE109" i="44"/>
  <c r="GD109" i="44"/>
  <c r="GC109" i="44"/>
  <c r="GB109" i="44"/>
  <c r="GA109" i="44"/>
  <c r="FZ109" i="44"/>
  <c r="FY109" i="44"/>
  <c r="FT109" i="44"/>
  <c r="FS109" i="44"/>
  <c r="FR109" i="44"/>
  <c r="FQ109" i="44"/>
  <c r="FP109" i="44"/>
  <c r="FO109" i="44"/>
  <c r="FN109" i="44"/>
  <c r="FM109" i="44"/>
  <c r="FL109" i="44"/>
  <c r="FK109" i="44"/>
  <c r="FJ109" i="44"/>
  <c r="FI109" i="44"/>
  <c r="FH109" i="44"/>
  <c r="FG109" i="44"/>
  <c r="FF109" i="44"/>
  <c r="FE109" i="44"/>
  <c r="FD109" i="44"/>
  <c r="FC109" i="44"/>
  <c r="FB109" i="44"/>
  <c r="FA109" i="44"/>
  <c r="EZ109" i="44"/>
  <c r="EY109" i="44"/>
  <c r="EX109" i="44"/>
  <c r="EW109" i="44"/>
  <c r="EV109" i="44"/>
  <c r="EU109" i="44"/>
  <c r="ES109" i="44"/>
  <c r="ER109" i="44"/>
  <c r="EQ109" i="44"/>
  <c r="EP109" i="44"/>
  <c r="EO109" i="44"/>
  <c r="EN109" i="44"/>
  <c r="EM109" i="44"/>
  <c r="EL109" i="44"/>
  <c r="EK109" i="44"/>
  <c r="EJ109" i="44"/>
  <c r="EI109" i="44"/>
  <c r="EG109" i="44"/>
  <c r="EE109" i="44"/>
  <c r="ED109" i="44"/>
  <c r="EC109" i="44"/>
  <c r="DZ109" i="44"/>
  <c r="DY109" i="44"/>
  <c r="DW109" i="44"/>
  <c r="GM108" i="44"/>
  <c r="GK108" i="44"/>
  <c r="GJ108" i="44"/>
  <c r="GI108" i="44"/>
  <c r="GH108" i="44"/>
  <c r="GG108" i="44"/>
  <c r="GF108" i="44"/>
  <c r="GE108" i="44"/>
  <c r="GD108" i="44"/>
  <c r="GC108" i="44"/>
  <c r="GB108" i="44"/>
  <c r="GA108" i="44"/>
  <c r="FZ108" i="44"/>
  <c r="FY108" i="44"/>
  <c r="FT108" i="44"/>
  <c r="FS108" i="44"/>
  <c r="FR108" i="44"/>
  <c r="FQ108" i="44"/>
  <c r="FP108" i="44"/>
  <c r="FO108" i="44"/>
  <c r="FN108" i="44"/>
  <c r="FM108" i="44"/>
  <c r="FL108" i="44"/>
  <c r="FK108" i="44"/>
  <c r="FJ108" i="44"/>
  <c r="FI108" i="44"/>
  <c r="FH108" i="44"/>
  <c r="FG108" i="44"/>
  <c r="FF108" i="44"/>
  <c r="FE108" i="44"/>
  <c r="FD108" i="44"/>
  <c r="FC108" i="44"/>
  <c r="FB108" i="44"/>
  <c r="FA108" i="44"/>
  <c r="EZ108" i="44"/>
  <c r="EY108" i="44"/>
  <c r="EX108" i="44"/>
  <c r="EW108" i="44"/>
  <c r="EV108" i="44"/>
  <c r="EU108" i="44"/>
  <c r="ES108" i="44"/>
  <c r="ER108" i="44"/>
  <c r="EQ108" i="44"/>
  <c r="EP108" i="44"/>
  <c r="EO108" i="44"/>
  <c r="EN108" i="44"/>
  <c r="EM108" i="44"/>
  <c r="EL108" i="44"/>
  <c r="EK108" i="44"/>
  <c r="EJ108" i="44"/>
  <c r="EI108" i="44"/>
  <c r="EG108" i="44"/>
  <c r="EE108" i="44"/>
  <c r="ED108" i="44"/>
  <c r="EC108" i="44"/>
  <c r="DZ108" i="44"/>
  <c r="DY108" i="44"/>
  <c r="DW108" i="44"/>
  <c r="GM107" i="44"/>
  <c r="GK107" i="44"/>
  <c r="GJ107" i="44"/>
  <c r="GI107" i="44"/>
  <c r="GH107" i="44"/>
  <c r="GG107" i="44"/>
  <c r="GF107" i="44"/>
  <c r="GE107" i="44"/>
  <c r="GD107" i="44"/>
  <c r="GC107" i="44"/>
  <c r="GB107" i="44"/>
  <c r="GA107" i="44"/>
  <c r="FZ107" i="44"/>
  <c r="FY107" i="44"/>
  <c r="FT107" i="44"/>
  <c r="FS107" i="44"/>
  <c r="FR107" i="44"/>
  <c r="FQ107" i="44"/>
  <c r="FP107" i="44"/>
  <c r="FO107" i="44"/>
  <c r="FN107" i="44"/>
  <c r="FM107" i="44"/>
  <c r="FL107" i="44"/>
  <c r="FK107" i="44"/>
  <c r="FJ107" i="44"/>
  <c r="FI107" i="44"/>
  <c r="FH107" i="44"/>
  <c r="FG107" i="44"/>
  <c r="FF107" i="44"/>
  <c r="FE107" i="44"/>
  <c r="FD107" i="44"/>
  <c r="FC107" i="44"/>
  <c r="FB107" i="44"/>
  <c r="FA107" i="44"/>
  <c r="EZ107" i="44"/>
  <c r="EY107" i="44"/>
  <c r="EX107" i="44"/>
  <c r="EW107" i="44"/>
  <c r="EV107" i="44"/>
  <c r="EU107" i="44"/>
  <c r="ES107" i="44"/>
  <c r="ER107" i="44"/>
  <c r="EQ107" i="44"/>
  <c r="EP107" i="44"/>
  <c r="EO107" i="44"/>
  <c r="EN107" i="44"/>
  <c r="EM107" i="44"/>
  <c r="EL107" i="44"/>
  <c r="EK107" i="44"/>
  <c r="EJ107" i="44"/>
  <c r="EI107" i="44"/>
  <c r="EH107" i="44"/>
  <c r="EG107" i="44"/>
  <c r="EF107" i="44"/>
  <c r="EE107" i="44"/>
  <c r="ED107" i="44"/>
  <c r="EC107" i="44"/>
  <c r="EB107" i="44"/>
  <c r="EA107" i="44"/>
  <c r="DZ107" i="44"/>
  <c r="DY107" i="44"/>
  <c r="DX107" i="44"/>
  <c r="DW107" i="44"/>
  <c r="GM106" i="44"/>
  <c r="GK106" i="44"/>
  <c r="GJ106" i="44"/>
  <c r="GI106" i="44"/>
  <c r="GH106" i="44"/>
  <c r="GG106" i="44"/>
  <c r="GF106" i="44"/>
  <c r="GE106" i="44"/>
  <c r="GD106" i="44"/>
  <c r="GC106" i="44"/>
  <c r="GB106" i="44"/>
  <c r="GA106" i="44"/>
  <c r="FZ106" i="44"/>
  <c r="FY106" i="44"/>
  <c r="FT106" i="44"/>
  <c r="FS106" i="44"/>
  <c r="FR106" i="44"/>
  <c r="FQ106" i="44"/>
  <c r="FP106" i="44"/>
  <c r="FO106" i="44"/>
  <c r="FN106" i="44"/>
  <c r="FM106" i="44"/>
  <c r="FL106" i="44"/>
  <c r="FK106" i="44"/>
  <c r="FJ106" i="44"/>
  <c r="FI106" i="44"/>
  <c r="FH106" i="44"/>
  <c r="FG106" i="44"/>
  <c r="FF106" i="44"/>
  <c r="FE106" i="44"/>
  <c r="FD106" i="44"/>
  <c r="FC106" i="44"/>
  <c r="FB106" i="44"/>
  <c r="FA106" i="44"/>
  <c r="EZ106" i="44"/>
  <c r="EY106" i="44"/>
  <c r="EX106" i="44"/>
  <c r="EW106" i="44"/>
  <c r="EV106" i="44"/>
  <c r="EU106" i="44"/>
  <c r="ES106" i="44"/>
  <c r="ER106" i="44"/>
  <c r="EQ106" i="44"/>
  <c r="EP106" i="44"/>
  <c r="EO106" i="44"/>
  <c r="EN106" i="44"/>
  <c r="EM106" i="44"/>
  <c r="EL106" i="44"/>
  <c r="EK106" i="44"/>
  <c r="EG106" i="44"/>
  <c r="EE106" i="44"/>
  <c r="ED106" i="44"/>
  <c r="EC106" i="44"/>
  <c r="DZ106" i="44"/>
  <c r="DW106" i="44"/>
  <c r="GM105" i="44"/>
  <c r="GK105" i="44"/>
  <c r="GJ105" i="44"/>
  <c r="GI105" i="44"/>
  <c r="GH105" i="44"/>
  <c r="GG105" i="44"/>
  <c r="GF105" i="44"/>
  <c r="GE105" i="44"/>
  <c r="GD105" i="44"/>
  <c r="GC105" i="44"/>
  <c r="GB105" i="44"/>
  <c r="GA105" i="44"/>
  <c r="FZ105" i="44"/>
  <c r="FY105" i="44"/>
  <c r="FT105" i="44"/>
  <c r="FS105" i="44"/>
  <c r="FR105" i="44"/>
  <c r="FQ105" i="44"/>
  <c r="FP105" i="44"/>
  <c r="FO105" i="44"/>
  <c r="FN105" i="44"/>
  <c r="FM105" i="44"/>
  <c r="FL105" i="44"/>
  <c r="FK105" i="44"/>
  <c r="FJ105" i="44"/>
  <c r="FI105" i="44"/>
  <c r="FH105" i="44"/>
  <c r="FG105" i="44"/>
  <c r="FF105" i="44"/>
  <c r="FE105" i="44"/>
  <c r="FD105" i="44"/>
  <c r="FC105" i="44"/>
  <c r="FB105" i="44"/>
  <c r="FA105" i="44"/>
  <c r="EZ105" i="44"/>
  <c r="EY105" i="44"/>
  <c r="EX105" i="44"/>
  <c r="EW105" i="44"/>
  <c r="EV105" i="44"/>
  <c r="EU105" i="44"/>
  <c r="ES105" i="44"/>
  <c r="ER105" i="44"/>
  <c r="EQ105" i="44"/>
  <c r="EP105" i="44"/>
  <c r="EO105" i="44"/>
  <c r="EN105" i="44"/>
  <c r="EM105" i="44"/>
  <c r="EL105" i="44"/>
  <c r="EK105" i="44"/>
  <c r="EG105" i="44"/>
  <c r="EE105" i="44"/>
  <c r="ED105" i="44"/>
  <c r="EC105" i="44"/>
  <c r="DZ105" i="44"/>
  <c r="DW105" i="44"/>
  <c r="GM104" i="44"/>
  <c r="GK104" i="44"/>
  <c r="GJ104" i="44"/>
  <c r="GI104" i="44"/>
  <c r="GH104" i="44"/>
  <c r="GG104" i="44"/>
  <c r="GF104" i="44"/>
  <c r="GE104" i="44"/>
  <c r="GD104" i="44"/>
  <c r="GC104" i="44"/>
  <c r="GB104" i="44"/>
  <c r="GA104" i="44"/>
  <c r="FZ104" i="44"/>
  <c r="FY104" i="44"/>
  <c r="FT104" i="44"/>
  <c r="FS104" i="44"/>
  <c r="FR104" i="44"/>
  <c r="FQ104" i="44"/>
  <c r="FP104" i="44"/>
  <c r="FO104" i="44"/>
  <c r="FN104" i="44"/>
  <c r="FM104" i="44"/>
  <c r="FL104" i="44"/>
  <c r="FK104" i="44"/>
  <c r="FJ104" i="44"/>
  <c r="FI104" i="44"/>
  <c r="FH104" i="44"/>
  <c r="FG104" i="44"/>
  <c r="FF104" i="44"/>
  <c r="FE104" i="44"/>
  <c r="FD104" i="44"/>
  <c r="FC104" i="44"/>
  <c r="FB104" i="44"/>
  <c r="FA104" i="44"/>
  <c r="EZ104" i="44"/>
  <c r="EY104" i="44"/>
  <c r="EX104" i="44"/>
  <c r="EW104" i="44"/>
  <c r="EV104" i="44"/>
  <c r="EU104" i="44"/>
  <c r="ES104" i="44"/>
  <c r="ER104" i="44"/>
  <c r="EQ104" i="44"/>
  <c r="EP104" i="44"/>
  <c r="EO104" i="44"/>
  <c r="EN104" i="44"/>
  <c r="EM104" i="44"/>
  <c r="EL104" i="44"/>
  <c r="EK104" i="44"/>
  <c r="EG104" i="44"/>
  <c r="EE104" i="44"/>
  <c r="ED104" i="44"/>
  <c r="EC104" i="44"/>
  <c r="DZ104" i="44"/>
  <c r="DW104" i="44"/>
  <c r="GM103" i="44"/>
  <c r="GK103" i="44"/>
  <c r="GJ103" i="44"/>
  <c r="GI103" i="44"/>
  <c r="GH103" i="44"/>
  <c r="GG103" i="44"/>
  <c r="GF103" i="44"/>
  <c r="GE103" i="44"/>
  <c r="GD103" i="44"/>
  <c r="GC103" i="44"/>
  <c r="GB103" i="44"/>
  <c r="GA103" i="44"/>
  <c r="FZ103" i="44"/>
  <c r="FY103" i="44"/>
  <c r="FT103" i="44"/>
  <c r="FS103" i="44"/>
  <c r="FR103" i="44"/>
  <c r="FQ103" i="44"/>
  <c r="FP103" i="44"/>
  <c r="FO103" i="44"/>
  <c r="FN103" i="44"/>
  <c r="FM103" i="44"/>
  <c r="FL103" i="44"/>
  <c r="FK103" i="44"/>
  <c r="FJ103" i="44"/>
  <c r="FI103" i="44"/>
  <c r="FH103" i="44"/>
  <c r="FG103" i="44"/>
  <c r="FF103" i="44"/>
  <c r="FE103" i="44"/>
  <c r="FD103" i="44"/>
  <c r="FC103" i="44"/>
  <c r="FB103" i="44"/>
  <c r="FA103" i="44"/>
  <c r="EZ103" i="44"/>
  <c r="EY103" i="44"/>
  <c r="EX103" i="44"/>
  <c r="EW103" i="44"/>
  <c r="EV103" i="44"/>
  <c r="EU103" i="44"/>
  <c r="ES103" i="44"/>
  <c r="ER103" i="44"/>
  <c r="EQ103" i="44"/>
  <c r="EP103" i="44"/>
  <c r="EO103" i="44"/>
  <c r="EN103" i="44"/>
  <c r="EM103" i="44"/>
  <c r="EL103" i="44"/>
  <c r="EK103" i="44"/>
  <c r="EG103" i="44"/>
  <c r="EE103" i="44"/>
  <c r="ED103" i="44"/>
  <c r="EC103" i="44"/>
  <c r="DZ103" i="44"/>
  <c r="DW103" i="44"/>
  <c r="GM102" i="44"/>
  <c r="GK102" i="44"/>
  <c r="GJ102" i="44"/>
  <c r="GI102" i="44"/>
  <c r="GH102" i="44"/>
  <c r="GG102" i="44"/>
  <c r="GF102" i="44"/>
  <c r="GE102" i="44"/>
  <c r="GD102" i="44"/>
  <c r="GC102" i="44"/>
  <c r="GB102" i="44"/>
  <c r="GA102" i="44"/>
  <c r="FZ102" i="44"/>
  <c r="FY102" i="44"/>
  <c r="FT102" i="44"/>
  <c r="FS102" i="44"/>
  <c r="FR102" i="44"/>
  <c r="FQ102" i="44"/>
  <c r="FP102" i="44"/>
  <c r="FO102" i="44"/>
  <c r="FN102" i="44"/>
  <c r="FM102" i="44"/>
  <c r="FL102" i="44"/>
  <c r="FK102" i="44"/>
  <c r="FJ102" i="44"/>
  <c r="FI102" i="44"/>
  <c r="FH102" i="44"/>
  <c r="FG102" i="44"/>
  <c r="FF102" i="44"/>
  <c r="FE102" i="44"/>
  <c r="FD102" i="44"/>
  <c r="FC102" i="44"/>
  <c r="FB102" i="44"/>
  <c r="FA102" i="44"/>
  <c r="EZ102" i="44"/>
  <c r="EY102" i="44"/>
  <c r="EX102" i="44"/>
  <c r="EW102" i="44"/>
  <c r="EV102" i="44"/>
  <c r="EU102" i="44"/>
  <c r="ES102" i="44"/>
  <c r="ER102" i="44"/>
  <c r="EQ102" i="44"/>
  <c r="EP102" i="44"/>
  <c r="EO102" i="44"/>
  <c r="EN102" i="44"/>
  <c r="EM102" i="44"/>
  <c r="EL102" i="44"/>
  <c r="EK102" i="44"/>
  <c r="EG102" i="44"/>
  <c r="EE102" i="44"/>
  <c r="ED102" i="44"/>
  <c r="EC102" i="44"/>
  <c r="DZ102" i="44"/>
  <c r="DW102" i="44"/>
  <c r="GM101" i="44"/>
  <c r="GK101" i="44"/>
  <c r="GJ101" i="44"/>
  <c r="GI101" i="44"/>
  <c r="GH101" i="44"/>
  <c r="GG101" i="44"/>
  <c r="GF101" i="44"/>
  <c r="GE101" i="44"/>
  <c r="GD101" i="44"/>
  <c r="GC101" i="44"/>
  <c r="GB101" i="44"/>
  <c r="GA101" i="44"/>
  <c r="FZ101" i="44"/>
  <c r="FY101" i="44"/>
  <c r="FT101" i="44"/>
  <c r="FS101" i="44"/>
  <c r="FR101" i="44"/>
  <c r="FQ101" i="44"/>
  <c r="FP101" i="44"/>
  <c r="FO101" i="44"/>
  <c r="FN101" i="44"/>
  <c r="FM101" i="44"/>
  <c r="FL101" i="44"/>
  <c r="FK101" i="44"/>
  <c r="FJ101" i="44"/>
  <c r="FI101" i="44"/>
  <c r="FH101" i="44"/>
  <c r="FG101" i="44"/>
  <c r="FF101" i="44"/>
  <c r="FE101" i="44"/>
  <c r="FD101" i="44"/>
  <c r="FC101" i="44"/>
  <c r="FB101" i="44"/>
  <c r="FA101" i="44"/>
  <c r="EZ101" i="44"/>
  <c r="EY101" i="44"/>
  <c r="EX101" i="44"/>
  <c r="EW101" i="44"/>
  <c r="EV101" i="44"/>
  <c r="EU101" i="44"/>
  <c r="ES101" i="44"/>
  <c r="ER101" i="44"/>
  <c r="EQ101" i="44"/>
  <c r="EP101" i="44"/>
  <c r="EO101" i="44"/>
  <c r="EN101" i="44"/>
  <c r="EM101" i="44"/>
  <c r="EL101" i="44"/>
  <c r="EK101" i="44"/>
  <c r="EG101" i="44"/>
  <c r="EE101" i="44"/>
  <c r="ED101" i="44"/>
  <c r="EC101" i="44"/>
  <c r="DZ101" i="44"/>
  <c r="DY101" i="44"/>
  <c r="DW101" i="44"/>
  <c r="GM100" i="44"/>
  <c r="GK100" i="44"/>
  <c r="GJ100" i="44"/>
  <c r="GI100" i="44"/>
  <c r="GH100" i="44"/>
  <c r="GG100" i="44"/>
  <c r="GF100" i="44"/>
  <c r="GE100" i="44"/>
  <c r="GD100" i="44"/>
  <c r="GC100" i="44"/>
  <c r="GB100" i="44"/>
  <c r="GA100" i="44"/>
  <c r="FZ100" i="44"/>
  <c r="FY100" i="44"/>
  <c r="FT100" i="44"/>
  <c r="FS100" i="44"/>
  <c r="FR100" i="44"/>
  <c r="FQ100" i="44"/>
  <c r="FP100" i="44"/>
  <c r="FO100" i="44"/>
  <c r="FN100" i="44"/>
  <c r="FM100" i="44"/>
  <c r="FL100" i="44"/>
  <c r="FK100" i="44"/>
  <c r="FJ100" i="44"/>
  <c r="FI100" i="44"/>
  <c r="FH100" i="44"/>
  <c r="FG100" i="44"/>
  <c r="FF100" i="44"/>
  <c r="FE100" i="44"/>
  <c r="FD100" i="44"/>
  <c r="FC100" i="44"/>
  <c r="FB100" i="44"/>
  <c r="FA100" i="44"/>
  <c r="EZ100" i="44"/>
  <c r="EY100" i="44"/>
  <c r="EX100" i="44"/>
  <c r="EW100" i="44"/>
  <c r="EV100" i="44"/>
  <c r="EU100" i="44"/>
  <c r="ES100" i="44"/>
  <c r="ER100" i="44"/>
  <c r="EQ100" i="44"/>
  <c r="EP100" i="44"/>
  <c r="EO100" i="44"/>
  <c r="EN100" i="44"/>
  <c r="EM100" i="44"/>
  <c r="EL100" i="44"/>
  <c r="EK100" i="44"/>
  <c r="EG100" i="44"/>
  <c r="EE100" i="44"/>
  <c r="ED100" i="44"/>
  <c r="EC100" i="44"/>
  <c r="DZ100" i="44"/>
  <c r="DY100" i="44"/>
  <c r="DW100" i="44"/>
  <c r="GM99" i="44"/>
  <c r="GK99" i="44"/>
  <c r="GJ99" i="44"/>
  <c r="GI99" i="44"/>
  <c r="GH99" i="44"/>
  <c r="GG99" i="44"/>
  <c r="GF99" i="44"/>
  <c r="GE99" i="44"/>
  <c r="GD99" i="44"/>
  <c r="GC99" i="44"/>
  <c r="GB99" i="44"/>
  <c r="GA99" i="44"/>
  <c r="FZ99" i="44"/>
  <c r="FY99" i="44"/>
  <c r="FT99" i="44"/>
  <c r="FS99" i="44"/>
  <c r="FR99" i="44"/>
  <c r="FQ99" i="44"/>
  <c r="FP99" i="44"/>
  <c r="FO99" i="44"/>
  <c r="FN99" i="44"/>
  <c r="FM99" i="44"/>
  <c r="FL99" i="44"/>
  <c r="FK99" i="44"/>
  <c r="FJ99" i="44"/>
  <c r="FI99" i="44"/>
  <c r="FH99" i="44"/>
  <c r="FG99" i="44"/>
  <c r="FF99" i="44"/>
  <c r="FE99" i="44"/>
  <c r="FD99" i="44"/>
  <c r="FC99" i="44"/>
  <c r="FB99" i="44"/>
  <c r="FA99" i="44"/>
  <c r="EZ99" i="44"/>
  <c r="EY99" i="44"/>
  <c r="EX99" i="44"/>
  <c r="EW99" i="44"/>
  <c r="EV99" i="44"/>
  <c r="EU99" i="44"/>
  <c r="ES99" i="44"/>
  <c r="ER99" i="44"/>
  <c r="EQ99" i="44"/>
  <c r="EP99" i="44"/>
  <c r="EO99" i="44"/>
  <c r="EN99" i="44"/>
  <c r="EM99" i="44"/>
  <c r="EL99" i="44"/>
  <c r="EK99" i="44"/>
  <c r="EG99" i="44"/>
  <c r="EE99" i="44"/>
  <c r="ED99" i="44"/>
  <c r="EC99" i="44"/>
  <c r="DZ99" i="44"/>
  <c r="DY99" i="44"/>
  <c r="DW99" i="44"/>
  <c r="GM98" i="44"/>
  <c r="GK98" i="44"/>
  <c r="GJ98" i="44"/>
  <c r="GI98" i="44"/>
  <c r="GH98" i="44"/>
  <c r="GG98" i="44"/>
  <c r="GF98" i="44"/>
  <c r="GE98" i="44"/>
  <c r="GD98" i="44"/>
  <c r="GC98" i="44"/>
  <c r="GB98" i="44"/>
  <c r="GA98" i="44"/>
  <c r="FZ98" i="44"/>
  <c r="FY98" i="44"/>
  <c r="FT98" i="44"/>
  <c r="FS98" i="44"/>
  <c r="FR98" i="44"/>
  <c r="FQ98" i="44"/>
  <c r="FP98" i="44"/>
  <c r="FO98" i="44"/>
  <c r="FN98" i="44"/>
  <c r="FM98" i="44"/>
  <c r="FL98" i="44"/>
  <c r="FK98" i="44"/>
  <c r="FJ98" i="44"/>
  <c r="FI98" i="44"/>
  <c r="FH98" i="44"/>
  <c r="FG98" i="44"/>
  <c r="FF98" i="44"/>
  <c r="FE98" i="44"/>
  <c r="FD98" i="44"/>
  <c r="FC98" i="44"/>
  <c r="FB98" i="44"/>
  <c r="FA98" i="44"/>
  <c r="EZ98" i="44"/>
  <c r="EY98" i="44"/>
  <c r="EX98" i="44"/>
  <c r="EW98" i="44"/>
  <c r="EV98" i="44"/>
  <c r="EU98" i="44"/>
  <c r="ES98" i="44"/>
  <c r="ER98" i="44"/>
  <c r="EQ98" i="44"/>
  <c r="EP98" i="44"/>
  <c r="EO98" i="44"/>
  <c r="EN98" i="44"/>
  <c r="EM98" i="44"/>
  <c r="EL98" i="44"/>
  <c r="EK98" i="44"/>
  <c r="EG98" i="44"/>
  <c r="EE98" i="44"/>
  <c r="ED98" i="44"/>
  <c r="EC98" i="44"/>
  <c r="DZ98" i="44"/>
  <c r="DY98" i="44"/>
  <c r="DW98" i="44"/>
  <c r="GM97" i="44"/>
  <c r="GK97" i="44"/>
  <c r="GJ97" i="44"/>
  <c r="GI97" i="44"/>
  <c r="GH97" i="44"/>
  <c r="GG97" i="44"/>
  <c r="GF97" i="44"/>
  <c r="GE97" i="44"/>
  <c r="GD97" i="44"/>
  <c r="GC97" i="44"/>
  <c r="GB97" i="44"/>
  <c r="GA97" i="44"/>
  <c r="FZ97" i="44"/>
  <c r="FY97" i="44"/>
  <c r="FT97" i="44"/>
  <c r="FS97" i="44"/>
  <c r="FR97" i="44"/>
  <c r="FQ97" i="44"/>
  <c r="FP97" i="44"/>
  <c r="FO97" i="44"/>
  <c r="FN97" i="44"/>
  <c r="FM97" i="44"/>
  <c r="FL97" i="44"/>
  <c r="FK97" i="44"/>
  <c r="FJ97" i="44"/>
  <c r="FI97" i="44"/>
  <c r="FH97" i="44"/>
  <c r="FG97" i="44"/>
  <c r="FF97" i="44"/>
  <c r="FE97" i="44"/>
  <c r="FD97" i="44"/>
  <c r="FC97" i="44"/>
  <c r="FB97" i="44"/>
  <c r="FA97" i="44"/>
  <c r="EZ97" i="44"/>
  <c r="EY97" i="44"/>
  <c r="EX97" i="44"/>
  <c r="EW97" i="44"/>
  <c r="EV97" i="44"/>
  <c r="EU97" i="44"/>
  <c r="ES97" i="44"/>
  <c r="ER97" i="44"/>
  <c r="EQ97" i="44"/>
  <c r="EP97" i="44"/>
  <c r="EO97" i="44"/>
  <c r="EN97" i="44"/>
  <c r="EM97" i="44"/>
  <c r="EL97" i="44"/>
  <c r="EK97" i="44"/>
  <c r="EG97" i="44"/>
  <c r="EE97" i="44"/>
  <c r="ED97" i="44"/>
  <c r="EC97" i="44"/>
  <c r="DZ97" i="44"/>
  <c r="DY97" i="44"/>
  <c r="DW97" i="44"/>
  <c r="GM96" i="44"/>
  <c r="GK96" i="44"/>
  <c r="GJ96" i="44"/>
  <c r="GI96" i="44"/>
  <c r="GH96" i="44"/>
  <c r="GG96" i="44"/>
  <c r="GF96" i="44"/>
  <c r="GE96" i="44"/>
  <c r="GD96" i="44"/>
  <c r="GC96" i="44"/>
  <c r="GB96" i="44"/>
  <c r="GA96" i="44"/>
  <c r="FZ96" i="44"/>
  <c r="FY96" i="44"/>
  <c r="FT96" i="44"/>
  <c r="FS96" i="44"/>
  <c r="FR96" i="44"/>
  <c r="FQ96" i="44"/>
  <c r="FP96" i="44"/>
  <c r="FO96" i="44"/>
  <c r="FN96" i="44"/>
  <c r="FM96" i="44"/>
  <c r="FL96" i="44"/>
  <c r="FK96" i="44"/>
  <c r="FJ96" i="44"/>
  <c r="FI96" i="44"/>
  <c r="FH96" i="44"/>
  <c r="FG96" i="44"/>
  <c r="FF96" i="44"/>
  <c r="FE96" i="44"/>
  <c r="FD96" i="44"/>
  <c r="FC96" i="44"/>
  <c r="FB96" i="44"/>
  <c r="FA96" i="44"/>
  <c r="EZ96" i="44"/>
  <c r="EY96" i="44"/>
  <c r="EX96" i="44"/>
  <c r="EW96" i="44"/>
  <c r="EV96" i="44"/>
  <c r="EU96" i="44"/>
  <c r="ES96" i="44"/>
  <c r="ER96" i="44"/>
  <c r="EQ96" i="44"/>
  <c r="EP96" i="44"/>
  <c r="EO96" i="44"/>
  <c r="EN96" i="44"/>
  <c r="EM96" i="44"/>
  <c r="EL96" i="44"/>
  <c r="EK96" i="44"/>
  <c r="EG96" i="44"/>
  <c r="EE96" i="44"/>
  <c r="ED96" i="44"/>
  <c r="EC96" i="44"/>
  <c r="DZ96" i="44"/>
  <c r="DY96" i="44"/>
  <c r="DW96" i="44"/>
  <c r="GM95" i="44"/>
  <c r="GK95" i="44"/>
  <c r="GJ95" i="44"/>
  <c r="GI95" i="44"/>
  <c r="GH95" i="44"/>
  <c r="GG95" i="44"/>
  <c r="GF95" i="44"/>
  <c r="GE95" i="44"/>
  <c r="GD95" i="44"/>
  <c r="GC95" i="44"/>
  <c r="GB95" i="44"/>
  <c r="GA95" i="44"/>
  <c r="FZ95" i="44"/>
  <c r="FY95" i="44"/>
  <c r="FT95" i="44"/>
  <c r="FS95" i="44"/>
  <c r="FR95" i="44"/>
  <c r="FQ95" i="44"/>
  <c r="FP95" i="44"/>
  <c r="FO95" i="44"/>
  <c r="FN95" i="44"/>
  <c r="FM95" i="44"/>
  <c r="FL95" i="44"/>
  <c r="FK95" i="44"/>
  <c r="FJ95" i="44"/>
  <c r="FI95" i="44"/>
  <c r="FH95" i="44"/>
  <c r="FG95" i="44"/>
  <c r="FF95" i="44"/>
  <c r="FE95" i="44"/>
  <c r="FD95" i="44"/>
  <c r="FC95" i="44"/>
  <c r="FB95" i="44"/>
  <c r="FA95" i="44"/>
  <c r="EZ95" i="44"/>
  <c r="EY95" i="44"/>
  <c r="EX95" i="44"/>
  <c r="EW95" i="44"/>
  <c r="EV95" i="44"/>
  <c r="EU95" i="44"/>
  <c r="ES95" i="44"/>
  <c r="ER95" i="44"/>
  <c r="EQ95" i="44"/>
  <c r="EP95" i="44"/>
  <c r="EO95" i="44"/>
  <c r="EN95" i="44"/>
  <c r="EM95" i="44"/>
  <c r="EL95" i="44"/>
  <c r="EK95" i="44"/>
  <c r="EG95" i="44"/>
  <c r="EE95" i="44"/>
  <c r="ED95" i="44"/>
  <c r="EC95" i="44"/>
  <c r="DZ95" i="44"/>
  <c r="DY95" i="44"/>
  <c r="DW95" i="44"/>
  <c r="GM94" i="44"/>
  <c r="GK94" i="44"/>
  <c r="GJ94" i="44"/>
  <c r="GI94" i="44"/>
  <c r="GH94" i="44"/>
  <c r="GG94" i="44"/>
  <c r="GF94" i="44"/>
  <c r="GE94" i="44"/>
  <c r="GD94" i="44"/>
  <c r="GC94" i="44"/>
  <c r="GB94" i="44"/>
  <c r="GA94" i="44"/>
  <c r="FZ94" i="44"/>
  <c r="FY94" i="44"/>
  <c r="FT94" i="44"/>
  <c r="FS94" i="44"/>
  <c r="FR94" i="44"/>
  <c r="FQ94" i="44"/>
  <c r="FP94" i="44"/>
  <c r="FO94" i="44"/>
  <c r="FN94" i="44"/>
  <c r="FM94" i="44"/>
  <c r="FL94" i="44"/>
  <c r="FK94" i="44"/>
  <c r="FJ94" i="44"/>
  <c r="FI94" i="44"/>
  <c r="FH94" i="44"/>
  <c r="FG94" i="44"/>
  <c r="FF94" i="44"/>
  <c r="FE94" i="44"/>
  <c r="FD94" i="44"/>
  <c r="FC94" i="44"/>
  <c r="FB94" i="44"/>
  <c r="FA94" i="44"/>
  <c r="EZ94" i="44"/>
  <c r="EY94" i="44"/>
  <c r="EX94" i="44"/>
  <c r="EW94" i="44"/>
  <c r="EV94" i="44"/>
  <c r="EU94" i="44"/>
  <c r="ES94" i="44"/>
  <c r="ER94" i="44"/>
  <c r="EQ94" i="44"/>
  <c r="EP94" i="44"/>
  <c r="EO94" i="44"/>
  <c r="EN94" i="44"/>
  <c r="EM94" i="44"/>
  <c r="EL94" i="44"/>
  <c r="EK94" i="44"/>
  <c r="EJ94" i="44"/>
  <c r="EI94" i="44"/>
  <c r="EH94" i="44"/>
  <c r="EG94" i="44"/>
  <c r="EF94" i="44"/>
  <c r="EE94" i="44"/>
  <c r="ED94" i="44"/>
  <c r="EC94" i="44"/>
  <c r="EB94" i="44"/>
  <c r="EA94" i="44"/>
  <c r="DZ94" i="44"/>
  <c r="DY94" i="44"/>
  <c r="DX94" i="44"/>
  <c r="DW94" i="44"/>
  <c r="GM92" i="44"/>
  <c r="GK92" i="44"/>
  <c r="GJ92" i="44"/>
  <c r="GI92" i="44"/>
  <c r="GH92" i="44"/>
  <c r="GG92" i="44"/>
  <c r="GF92" i="44"/>
  <c r="GE92" i="44"/>
  <c r="GD92" i="44"/>
  <c r="GC92" i="44"/>
  <c r="GB92" i="44"/>
  <c r="GA92" i="44"/>
  <c r="FZ92" i="44"/>
  <c r="FY92" i="44"/>
  <c r="FT92" i="44"/>
  <c r="FS92" i="44"/>
  <c r="FR92" i="44"/>
  <c r="FQ92" i="44"/>
  <c r="FP92" i="44"/>
  <c r="FO92" i="44"/>
  <c r="FN92" i="44"/>
  <c r="FM92" i="44"/>
  <c r="FL92" i="44"/>
  <c r="FK92" i="44"/>
  <c r="FJ92" i="44"/>
  <c r="FI92" i="44"/>
  <c r="FH92" i="44"/>
  <c r="FG92" i="44"/>
  <c r="FF92" i="44"/>
  <c r="FE92" i="44"/>
  <c r="FD92" i="44"/>
  <c r="FC92" i="44"/>
  <c r="FB92" i="44"/>
  <c r="FA92" i="44"/>
  <c r="EZ92" i="44"/>
  <c r="EY92" i="44"/>
  <c r="EX92" i="44"/>
  <c r="EW92" i="44"/>
  <c r="EV92" i="44"/>
  <c r="EU92" i="44"/>
  <c r="ES92" i="44"/>
  <c r="ER92" i="44"/>
  <c r="EQ92" i="44"/>
  <c r="EP92" i="44"/>
  <c r="EO92" i="44"/>
  <c r="EN92" i="44"/>
  <c r="EM92" i="44"/>
  <c r="EL92" i="44"/>
  <c r="EG92" i="44"/>
  <c r="EE92" i="44"/>
  <c r="ED92" i="44"/>
  <c r="DZ92" i="44"/>
  <c r="DY92" i="44"/>
  <c r="DW92" i="44"/>
  <c r="GM91" i="44"/>
  <c r="GK91" i="44"/>
  <c r="GJ91" i="44"/>
  <c r="GI91" i="44"/>
  <c r="GH91" i="44"/>
  <c r="GG91" i="44"/>
  <c r="GF91" i="44"/>
  <c r="GE91" i="44"/>
  <c r="GD91" i="44"/>
  <c r="GC91" i="44"/>
  <c r="GB91" i="44"/>
  <c r="GA91" i="44"/>
  <c r="FZ91" i="44"/>
  <c r="FY91" i="44"/>
  <c r="FT91" i="44"/>
  <c r="FS91" i="44"/>
  <c r="FR91" i="44"/>
  <c r="FQ91" i="44"/>
  <c r="FP91" i="44"/>
  <c r="FO91" i="44"/>
  <c r="FN91" i="44"/>
  <c r="FM91" i="44"/>
  <c r="FL91" i="44"/>
  <c r="FK91" i="44"/>
  <c r="FJ91" i="44"/>
  <c r="FI91" i="44"/>
  <c r="FH91" i="44"/>
  <c r="FG91" i="44"/>
  <c r="FF91" i="44"/>
  <c r="FE91" i="44"/>
  <c r="FD91" i="44"/>
  <c r="FC91" i="44"/>
  <c r="FB91" i="44"/>
  <c r="FA91" i="44"/>
  <c r="EZ91" i="44"/>
  <c r="EY91" i="44"/>
  <c r="EX91" i="44"/>
  <c r="EW91" i="44"/>
  <c r="EV91" i="44"/>
  <c r="EU91" i="44"/>
  <c r="ES91" i="44"/>
  <c r="ER91" i="44"/>
  <c r="EQ91" i="44"/>
  <c r="EP91" i="44"/>
  <c r="EO91" i="44"/>
  <c r="EN91" i="44"/>
  <c r="EM91" i="44"/>
  <c r="EL91" i="44"/>
  <c r="EG91" i="44"/>
  <c r="EE91" i="44"/>
  <c r="ED91" i="44"/>
  <c r="DZ91" i="44"/>
  <c r="DY91" i="44"/>
  <c r="DW91" i="44"/>
  <c r="GM90" i="44"/>
  <c r="GK90" i="44"/>
  <c r="GJ90" i="44"/>
  <c r="GI90" i="44"/>
  <c r="GH90" i="44"/>
  <c r="GG90" i="44"/>
  <c r="GF90" i="44"/>
  <c r="GE90" i="44"/>
  <c r="GD90" i="44"/>
  <c r="GC90" i="44"/>
  <c r="GB90" i="44"/>
  <c r="GA90" i="44"/>
  <c r="FZ90" i="44"/>
  <c r="FY90" i="44"/>
  <c r="FT90" i="44"/>
  <c r="FS90" i="44"/>
  <c r="FR90" i="44"/>
  <c r="FQ90" i="44"/>
  <c r="FP90" i="44"/>
  <c r="FO90" i="44"/>
  <c r="FN90" i="44"/>
  <c r="FM90" i="44"/>
  <c r="FL90" i="44"/>
  <c r="FK90" i="44"/>
  <c r="FJ90" i="44"/>
  <c r="FI90" i="44"/>
  <c r="FH90" i="44"/>
  <c r="FG90" i="44"/>
  <c r="FF90" i="44"/>
  <c r="FE90" i="44"/>
  <c r="FD90" i="44"/>
  <c r="FC90" i="44"/>
  <c r="FB90" i="44"/>
  <c r="FA90" i="44"/>
  <c r="EZ90" i="44"/>
  <c r="EY90" i="44"/>
  <c r="EX90" i="44"/>
  <c r="EW90" i="44"/>
  <c r="EV90" i="44"/>
  <c r="EU90" i="44"/>
  <c r="ES90" i="44"/>
  <c r="ER90" i="44"/>
  <c r="EQ90" i="44"/>
  <c r="EP90" i="44"/>
  <c r="EO90" i="44"/>
  <c r="EN90" i="44"/>
  <c r="EM90" i="44"/>
  <c r="EL90" i="44"/>
  <c r="EG90" i="44"/>
  <c r="EE90" i="44"/>
  <c r="ED90" i="44"/>
  <c r="DZ90" i="44"/>
  <c r="DY90" i="44"/>
  <c r="DW90" i="44"/>
  <c r="GM89" i="44"/>
  <c r="GK89" i="44"/>
  <c r="GJ89" i="44"/>
  <c r="GI89" i="44"/>
  <c r="GH89" i="44"/>
  <c r="GG89" i="44"/>
  <c r="GF89" i="44"/>
  <c r="GE89" i="44"/>
  <c r="GD89" i="44"/>
  <c r="GC89" i="44"/>
  <c r="GB89" i="44"/>
  <c r="GA89" i="44"/>
  <c r="FZ89" i="44"/>
  <c r="FY89" i="44"/>
  <c r="FT89" i="44"/>
  <c r="FS89" i="44"/>
  <c r="FR89" i="44"/>
  <c r="FQ89" i="44"/>
  <c r="FP89" i="44"/>
  <c r="FO89" i="44"/>
  <c r="FN89" i="44"/>
  <c r="FM89" i="44"/>
  <c r="FL89" i="44"/>
  <c r="FK89" i="44"/>
  <c r="FJ89" i="44"/>
  <c r="FI89" i="44"/>
  <c r="FH89" i="44"/>
  <c r="FG89" i="44"/>
  <c r="FF89" i="44"/>
  <c r="FE89" i="44"/>
  <c r="FD89" i="44"/>
  <c r="FC89" i="44"/>
  <c r="FB89" i="44"/>
  <c r="FA89" i="44"/>
  <c r="EZ89" i="44"/>
  <c r="EY89" i="44"/>
  <c r="EX89" i="44"/>
  <c r="EW89" i="44"/>
  <c r="EV89" i="44"/>
  <c r="EU89" i="44"/>
  <c r="ES89" i="44"/>
  <c r="ER89" i="44"/>
  <c r="EQ89" i="44"/>
  <c r="EP89" i="44"/>
  <c r="EO89" i="44"/>
  <c r="EN89" i="44"/>
  <c r="EM89" i="44"/>
  <c r="EL89" i="44"/>
  <c r="EG89" i="44"/>
  <c r="EE89" i="44"/>
  <c r="ED89" i="44"/>
  <c r="EC89" i="44"/>
  <c r="DZ89" i="44"/>
  <c r="DY89" i="44"/>
  <c r="DW89" i="44"/>
  <c r="GM88" i="44"/>
  <c r="GK88" i="44"/>
  <c r="GJ88" i="44"/>
  <c r="GI88" i="44"/>
  <c r="GH88" i="44"/>
  <c r="GG88" i="44"/>
  <c r="GF88" i="44"/>
  <c r="GE88" i="44"/>
  <c r="GD88" i="44"/>
  <c r="GC88" i="44"/>
  <c r="GB88" i="44"/>
  <c r="GA88" i="44"/>
  <c r="FZ88" i="44"/>
  <c r="FY88" i="44"/>
  <c r="FT88" i="44"/>
  <c r="FS88" i="44"/>
  <c r="FR88" i="44"/>
  <c r="FQ88" i="44"/>
  <c r="FP88" i="44"/>
  <c r="FO88" i="44"/>
  <c r="FN88" i="44"/>
  <c r="FM88" i="44"/>
  <c r="FL88" i="44"/>
  <c r="FK88" i="44"/>
  <c r="FJ88" i="44"/>
  <c r="FI88" i="44"/>
  <c r="FH88" i="44"/>
  <c r="FG88" i="44"/>
  <c r="FF88" i="44"/>
  <c r="FE88" i="44"/>
  <c r="FD88" i="44"/>
  <c r="FC88" i="44"/>
  <c r="FB88" i="44"/>
  <c r="FA88" i="44"/>
  <c r="EZ88" i="44"/>
  <c r="EY88" i="44"/>
  <c r="EX88" i="44"/>
  <c r="EW88" i="44"/>
  <c r="EV88" i="44"/>
  <c r="EU88" i="44"/>
  <c r="ES88" i="44"/>
  <c r="ER88" i="44"/>
  <c r="EQ88" i="44"/>
  <c r="EP88" i="44"/>
  <c r="EO88" i="44"/>
  <c r="EN88" i="44"/>
  <c r="EM88" i="44"/>
  <c r="EL88" i="44"/>
  <c r="EG88" i="44"/>
  <c r="EE88" i="44"/>
  <c r="ED88" i="44"/>
  <c r="EC88" i="44"/>
  <c r="DZ88" i="44"/>
  <c r="DY88" i="44"/>
  <c r="DW88" i="44"/>
  <c r="GM87" i="44"/>
  <c r="GK87" i="44"/>
  <c r="GJ87" i="44"/>
  <c r="GI87" i="44"/>
  <c r="GH87" i="44"/>
  <c r="GG87" i="44"/>
  <c r="GF87" i="44"/>
  <c r="GE87" i="44"/>
  <c r="GD87" i="44"/>
  <c r="GC87" i="44"/>
  <c r="GB87" i="44"/>
  <c r="GA87" i="44"/>
  <c r="FZ87" i="44"/>
  <c r="FY87" i="44"/>
  <c r="FT87" i="44"/>
  <c r="FS87" i="44"/>
  <c r="FR87" i="44"/>
  <c r="FQ87" i="44"/>
  <c r="FP87" i="44"/>
  <c r="FO87" i="44"/>
  <c r="FN87" i="44"/>
  <c r="FM87" i="44"/>
  <c r="FL87" i="44"/>
  <c r="FK87" i="44"/>
  <c r="FJ87" i="44"/>
  <c r="FI87" i="44"/>
  <c r="FH87" i="44"/>
  <c r="FG87" i="44"/>
  <c r="FF87" i="44"/>
  <c r="FE87" i="44"/>
  <c r="FD87" i="44"/>
  <c r="FC87" i="44"/>
  <c r="FB87" i="44"/>
  <c r="FA87" i="44"/>
  <c r="EZ87" i="44"/>
  <c r="EY87" i="44"/>
  <c r="EX87" i="44"/>
  <c r="EW87" i="44"/>
  <c r="EV87" i="44"/>
  <c r="EU87" i="44"/>
  <c r="ES87" i="44"/>
  <c r="ER87" i="44"/>
  <c r="EQ87" i="44"/>
  <c r="EP87" i="44"/>
  <c r="EO87" i="44"/>
  <c r="EN87" i="44"/>
  <c r="EM87" i="44"/>
  <c r="EL87" i="44"/>
  <c r="EG87" i="44"/>
  <c r="EE87" i="44"/>
  <c r="ED87" i="44"/>
  <c r="EC87" i="44"/>
  <c r="DZ87" i="44"/>
  <c r="DY87" i="44"/>
  <c r="DW87" i="44"/>
  <c r="GM86" i="44"/>
  <c r="GK86" i="44"/>
  <c r="GJ86" i="44"/>
  <c r="GI86" i="44"/>
  <c r="GH86" i="44"/>
  <c r="GG86" i="44"/>
  <c r="GF86" i="44"/>
  <c r="GE86" i="44"/>
  <c r="GD86" i="44"/>
  <c r="GC86" i="44"/>
  <c r="GB86" i="44"/>
  <c r="GA86" i="44"/>
  <c r="FZ86" i="44"/>
  <c r="FY86" i="44"/>
  <c r="FT86" i="44"/>
  <c r="FS86" i="44"/>
  <c r="FR86" i="44"/>
  <c r="FQ86" i="44"/>
  <c r="FP86" i="44"/>
  <c r="FO86" i="44"/>
  <c r="FN86" i="44"/>
  <c r="FM86" i="44"/>
  <c r="FL86" i="44"/>
  <c r="FK86" i="44"/>
  <c r="FJ86" i="44"/>
  <c r="FI86" i="44"/>
  <c r="FH86" i="44"/>
  <c r="FG86" i="44"/>
  <c r="FF86" i="44"/>
  <c r="FE86" i="44"/>
  <c r="FD86" i="44"/>
  <c r="FC86" i="44"/>
  <c r="FB86" i="44"/>
  <c r="FA86" i="44"/>
  <c r="EZ86" i="44"/>
  <c r="EY86" i="44"/>
  <c r="EX86" i="44"/>
  <c r="EW86" i="44"/>
  <c r="EV86" i="44"/>
  <c r="EU86" i="44"/>
  <c r="ES86" i="44"/>
  <c r="ER86" i="44"/>
  <c r="EQ86" i="44"/>
  <c r="EP86" i="44"/>
  <c r="EO86" i="44"/>
  <c r="EN86" i="44"/>
  <c r="EM86" i="44"/>
  <c r="EL86" i="44"/>
  <c r="EK86" i="44"/>
  <c r="EJ86" i="44"/>
  <c r="EI86" i="44"/>
  <c r="EH86" i="44"/>
  <c r="EG86" i="44"/>
  <c r="EF86" i="44"/>
  <c r="EE86" i="44"/>
  <c r="ED86" i="44"/>
  <c r="EC86" i="44"/>
  <c r="EB86" i="44"/>
  <c r="EA86" i="44"/>
  <c r="DZ86" i="44"/>
  <c r="DW86" i="44"/>
  <c r="GM84" i="44"/>
  <c r="GK84" i="44"/>
  <c r="GJ84" i="44"/>
  <c r="GI84" i="44"/>
  <c r="GH84" i="44"/>
  <c r="GG84" i="44"/>
  <c r="GF84" i="44"/>
  <c r="GE84" i="44"/>
  <c r="GD84" i="44"/>
  <c r="GC84" i="44"/>
  <c r="GB84" i="44"/>
  <c r="GA84" i="44"/>
  <c r="FZ84" i="44"/>
  <c r="FY84" i="44"/>
  <c r="FT84" i="44"/>
  <c r="FS84" i="44"/>
  <c r="FR84" i="44"/>
  <c r="FQ84" i="44"/>
  <c r="FP84" i="44"/>
  <c r="FO84" i="44"/>
  <c r="FN84" i="44"/>
  <c r="FM84" i="44"/>
  <c r="FL84" i="44"/>
  <c r="FK84" i="44"/>
  <c r="FJ84" i="44"/>
  <c r="FI84" i="44"/>
  <c r="FH84" i="44"/>
  <c r="FG84" i="44"/>
  <c r="FF84" i="44"/>
  <c r="FE84" i="44"/>
  <c r="FD84" i="44"/>
  <c r="FC84" i="44"/>
  <c r="FB84" i="44"/>
  <c r="FA84" i="44"/>
  <c r="EZ84" i="44"/>
  <c r="EY84" i="44"/>
  <c r="EX84" i="44"/>
  <c r="EW84" i="44"/>
  <c r="EV84" i="44"/>
  <c r="EU84" i="44"/>
  <c r="ES84" i="44"/>
  <c r="ER84" i="44"/>
  <c r="EQ84" i="44"/>
  <c r="EP84" i="44"/>
  <c r="EO84" i="44"/>
  <c r="EN84" i="44"/>
  <c r="EM84" i="44"/>
  <c r="EL84" i="44"/>
  <c r="EK84" i="44"/>
  <c r="EJ84" i="44"/>
  <c r="EI84" i="44"/>
  <c r="EH84" i="44"/>
  <c r="EG84" i="44"/>
  <c r="EF84" i="44"/>
  <c r="EE84" i="44"/>
  <c r="ED84" i="44"/>
  <c r="EC84" i="44"/>
  <c r="EB84" i="44"/>
  <c r="EA84" i="44"/>
  <c r="DZ84" i="44"/>
  <c r="DW84" i="44"/>
  <c r="GM83" i="44"/>
  <c r="GK83" i="44"/>
  <c r="GJ83" i="44"/>
  <c r="GI83" i="44"/>
  <c r="GH83" i="44"/>
  <c r="GG83" i="44"/>
  <c r="GF83" i="44"/>
  <c r="GE83" i="44"/>
  <c r="GD83" i="44"/>
  <c r="GC83" i="44"/>
  <c r="GB83" i="44"/>
  <c r="GA83" i="44"/>
  <c r="FZ83" i="44"/>
  <c r="FY83" i="44"/>
  <c r="FT83" i="44"/>
  <c r="FS83" i="44"/>
  <c r="FR83" i="44"/>
  <c r="FQ83" i="44"/>
  <c r="FP83" i="44"/>
  <c r="FO83" i="44"/>
  <c r="FN83" i="44"/>
  <c r="FM83" i="44"/>
  <c r="FL83" i="44"/>
  <c r="FK83" i="44"/>
  <c r="FJ83" i="44"/>
  <c r="FI83" i="44"/>
  <c r="FH83" i="44"/>
  <c r="FG83" i="44"/>
  <c r="FF83" i="44"/>
  <c r="FE83" i="44"/>
  <c r="FD83" i="44"/>
  <c r="FC83" i="44"/>
  <c r="FB83" i="44"/>
  <c r="FA83" i="44"/>
  <c r="EZ83" i="44"/>
  <c r="EY83" i="44"/>
  <c r="EX83" i="44"/>
  <c r="EW83" i="44"/>
  <c r="EV83" i="44"/>
  <c r="EU83" i="44"/>
  <c r="ES83" i="44"/>
  <c r="ER83" i="44"/>
  <c r="EQ83" i="44"/>
  <c r="EP83" i="44"/>
  <c r="EO83" i="44"/>
  <c r="EN83" i="44"/>
  <c r="EM83" i="44"/>
  <c r="EL83" i="44"/>
  <c r="EG83" i="44"/>
  <c r="EE83" i="44"/>
  <c r="ED83" i="44"/>
  <c r="EC83" i="44"/>
  <c r="DZ83" i="44"/>
  <c r="DY83" i="44"/>
  <c r="DW83" i="44"/>
  <c r="GM82" i="44"/>
  <c r="GK82" i="44"/>
  <c r="GJ82" i="44"/>
  <c r="GI82" i="44"/>
  <c r="GH82" i="44"/>
  <c r="GG82" i="44"/>
  <c r="GF82" i="44"/>
  <c r="GE82" i="44"/>
  <c r="GD82" i="44"/>
  <c r="GC82" i="44"/>
  <c r="GB82" i="44"/>
  <c r="GA82" i="44"/>
  <c r="FZ82" i="44"/>
  <c r="FY82" i="44"/>
  <c r="FT82" i="44"/>
  <c r="FS82" i="44"/>
  <c r="FR82" i="44"/>
  <c r="FQ82" i="44"/>
  <c r="FP82" i="44"/>
  <c r="FO82" i="44"/>
  <c r="FN82" i="44"/>
  <c r="FM82" i="44"/>
  <c r="FL82" i="44"/>
  <c r="FK82" i="44"/>
  <c r="FJ82" i="44"/>
  <c r="FI82" i="44"/>
  <c r="FH82" i="44"/>
  <c r="FG82" i="44"/>
  <c r="FF82" i="44"/>
  <c r="FE82" i="44"/>
  <c r="FD82" i="44"/>
  <c r="FC82" i="44"/>
  <c r="FB82" i="44"/>
  <c r="FA82" i="44"/>
  <c r="EZ82" i="44"/>
  <c r="EY82" i="44"/>
  <c r="EX82" i="44"/>
  <c r="EW82" i="44"/>
  <c r="EV82" i="44"/>
  <c r="EU82" i="44"/>
  <c r="ES82" i="44"/>
  <c r="ER82" i="44"/>
  <c r="EQ82" i="44"/>
  <c r="EP82" i="44"/>
  <c r="EO82" i="44"/>
  <c r="EN82" i="44"/>
  <c r="EM82" i="44"/>
  <c r="EL82" i="44"/>
  <c r="EK82" i="44"/>
  <c r="EJ82" i="44"/>
  <c r="EI82" i="44"/>
  <c r="EH82" i="44"/>
  <c r="EG82" i="44"/>
  <c r="EF82" i="44"/>
  <c r="EE82" i="44"/>
  <c r="ED82" i="44"/>
  <c r="EC82" i="44"/>
  <c r="EB82" i="44"/>
  <c r="EA82" i="44"/>
  <c r="DZ82" i="44"/>
  <c r="DY82" i="44"/>
  <c r="DX82" i="44"/>
  <c r="DW82" i="44"/>
  <c r="GM81" i="44"/>
  <c r="GK81" i="44"/>
  <c r="GJ81" i="44"/>
  <c r="GI81" i="44"/>
  <c r="GH81" i="44"/>
  <c r="GG81" i="44"/>
  <c r="GF81" i="44"/>
  <c r="GE81" i="44"/>
  <c r="GD81" i="44"/>
  <c r="GC81" i="44"/>
  <c r="GB81" i="44"/>
  <c r="GA81" i="44"/>
  <c r="FZ81" i="44"/>
  <c r="FY81" i="44"/>
  <c r="FT81" i="44"/>
  <c r="FS81" i="44"/>
  <c r="FR81" i="44"/>
  <c r="FQ81" i="44"/>
  <c r="FP81" i="44"/>
  <c r="FO81" i="44"/>
  <c r="FN81" i="44"/>
  <c r="FM81" i="44"/>
  <c r="FL81" i="44"/>
  <c r="FK81" i="44"/>
  <c r="FJ81" i="44"/>
  <c r="FI81" i="44"/>
  <c r="FH81" i="44"/>
  <c r="FG81" i="44"/>
  <c r="FF81" i="44"/>
  <c r="FE81" i="44"/>
  <c r="FD81" i="44"/>
  <c r="FC81" i="44"/>
  <c r="FB81" i="44"/>
  <c r="FA81" i="44"/>
  <c r="EZ81" i="44"/>
  <c r="EY81" i="44"/>
  <c r="EX81" i="44"/>
  <c r="EW81" i="44"/>
  <c r="EV81" i="44"/>
  <c r="EU81" i="44"/>
  <c r="ES81" i="44"/>
  <c r="ER81" i="44"/>
  <c r="EQ81" i="44"/>
  <c r="EP81" i="44"/>
  <c r="EO81" i="44"/>
  <c r="EN81" i="44"/>
  <c r="EM81" i="44"/>
  <c r="EL81" i="44"/>
  <c r="EK81" i="44"/>
  <c r="EJ81" i="44"/>
  <c r="EI81" i="44"/>
  <c r="EH81" i="44"/>
  <c r="EG81" i="44"/>
  <c r="EF81" i="44"/>
  <c r="EE81" i="44"/>
  <c r="ED81" i="44"/>
  <c r="EC81" i="44"/>
  <c r="EB81" i="44"/>
  <c r="EA81" i="44"/>
  <c r="DZ81" i="44"/>
  <c r="DW81" i="44"/>
  <c r="GM80" i="44"/>
  <c r="GK80" i="44"/>
  <c r="GJ80" i="44"/>
  <c r="GI80" i="44"/>
  <c r="GH80" i="44"/>
  <c r="GG80" i="44"/>
  <c r="GF80" i="44"/>
  <c r="GE80" i="44"/>
  <c r="GD80" i="44"/>
  <c r="GC80" i="44"/>
  <c r="GB80" i="44"/>
  <c r="GA80" i="44"/>
  <c r="FZ80" i="44"/>
  <c r="FY80" i="44"/>
  <c r="FT80" i="44"/>
  <c r="FS80" i="44"/>
  <c r="FR80" i="44"/>
  <c r="FQ80" i="44"/>
  <c r="FP80" i="44"/>
  <c r="FO80" i="44"/>
  <c r="FN80" i="44"/>
  <c r="FM80" i="44"/>
  <c r="FL80" i="44"/>
  <c r="FK80" i="44"/>
  <c r="FJ80" i="44"/>
  <c r="FI80" i="44"/>
  <c r="FH80" i="44"/>
  <c r="FG80" i="44"/>
  <c r="FF80" i="44"/>
  <c r="FE80" i="44"/>
  <c r="FD80" i="44"/>
  <c r="FC80" i="44"/>
  <c r="FB80" i="44"/>
  <c r="FA80" i="44"/>
  <c r="EZ80" i="44"/>
  <c r="EY80" i="44"/>
  <c r="EX80" i="44"/>
  <c r="EW80" i="44"/>
  <c r="EV80" i="44"/>
  <c r="EU80" i="44"/>
  <c r="ES80" i="44"/>
  <c r="ER80" i="44"/>
  <c r="EQ80" i="44"/>
  <c r="EP80" i="44"/>
  <c r="EO80" i="44"/>
  <c r="EN80" i="44"/>
  <c r="EM80" i="44"/>
  <c r="EL80" i="44"/>
  <c r="EK80" i="44"/>
  <c r="EJ80" i="44"/>
  <c r="EI80" i="44"/>
  <c r="EH80" i="44"/>
  <c r="EG80" i="44"/>
  <c r="EF80" i="44"/>
  <c r="EE80" i="44"/>
  <c r="ED80" i="44"/>
  <c r="EC80" i="44"/>
  <c r="EB80" i="44"/>
  <c r="EA80" i="44"/>
  <c r="DZ80" i="44"/>
  <c r="DW80" i="44"/>
  <c r="GM79" i="44"/>
  <c r="GK79" i="44"/>
  <c r="GJ79" i="44"/>
  <c r="GI79" i="44"/>
  <c r="GH79" i="44"/>
  <c r="GG79" i="44"/>
  <c r="GF79" i="44"/>
  <c r="GE79" i="44"/>
  <c r="GD79" i="44"/>
  <c r="GC79" i="44"/>
  <c r="GB79" i="44"/>
  <c r="GA79" i="44"/>
  <c r="FZ79" i="44"/>
  <c r="FY79" i="44"/>
  <c r="FT79" i="44"/>
  <c r="FS79" i="44"/>
  <c r="FR79" i="44"/>
  <c r="FQ79" i="44"/>
  <c r="FP79" i="44"/>
  <c r="FO79" i="44"/>
  <c r="FN79" i="44"/>
  <c r="FM79" i="44"/>
  <c r="FL79" i="44"/>
  <c r="FK79" i="44"/>
  <c r="FJ79" i="44"/>
  <c r="FI79" i="44"/>
  <c r="FH79" i="44"/>
  <c r="FG79" i="44"/>
  <c r="FF79" i="44"/>
  <c r="FE79" i="44"/>
  <c r="FD79" i="44"/>
  <c r="FC79" i="44"/>
  <c r="FB79" i="44"/>
  <c r="FA79" i="44"/>
  <c r="EZ79" i="44"/>
  <c r="EY79" i="44"/>
  <c r="EX79" i="44"/>
  <c r="EW79" i="44"/>
  <c r="EV79" i="44"/>
  <c r="EU79" i="44"/>
  <c r="ES79" i="44"/>
  <c r="ER79" i="44"/>
  <c r="EQ79" i="44"/>
  <c r="EP79" i="44"/>
  <c r="EO79" i="44"/>
  <c r="EN79" i="44"/>
  <c r="EM79" i="44"/>
  <c r="EL79" i="44"/>
  <c r="EK79" i="44"/>
  <c r="EG79" i="44"/>
  <c r="EE79" i="44"/>
  <c r="ED79" i="44"/>
  <c r="EC79" i="44"/>
  <c r="DZ79" i="44"/>
  <c r="DY79" i="44"/>
  <c r="DW79" i="44"/>
  <c r="GM78" i="44"/>
  <c r="GK78" i="44"/>
  <c r="GJ78" i="44"/>
  <c r="GI78" i="44"/>
  <c r="GH78" i="44"/>
  <c r="GG78" i="44"/>
  <c r="GF78" i="44"/>
  <c r="GE78" i="44"/>
  <c r="GD78" i="44"/>
  <c r="GC78" i="44"/>
  <c r="GB78" i="44"/>
  <c r="GA78" i="44"/>
  <c r="FZ78" i="44"/>
  <c r="FY78" i="44"/>
  <c r="FT78" i="44"/>
  <c r="FS78" i="44"/>
  <c r="FR78" i="44"/>
  <c r="FQ78" i="44"/>
  <c r="FP78" i="44"/>
  <c r="FO78" i="44"/>
  <c r="FN78" i="44"/>
  <c r="FM78" i="44"/>
  <c r="FL78" i="44"/>
  <c r="FK78" i="44"/>
  <c r="FJ78" i="44"/>
  <c r="FI78" i="44"/>
  <c r="FH78" i="44"/>
  <c r="FG78" i="44"/>
  <c r="FF78" i="44"/>
  <c r="FE78" i="44"/>
  <c r="FD78" i="44"/>
  <c r="FC78" i="44"/>
  <c r="FB78" i="44"/>
  <c r="FA78" i="44"/>
  <c r="EZ78" i="44"/>
  <c r="EY78" i="44"/>
  <c r="EX78" i="44"/>
  <c r="EW78" i="44"/>
  <c r="EV78" i="44"/>
  <c r="EU78" i="44"/>
  <c r="ES78" i="44"/>
  <c r="ER78" i="44"/>
  <c r="EQ78" i="44"/>
  <c r="EP78" i="44"/>
  <c r="EO78" i="44"/>
  <c r="EN78" i="44"/>
  <c r="EM78" i="44"/>
  <c r="EL78" i="44"/>
  <c r="EK78" i="44"/>
  <c r="EG78" i="44"/>
  <c r="EE78" i="44"/>
  <c r="ED78" i="44"/>
  <c r="EC78" i="44"/>
  <c r="DZ78" i="44"/>
  <c r="DY78" i="44"/>
  <c r="DW78" i="44"/>
  <c r="GM77" i="44"/>
  <c r="GK77" i="44"/>
  <c r="GJ77" i="44"/>
  <c r="GI77" i="44"/>
  <c r="GH77" i="44"/>
  <c r="GG77" i="44"/>
  <c r="GF77" i="44"/>
  <c r="GE77" i="44"/>
  <c r="GD77" i="44"/>
  <c r="GC77" i="44"/>
  <c r="GB77" i="44"/>
  <c r="GA77" i="44"/>
  <c r="FZ77" i="44"/>
  <c r="FY77" i="44"/>
  <c r="FT77" i="44"/>
  <c r="FS77" i="44"/>
  <c r="FR77" i="44"/>
  <c r="FQ77" i="44"/>
  <c r="FP77" i="44"/>
  <c r="FO77" i="44"/>
  <c r="FN77" i="44"/>
  <c r="FM77" i="44"/>
  <c r="FL77" i="44"/>
  <c r="FK77" i="44"/>
  <c r="FJ77" i="44"/>
  <c r="FI77" i="44"/>
  <c r="FH77" i="44"/>
  <c r="FG77" i="44"/>
  <c r="FF77" i="44"/>
  <c r="FE77" i="44"/>
  <c r="FD77" i="44"/>
  <c r="FC77" i="44"/>
  <c r="FB77" i="44"/>
  <c r="FA77" i="44"/>
  <c r="EZ77" i="44"/>
  <c r="EY77" i="44"/>
  <c r="EX77" i="44"/>
  <c r="EW77" i="44"/>
  <c r="EV77" i="44"/>
  <c r="EU77" i="44"/>
  <c r="ES77" i="44"/>
  <c r="ER77" i="44"/>
  <c r="EQ77" i="44"/>
  <c r="EP77" i="44"/>
  <c r="EO77" i="44"/>
  <c r="EN77" i="44"/>
  <c r="EM77" i="44"/>
  <c r="EL77" i="44"/>
  <c r="EK77" i="44"/>
  <c r="EG77" i="44"/>
  <c r="EE77" i="44"/>
  <c r="ED77" i="44"/>
  <c r="EC77" i="44"/>
  <c r="DZ77" i="44"/>
  <c r="DY77" i="44"/>
  <c r="DW77" i="44"/>
  <c r="GM76" i="44"/>
  <c r="GK76" i="44"/>
  <c r="GJ76" i="44"/>
  <c r="GI76" i="44"/>
  <c r="GH76" i="44"/>
  <c r="GG76" i="44"/>
  <c r="GF76" i="44"/>
  <c r="GE76" i="44"/>
  <c r="GD76" i="44"/>
  <c r="GC76" i="44"/>
  <c r="GB76" i="44"/>
  <c r="GA76" i="44"/>
  <c r="FZ76" i="44"/>
  <c r="FY76" i="44"/>
  <c r="FT76" i="44"/>
  <c r="FS76" i="44"/>
  <c r="FR76" i="44"/>
  <c r="FQ76" i="44"/>
  <c r="FP76" i="44"/>
  <c r="FO76" i="44"/>
  <c r="FN76" i="44"/>
  <c r="FM76" i="44"/>
  <c r="FL76" i="44"/>
  <c r="FK76" i="44"/>
  <c r="FJ76" i="44"/>
  <c r="FI76" i="44"/>
  <c r="FH76" i="44"/>
  <c r="FG76" i="44"/>
  <c r="FF76" i="44"/>
  <c r="FE76" i="44"/>
  <c r="FD76" i="44"/>
  <c r="FC76" i="44"/>
  <c r="FB76" i="44"/>
  <c r="FA76" i="44"/>
  <c r="EZ76" i="44"/>
  <c r="EY76" i="44"/>
  <c r="EX76" i="44"/>
  <c r="EW76" i="44"/>
  <c r="EV76" i="44"/>
  <c r="EU76" i="44"/>
  <c r="ES76" i="44"/>
  <c r="ER76" i="44"/>
  <c r="EQ76" i="44"/>
  <c r="EP76" i="44"/>
  <c r="EO76" i="44"/>
  <c r="EN76" i="44"/>
  <c r="EM76" i="44"/>
  <c r="EL76" i="44"/>
  <c r="EK76" i="44"/>
  <c r="EG76" i="44"/>
  <c r="EE76" i="44"/>
  <c r="ED76" i="44"/>
  <c r="EC76" i="44"/>
  <c r="DZ76" i="44"/>
  <c r="DY76" i="44"/>
  <c r="DW76" i="44"/>
  <c r="GM75" i="44"/>
  <c r="GK75" i="44"/>
  <c r="GJ75" i="44"/>
  <c r="GI75" i="44"/>
  <c r="GH75" i="44"/>
  <c r="GG75" i="44"/>
  <c r="GF75" i="44"/>
  <c r="GE75" i="44"/>
  <c r="GD75" i="44"/>
  <c r="GC75" i="44"/>
  <c r="GB75" i="44"/>
  <c r="GA75" i="44"/>
  <c r="FZ75" i="44"/>
  <c r="FY75" i="44"/>
  <c r="FT75" i="44"/>
  <c r="FS75" i="44"/>
  <c r="FR75" i="44"/>
  <c r="FQ75" i="44"/>
  <c r="FP75" i="44"/>
  <c r="FO75" i="44"/>
  <c r="FN75" i="44"/>
  <c r="FM75" i="44"/>
  <c r="FL75" i="44"/>
  <c r="FK75" i="44"/>
  <c r="FJ75" i="44"/>
  <c r="FI75" i="44"/>
  <c r="FH75" i="44"/>
  <c r="FG75" i="44"/>
  <c r="FF75" i="44"/>
  <c r="FE75" i="44"/>
  <c r="FD75" i="44"/>
  <c r="FC75" i="44"/>
  <c r="FB75" i="44"/>
  <c r="FA75" i="44"/>
  <c r="EZ75" i="44"/>
  <c r="EY75" i="44"/>
  <c r="EX75" i="44"/>
  <c r="EW75" i="44"/>
  <c r="EV75" i="44"/>
  <c r="EU75" i="44"/>
  <c r="ES75" i="44"/>
  <c r="ER75" i="44"/>
  <c r="EQ75" i="44"/>
  <c r="EP75" i="44"/>
  <c r="EO75" i="44"/>
  <c r="EN75" i="44"/>
  <c r="EM75" i="44"/>
  <c r="EL75" i="44"/>
  <c r="EK75" i="44"/>
  <c r="EJ75" i="44"/>
  <c r="EI75" i="44"/>
  <c r="EH75" i="44"/>
  <c r="EG75" i="44"/>
  <c r="EF75" i="44"/>
  <c r="EE75" i="44"/>
  <c r="ED75" i="44"/>
  <c r="DZ75" i="44"/>
  <c r="DY75" i="44"/>
  <c r="DW75" i="44"/>
  <c r="GM74" i="44"/>
  <c r="GK74" i="44"/>
  <c r="GJ74" i="44"/>
  <c r="GI74" i="44"/>
  <c r="GH74" i="44"/>
  <c r="GG74" i="44"/>
  <c r="GF74" i="44"/>
  <c r="GE74" i="44"/>
  <c r="GD74" i="44"/>
  <c r="GC74" i="44"/>
  <c r="GB74" i="44"/>
  <c r="GA74" i="44"/>
  <c r="FZ74" i="44"/>
  <c r="FY74" i="44"/>
  <c r="FT74" i="44"/>
  <c r="FS74" i="44"/>
  <c r="FR74" i="44"/>
  <c r="FQ74" i="44"/>
  <c r="FP74" i="44"/>
  <c r="FO74" i="44"/>
  <c r="FN74" i="44"/>
  <c r="FM74" i="44"/>
  <c r="FL74" i="44"/>
  <c r="FK74" i="44"/>
  <c r="FJ74" i="44"/>
  <c r="FI74" i="44"/>
  <c r="FH74" i="44"/>
  <c r="FG74" i="44"/>
  <c r="FF74" i="44"/>
  <c r="FE74" i="44"/>
  <c r="FD74" i="44"/>
  <c r="FC74" i="44"/>
  <c r="FB74" i="44"/>
  <c r="FA74" i="44"/>
  <c r="EZ74" i="44"/>
  <c r="EY74" i="44"/>
  <c r="EX74" i="44"/>
  <c r="EW74" i="44"/>
  <c r="EV74" i="44"/>
  <c r="EU74" i="44"/>
  <c r="ES74" i="44"/>
  <c r="ER74" i="44"/>
  <c r="EQ74" i="44"/>
  <c r="EP74" i="44"/>
  <c r="EO74" i="44"/>
  <c r="EN74" i="44"/>
  <c r="EM74" i="44"/>
  <c r="EL74" i="44"/>
  <c r="EK74" i="44"/>
  <c r="EJ74" i="44"/>
  <c r="EI74" i="44"/>
  <c r="EH74" i="44"/>
  <c r="EG74" i="44"/>
  <c r="EF74" i="44"/>
  <c r="EE74" i="44"/>
  <c r="ED74" i="44"/>
  <c r="DZ74" i="44"/>
  <c r="DY74" i="44"/>
  <c r="DW74" i="44"/>
  <c r="GM73" i="44"/>
  <c r="GK73" i="44"/>
  <c r="GJ73" i="44"/>
  <c r="GI73" i="44"/>
  <c r="GH73" i="44"/>
  <c r="GG73" i="44"/>
  <c r="GF73" i="44"/>
  <c r="GE73" i="44"/>
  <c r="GD73" i="44"/>
  <c r="GC73" i="44"/>
  <c r="GB73" i="44"/>
  <c r="GA73" i="44"/>
  <c r="FZ73" i="44"/>
  <c r="FY73" i="44"/>
  <c r="FT73" i="44"/>
  <c r="FS73" i="44"/>
  <c r="FR73" i="44"/>
  <c r="FQ73" i="44"/>
  <c r="FP73" i="44"/>
  <c r="FO73" i="44"/>
  <c r="FN73" i="44"/>
  <c r="FM73" i="44"/>
  <c r="FL73" i="44"/>
  <c r="FK73" i="44"/>
  <c r="FJ73" i="44"/>
  <c r="FI73" i="44"/>
  <c r="FH73" i="44"/>
  <c r="FG73" i="44"/>
  <c r="FF73" i="44"/>
  <c r="FE73" i="44"/>
  <c r="FD73" i="44"/>
  <c r="FC73" i="44"/>
  <c r="FB73" i="44"/>
  <c r="FA73" i="44"/>
  <c r="EZ73" i="44"/>
  <c r="EY73" i="44"/>
  <c r="EX73" i="44"/>
  <c r="EW73" i="44"/>
  <c r="EV73" i="44"/>
  <c r="EU73" i="44"/>
  <c r="ES73" i="44"/>
  <c r="ER73" i="44"/>
  <c r="EQ73" i="44"/>
  <c r="EP73" i="44"/>
  <c r="EO73" i="44"/>
  <c r="EN73" i="44"/>
  <c r="EM73" i="44"/>
  <c r="EL73" i="44"/>
  <c r="EK73" i="44"/>
  <c r="EJ73" i="44"/>
  <c r="EI73" i="44"/>
  <c r="EH73" i="44"/>
  <c r="EG73" i="44"/>
  <c r="EF73" i="44"/>
  <c r="EE73" i="44"/>
  <c r="ED73" i="44"/>
  <c r="DZ73" i="44"/>
  <c r="DY73" i="44"/>
  <c r="DW73" i="44"/>
  <c r="GM72" i="44"/>
  <c r="GK72" i="44"/>
  <c r="GJ72" i="44"/>
  <c r="GI72" i="44"/>
  <c r="GH72" i="44"/>
  <c r="GG72" i="44"/>
  <c r="GF72" i="44"/>
  <c r="GE72" i="44"/>
  <c r="GD72" i="44"/>
  <c r="GC72" i="44"/>
  <c r="GB72" i="44"/>
  <c r="GA72" i="44"/>
  <c r="FZ72" i="44"/>
  <c r="FY72" i="44"/>
  <c r="FT72" i="44"/>
  <c r="FS72" i="44"/>
  <c r="FR72" i="44"/>
  <c r="FQ72" i="44"/>
  <c r="FP72" i="44"/>
  <c r="FO72" i="44"/>
  <c r="FN72" i="44"/>
  <c r="FM72" i="44"/>
  <c r="FL72" i="44"/>
  <c r="FK72" i="44"/>
  <c r="FJ72" i="44"/>
  <c r="FI72" i="44"/>
  <c r="FH72" i="44"/>
  <c r="FG72" i="44"/>
  <c r="FF72" i="44"/>
  <c r="FE72" i="44"/>
  <c r="FD72" i="44"/>
  <c r="FC72" i="44"/>
  <c r="FB72" i="44"/>
  <c r="FA72" i="44"/>
  <c r="EZ72" i="44"/>
  <c r="EY72" i="44"/>
  <c r="EX72" i="44"/>
  <c r="EW72" i="44"/>
  <c r="EV72" i="44"/>
  <c r="EU72" i="44"/>
  <c r="ES72" i="44"/>
  <c r="ER72" i="44"/>
  <c r="EQ72" i="44"/>
  <c r="EP72" i="44"/>
  <c r="EO72" i="44"/>
  <c r="EN72" i="44"/>
  <c r="EM72" i="44"/>
  <c r="EL72" i="44"/>
  <c r="EK72" i="44"/>
  <c r="EJ72" i="44"/>
  <c r="EI72" i="44"/>
  <c r="EH72" i="44"/>
  <c r="EG72" i="44"/>
  <c r="EF72" i="44"/>
  <c r="EE72" i="44"/>
  <c r="ED72" i="44"/>
  <c r="DZ72" i="44"/>
  <c r="DY72" i="44"/>
  <c r="DW72" i="44"/>
  <c r="GM71" i="44"/>
  <c r="GK71" i="44"/>
  <c r="GJ71" i="44"/>
  <c r="GI71" i="44"/>
  <c r="GH71" i="44"/>
  <c r="GG71" i="44"/>
  <c r="GF71" i="44"/>
  <c r="GE71" i="44"/>
  <c r="GD71" i="44"/>
  <c r="GC71" i="44"/>
  <c r="GB71" i="44"/>
  <c r="GA71" i="44"/>
  <c r="FZ71" i="44"/>
  <c r="FY71" i="44"/>
  <c r="FT71" i="44"/>
  <c r="FS71" i="44"/>
  <c r="FR71" i="44"/>
  <c r="FQ71" i="44"/>
  <c r="FP71" i="44"/>
  <c r="FO71" i="44"/>
  <c r="FN71" i="44"/>
  <c r="FM71" i="44"/>
  <c r="FL71" i="44"/>
  <c r="FK71" i="44"/>
  <c r="FJ71" i="44"/>
  <c r="FI71" i="44"/>
  <c r="FH71" i="44"/>
  <c r="FG71" i="44"/>
  <c r="FF71" i="44"/>
  <c r="FE71" i="44"/>
  <c r="FD71" i="44"/>
  <c r="FC71" i="44"/>
  <c r="FB71" i="44"/>
  <c r="FA71" i="44"/>
  <c r="EZ71" i="44"/>
  <c r="EY71" i="44"/>
  <c r="EX71" i="44"/>
  <c r="EW71" i="44"/>
  <c r="EV71" i="44"/>
  <c r="EU71" i="44"/>
  <c r="ES71" i="44"/>
  <c r="ER71" i="44"/>
  <c r="EQ71" i="44"/>
  <c r="EP71" i="44"/>
  <c r="EO71" i="44"/>
  <c r="EN71" i="44"/>
  <c r="EM71" i="44"/>
  <c r="EL71" i="44"/>
  <c r="EK71" i="44"/>
  <c r="EG71" i="44"/>
  <c r="EE71" i="44"/>
  <c r="ED71" i="44"/>
  <c r="EC71" i="44"/>
  <c r="DZ71" i="44"/>
  <c r="DY71" i="44"/>
  <c r="DW71" i="44"/>
  <c r="GM70" i="44"/>
  <c r="GK70" i="44"/>
  <c r="GJ70" i="44"/>
  <c r="GI70" i="44"/>
  <c r="GH70" i="44"/>
  <c r="GG70" i="44"/>
  <c r="GF70" i="44"/>
  <c r="GE70" i="44"/>
  <c r="GD70" i="44"/>
  <c r="GC70" i="44"/>
  <c r="GB70" i="44"/>
  <c r="GA70" i="44"/>
  <c r="FZ70" i="44"/>
  <c r="FY70" i="44"/>
  <c r="FT70" i="44"/>
  <c r="FS70" i="44"/>
  <c r="FR70" i="44"/>
  <c r="FQ70" i="44"/>
  <c r="FP70" i="44"/>
  <c r="FO70" i="44"/>
  <c r="FN70" i="44"/>
  <c r="FM70" i="44"/>
  <c r="FL70" i="44"/>
  <c r="FK70" i="44"/>
  <c r="FJ70" i="44"/>
  <c r="FI70" i="44"/>
  <c r="FH70" i="44"/>
  <c r="FG70" i="44"/>
  <c r="FF70" i="44"/>
  <c r="FE70" i="44"/>
  <c r="FD70" i="44"/>
  <c r="FC70" i="44"/>
  <c r="FB70" i="44"/>
  <c r="FA70" i="44"/>
  <c r="EZ70" i="44"/>
  <c r="EY70" i="44"/>
  <c r="EX70" i="44"/>
  <c r="EW70" i="44"/>
  <c r="EV70" i="44"/>
  <c r="EU70" i="44"/>
  <c r="ES70" i="44"/>
  <c r="ER70" i="44"/>
  <c r="EQ70" i="44"/>
  <c r="EP70" i="44"/>
  <c r="EO70" i="44"/>
  <c r="EN70" i="44"/>
  <c r="EM70" i="44"/>
  <c r="EL70" i="44"/>
  <c r="EK70" i="44"/>
  <c r="EJ70" i="44"/>
  <c r="EI70" i="44"/>
  <c r="EH70" i="44"/>
  <c r="EG70" i="44"/>
  <c r="EF70" i="44"/>
  <c r="EE70" i="44"/>
  <c r="ED70" i="44"/>
  <c r="EC70" i="44"/>
  <c r="EB70" i="44"/>
  <c r="EA70" i="44"/>
  <c r="DZ70" i="44"/>
  <c r="DW70" i="44"/>
  <c r="GM69" i="44"/>
  <c r="GK69" i="44"/>
  <c r="GJ69" i="44"/>
  <c r="GI69" i="44"/>
  <c r="GH69" i="44"/>
  <c r="GG69" i="44"/>
  <c r="GF69" i="44"/>
  <c r="GE69" i="44"/>
  <c r="GD69" i="44"/>
  <c r="GC69" i="44"/>
  <c r="GB69" i="44"/>
  <c r="GA69" i="44"/>
  <c r="FZ69" i="44"/>
  <c r="FY69" i="44"/>
  <c r="FT69" i="44"/>
  <c r="FS69" i="44"/>
  <c r="FR69" i="44"/>
  <c r="FQ69" i="44"/>
  <c r="FP69" i="44"/>
  <c r="FO69" i="44"/>
  <c r="FN69" i="44"/>
  <c r="FM69" i="44"/>
  <c r="FL69" i="44"/>
  <c r="FK69" i="44"/>
  <c r="FJ69" i="44"/>
  <c r="FI69" i="44"/>
  <c r="FH69" i="44"/>
  <c r="FG69" i="44"/>
  <c r="FF69" i="44"/>
  <c r="FE69" i="44"/>
  <c r="FD69" i="44"/>
  <c r="FC69" i="44"/>
  <c r="FB69" i="44"/>
  <c r="FA69" i="44"/>
  <c r="EZ69" i="44"/>
  <c r="EY69" i="44"/>
  <c r="EX69" i="44"/>
  <c r="EW69" i="44"/>
  <c r="EV69" i="44"/>
  <c r="EU69" i="44"/>
  <c r="ES69" i="44"/>
  <c r="ER69" i="44"/>
  <c r="EQ69" i="44"/>
  <c r="EP69" i="44"/>
  <c r="EO69" i="44"/>
  <c r="EN69" i="44"/>
  <c r="EM69" i="44"/>
  <c r="EL69" i="44"/>
  <c r="EK69" i="44"/>
  <c r="EG69" i="44"/>
  <c r="EE69" i="44"/>
  <c r="ED69" i="44"/>
  <c r="EC69" i="44"/>
  <c r="DZ69" i="44"/>
  <c r="DY69" i="44"/>
  <c r="DW69" i="44"/>
  <c r="GM68" i="44"/>
  <c r="GK68" i="44"/>
  <c r="GJ68" i="44"/>
  <c r="GI68" i="44"/>
  <c r="GH68" i="44"/>
  <c r="GG68" i="44"/>
  <c r="GF68" i="44"/>
  <c r="GE68" i="44"/>
  <c r="GD68" i="44"/>
  <c r="GC68" i="44"/>
  <c r="GB68" i="44"/>
  <c r="GA68" i="44"/>
  <c r="FZ68" i="44"/>
  <c r="FY68" i="44"/>
  <c r="FT68" i="44"/>
  <c r="FS68" i="44"/>
  <c r="FR68" i="44"/>
  <c r="FQ68" i="44"/>
  <c r="FP68" i="44"/>
  <c r="FO68" i="44"/>
  <c r="FN68" i="44"/>
  <c r="FM68" i="44"/>
  <c r="FL68" i="44"/>
  <c r="FK68" i="44"/>
  <c r="FJ68" i="44"/>
  <c r="FI68" i="44"/>
  <c r="FH68" i="44"/>
  <c r="FG68" i="44"/>
  <c r="FF68" i="44"/>
  <c r="FE68" i="44"/>
  <c r="FD68" i="44"/>
  <c r="FC68" i="44"/>
  <c r="FB68" i="44"/>
  <c r="FA68" i="44"/>
  <c r="EZ68" i="44"/>
  <c r="EY68" i="44"/>
  <c r="EX68" i="44"/>
  <c r="EW68" i="44"/>
  <c r="EV68" i="44"/>
  <c r="EU68" i="44"/>
  <c r="ES68" i="44"/>
  <c r="ER68" i="44"/>
  <c r="EQ68" i="44"/>
  <c r="EP68" i="44"/>
  <c r="EO68" i="44"/>
  <c r="EN68" i="44"/>
  <c r="EM68" i="44"/>
  <c r="EL68" i="44"/>
  <c r="EK68" i="44"/>
  <c r="EG68" i="44"/>
  <c r="EE68" i="44"/>
  <c r="ED68" i="44"/>
  <c r="EC68" i="44"/>
  <c r="DZ68" i="44"/>
  <c r="DY68" i="44"/>
  <c r="DW68" i="44"/>
  <c r="GM67" i="44"/>
  <c r="GK67" i="44"/>
  <c r="GJ67" i="44"/>
  <c r="GI67" i="44"/>
  <c r="GH67" i="44"/>
  <c r="GG67" i="44"/>
  <c r="GF67" i="44"/>
  <c r="GE67" i="44"/>
  <c r="GD67" i="44"/>
  <c r="GC67" i="44"/>
  <c r="GB67" i="44"/>
  <c r="GA67" i="44"/>
  <c r="FZ67" i="44"/>
  <c r="FY67" i="44"/>
  <c r="FT67" i="44"/>
  <c r="FS67" i="44"/>
  <c r="FR67" i="44"/>
  <c r="FQ67" i="44"/>
  <c r="FP67" i="44"/>
  <c r="FO67" i="44"/>
  <c r="FN67" i="44"/>
  <c r="FM67" i="44"/>
  <c r="FL67" i="44"/>
  <c r="FK67" i="44"/>
  <c r="FJ67" i="44"/>
  <c r="FI67" i="44"/>
  <c r="FH67" i="44"/>
  <c r="FG67" i="44"/>
  <c r="FF67" i="44"/>
  <c r="FE67" i="44"/>
  <c r="FD67" i="44"/>
  <c r="FC67" i="44"/>
  <c r="FB67" i="44"/>
  <c r="FA67" i="44"/>
  <c r="EZ67" i="44"/>
  <c r="EY67" i="44"/>
  <c r="EX67" i="44"/>
  <c r="EW67" i="44"/>
  <c r="EV67" i="44"/>
  <c r="EU67" i="44"/>
  <c r="ES67" i="44"/>
  <c r="ER67" i="44"/>
  <c r="EQ67" i="44"/>
  <c r="EP67" i="44"/>
  <c r="EO67" i="44"/>
  <c r="EN67" i="44"/>
  <c r="EM67" i="44"/>
  <c r="EL67" i="44"/>
  <c r="EK67" i="44"/>
  <c r="EG67" i="44"/>
  <c r="EE67" i="44"/>
  <c r="ED67" i="44"/>
  <c r="EC67" i="44"/>
  <c r="DZ67" i="44"/>
  <c r="DY67" i="44"/>
  <c r="DW67" i="44"/>
  <c r="GM66" i="44"/>
  <c r="GK66" i="44"/>
  <c r="GJ66" i="44"/>
  <c r="GI66" i="44"/>
  <c r="GH66" i="44"/>
  <c r="GG66" i="44"/>
  <c r="GF66" i="44"/>
  <c r="GE66" i="44"/>
  <c r="GD66" i="44"/>
  <c r="GC66" i="44"/>
  <c r="GB66" i="44"/>
  <c r="GA66" i="44"/>
  <c r="FZ66" i="44"/>
  <c r="FY66" i="44"/>
  <c r="FT66" i="44"/>
  <c r="FS66" i="44"/>
  <c r="FR66" i="44"/>
  <c r="FQ66" i="44"/>
  <c r="FP66" i="44"/>
  <c r="FO66" i="44"/>
  <c r="FN66" i="44"/>
  <c r="FM66" i="44"/>
  <c r="FL66" i="44"/>
  <c r="FK66" i="44"/>
  <c r="FJ66" i="44"/>
  <c r="FI66" i="44"/>
  <c r="FH66" i="44"/>
  <c r="FG66" i="44"/>
  <c r="FF66" i="44"/>
  <c r="FE66" i="44"/>
  <c r="FD66" i="44"/>
  <c r="FC66" i="44"/>
  <c r="FB66" i="44"/>
  <c r="FA66" i="44"/>
  <c r="EZ66" i="44"/>
  <c r="EY66" i="44"/>
  <c r="EX66" i="44"/>
  <c r="EW66" i="44"/>
  <c r="EV66" i="44"/>
  <c r="EU66" i="44"/>
  <c r="ES66" i="44"/>
  <c r="ER66" i="44"/>
  <c r="EQ66" i="44"/>
  <c r="EP66" i="44"/>
  <c r="EO66" i="44"/>
  <c r="EN66" i="44"/>
  <c r="EM66" i="44"/>
  <c r="EG66" i="44"/>
  <c r="EE66" i="44"/>
  <c r="ED66" i="44"/>
  <c r="EC66" i="44"/>
  <c r="DZ66" i="44"/>
  <c r="DY66" i="44"/>
  <c r="DW66" i="44"/>
  <c r="GM65" i="44"/>
  <c r="GK65" i="44"/>
  <c r="GJ65" i="44"/>
  <c r="GI65" i="44"/>
  <c r="GH65" i="44"/>
  <c r="GG65" i="44"/>
  <c r="GF65" i="44"/>
  <c r="GE65" i="44"/>
  <c r="GD65" i="44"/>
  <c r="GC65" i="44"/>
  <c r="GB65" i="44"/>
  <c r="GA65" i="44"/>
  <c r="FZ65" i="44"/>
  <c r="FY65" i="44"/>
  <c r="FT65" i="44"/>
  <c r="FS65" i="44"/>
  <c r="FR65" i="44"/>
  <c r="FQ65" i="44"/>
  <c r="FP65" i="44"/>
  <c r="FO65" i="44"/>
  <c r="FN65" i="44"/>
  <c r="FM65" i="44"/>
  <c r="FL65" i="44"/>
  <c r="FK65" i="44"/>
  <c r="FJ65" i="44"/>
  <c r="FI65" i="44"/>
  <c r="FH65" i="44"/>
  <c r="FG65" i="44"/>
  <c r="FF65" i="44"/>
  <c r="FE65" i="44"/>
  <c r="FD65" i="44"/>
  <c r="FC65" i="44"/>
  <c r="FB65" i="44"/>
  <c r="FA65" i="44"/>
  <c r="EZ65" i="44"/>
  <c r="EY65" i="44"/>
  <c r="EX65" i="44"/>
  <c r="EW65" i="44"/>
  <c r="EV65" i="44"/>
  <c r="EU65" i="44"/>
  <c r="ES65" i="44"/>
  <c r="ER65" i="44"/>
  <c r="EQ65" i="44"/>
  <c r="EP65" i="44"/>
  <c r="EO65" i="44"/>
  <c r="EN65" i="44"/>
  <c r="EM65" i="44"/>
  <c r="EG65" i="44"/>
  <c r="EE65" i="44"/>
  <c r="ED65" i="44"/>
  <c r="EC65" i="44"/>
  <c r="DZ65" i="44"/>
  <c r="DY65" i="44"/>
  <c r="DW65" i="44"/>
  <c r="GM64" i="44"/>
  <c r="GK64" i="44"/>
  <c r="GJ64" i="44"/>
  <c r="GI64" i="44"/>
  <c r="GH64" i="44"/>
  <c r="GG64" i="44"/>
  <c r="GF64" i="44"/>
  <c r="GE64" i="44"/>
  <c r="GD64" i="44"/>
  <c r="GC64" i="44"/>
  <c r="GB64" i="44"/>
  <c r="GA64" i="44"/>
  <c r="FZ64" i="44"/>
  <c r="FY64" i="44"/>
  <c r="FT64" i="44"/>
  <c r="FS64" i="44"/>
  <c r="FR64" i="44"/>
  <c r="FQ64" i="44"/>
  <c r="FP64" i="44"/>
  <c r="FO64" i="44"/>
  <c r="FN64" i="44"/>
  <c r="FM64" i="44"/>
  <c r="FL64" i="44"/>
  <c r="FK64" i="44"/>
  <c r="FJ64" i="44"/>
  <c r="FI64" i="44"/>
  <c r="FH64" i="44"/>
  <c r="FG64" i="44"/>
  <c r="FF64" i="44"/>
  <c r="FE64" i="44"/>
  <c r="FD64" i="44"/>
  <c r="FC64" i="44"/>
  <c r="FB64" i="44"/>
  <c r="FA64" i="44"/>
  <c r="EZ64" i="44"/>
  <c r="EY64" i="44"/>
  <c r="EX64" i="44"/>
  <c r="EW64" i="44"/>
  <c r="EV64" i="44"/>
  <c r="EU64" i="44"/>
  <c r="ES64" i="44"/>
  <c r="ER64" i="44"/>
  <c r="EQ64" i="44"/>
  <c r="EP64" i="44"/>
  <c r="EO64" i="44"/>
  <c r="EN64" i="44"/>
  <c r="EM64" i="44"/>
  <c r="EL64" i="44"/>
  <c r="EG64" i="44"/>
  <c r="EE64" i="44"/>
  <c r="ED64" i="44"/>
  <c r="EC64" i="44"/>
  <c r="DZ64" i="44"/>
  <c r="DY64" i="44"/>
  <c r="DW64" i="44"/>
  <c r="GM63" i="44"/>
  <c r="GK63" i="44"/>
  <c r="GJ63" i="44"/>
  <c r="GI63" i="44"/>
  <c r="GH63" i="44"/>
  <c r="GG63" i="44"/>
  <c r="GF63" i="44"/>
  <c r="GE63" i="44"/>
  <c r="GD63" i="44"/>
  <c r="GC63" i="44"/>
  <c r="GB63" i="44"/>
  <c r="GA63" i="44"/>
  <c r="FZ63" i="44"/>
  <c r="FY63" i="44"/>
  <c r="FT63" i="44"/>
  <c r="FS63" i="44"/>
  <c r="FR63" i="44"/>
  <c r="FQ63" i="44"/>
  <c r="FP63" i="44"/>
  <c r="FO63" i="44"/>
  <c r="FN63" i="44"/>
  <c r="FM63" i="44"/>
  <c r="FL63" i="44"/>
  <c r="FK63" i="44"/>
  <c r="FJ63" i="44"/>
  <c r="FI63" i="44"/>
  <c r="FH63" i="44"/>
  <c r="FG63" i="44"/>
  <c r="FF63" i="44"/>
  <c r="FE63" i="44"/>
  <c r="FD63" i="44"/>
  <c r="FC63" i="44"/>
  <c r="FB63" i="44"/>
  <c r="FA63" i="44"/>
  <c r="EZ63" i="44"/>
  <c r="EY63" i="44"/>
  <c r="EX63" i="44"/>
  <c r="EW63" i="44"/>
  <c r="EV63" i="44"/>
  <c r="EU63" i="44"/>
  <c r="ES63" i="44"/>
  <c r="ER63" i="44"/>
  <c r="EQ63" i="44"/>
  <c r="EP63" i="44"/>
  <c r="EO63" i="44"/>
  <c r="EN63" i="44"/>
  <c r="EM63" i="44"/>
  <c r="EL63" i="44"/>
  <c r="EG63" i="44"/>
  <c r="EE63" i="44"/>
  <c r="ED63" i="44"/>
  <c r="EC63" i="44"/>
  <c r="DZ63" i="44"/>
  <c r="DY63" i="44"/>
  <c r="DW63" i="44"/>
  <c r="GM62" i="44"/>
  <c r="GK62" i="44"/>
  <c r="GJ62" i="44"/>
  <c r="GI62" i="44"/>
  <c r="GH62" i="44"/>
  <c r="GG62" i="44"/>
  <c r="GF62" i="44"/>
  <c r="GE62" i="44"/>
  <c r="GD62" i="44"/>
  <c r="GC62" i="44"/>
  <c r="GB62" i="44"/>
  <c r="GA62" i="44"/>
  <c r="FZ62" i="44"/>
  <c r="FY62" i="44"/>
  <c r="FT62" i="44"/>
  <c r="FS62" i="44"/>
  <c r="FR62" i="44"/>
  <c r="FQ62" i="44"/>
  <c r="FP62" i="44"/>
  <c r="FO62" i="44"/>
  <c r="FN62" i="44"/>
  <c r="FM62" i="44"/>
  <c r="FL62" i="44"/>
  <c r="FK62" i="44"/>
  <c r="FJ62" i="44"/>
  <c r="FI62" i="44"/>
  <c r="FH62" i="44"/>
  <c r="FG62" i="44"/>
  <c r="FF62" i="44"/>
  <c r="FE62" i="44"/>
  <c r="FD62" i="44"/>
  <c r="FC62" i="44"/>
  <c r="FB62" i="44"/>
  <c r="FA62" i="44"/>
  <c r="EZ62" i="44"/>
  <c r="EY62" i="44"/>
  <c r="EX62" i="44"/>
  <c r="EW62" i="44"/>
  <c r="EV62" i="44"/>
  <c r="EU62" i="44"/>
  <c r="ES62" i="44"/>
  <c r="ER62" i="44"/>
  <c r="EQ62" i="44"/>
  <c r="EP62" i="44"/>
  <c r="EO62" i="44"/>
  <c r="EN62" i="44"/>
  <c r="EM62" i="44"/>
  <c r="EL62" i="44"/>
  <c r="EG62" i="44"/>
  <c r="EE62" i="44"/>
  <c r="ED62" i="44"/>
  <c r="EC62" i="44"/>
  <c r="DZ62" i="44"/>
  <c r="DY62" i="44"/>
  <c r="DW62" i="44"/>
  <c r="GM60" i="44"/>
  <c r="GK60" i="44"/>
  <c r="GJ60" i="44"/>
  <c r="GI60" i="44"/>
  <c r="GH60" i="44"/>
  <c r="GG60" i="44"/>
  <c r="GF60" i="44"/>
  <c r="GE60" i="44"/>
  <c r="GD60" i="44"/>
  <c r="GC60" i="44"/>
  <c r="GB60" i="44"/>
  <c r="GA60" i="44"/>
  <c r="FZ60" i="44"/>
  <c r="FY60" i="44"/>
  <c r="FT60" i="44"/>
  <c r="FS60" i="44"/>
  <c r="FR60" i="44"/>
  <c r="FQ60" i="44"/>
  <c r="FP60" i="44"/>
  <c r="FO60" i="44"/>
  <c r="FN60" i="44"/>
  <c r="FM60" i="44"/>
  <c r="FL60" i="44"/>
  <c r="FK60" i="44"/>
  <c r="FJ60" i="44"/>
  <c r="FI60" i="44"/>
  <c r="FH60" i="44"/>
  <c r="FG60" i="44"/>
  <c r="FF60" i="44"/>
  <c r="FE60" i="44"/>
  <c r="FD60" i="44"/>
  <c r="FC60" i="44"/>
  <c r="FB60" i="44"/>
  <c r="FA60" i="44"/>
  <c r="EZ60" i="44"/>
  <c r="EY60" i="44"/>
  <c r="EX60" i="44"/>
  <c r="EW60" i="44"/>
  <c r="EV60" i="44"/>
  <c r="EU60" i="44"/>
  <c r="ES60" i="44"/>
  <c r="ER60" i="44"/>
  <c r="EQ60" i="44"/>
  <c r="EP60" i="44"/>
  <c r="EO60" i="44"/>
  <c r="EN60" i="44"/>
  <c r="EM60" i="44"/>
  <c r="EL60" i="44"/>
  <c r="EG60" i="44"/>
  <c r="EE60" i="44"/>
  <c r="ED60" i="44"/>
  <c r="EC60" i="44"/>
  <c r="DZ60" i="44"/>
  <c r="DY60" i="44"/>
  <c r="DW60" i="44"/>
  <c r="GM59" i="44"/>
  <c r="GK59" i="44"/>
  <c r="GJ59" i="44"/>
  <c r="GI59" i="44"/>
  <c r="GH59" i="44"/>
  <c r="GG59" i="44"/>
  <c r="GF59" i="44"/>
  <c r="GE59" i="44"/>
  <c r="GD59" i="44"/>
  <c r="GC59" i="44"/>
  <c r="GB59" i="44"/>
  <c r="GA59" i="44"/>
  <c r="FZ59" i="44"/>
  <c r="FY59" i="44"/>
  <c r="FT59" i="44"/>
  <c r="FS59" i="44"/>
  <c r="FR59" i="44"/>
  <c r="FQ59" i="44"/>
  <c r="FP59" i="44"/>
  <c r="FO59" i="44"/>
  <c r="FN59" i="44"/>
  <c r="FM59" i="44"/>
  <c r="FL59" i="44"/>
  <c r="FK59" i="44"/>
  <c r="FJ59" i="44"/>
  <c r="FI59" i="44"/>
  <c r="FH59" i="44"/>
  <c r="FG59" i="44"/>
  <c r="FF59" i="44"/>
  <c r="FE59" i="44"/>
  <c r="FD59" i="44"/>
  <c r="FC59" i="44"/>
  <c r="FB59" i="44"/>
  <c r="FA59" i="44"/>
  <c r="EZ59" i="44"/>
  <c r="EY59" i="44"/>
  <c r="EX59" i="44"/>
  <c r="EW59" i="44"/>
  <c r="EV59" i="44"/>
  <c r="EU59" i="44"/>
  <c r="ES59" i="44"/>
  <c r="ER59" i="44"/>
  <c r="EQ59" i="44"/>
  <c r="EP59" i="44"/>
  <c r="EO59" i="44"/>
  <c r="EN59" i="44"/>
  <c r="EM59" i="44"/>
  <c r="EL59" i="44"/>
  <c r="EG59" i="44"/>
  <c r="EE59" i="44"/>
  <c r="ED59" i="44"/>
  <c r="EC59" i="44"/>
  <c r="DZ59" i="44"/>
  <c r="DY59" i="44"/>
  <c r="DW59" i="44"/>
  <c r="GM58" i="44"/>
  <c r="GK58" i="44"/>
  <c r="GJ58" i="44"/>
  <c r="GI58" i="44"/>
  <c r="GH58" i="44"/>
  <c r="GG58" i="44"/>
  <c r="GF58" i="44"/>
  <c r="GE58" i="44"/>
  <c r="GD58" i="44"/>
  <c r="GC58" i="44"/>
  <c r="GB58" i="44"/>
  <c r="GA58" i="44"/>
  <c r="FZ58" i="44"/>
  <c r="FY58" i="44"/>
  <c r="FT58" i="44"/>
  <c r="FS58" i="44"/>
  <c r="FR58" i="44"/>
  <c r="FQ58" i="44"/>
  <c r="FP58" i="44"/>
  <c r="FO58" i="44"/>
  <c r="FN58" i="44"/>
  <c r="FM58" i="44"/>
  <c r="FL58" i="44"/>
  <c r="FK58" i="44"/>
  <c r="FJ58" i="44"/>
  <c r="FI58" i="44"/>
  <c r="FH58" i="44"/>
  <c r="FG58" i="44"/>
  <c r="FF58" i="44"/>
  <c r="FE58" i="44"/>
  <c r="FD58" i="44"/>
  <c r="FC58" i="44"/>
  <c r="FB58" i="44"/>
  <c r="FA58" i="44"/>
  <c r="EZ58" i="44"/>
  <c r="EY58" i="44"/>
  <c r="EX58" i="44"/>
  <c r="EW58" i="44"/>
  <c r="EV58" i="44"/>
  <c r="EU58" i="44"/>
  <c r="ES58" i="44"/>
  <c r="ER58" i="44"/>
  <c r="EQ58" i="44"/>
  <c r="EP58" i="44"/>
  <c r="EO58" i="44"/>
  <c r="EN58" i="44"/>
  <c r="EM58" i="44"/>
  <c r="EL58" i="44"/>
  <c r="EK58" i="44"/>
  <c r="EJ58" i="44"/>
  <c r="EI58" i="44"/>
  <c r="EH58" i="44"/>
  <c r="EG58" i="44"/>
  <c r="EF58" i="44"/>
  <c r="EE58" i="44"/>
  <c r="ED58" i="44"/>
  <c r="EC58" i="44"/>
  <c r="EB58" i="44"/>
  <c r="EA58" i="44"/>
  <c r="DZ58" i="44"/>
  <c r="DY58" i="44"/>
  <c r="DX58" i="44"/>
  <c r="DW58" i="44"/>
  <c r="GM55" i="44"/>
  <c r="GK55" i="44"/>
  <c r="GJ55" i="44"/>
  <c r="GI55" i="44"/>
  <c r="GH55" i="44"/>
  <c r="GG55" i="44"/>
  <c r="GF55" i="44"/>
  <c r="GE55" i="44"/>
  <c r="GD55" i="44"/>
  <c r="GC55" i="44"/>
  <c r="GB55" i="44"/>
  <c r="GA55" i="44"/>
  <c r="FZ55" i="44"/>
  <c r="FY55" i="44"/>
  <c r="FT55" i="44"/>
  <c r="FS55" i="44"/>
  <c r="FR55" i="44"/>
  <c r="FQ55" i="44"/>
  <c r="FP55" i="44"/>
  <c r="FO55" i="44"/>
  <c r="FN55" i="44"/>
  <c r="FM55" i="44"/>
  <c r="FL55" i="44"/>
  <c r="FK55" i="44"/>
  <c r="FJ55" i="44"/>
  <c r="FI55" i="44"/>
  <c r="FH55" i="44"/>
  <c r="FG55" i="44"/>
  <c r="FF55" i="44"/>
  <c r="FE55" i="44"/>
  <c r="FD55" i="44"/>
  <c r="FC55" i="44"/>
  <c r="FB55" i="44"/>
  <c r="FA55" i="44"/>
  <c r="EZ55" i="44"/>
  <c r="EY55" i="44"/>
  <c r="EX55" i="44"/>
  <c r="EW55" i="44"/>
  <c r="EV55" i="44"/>
  <c r="EU55" i="44"/>
  <c r="ES55" i="44"/>
  <c r="ER55" i="44"/>
  <c r="EQ55" i="44"/>
  <c r="EP55" i="44"/>
  <c r="EO55" i="44"/>
  <c r="EN55" i="44"/>
  <c r="EM55" i="44"/>
  <c r="EG55" i="44"/>
  <c r="EE55" i="44"/>
  <c r="ED55" i="44"/>
  <c r="EC55" i="44"/>
  <c r="DZ55" i="44"/>
  <c r="DY55" i="44"/>
  <c r="DW55" i="44"/>
  <c r="GM54" i="44"/>
  <c r="GK54" i="44"/>
  <c r="GJ54" i="44"/>
  <c r="GI54" i="44"/>
  <c r="GH54" i="44"/>
  <c r="GG54" i="44"/>
  <c r="GF54" i="44"/>
  <c r="GE54" i="44"/>
  <c r="GD54" i="44"/>
  <c r="GC54" i="44"/>
  <c r="GB54" i="44"/>
  <c r="GA54" i="44"/>
  <c r="FZ54" i="44"/>
  <c r="FY54" i="44"/>
  <c r="FT54" i="44"/>
  <c r="FS54" i="44"/>
  <c r="FR54" i="44"/>
  <c r="FQ54" i="44"/>
  <c r="FP54" i="44"/>
  <c r="FO54" i="44"/>
  <c r="FN54" i="44"/>
  <c r="FM54" i="44"/>
  <c r="FL54" i="44"/>
  <c r="FK54" i="44"/>
  <c r="FJ54" i="44"/>
  <c r="FI54" i="44"/>
  <c r="FH54" i="44"/>
  <c r="FG54" i="44"/>
  <c r="FF54" i="44"/>
  <c r="FE54" i="44"/>
  <c r="FD54" i="44"/>
  <c r="FC54" i="44"/>
  <c r="FB54" i="44"/>
  <c r="FA54" i="44"/>
  <c r="EZ54" i="44"/>
  <c r="EY54" i="44"/>
  <c r="EX54" i="44"/>
  <c r="EW54" i="44"/>
  <c r="EV54" i="44"/>
  <c r="EU54" i="44"/>
  <c r="ES54" i="44"/>
  <c r="ER54" i="44"/>
  <c r="EQ54" i="44"/>
  <c r="EP54" i="44"/>
  <c r="EO54" i="44"/>
  <c r="EN54" i="44"/>
  <c r="EM54" i="44"/>
  <c r="EG54" i="44"/>
  <c r="EE54" i="44"/>
  <c r="ED54" i="44"/>
  <c r="EC54" i="44"/>
  <c r="DZ54" i="44"/>
  <c r="DY54" i="44"/>
  <c r="DW54" i="44"/>
  <c r="GM53" i="44"/>
  <c r="GK53" i="44"/>
  <c r="GJ53" i="44"/>
  <c r="GI53" i="44"/>
  <c r="GH53" i="44"/>
  <c r="GG53" i="44"/>
  <c r="GF53" i="44"/>
  <c r="GE53" i="44"/>
  <c r="GD53" i="44"/>
  <c r="GC53" i="44"/>
  <c r="GB53" i="44"/>
  <c r="GA53" i="44"/>
  <c r="FZ53" i="44"/>
  <c r="FY53" i="44"/>
  <c r="FT53" i="44"/>
  <c r="FS53" i="44"/>
  <c r="FR53" i="44"/>
  <c r="FQ53" i="44"/>
  <c r="FP53" i="44"/>
  <c r="FO53" i="44"/>
  <c r="FN53" i="44"/>
  <c r="FM53" i="44"/>
  <c r="FL53" i="44"/>
  <c r="FK53" i="44"/>
  <c r="FJ53" i="44"/>
  <c r="FI53" i="44"/>
  <c r="FH53" i="44"/>
  <c r="FG53" i="44"/>
  <c r="FF53" i="44"/>
  <c r="FE53" i="44"/>
  <c r="FD53" i="44"/>
  <c r="FC53" i="44"/>
  <c r="FB53" i="44"/>
  <c r="FA53" i="44"/>
  <c r="EZ53" i="44"/>
  <c r="EY53" i="44"/>
  <c r="EX53" i="44"/>
  <c r="EW53" i="44"/>
  <c r="EV53" i="44"/>
  <c r="EU53" i="44"/>
  <c r="ES53" i="44"/>
  <c r="ER53" i="44"/>
  <c r="EQ53" i="44"/>
  <c r="EP53" i="44"/>
  <c r="EO53" i="44"/>
  <c r="EN53" i="44"/>
  <c r="EM53" i="44"/>
  <c r="EG53" i="44"/>
  <c r="EE53" i="44"/>
  <c r="ED53" i="44"/>
  <c r="EC53" i="44"/>
  <c r="DZ53" i="44"/>
  <c r="DY53" i="44"/>
  <c r="DW53" i="44"/>
  <c r="GM52" i="44"/>
  <c r="GK52" i="44"/>
  <c r="GJ52" i="44"/>
  <c r="GI52" i="44"/>
  <c r="GH52" i="44"/>
  <c r="GG52" i="44"/>
  <c r="GF52" i="44"/>
  <c r="GE52" i="44"/>
  <c r="GD52" i="44"/>
  <c r="GC52" i="44"/>
  <c r="GB52" i="44"/>
  <c r="GA52" i="44"/>
  <c r="FZ52" i="44"/>
  <c r="FY52" i="44"/>
  <c r="FT52" i="44"/>
  <c r="FS52" i="44"/>
  <c r="FR52" i="44"/>
  <c r="FQ52" i="44"/>
  <c r="FP52" i="44"/>
  <c r="FO52" i="44"/>
  <c r="FN52" i="44"/>
  <c r="FM52" i="44"/>
  <c r="FL52" i="44"/>
  <c r="FK52" i="44"/>
  <c r="FJ52" i="44"/>
  <c r="FI52" i="44"/>
  <c r="FH52" i="44"/>
  <c r="FG52" i="44"/>
  <c r="FF52" i="44"/>
  <c r="FE52" i="44"/>
  <c r="FD52" i="44"/>
  <c r="FC52" i="44"/>
  <c r="FB52" i="44"/>
  <c r="FA52" i="44"/>
  <c r="EZ52" i="44"/>
  <c r="EY52" i="44"/>
  <c r="EX52" i="44"/>
  <c r="EW52" i="44"/>
  <c r="EV52" i="44"/>
  <c r="EU52" i="44"/>
  <c r="ES52" i="44"/>
  <c r="ER52" i="44"/>
  <c r="EQ52" i="44"/>
  <c r="EP52" i="44"/>
  <c r="EO52" i="44"/>
  <c r="EN52" i="44"/>
  <c r="EM52" i="44"/>
  <c r="EG52" i="44"/>
  <c r="EE52" i="44"/>
  <c r="ED52" i="44"/>
  <c r="EC52" i="44"/>
  <c r="DZ52" i="44"/>
  <c r="DY52" i="44"/>
  <c r="DW52" i="44"/>
  <c r="GM51" i="44"/>
  <c r="GK51" i="44"/>
  <c r="GJ51" i="44"/>
  <c r="GI51" i="44"/>
  <c r="GH51" i="44"/>
  <c r="GG51" i="44"/>
  <c r="GF51" i="44"/>
  <c r="GE51" i="44"/>
  <c r="GD51" i="44"/>
  <c r="GC51" i="44"/>
  <c r="GB51" i="44"/>
  <c r="GA51" i="44"/>
  <c r="FZ51" i="44"/>
  <c r="FY51" i="44"/>
  <c r="FT51" i="44"/>
  <c r="FS51" i="44"/>
  <c r="FR51" i="44"/>
  <c r="FQ51" i="44"/>
  <c r="FP51" i="44"/>
  <c r="FO51" i="44"/>
  <c r="FN51" i="44"/>
  <c r="FM51" i="44"/>
  <c r="FL51" i="44"/>
  <c r="FK51" i="44"/>
  <c r="FJ51" i="44"/>
  <c r="FI51" i="44"/>
  <c r="FH51" i="44"/>
  <c r="FG51" i="44"/>
  <c r="FF51" i="44"/>
  <c r="FE51" i="44"/>
  <c r="FD51" i="44"/>
  <c r="FC51" i="44"/>
  <c r="FB51" i="44"/>
  <c r="FA51" i="44"/>
  <c r="EZ51" i="44"/>
  <c r="EY51" i="44"/>
  <c r="EX51" i="44"/>
  <c r="EW51" i="44"/>
  <c r="EV51" i="44"/>
  <c r="EU51" i="44"/>
  <c r="ES51" i="44"/>
  <c r="ER51" i="44"/>
  <c r="EQ51" i="44"/>
  <c r="EP51" i="44"/>
  <c r="EO51" i="44"/>
  <c r="EN51" i="44"/>
  <c r="EM51" i="44"/>
  <c r="EG51" i="44"/>
  <c r="EE51" i="44"/>
  <c r="ED51" i="44"/>
  <c r="EC51" i="44"/>
  <c r="DZ51" i="44"/>
  <c r="DY51" i="44"/>
  <c r="DW51" i="44"/>
  <c r="GM50" i="44"/>
  <c r="GK50" i="44"/>
  <c r="GJ50" i="44"/>
  <c r="GI50" i="44"/>
  <c r="GH50" i="44"/>
  <c r="GG50" i="44"/>
  <c r="GF50" i="44"/>
  <c r="GE50" i="44"/>
  <c r="GD50" i="44"/>
  <c r="GC50" i="44"/>
  <c r="GB50" i="44"/>
  <c r="GA50" i="44"/>
  <c r="FZ50" i="44"/>
  <c r="FY50" i="44"/>
  <c r="FT50" i="44"/>
  <c r="FS50" i="44"/>
  <c r="FR50" i="44"/>
  <c r="FQ50" i="44"/>
  <c r="FP50" i="44"/>
  <c r="FO50" i="44"/>
  <c r="FN50" i="44"/>
  <c r="FM50" i="44"/>
  <c r="FL50" i="44"/>
  <c r="FK50" i="44"/>
  <c r="FJ50" i="44"/>
  <c r="FI50" i="44"/>
  <c r="FH50" i="44"/>
  <c r="FG50" i="44"/>
  <c r="FF50" i="44"/>
  <c r="FE50" i="44"/>
  <c r="FD50" i="44"/>
  <c r="FC50" i="44"/>
  <c r="FB50" i="44"/>
  <c r="FA50" i="44"/>
  <c r="EZ50" i="44"/>
  <c r="EY50" i="44"/>
  <c r="EX50" i="44"/>
  <c r="EW50" i="44"/>
  <c r="EV50" i="44"/>
  <c r="EU50" i="44"/>
  <c r="ES50" i="44"/>
  <c r="ER50" i="44"/>
  <c r="EQ50" i="44"/>
  <c r="EP50" i="44"/>
  <c r="EO50" i="44"/>
  <c r="EN50" i="44"/>
  <c r="EM50" i="44"/>
  <c r="EG50" i="44"/>
  <c r="EE50" i="44"/>
  <c r="ED50" i="44"/>
  <c r="EC50" i="44"/>
  <c r="DZ50" i="44"/>
  <c r="DY50" i="44"/>
  <c r="DW50" i="44"/>
  <c r="GM48" i="44"/>
  <c r="GK48" i="44"/>
  <c r="GJ48" i="44"/>
  <c r="GI48" i="44"/>
  <c r="GH48" i="44"/>
  <c r="GG48" i="44"/>
  <c r="GF48" i="44"/>
  <c r="GE48" i="44"/>
  <c r="GD48" i="44"/>
  <c r="GC48" i="44"/>
  <c r="GB48" i="44"/>
  <c r="GA48" i="44"/>
  <c r="FZ48" i="44"/>
  <c r="FY48" i="44"/>
  <c r="FT48" i="44"/>
  <c r="FS48" i="44"/>
  <c r="FR48" i="44"/>
  <c r="FQ48" i="44"/>
  <c r="FP48" i="44"/>
  <c r="FO48" i="44"/>
  <c r="FN48" i="44"/>
  <c r="FM48" i="44"/>
  <c r="FL48" i="44"/>
  <c r="FK48" i="44"/>
  <c r="FJ48" i="44"/>
  <c r="FI48" i="44"/>
  <c r="FH48" i="44"/>
  <c r="FG48" i="44"/>
  <c r="FF48" i="44"/>
  <c r="FE48" i="44"/>
  <c r="FD48" i="44"/>
  <c r="FC48" i="44"/>
  <c r="FB48" i="44"/>
  <c r="FA48" i="44"/>
  <c r="EZ48" i="44"/>
  <c r="EY48" i="44"/>
  <c r="EX48" i="44"/>
  <c r="EW48" i="44"/>
  <c r="EV48" i="44"/>
  <c r="EU48" i="44"/>
  <c r="ES48" i="44"/>
  <c r="ER48" i="44"/>
  <c r="EQ48" i="44"/>
  <c r="EP48" i="44"/>
  <c r="EO48" i="44"/>
  <c r="EN48" i="44"/>
  <c r="EM48" i="44"/>
  <c r="EG48" i="44"/>
  <c r="EE48" i="44"/>
  <c r="ED48" i="44"/>
  <c r="EC48" i="44"/>
  <c r="DZ48" i="44"/>
  <c r="DY48" i="44"/>
  <c r="DW48" i="44"/>
  <c r="GM46" i="44"/>
  <c r="GK46" i="44"/>
  <c r="GJ46" i="44"/>
  <c r="GI46" i="44"/>
  <c r="GH46" i="44"/>
  <c r="GG46" i="44"/>
  <c r="GF46" i="44"/>
  <c r="GE46" i="44"/>
  <c r="GD46" i="44"/>
  <c r="GC46" i="44"/>
  <c r="GB46" i="44"/>
  <c r="GA46" i="44"/>
  <c r="FZ46" i="44"/>
  <c r="FY46" i="44"/>
  <c r="FT46" i="44"/>
  <c r="FS46" i="44"/>
  <c r="FR46" i="44"/>
  <c r="FQ46" i="44"/>
  <c r="FP46" i="44"/>
  <c r="FO46" i="44"/>
  <c r="FN46" i="44"/>
  <c r="FM46" i="44"/>
  <c r="FL46" i="44"/>
  <c r="FK46" i="44"/>
  <c r="FJ46" i="44"/>
  <c r="FI46" i="44"/>
  <c r="FH46" i="44"/>
  <c r="FG46" i="44"/>
  <c r="FF46" i="44"/>
  <c r="FE46" i="44"/>
  <c r="FD46" i="44"/>
  <c r="FC46" i="44"/>
  <c r="FB46" i="44"/>
  <c r="FA46" i="44"/>
  <c r="EZ46" i="44"/>
  <c r="EY46" i="44"/>
  <c r="EX46" i="44"/>
  <c r="EW46" i="44"/>
  <c r="EV46" i="44"/>
  <c r="EU46" i="44"/>
  <c r="ES46" i="44"/>
  <c r="ER46" i="44"/>
  <c r="EQ46" i="44"/>
  <c r="EP46" i="44"/>
  <c r="EO46" i="44"/>
  <c r="EN46" i="44"/>
  <c r="EM46" i="44"/>
  <c r="EG46" i="44"/>
  <c r="EE46" i="44"/>
  <c r="ED46" i="44"/>
  <c r="EC46" i="44"/>
  <c r="DZ46" i="44"/>
  <c r="DY46" i="44"/>
  <c r="DW46" i="44"/>
  <c r="GM45" i="44"/>
  <c r="GK45" i="44"/>
  <c r="GJ45" i="44"/>
  <c r="GI45" i="44"/>
  <c r="GH45" i="44"/>
  <c r="GG45" i="44"/>
  <c r="GF45" i="44"/>
  <c r="GE45" i="44"/>
  <c r="GD45" i="44"/>
  <c r="GC45" i="44"/>
  <c r="GB45" i="44"/>
  <c r="GA45" i="44"/>
  <c r="FZ45" i="44"/>
  <c r="FY45" i="44"/>
  <c r="FT45" i="44"/>
  <c r="FS45" i="44"/>
  <c r="FR45" i="44"/>
  <c r="FQ45" i="44"/>
  <c r="FP45" i="44"/>
  <c r="FO45" i="44"/>
  <c r="FN45" i="44"/>
  <c r="FM45" i="44"/>
  <c r="FL45" i="44"/>
  <c r="FK45" i="44"/>
  <c r="FJ45" i="44"/>
  <c r="FI45" i="44"/>
  <c r="FH45" i="44"/>
  <c r="FG45" i="44"/>
  <c r="FF45" i="44"/>
  <c r="FE45" i="44"/>
  <c r="FD45" i="44"/>
  <c r="FC45" i="44"/>
  <c r="FB45" i="44"/>
  <c r="FA45" i="44"/>
  <c r="EZ45" i="44"/>
  <c r="EY45" i="44"/>
  <c r="EX45" i="44"/>
  <c r="EW45" i="44"/>
  <c r="EV45" i="44"/>
  <c r="EU45" i="44"/>
  <c r="ES45" i="44"/>
  <c r="ER45" i="44"/>
  <c r="EQ45" i="44"/>
  <c r="EP45" i="44"/>
  <c r="EO45" i="44"/>
  <c r="EN45" i="44"/>
  <c r="EG45" i="44"/>
  <c r="EE45" i="44"/>
  <c r="ED45" i="44"/>
  <c r="EC45" i="44"/>
  <c r="DZ45" i="44"/>
  <c r="DY45" i="44"/>
  <c r="DW45" i="44"/>
  <c r="GM44" i="44"/>
  <c r="GK44" i="44"/>
  <c r="GJ44" i="44"/>
  <c r="GI44" i="44"/>
  <c r="GH44" i="44"/>
  <c r="GG44" i="44"/>
  <c r="GF44" i="44"/>
  <c r="GE44" i="44"/>
  <c r="GD44" i="44"/>
  <c r="GC44" i="44"/>
  <c r="GB44" i="44"/>
  <c r="GA44" i="44"/>
  <c r="FZ44" i="44"/>
  <c r="FY44" i="44"/>
  <c r="FT44" i="44"/>
  <c r="FS44" i="44"/>
  <c r="FR44" i="44"/>
  <c r="FQ44" i="44"/>
  <c r="FP44" i="44"/>
  <c r="FO44" i="44"/>
  <c r="FN44" i="44"/>
  <c r="FM44" i="44"/>
  <c r="FL44" i="44"/>
  <c r="FK44" i="44"/>
  <c r="FJ44" i="44"/>
  <c r="FI44" i="44"/>
  <c r="FH44" i="44"/>
  <c r="FG44" i="44"/>
  <c r="FF44" i="44"/>
  <c r="FE44" i="44"/>
  <c r="FD44" i="44"/>
  <c r="FC44" i="44"/>
  <c r="FB44" i="44"/>
  <c r="FA44" i="44"/>
  <c r="EZ44" i="44"/>
  <c r="EY44" i="44"/>
  <c r="EX44" i="44"/>
  <c r="EW44" i="44"/>
  <c r="EV44" i="44"/>
  <c r="EU44" i="44"/>
  <c r="ES44" i="44"/>
  <c r="ER44" i="44"/>
  <c r="EQ44" i="44"/>
  <c r="EP44" i="44"/>
  <c r="EO44" i="44"/>
  <c r="EN44" i="44"/>
  <c r="EG44" i="44"/>
  <c r="EE44" i="44"/>
  <c r="ED44" i="44"/>
  <c r="EC44" i="44"/>
  <c r="DZ44" i="44"/>
  <c r="DY44" i="44"/>
  <c r="DW44" i="44"/>
  <c r="GM43" i="44"/>
  <c r="GK43" i="44"/>
  <c r="GJ43" i="44"/>
  <c r="GI43" i="44"/>
  <c r="GH43" i="44"/>
  <c r="GG43" i="44"/>
  <c r="GF43" i="44"/>
  <c r="GE43" i="44"/>
  <c r="GD43" i="44"/>
  <c r="GC43" i="44"/>
  <c r="GB43" i="44"/>
  <c r="GA43" i="44"/>
  <c r="FZ43" i="44"/>
  <c r="FY43" i="44"/>
  <c r="FT43" i="44"/>
  <c r="FS43" i="44"/>
  <c r="FR43" i="44"/>
  <c r="FQ43" i="44"/>
  <c r="FP43" i="44"/>
  <c r="FO43" i="44"/>
  <c r="FN43" i="44"/>
  <c r="FM43" i="44"/>
  <c r="FL43" i="44"/>
  <c r="FK43" i="44"/>
  <c r="FJ43" i="44"/>
  <c r="FI43" i="44"/>
  <c r="FH43" i="44"/>
  <c r="FG43" i="44"/>
  <c r="FF43" i="44"/>
  <c r="FE43" i="44"/>
  <c r="FD43" i="44"/>
  <c r="FC43" i="44"/>
  <c r="FB43" i="44"/>
  <c r="FA43" i="44"/>
  <c r="EZ43" i="44"/>
  <c r="EY43" i="44"/>
  <c r="EX43" i="44"/>
  <c r="EW43" i="44"/>
  <c r="EV43" i="44"/>
  <c r="EU43" i="44"/>
  <c r="ES43" i="44"/>
  <c r="ER43" i="44"/>
  <c r="EQ43" i="44"/>
  <c r="EP43" i="44"/>
  <c r="EO43" i="44"/>
  <c r="EN43" i="44"/>
  <c r="EM43" i="44"/>
  <c r="EL43" i="44"/>
  <c r="EK43" i="44"/>
  <c r="EJ43" i="44"/>
  <c r="EI43" i="44"/>
  <c r="EH43" i="44"/>
  <c r="EG43" i="44"/>
  <c r="EF43" i="44"/>
  <c r="EE43" i="44"/>
  <c r="ED43" i="44"/>
  <c r="EC43" i="44"/>
  <c r="EB43" i="44"/>
  <c r="EA43" i="44"/>
  <c r="DZ43" i="44"/>
  <c r="DY43" i="44"/>
  <c r="DX43" i="44"/>
  <c r="DW43" i="44"/>
  <c r="GM42" i="44"/>
  <c r="GK42" i="44"/>
  <c r="GJ42" i="44"/>
  <c r="GI42" i="44"/>
  <c r="GH42" i="44"/>
  <c r="GG42" i="44"/>
  <c r="GF42" i="44"/>
  <c r="GE42" i="44"/>
  <c r="GD42" i="44"/>
  <c r="GC42" i="44"/>
  <c r="GB42" i="44"/>
  <c r="GA42" i="44"/>
  <c r="FZ42" i="44"/>
  <c r="FY42" i="44"/>
  <c r="FT42" i="44"/>
  <c r="FS42" i="44"/>
  <c r="FR42" i="44"/>
  <c r="FQ42" i="44"/>
  <c r="FP42" i="44"/>
  <c r="FO42" i="44"/>
  <c r="FN42" i="44"/>
  <c r="FM42" i="44"/>
  <c r="FL42" i="44"/>
  <c r="FK42" i="44"/>
  <c r="FJ42" i="44"/>
  <c r="FI42" i="44"/>
  <c r="FH42" i="44"/>
  <c r="FG42" i="44"/>
  <c r="FF42" i="44"/>
  <c r="FE42" i="44"/>
  <c r="FD42" i="44"/>
  <c r="FC42" i="44"/>
  <c r="FB42" i="44"/>
  <c r="FA42" i="44"/>
  <c r="EZ42" i="44"/>
  <c r="EY42" i="44"/>
  <c r="EX42" i="44"/>
  <c r="EW42" i="44"/>
  <c r="EV42" i="44"/>
  <c r="EU42" i="44"/>
  <c r="ES42" i="44"/>
  <c r="ER42" i="44"/>
  <c r="EQ42" i="44"/>
  <c r="EP42" i="44"/>
  <c r="EO42" i="44"/>
  <c r="EN42" i="44"/>
  <c r="EM42" i="44"/>
  <c r="EL42" i="44"/>
  <c r="EK42" i="44"/>
  <c r="EJ42" i="44"/>
  <c r="EI42" i="44"/>
  <c r="EH42" i="44"/>
  <c r="EG42" i="44"/>
  <c r="EF42" i="44"/>
  <c r="EE42" i="44"/>
  <c r="EB42" i="44"/>
  <c r="DZ42" i="44"/>
  <c r="DY42" i="44"/>
  <c r="DW42" i="44"/>
  <c r="GM41" i="44"/>
  <c r="GK41" i="44"/>
  <c r="GJ41" i="44"/>
  <c r="GI41" i="44"/>
  <c r="GH41" i="44"/>
  <c r="GG41" i="44"/>
  <c r="GF41" i="44"/>
  <c r="GE41" i="44"/>
  <c r="GD41" i="44"/>
  <c r="GC41" i="44"/>
  <c r="GB41" i="44"/>
  <c r="GA41" i="44"/>
  <c r="FZ41" i="44"/>
  <c r="FY41" i="44"/>
  <c r="FT41" i="44"/>
  <c r="FS41" i="44"/>
  <c r="FR41" i="44"/>
  <c r="FQ41" i="44"/>
  <c r="FP41" i="44"/>
  <c r="FO41" i="44"/>
  <c r="FN41" i="44"/>
  <c r="FM41" i="44"/>
  <c r="FL41" i="44"/>
  <c r="FK41" i="44"/>
  <c r="FJ41" i="44"/>
  <c r="FI41" i="44"/>
  <c r="FH41" i="44"/>
  <c r="FG41" i="44"/>
  <c r="FF41" i="44"/>
  <c r="FE41" i="44"/>
  <c r="FD41" i="44"/>
  <c r="FC41" i="44"/>
  <c r="FB41" i="44"/>
  <c r="FA41" i="44"/>
  <c r="EZ41" i="44"/>
  <c r="EY41" i="44"/>
  <c r="EX41" i="44"/>
  <c r="EW41" i="44"/>
  <c r="EV41" i="44"/>
  <c r="EU41" i="44"/>
  <c r="ES41" i="44"/>
  <c r="ER41" i="44"/>
  <c r="EQ41" i="44"/>
  <c r="EP41" i="44"/>
  <c r="EO41" i="44"/>
  <c r="EN41" i="44"/>
  <c r="EM41" i="44"/>
  <c r="EL41" i="44"/>
  <c r="EK41" i="44"/>
  <c r="EJ41" i="44"/>
  <c r="EI41" i="44"/>
  <c r="EH41" i="44"/>
  <c r="EG41" i="44"/>
  <c r="EF41" i="44"/>
  <c r="EE41" i="44"/>
  <c r="ED41" i="44"/>
  <c r="EB41" i="44"/>
  <c r="DZ41" i="44"/>
  <c r="DY41" i="44"/>
  <c r="DW41" i="44"/>
  <c r="GM40" i="44"/>
  <c r="GK40" i="44"/>
  <c r="GJ40" i="44"/>
  <c r="GI40" i="44"/>
  <c r="GH40" i="44"/>
  <c r="GG40" i="44"/>
  <c r="GF40" i="44"/>
  <c r="GE40" i="44"/>
  <c r="GD40" i="44"/>
  <c r="GC40" i="44"/>
  <c r="GB40" i="44"/>
  <c r="GA40" i="44"/>
  <c r="FZ40" i="44"/>
  <c r="FY40" i="44"/>
  <c r="FT40" i="44"/>
  <c r="FS40" i="44"/>
  <c r="FR40" i="44"/>
  <c r="FQ40" i="44"/>
  <c r="FP40" i="44"/>
  <c r="FO40" i="44"/>
  <c r="FN40" i="44"/>
  <c r="FM40" i="44"/>
  <c r="FL40" i="44"/>
  <c r="FK40" i="44"/>
  <c r="FJ40" i="44"/>
  <c r="FI40" i="44"/>
  <c r="FH40" i="44"/>
  <c r="FG40" i="44"/>
  <c r="FF40" i="44"/>
  <c r="FE40" i="44"/>
  <c r="FD40" i="44"/>
  <c r="FC40" i="44"/>
  <c r="FB40" i="44"/>
  <c r="FA40" i="44"/>
  <c r="EZ40" i="44"/>
  <c r="EY40" i="44"/>
  <c r="EX40" i="44"/>
  <c r="EW40" i="44"/>
  <c r="EV40" i="44"/>
  <c r="EU40" i="44"/>
  <c r="ES40" i="44"/>
  <c r="ER40" i="44"/>
  <c r="EQ40" i="44"/>
  <c r="EP40" i="44"/>
  <c r="EO40" i="44"/>
  <c r="EN40" i="44"/>
  <c r="EM40" i="44"/>
  <c r="EL40" i="44"/>
  <c r="EK40" i="44"/>
  <c r="EJ40" i="44"/>
  <c r="EI40" i="44"/>
  <c r="EH40" i="44"/>
  <c r="EG40" i="44"/>
  <c r="EF40" i="44"/>
  <c r="EE40" i="44"/>
  <c r="ED40" i="44"/>
  <c r="EB40" i="44"/>
  <c r="DZ40" i="44"/>
  <c r="DY40" i="44"/>
  <c r="DW40" i="44"/>
  <c r="GM39" i="44"/>
  <c r="GK39" i="44"/>
  <c r="GJ39" i="44"/>
  <c r="GI39" i="44"/>
  <c r="GH39" i="44"/>
  <c r="GG39" i="44"/>
  <c r="GF39" i="44"/>
  <c r="GE39" i="44"/>
  <c r="GD39" i="44"/>
  <c r="GC39" i="44"/>
  <c r="GB39" i="44"/>
  <c r="GA39" i="44"/>
  <c r="FZ39" i="44"/>
  <c r="FY39" i="44"/>
  <c r="FT39" i="44"/>
  <c r="FS39" i="44"/>
  <c r="FR39" i="44"/>
  <c r="FQ39" i="44"/>
  <c r="FP39" i="44"/>
  <c r="FO39" i="44"/>
  <c r="FN39" i="44"/>
  <c r="FM39" i="44"/>
  <c r="FL39" i="44"/>
  <c r="FK39" i="44"/>
  <c r="FJ39" i="44"/>
  <c r="FI39" i="44"/>
  <c r="FH39" i="44"/>
  <c r="FG39" i="44"/>
  <c r="FF39" i="44"/>
  <c r="FE39" i="44"/>
  <c r="FD39" i="44"/>
  <c r="FC39" i="44"/>
  <c r="FB39" i="44"/>
  <c r="FA39" i="44"/>
  <c r="EZ39" i="44"/>
  <c r="EY39" i="44"/>
  <c r="EX39" i="44"/>
  <c r="EW39" i="44"/>
  <c r="EV39" i="44"/>
  <c r="EU39" i="44"/>
  <c r="ES39" i="44"/>
  <c r="ER39" i="44"/>
  <c r="EQ39" i="44"/>
  <c r="EP39" i="44"/>
  <c r="EO39" i="44"/>
  <c r="EN39" i="44"/>
  <c r="EM39" i="44"/>
  <c r="EL39" i="44"/>
  <c r="EK39" i="44"/>
  <c r="EJ39" i="44"/>
  <c r="EI39" i="44"/>
  <c r="EH39" i="44"/>
  <c r="EG39" i="44"/>
  <c r="EF39" i="44"/>
  <c r="EE39" i="44"/>
  <c r="ED39" i="44"/>
  <c r="EB39" i="44"/>
  <c r="DZ39" i="44"/>
  <c r="DY39" i="44"/>
  <c r="DW39" i="44"/>
  <c r="GM38" i="44"/>
  <c r="GK38" i="44"/>
  <c r="GJ38" i="44"/>
  <c r="GI38" i="44"/>
  <c r="GH38" i="44"/>
  <c r="GG38" i="44"/>
  <c r="GF38" i="44"/>
  <c r="GE38" i="44"/>
  <c r="GD38" i="44"/>
  <c r="GC38" i="44"/>
  <c r="GB38" i="44"/>
  <c r="GA38" i="44"/>
  <c r="FZ38" i="44"/>
  <c r="FY38" i="44"/>
  <c r="FT38" i="44"/>
  <c r="FS38" i="44"/>
  <c r="FR38" i="44"/>
  <c r="FQ38" i="44"/>
  <c r="FP38" i="44"/>
  <c r="FO38" i="44"/>
  <c r="FN38" i="44"/>
  <c r="FM38" i="44"/>
  <c r="FL38" i="44"/>
  <c r="FK38" i="44"/>
  <c r="FJ38" i="44"/>
  <c r="FI38" i="44"/>
  <c r="FH38" i="44"/>
  <c r="FG38" i="44"/>
  <c r="FF38" i="44"/>
  <c r="FE38" i="44"/>
  <c r="FD38" i="44"/>
  <c r="FC38" i="44"/>
  <c r="FB38" i="44"/>
  <c r="FA38" i="44"/>
  <c r="EZ38" i="44"/>
  <c r="EY38" i="44"/>
  <c r="EX38" i="44"/>
  <c r="EW38" i="44"/>
  <c r="EV38" i="44"/>
  <c r="EU38" i="44"/>
  <c r="ES38" i="44"/>
  <c r="ER38" i="44"/>
  <c r="EQ38" i="44"/>
  <c r="EP38" i="44"/>
  <c r="EO38" i="44"/>
  <c r="EN38" i="44"/>
  <c r="EM38" i="44"/>
  <c r="EL38" i="44"/>
  <c r="EK38" i="44"/>
  <c r="EJ38" i="44"/>
  <c r="EI38" i="44"/>
  <c r="EH38" i="44"/>
  <c r="EG38" i="44"/>
  <c r="EF38" i="44"/>
  <c r="EE38" i="44"/>
  <c r="ED38" i="44"/>
  <c r="EB38" i="44"/>
  <c r="DZ38" i="44"/>
  <c r="DY38" i="44"/>
  <c r="DW38" i="44"/>
  <c r="GM37" i="44"/>
  <c r="GK37" i="44"/>
  <c r="GJ37" i="44"/>
  <c r="GI37" i="44"/>
  <c r="GH37" i="44"/>
  <c r="GG37" i="44"/>
  <c r="GF37" i="44"/>
  <c r="GE37" i="44"/>
  <c r="GD37" i="44"/>
  <c r="GC37" i="44"/>
  <c r="GB37" i="44"/>
  <c r="GA37" i="44"/>
  <c r="FZ37" i="44"/>
  <c r="FY37" i="44"/>
  <c r="FT37" i="44"/>
  <c r="FS37" i="44"/>
  <c r="FR37" i="44"/>
  <c r="FQ37" i="44"/>
  <c r="FP37" i="44"/>
  <c r="FO37" i="44"/>
  <c r="FN37" i="44"/>
  <c r="FM37" i="44"/>
  <c r="FL37" i="44"/>
  <c r="FK37" i="44"/>
  <c r="FJ37" i="44"/>
  <c r="FI37" i="44"/>
  <c r="FH37" i="44"/>
  <c r="FG37" i="44"/>
  <c r="FF37" i="44"/>
  <c r="FE37" i="44"/>
  <c r="FD37" i="44"/>
  <c r="FC37" i="44"/>
  <c r="FB37" i="44"/>
  <c r="FA37" i="44"/>
  <c r="EZ37" i="44"/>
  <c r="EY37" i="44"/>
  <c r="EX37" i="44"/>
  <c r="EW37" i="44"/>
  <c r="EV37" i="44"/>
  <c r="EU37" i="44"/>
  <c r="ES37" i="44"/>
  <c r="ER37" i="44"/>
  <c r="EQ37" i="44"/>
  <c r="EP37" i="44"/>
  <c r="EO37" i="44"/>
  <c r="EN37" i="44"/>
  <c r="EM37" i="44"/>
  <c r="EL37" i="44"/>
  <c r="EK37" i="44"/>
  <c r="EJ37" i="44"/>
  <c r="EI37" i="44"/>
  <c r="EH37" i="44"/>
  <c r="EG37" i="44"/>
  <c r="EF37" i="44"/>
  <c r="EE37" i="44"/>
  <c r="ED37" i="44"/>
  <c r="EC37" i="44"/>
  <c r="EB37" i="44"/>
  <c r="EA37" i="44"/>
  <c r="DZ37" i="44"/>
  <c r="DY37" i="44"/>
  <c r="DX37" i="44"/>
  <c r="DW37" i="44"/>
  <c r="GM36" i="44"/>
  <c r="GK36" i="44"/>
  <c r="GJ36" i="44"/>
  <c r="GI36" i="44"/>
  <c r="GH36" i="44"/>
  <c r="GG36" i="44"/>
  <c r="GF36" i="44"/>
  <c r="GE36" i="44"/>
  <c r="GD36" i="44"/>
  <c r="GC36" i="44"/>
  <c r="GB36" i="44"/>
  <c r="GA36" i="44"/>
  <c r="FZ36" i="44"/>
  <c r="FY36" i="44"/>
  <c r="FT36" i="44"/>
  <c r="FS36" i="44"/>
  <c r="FR36" i="44"/>
  <c r="FQ36" i="44"/>
  <c r="FP36" i="44"/>
  <c r="FO36" i="44"/>
  <c r="FN36" i="44"/>
  <c r="FM36" i="44"/>
  <c r="FL36" i="44"/>
  <c r="FK36" i="44"/>
  <c r="FJ36" i="44"/>
  <c r="FG36" i="44"/>
  <c r="FF36" i="44"/>
  <c r="FE36" i="44"/>
  <c r="FD36" i="44"/>
  <c r="FC36" i="44"/>
  <c r="FB36" i="44"/>
  <c r="FA36" i="44"/>
  <c r="EZ36" i="44"/>
  <c r="EY36" i="44"/>
  <c r="EW36" i="44"/>
  <c r="EV36" i="44"/>
  <c r="EU36" i="44"/>
  <c r="ES36" i="44"/>
  <c r="ER36" i="44"/>
  <c r="EQ36" i="44"/>
  <c r="EP36" i="44"/>
  <c r="EO36" i="44"/>
  <c r="EN36" i="44"/>
  <c r="EM36" i="44"/>
  <c r="EL36" i="44"/>
  <c r="EK36" i="44"/>
  <c r="EJ36" i="44"/>
  <c r="EI36" i="44"/>
  <c r="EH36" i="44"/>
  <c r="EG36" i="44"/>
  <c r="EF36" i="44"/>
  <c r="ED36" i="44"/>
  <c r="EC36" i="44"/>
  <c r="EB36" i="44"/>
  <c r="EA36" i="44"/>
  <c r="DZ36" i="44"/>
  <c r="DY36" i="44"/>
  <c r="DX36" i="44"/>
  <c r="DW36" i="44"/>
  <c r="GM35" i="44"/>
  <c r="GK35" i="44"/>
  <c r="GJ35" i="44"/>
  <c r="GI35" i="44"/>
  <c r="GH35" i="44"/>
  <c r="GG35" i="44"/>
  <c r="GF35" i="44"/>
  <c r="GE35" i="44"/>
  <c r="GD35" i="44"/>
  <c r="GC35" i="44"/>
  <c r="GB35" i="44"/>
  <c r="GA35" i="44"/>
  <c r="FZ35" i="44"/>
  <c r="FY35" i="44"/>
  <c r="FT35" i="44"/>
  <c r="FS35" i="44"/>
  <c r="FR35" i="44"/>
  <c r="FQ35" i="44"/>
  <c r="FP35" i="44"/>
  <c r="FO35" i="44"/>
  <c r="FN35" i="44"/>
  <c r="FM35" i="44"/>
  <c r="FL35" i="44"/>
  <c r="FK35" i="44"/>
  <c r="FJ35" i="44"/>
  <c r="FG35" i="44"/>
  <c r="FF35" i="44"/>
  <c r="FE35" i="44"/>
  <c r="FD35" i="44"/>
  <c r="FC35" i="44"/>
  <c r="FB35" i="44"/>
  <c r="FA35" i="44"/>
  <c r="EZ35" i="44"/>
  <c r="EY35" i="44"/>
  <c r="EW35" i="44"/>
  <c r="EV35" i="44"/>
  <c r="EU35" i="44"/>
  <c r="ES35" i="44"/>
  <c r="ER35" i="44"/>
  <c r="EQ35" i="44"/>
  <c r="EP35" i="44"/>
  <c r="EO35" i="44"/>
  <c r="EN35" i="44"/>
  <c r="EM35" i="44"/>
  <c r="EL35" i="44"/>
  <c r="EK35" i="44"/>
  <c r="EJ35" i="44"/>
  <c r="EI35" i="44"/>
  <c r="EH35" i="44"/>
  <c r="EG35" i="44"/>
  <c r="EF35" i="44"/>
  <c r="ED35" i="44"/>
  <c r="EC35" i="44"/>
  <c r="EB35" i="44"/>
  <c r="EA35" i="44"/>
  <c r="DZ35" i="44"/>
  <c r="DY35" i="44"/>
  <c r="DX35" i="44"/>
  <c r="DW35" i="44"/>
  <c r="GM34" i="44"/>
  <c r="GK34" i="44"/>
  <c r="GJ34" i="44"/>
  <c r="GI34" i="44"/>
  <c r="GH34" i="44"/>
  <c r="GG34" i="44"/>
  <c r="GF34" i="44"/>
  <c r="GE34" i="44"/>
  <c r="GD34" i="44"/>
  <c r="GC34" i="44"/>
  <c r="GB34" i="44"/>
  <c r="GA34" i="44"/>
  <c r="FZ34" i="44"/>
  <c r="FY34" i="44"/>
  <c r="FT34" i="44"/>
  <c r="FS34" i="44"/>
  <c r="FR34" i="44"/>
  <c r="FQ34" i="44"/>
  <c r="FP34" i="44"/>
  <c r="FO34" i="44"/>
  <c r="FN34" i="44"/>
  <c r="FM34" i="44"/>
  <c r="FL34" i="44"/>
  <c r="FK34" i="44"/>
  <c r="FJ34" i="44"/>
  <c r="FG34" i="44"/>
  <c r="FF34" i="44"/>
  <c r="FE34" i="44"/>
  <c r="FD34" i="44"/>
  <c r="FC34" i="44"/>
  <c r="FB34" i="44"/>
  <c r="FA34" i="44"/>
  <c r="EZ34" i="44"/>
  <c r="EY34" i="44"/>
  <c r="EW34" i="44"/>
  <c r="EV34" i="44"/>
  <c r="EU34" i="44"/>
  <c r="ES34" i="44"/>
  <c r="ER34" i="44"/>
  <c r="EQ34" i="44"/>
  <c r="EP34" i="44"/>
  <c r="EO34" i="44"/>
  <c r="EN34" i="44"/>
  <c r="EM34" i="44"/>
  <c r="EL34" i="44"/>
  <c r="EK34" i="44"/>
  <c r="EJ34" i="44"/>
  <c r="EI34" i="44"/>
  <c r="EH34" i="44"/>
  <c r="EG34" i="44"/>
  <c r="EF34" i="44"/>
  <c r="ED34" i="44"/>
  <c r="EC34" i="44"/>
  <c r="EB34" i="44"/>
  <c r="EA34" i="44"/>
  <c r="DZ34" i="44"/>
  <c r="DY34" i="44"/>
  <c r="DX34" i="44"/>
  <c r="DW34" i="44"/>
  <c r="GM30" i="44"/>
  <c r="GK30" i="44"/>
  <c r="GJ30" i="44"/>
  <c r="GI30" i="44"/>
  <c r="GH30" i="44"/>
  <c r="GG30" i="44"/>
  <c r="GF30" i="44"/>
  <c r="GE30" i="44"/>
  <c r="GD30" i="44"/>
  <c r="GC30" i="44"/>
  <c r="GB30" i="44"/>
  <c r="GA30" i="44"/>
  <c r="FZ30" i="44"/>
  <c r="FY30" i="44"/>
  <c r="FT30" i="44"/>
  <c r="FS30" i="44"/>
  <c r="FR30" i="44"/>
  <c r="FQ30" i="44"/>
  <c r="FP30" i="44"/>
  <c r="FO30" i="44"/>
  <c r="FN30" i="44"/>
  <c r="FM30" i="44"/>
  <c r="FL30" i="44"/>
  <c r="FK30" i="44"/>
  <c r="FJ30" i="44"/>
  <c r="FG30" i="44"/>
  <c r="FF30" i="44"/>
  <c r="FE30" i="44"/>
  <c r="FD30" i="44"/>
  <c r="FC30" i="44"/>
  <c r="FB30" i="44"/>
  <c r="FA30" i="44"/>
  <c r="EZ30" i="44"/>
  <c r="EY30" i="44"/>
  <c r="EW30" i="44"/>
  <c r="EV30" i="44"/>
  <c r="EU30" i="44"/>
  <c r="ES30" i="44"/>
  <c r="ER30" i="44"/>
  <c r="EQ30" i="44"/>
  <c r="EP30" i="44"/>
  <c r="EO30" i="44"/>
  <c r="EN30" i="44"/>
  <c r="EM30" i="44"/>
  <c r="EL30" i="44"/>
  <c r="EK30" i="44"/>
  <c r="EJ30" i="44"/>
  <c r="EI30" i="44"/>
  <c r="EH30" i="44"/>
  <c r="EG30" i="44"/>
  <c r="EF30" i="44"/>
  <c r="ED30" i="44"/>
  <c r="EC30" i="44"/>
  <c r="EB30" i="44"/>
  <c r="EA30" i="44"/>
  <c r="DZ30" i="44"/>
  <c r="DY30" i="44"/>
  <c r="DX30" i="44"/>
  <c r="DW30" i="44"/>
  <c r="GM29" i="44"/>
  <c r="GK29" i="44"/>
  <c r="GJ29" i="44"/>
  <c r="GI29" i="44"/>
  <c r="GH29" i="44"/>
  <c r="GG29" i="44"/>
  <c r="GF29" i="44"/>
  <c r="GE29" i="44"/>
  <c r="GD29" i="44"/>
  <c r="GC29" i="44"/>
  <c r="GB29" i="44"/>
  <c r="GA29" i="44"/>
  <c r="FZ29" i="44"/>
  <c r="FY29" i="44"/>
  <c r="FT29" i="44"/>
  <c r="FS29" i="44"/>
  <c r="FR29" i="44"/>
  <c r="FQ29" i="44"/>
  <c r="FP29" i="44"/>
  <c r="FO29" i="44"/>
  <c r="FN29" i="44"/>
  <c r="FM29" i="44"/>
  <c r="FL29" i="44"/>
  <c r="FK29" i="44"/>
  <c r="FJ29" i="44"/>
  <c r="FG29" i="44"/>
  <c r="FF29" i="44"/>
  <c r="FE29" i="44"/>
  <c r="FD29" i="44"/>
  <c r="FC29" i="44"/>
  <c r="FB29" i="44"/>
  <c r="FA29" i="44"/>
  <c r="EZ29" i="44"/>
  <c r="EY29" i="44"/>
  <c r="EW29" i="44"/>
  <c r="EV29" i="44"/>
  <c r="EU29" i="44"/>
  <c r="ES29" i="44"/>
  <c r="ER29" i="44"/>
  <c r="EQ29" i="44"/>
  <c r="EP29" i="44"/>
  <c r="EO29" i="44"/>
  <c r="EN29" i="44"/>
  <c r="EM29" i="44"/>
  <c r="EL29" i="44"/>
  <c r="EK29" i="44"/>
  <c r="EJ29" i="44"/>
  <c r="EI29" i="44"/>
  <c r="EH29" i="44"/>
  <c r="EG29" i="44"/>
  <c r="EF29" i="44"/>
  <c r="ED29" i="44"/>
  <c r="EC29" i="44"/>
  <c r="EB29" i="44"/>
  <c r="EA29" i="44"/>
  <c r="DZ29" i="44"/>
  <c r="DY29" i="44"/>
  <c r="DX29" i="44"/>
  <c r="DW29" i="44"/>
  <c r="GM27" i="44"/>
  <c r="GK27" i="44"/>
  <c r="GJ27" i="44"/>
  <c r="GI27" i="44"/>
  <c r="GH27" i="44"/>
  <c r="GG27" i="44"/>
  <c r="GF27" i="44"/>
  <c r="GE27" i="44"/>
  <c r="GD27" i="44"/>
  <c r="GC27" i="44"/>
  <c r="GB27" i="44"/>
  <c r="GA27" i="44"/>
  <c r="FZ27" i="44"/>
  <c r="FY27" i="44"/>
  <c r="FT27" i="44"/>
  <c r="FS27" i="44"/>
  <c r="FR27" i="44"/>
  <c r="FQ27" i="44"/>
  <c r="FP27" i="44"/>
  <c r="FO27" i="44"/>
  <c r="FN27" i="44"/>
  <c r="FM27" i="44"/>
  <c r="FL27" i="44"/>
  <c r="FK27" i="44"/>
  <c r="FJ27" i="44"/>
  <c r="FG27" i="44"/>
  <c r="FF27" i="44"/>
  <c r="FE27" i="44"/>
  <c r="FD27" i="44"/>
  <c r="FC27" i="44"/>
  <c r="FB27" i="44"/>
  <c r="FA27" i="44"/>
  <c r="EZ27" i="44"/>
  <c r="EY27" i="44"/>
  <c r="EW27" i="44"/>
  <c r="EV27" i="44"/>
  <c r="EU27" i="44"/>
  <c r="ES27" i="44"/>
  <c r="ER27" i="44"/>
  <c r="EQ27" i="44"/>
  <c r="EP27" i="44"/>
  <c r="EO27" i="44"/>
  <c r="EN27" i="44"/>
  <c r="EM27" i="44"/>
  <c r="EL27" i="44"/>
  <c r="EK27" i="44"/>
  <c r="EJ27" i="44"/>
  <c r="EI27" i="44"/>
  <c r="EH27" i="44"/>
  <c r="EG27" i="44"/>
  <c r="EF27" i="44"/>
  <c r="ED27" i="44"/>
  <c r="EC27" i="44"/>
  <c r="EB27" i="44"/>
  <c r="EA27" i="44"/>
  <c r="DZ27" i="44"/>
  <c r="DY27" i="44"/>
  <c r="DX27" i="44"/>
  <c r="DW27" i="44"/>
  <c r="GM25" i="44"/>
  <c r="GK25" i="44"/>
  <c r="GJ25" i="44"/>
  <c r="GI25" i="44"/>
  <c r="GH25" i="44"/>
  <c r="GG25" i="44"/>
  <c r="GF25" i="44"/>
  <c r="GE25" i="44"/>
  <c r="GD25" i="44"/>
  <c r="GC25" i="44"/>
  <c r="GB25" i="44"/>
  <c r="GA25" i="44"/>
  <c r="FZ25" i="44"/>
  <c r="FY25" i="44"/>
  <c r="FT25" i="44"/>
  <c r="FS25" i="44"/>
  <c r="FR25" i="44"/>
  <c r="FQ25" i="44"/>
  <c r="FP25" i="44"/>
  <c r="FO25" i="44"/>
  <c r="FN25" i="44"/>
  <c r="FM25" i="44"/>
  <c r="FL25" i="44"/>
  <c r="FK25" i="44"/>
  <c r="FJ25" i="44"/>
  <c r="FG25" i="44"/>
  <c r="FF25" i="44"/>
  <c r="FE25" i="44"/>
  <c r="FD25" i="44"/>
  <c r="FC25" i="44"/>
  <c r="FB25" i="44"/>
  <c r="FA25" i="44"/>
  <c r="EZ25" i="44"/>
  <c r="EY25" i="44"/>
  <c r="EW25" i="44"/>
  <c r="EV25" i="44"/>
  <c r="EU25" i="44"/>
  <c r="ES25" i="44"/>
  <c r="ER25" i="44"/>
  <c r="EQ25" i="44"/>
  <c r="EP25" i="44"/>
  <c r="EO25" i="44"/>
  <c r="EN25" i="44"/>
  <c r="EM25" i="44"/>
  <c r="EL25" i="44"/>
  <c r="EK25" i="44"/>
  <c r="EJ25" i="44"/>
  <c r="EI25" i="44"/>
  <c r="EH25" i="44"/>
  <c r="EG25" i="44"/>
  <c r="EF25" i="44"/>
  <c r="ED25" i="44"/>
  <c r="EC25" i="44"/>
  <c r="EB25" i="44"/>
  <c r="EA25" i="44"/>
  <c r="DZ25" i="44"/>
  <c r="DY25" i="44"/>
  <c r="DX25" i="44"/>
  <c r="DW25" i="44"/>
  <c r="GM23" i="44"/>
  <c r="GK23" i="44"/>
  <c r="GJ23" i="44"/>
  <c r="GI23" i="44"/>
  <c r="GH23" i="44"/>
  <c r="GG23" i="44"/>
  <c r="GF23" i="44"/>
  <c r="GE23" i="44"/>
  <c r="GD23" i="44"/>
  <c r="GC23" i="44"/>
  <c r="GB23" i="44"/>
  <c r="GA23" i="44"/>
  <c r="FZ23" i="44"/>
  <c r="FY23" i="44"/>
  <c r="FT23" i="44"/>
  <c r="FS23" i="44"/>
  <c r="FR23" i="44"/>
  <c r="FQ23" i="44"/>
  <c r="FP23" i="44"/>
  <c r="FO23" i="44"/>
  <c r="FN23" i="44"/>
  <c r="FM23" i="44"/>
  <c r="FL23" i="44"/>
  <c r="FK23" i="44"/>
  <c r="FJ23" i="44"/>
  <c r="FG23" i="44"/>
  <c r="FF23" i="44"/>
  <c r="FE23" i="44"/>
  <c r="FD23" i="44"/>
  <c r="FC23" i="44"/>
  <c r="FB23" i="44"/>
  <c r="FA23" i="44"/>
  <c r="EZ23" i="44"/>
  <c r="EY23" i="44"/>
  <c r="EW23" i="44"/>
  <c r="EV23" i="44"/>
  <c r="EU23" i="44"/>
  <c r="ES23" i="44"/>
  <c r="ER23" i="44"/>
  <c r="EQ23" i="44"/>
  <c r="EP23" i="44"/>
  <c r="EO23" i="44"/>
  <c r="EN23" i="44"/>
  <c r="EM23" i="44"/>
  <c r="EL23" i="44"/>
  <c r="EK23" i="44"/>
  <c r="EJ23" i="44"/>
  <c r="EI23" i="44"/>
  <c r="EH23" i="44"/>
  <c r="EG23" i="44"/>
  <c r="EF23" i="44"/>
  <c r="ED23" i="44"/>
  <c r="EC23" i="44"/>
  <c r="EB23" i="44"/>
  <c r="EA23" i="44"/>
  <c r="DZ23" i="44"/>
  <c r="DY23" i="44"/>
  <c r="DX23" i="44"/>
  <c r="DW23" i="44"/>
  <c r="GM20" i="44"/>
  <c r="GK20" i="44"/>
  <c r="GJ20" i="44"/>
  <c r="GI20" i="44"/>
  <c r="GH20" i="44"/>
  <c r="GG20" i="44"/>
  <c r="GF20" i="44"/>
  <c r="GE20" i="44"/>
  <c r="GD20" i="44"/>
  <c r="GC20" i="44"/>
  <c r="GB20" i="44"/>
  <c r="GA20" i="44"/>
  <c r="FZ20" i="44"/>
  <c r="FY20" i="44"/>
  <c r="FT20" i="44"/>
  <c r="FS20" i="44"/>
  <c r="FR20" i="44"/>
  <c r="FQ20" i="44"/>
  <c r="FP20" i="44"/>
  <c r="FO20" i="44"/>
  <c r="FN20" i="44"/>
  <c r="FM20" i="44"/>
  <c r="FL20" i="44"/>
  <c r="FK20" i="44"/>
  <c r="FJ20" i="44"/>
  <c r="FI20" i="44"/>
  <c r="FH20" i="44"/>
  <c r="FG20" i="44"/>
  <c r="FF20" i="44"/>
  <c r="FE20" i="44"/>
  <c r="FD20" i="44"/>
  <c r="FC20" i="44"/>
  <c r="FB20" i="44"/>
  <c r="FA20" i="44"/>
  <c r="EZ20" i="44"/>
  <c r="EY20" i="44"/>
  <c r="EX20" i="44"/>
  <c r="EW20" i="44"/>
  <c r="EV20" i="44"/>
  <c r="EU20" i="44"/>
  <c r="ES20" i="44"/>
  <c r="ER20" i="44"/>
  <c r="EQ20" i="44"/>
  <c r="EP20" i="44"/>
  <c r="EO20" i="44"/>
  <c r="EN20" i="44"/>
  <c r="EM20" i="44"/>
  <c r="EL20" i="44"/>
  <c r="EK20" i="44"/>
  <c r="EG20" i="44"/>
  <c r="EE20" i="44"/>
  <c r="ED20" i="44"/>
  <c r="EC20" i="44"/>
  <c r="DZ20" i="44"/>
  <c r="DY20" i="44"/>
  <c r="DW20" i="44"/>
  <c r="GM19" i="44"/>
  <c r="GK19" i="44"/>
  <c r="GJ19" i="44"/>
  <c r="GI19" i="44"/>
  <c r="GH19" i="44"/>
  <c r="GG19" i="44"/>
  <c r="GF19" i="44"/>
  <c r="GE19" i="44"/>
  <c r="GD19" i="44"/>
  <c r="GC19" i="44"/>
  <c r="GB19" i="44"/>
  <c r="GA19" i="44"/>
  <c r="FZ19" i="44"/>
  <c r="FY19" i="44"/>
  <c r="FT19" i="44"/>
  <c r="FS19" i="44"/>
  <c r="FR19" i="44"/>
  <c r="FQ19" i="44"/>
  <c r="FP19" i="44"/>
  <c r="FO19" i="44"/>
  <c r="FN19" i="44"/>
  <c r="FM19" i="44"/>
  <c r="FL19" i="44"/>
  <c r="FK19" i="44"/>
  <c r="FJ19" i="44"/>
  <c r="FI19" i="44"/>
  <c r="FH19" i="44"/>
  <c r="FG19" i="44"/>
  <c r="FF19" i="44"/>
  <c r="FE19" i="44"/>
  <c r="FD19" i="44"/>
  <c r="FC19" i="44"/>
  <c r="FB19" i="44"/>
  <c r="FA19" i="44"/>
  <c r="EZ19" i="44"/>
  <c r="EY19" i="44"/>
  <c r="EX19" i="44"/>
  <c r="EW19" i="44"/>
  <c r="EV19" i="44"/>
  <c r="EU19" i="44"/>
  <c r="ES19" i="44"/>
  <c r="ER19" i="44"/>
  <c r="EQ19" i="44"/>
  <c r="EP19" i="44"/>
  <c r="EO19" i="44"/>
  <c r="EN19" i="44"/>
  <c r="EM19" i="44"/>
  <c r="EL19" i="44"/>
  <c r="EK19" i="44"/>
  <c r="EG19" i="44"/>
  <c r="EE19" i="44"/>
  <c r="ED19" i="44"/>
  <c r="EC19" i="44"/>
  <c r="DZ19" i="44"/>
  <c r="DY19" i="44"/>
  <c r="DW19" i="44"/>
  <c r="GM18" i="44"/>
  <c r="GK18" i="44"/>
  <c r="GJ18" i="44"/>
  <c r="GI18" i="44"/>
  <c r="GH18" i="44"/>
  <c r="GG18" i="44"/>
  <c r="GF18" i="44"/>
  <c r="GE18" i="44"/>
  <c r="GD18" i="44"/>
  <c r="GC18" i="44"/>
  <c r="GB18" i="44"/>
  <c r="GA18" i="44"/>
  <c r="FZ18" i="44"/>
  <c r="FY18" i="44"/>
  <c r="FT18" i="44"/>
  <c r="FS18" i="44"/>
  <c r="FR18" i="44"/>
  <c r="FQ18" i="44"/>
  <c r="FP18" i="44"/>
  <c r="FO18" i="44"/>
  <c r="FN18" i="44"/>
  <c r="FM18" i="44"/>
  <c r="FL18" i="44"/>
  <c r="FK18" i="44"/>
  <c r="FJ18" i="44"/>
  <c r="FI18" i="44"/>
  <c r="FH18" i="44"/>
  <c r="FG18" i="44"/>
  <c r="FF18" i="44"/>
  <c r="FE18" i="44"/>
  <c r="FD18" i="44"/>
  <c r="FC18" i="44"/>
  <c r="FB18" i="44"/>
  <c r="FA18" i="44"/>
  <c r="EZ18" i="44"/>
  <c r="EY18" i="44"/>
  <c r="EX18" i="44"/>
  <c r="EW18" i="44"/>
  <c r="EV18" i="44"/>
  <c r="EU18" i="44"/>
  <c r="ES18" i="44"/>
  <c r="ER18" i="44"/>
  <c r="EQ18" i="44"/>
  <c r="EP18" i="44"/>
  <c r="EO18" i="44"/>
  <c r="EN18" i="44"/>
  <c r="EM18" i="44"/>
  <c r="EL18" i="44"/>
  <c r="EK18" i="44"/>
  <c r="EG18" i="44"/>
  <c r="EE18" i="44"/>
  <c r="ED18" i="44"/>
  <c r="EC18" i="44"/>
  <c r="DZ18" i="44"/>
  <c r="DY18" i="44"/>
  <c r="DW18" i="44"/>
  <c r="GM17" i="44"/>
  <c r="GK17" i="44"/>
  <c r="GJ17" i="44"/>
  <c r="GI17" i="44"/>
  <c r="GH17" i="44"/>
  <c r="GG17" i="44"/>
  <c r="GF17" i="44"/>
  <c r="GE17" i="44"/>
  <c r="GD17" i="44"/>
  <c r="GC17" i="44"/>
  <c r="GB17" i="44"/>
  <c r="GA17" i="44"/>
  <c r="FZ17" i="44"/>
  <c r="FY17" i="44"/>
  <c r="FT17" i="44"/>
  <c r="FS17" i="44"/>
  <c r="FR17" i="44"/>
  <c r="FQ17" i="44"/>
  <c r="FP17" i="44"/>
  <c r="FO17" i="44"/>
  <c r="FN17" i="44"/>
  <c r="FM17" i="44"/>
  <c r="FL17" i="44"/>
  <c r="FK17" i="44"/>
  <c r="FJ17" i="44"/>
  <c r="FI17" i="44"/>
  <c r="FH17" i="44"/>
  <c r="FG17" i="44"/>
  <c r="FF17" i="44"/>
  <c r="FE17" i="44"/>
  <c r="FD17" i="44"/>
  <c r="FC17" i="44"/>
  <c r="FB17" i="44"/>
  <c r="FA17" i="44"/>
  <c r="EZ17" i="44"/>
  <c r="EY17" i="44"/>
  <c r="EX17" i="44"/>
  <c r="EW17" i="44"/>
  <c r="EV17" i="44"/>
  <c r="EU17" i="44"/>
  <c r="ES17" i="44"/>
  <c r="ER17" i="44"/>
  <c r="EQ17" i="44"/>
  <c r="EP17" i="44"/>
  <c r="EO17" i="44"/>
  <c r="EN17" i="44"/>
  <c r="EM17" i="44"/>
  <c r="EL17" i="44"/>
  <c r="EK17" i="44"/>
  <c r="EG17" i="44"/>
  <c r="EE17" i="44"/>
  <c r="ED17" i="44"/>
  <c r="EC17" i="44"/>
  <c r="DZ17" i="44"/>
  <c r="DY17" i="44"/>
  <c r="DW17" i="44"/>
  <c r="GM16" i="44"/>
  <c r="GK16" i="44"/>
  <c r="GJ16" i="44"/>
  <c r="GI16" i="44"/>
  <c r="GH16" i="44"/>
  <c r="GG16" i="44"/>
  <c r="GF16" i="44"/>
  <c r="GE16" i="44"/>
  <c r="GD16" i="44"/>
  <c r="GC16" i="44"/>
  <c r="GB16" i="44"/>
  <c r="GA16" i="44"/>
  <c r="FZ16" i="44"/>
  <c r="FY16" i="44"/>
  <c r="FT16" i="44"/>
  <c r="FS16" i="44"/>
  <c r="FR16" i="44"/>
  <c r="FQ16" i="44"/>
  <c r="FP16" i="44"/>
  <c r="FO16" i="44"/>
  <c r="FN16" i="44"/>
  <c r="FM16" i="44"/>
  <c r="FL16" i="44"/>
  <c r="FK16" i="44"/>
  <c r="FJ16" i="44"/>
  <c r="FI16" i="44"/>
  <c r="FH16" i="44"/>
  <c r="FG16" i="44"/>
  <c r="FF16" i="44"/>
  <c r="FE16" i="44"/>
  <c r="FD16" i="44"/>
  <c r="FC16" i="44"/>
  <c r="FB16" i="44"/>
  <c r="FA16" i="44"/>
  <c r="EZ16" i="44"/>
  <c r="EY16" i="44"/>
  <c r="EX16" i="44"/>
  <c r="EW16" i="44"/>
  <c r="EV16" i="44"/>
  <c r="EU16" i="44"/>
  <c r="ES16" i="44"/>
  <c r="ER16" i="44"/>
  <c r="EQ16" i="44"/>
  <c r="EP16" i="44"/>
  <c r="EO16" i="44"/>
  <c r="EN16" i="44"/>
  <c r="EM16" i="44"/>
  <c r="EL16" i="44"/>
  <c r="EK16" i="44"/>
  <c r="EG16" i="44"/>
  <c r="EE16" i="44"/>
  <c r="ED16" i="44"/>
  <c r="EC16" i="44"/>
  <c r="DZ16" i="44"/>
  <c r="DY16" i="44"/>
  <c r="DW16" i="44"/>
  <c r="GM15" i="44"/>
  <c r="GK15" i="44"/>
  <c r="GJ15" i="44"/>
  <c r="GI15" i="44"/>
  <c r="GH15" i="44"/>
  <c r="GG15" i="44"/>
  <c r="GF15" i="44"/>
  <c r="GE15" i="44"/>
  <c r="GD15" i="44"/>
  <c r="GC15" i="44"/>
  <c r="GB15" i="44"/>
  <c r="GA15" i="44"/>
  <c r="FZ15" i="44"/>
  <c r="FY15" i="44"/>
  <c r="FT15" i="44"/>
  <c r="FS15" i="44"/>
  <c r="FR15" i="44"/>
  <c r="FQ15" i="44"/>
  <c r="FP15" i="44"/>
  <c r="FO15" i="44"/>
  <c r="FN15" i="44"/>
  <c r="FM15" i="44"/>
  <c r="FL15" i="44"/>
  <c r="FK15" i="44"/>
  <c r="FJ15" i="44"/>
  <c r="FI15" i="44"/>
  <c r="FH15" i="44"/>
  <c r="FG15" i="44"/>
  <c r="FF15" i="44"/>
  <c r="FE15" i="44"/>
  <c r="FD15" i="44"/>
  <c r="FC15" i="44"/>
  <c r="FB15" i="44"/>
  <c r="FA15" i="44"/>
  <c r="EZ15" i="44"/>
  <c r="EY15" i="44"/>
  <c r="EX15" i="44"/>
  <c r="EW15" i="44"/>
  <c r="EV15" i="44"/>
  <c r="EU15" i="44"/>
  <c r="ES15" i="44"/>
  <c r="ER15" i="44"/>
  <c r="EQ15" i="44"/>
  <c r="EP15" i="44"/>
  <c r="EO15" i="44"/>
  <c r="EN15" i="44"/>
  <c r="EM15" i="44"/>
  <c r="EG15" i="44"/>
  <c r="EE15" i="44"/>
  <c r="ED15" i="44"/>
  <c r="EC15" i="44"/>
  <c r="DZ15" i="44"/>
  <c r="DY15" i="44"/>
  <c r="DW15" i="44"/>
  <c r="GM14" i="44"/>
  <c r="GK14" i="44"/>
  <c r="GJ14" i="44"/>
  <c r="GI14" i="44"/>
  <c r="GH14" i="44"/>
  <c r="GG14" i="44"/>
  <c r="GF14" i="44"/>
  <c r="GE14" i="44"/>
  <c r="GD14" i="44"/>
  <c r="GC14" i="44"/>
  <c r="GB14" i="44"/>
  <c r="GA14" i="44"/>
  <c r="FZ14" i="44"/>
  <c r="FY14" i="44"/>
  <c r="FT14" i="44"/>
  <c r="FS14" i="44"/>
  <c r="FR14" i="44"/>
  <c r="FQ14" i="44"/>
  <c r="FP14" i="44"/>
  <c r="FO14" i="44"/>
  <c r="FN14" i="44"/>
  <c r="FM14" i="44"/>
  <c r="FL14" i="44"/>
  <c r="FK14" i="44"/>
  <c r="FJ14" i="44"/>
  <c r="FI14" i="44"/>
  <c r="FH14" i="44"/>
  <c r="FG14" i="44"/>
  <c r="FF14" i="44"/>
  <c r="FE14" i="44"/>
  <c r="FD14" i="44"/>
  <c r="FC14" i="44"/>
  <c r="FB14" i="44"/>
  <c r="FA14" i="44"/>
  <c r="EZ14" i="44"/>
  <c r="EY14" i="44"/>
  <c r="EX14" i="44"/>
  <c r="EW14" i="44"/>
  <c r="EV14" i="44"/>
  <c r="EU14" i="44"/>
  <c r="ES14" i="44"/>
  <c r="ER14" i="44"/>
  <c r="EQ14" i="44"/>
  <c r="EP14" i="44"/>
  <c r="EO14" i="44"/>
  <c r="EN14" i="44"/>
  <c r="EM14" i="44"/>
  <c r="EL14" i="44"/>
  <c r="EK14" i="44"/>
  <c r="EG14" i="44"/>
  <c r="EE14" i="44"/>
  <c r="ED14" i="44"/>
  <c r="EC14" i="44"/>
  <c r="DZ14" i="44"/>
  <c r="DY14" i="44"/>
  <c r="DW14" i="44"/>
  <c r="GM13" i="44"/>
  <c r="GK13" i="44"/>
  <c r="GJ13" i="44"/>
  <c r="GI13" i="44"/>
  <c r="GH13" i="44"/>
  <c r="GG13" i="44"/>
  <c r="GF13" i="44"/>
  <c r="GE13" i="44"/>
  <c r="GD13" i="44"/>
  <c r="GC13" i="44"/>
  <c r="GB13" i="44"/>
  <c r="GA13" i="44"/>
  <c r="FZ13" i="44"/>
  <c r="FY13" i="44"/>
  <c r="FT13" i="44"/>
  <c r="FS13" i="44"/>
  <c r="FR13" i="44"/>
  <c r="FQ13" i="44"/>
  <c r="FP13" i="44"/>
  <c r="FO13" i="44"/>
  <c r="FN13" i="44"/>
  <c r="FM13" i="44"/>
  <c r="FL13" i="44"/>
  <c r="FK13" i="44"/>
  <c r="FJ13" i="44"/>
  <c r="FI13" i="44"/>
  <c r="FH13" i="44"/>
  <c r="FG13" i="44"/>
  <c r="FF13" i="44"/>
  <c r="FE13" i="44"/>
  <c r="FD13" i="44"/>
  <c r="FC13" i="44"/>
  <c r="FB13" i="44"/>
  <c r="FA13" i="44"/>
  <c r="EZ13" i="44"/>
  <c r="EY13" i="44"/>
  <c r="EX13" i="44"/>
  <c r="EW13" i="44"/>
  <c r="EV13" i="44"/>
  <c r="EU13" i="44"/>
  <c r="ES13" i="44"/>
  <c r="ER13" i="44"/>
  <c r="EQ13" i="44"/>
  <c r="EP13" i="44"/>
  <c r="EO13" i="44"/>
  <c r="EN13" i="44"/>
  <c r="EM13" i="44"/>
  <c r="EL13" i="44"/>
  <c r="EK13" i="44"/>
  <c r="EI13" i="44"/>
  <c r="EG13" i="44"/>
  <c r="EE13" i="44"/>
  <c r="ED13" i="44"/>
  <c r="EC13" i="44"/>
  <c r="DZ13" i="44"/>
  <c r="DY13" i="44"/>
  <c r="DW13" i="44"/>
  <c r="GM12" i="44"/>
  <c r="GK12" i="44"/>
  <c r="GJ12" i="44"/>
  <c r="GI12" i="44"/>
  <c r="GH12" i="44"/>
  <c r="GG12" i="44"/>
  <c r="GF12" i="44"/>
  <c r="GE12" i="44"/>
  <c r="GD12" i="44"/>
  <c r="GC12" i="44"/>
  <c r="GB12" i="44"/>
  <c r="GA12" i="44"/>
  <c r="FZ12" i="44"/>
  <c r="FY12" i="44"/>
  <c r="FT12" i="44"/>
  <c r="FS12" i="44"/>
  <c r="FR12" i="44"/>
  <c r="FQ12" i="44"/>
  <c r="FP12" i="44"/>
  <c r="FO12" i="44"/>
  <c r="FN12" i="44"/>
  <c r="FM12" i="44"/>
  <c r="FL12" i="44"/>
  <c r="FK12" i="44"/>
  <c r="FJ12" i="44"/>
  <c r="FI12" i="44"/>
  <c r="FH12" i="44"/>
  <c r="FG12" i="44"/>
  <c r="FF12" i="44"/>
  <c r="FE12" i="44"/>
  <c r="FD12" i="44"/>
  <c r="FC12" i="44"/>
  <c r="FB12" i="44"/>
  <c r="FA12" i="44"/>
  <c r="EZ12" i="44"/>
  <c r="EY12" i="44"/>
  <c r="EX12" i="44"/>
  <c r="EW12" i="44"/>
  <c r="EV12" i="44"/>
  <c r="EU12" i="44"/>
  <c r="ES12" i="44"/>
  <c r="ER12" i="44"/>
  <c r="EQ12" i="44"/>
  <c r="EP12" i="44"/>
  <c r="EO12" i="44"/>
  <c r="EN12" i="44"/>
  <c r="EM12" i="44"/>
  <c r="EL12" i="44"/>
  <c r="EK12" i="44"/>
  <c r="EG12" i="44"/>
  <c r="EE12" i="44"/>
  <c r="ED12" i="44"/>
  <c r="EC12" i="44"/>
  <c r="DZ12" i="44"/>
  <c r="DY12" i="44"/>
  <c r="DW12" i="44"/>
  <c r="GM11" i="44"/>
  <c r="GK11" i="44"/>
  <c r="GJ11" i="44"/>
  <c r="GI11" i="44"/>
  <c r="GH11" i="44"/>
  <c r="GG11" i="44"/>
  <c r="GF11" i="44"/>
  <c r="GE11" i="44"/>
  <c r="GD11" i="44"/>
  <c r="GC11" i="44"/>
  <c r="GB11" i="44"/>
  <c r="GA11" i="44"/>
  <c r="FZ11" i="44"/>
  <c r="FY11" i="44"/>
  <c r="FT11" i="44"/>
  <c r="FS11" i="44"/>
  <c r="FR11" i="44"/>
  <c r="FQ11" i="44"/>
  <c r="FP11" i="44"/>
  <c r="FO11" i="44"/>
  <c r="FN11" i="44"/>
  <c r="FM11" i="44"/>
  <c r="FL11" i="44"/>
  <c r="FK11" i="44"/>
  <c r="FJ11" i="44"/>
  <c r="FI11" i="44"/>
  <c r="FH11" i="44"/>
  <c r="FG11" i="44"/>
  <c r="FF11" i="44"/>
  <c r="FE11" i="44"/>
  <c r="FD11" i="44"/>
  <c r="FC11" i="44"/>
  <c r="FB11" i="44"/>
  <c r="FA11" i="44"/>
  <c r="EZ11" i="44"/>
  <c r="EY11" i="44"/>
  <c r="EX11" i="44"/>
  <c r="EW11" i="44"/>
  <c r="EV11" i="44"/>
  <c r="EU11" i="44"/>
  <c r="ES11" i="44"/>
  <c r="ER11" i="44"/>
  <c r="EQ11" i="44"/>
  <c r="EP11" i="44"/>
  <c r="EO11" i="44"/>
  <c r="EN11" i="44"/>
  <c r="EM11" i="44"/>
  <c r="EG11" i="44"/>
  <c r="EE11" i="44"/>
  <c r="ED11" i="44"/>
  <c r="EC11" i="44"/>
  <c r="DZ11" i="44"/>
  <c r="DY11" i="44"/>
  <c r="DW11" i="44"/>
  <c r="GM10" i="44"/>
  <c r="GK10" i="44"/>
  <c r="GJ10" i="44"/>
  <c r="GI10" i="44"/>
  <c r="GH10" i="44"/>
  <c r="GG10" i="44"/>
  <c r="GF10" i="44"/>
  <c r="GE10" i="44"/>
  <c r="GD10" i="44"/>
  <c r="GC10" i="44"/>
  <c r="GB10" i="44"/>
  <c r="GA10" i="44"/>
  <c r="FZ10" i="44"/>
  <c r="FY10" i="44"/>
  <c r="FT10" i="44"/>
  <c r="FS10" i="44"/>
  <c r="FR10" i="44"/>
  <c r="FQ10" i="44"/>
  <c r="FP10" i="44"/>
  <c r="FO10" i="44"/>
  <c r="FN10" i="44"/>
  <c r="FM10" i="44"/>
  <c r="FL10" i="44"/>
  <c r="FK10" i="44"/>
  <c r="FJ10" i="44"/>
  <c r="FI10" i="44"/>
  <c r="FH10" i="44"/>
  <c r="FG10" i="44"/>
  <c r="FF10" i="44"/>
  <c r="FE10" i="44"/>
  <c r="FD10" i="44"/>
  <c r="FC10" i="44"/>
  <c r="FB10" i="44"/>
  <c r="FA10" i="44"/>
  <c r="EZ10" i="44"/>
  <c r="EY10" i="44"/>
  <c r="EX10" i="44"/>
  <c r="EW10" i="44"/>
  <c r="EV10" i="44"/>
  <c r="EU10" i="44"/>
  <c r="ES10" i="44"/>
  <c r="ER10" i="44"/>
  <c r="EQ10" i="44"/>
  <c r="EP10" i="44"/>
  <c r="EO10" i="44"/>
  <c r="EN10" i="44"/>
  <c r="EG10" i="44"/>
  <c r="EE10" i="44"/>
  <c r="ED10" i="44"/>
  <c r="EC10" i="44"/>
  <c r="DZ10" i="44"/>
  <c r="DY10" i="44"/>
  <c r="DW10" i="44"/>
  <c r="GM9" i="44"/>
  <c r="GK9" i="44"/>
  <c r="GJ9" i="44"/>
  <c r="GI9" i="44"/>
  <c r="GH9" i="44"/>
  <c r="GG9" i="44"/>
  <c r="GF9" i="44"/>
  <c r="GE9" i="44"/>
  <c r="GD9" i="44"/>
  <c r="GC9" i="44"/>
  <c r="GB9" i="44"/>
  <c r="GA9" i="44"/>
  <c r="FZ9" i="44"/>
  <c r="FY9" i="44"/>
  <c r="FT9" i="44"/>
  <c r="FS9" i="44"/>
  <c r="FR9" i="44"/>
  <c r="FQ9" i="44"/>
  <c r="FP9" i="44"/>
  <c r="FO9" i="44"/>
  <c r="FN9" i="44"/>
  <c r="FM9" i="44"/>
  <c r="FL9" i="44"/>
  <c r="FK9" i="44"/>
  <c r="FJ9" i="44"/>
  <c r="FI9" i="44"/>
  <c r="FH9" i="44"/>
  <c r="FG9" i="44"/>
  <c r="FF9" i="44"/>
  <c r="FE9" i="44"/>
  <c r="FD9" i="44"/>
  <c r="FC9" i="44"/>
  <c r="FB9" i="44"/>
  <c r="FA9" i="44"/>
  <c r="EZ9" i="44"/>
  <c r="EY9" i="44"/>
  <c r="EX9" i="44"/>
  <c r="EW9" i="44"/>
  <c r="EV9" i="44"/>
  <c r="EU9" i="44"/>
  <c r="ES9" i="44"/>
  <c r="ER9" i="44"/>
  <c r="EQ9" i="44"/>
  <c r="EP9" i="44"/>
  <c r="EO9" i="44"/>
  <c r="EN9" i="44"/>
  <c r="EG9" i="44"/>
  <c r="EE9" i="44"/>
  <c r="ED9" i="44"/>
  <c r="EC9" i="44"/>
  <c r="DZ9" i="44"/>
  <c r="DY9" i="44"/>
  <c r="DW9" i="44"/>
  <c r="GM8" i="44"/>
  <c r="GK8" i="44"/>
  <c r="GJ8" i="44"/>
  <c r="GI8" i="44"/>
  <c r="GH8" i="44"/>
  <c r="GG8" i="44"/>
  <c r="GF8" i="44"/>
  <c r="GE8" i="44"/>
  <c r="GD8" i="44"/>
  <c r="GC8" i="44"/>
  <c r="GB8" i="44"/>
  <c r="GA8" i="44"/>
  <c r="FZ8" i="44"/>
  <c r="FY8" i="44"/>
  <c r="FT8" i="44"/>
  <c r="FS8" i="44"/>
  <c r="FR8" i="44"/>
  <c r="FQ8" i="44"/>
  <c r="FP8" i="44"/>
  <c r="FO8" i="44"/>
  <c r="FN8" i="44"/>
  <c r="FM8" i="44"/>
  <c r="FL8" i="44"/>
  <c r="FK8" i="44"/>
  <c r="FJ8" i="44"/>
  <c r="FI8" i="44"/>
  <c r="FH8" i="44"/>
  <c r="FG8" i="44"/>
  <c r="FF8" i="44"/>
  <c r="FE8" i="44"/>
  <c r="FD8" i="44"/>
  <c r="FC8" i="44"/>
  <c r="FB8" i="44"/>
  <c r="FA8" i="44"/>
  <c r="EZ8" i="44"/>
  <c r="EY8" i="44"/>
  <c r="EX8" i="44"/>
  <c r="EW8" i="44"/>
  <c r="EV8" i="44"/>
  <c r="EU8" i="44"/>
  <c r="ES8" i="44"/>
  <c r="ER8" i="44"/>
  <c r="EQ8" i="44"/>
  <c r="EP8" i="44"/>
  <c r="EO8" i="44"/>
  <c r="EN8" i="44"/>
  <c r="EM8" i="44"/>
  <c r="EL8" i="44"/>
  <c r="EK8" i="44"/>
  <c r="EG8" i="44"/>
  <c r="EE8" i="44"/>
  <c r="ED8" i="44"/>
  <c r="EC8" i="44"/>
  <c r="DZ8" i="44"/>
  <c r="DY8" i="44"/>
  <c r="DW8" i="44"/>
  <c r="GM7" i="44"/>
  <c r="GK7" i="44"/>
  <c r="GJ7" i="44"/>
  <c r="GI7" i="44"/>
  <c r="GH7" i="44"/>
  <c r="GG7" i="44"/>
  <c r="GF7" i="44"/>
  <c r="GE7" i="44"/>
  <c r="GD7" i="44"/>
  <c r="GC7" i="44"/>
  <c r="GB7" i="44"/>
  <c r="GA7" i="44"/>
  <c r="FZ7" i="44"/>
  <c r="FY7" i="44"/>
  <c r="FT7" i="44"/>
  <c r="FS7" i="44"/>
  <c r="FR7" i="44"/>
  <c r="FQ7" i="44"/>
  <c r="FP7" i="44"/>
  <c r="FO7" i="44"/>
  <c r="FN7" i="44"/>
  <c r="FM7" i="44"/>
  <c r="FL7" i="44"/>
  <c r="FK7" i="44"/>
  <c r="FJ7" i="44"/>
  <c r="FI7" i="44"/>
  <c r="FH7" i="44"/>
  <c r="FG7" i="44"/>
  <c r="FF7" i="44"/>
  <c r="FE7" i="44"/>
  <c r="FD7" i="44"/>
  <c r="FC7" i="44"/>
  <c r="FB7" i="44"/>
  <c r="FA7" i="44"/>
  <c r="EZ7" i="44"/>
  <c r="EY7" i="44"/>
  <c r="EX7" i="44"/>
  <c r="EW7" i="44"/>
  <c r="EV7" i="44"/>
  <c r="EU7" i="44"/>
  <c r="ES7" i="44"/>
  <c r="ER7" i="44"/>
  <c r="EQ7" i="44"/>
  <c r="EP7" i="44"/>
  <c r="EO7" i="44"/>
  <c r="EN7" i="44"/>
  <c r="EM7" i="44"/>
  <c r="EL7" i="44"/>
  <c r="EK7" i="44"/>
  <c r="EG7" i="44"/>
  <c r="EE7" i="44"/>
  <c r="ED7" i="44"/>
  <c r="EC7" i="44"/>
  <c r="DZ7" i="44"/>
  <c r="DY7" i="44"/>
  <c r="GM82" i="31"/>
  <c r="GK82" i="31"/>
  <c r="GJ82" i="31"/>
  <c r="GI82" i="31"/>
  <c r="GH82" i="31"/>
  <c r="GG82" i="31"/>
  <c r="GF82" i="31"/>
  <c r="GE82" i="31"/>
  <c r="GD82" i="31"/>
  <c r="GC82" i="31"/>
  <c r="GB82" i="31"/>
  <c r="GA82" i="31"/>
  <c r="FZ82" i="31"/>
  <c r="FY82" i="31"/>
  <c r="FT82" i="31"/>
  <c r="FS82" i="31"/>
  <c r="FR82" i="31"/>
  <c r="FQ82" i="31"/>
  <c r="FP82" i="31"/>
  <c r="FO82" i="31"/>
  <c r="FN82" i="31"/>
  <c r="FM82" i="31"/>
  <c r="FL82" i="31"/>
  <c r="FK82" i="31"/>
  <c r="FJ82" i="31"/>
  <c r="FI82" i="31"/>
  <c r="FH82" i="31"/>
  <c r="FG82" i="31"/>
  <c r="FF82" i="31"/>
  <c r="FE82" i="31"/>
  <c r="FD82" i="31"/>
  <c r="FC82" i="31"/>
  <c r="FB82" i="31"/>
  <c r="FA82" i="31"/>
  <c r="EZ82" i="31"/>
  <c r="EY82" i="31"/>
  <c r="EX82" i="31"/>
  <c r="EW82" i="31"/>
  <c r="EV82" i="31"/>
  <c r="ES82" i="31"/>
  <c r="ER82" i="31"/>
  <c r="EQ82" i="31"/>
  <c r="EP82" i="31"/>
  <c r="EO82" i="31"/>
  <c r="EN82" i="31"/>
  <c r="EM82" i="31"/>
  <c r="EL82" i="31"/>
  <c r="EK82" i="31"/>
  <c r="EJ82" i="31"/>
  <c r="EI82" i="31"/>
  <c r="EH82" i="31"/>
  <c r="EG82" i="31"/>
  <c r="EF82" i="31"/>
  <c r="EE82" i="31"/>
  <c r="ED82" i="31"/>
  <c r="EC82" i="31"/>
  <c r="EB82" i="31"/>
  <c r="EA82" i="31"/>
  <c r="DZ82" i="31"/>
  <c r="DY82" i="31"/>
  <c r="DX82" i="31"/>
  <c r="DW82" i="31"/>
  <c r="GM81" i="31"/>
  <c r="GK81" i="31"/>
  <c r="GJ81" i="31"/>
  <c r="GI81" i="31"/>
  <c r="GH81" i="31"/>
  <c r="GG81" i="31"/>
  <c r="GF81" i="31"/>
  <c r="GE81" i="31"/>
  <c r="GD81" i="31"/>
  <c r="GC81" i="31"/>
  <c r="GB81" i="31"/>
  <c r="GA81" i="31"/>
  <c r="FZ81" i="31"/>
  <c r="FY81" i="31"/>
  <c r="FT81" i="31"/>
  <c r="FS81" i="31"/>
  <c r="FR81" i="31"/>
  <c r="FQ81" i="31"/>
  <c r="FP81" i="31"/>
  <c r="FO81" i="31"/>
  <c r="FN81" i="31"/>
  <c r="FM81" i="31"/>
  <c r="FL81" i="31"/>
  <c r="FK81" i="31"/>
  <c r="FJ81" i="31"/>
  <c r="FI81" i="31"/>
  <c r="FH81" i="31"/>
  <c r="FG81" i="31"/>
  <c r="FF81" i="31"/>
  <c r="FE81" i="31"/>
  <c r="FD81" i="31"/>
  <c r="FC81" i="31"/>
  <c r="FB81" i="31"/>
  <c r="FA81" i="31"/>
  <c r="EZ81" i="31"/>
  <c r="EY81" i="31"/>
  <c r="EX81" i="31"/>
  <c r="EW81" i="31"/>
  <c r="EV81" i="31"/>
  <c r="ES81" i="31"/>
  <c r="ER81" i="31"/>
  <c r="EQ81" i="31"/>
  <c r="EP81" i="31"/>
  <c r="EO81" i="31"/>
  <c r="EN81" i="31"/>
  <c r="EM81" i="31"/>
  <c r="EL81" i="31"/>
  <c r="EK81" i="31"/>
  <c r="EJ81" i="31"/>
  <c r="EI81" i="31"/>
  <c r="EH81" i="31"/>
  <c r="EG81" i="31"/>
  <c r="EF81" i="31"/>
  <c r="EE81" i="31"/>
  <c r="ED81" i="31"/>
  <c r="EC81" i="31"/>
  <c r="EB81" i="31"/>
  <c r="EA81" i="31"/>
  <c r="DZ81" i="31"/>
  <c r="DY81" i="31"/>
  <c r="DX81" i="31"/>
  <c r="DW81" i="31"/>
  <c r="GM80" i="31"/>
  <c r="GK80" i="31"/>
  <c r="GJ80" i="31"/>
  <c r="GI80" i="31"/>
  <c r="GH80" i="31"/>
  <c r="GG80" i="31"/>
  <c r="GF80" i="31"/>
  <c r="GE80" i="31"/>
  <c r="GD80" i="31"/>
  <c r="GC80" i="31"/>
  <c r="GB80" i="31"/>
  <c r="GA80" i="31"/>
  <c r="FZ80" i="31"/>
  <c r="FY80" i="31"/>
  <c r="FT80" i="31"/>
  <c r="FS80" i="31"/>
  <c r="FR80" i="31"/>
  <c r="FQ80" i="31"/>
  <c r="FP80" i="31"/>
  <c r="FO80" i="31"/>
  <c r="FN80" i="31"/>
  <c r="FM80" i="31"/>
  <c r="FL80" i="31"/>
  <c r="FK80" i="31"/>
  <c r="FJ80" i="31"/>
  <c r="FI80" i="31"/>
  <c r="FH80" i="31"/>
  <c r="FG80" i="31"/>
  <c r="FF80" i="31"/>
  <c r="FE80" i="31"/>
  <c r="FD80" i="31"/>
  <c r="FC80" i="31"/>
  <c r="FB80" i="31"/>
  <c r="FA80" i="31"/>
  <c r="EZ80" i="31"/>
  <c r="EY80" i="31"/>
  <c r="EX80" i="31"/>
  <c r="EW80" i="31"/>
  <c r="EV80" i="31"/>
  <c r="ES80" i="31"/>
  <c r="ER80" i="31"/>
  <c r="EP80" i="31"/>
  <c r="EO80" i="31"/>
  <c r="EN80" i="31"/>
  <c r="EM80" i="31"/>
  <c r="EL80" i="31"/>
  <c r="EK80" i="31"/>
  <c r="EJ80" i="31"/>
  <c r="EI80" i="31"/>
  <c r="EH80" i="31"/>
  <c r="EG80" i="31"/>
  <c r="EF80" i="31"/>
  <c r="EE80" i="31"/>
  <c r="ED80" i="31"/>
  <c r="EC80" i="31"/>
  <c r="EB80" i="31"/>
  <c r="EA80" i="31"/>
  <c r="DZ80" i="31"/>
  <c r="DY80" i="31"/>
  <c r="DX80" i="31"/>
  <c r="DW80" i="31"/>
  <c r="GM79" i="31"/>
  <c r="GK79" i="31"/>
  <c r="GJ79" i="31"/>
  <c r="GI79" i="31"/>
  <c r="GH79" i="31"/>
  <c r="GG79" i="31"/>
  <c r="GF79" i="31"/>
  <c r="GE79" i="31"/>
  <c r="GD79" i="31"/>
  <c r="GC79" i="31"/>
  <c r="GB79" i="31"/>
  <c r="GA79" i="31"/>
  <c r="FZ79" i="31"/>
  <c r="FY79" i="31"/>
  <c r="FT79" i="31"/>
  <c r="FS79" i="31"/>
  <c r="FR79" i="31"/>
  <c r="FQ79" i="31"/>
  <c r="FP79" i="31"/>
  <c r="FO79" i="31"/>
  <c r="FN79" i="31"/>
  <c r="FM79" i="31"/>
  <c r="FL79" i="31"/>
  <c r="FK79" i="31"/>
  <c r="FJ79" i="31"/>
  <c r="FI79" i="31"/>
  <c r="FH79" i="31"/>
  <c r="FG79" i="31"/>
  <c r="FF79" i="31"/>
  <c r="FE79" i="31"/>
  <c r="FD79" i="31"/>
  <c r="FC79" i="31"/>
  <c r="FB79" i="31"/>
  <c r="FA79" i="31"/>
  <c r="EZ79" i="31"/>
  <c r="EY79" i="31"/>
  <c r="EX79" i="31"/>
  <c r="EW79" i="31"/>
  <c r="EV79" i="31"/>
  <c r="ES79" i="31"/>
  <c r="ER79" i="31"/>
  <c r="EP79" i="31"/>
  <c r="EO79" i="31"/>
  <c r="EN79" i="31"/>
  <c r="EM79" i="31"/>
  <c r="EL79" i="31"/>
  <c r="EK79" i="31"/>
  <c r="EJ79" i="31"/>
  <c r="EI79" i="31"/>
  <c r="EH79" i="31"/>
  <c r="EG79" i="31"/>
  <c r="EF79" i="31"/>
  <c r="EE79" i="31"/>
  <c r="ED79" i="31"/>
  <c r="EC79" i="31"/>
  <c r="EB79" i="31"/>
  <c r="EA79" i="31"/>
  <c r="DZ79" i="31"/>
  <c r="DY79" i="31"/>
  <c r="DX79" i="31"/>
  <c r="DW79" i="31"/>
  <c r="GM76" i="31"/>
  <c r="GK76" i="31"/>
  <c r="GJ76" i="31"/>
  <c r="GI76" i="31"/>
  <c r="GH76" i="31"/>
  <c r="GG76" i="31"/>
  <c r="GF76" i="31"/>
  <c r="GE76" i="31"/>
  <c r="GD76" i="31"/>
  <c r="GC76" i="31"/>
  <c r="GB76" i="31"/>
  <c r="GA76" i="31"/>
  <c r="FZ76" i="31"/>
  <c r="FY76" i="31"/>
  <c r="FT76" i="31"/>
  <c r="FS76" i="31"/>
  <c r="FR76" i="31"/>
  <c r="FQ76" i="31"/>
  <c r="FP76" i="31"/>
  <c r="FO76" i="31"/>
  <c r="FN76" i="31"/>
  <c r="FM76" i="31"/>
  <c r="FL76" i="31"/>
  <c r="FK76" i="31"/>
  <c r="FJ76" i="31"/>
  <c r="FI76" i="31"/>
  <c r="FH76" i="31"/>
  <c r="FG76" i="31"/>
  <c r="FF76" i="31"/>
  <c r="FE76" i="31"/>
  <c r="FD76" i="31"/>
  <c r="FC76" i="31"/>
  <c r="FB76" i="31"/>
  <c r="FA76" i="31"/>
  <c r="EZ76" i="31"/>
  <c r="EY76" i="31"/>
  <c r="EX76" i="31"/>
  <c r="EV76" i="31"/>
  <c r="ES76" i="31"/>
  <c r="EP76" i="31"/>
  <c r="EO76" i="31"/>
  <c r="EN76" i="31"/>
  <c r="EM76" i="31"/>
  <c r="EL76" i="31"/>
  <c r="EK76" i="31"/>
  <c r="EJ76" i="31"/>
  <c r="EI76" i="31"/>
  <c r="EH76" i="31"/>
  <c r="EG76" i="31"/>
  <c r="EF76" i="31"/>
  <c r="EE76" i="31"/>
  <c r="ED76" i="31"/>
  <c r="EC76" i="31"/>
  <c r="EB76" i="31"/>
  <c r="EA76" i="31"/>
  <c r="DZ76" i="31"/>
  <c r="DY76" i="31"/>
  <c r="DX76" i="31"/>
  <c r="DW76" i="31"/>
  <c r="GM74" i="31"/>
  <c r="GK74" i="31"/>
  <c r="GJ74" i="31"/>
  <c r="GI74" i="31"/>
  <c r="GH74" i="31"/>
  <c r="GG74" i="31"/>
  <c r="GF74" i="31"/>
  <c r="GE74" i="31"/>
  <c r="GD74" i="31"/>
  <c r="GC74" i="31"/>
  <c r="GB74" i="31"/>
  <c r="GA74" i="31"/>
  <c r="FZ74" i="31"/>
  <c r="FY74" i="31"/>
  <c r="FT74" i="31"/>
  <c r="FS74" i="31"/>
  <c r="FR74" i="31"/>
  <c r="FQ74" i="31"/>
  <c r="FP74" i="31"/>
  <c r="FO74" i="31"/>
  <c r="FN74" i="31"/>
  <c r="FM74" i="31"/>
  <c r="FL74" i="31"/>
  <c r="FK74" i="31"/>
  <c r="FJ74" i="31"/>
  <c r="FI74" i="31"/>
  <c r="FH74" i="31"/>
  <c r="FG74" i="31"/>
  <c r="FF74" i="31"/>
  <c r="FE74" i="31"/>
  <c r="FD74" i="31"/>
  <c r="FC74" i="31"/>
  <c r="FB74" i="31"/>
  <c r="FA74" i="31"/>
  <c r="EZ74" i="31"/>
  <c r="EY74" i="31"/>
  <c r="EX74" i="31"/>
  <c r="EV74" i="31"/>
  <c r="ES74" i="31"/>
  <c r="EP74" i="31"/>
  <c r="EO74" i="31"/>
  <c r="EN74" i="31"/>
  <c r="EM74" i="31"/>
  <c r="EL74" i="31"/>
  <c r="EK74" i="31"/>
  <c r="EJ74" i="31"/>
  <c r="EI74" i="31"/>
  <c r="EH74" i="31"/>
  <c r="EG74" i="31"/>
  <c r="EF74" i="31"/>
  <c r="EE74" i="31"/>
  <c r="ED74" i="31"/>
  <c r="EC74" i="31"/>
  <c r="EB74" i="31"/>
  <c r="EA74" i="31"/>
  <c r="DZ74" i="31"/>
  <c r="DY74" i="31"/>
  <c r="DX74" i="31"/>
  <c r="DW74" i="31"/>
  <c r="GM72" i="31"/>
  <c r="GK72" i="31"/>
  <c r="GJ72" i="31"/>
  <c r="GI72" i="31"/>
  <c r="GH72" i="31"/>
  <c r="GG72" i="31"/>
  <c r="GF72" i="31"/>
  <c r="GE72" i="31"/>
  <c r="GD72" i="31"/>
  <c r="GC72" i="31"/>
  <c r="GB72" i="31"/>
  <c r="GA72" i="31"/>
  <c r="FZ72" i="31"/>
  <c r="FY72" i="31"/>
  <c r="FT72" i="31"/>
  <c r="FS72" i="31"/>
  <c r="FR72" i="31"/>
  <c r="FQ72" i="31"/>
  <c r="FP72" i="31"/>
  <c r="FO72" i="31"/>
  <c r="FN72" i="31"/>
  <c r="FM72" i="31"/>
  <c r="FL72" i="31"/>
  <c r="FK72" i="31"/>
  <c r="FJ72" i="31"/>
  <c r="FI72" i="31"/>
  <c r="FH72" i="31"/>
  <c r="FG72" i="31"/>
  <c r="FF72" i="31"/>
  <c r="FE72" i="31"/>
  <c r="FD72" i="31"/>
  <c r="FC72" i="31"/>
  <c r="FB72" i="31"/>
  <c r="FA72" i="31"/>
  <c r="EZ72" i="31"/>
  <c r="EY72" i="31"/>
  <c r="EX72" i="31"/>
  <c r="EV72" i="31"/>
  <c r="ES72" i="31"/>
  <c r="EP72" i="31"/>
  <c r="EO72" i="31"/>
  <c r="EN72" i="31"/>
  <c r="EM72" i="31"/>
  <c r="EL72" i="31"/>
  <c r="EK72" i="31"/>
  <c r="EJ72" i="31"/>
  <c r="EI72" i="31"/>
  <c r="EH72" i="31"/>
  <c r="EG72" i="31"/>
  <c r="EF72" i="31"/>
  <c r="EE72" i="31"/>
  <c r="ED72" i="31"/>
  <c r="EC72" i="31"/>
  <c r="EB72" i="31"/>
  <c r="EA72" i="31"/>
  <c r="DZ72" i="31"/>
  <c r="DY72" i="31"/>
  <c r="DX72" i="31"/>
  <c r="DW72" i="31"/>
  <c r="GM71" i="31"/>
  <c r="GK71" i="31"/>
  <c r="GJ71" i="31"/>
  <c r="GI71" i="31"/>
  <c r="GH71" i="31"/>
  <c r="GG71" i="31"/>
  <c r="GF71" i="31"/>
  <c r="GE71" i="31"/>
  <c r="GD71" i="31"/>
  <c r="GC71" i="31"/>
  <c r="GB71" i="31"/>
  <c r="GA71" i="31"/>
  <c r="FZ71" i="31"/>
  <c r="FY71" i="31"/>
  <c r="FT71" i="31"/>
  <c r="FS71" i="31"/>
  <c r="FR71" i="31"/>
  <c r="FQ71" i="31"/>
  <c r="FP71" i="31"/>
  <c r="FO71" i="31"/>
  <c r="FN71" i="31"/>
  <c r="FM71" i="31"/>
  <c r="FL71" i="31"/>
  <c r="FK71" i="31"/>
  <c r="FJ71" i="31"/>
  <c r="FI71" i="31"/>
  <c r="FH71" i="31"/>
  <c r="FG71" i="31"/>
  <c r="FF71" i="31"/>
  <c r="FE71" i="31"/>
  <c r="FD71" i="31"/>
  <c r="FC71" i="31"/>
  <c r="FB71" i="31"/>
  <c r="FA71" i="31"/>
  <c r="EZ71" i="31"/>
  <c r="EY71" i="31"/>
  <c r="EX71" i="31"/>
  <c r="EW71" i="31"/>
  <c r="EV71" i="31"/>
  <c r="ES71" i="31"/>
  <c r="ER71" i="31"/>
  <c r="EQ71" i="31"/>
  <c r="EP71" i="31"/>
  <c r="EO71" i="31"/>
  <c r="EN71" i="31"/>
  <c r="EM71" i="31"/>
  <c r="EL71" i="31"/>
  <c r="EK71" i="31"/>
  <c r="EJ71" i="31"/>
  <c r="EI71" i="31"/>
  <c r="EH71" i="31"/>
  <c r="EG71" i="31"/>
  <c r="EF71" i="31"/>
  <c r="EE71" i="31"/>
  <c r="ED71" i="31"/>
  <c r="EC71" i="31"/>
  <c r="EB71" i="31"/>
  <c r="EA71" i="31"/>
  <c r="DZ71" i="31"/>
  <c r="DY71" i="31"/>
  <c r="DX71" i="31"/>
  <c r="DW71" i="31"/>
  <c r="GM69" i="31"/>
  <c r="GK69" i="31"/>
  <c r="GJ69" i="31"/>
  <c r="GI69" i="31"/>
  <c r="GH69" i="31"/>
  <c r="GG69" i="31"/>
  <c r="GF69" i="31"/>
  <c r="GE69" i="31"/>
  <c r="GD69" i="31"/>
  <c r="GC69" i="31"/>
  <c r="GB69" i="31"/>
  <c r="GA69" i="31"/>
  <c r="FZ69" i="31"/>
  <c r="FY69" i="31"/>
  <c r="FT69" i="31"/>
  <c r="FS69" i="31"/>
  <c r="FR69" i="31"/>
  <c r="FQ69" i="31"/>
  <c r="FP69" i="31"/>
  <c r="FO69" i="31"/>
  <c r="FN69" i="31"/>
  <c r="FM69" i="31"/>
  <c r="FL69" i="31"/>
  <c r="FK69" i="31"/>
  <c r="FJ69" i="31"/>
  <c r="FI69" i="31"/>
  <c r="FH69" i="31"/>
  <c r="FG69" i="31"/>
  <c r="FF69" i="31"/>
  <c r="FE69" i="31"/>
  <c r="FD69" i="31"/>
  <c r="FC69" i="31"/>
  <c r="FB69" i="31"/>
  <c r="FA69" i="31"/>
  <c r="EZ69" i="31"/>
  <c r="EY69" i="31"/>
  <c r="EX69" i="31"/>
  <c r="EW69" i="31"/>
  <c r="EV69" i="31"/>
  <c r="ES69" i="31"/>
  <c r="ER69" i="31"/>
  <c r="EQ69" i="31"/>
  <c r="EO69" i="31"/>
  <c r="EN69" i="31"/>
  <c r="EM69" i="31"/>
  <c r="EL69" i="31"/>
  <c r="EK69" i="31"/>
  <c r="EJ69" i="31"/>
  <c r="EI69" i="31"/>
  <c r="EH69" i="31"/>
  <c r="EG69" i="31"/>
  <c r="EF69" i="31"/>
  <c r="EE69" i="31"/>
  <c r="ED69" i="31"/>
  <c r="EC69" i="31"/>
  <c r="EB69" i="31"/>
  <c r="EA69" i="31"/>
  <c r="DZ69" i="31"/>
  <c r="DY69" i="31"/>
  <c r="DX69" i="31"/>
  <c r="DW69" i="31"/>
  <c r="GM67" i="31"/>
  <c r="GK67" i="31"/>
  <c r="GJ67" i="31"/>
  <c r="GI67" i="31"/>
  <c r="GH67" i="31"/>
  <c r="GG67" i="31"/>
  <c r="GF67" i="31"/>
  <c r="GE67" i="31"/>
  <c r="GD67" i="31"/>
  <c r="GC67" i="31"/>
  <c r="GB67" i="31"/>
  <c r="GA67" i="31"/>
  <c r="FZ67" i="31"/>
  <c r="FY67" i="31"/>
  <c r="FT67" i="31"/>
  <c r="FS67" i="31"/>
  <c r="FR67" i="31"/>
  <c r="FQ67" i="31"/>
  <c r="FP67" i="31"/>
  <c r="FO67" i="31"/>
  <c r="FN67" i="31"/>
  <c r="FM67" i="31"/>
  <c r="FL67" i="31"/>
  <c r="FK67" i="31"/>
  <c r="FJ67" i="31"/>
  <c r="FI67" i="31"/>
  <c r="FH67" i="31"/>
  <c r="FG67" i="31"/>
  <c r="FF67" i="31"/>
  <c r="FE67" i="31"/>
  <c r="FD67" i="31"/>
  <c r="FC67" i="31"/>
  <c r="FB67" i="31"/>
  <c r="FA67" i="31"/>
  <c r="EZ67" i="31"/>
  <c r="EY67" i="31"/>
  <c r="EX67" i="31"/>
  <c r="EW67" i="31"/>
  <c r="EV67" i="31"/>
  <c r="ES67" i="31"/>
  <c r="ER67" i="31"/>
  <c r="EQ67" i="31"/>
  <c r="EO67" i="31"/>
  <c r="EN67" i="31"/>
  <c r="EM67" i="31"/>
  <c r="EL67" i="31"/>
  <c r="EK67" i="31"/>
  <c r="EJ67" i="31"/>
  <c r="EI67" i="31"/>
  <c r="EH67" i="31"/>
  <c r="EG67" i="31"/>
  <c r="EF67" i="31"/>
  <c r="EE67" i="31"/>
  <c r="ED67" i="31"/>
  <c r="EC67" i="31"/>
  <c r="EB67" i="31"/>
  <c r="EA67" i="31"/>
  <c r="DZ67" i="31"/>
  <c r="DY67" i="31"/>
  <c r="DX67" i="31"/>
  <c r="DW67" i="31"/>
  <c r="GM65" i="31"/>
  <c r="GK65" i="31"/>
  <c r="GJ65" i="31"/>
  <c r="GI65" i="31"/>
  <c r="GH65" i="31"/>
  <c r="GG65" i="31"/>
  <c r="GF65" i="31"/>
  <c r="GE65" i="31"/>
  <c r="GD65" i="31"/>
  <c r="GC65" i="31"/>
  <c r="GB65" i="31"/>
  <c r="GA65" i="31"/>
  <c r="FZ65" i="31"/>
  <c r="FY65" i="31"/>
  <c r="FT65" i="31"/>
  <c r="FS65" i="31"/>
  <c r="FR65" i="31"/>
  <c r="FQ65" i="31"/>
  <c r="FP65" i="31"/>
  <c r="FO65" i="31"/>
  <c r="FN65" i="31"/>
  <c r="FM65" i="31"/>
  <c r="FL65" i="31"/>
  <c r="FK65" i="31"/>
  <c r="FJ65" i="31"/>
  <c r="FI65" i="31"/>
  <c r="FH65" i="31"/>
  <c r="FG65" i="31"/>
  <c r="FF65" i="31"/>
  <c r="FE65" i="31"/>
  <c r="FD65" i="31"/>
  <c r="FC65" i="31"/>
  <c r="FB65" i="31"/>
  <c r="FA65" i="31"/>
  <c r="EZ65" i="31"/>
  <c r="EY65" i="31"/>
  <c r="EX65" i="31"/>
  <c r="EW65" i="31"/>
  <c r="EV65" i="31"/>
  <c r="ES65" i="31"/>
  <c r="ER65" i="31"/>
  <c r="EQ65" i="31"/>
  <c r="EO65" i="31"/>
  <c r="EN65" i="31"/>
  <c r="EM65" i="31"/>
  <c r="EL65" i="31"/>
  <c r="EK65" i="31"/>
  <c r="EJ65" i="31"/>
  <c r="EI65" i="31"/>
  <c r="EH65" i="31"/>
  <c r="EG65" i="31"/>
  <c r="EF65" i="31"/>
  <c r="EE65" i="31"/>
  <c r="ED65" i="31"/>
  <c r="EC65" i="31"/>
  <c r="EB65" i="31"/>
  <c r="EA65" i="31"/>
  <c r="DZ65" i="31"/>
  <c r="DY65" i="31"/>
  <c r="DX65" i="31"/>
  <c r="DW65" i="31"/>
  <c r="GM64" i="31"/>
  <c r="GK64" i="31"/>
  <c r="GJ64" i="31"/>
  <c r="GI64" i="31"/>
  <c r="GH64" i="31"/>
  <c r="GG64" i="31"/>
  <c r="GF64" i="31"/>
  <c r="GE64" i="31"/>
  <c r="GD64" i="31"/>
  <c r="GC64" i="31"/>
  <c r="GB64" i="31"/>
  <c r="GA64" i="31"/>
  <c r="FZ64" i="31"/>
  <c r="FY64" i="31"/>
  <c r="FT64" i="31"/>
  <c r="FS64" i="31"/>
  <c r="FR64" i="31"/>
  <c r="FQ64" i="31"/>
  <c r="FP64" i="31"/>
  <c r="FO64" i="31"/>
  <c r="FN64" i="31"/>
  <c r="FM64" i="31"/>
  <c r="FL64" i="31"/>
  <c r="FK64" i="31"/>
  <c r="FJ64" i="31"/>
  <c r="FI64" i="31"/>
  <c r="FH64" i="31"/>
  <c r="FG64" i="31"/>
  <c r="FF64" i="31"/>
  <c r="FE64" i="31"/>
  <c r="FD64" i="31"/>
  <c r="FC64" i="31"/>
  <c r="FB64" i="31"/>
  <c r="FA64" i="31"/>
  <c r="EZ64" i="31"/>
  <c r="EY64" i="31"/>
  <c r="EX64" i="31"/>
  <c r="EW64" i="31"/>
  <c r="EV64" i="31"/>
  <c r="ES64" i="31"/>
  <c r="ER64" i="31"/>
  <c r="EQ64" i="31"/>
  <c r="EP64" i="31"/>
  <c r="EO64" i="31"/>
  <c r="EN64" i="31"/>
  <c r="EM64" i="31"/>
  <c r="EL64" i="31"/>
  <c r="EK64" i="31"/>
  <c r="EJ64" i="31"/>
  <c r="EI64" i="31"/>
  <c r="EH64" i="31"/>
  <c r="EG64" i="31"/>
  <c r="EF64" i="31"/>
  <c r="EE64" i="31"/>
  <c r="ED64" i="31"/>
  <c r="EC64" i="31"/>
  <c r="EB64" i="31"/>
  <c r="EA64" i="31"/>
  <c r="DZ64" i="31"/>
  <c r="DY64" i="31"/>
  <c r="DX64" i="31"/>
  <c r="DW64" i="31"/>
  <c r="GM63" i="31"/>
  <c r="GK63" i="31"/>
  <c r="GJ63" i="31"/>
  <c r="GI63" i="31"/>
  <c r="GH63" i="31"/>
  <c r="GG63" i="31"/>
  <c r="GF63" i="31"/>
  <c r="GE63" i="31"/>
  <c r="GD63" i="31"/>
  <c r="GC63" i="31"/>
  <c r="GB63" i="31"/>
  <c r="GA63" i="31"/>
  <c r="FZ63" i="31"/>
  <c r="FY63" i="31"/>
  <c r="FT63" i="31"/>
  <c r="FS63" i="31"/>
  <c r="FR63" i="31"/>
  <c r="FQ63" i="31"/>
  <c r="FP63" i="31"/>
  <c r="FO63" i="31"/>
  <c r="FN63" i="31"/>
  <c r="FM63" i="31"/>
  <c r="FL63" i="31"/>
  <c r="FK63" i="31"/>
  <c r="FJ63" i="31"/>
  <c r="FI63" i="31"/>
  <c r="FH63" i="31"/>
  <c r="FG63" i="31"/>
  <c r="FF63" i="31"/>
  <c r="FE63" i="31"/>
  <c r="FD63" i="31"/>
  <c r="FC63" i="31"/>
  <c r="FB63" i="31"/>
  <c r="FA63" i="31"/>
  <c r="EZ63" i="31"/>
  <c r="EY63" i="31"/>
  <c r="EX63" i="31"/>
  <c r="EW63" i="31"/>
  <c r="EV63" i="31"/>
  <c r="ES63" i="31"/>
  <c r="ER63" i="31"/>
  <c r="EQ63" i="31"/>
  <c r="EP63" i="31"/>
  <c r="EO63" i="31"/>
  <c r="EN63" i="31"/>
  <c r="EM63" i="31"/>
  <c r="EL63" i="31"/>
  <c r="EK63" i="31"/>
  <c r="EJ63" i="31"/>
  <c r="EI63" i="31"/>
  <c r="EH63" i="31"/>
  <c r="EG63" i="31"/>
  <c r="EF63" i="31"/>
  <c r="EE63" i="31"/>
  <c r="ED63" i="31"/>
  <c r="EC63" i="31"/>
  <c r="EB63" i="31"/>
  <c r="EA63" i="31"/>
  <c r="DZ63" i="31"/>
  <c r="DY63" i="31"/>
  <c r="DX63" i="31"/>
  <c r="DW63" i="31"/>
  <c r="GM62" i="31"/>
  <c r="GK62" i="31"/>
  <c r="GJ62" i="31"/>
  <c r="GI62" i="31"/>
  <c r="GH62" i="31"/>
  <c r="GG62" i="31"/>
  <c r="GF62" i="31"/>
  <c r="GE62" i="31"/>
  <c r="GD62" i="31"/>
  <c r="GC62" i="31"/>
  <c r="GB62" i="31"/>
  <c r="GA62" i="31"/>
  <c r="FZ62" i="31"/>
  <c r="FY62" i="31"/>
  <c r="FT62" i="31"/>
  <c r="FS62" i="31"/>
  <c r="FR62" i="31"/>
  <c r="FQ62" i="31"/>
  <c r="FP62" i="31"/>
  <c r="FO62" i="31"/>
  <c r="FN62" i="31"/>
  <c r="FM62" i="31"/>
  <c r="FL62" i="31"/>
  <c r="FK62" i="31"/>
  <c r="FJ62" i="31"/>
  <c r="FI62" i="31"/>
  <c r="FH62" i="31"/>
  <c r="FG62" i="31"/>
  <c r="FF62" i="31"/>
  <c r="FE62" i="31"/>
  <c r="FD62" i="31"/>
  <c r="FC62" i="31"/>
  <c r="FB62" i="31"/>
  <c r="FA62" i="31"/>
  <c r="EZ62" i="31"/>
  <c r="EY62" i="31"/>
  <c r="EX62" i="31"/>
  <c r="EW62" i="31"/>
  <c r="EV62" i="31"/>
  <c r="ES62" i="31"/>
  <c r="ER62" i="31"/>
  <c r="EQ62" i="31"/>
  <c r="EP62" i="31"/>
  <c r="EO62" i="31"/>
  <c r="EN62" i="31"/>
  <c r="EM62" i="31"/>
  <c r="EL62" i="31"/>
  <c r="EK62" i="31"/>
  <c r="EJ62" i="31"/>
  <c r="EI62" i="31"/>
  <c r="EH62" i="31"/>
  <c r="EG62" i="31"/>
  <c r="EF62" i="31"/>
  <c r="EE62" i="31"/>
  <c r="ED62" i="31"/>
  <c r="EC62" i="31"/>
  <c r="EB62" i="31"/>
  <c r="EA62" i="31"/>
  <c r="DZ62" i="31"/>
  <c r="DY62" i="31"/>
  <c r="DX62" i="31"/>
  <c r="DW62" i="31"/>
  <c r="GM61" i="31"/>
  <c r="GK61" i="31"/>
  <c r="GJ61" i="31"/>
  <c r="GI61" i="31"/>
  <c r="GH61" i="31"/>
  <c r="GG61" i="31"/>
  <c r="GF61" i="31"/>
  <c r="GE61" i="31"/>
  <c r="GD61" i="31"/>
  <c r="GC61" i="31"/>
  <c r="GB61" i="31"/>
  <c r="GA61" i="31"/>
  <c r="FZ61" i="31"/>
  <c r="FY61" i="31"/>
  <c r="FT61" i="31"/>
  <c r="FS61" i="31"/>
  <c r="FR61" i="31"/>
  <c r="FQ61" i="31"/>
  <c r="FP61" i="31"/>
  <c r="FO61" i="31"/>
  <c r="FN61" i="31"/>
  <c r="FM61" i="31"/>
  <c r="FL61" i="31"/>
  <c r="FK61" i="31"/>
  <c r="FJ61" i="31"/>
  <c r="FI61" i="31"/>
  <c r="FH61" i="31"/>
  <c r="FG61" i="31"/>
  <c r="FF61" i="31"/>
  <c r="FE61" i="31"/>
  <c r="FD61" i="31"/>
  <c r="FC61" i="31"/>
  <c r="FB61" i="31"/>
  <c r="FA61" i="31"/>
  <c r="EZ61" i="31"/>
  <c r="EY61" i="31"/>
  <c r="EX61" i="31"/>
  <c r="EW61" i="31"/>
  <c r="EV61" i="31"/>
  <c r="ES61" i="31"/>
  <c r="ER61" i="31"/>
  <c r="EQ61" i="31"/>
  <c r="EP61" i="31"/>
  <c r="EO61" i="31"/>
  <c r="EN61" i="31"/>
  <c r="EM61" i="31"/>
  <c r="EL61" i="31"/>
  <c r="EK61" i="31"/>
  <c r="EJ61" i="31"/>
  <c r="EI61" i="31"/>
  <c r="EH61" i="31"/>
  <c r="EG61" i="31"/>
  <c r="EF61" i="31"/>
  <c r="EE61" i="31"/>
  <c r="ED61" i="31"/>
  <c r="EC61" i="31"/>
  <c r="EB61" i="31"/>
  <c r="EA61" i="31"/>
  <c r="DZ61" i="31"/>
  <c r="DY61" i="31"/>
  <c r="DX61" i="31"/>
  <c r="DW61" i="31"/>
  <c r="GM60" i="31"/>
  <c r="GK60" i="31"/>
  <c r="GJ60" i="31"/>
  <c r="GI60" i="31"/>
  <c r="GH60" i="31"/>
  <c r="GG60" i="31"/>
  <c r="GF60" i="31"/>
  <c r="GE60" i="31"/>
  <c r="GD60" i="31"/>
  <c r="GC60" i="31"/>
  <c r="GB60" i="31"/>
  <c r="GA60" i="31"/>
  <c r="FZ60" i="31"/>
  <c r="FY60" i="31"/>
  <c r="FT60" i="31"/>
  <c r="FS60" i="31"/>
  <c r="FR60" i="31"/>
  <c r="FQ60" i="31"/>
  <c r="FP60" i="31"/>
  <c r="FO60" i="31"/>
  <c r="FN60" i="31"/>
  <c r="FM60" i="31"/>
  <c r="FL60" i="31"/>
  <c r="FK60" i="31"/>
  <c r="FJ60" i="31"/>
  <c r="FI60" i="31"/>
  <c r="FH60" i="31"/>
  <c r="FG60" i="31"/>
  <c r="FF60" i="31"/>
  <c r="FE60" i="31"/>
  <c r="FD60" i="31"/>
  <c r="FC60" i="31"/>
  <c r="FB60" i="31"/>
  <c r="FA60" i="31"/>
  <c r="EZ60" i="31"/>
  <c r="EY60" i="31"/>
  <c r="EX60" i="31"/>
  <c r="EW60" i="31"/>
  <c r="EV60" i="31"/>
  <c r="ES60" i="31"/>
  <c r="ER60" i="31"/>
  <c r="EQ60" i="31"/>
  <c r="EP60" i="31"/>
  <c r="EO60" i="31"/>
  <c r="EN60" i="31"/>
  <c r="EM60" i="31"/>
  <c r="EL60" i="31"/>
  <c r="EK60" i="31"/>
  <c r="EJ60" i="31"/>
  <c r="EI60" i="31"/>
  <c r="EH60" i="31"/>
  <c r="EG60" i="31"/>
  <c r="EF60" i="31"/>
  <c r="EE60" i="31"/>
  <c r="ED60" i="31"/>
  <c r="EC60" i="31"/>
  <c r="EB60" i="31"/>
  <c r="EA60" i="31"/>
  <c r="DZ60" i="31"/>
  <c r="DY60" i="31"/>
  <c r="DX60" i="31"/>
  <c r="DW60" i="31"/>
  <c r="GM59" i="31"/>
  <c r="GK59" i="31"/>
  <c r="GJ59" i="31"/>
  <c r="GI59" i="31"/>
  <c r="GH59" i="31"/>
  <c r="GG59" i="31"/>
  <c r="GF59" i="31"/>
  <c r="GE59" i="31"/>
  <c r="GD59" i="31"/>
  <c r="GC59" i="31"/>
  <c r="GB59" i="31"/>
  <c r="GA59" i="31"/>
  <c r="FZ59" i="31"/>
  <c r="FY59" i="31"/>
  <c r="FT59" i="31"/>
  <c r="FS59" i="31"/>
  <c r="FR59" i="31"/>
  <c r="FQ59" i="31"/>
  <c r="FP59" i="31"/>
  <c r="FO59" i="31"/>
  <c r="FN59" i="31"/>
  <c r="FM59" i="31"/>
  <c r="FL59" i="31"/>
  <c r="FK59" i="31"/>
  <c r="FJ59" i="31"/>
  <c r="FI59" i="31"/>
  <c r="FH59" i="31"/>
  <c r="FG59" i="31"/>
  <c r="FF59" i="31"/>
  <c r="FE59" i="31"/>
  <c r="FD59" i="31"/>
  <c r="FC59" i="31"/>
  <c r="FB59" i="31"/>
  <c r="FA59" i="31"/>
  <c r="EZ59" i="31"/>
  <c r="EY59" i="31"/>
  <c r="EX59" i="31"/>
  <c r="EW59" i="31"/>
  <c r="EV59" i="31"/>
  <c r="ES59" i="31"/>
  <c r="ER59" i="31"/>
  <c r="EQ59" i="31"/>
  <c r="EP59" i="31"/>
  <c r="EO59" i="31"/>
  <c r="EN59" i="31"/>
  <c r="EM59" i="31"/>
  <c r="EL59" i="31"/>
  <c r="EK59" i="31"/>
  <c r="EJ59" i="31"/>
  <c r="EI59" i="31"/>
  <c r="EH59" i="31"/>
  <c r="EG59" i="31"/>
  <c r="EF59" i="31"/>
  <c r="EE59" i="31"/>
  <c r="ED59" i="31"/>
  <c r="EC59" i="31"/>
  <c r="EB59" i="31"/>
  <c r="EA59" i="31"/>
  <c r="DZ59" i="31"/>
  <c r="DY59" i="31"/>
  <c r="DX59" i="31"/>
  <c r="DW59" i="31"/>
  <c r="GM58" i="31"/>
  <c r="GK58" i="31"/>
  <c r="GJ58" i="31"/>
  <c r="GI58" i="31"/>
  <c r="GH58" i="31"/>
  <c r="GG58" i="31"/>
  <c r="GF58" i="31"/>
  <c r="GE58" i="31"/>
  <c r="GD58" i="31"/>
  <c r="GC58" i="31"/>
  <c r="GB58" i="31"/>
  <c r="GA58" i="31"/>
  <c r="FZ58" i="31"/>
  <c r="FY58" i="31"/>
  <c r="FT58" i="31"/>
  <c r="FS58" i="31"/>
  <c r="FR58" i="31"/>
  <c r="FQ58" i="31"/>
  <c r="FP58" i="31"/>
  <c r="FO58" i="31"/>
  <c r="FN58" i="31"/>
  <c r="FM58" i="31"/>
  <c r="FL58" i="31"/>
  <c r="FK58" i="31"/>
  <c r="FJ58" i="31"/>
  <c r="FI58" i="31"/>
  <c r="FH58" i="31"/>
  <c r="FG58" i="31"/>
  <c r="FF58" i="31"/>
  <c r="FE58" i="31"/>
  <c r="FD58" i="31"/>
  <c r="FC58" i="31"/>
  <c r="FB58" i="31"/>
  <c r="FA58" i="31"/>
  <c r="EZ58" i="31"/>
  <c r="EY58" i="31"/>
  <c r="EX58" i="31"/>
  <c r="EW58" i="31"/>
  <c r="EV58" i="31"/>
  <c r="ES58" i="31"/>
  <c r="ER58" i="31"/>
  <c r="EQ58" i="31"/>
  <c r="EP58" i="31"/>
  <c r="EO58" i="31"/>
  <c r="EN58" i="31"/>
  <c r="EM58" i="31"/>
  <c r="EL58" i="31"/>
  <c r="EK58" i="31"/>
  <c r="EJ58" i="31"/>
  <c r="EI58" i="31"/>
  <c r="EH58" i="31"/>
  <c r="EG58" i="31"/>
  <c r="EF58" i="31"/>
  <c r="EE58" i="31"/>
  <c r="ED58" i="31"/>
  <c r="EC58" i="31"/>
  <c r="EB58" i="31"/>
  <c r="EA58" i="31"/>
  <c r="DZ58" i="31"/>
  <c r="DY58" i="31"/>
  <c r="DX58" i="31"/>
  <c r="DW58" i="31"/>
  <c r="GM57" i="31"/>
  <c r="GK57" i="31"/>
  <c r="GJ57" i="31"/>
  <c r="GI57" i="31"/>
  <c r="GH57" i="31"/>
  <c r="GG57" i="31"/>
  <c r="GF57" i="31"/>
  <c r="GE57" i="31"/>
  <c r="GD57" i="31"/>
  <c r="GC57" i="31"/>
  <c r="GB57" i="31"/>
  <c r="GA57" i="31"/>
  <c r="FZ57" i="31"/>
  <c r="FY57" i="31"/>
  <c r="FT57" i="31"/>
  <c r="FS57" i="31"/>
  <c r="FR57" i="31"/>
  <c r="FQ57" i="31"/>
  <c r="FP57" i="31"/>
  <c r="FO57" i="31"/>
  <c r="FN57" i="31"/>
  <c r="FM57" i="31"/>
  <c r="FL57" i="31"/>
  <c r="FK57" i="31"/>
  <c r="FJ57" i="31"/>
  <c r="FI57" i="31"/>
  <c r="FH57" i="31"/>
  <c r="FG57" i="31"/>
  <c r="FF57" i="31"/>
  <c r="FE57" i="31"/>
  <c r="FD57" i="31"/>
  <c r="FC57" i="31"/>
  <c r="FB57" i="31"/>
  <c r="FA57" i="31"/>
  <c r="EZ57" i="31"/>
  <c r="EY57" i="31"/>
  <c r="EX57" i="31"/>
  <c r="EW57" i="31"/>
  <c r="EV57" i="31"/>
  <c r="ES57" i="31"/>
  <c r="ER57" i="31"/>
  <c r="EQ57" i="31"/>
  <c r="EP57" i="31"/>
  <c r="EO57" i="31"/>
  <c r="EN57" i="31"/>
  <c r="EM57" i="31"/>
  <c r="EL57" i="31"/>
  <c r="EK57" i="31"/>
  <c r="EJ57" i="31"/>
  <c r="EI57" i="31"/>
  <c r="EH57" i="31"/>
  <c r="EG57" i="31"/>
  <c r="EF57" i="31"/>
  <c r="EE57" i="31"/>
  <c r="ED57" i="31"/>
  <c r="EC57" i="31"/>
  <c r="EB57" i="31"/>
  <c r="EA57" i="31"/>
  <c r="DZ57" i="31"/>
  <c r="DY57" i="31"/>
  <c r="DX57" i="31"/>
  <c r="DW57" i="31"/>
  <c r="GM56" i="31"/>
  <c r="GK56" i="31"/>
  <c r="GJ56" i="31"/>
  <c r="GI56" i="31"/>
  <c r="GH56" i="31"/>
  <c r="GG56" i="31"/>
  <c r="GF56" i="31"/>
  <c r="GE56" i="31"/>
  <c r="GD56" i="31"/>
  <c r="GC56" i="31"/>
  <c r="GB56" i="31"/>
  <c r="GA56" i="31"/>
  <c r="FZ56" i="31"/>
  <c r="FY56" i="31"/>
  <c r="FT56" i="31"/>
  <c r="FS56" i="31"/>
  <c r="FR56" i="31"/>
  <c r="FQ56" i="31"/>
  <c r="FP56" i="31"/>
  <c r="FO56" i="31"/>
  <c r="FN56" i="31"/>
  <c r="FM56" i="31"/>
  <c r="FL56" i="31"/>
  <c r="FK56" i="31"/>
  <c r="FJ56" i="31"/>
  <c r="FI56" i="31"/>
  <c r="FH56" i="31"/>
  <c r="FG56" i="31"/>
  <c r="FF56" i="31"/>
  <c r="FE56" i="31"/>
  <c r="FD56" i="31"/>
  <c r="FC56" i="31"/>
  <c r="FB56" i="31"/>
  <c r="FA56" i="31"/>
  <c r="EZ56" i="31"/>
  <c r="EY56" i="31"/>
  <c r="EX56" i="31"/>
  <c r="EW56" i="31"/>
  <c r="EV56" i="31"/>
  <c r="ES56" i="31"/>
  <c r="ER56" i="31"/>
  <c r="EQ56" i="31"/>
  <c r="EP56" i="31"/>
  <c r="EO56" i="31"/>
  <c r="EN56" i="31"/>
  <c r="EM56" i="31"/>
  <c r="EL56" i="31"/>
  <c r="EK56" i="31"/>
  <c r="EJ56" i="31"/>
  <c r="EI56" i="31"/>
  <c r="EH56" i="31"/>
  <c r="EG56" i="31"/>
  <c r="EF56" i="31"/>
  <c r="EE56" i="31"/>
  <c r="ED56" i="31"/>
  <c r="EC56" i="31"/>
  <c r="EB56" i="31"/>
  <c r="DZ56" i="31"/>
  <c r="DY56" i="31"/>
  <c r="DW56" i="31"/>
  <c r="GM55" i="31"/>
  <c r="GK55" i="31"/>
  <c r="GJ55" i="31"/>
  <c r="GI55" i="31"/>
  <c r="GH55" i="31"/>
  <c r="GG55" i="31"/>
  <c r="GF55" i="31"/>
  <c r="GE55" i="31"/>
  <c r="GD55" i="31"/>
  <c r="GC55" i="31"/>
  <c r="GB55" i="31"/>
  <c r="GA55" i="31"/>
  <c r="FZ55" i="31"/>
  <c r="FY55" i="31"/>
  <c r="FT55" i="31"/>
  <c r="FS55" i="31"/>
  <c r="FR55" i="31"/>
  <c r="FQ55" i="31"/>
  <c r="FP55" i="31"/>
  <c r="FO55" i="31"/>
  <c r="FN55" i="31"/>
  <c r="FM55" i="31"/>
  <c r="FL55" i="31"/>
  <c r="FK55" i="31"/>
  <c r="FJ55" i="31"/>
  <c r="FI55" i="31"/>
  <c r="FH55" i="31"/>
  <c r="FG55" i="31"/>
  <c r="FF55" i="31"/>
  <c r="FE55" i="31"/>
  <c r="FD55" i="31"/>
  <c r="FC55" i="31"/>
  <c r="FB55" i="31"/>
  <c r="FA55" i="31"/>
  <c r="EZ55" i="31"/>
  <c r="EY55" i="31"/>
  <c r="EX55" i="31"/>
  <c r="EW55" i="31"/>
  <c r="ES55" i="31"/>
  <c r="EQ55" i="31"/>
  <c r="EP55" i="31"/>
  <c r="EM55" i="31"/>
  <c r="EL55" i="31"/>
  <c r="EK55" i="31"/>
  <c r="EJ55" i="31"/>
  <c r="EI55" i="31"/>
  <c r="EH55" i="31"/>
  <c r="EG55" i="31"/>
  <c r="EE55" i="31"/>
  <c r="ED55" i="31"/>
  <c r="EC55" i="31"/>
  <c r="DZ55" i="31"/>
  <c r="DY55" i="31"/>
  <c r="DW55" i="31"/>
  <c r="GM54" i="31"/>
  <c r="GK54" i="31"/>
  <c r="GJ54" i="31"/>
  <c r="GI54" i="31"/>
  <c r="GH54" i="31"/>
  <c r="GG54" i="31"/>
  <c r="GF54" i="31"/>
  <c r="GE54" i="31"/>
  <c r="GD54" i="31"/>
  <c r="GC54" i="31"/>
  <c r="GB54" i="31"/>
  <c r="GA54" i="31"/>
  <c r="FZ54" i="31"/>
  <c r="FY54" i="31"/>
  <c r="FT54" i="31"/>
  <c r="FS54" i="31"/>
  <c r="FR54" i="31"/>
  <c r="FQ54" i="31"/>
  <c r="FP54" i="31"/>
  <c r="FO54" i="31"/>
  <c r="FN54" i="31"/>
  <c r="FM54" i="31"/>
  <c r="FL54" i="31"/>
  <c r="FK54" i="31"/>
  <c r="FJ54" i="31"/>
  <c r="FI54" i="31"/>
  <c r="FH54" i="31"/>
  <c r="FG54" i="31"/>
  <c r="FF54" i="31"/>
  <c r="FE54" i="31"/>
  <c r="FD54" i="31"/>
  <c r="FC54" i="31"/>
  <c r="FB54" i="31"/>
  <c r="FA54" i="31"/>
  <c r="EZ54" i="31"/>
  <c r="EY54" i="31"/>
  <c r="EX54" i="31"/>
  <c r="EW54" i="31"/>
  <c r="ES54" i="31"/>
  <c r="EQ54" i="31"/>
  <c r="EP54" i="31"/>
  <c r="EM54" i="31"/>
  <c r="EL54" i="31"/>
  <c r="EK54" i="31"/>
  <c r="EJ54" i="31"/>
  <c r="EI54" i="31"/>
  <c r="EH54" i="31"/>
  <c r="EG54" i="31"/>
  <c r="EE54" i="31"/>
  <c r="ED54" i="31"/>
  <c r="EC54" i="31"/>
  <c r="DZ54" i="31"/>
  <c r="DY54" i="31"/>
  <c r="DW54" i="31"/>
  <c r="GM53" i="31"/>
  <c r="GK53" i="31"/>
  <c r="GJ53" i="31"/>
  <c r="GI53" i="31"/>
  <c r="GH53" i="31"/>
  <c r="GG53" i="31"/>
  <c r="GF53" i="31"/>
  <c r="GE53" i="31"/>
  <c r="GD53" i="31"/>
  <c r="GC53" i="31"/>
  <c r="GB53" i="31"/>
  <c r="GA53" i="31"/>
  <c r="FZ53" i="31"/>
  <c r="FY53" i="31"/>
  <c r="FT53" i="31"/>
  <c r="FS53" i="31"/>
  <c r="FQ53" i="31"/>
  <c r="FO53" i="31"/>
  <c r="FN53" i="31"/>
  <c r="FM53" i="31"/>
  <c r="FL53" i="31"/>
  <c r="FK53" i="31"/>
  <c r="FJ53" i="31"/>
  <c r="FI53" i="31"/>
  <c r="FH53" i="31"/>
  <c r="FG53" i="31"/>
  <c r="FF53" i="31"/>
  <c r="FE53" i="31"/>
  <c r="FD53" i="31"/>
  <c r="FC53" i="31"/>
  <c r="FB53" i="31"/>
  <c r="FA53" i="31"/>
  <c r="EZ53" i="31"/>
  <c r="EY53" i="31"/>
  <c r="EX53" i="31"/>
  <c r="EW53" i="31"/>
  <c r="EV53" i="31"/>
  <c r="ES53" i="31"/>
  <c r="ER53" i="31"/>
  <c r="EQ53" i="31"/>
  <c r="EP53" i="31"/>
  <c r="EO53" i="31"/>
  <c r="EN53" i="31"/>
  <c r="EM53" i="31"/>
  <c r="EL53" i="31"/>
  <c r="EK53" i="31"/>
  <c r="EJ53" i="31"/>
  <c r="EI53" i="31"/>
  <c r="EH53" i="31"/>
  <c r="EG53" i="31"/>
  <c r="EF53" i="31"/>
  <c r="EE53" i="31"/>
  <c r="ED53" i="31"/>
  <c r="EC53" i="31"/>
  <c r="EB53" i="31"/>
  <c r="EA53" i="31"/>
  <c r="DZ53" i="31"/>
  <c r="DY53" i="31"/>
  <c r="DW53" i="31"/>
  <c r="GM52" i="31"/>
  <c r="GK52" i="31"/>
  <c r="GJ52" i="31"/>
  <c r="GI52" i="31"/>
  <c r="GH52" i="31"/>
  <c r="GG52" i="31"/>
  <c r="GF52" i="31"/>
  <c r="GE52" i="31"/>
  <c r="GD52" i="31"/>
  <c r="GC52" i="31"/>
  <c r="GB52" i="31"/>
  <c r="GA52" i="31"/>
  <c r="FZ52" i="31"/>
  <c r="FY52" i="31"/>
  <c r="FT52" i="31"/>
  <c r="FS52" i="31"/>
  <c r="FQ52" i="31"/>
  <c r="FO52" i="31"/>
  <c r="FN52" i="31"/>
  <c r="FM52" i="31"/>
  <c r="FL52" i="31"/>
  <c r="FK52" i="31"/>
  <c r="FJ52" i="31"/>
  <c r="FI52" i="31"/>
  <c r="FH52" i="31"/>
  <c r="FG52" i="31"/>
  <c r="FF52" i="31"/>
  <c r="FE52" i="31"/>
  <c r="FD52" i="31"/>
  <c r="FC52" i="31"/>
  <c r="FB52" i="31"/>
  <c r="FA52" i="31"/>
  <c r="EZ52" i="31"/>
  <c r="EY52" i="31"/>
  <c r="EX52" i="31"/>
  <c r="EW52" i="31"/>
  <c r="EV52" i="31"/>
  <c r="ES52" i="31"/>
  <c r="ER52" i="31"/>
  <c r="EQ52" i="31"/>
  <c r="EP52" i="31"/>
  <c r="EO52" i="31"/>
  <c r="EN52" i="31"/>
  <c r="EM52" i="31"/>
  <c r="EL52" i="31"/>
  <c r="EK52" i="31"/>
  <c r="EJ52" i="31"/>
  <c r="EI52" i="31"/>
  <c r="EH52" i="31"/>
  <c r="EG52" i="31"/>
  <c r="EF52" i="31"/>
  <c r="EE52" i="31"/>
  <c r="ED52" i="31"/>
  <c r="EC52" i="31"/>
  <c r="EB52" i="31"/>
  <c r="EA52" i="31"/>
  <c r="DZ52" i="31"/>
  <c r="DY52" i="31"/>
  <c r="DW52" i="31"/>
  <c r="GM51" i="31"/>
  <c r="GK51" i="31"/>
  <c r="GJ51" i="31"/>
  <c r="GI51" i="31"/>
  <c r="GH51" i="31"/>
  <c r="GG51" i="31"/>
  <c r="GF51" i="31"/>
  <c r="GE51" i="31"/>
  <c r="GD51" i="31"/>
  <c r="GC51" i="31"/>
  <c r="GB51" i="31"/>
  <c r="GA51" i="31"/>
  <c r="FZ51" i="31"/>
  <c r="FY51" i="31"/>
  <c r="FT51" i="31"/>
  <c r="FS51" i="31"/>
  <c r="FR51" i="31"/>
  <c r="FQ51" i="31"/>
  <c r="FP51" i="31"/>
  <c r="FO51" i="31"/>
  <c r="FN51" i="31"/>
  <c r="FM51" i="31"/>
  <c r="FL51" i="31"/>
  <c r="FK51" i="31"/>
  <c r="FJ51" i="31"/>
  <c r="FI51" i="31"/>
  <c r="FH51" i="31"/>
  <c r="FG51" i="31"/>
  <c r="FF51" i="31"/>
  <c r="FE51" i="31"/>
  <c r="FD51" i="31"/>
  <c r="FC51" i="31"/>
  <c r="FB51" i="31"/>
  <c r="FA51" i="31"/>
  <c r="EZ51" i="31"/>
  <c r="EY51" i="31"/>
  <c r="EX51" i="31"/>
  <c r="EW51" i="31"/>
  <c r="EV51" i="31"/>
  <c r="ES51" i="31"/>
  <c r="ER51" i="31"/>
  <c r="EQ51" i="31"/>
  <c r="EP51" i="31"/>
  <c r="EO51" i="31"/>
  <c r="EN51" i="31"/>
  <c r="EM51" i="31"/>
  <c r="EL51" i="31"/>
  <c r="EK51" i="31"/>
  <c r="EJ51" i="31"/>
  <c r="EI51" i="31"/>
  <c r="EH51" i="31"/>
  <c r="EG51" i="31"/>
  <c r="EF51" i="31"/>
  <c r="EE51" i="31"/>
  <c r="ED51" i="31"/>
  <c r="EC51" i="31"/>
  <c r="EB51" i="31"/>
  <c r="EA51" i="31"/>
  <c r="DZ51" i="31"/>
  <c r="DY51" i="31"/>
  <c r="DX51" i="31"/>
  <c r="DW51" i="31"/>
  <c r="GM50" i="31"/>
  <c r="GK50" i="31"/>
  <c r="GJ50" i="31"/>
  <c r="GI50" i="31"/>
  <c r="GH50" i="31"/>
  <c r="GG50" i="31"/>
  <c r="GF50" i="31"/>
  <c r="GE50" i="31"/>
  <c r="GD50" i="31"/>
  <c r="GC50" i="31"/>
  <c r="GB50" i="31"/>
  <c r="GA50" i="31"/>
  <c r="FZ50" i="31"/>
  <c r="FY50" i="31"/>
  <c r="FT50" i="31"/>
  <c r="FS50" i="31"/>
  <c r="FR50" i="31"/>
  <c r="FQ50" i="31"/>
  <c r="FP50" i="31"/>
  <c r="FO50" i="31"/>
  <c r="FN50" i="31"/>
  <c r="FM50" i="31"/>
  <c r="FL50" i="31"/>
  <c r="FK50" i="31"/>
  <c r="FJ50" i="31"/>
  <c r="FI50" i="31"/>
  <c r="FH50" i="31"/>
  <c r="FG50" i="31"/>
  <c r="FF50" i="31"/>
  <c r="FE50" i="31"/>
  <c r="FD50" i="31"/>
  <c r="FC50" i="31"/>
  <c r="FB50" i="31"/>
  <c r="FA50" i="31"/>
  <c r="EZ50" i="31"/>
  <c r="EY50" i="31"/>
  <c r="EX50" i="31"/>
  <c r="EW50" i="31"/>
  <c r="EV50" i="31"/>
  <c r="ES50" i="31"/>
  <c r="ER50" i="31"/>
  <c r="EQ50" i="31"/>
  <c r="EP50" i="31"/>
  <c r="EO50" i="31"/>
  <c r="EN50" i="31"/>
  <c r="EM50" i="31"/>
  <c r="EL50" i="31"/>
  <c r="EK50" i="31"/>
  <c r="EJ50" i="31"/>
  <c r="EI50" i="31"/>
  <c r="EH50" i="31"/>
  <c r="EG50" i="31"/>
  <c r="EF50" i="31"/>
  <c r="EE50" i="31"/>
  <c r="ED50" i="31"/>
  <c r="EC50" i="31"/>
  <c r="EB50" i="31"/>
  <c r="EA50" i="31"/>
  <c r="DZ50" i="31"/>
  <c r="DY50" i="31"/>
  <c r="DX50" i="31"/>
  <c r="DW50" i="31"/>
  <c r="GM49" i="31"/>
  <c r="GK49" i="31"/>
  <c r="GJ49" i="31"/>
  <c r="GI49" i="31"/>
  <c r="GH49" i="31"/>
  <c r="GG49" i="31"/>
  <c r="GF49" i="31"/>
  <c r="GE49" i="31"/>
  <c r="GD49" i="31"/>
  <c r="GC49" i="31"/>
  <c r="GB49" i="31"/>
  <c r="GA49" i="31"/>
  <c r="FZ49" i="31"/>
  <c r="FY49" i="31"/>
  <c r="FT49" i="31"/>
  <c r="FS49" i="31"/>
  <c r="FR49" i="31"/>
  <c r="FQ49" i="31"/>
  <c r="FP49" i="31"/>
  <c r="FO49" i="31"/>
  <c r="FN49" i="31"/>
  <c r="FM49" i="31"/>
  <c r="FL49" i="31"/>
  <c r="FK49" i="31"/>
  <c r="FJ49" i="31"/>
  <c r="FI49" i="31"/>
  <c r="FH49" i="31"/>
  <c r="FG49" i="31"/>
  <c r="FF49" i="31"/>
  <c r="FE49" i="31"/>
  <c r="FD49" i="31"/>
  <c r="FC49" i="31"/>
  <c r="FB49" i="31"/>
  <c r="FA49" i="31"/>
  <c r="EZ49" i="31"/>
  <c r="EY49" i="31"/>
  <c r="EX49" i="31"/>
  <c r="EW49" i="31"/>
  <c r="EV49" i="31"/>
  <c r="ES49" i="31"/>
  <c r="ER49" i="31"/>
  <c r="EQ49" i="31"/>
  <c r="EP49" i="31"/>
  <c r="EO49" i="31"/>
  <c r="EN49" i="31"/>
  <c r="EM49" i="31"/>
  <c r="EL49" i="31"/>
  <c r="EK49" i="31"/>
  <c r="EJ49" i="31"/>
  <c r="EI49" i="31"/>
  <c r="EH49" i="31"/>
  <c r="EG49" i="31"/>
  <c r="EF49" i="31"/>
  <c r="EE49" i="31"/>
  <c r="ED49" i="31"/>
  <c r="EC49" i="31"/>
  <c r="EB49" i="31"/>
  <c r="EA49" i="31"/>
  <c r="DZ49" i="31"/>
  <c r="DY49" i="31"/>
  <c r="DX49" i="31"/>
  <c r="DW49" i="31"/>
  <c r="GM48" i="31"/>
  <c r="GK48" i="31"/>
  <c r="GJ48" i="31"/>
  <c r="GI48" i="31"/>
  <c r="GH48" i="31"/>
  <c r="GG48" i="31"/>
  <c r="GF48" i="31"/>
  <c r="GE48" i="31"/>
  <c r="GD48" i="31"/>
  <c r="GC48" i="31"/>
  <c r="GB48" i="31"/>
  <c r="GA48" i="31"/>
  <c r="FZ48" i="31"/>
  <c r="FY48" i="31"/>
  <c r="FT48" i="31"/>
  <c r="FS48" i="31"/>
  <c r="FR48" i="31"/>
  <c r="FQ48" i="31"/>
  <c r="FP48" i="31"/>
  <c r="FO48" i="31"/>
  <c r="FN48" i="31"/>
  <c r="FM48" i="31"/>
  <c r="FL48" i="31"/>
  <c r="FK48" i="31"/>
  <c r="FJ48" i="31"/>
  <c r="FI48" i="31"/>
  <c r="FH48" i="31"/>
  <c r="FG48" i="31"/>
  <c r="FF48" i="31"/>
  <c r="FE48" i="31"/>
  <c r="FD48" i="31"/>
  <c r="FC48" i="31"/>
  <c r="FB48" i="31"/>
  <c r="FA48" i="31"/>
  <c r="EZ48" i="31"/>
  <c r="EY48" i="31"/>
  <c r="EX48" i="31"/>
  <c r="EW48" i="31"/>
  <c r="EV48" i="31"/>
  <c r="ES48" i="31"/>
  <c r="ER48" i="31"/>
  <c r="EM48" i="31"/>
  <c r="EL48" i="31"/>
  <c r="EK48" i="31"/>
  <c r="EJ48" i="31"/>
  <c r="EI48" i="31"/>
  <c r="EH48" i="31"/>
  <c r="EG48" i="31"/>
  <c r="EE48" i="31"/>
  <c r="ED48" i="31"/>
  <c r="EC48" i="31"/>
  <c r="DZ48" i="31"/>
  <c r="DY48" i="31"/>
  <c r="DW48" i="31"/>
  <c r="GM47" i="31"/>
  <c r="GK47" i="31"/>
  <c r="GJ47" i="31"/>
  <c r="GI47" i="31"/>
  <c r="GH47" i="31"/>
  <c r="GG47" i="31"/>
  <c r="GF47" i="31"/>
  <c r="GE47" i="31"/>
  <c r="GD47" i="31"/>
  <c r="GC47" i="31"/>
  <c r="GB47" i="31"/>
  <c r="GA47" i="31"/>
  <c r="FZ47" i="31"/>
  <c r="FY47" i="31"/>
  <c r="FT47" i="31"/>
  <c r="FS47" i="31"/>
  <c r="FR47" i="31"/>
  <c r="FQ47" i="31"/>
  <c r="FP47" i="31"/>
  <c r="FO47" i="31"/>
  <c r="FN47" i="31"/>
  <c r="FM47" i="31"/>
  <c r="FL47" i="31"/>
  <c r="FK47" i="31"/>
  <c r="FJ47" i="31"/>
  <c r="FI47" i="31"/>
  <c r="FH47" i="31"/>
  <c r="FG47" i="31"/>
  <c r="FF47" i="31"/>
  <c r="FE47" i="31"/>
  <c r="FD47" i="31"/>
  <c r="FC47" i="31"/>
  <c r="FB47" i="31"/>
  <c r="FA47" i="31"/>
  <c r="EZ47" i="31"/>
  <c r="EY47" i="31"/>
  <c r="EX47" i="31"/>
  <c r="EW47" i="31"/>
  <c r="EV47" i="31"/>
  <c r="ES47" i="31"/>
  <c r="ER47" i="31"/>
  <c r="EM47" i="31"/>
  <c r="EL47" i="31"/>
  <c r="EK47" i="31"/>
  <c r="EJ47" i="31"/>
  <c r="EI47" i="31"/>
  <c r="EH47" i="31"/>
  <c r="EG47" i="31"/>
  <c r="EE47" i="31"/>
  <c r="ED47" i="31"/>
  <c r="EC47" i="31"/>
  <c r="DZ47" i="31"/>
  <c r="DY47" i="31"/>
  <c r="DW47" i="31"/>
  <c r="GM46" i="31"/>
  <c r="GK46" i="31"/>
  <c r="GJ46" i="31"/>
  <c r="GI46" i="31"/>
  <c r="GH46" i="31"/>
  <c r="GG46" i="31"/>
  <c r="GF46" i="31"/>
  <c r="GE46" i="31"/>
  <c r="GD46" i="31"/>
  <c r="GC46" i="31"/>
  <c r="GB46" i="31"/>
  <c r="GA46" i="31"/>
  <c r="FZ46" i="31"/>
  <c r="FY46" i="31"/>
  <c r="FT46" i="31"/>
  <c r="FS46" i="31"/>
  <c r="FR46" i="31"/>
  <c r="FQ46" i="31"/>
  <c r="FP46" i="31"/>
  <c r="FO46" i="31"/>
  <c r="FN46" i="31"/>
  <c r="FM46" i="31"/>
  <c r="FL46" i="31"/>
  <c r="FK46" i="31"/>
  <c r="FJ46" i="31"/>
  <c r="FI46" i="31"/>
  <c r="FH46" i="31"/>
  <c r="FG46" i="31"/>
  <c r="FF46" i="31"/>
  <c r="FE46" i="31"/>
  <c r="FD46" i="31"/>
  <c r="FC46" i="31"/>
  <c r="FB46" i="31"/>
  <c r="FA46" i="31"/>
  <c r="EZ46" i="31"/>
  <c r="EY46" i="31"/>
  <c r="EX46" i="31"/>
  <c r="EW46" i="31"/>
  <c r="EV46" i="31"/>
  <c r="ES46" i="31"/>
  <c r="ER46" i="31"/>
  <c r="EQ46" i="31"/>
  <c r="EP46" i="31"/>
  <c r="EO46" i="31"/>
  <c r="EN46" i="31"/>
  <c r="EM46" i="31"/>
  <c r="EL46" i="31"/>
  <c r="EK46" i="31"/>
  <c r="EJ46" i="31"/>
  <c r="EI46" i="31"/>
  <c r="EH46" i="31"/>
  <c r="EG46" i="31"/>
  <c r="EF46" i="31"/>
  <c r="EE46" i="31"/>
  <c r="ED46" i="31"/>
  <c r="EC46" i="31"/>
  <c r="EB46" i="31"/>
  <c r="EA46" i="31"/>
  <c r="DZ46" i="31"/>
  <c r="DY46" i="31"/>
  <c r="DX46" i="31"/>
  <c r="DW46" i="31"/>
  <c r="GM45" i="31"/>
  <c r="GK45" i="31"/>
  <c r="GJ45" i="31"/>
  <c r="GI45" i="31"/>
  <c r="GH45" i="31"/>
  <c r="GG45" i="31"/>
  <c r="GF45" i="31"/>
  <c r="GE45" i="31"/>
  <c r="GD45" i="31"/>
  <c r="GC45" i="31"/>
  <c r="GB45" i="31"/>
  <c r="GA45" i="31"/>
  <c r="FZ45" i="31"/>
  <c r="FY45" i="31"/>
  <c r="FT45" i="31"/>
  <c r="FS45" i="31"/>
  <c r="FR45" i="31"/>
  <c r="FQ45" i="31"/>
  <c r="FP45" i="31"/>
  <c r="FO45" i="31"/>
  <c r="FN45" i="31"/>
  <c r="FM45" i="31"/>
  <c r="FL45" i="31"/>
  <c r="FK45" i="31"/>
  <c r="FJ45" i="31"/>
  <c r="FI45" i="31"/>
  <c r="FH45" i="31"/>
  <c r="FG45" i="31"/>
  <c r="FF45" i="31"/>
  <c r="FE45" i="31"/>
  <c r="FD45" i="31"/>
  <c r="FC45" i="31"/>
  <c r="FB45" i="31"/>
  <c r="FA45" i="31"/>
  <c r="EZ45" i="31"/>
  <c r="EY45" i="31"/>
  <c r="EX45" i="31"/>
  <c r="EW45" i="31"/>
  <c r="EV45" i="31"/>
  <c r="ES45" i="31"/>
  <c r="ER45" i="31"/>
  <c r="EQ45" i="31"/>
  <c r="EP45" i="31"/>
  <c r="EO45" i="31"/>
  <c r="EN45" i="31"/>
  <c r="EM45" i="31"/>
  <c r="EL45" i="31"/>
  <c r="EK45" i="31"/>
  <c r="EJ45" i="31"/>
  <c r="EI45" i="31"/>
  <c r="EH45" i="31"/>
  <c r="EG45" i="31"/>
  <c r="EF45" i="31"/>
  <c r="EE45" i="31"/>
  <c r="EB45" i="31"/>
  <c r="DZ45" i="31"/>
  <c r="DY45" i="31"/>
  <c r="DW45" i="31"/>
  <c r="GM43" i="31"/>
  <c r="GK43" i="31"/>
  <c r="GJ43" i="31"/>
  <c r="GI43" i="31"/>
  <c r="GH43" i="31"/>
  <c r="GG43" i="31"/>
  <c r="GF43" i="31"/>
  <c r="GE43" i="31"/>
  <c r="GD43" i="31"/>
  <c r="GC43" i="31"/>
  <c r="GB43" i="31"/>
  <c r="GA43" i="31"/>
  <c r="FZ43" i="31"/>
  <c r="FY43" i="31"/>
  <c r="FT43" i="31"/>
  <c r="FS43" i="31"/>
  <c r="FR43" i="31"/>
  <c r="FQ43" i="31"/>
  <c r="FP43" i="31"/>
  <c r="FO43" i="31"/>
  <c r="FN43" i="31"/>
  <c r="FM43" i="31"/>
  <c r="FL43" i="31"/>
  <c r="FK43" i="31"/>
  <c r="FJ43" i="31"/>
  <c r="FI43" i="31"/>
  <c r="FH43" i="31"/>
  <c r="FG43" i="31"/>
  <c r="FF43" i="31"/>
  <c r="FE43" i="31"/>
  <c r="FD43" i="31"/>
  <c r="FC43" i="31"/>
  <c r="FB43" i="31"/>
  <c r="FA43" i="31"/>
  <c r="EZ43" i="31"/>
  <c r="EY43" i="31"/>
  <c r="EX43" i="31"/>
  <c r="EW43" i="31"/>
  <c r="EV43" i="31"/>
  <c r="ES43" i="31"/>
  <c r="ER43" i="31"/>
  <c r="EQ43" i="31"/>
  <c r="EP43" i="31"/>
  <c r="EO43" i="31"/>
  <c r="EN43" i="31"/>
  <c r="EM43" i="31"/>
  <c r="EL43" i="31"/>
  <c r="EK43" i="31"/>
  <c r="EJ43" i="31"/>
  <c r="EI43" i="31"/>
  <c r="EH43" i="31"/>
  <c r="EG43" i="31"/>
  <c r="EF43" i="31"/>
  <c r="EB43" i="31"/>
  <c r="DZ43" i="31"/>
  <c r="DY43" i="31"/>
  <c r="DW43" i="31"/>
  <c r="GM41" i="31"/>
  <c r="GK41" i="31"/>
  <c r="GJ41" i="31"/>
  <c r="GI41" i="31"/>
  <c r="GH41" i="31"/>
  <c r="GG41" i="31"/>
  <c r="GF41" i="31"/>
  <c r="GE41" i="31"/>
  <c r="GD41" i="31"/>
  <c r="GC41" i="31"/>
  <c r="GB41" i="31"/>
  <c r="GA41" i="31"/>
  <c r="FZ41" i="31"/>
  <c r="FY41" i="31"/>
  <c r="FT41" i="31"/>
  <c r="FS41" i="31"/>
  <c r="FR41" i="31"/>
  <c r="FQ41" i="31"/>
  <c r="FP41" i="31"/>
  <c r="FO41" i="31"/>
  <c r="FN41" i="31"/>
  <c r="FM41" i="31"/>
  <c r="FL41" i="31"/>
  <c r="FK41" i="31"/>
  <c r="FJ41" i="31"/>
  <c r="FI41" i="31"/>
  <c r="FH41" i="31"/>
  <c r="FG41" i="31"/>
  <c r="FF41" i="31"/>
  <c r="FE41" i="31"/>
  <c r="FD41" i="31"/>
  <c r="FC41" i="31"/>
  <c r="FB41" i="31"/>
  <c r="FA41" i="31"/>
  <c r="EZ41" i="31"/>
  <c r="EY41" i="31"/>
  <c r="EX41" i="31"/>
  <c r="EW41" i="31"/>
  <c r="EV41" i="31"/>
  <c r="ES41" i="31"/>
  <c r="ER41" i="31"/>
  <c r="EQ41" i="31"/>
  <c r="EP41" i="31"/>
  <c r="EO41" i="31"/>
  <c r="EN41" i="31"/>
  <c r="EM41" i="31"/>
  <c r="EL41" i="31"/>
  <c r="EK41" i="31"/>
  <c r="EJ41" i="31"/>
  <c r="EI41" i="31"/>
  <c r="EH41" i="31"/>
  <c r="EG41" i="31"/>
  <c r="EF41" i="31"/>
  <c r="EB41" i="31"/>
  <c r="DZ41" i="31"/>
  <c r="DY41" i="31"/>
  <c r="DW41" i="31"/>
  <c r="GM40" i="31"/>
  <c r="GK40" i="31"/>
  <c r="GJ40" i="31"/>
  <c r="GI40" i="31"/>
  <c r="GH40" i="31"/>
  <c r="GG40" i="31"/>
  <c r="GF40" i="31"/>
  <c r="GE40" i="31"/>
  <c r="GD40" i="31"/>
  <c r="GC40" i="31"/>
  <c r="GB40" i="31"/>
  <c r="GA40" i="31"/>
  <c r="FZ40" i="31"/>
  <c r="FY40" i="31"/>
  <c r="FT40" i="31"/>
  <c r="FS40" i="31"/>
  <c r="FR40" i="31"/>
  <c r="FQ40" i="31"/>
  <c r="FP40" i="31"/>
  <c r="FO40" i="31"/>
  <c r="FN40" i="31"/>
  <c r="FM40" i="31"/>
  <c r="FL40" i="31"/>
  <c r="FK40" i="31"/>
  <c r="FJ40" i="31"/>
  <c r="FI40" i="31"/>
  <c r="FH40" i="31"/>
  <c r="FG40" i="31"/>
  <c r="FF40" i="31"/>
  <c r="FE40" i="31"/>
  <c r="FD40" i="31"/>
  <c r="FC40" i="31"/>
  <c r="FB40" i="31"/>
  <c r="FA40" i="31"/>
  <c r="EZ40" i="31"/>
  <c r="EY40" i="31"/>
  <c r="EX40" i="31"/>
  <c r="EW40" i="31"/>
  <c r="EV40" i="31"/>
  <c r="ES40" i="31"/>
  <c r="ER40" i="31"/>
  <c r="EQ40" i="31"/>
  <c r="EP40" i="31"/>
  <c r="EO40" i="31"/>
  <c r="EN40" i="31"/>
  <c r="EM40" i="31"/>
  <c r="EL40" i="31"/>
  <c r="EK40" i="31"/>
  <c r="EJ40" i="31"/>
  <c r="EI40" i="31"/>
  <c r="EH40" i="31"/>
  <c r="EG40" i="31"/>
  <c r="EF40" i="31"/>
  <c r="EE40" i="31"/>
  <c r="ED40" i="31"/>
  <c r="EC40" i="31"/>
  <c r="EB40" i="31"/>
  <c r="EA40" i="31"/>
  <c r="DZ40" i="31"/>
  <c r="DY40" i="31"/>
  <c r="DX40" i="31"/>
  <c r="DW40" i="31"/>
  <c r="GM38" i="31"/>
  <c r="GK38" i="31"/>
  <c r="GJ38" i="31"/>
  <c r="GI38" i="31"/>
  <c r="GH38" i="31"/>
  <c r="GG38" i="31"/>
  <c r="GF38" i="31"/>
  <c r="GE38" i="31"/>
  <c r="GD38" i="31"/>
  <c r="GC38" i="31"/>
  <c r="GB38" i="31"/>
  <c r="GA38" i="31"/>
  <c r="FT38" i="31"/>
  <c r="FS38" i="31"/>
  <c r="FQ38" i="31"/>
  <c r="FO38" i="31"/>
  <c r="FN38" i="31"/>
  <c r="FM38" i="31"/>
  <c r="FL38" i="31"/>
  <c r="FK38" i="31"/>
  <c r="FJ38" i="31"/>
  <c r="FI38" i="31"/>
  <c r="FH38" i="31"/>
  <c r="FG38" i="31"/>
  <c r="FF38" i="31"/>
  <c r="FE38" i="31"/>
  <c r="FD38" i="31"/>
  <c r="FC38" i="31"/>
  <c r="FB38" i="31"/>
  <c r="FA38" i="31"/>
  <c r="EZ38" i="31"/>
  <c r="EY38" i="31"/>
  <c r="EX38" i="31"/>
  <c r="EW38" i="31"/>
  <c r="EV38" i="31"/>
  <c r="ES38" i="31"/>
  <c r="ER38" i="31"/>
  <c r="EQ38" i="31"/>
  <c r="EP38" i="31"/>
  <c r="EO38" i="31"/>
  <c r="EN38" i="31"/>
  <c r="EM38" i="31"/>
  <c r="EL38" i="31"/>
  <c r="EK38" i="31"/>
  <c r="EJ38" i="31"/>
  <c r="EI38" i="31"/>
  <c r="EH38" i="31"/>
  <c r="EG38" i="31"/>
  <c r="EF38" i="31"/>
  <c r="EE38" i="31"/>
  <c r="ED38" i="31"/>
  <c r="EC38" i="31"/>
  <c r="EB38" i="31"/>
  <c r="EA38" i="31"/>
  <c r="DZ38" i="31"/>
  <c r="DY38" i="31"/>
  <c r="DW38" i="31"/>
  <c r="GM36" i="31"/>
  <c r="GK36" i="31"/>
  <c r="GJ36" i="31"/>
  <c r="GI36" i="31"/>
  <c r="GH36" i="31"/>
  <c r="GG36" i="31"/>
  <c r="GF36" i="31"/>
  <c r="GE36" i="31"/>
  <c r="GD36" i="31"/>
  <c r="GC36" i="31"/>
  <c r="GB36" i="31"/>
  <c r="GA36" i="31"/>
  <c r="FT36" i="31"/>
  <c r="FS36" i="31"/>
  <c r="FQ36" i="31"/>
  <c r="FO36" i="31"/>
  <c r="FN36" i="31"/>
  <c r="FM36" i="31"/>
  <c r="FL36" i="31"/>
  <c r="FK36" i="31"/>
  <c r="FJ36" i="31"/>
  <c r="FI36" i="31"/>
  <c r="FH36" i="31"/>
  <c r="FG36" i="31"/>
  <c r="FF36" i="31"/>
  <c r="FE36" i="31"/>
  <c r="FD36" i="31"/>
  <c r="FC36" i="31"/>
  <c r="FB36" i="31"/>
  <c r="FA36" i="31"/>
  <c r="EZ36" i="31"/>
  <c r="EY36" i="31"/>
  <c r="EX36" i="31"/>
  <c r="EW36" i="31"/>
  <c r="EV36" i="31"/>
  <c r="ES36" i="31"/>
  <c r="ER36" i="31"/>
  <c r="EQ36" i="31"/>
  <c r="EP36" i="31"/>
  <c r="EO36" i="31"/>
  <c r="EN36" i="31"/>
  <c r="EM36" i="31"/>
  <c r="EL36" i="31"/>
  <c r="EK36" i="31"/>
  <c r="EJ36" i="31"/>
  <c r="EI36" i="31"/>
  <c r="EH36" i="31"/>
  <c r="EG36" i="31"/>
  <c r="EF36" i="31"/>
  <c r="EE36" i="31"/>
  <c r="ED36" i="31"/>
  <c r="EC36" i="31"/>
  <c r="EB36" i="31"/>
  <c r="EA36" i="31"/>
  <c r="DZ36" i="31"/>
  <c r="DY36" i="31"/>
  <c r="DW36" i="31"/>
  <c r="GM34" i="31"/>
  <c r="GK34" i="31"/>
  <c r="GJ34" i="31"/>
  <c r="GI34" i="31"/>
  <c r="GH34" i="31"/>
  <c r="GG34" i="31"/>
  <c r="GF34" i="31"/>
  <c r="GE34" i="31"/>
  <c r="GD34" i="31"/>
  <c r="GC34" i="31"/>
  <c r="GB34" i="31"/>
  <c r="GA34" i="31"/>
  <c r="FT34" i="31"/>
  <c r="FS34" i="31"/>
  <c r="FQ34" i="31"/>
  <c r="FO34" i="31"/>
  <c r="FN34" i="31"/>
  <c r="FM34" i="31"/>
  <c r="FL34" i="31"/>
  <c r="FK34" i="31"/>
  <c r="FJ34" i="31"/>
  <c r="FI34" i="31"/>
  <c r="FH34" i="31"/>
  <c r="FG34" i="31"/>
  <c r="FF34" i="31"/>
  <c r="FE34" i="31"/>
  <c r="FD34" i="31"/>
  <c r="FC34" i="31"/>
  <c r="FB34" i="31"/>
  <c r="FA34" i="31"/>
  <c r="EZ34" i="31"/>
  <c r="EY34" i="31"/>
  <c r="EX34" i="31"/>
  <c r="EW34" i="31"/>
  <c r="EV34" i="31"/>
  <c r="ES34" i="31"/>
  <c r="ER34" i="31"/>
  <c r="EQ34" i="31"/>
  <c r="EP34" i="31"/>
  <c r="EO34" i="31"/>
  <c r="EN34" i="31"/>
  <c r="EM34" i="31"/>
  <c r="EL34" i="31"/>
  <c r="EK34" i="31"/>
  <c r="EJ34" i="31"/>
  <c r="EI34" i="31"/>
  <c r="EH34" i="31"/>
  <c r="EG34" i="31"/>
  <c r="EF34" i="31"/>
  <c r="EE34" i="31"/>
  <c r="ED34" i="31"/>
  <c r="EC34" i="31"/>
  <c r="EB34" i="31"/>
  <c r="EA34" i="31"/>
  <c r="DZ34" i="31"/>
  <c r="DY34" i="31"/>
  <c r="DW34" i="31"/>
  <c r="GM32" i="31"/>
  <c r="GK32" i="31"/>
  <c r="GJ32" i="31"/>
  <c r="GI32" i="31"/>
  <c r="GH32" i="31"/>
  <c r="GG32" i="31"/>
  <c r="GF32" i="31"/>
  <c r="GE32" i="31"/>
  <c r="GD32" i="31"/>
  <c r="GC32" i="31"/>
  <c r="GB32" i="31"/>
  <c r="GA32" i="31"/>
  <c r="FT32" i="31"/>
  <c r="FS32" i="31"/>
  <c r="FQ32" i="31"/>
  <c r="FO32" i="31"/>
  <c r="FN32" i="31"/>
  <c r="FM32" i="31"/>
  <c r="FL32" i="31"/>
  <c r="FK32" i="31"/>
  <c r="FJ32" i="31"/>
  <c r="FI32" i="31"/>
  <c r="FH32" i="31"/>
  <c r="FG32" i="31"/>
  <c r="FF32" i="31"/>
  <c r="FE32" i="31"/>
  <c r="FD32" i="31"/>
  <c r="FC32" i="31"/>
  <c r="FB32" i="31"/>
  <c r="FA32" i="31"/>
  <c r="EZ32" i="31"/>
  <c r="EY32" i="31"/>
  <c r="EX32" i="31"/>
  <c r="EW32" i="31"/>
  <c r="EV32" i="31"/>
  <c r="ES32" i="31"/>
  <c r="ER32" i="31"/>
  <c r="EQ32" i="31"/>
  <c r="EP32" i="31"/>
  <c r="EO32" i="31"/>
  <c r="EN32" i="31"/>
  <c r="EM32" i="31"/>
  <c r="EL32" i="31"/>
  <c r="EK32" i="31"/>
  <c r="EJ32" i="31"/>
  <c r="EI32" i="31"/>
  <c r="EH32" i="31"/>
  <c r="EG32" i="31"/>
  <c r="EF32" i="31"/>
  <c r="EE32" i="31"/>
  <c r="ED32" i="31"/>
  <c r="EC32" i="31"/>
  <c r="EB32" i="31"/>
  <c r="EA32" i="31"/>
  <c r="DZ32" i="31"/>
  <c r="DY32" i="31"/>
  <c r="DW32" i="31"/>
  <c r="GM30" i="31"/>
  <c r="GK30" i="31"/>
  <c r="GJ30" i="31"/>
  <c r="GI30" i="31"/>
  <c r="GH30" i="31"/>
  <c r="GG30" i="31"/>
  <c r="GF30" i="31"/>
  <c r="GE30" i="31"/>
  <c r="GD30" i="31"/>
  <c r="GC30" i="31"/>
  <c r="GB30" i="31"/>
  <c r="GA30" i="31"/>
  <c r="FZ30" i="31"/>
  <c r="FY30" i="31"/>
  <c r="FT30" i="31"/>
  <c r="FS30" i="31"/>
  <c r="FR30" i="31"/>
  <c r="FQ30" i="31"/>
  <c r="FP30" i="31"/>
  <c r="FO30" i="31"/>
  <c r="FN30" i="31"/>
  <c r="FM30" i="31"/>
  <c r="FL30" i="31"/>
  <c r="FK30" i="31"/>
  <c r="FJ30" i="31"/>
  <c r="FI30" i="31"/>
  <c r="FH30" i="31"/>
  <c r="FG30" i="31"/>
  <c r="FF30" i="31"/>
  <c r="FE30" i="31"/>
  <c r="FD30" i="31"/>
  <c r="FC30" i="31"/>
  <c r="FB30" i="31"/>
  <c r="FA30" i="31"/>
  <c r="EZ30" i="31"/>
  <c r="EY30" i="31"/>
  <c r="EX30" i="31"/>
  <c r="EW30" i="31"/>
  <c r="EV30" i="31"/>
  <c r="ES30" i="31"/>
  <c r="ER30" i="31"/>
  <c r="EQ30" i="31"/>
  <c r="EP30" i="31"/>
  <c r="EO30" i="31"/>
  <c r="EN30" i="31"/>
  <c r="EM30" i="31"/>
  <c r="EL30" i="31"/>
  <c r="EK30" i="31"/>
  <c r="EJ30" i="31"/>
  <c r="EG30" i="31"/>
  <c r="EE30" i="31"/>
  <c r="ED30" i="31"/>
  <c r="EC30" i="31"/>
  <c r="DZ30" i="31"/>
  <c r="DY30" i="31"/>
  <c r="DW30" i="31"/>
  <c r="GM28" i="31"/>
  <c r="GK28" i="31"/>
  <c r="GJ28" i="31"/>
  <c r="GI28" i="31"/>
  <c r="GH28" i="31"/>
  <c r="GG28" i="31"/>
  <c r="GF28" i="31"/>
  <c r="GE28" i="31"/>
  <c r="GD28" i="31"/>
  <c r="GC28" i="31"/>
  <c r="GB28" i="31"/>
  <c r="GA28" i="31"/>
  <c r="FZ28" i="31"/>
  <c r="FY28" i="31"/>
  <c r="FT28" i="31"/>
  <c r="FS28" i="31"/>
  <c r="FR28" i="31"/>
  <c r="FQ28" i="31"/>
  <c r="FP28" i="31"/>
  <c r="FO28" i="31"/>
  <c r="FN28" i="31"/>
  <c r="FM28" i="31"/>
  <c r="FL28" i="31"/>
  <c r="FK28" i="31"/>
  <c r="FJ28" i="31"/>
  <c r="FI28" i="31"/>
  <c r="FH28" i="31"/>
  <c r="FG28" i="31"/>
  <c r="FF28" i="31"/>
  <c r="FE28" i="31"/>
  <c r="FD28" i="31"/>
  <c r="FC28" i="31"/>
  <c r="FB28" i="31"/>
  <c r="FA28" i="31"/>
  <c r="EZ28" i="31"/>
  <c r="EY28" i="31"/>
  <c r="EX28" i="31"/>
  <c r="EW28" i="31"/>
  <c r="EV28" i="31"/>
  <c r="ES28" i="31"/>
  <c r="ER28" i="31"/>
  <c r="EQ28" i="31"/>
  <c r="EP28" i="31"/>
  <c r="EO28" i="31"/>
  <c r="EN28" i="31"/>
  <c r="EM28" i="31"/>
  <c r="EL28" i="31"/>
  <c r="EK28" i="31"/>
  <c r="EJ28" i="31"/>
  <c r="EI28" i="31"/>
  <c r="EG28" i="31"/>
  <c r="EE28" i="31"/>
  <c r="ED28" i="31"/>
  <c r="EC28" i="31"/>
  <c r="DZ28" i="31"/>
  <c r="DY28" i="31"/>
  <c r="DW28" i="31"/>
  <c r="GM26" i="31"/>
  <c r="GK26" i="31"/>
  <c r="GJ26" i="31"/>
  <c r="GI26" i="31"/>
  <c r="GH26" i="31"/>
  <c r="GG26" i="31"/>
  <c r="GF26" i="31"/>
  <c r="GE26" i="31"/>
  <c r="GD26" i="31"/>
  <c r="GC26" i="31"/>
  <c r="GB26" i="31"/>
  <c r="GA26" i="31"/>
  <c r="FZ26" i="31"/>
  <c r="FY26" i="31"/>
  <c r="FT26" i="31"/>
  <c r="FS26" i="31"/>
  <c r="FR26" i="31"/>
  <c r="FQ26" i="31"/>
  <c r="FP26" i="31"/>
  <c r="FO26" i="31"/>
  <c r="FN26" i="31"/>
  <c r="FM26" i="31"/>
  <c r="FL26" i="31"/>
  <c r="FK26" i="31"/>
  <c r="FJ26" i="31"/>
  <c r="FI26" i="31"/>
  <c r="FH26" i="31"/>
  <c r="FG26" i="31"/>
  <c r="FF26" i="31"/>
  <c r="FE26" i="31"/>
  <c r="FD26" i="31"/>
  <c r="FC26" i="31"/>
  <c r="FB26" i="31"/>
  <c r="FA26" i="31"/>
  <c r="EZ26" i="31"/>
  <c r="EY26" i="31"/>
  <c r="EX26" i="31"/>
  <c r="EW26" i="31"/>
  <c r="EV26" i="31"/>
  <c r="ES26" i="31"/>
  <c r="ER26" i="31"/>
  <c r="EQ26" i="31"/>
  <c r="EP26" i="31"/>
  <c r="EO26" i="31"/>
  <c r="EN26" i="31"/>
  <c r="EM26" i="31"/>
  <c r="EL26" i="31"/>
  <c r="EK26" i="31"/>
  <c r="EJ26" i="31"/>
  <c r="EG26" i="31"/>
  <c r="EE26" i="31"/>
  <c r="ED26" i="31"/>
  <c r="EC26" i="31"/>
  <c r="DZ26" i="31"/>
  <c r="DY26" i="31"/>
  <c r="DW26" i="31"/>
  <c r="GM24" i="31"/>
  <c r="GK24" i="31"/>
  <c r="GJ24" i="31"/>
  <c r="GI24" i="31"/>
  <c r="GH24" i="31"/>
  <c r="GG24" i="31"/>
  <c r="GF24" i="31"/>
  <c r="GE24" i="31"/>
  <c r="GD24" i="31"/>
  <c r="GC24" i="31"/>
  <c r="GB24" i="31"/>
  <c r="GA24" i="31"/>
  <c r="FZ24" i="31"/>
  <c r="FY24" i="31"/>
  <c r="FT24" i="31"/>
  <c r="FS24" i="31"/>
  <c r="FR24" i="31"/>
  <c r="FQ24" i="31"/>
  <c r="FP24" i="31"/>
  <c r="FO24" i="31"/>
  <c r="FN24" i="31"/>
  <c r="FM24" i="31"/>
  <c r="FL24" i="31"/>
  <c r="FK24" i="31"/>
  <c r="FJ24" i="31"/>
  <c r="FI24" i="31"/>
  <c r="FH24" i="31"/>
  <c r="FG24" i="31"/>
  <c r="FF24" i="31"/>
  <c r="FE24" i="31"/>
  <c r="FD24" i="31"/>
  <c r="FC24" i="31"/>
  <c r="FB24" i="31"/>
  <c r="FA24" i="31"/>
  <c r="EZ24" i="31"/>
  <c r="EY24" i="31"/>
  <c r="EX24" i="31"/>
  <c r="EW24" i="31"/>
  <c r="EV24" i="31"/>
  <c r="ES24" i="31"/>
  <c r="ER24" i="31"/>
  <c r="EQ24" i="31"/>
  <c r="EP24" i="31"/>
  <c r="EO24" i="31"/>
  <c r="EN24" i="31"/>
  <c r="EM24" i="31"/>
  <c r="EL24" i="31"/>
  <c r="EK24" i="31"/>
  <c r="EJ24" i="31"/>
  <c r="EI24" i="31"/>
  <c r="EG24" i="31"/>
  <c r="EE24" i="31"/>
  <c r="ED24" i="31"/>
  <c r="EC24" i="31"/>
  <c r="DZ24" i="31"/>
  <c r="DY24" i="31"/>
  <c r="DW24" i="31"/>
  <c r="GM22" i="31"/>
  <c r="GK22" i="31"/>
  <c r="GJ22" i="31"/>
  <c r="GI22" i="31"/>
  <c r="GH22" i="31"/>
  <c r="GG22" i="31"/>
  <c r="GF22" i="31"/>
  <c r="GE22" i="31"/>
  <c r="GD22" i="31"/>
  <c r="GC22" i="31"/>
  <c r="GB22" i="31"/>
  <c r="GA22" i="31"/>
  <c r="FZ22" i="31"/>
  <c r="FY22" i="31"/>
  <c r="FT22" i="31"/>
  <c r="FS22" i="31"/>
  <c r="FR22" i="31"/>
  <c r="FQ22" i="31"/>
  <c r="FP22" i="31"/>
  <c r="FO22" i="31"/>
  <c r="FN22" i="31"/>
  <c r="FM22" i="31"/>
  <c r="FL22" i="31"/>
  <c r="FK22" i="31"/>
  <c r="FJ22" i="31"/>
  <c r="FI22" i="31"/>
  <c r="FH22" i="31"/>
  <c r="FG22" i="31"/>
  <c r="FF22" i="31"/>
  <c r="FE22" i="31"/>
  <c r="FD22" i="31"/>
  <c r="FC22" i="31"/>
  <c r="FB22" i="31"/>
  <c r="FA22" i="31"/>
  <c r="EZ22" i="31"/>
  <c r="EY22" i="31"/>
  <c r="EX22" i="31"/>
  <c r="EW22" i="31"/>
  <c r="EV22" i="31"/>
  <c r="ES22" i="31"/>
  <c r="ER22" i="31"/>
  <c r="EQ22" i="31"/>
  <c r="EP22" i="31"/>
  <c r="EO22" i="31"/>
  <c r="EN22" i="31"/>
  <c r="EM22" i="31"/>
  <c r="EL22" i="31"/>
  <c r="EK22" i="31"/>
  <c r="EG22" i="31"/>
  <c r="EE22" i="31"/>
  <c r="ED22" i="31"/>
  <c r="EC22" i="31"/>
  <c r="DZ22" i="31"/>
  <c r="DY22" i="31"/>
  <c r="DW22" i="31"/>
  <c r="GM21" i="31"/>
  <c r="GK21" i="31"/>
  <c r="GJ21" i="31"/>
  <c r="GI21" i="31"/>
  <c r="GH21" i="31"/>
  <c r="GG21" i="31"/>
  <c r="GF21" i="31"/>
  <c r="GE21" i="31"/>
  <c r="GD21" i="31"/>
  <c r="GC21" i="31"/>
  <c r="GB21" i="31"/>
  <c r="GA21" i="31"/>
  <c r="FZ21" i="31"/>
  <c r="FY21" i="31"/>
  <c r="FT21" i="31"/>
  <c r="FS21" i="31"/>
  <c r="FR21" i="31"/>
  <c r="FQ21" i="31"/>
  <c r="FP21" i="31"/>
  <c r="FO21" i="31"/>
  <c r="FN21" i="31"/>
  <c r="FM21" i="31"/>
  <c r="FL21" i="31"/>
  <c r="FK21" i="31"/>
  <c r="FJ21" i="31"/>
  <c r="FI21" i="31"/>
  <c r="FH21" i="31"/>
  <c r="FG21" i="31"/>
  <c r="FF21" i="31"/>
  <c r="FE21" i="31"/>
  <c r="FD21" i="31"/>
  <c r="FC21" i="31"/>
  <c r="FB21" i="31"/>
  <c r="FA21" i="31"/>
  <c r="EZ21" i="31"/>
  <c r="EY21" i="31"/>
  <c r="EX21" i="31"/>
  <c r="EW21" i="31"/>
  <c r="EV21" i="31"/>
  <c r="ES21" i="31"/>
  <c r="ER21" i="31"/>
  <c r="EQ21" i="31"/>
  <c r="EP21" i="31"/>
  <c r="EO21" i="31"/>
  <c r="EN21" i="31"/>
  <c r="EM21" i="31"/>
  <c r="EG21" i="31"/>
  <c r="EE21" i="31"/>
  <c r="ED21" i="31"/>
  <c r="EC21" i="31"/>
  <c r="DZ21" i="31"/>
  <c r="DY21" i="31"/>
  <c r="DW21" i="31"/>
  <c r="GM20" i="31"/>
  <c r="GK20" i="31"/>
  <c r="GJ20" i="31"/>
  <c r="GI20" i="31"/>
  <c r="GH20" i="31"/>
  <c r="GG20" i="31"/>
  <c r="GF20" i="31"/>
  <c r="GE20" i="31"/>
  <c r="GD20" i="31"/>
  <c r="GC20" i="31"/>
  <c r="GB20" i="31"/>
  <c r="GA20" i="31"/>
  <c r="FZ20" i="31"/>
  <c r="FY20" i="31"/>
  <c r="FT20" i="31"/>
  <c r="FS20" i="31"/>
  <c r="FR20" i="31"/>
  <c r="FQ20" i="31"/>
  <c r="FP20" i="31"/>
  <c r="FO20" i="31"/>
  <c r="FN20" i="31"/>
  <c r="FM20" i="31"/>
  <c r="FL20" i="31"/>
  <c r="FK20" i="31"/>
  <c r="FJ20" i="31"/>
  <c r="FI20" i="31"/>
  <c r="FH20" i="31"/>
  <c r="FG20" i="31"/>
  <c r="FF20" i="31"/>
  <c r="FE20" i="31"/>
  <c r="FD20" i="31"/>
  <c r="FC20" i="31"/>
  <c r="FB20" i="31"/>
  <c r="FA20" i="31"/>
  <c r="EZ20" i="31"/>
  <c r="EY20" i="31"/>
  <c r="EX20" i="31"/>
  <c r="EW20" i="31"/>
  <c r="EV20" i="31"/>
  <c r="ES20" i="31"/>
  <c r="ER20" i="31"/>
  <c r="EQ20" i="31"/>
  <c r="EP20" i="31"/>
  <c r="EO20" i="31"/>
  <c r="EN20" i="31"/>
  <c r="EM20" i="31"/>
  <c r="EL20" i="31"/>
  <c r="EG20" i="31"/>
  <c r="EE20" i="31"/>
  <c r="ED20" i="31"/>
  <c r="EC20" i="31"/>
  <c r="DZ20" i="31"/>
  <c r="DY20" i="31"/>
  <c r="DW20" i="31"/>
  <c r="GM18" i="31"/>
  <c r="GK18" i="31"/>
  <c r="GJ18" i="31"/>
  <c r="GI18" i="31"/>
  <c r="GH18" i="31"/>
  <c r="GG18" i="31"/>
  <c r="GF18" i="31"/>
  <c r="GE18" i="31"/>
  <c r="GD18" i="31"/>
  <c r="GC18" i="31"/>
  <c r="GB18" i="31"/>
  <c r="GA18" i="31"/>
  <c r="FZ18" i="31"/>
  <c r="FY18" i="31"/>
  <c r="FT18" i="31"/>
  <c r="FS18" i="31"/>
  <c r="FR18" i="31"/>
  <c r="FQ18" i="31"/>
  <c r="FP18" i="31"/>
  <c r="FO18" i="31"/>
  <c r="FN18" i="31"/>
  <c r="FM18" i="31"/>
  <c r="FL18" i="31"/>
  <c r="FK18" i="31"/>
  <c r="FJ18" i="31"/>
  <c r="FI18" i="31"/>
  <c r="FH18" i="31"/>
  <c r="FG18" i="31"/>
  <c r="FF18" i="31"/>
  <c r="FE18" i="31"/>
  <c r="FD18" i="31"/>
  <c r="FC18" i="31"/>
  <c r="FB18" i="31"/>
  <c r="FA18" i="31"/>
  <c r="EZ18" i="31"/>
  <c r="EY18" i="31"/>
  <c r="EX18" i="31"/>
  <c r="EW18" i="31"/>
  <c r="EV18" i="31"/>
  <c r="ES18" i="31"/>
  <c r="ER18" i="31"/>
  <c r="EQ18" i="31"/>
  <c r="EP18" i="31"/>
  <c r="EO18" i="31"/>
  <c r="EN18" i="31"/>
  <c r="EM18" i="31"/>
  <c r="EG18" i="31"/>
  <c r="EE18" i="31"/>
  <c r="ED18" i="31"/>
  <c r="EC18" i="31"/>
  <c r="DZ18" i="31"/>
  <c r="DY18" i="31"/>
  <c r="DW18" i="31"/>
  <c r="GM16" i="31"/>
  <c r="GK16" i="31"/>
  <c r="GJ16" i="31"/>
  <c r="GI16" i="31"/>
  <c r="GH16" i="31"/>
  <c r="GG16" i="31"/>
  <c r="GF16" i="31"/>
  <c r="GE16" i="31"/>
  <c r="GD16" i="31"/>
  <c r="GC16" i="31"/>
  <c r="GB16" i="31"/>
  <c r="GA16" i="31"/>
  <c r="FZ16" i="31"/>
  <c r="FY16" i="31"/>
  <c r="FT16" i="31"/>
  <c r="FS16" i="31"/>
  <c r="FR16" i="31"/>
  <c r="FQ16" i="31"/>
  <c r="FP16" i="31"/>
  <c r="FO16" i="31"/>
  <c r="FN16" i="31"/>
  <c r="FM16" i="31"/>
  <c r="FL16" i="31"/>
  <c r="FK16" i="31"/>
  <c r="FJ16" i="31"/>
  <c r="FI16" i="31"/>
  <c r="FH16" i="31"/>
  <c r="FG16" i="31"/>
  <c r="FF16" i="31"/>
  <c r="FE16" i="31"/>
  <c r="FD16" i="31"/>
  <c r="FC16" i="31"/>
  <c r="FB16" i="31"/>
  <c r="FA16" i="31"/>
  <c r="EZ16" i="31"/>
  <c r="EY16" i="31"/>
  <c r="EX16" i="31"/>
  <c r="EW16" i="31"/>
  <c r="ES16" i="31"/>
  <c r="EQ16" i="31"/>
  <c r="EP16" i="31"/>
  <c r="EM16" i="31"/>
  <c r="EL16" i="31"/>
  <c r="EK16" i="31"/>
  <c r="EJ16" i="31"/>
  <c r="EI16" i="31"/>
  <c r="EH16" i="31"/>
  <c r="EG16" i="31"/>
  <c r="EE16" i="31"/>
  <c r="ED16" i="31"/>
  <c r="EC16" i="31"/>
  <c r="DZ16" i="31"/>
  <c r="DY16" i="31"/>
  <c r="DW16" i="31"/>
  <c r="GM14" i="31"/>
  <c r="GK14" i="31"/>
  <c r="GJ14" i="31"/>
  <c r="GI14" i="31"/>
  <c r="GH14" i="31"/>
  <c r="GG14" i="31"/>
  <c r="GF14" i="31"/>
  <c r="GE14" i="31"/>
  <c r="GD14" i="31"/>
  <c r="GC14" i="31"/>
  <c r="GB14" i="31"/>
  <c r="GA14" i="31"/>
  <c r="FZ14" i="31"/>
  <c r="FY14" i="31"/>
  <c r="FT14" i="31"/>
  <c r="FS14" i="31"/>
  <c r="FR14" i="31"/>
  <c r="FQ14" i="31"/>
  <c r="FP14" i="31"/>
  <c r="FO14" i="31"/>
  <c r="FN14" i="31"/>
  <c r="FM14" i="31"/>
  <c r="FL14" i="31"/>
  <c r="FK14" i="31"/>
  <c r="FJ14" i="31"/>
  <c r="FI14" i="31"/>
  <c r="FH14" i="31"/>
  <c r="FG14" i="31"/>
  <c r="FF14" i="31"/>
  <c r="FE14" i="31"/>
  <c r="FD14" i="31"/>
  <c r="FC14" i="31"/>
  <c r="FB14" i="31"/>
  <c r="FA14" i="31"/>
  <c r="EZ14" i="31"/>
  <c r="EY14" i="31"/>
  <c r="EX14" i="31"/>
  <c r="EW14" i="31"/>
  <c r="ES14" i="31"/>
  <c r="EQ14" i="31"/>
  <c r="EP14" i="31"/>
  <c r="EM14" i="31"/>
  <c r="EL14" i="31"/>
  <c r="EK14" i="31"/>
  <c r="EJ14" i="31"/>
  <c r="EI14" i="31"/>
  <c r="EH14" i="31"/>
  <c r="EG14" i="31"/>
  <c r="EE14" i="31"/>
  <c r="ED14" i="31"/>
  <c r="EC14" i="31"/>
  <c r="DZ14" i="31"/>
  <c r="DY14" i="31"/>
  <c r="DW14" i="31"/>
  <c r="GM12" i="31"/>
  <c r="GK12" i="31"/>
  <c r="GJ12" i="31"/>
  <c r="GI12" i="31"/>
  <c r="GH12" i="31"/>
  <c r="GG12" i="31"/>
  <c r="GF12" i="31"/>
  <c r="GE12" i="31"/>
  <c r="GD12" i="31"/>
  <c r="GC12" i="31"/>
  <c r="GB12" i="31"/>
  <c r="GA12" i="31"/>
  <c r="FZ12" i="31"/>
  <c r="FY12" i="31"/>
  <c r="FT12" i="31"/>
  <c r="FS12" i="31"/>
  <c r="FR12" i="31"/>
  <c r="FQ12" i="31"/>
  <c r="FP12" i="31"/>
  <c r="FO12" i="31"/>
  <c r="FN12" i="31"/>
  <c r="FM12" i="31"/>
  <c r="FL12" i="31"/>
  <c r="FK12" i="31"/>
  <c r="FJ12" i="31"/>
  <c r="FI12" i="31"/>
  <c r="FH12" i="31"/>
  <c r="FG12" i="31"/>
  <c r="FF12" i="31"/>
  <c r="FE12" i="31"/>
  <c r="FD12" i="31"/>
  <c r="FC12" i="31"/>
  <c r="FB12" i="31"/>
  <c r="FA12" i="31"/>
  <c r="EZ12" i="31"/>
  <c r="EY12" i="31"/>
  <c r="EX12" i="31"/>
  <c r="EW12" i="31"/>
  <c r="ES12" i="31"/>
  <c r="EQ12" i="31"/>
  <c r="EP12" i="31"/>
  <c r="EM12" i="31"/>
  <c r="EL12" i="31"/>
  <c r="EK12" i="31"/>
  <c r="EJ12" i="31"/>
  <c r="EI12" i="31"/>
  <c r="EH12" i="31"/>
  <c r="EG12" i="31"/>
  <c r="EE12" i="31"/>
  <c r="ED12" i="31"/>
  <c r="EC12" i="31"/>
  <c r="DZ12" i="31"/>
  <c r="DY12" i="31"/>
  <c r="DW12" i="31"/>
  <c r="GM10" i="31"/>
  <c r="GK10" i="31"/>
  <c r="GJ10" i="31"/>
  <c r="GI10" i="31"/>
  <c r="GH10" i="31"/>
  <c r="GG10" i="31"/>
  <c r="GF10" i="31"/>
  <c r="GE10" i="31"/>
  <c r="GD10" i="31"/>
  <c r="GC10" i="31"/>
  <c r="GB10" i="31"/>
  <c r="GA10" i="31"/>
  <c r="FZ10" i="31"/>
  <c r="FY10" i="31"/>
  <c r="FT10" i="31"/>
  <c r="FS10" i="31"/>
  <c r="FR10" i="31"/>
  <c r="FQ10" i="31"/>
  <c r="FP10" i="31"/>
  <c r="FO10" i="31"/>
  <c r="FN10" i="31"/>
  <c r="FM10" i="31"/>
  <c r="FL10" i="31"/>
  <c r="FK10" i="31"/>
  <c r="FJ10" i="31"/>
  <c r="FI10" i="31"/>
  <c r="FH10" i="31"/>
  <c r="FG10" i="31"/>
  <c r="FF10" i="31"/>
  <c r="FE10" i="31"/>
  <c r="FD10" i="31"/>
  <c r="FC10" i="31"/>
  <c r="FB10" i="31"/>
  <c r="FA10" i="31"/>
  <c r="EZ10" i="31"/>
  <c r="EY10" i="31"/>
  <c r="EX10" i="31"/>
  <c r="EW10" i="31"/>
  <c r="ES10" i="31"/>
  <c r="EQ10" i="31"/>
  <c r="EP10" i="31"/>
  <c r="EM10" i="31"/>
  <c r="EL10" i="31"/>
  <c r="EK10" i="31"/>
  <c r="EJ10" i="31"/>
  <c r="EI10" i="31"/>
  <c r="EH10" i="31"/>
  <c r="EG10" i="31"/>
  <c r="EE10" i="31"/>
  <c r="ED10" i="31"/>
  <c r="EC10" i="31"/>
  <c r="DZ10" i="31"/>
  <c r="DY10" i="31"/>
  <c r="DW10" i="31"/>
  <c r="GM9" i="31"/>
  <c r="GK9" i="31"/>
  <c r="GJ9" i="31"/>
  <c r="GI9" i="31"/>
  <c r="GH9" i="31"/>
  <c r="GG9" i="31"/>
  <c r="GF9" i="31"/>
  <c r="GE9" i="31"/>
  <c r="GD9" i="31"/>
  <c r="GC9" i="31"/>
  <c r="GB9" i="31"/>
  <c r="GA9" i="31"/>
  <c r="FZ9" i="31"/>
  <c r="FY9" i="31"/>
  <c r="FT9" i="31"/>
  <c r="FS9" i="31"/>
  <c r="FR9" i="31"/>
  <c r="FQ9" i="31"/>
  <c r="FP9" i="31"/>
  <c r="FO9" i="31"/>
  <c r="FN9" i="31"/>
  <c r="FM9" i="31"/>
  <c r="FL9" i="31"/>
  <c r="FK9" i="31"/>
  <c r="FJ9" i="31"/>
  <c r="FI9" i="31"/>
  <c r="FH9" i="31"/>
  <c r="FG9" i="31"/>
  <c r="FF9" i="31"/>
  <c r="FE9" i="31"/>
  <c r="FD9" i="31"/>
  <c r="FC9" i="31"/>
  <c r="FB9" i="31"/>
  <c r="FA9" i="31"/>
  <c r="EZ9" i="31"/>
  <c r="EY9" i="31"/>
  <c r="EX9" i="31"/>
  <c r="EW9" i="31"/>
  <c r="EV9" i="31"/>
  <c r="ES9" i="31"/>
  <c r="ER9" i="31"/>
  <c r="EQ9" i="31"/>
  <c r="EP9" i="31"/>
  <c r="EO9" i="31"/>
  <c r="EN9" i="31"/>
  <c r="EM9" i="31"/>
  <c r="EL9" i="31"/>
  <c r="EK9" i="31"/>
  <c r="EJ9" i="31"/>
  <c r="EI9" i="31"/>
  <c r="EH9" i="31"/>
  <c r="EE9" i="31"/>
  <c r="ED9" i="31"/>
  <c r="EC9" i="31"/>
  <c r="DZ9" i="31"/>
  <c r="DY9" i="31"/>
  <c r="DW9" i="31"/>
  <c r="GM8" i="31"/>
  <c r="GK8" i="31"/>
  <c r="GJ8" i="31"/>
  <c r="GI8" i="31"/>
  <c r="GH8" i="31"/>
  <c r="GG8" i="31"/>
  <c r="GF8" i="31"/>
  <c r="GE8" i="31"/>
  <c r="GD8" i="31"/>
  <c r="GC8" i="31"/>
  <c r="GB8" i="31"/>
  <c r="GA8" i="31"/>
  <c r="FZ8" i="31"/>
  <c r="FY8" i="31"/>
  <c r="FT8" i="31"/>
  <c r="FS8" i="31"/>
  <c r="FR8" i="31"/>
  <c r="FQ8" i="31"/>
  <c r="FP8" i="31"/>
  <c r="FO8" i="31"/>
  <c r="FN8" i="31"/>
  <c r="FM8" i="31"/>
  <c r="FL8" i="31"/>
  <c r="FK8" i="31"/>
  <c r="FJ8" i="31"/>
  <c r="FI8" i="31"/>
  <c r="FH8" i="31"/>
  <c r="FG8" i="31"/>
  <c r="FF8" i="31"/>
  <c r="FE8" i="31"/>
  <c r="FD8" i="31"/>
  <c r="FC8" i="31"/>
  <c r="FB8" i="31"/>
  <c r="FA8" i="31"/>
  <c r="EZ8" i="31"/>
  <c r="EY8" i="31"/>
  <c r="EX8" i="31"/>
  <c r="EW8" i="31"/>
  <c r="EV8" i="31"/>
  <c r="ES8" i="31"/>
  <c r="ER8" i="31"/>
  <c r="EQ8" i="31"/>
  <c r="EP8" i="31"/>
  <c r="EO8" i="31"/>
  <c r="EN8" i="31"/>
  <c r="EM8" i="31"/>
  <c r="EL8" i="31"/>
  <c r="EK8" i="31"/>
  <c r="EJ8" i="31"/>
  <c r="EI8" i="31"/>
  <c r="EH8" i="31"/>
  <c r="EE8" i="31"/>
  <c r="ED8" i="31"/>
  <c r="EC8" i="31"/>
  <c r="DZ8" i="31"/>
  <c r="DY8" i="31"/>
  <c r="DW8" i="31"/>
  <c r="GM7" i="31"/>
  <c r="GK7" i="31"/>
  <c r="GJ7" i="31"/>
  <c r="GI7" i="31"/>
  <c r="GH7" i="31"/>
  <c r="GG7" i="31"/>
  <c r="GF7" i="31"/>
  <c r="GE7" i="31"/>
  <c r="GD7" i="31"/>
  <c r="GC7" i="31"/>
  <c r="GB7" i="31"/>
  <c r="GA7" i="31"/>
  <c r="FZ7" i="31"/>
  <c r="FY7" i="31"/>
  <c r="FT7" i="31"/>
  <c r="FS7" i="31"/>
  <c r="FR7" i="31"/>
  <c r="FQ7" i="31"/>
  <c r="FP7" i="31"/>
  <c r="FO7" i="31"/>
  <c r="FN7" i="31"/>
  <c r="FM7" i="31"/>
  <c r="FL7" i="31"/>
  <c r="FK7" i="31"/>
  <c r="FJ7" i="31"/>
  <c r="FI7" i="31"/>
  <c r="FH7" i="31"/>
  <c r="FG7" i="31"/>
  <c r="FF7" i="31"/>
  <c r="FE7" i="31"/>
  <c r="FD7" i="31"/>
  <c r="FC7" i="31"/>
  <c r="FB7" i="31"/>
  <c r="FA7" i="31"/>
  <c r="EZ7" i="31"/>
  <c r="EY7" i="31"/>
  <c r="EX7" i="31"/>
  <c r="EW7" i="31"/>
  <c r="EV7" i="31"/>
  <c r="ES7" i="31"/>
  <c r="ER7" i="31"/>
  <c r="EQ7" i="31"/>
  <c r="EP7" i="31"/>
  <c r="EO7" i="31"/>
  <c r="EN7" i="31"/>
  <c r="EM7" i="31"/>
  <c r="EL7" i="31"/>
  <c r="EK7" i="31"/>
  <c r="EG7" i="31"/>
  <c r="EE7" i="31"/>
  <c r="ED7" i="31"/>
  <c r="EC7" i="31"/>
  <c r="DZ7" i="31"/>
  <c r="DY7" i="31"/>
  <c r="DW7" i="31"/>
  <c r="GM6" i="31"/>
  <c r="GK6" i="31"/>
  <c r="GJ6" i="31"/>
  <c r="GI6" i="31"/>
  <c r="GH6" i="31"/>
  <c r="GG6" i="31"/>
  <c r="GF6" i="31"/>
  <c r="GE6" i="31"/>
  <c r="GD6" i="31"/>
  <c r="GC6" i="31"/>
  <c r="GB6" i="31"/>
  <c r="GA6" i="31"/>
  <c r="FZ6" i="31"/>
  <c r="FY6" i="31"/>
  <c r="FT6" i="31"/>
  <c r="FS6" i="31"/>
  <c r="FR6" i="31"/>
  <c r="FQ6" i="31"/>
  <c r="FP6" i="31"/>
  <c r="FO6" i="31"/>
  <c r="FN6" i="31"/>
  <c r="FM6" i="31"/>
  <c r="FL6" i="31"/>
  <c r="FK6" i="31"/>
  <c r="FJ6" i="31"/>
  <c r="FI6" i="31"/>
  <c r="FH6" i="31"/>
  <c r="FG6" i="31"/>
  <c r="FF6" i="31"/>
  <c r="FE6" i="31"/>
  <c r="FD6" i="31"/>
  <c r="FC6" i="31"/>
  <c r="FB6" i="31"/>
  <c r="FA6" i="31"/>
  <c r="EZ6" i="31"/>
  <c r="EY6" i="31"/>
  <c r="EX6" i="31"/>
  <c r="EW6" i="31"/>
  <c r="EV6" i="31"/>
  <c r="ES6" i="31"/>
  <c r="ER6" i="31"/>
  <c r="EQ6" i="31"/>
  <c r="EP6" i="31"/>
  <c r="EO6" i="31"/>
  <c r="EN6" i="31"/>
  <c r="EM6" i="31"/>
  <c r="EL6" i="31"/>
  <c r="EK6" i="31"/>
  <c r="EJ6" i="31"/>
  <c r="EI6" i="31"/>
  <c r="EH6" i="31"/>
  <c r="EG6" i="31"/>
  <c r="EF6" i="31"/>
  <c r="EE6" i="31"/>
  <c r="ED6" i="31"/>
  <c r="EC6" i="31"/>
  <c r="EB6" i="31"/>
  <c r="EA6" i="31"/>
  <c r="DZ6" i="31"/>
  <c r="DY6" i="31"/>
  <c r="DX6" i="31"/>
  <c r="C112" i="39"/>
  <c r="C111" i="39"/>
  <c r="A44" i="44" l="1"/>
  <c r="A45" i="44" s="1"/>
  <c r="A46" i="44" s="1"/>
  <c r="FB85" i="31"/>
  <c r="FC85" i="31"/>
  <c r="EX85" i="31"/>
  <c r="EY85" i="31"/>
  <c r="EZ85" i="31"/>
  <c r="FA85" i="31"/>
  <c r="DZ102" i="45"/>
  <c r="EC102" i="45"/>
  <c r="ED102" i="45"/>
  <c r="EE102" i="45"/>
  <c r="EG102" i="45"/>
  <c r="EH102" i="45"/>
  <c r="EI102" i="45"/>
  <c r="EJ102" i="45"/>
  <c r="EK102" i="45"/>
  <c r="EL102" i="45"/>
  <c r="EM102" i="45"/>
  <c r="EP102" i="45"/>
  <c r="EQ102" i="45"/>
  <c r="ES102" i="45"/>
  <c r="EU102" i="45"/>
  <c r="EX102" i="45"/>
  <c r="EY102" i="45"/>
  <c r="EZ102" i="45"/>
  <c r="FA102" i="45"/>
  <c r="FB102" i="45"/>
  <c r="FC102" i="45"/>
  <c r="FD102" i="45"/>
  <c r="FE102" i="45"/>
  <c r="FF102" i="45"/>
  <c r="FG102" i="45"/>
  <c r="FH102" i="45"/>
  <c r="FI102" i="45"/>
  <c r="FJ102" i="45"/>
  <c r="FK102" i="45"/>
  <c r="FL102" i="45"/>
  <c r="FM102" i="45"/>
  <c r="FN102" i="45"/>
  <c r="FO102" i="45"/>
  <c r="FP102" i="45"/>
  <c r="FQ102" i="45"/>
  <c r="FR102" i="45"/>
  <c r="FS102" i="45"/>
  <c r="FT102" i="45"/>
  <c r="DY85" i="31"/>
  <c r="DY87" i="31" s="1"/>
  <c r="DZ85" i="31"/>
  <c r="DZ90" i="31" s="1"/>
  <c r="EM85" i="31"/>
  <c r="EM91" i="31" s="1"/>
  <c r="FD85" i="31"/>
  <c r="FD88" i="31" s="1"/>
  <c r="FI85" i="31"/>
  <c r="FI90" i="31" s="1"/>
  <c r="FJ85" i="31"/>
  <c r="FJ90" i="31" s="1"/>
  <c r="FK85" i="31"/>
  <c r="FK87" i="31" s="1"/>
  <c r="FL85" i="31"/>
  <c r="FL90" i="31" s="1"/>
  <c r="FM85" i="31"/>
  <c r="FM87" i="31" s="1"/>
  <c r="FQ85" i="31"/>
  <c r="FQ91" i="31" s="1"/>
  <c r="GB85" i="31"/>
  <c r="GB90" i="31" s="1"/>
  <c r="GC85" i="31"/>
  <c r="GC87" i="31" s="1"/>
  <c r="GD85" i="31"/>
  <c r="GD90" i="31" s="1"/>
  <c r="GE85" i="31"/>
  <c r="GE91" i="31" s="1"/>
  <c r="GF85" i="31"/>
  <c r="GF88" i="31" s="1"/>
  <c r="FN85" i="31"/>
  <c r="FN91" i="31" s="1"/>
  <c r="GG85" i="31"/>
  <c r="GG87" i="31" s="1"/>
  <c r="FO85" i="31"/>
  <c r="FO91" i="31" s="1"/>
  <c r="GH85" i="31"/>
  <c r="GH91" i="31" s="1"/>
  <c r="FE85" i="31"/>
  <c r="FE87" i="31" s="1"/>
  <c r="ES85" i="31"/>
  <c r="ES87" i="31" s="1"/>
  <c r="FF85" i="31"/>
  <c r="FF90" i="31" s="1"/>
  <c r="GK85" i="31"/>
  <c r="GK87" i="31" s="1"/>
  <c r="GI85" i="31"/>
  <c r="GI91" i="31" s="1"/>
  <c r="FS85" i="31"/>
  <c r="FS88" i="31" s="1"/>
  <c r="GJ85" i="31"/>
  <c r="GJ88" i="31" s="1"/>
  <c r="FT85" i="31"/>
  <c r="FT87" i="31" s="1"/>
  <c r="FG85" i="31"/>
  <c r="FG91" i="31" s="1"/>
  <c r="GM85" i="31"/>
  <c r="GM90" i="31" s="1"/>
  <c r="FH85" i="31"/>
  <c r="FH90" i="31" s="1"/>
  <c r="GA85" i="31"/>
  <c r="GA90" i="31" s="1"/>
  <c r="FD448" i="44"/>
  <c r="EK283" i="39"/>
  <c r="EX283" i="39"/>
  <c r="FJ283" i="39"/>
  <c r="EO283" i="39"/>
  <c r="FB283" i="39"/>
  <c r="FN283" i="39"/>
  <c r="ED283" i="39"/>
  <c r="EP283" i="39"/>
  <c r="FC283" i="39"/>
  <c r="FO283" i="39"/>
  <c r="DY283" i="39"/>
  <c r="DY285" i="39" s="1"/>
  <c r="DX283" i="39"/>
  <c r="DX285" i="39" s="1"/>
  <c r="EJ283" i="39"/>
  <c r="EW283" i="39"/>
  <c r="FI283" i="39"/>
  <c r="EQ283" i="39"/>
  <c r="DZ283" i="39"/>
  <c r="EL283" i="39"/>
  <c r="EY283" i="39"/>
  <c r="FK283" i="39"/>
  <c r="EA283" i="39"/>
  <c r="EM283" i="39"/>
  <c r="EZ283" i="39"/>
  <c r="FL283" i="39"/>
  <c r="EB283" i="39"/>
  <c r="EN283" i="39"/>
  <c r="FA283" i="39"/>
  <c r="FM283" i="39"/>
  <c r="FP283" i="39"/>
  <c r="EF283" i="39"/>
  <c r="ER283" i="39"/>
  <c r="FE283" i="39"/>
  <c r="ES283" i="39"/>
  <c r="FF283" i="39"/>
  <c r="FR283" i="39"/>
  <c r="FD283" i="39"/>
  <c r="EH283" i="39"/>
  <c r="EU283" i="39"/>
  <c r="FG283" i="39"/>
  <c r="EC283" i="39"/>
  <c r="EE283" i="39"/>
  <c r="EI283" i="39"/>
  <c r="EV283" i="39"/>
  <c r="FH283" i="39"/>
  <c r="GE448" i="44"/>
  <c r="GE453" i="44" s="1"/>
  <c r="FF448" i="44"/>
  <c r="GC448" i="44"/>
  <c r="GC451" i="44" s="1"/>
  <c r="GM457" i="44"/>
  <c r="GH448" i="44"/>
  <c r="GH450" i="44" s="1"/>
  <c r="GF448" i="44"/>
  <c r="GF454" i="44" s="1"/>
  <c r="FC448" i="44"/>
  <c r="ES448" i="44"/>
  <c r="FO448" i="44"/>
  <c r="FO451" i="44" s="1"/>
  <c r="EU448" i="44"/>
  <c r="FS448" i="44"/>
  <c r="FG448" i="44"/>
  <c r="GI448" i="44"/>
  <c r="EG448" i="44"/>
  <c r="FT448" i="44"/>
  <c r="GJ448" i="44"/>
  <c r="GK448" i="44"/>
  <c r="GM448" i="44"/>
  <c r="FB448" i="44"/>
  <c r="GD448" i="44"/>
  <c r="FL448" i="44"/>
  <c r="FK448" i="44"/>
  <c r="GA448" i="44"/>
  <c r="FE448" i="44"/>
  <c r="GG448" i="44"/>
  <c r="DW283" i="39"/>
  <c r="A48" i="44" l="1"/>
  <c r="A50" i="44" s="1"/>
  <c r="A51" i="44" s="1"/>
  <c r="A52" i="44" s="1"/>
  <c r="A53" i="44" s="1"/>
  <c r="A54" i="44" s="1"/>
  <c r="A55" i="44" s="1"/>
  <c r="A56" i="44" s="1"/>
  <c r="A57" i="44" s="1"/>
  <c r="A59" i="44" s="1"/>
  <c r="A60" i="44" s="1"/>
  <c r="A47" i="44"/>
  <c r="A49" i="44" s="1"/>
  <c r="EY87" i="31"/>
  <c r="EY88" i="31"/>
  <c r="EY90" i="31"/>
  <c r="EY91" i="31"/>
  <c r="EX90" i="31"/>
  <c r="EX91" i="31"/>
  <c r="EX87" i="31"/>
  <c r="EX88" i="31"/>
  <c r="FA88" i="31"/>
  <c r="FA91" i="31"/>
  <c r="FA87" i="31"/>
  <c r="FA90" i="31"/>
  <c r="EZ87" i="31"/>
  <c r="EZ88" i="31"/>
  <c r="EZ91" i="31"/>
  <c r="EZ90" i="31"/>
  <c r="FC88" i="31"/>
  <c r="FC90" i="31"/>
  <c r="FC87" i="31"/>
  <c r="FC91" i="31"/>
  <c r="FB88" i="31"/>
  <c r="FB90" i="31"/>
  <c r="FB87" i="31"/>
  <c r="FB91" i="31"/>
  <c r="FD90" i="31"/>
  <c r="FD91" i="31"/>
  <c r="FD87" i="31"/>
  <c r="FJ87" i="31"/>
  <c r="FI87" i="31"/>
  <c r="FI91" i="31"/>
  <c r="FK88" i="31"/>
  <c r="FK94" i="31" s="1"/>
  <c r="FJ88" i="31"/>
  <c r="FJ93" i="31" s="1"/>
  <c r="EM90" i="31"/>
  <c r="FI88" i="31"/>
  <c r="FI93" i="31" s="1"/>
  <c r="FN90" i="31"/>
  <c r="FK91" i="31"/>
  <c r="FJ91" i="31"/>
  <c r="DZ87" i="31"/>
  <c r="DY88" i="31"/>
  <c r="DY94" i="31" s="1"/>
  <c r="DZ91" i="31"/>
  <c r="FL88" i="31"/>
  <c r="FL94" i="31" s="1"/>
  <c r="FN88" i="31"/>
  <c r="FN94" i="31" s="1"/>
  <c r="FK90" i="31"/>
  <c r="FT88" i="31"/>
  <c r="FT93" i="31" s="1"/>
  <c r="GG90" i="31"/>
  <c r="FL91" i="31"/>
  <c r="FM91" i="31"/>
  <c r="FM88" i="31"/>
  <c r="FM94" i="31" s="1"/>
  <c r="GG91" i="31"/>
  <c r="FL87" i="31"/>
  <c r="DY90" i="31"/>
  <c r="GM87" i="31"/>
  <c r="DY91" i="31"/>
  <c r="FQ88" i="31"/>
  <c r="FQ94" i="31" s="1"/>
  <c r="FE91" i="31"/>
  <c r="GE87" i="31"/>
  <c r="GH88" i="31"/>
  <c r="GH94" i="31" s="1"/>
  <c r="GF87" i="31"/>
  <c r="GH90" i="31"/>
  <c r="FQ90" i="31"/>
  <c r="GH87" i="31"/>
  <c r="FQ87" i="31"/>
  <c r="GK91" i="31"/>
  <c r="GG88" i="31"/>
  <c r="GG94" i="31" s="1"/>
  <c r="FF91" i="31"/>
  <c r="GM88" i="31"/>
  <c r="GM94" i="31" s="1"/>
  <c r="GD88" i="31"/>
  <c r="GD94" i="31" s="1"/>
  <c r="GE88" i="31"/>
  <c r="FF87" i="31"/>
  <c r="EM87" i="31"/>
  <c r="GE90" i="31"/>
  <c r="DZ88" i="31"/>
  <c r="DZ94" i="31" s="1"/>
  <c r="GM91" i="31"/>
  <c r="GD87" i="31"/>
  <c r="GB91" i="31"/>
  <c r="GF91" i="31"/>
  <c r="FF88" i="31"/>
  <c r="FF94" i="31" s="1"/>
  <c r="ES88" i="31"/>
  <c r="ES94" i="31" s="1"/>
  <c r="EM88" i="31"/>
  <c r="EM93" i="31" s="1"/>
  <c r="GC91" i="31"/>
  <c r="FE88" i="31"/>
  <c r="FE94" i="31" s="1"/>
  <c r="GB87" i="31"/>
  <c r="GC90" i="31"/>
  <c r="GF90" i="31"/>
  <c r="FE90" i="31"/>
  <c r="GB88" i="31"/>
  <c r="GB94" i="31" s="1"/>
  <c r="GD91" i="31"/>
  <c r="ES91" i="31"/>
  <c r="FM90" i="31"/>
  <c r="GC88" i="31"/>
  <c r="GC94" i="31" s="1"/>
  <c r="FO90" i="31"/>
  <c r="GJ91" i="31"/>
  <c r="FS90" i="31"/>
  <c r="FO88" i="31"/>
  <c r="FO93" i="31" s="1"/>
  <c r="GK88" i="31"/>
  <c r="GK94" i="31" s="1"/>
  <c r="FT91" i="31"/>
  <c r="FT90" i="31"/>
  <c r="GJ90" i="31"/>
  <c r="FS87" i="31"/>
  <c r="FO87" i="31"/>
  <c r="GK90" i="31"/>
  <c r="ES90" i="31"/>
  <c r="FS91" i="31"/>
  <c r="GJ87" i="31"/>
  <c r="FN87" i="31"/>
  <c r="GA88" i="31"/>
  <c r="GA93" i="31" s="1"/>
  <c r="FG87" i="31"/>
  <c r="GA91" i="31"/>
  <c r="GI88" i="31"/>
  <c r="GI93" i="31" s="1"/>
  <c r="GI90" i="31"/>
  <c r="GA87" i="31"/>
  <c r="FH91" i="31"/>
  <c r="FG88" i="31"/>
  <c r="FG94" i="31" s="1"/>
  <c r="FG90" i="31"/>
  <c r="GI87" i="31"/>
  <c r="FH87" i="31"/>
  <c r="FH88" i="31"/>
  <c r="FH94" i="31" s="1"/>
  <c r="GF94" i="31"/>
  <c r="GF93" i="31"/>
  <c r="GJ94" i="31"/>
  <c r="GJ93" i="31"/>
  <c r="FD93" i="31"/>
  <c r="FD94" i="31"/>
  <c r="FS94" i="31"/>
  <c r="FS93" i="31"/>
  <c r="GE454" i="44"/>
  <c r="FO454" i="44"/>
  <c r="GH451" i="44"/>
  <c r="GH456" i="44" s="1"/>
  <c r="GH454" i="44"/>
  <c r="GH453" i="44"/>
  <c r="GC450" i="44"/>
  <c r="GE451" i="44"/>
  <c r="GE457" i="44" s="1"/>
  <c r="FO453" i="44"/>
  <c r="GC454" i="44"/>
  <c r="GC453" i="44"/>
  <c r="FO450" i="44"/>
  <c r="GF450" i="44"/>
  <c r="GF453" i="44"/>
  <c r="GF451" i="44"/>
  <c r="GF457" i="44" s="1"/>
  <c r="GE450" i="44"/>
  <c r="FT454" i="44"/>
  <c r="FT450" i="44"/>
  <c r="FT453" i="44"/>
  <c r="FT451" i="44"/>
  <c r="GA450" i="44"/>
  <c r="GA451" i="44"/>
  <c r="GA453" i="44"/>
  <c r="GA454" i="44"/>
  <c r="GC457" i="44"/>
  <c r="GC456" i="44"/>
  <c r="GG451" i="44"/>
  <c r="GG453" i="44"/>
  <c r="GG454" i="44"/>
  <c r="GG450" i="44"/>
  <c r="GK454" i="44"/>
  <c r="GK450" i="44"/>
  <c r="GK451" i="44"/>
  <c r="GK453" i="44"/>
  <c r="FS454" i="44"/>
  <c r="FS450" i="44"/>
  <c r="FS451" i="44"/>
  <c r="FS453" i="44"/>
  <c r="GJ454" i="44"/>
  <c r="GJ450" i="44"/>
  <c r="GJ453" i="44"/>
  <c r="GJ451" i="44"/>
  <c r="GM454" i="44"/>
  <c r="GM453" i="44"/>
  <c r="GD450" i="44"/>
  <c r="GD451" i="44"/>
  <c r="GD453" i="44"/>
  <c r="GD454" i="44"/>
  <c r="FO457" i="44"/>
  <c r="FO456" i="44"/>
  <c r="GI454" i="44"/>
  <c r="GI450" i="44"/>
  <c r="GI451" i="44"/>
  <c r="GI453" i="44"/>
  <c r="DW291" i="39"/>
  <c r="DW285" i="39"/>
  <c r="DW286" i="39" s="1"/>
  <c r="DW292" i="39" s="1"/>
  <c r="DX288" i="39"/>
  <c r="DX291" i="39"/>
  <c r="DX289" i="39"/>
  <c r="DX286" i="39"/>
  <c r="DX292" i="39" s="1"/>
  <c r="DY288" i="39"/>
  <c r="DY289" i="39"/>
  <c r="DW289" i="39"/>
  <c r="DY286" i="39"/>
  <c r="DY292" i="39" s="1"/>
  <c r="DW288" i="39"/>
  <c r="DY291" i="39"/>
  <c r="A61" i="44" l="1"/>
  <c r="A62" i="44" s="1"/>
  <c r="A63" i="44" s="1"/>
  <c r="FC93" i="31"/>
  <c r="FC94" i="31"/>
  <c r="EX93" i="31"/>
  <c r="EX94" i="31"/>
  <c r="FA94" i="31"/>
  <c r="FA93" i="31"/>
  <c r="EZ93" i="31"/>
  <c r="EZ94" i="31"/>
  <c r="EY93" i="31"/>
  <c r="EY94" i="31"/>
  <c r="FB93" i="31"/>
  <c r="FB94" i="31"/>
  <c r="FK93" i="31"/>
  <c r="FI94" i="31"/>
  <c r="FJ94" i="31"/>
  <c r="FT94" i="31"/>
  <c r="GC93" i="31"/>
  <c r="FL93" i="31"/>
  <c r="FN93" i="31"/>
  <c r="DY93" i="31"/>
  <c r="FM93" i="31"/>
  <c r="EM94" i="31"/>
  <c r="GA94" i="31"/>
  <c r="FQ93" i="31"/>
  <c r="GI94" i="31"/>
  <c r="GK93" i="31"/>
  <c r="GH93" i="31"/>
  <c r="GD93" i="31"/>
  <c r="GG93" i="31"/>
  <c r="FE93" i="31"/>
  <c r="GM93" i="31"/>
  <c r="DZ93" i="31"/>
  <c r="FF93" i="31"/>
  <c r="GB93" i="31"/>
  <c r="GE94" i="31"/>
  <c r="GE93" i="31"/>
  <c r="ES93" i="31"/>
  <c r="FO94" i="31"/>
  <c r="FH93" i="31"/>
  <c r="FG93" i="31"/>
  <c r="GE456" i="44"/>
  <c r="GH457" i="44"/>
  <c r="GF456" i="44"/>
  <c r="GD457" i="44"/>
  <c r="GD456" i="44"/>
  <c r="GK456" i="44"/>
  <c r="GK457" i="44"/>
  <c r="GG457" i="44"/>
  <c r="GG456" i="44"/>
  <c r="GA456" i="44"/>
  <c r="GA457" i="44"/>
  <c r="FS456" i="44"/>
  <c r="FS457" i="44"/>
  <c r="GJ456" i="44"/>
  <c r="GJ457" i="44"/>
  <c r="FT456" i="44"/>
  <c r="FT457" i="44"/>
  <c r="GI456" i="44"/>
  <c r="GI457" i="44"/>
  <c r="A67" i="44" l="1"/>
  <c r="A68" i="44" s="1"/>
  <c r="A69" i="44" s="1"/>
  <c r="A70" i="44" s="1"/>
  <c r="A71" i="44" s="1"/>
  <c r="A72" i="44" s="1"/>
  <c r="A73" i="44" s="1"/>
  <c r="A74" i="44" s="1"/>
  <c r="A75" i="44" s="1"/>
  <c r="EW286" i="39"/>
  <c r="EW292" i="39" s="1"/>
  <c r="A83" i="44" l="1"/>
  <c r="A84" i="44" s="1"/>
  <c r="A85" i="44" s="1"/>
  <c r="A86" i="44" s="1"/>
  <c r="A87" i="44" s="1"/>
  <c r="A88" i="44" s="1"/>
  <c r="A89" i="44" s="1"/>
  <c r="A90" i="44" s="1"/>
  <c r="A91" i="44" s="1"/>
  <c r="A92" i="44" s="1"/>
  <c r="EW288" i="39"/>
  <c r="EW289" i="39"/>
  <c r="EW285" i="39"/>
  <c r="EW291" i="39"/>
  <c r="A93" i="44" l="1"/>
  <c r="A95" i="44"/>
  <c r="A96" i="44" s="1"/>
  <c r="A97" i="44" s="1"/>
  <c r="A98" i="44" s="1"/>
  <c r="A99" i="44" s="1"/>
  <c r="A100" i="44" s="1"/>
  <c r="A101" i="44" s="1"/>
  <c r="A102" i="44" s="1"/>
  <c r="A103" i="44" s="1"/>
  <c r="A104" i="44" s="1"/>
  <c r="A105" i="44" s="1"/>
  <c r="A106" i="44" s="1"/>
  <c r="A114" i="44" s="1"/>
  <c r="A115" i="44" s="1"/>
  <c r="A116" i="44" s="1"/>
  <c r="A117" i="44" s="1"/>
  <c r="A118" i="44" s="1"/>
  <c r="A119" i="44" s="1"/>
  <c r="A120" i="44" s="1"/>
  <c r="A121" i="44" s="1"/>
  <c r="A122" i="44" s="1"/>
  <c r="A123" i="44" s="1"/>
  <c r="A124" i="44" s="1"/>
  <c r="A125" i="44" s="1"/>
  <c r="A127" i="44" s="1"/>
  <c r="A128" i="44" s="1"/>
  <c r="A129" i="44" s="1"/>
  <c r="A130" i="44" s="1"/>
  <c r="A131" i="44" s="1"/>
  <c r="A132" i="44" s="1"/>
  <c r="A133" i="44" s="1"/>
  <c r="A134" i="44" s="1"/>
  <c r="A135" i="44" s="1"/>
  <c r="A136" i="44" s="1"/>
  <c r="A137" i="44" s="1"/>
  <c r="A138" i="44" s="1"/>
  <c r="A139" i="44" s="1"/>
  <c r="A141" i="44" s="1"/>
  <c r="A142" i="44" s="1"/>
  <c r="A143" i="44" s="1"/>
  <c r="A144" i="44" s="1"/>
  <c r="A145" i="44" s="1"/>
  <c r="A146" i="44" s="1"/>
  <c r="A147" i="44" s="1"/>
  <c r="A148" i="44" s="1"/>
  <c r="A149" i="44" s="1"/>
  <c r="A150" i="44" s="1"/>
  <c r="A151" i="44" s="1"/>
  <c r="A152" i="44" s="1"/>
  <c r="A154" i="44" l="1"/>
  <c r="A156" i="44" s="1"/>
  <c r="A157" i="44" s="1"/>
  <c r="A153" i="44"/>
  <c r="A155" i="44" s="1"/>
  <c r="A159" i="44" l="1"/>
  <c r="A160" i="44" s="1"/>
  <c r="A162" i="44" s="1"/>
  <c r="A163" i="44" s="1"/>
  <c r="A165" i="44" s="1"/>
  <c r="A166" i="44" s="1"/>
  <c r="A167" i="44" s="1"/>
  <c r="A168" i="44" s="1"/>
  <c r="A169" i="44" s="1"/>
  <c r="A170" i="44" s="1"/>
  <c r="A171" i="44" s="1"/>
  <c r="A172" i="44" s="1"/>
  <c r="A173" i="44" s="1"/>
  <c r="A174" i="44" s="1"/>
  <c r="A176" i="44" s="1"/>
  <c r="A177" i="44" s="1"/>
  <c r="A178" i="44" s="1"/>
  <c r="A179" i="44" s="1"/>
  <c r="A180" i="44" s="1"/>
  <c r="A182" i="44" s="1"/>
  <c r="A184" i="44" s="1"/>
  <c r="A185" i="44" s="1"/>
  <c r="A191" i="44" s="1"/>
  <c r="A192" i="44" s="1"/>
  <c r="A193" i="44" s="1"/>
  <c r="A194" i="44" s="1"/>
  <c r="A202" i="44" s="1"/>
  <c r="A203" i="44" s="1"/>
  <c r="A204" i="44" s="1"/>
  <c r="A205" i="44" s="1"/>
  <c r="A206" i="44" s="1"/>
  <c r="A208" i="44" s="1"/>
  <c r="A217" i="44" s="1"/>
  <c r="A220" i="44" s="1"/>
  <c r="A224" i="44" s="1"/>
  <c r="A228" i="44" s="1"/>
  <c r="A231" i="44" s="1"/>
  <c r="A235" i="44" s="1"/>
  <c r="A238" i="44" s="1"/>
  <c r="A239" i="44" s="1"/>
  <c r="A240" i="44" s="1"/>
  <c r="A241" i="44" s="1"/>
  <c r="A242" i="44" s="1"/>
  <c r="A243" i="44" s="1"/>
  <c r="A244" i="44" s="1"/>
  <c r="A245" i="44" s="1"/>
  <c r="A247" i="44" s="1"/>
  <c r="A249" i="44" s="1"/>
  <c r="A250" i="44" s="1"/>
  <c r="A251" i="44" s="1"/>
  <c r="A252" i="44" s="1"/>
  <c r="A253" i="44" s="1"/>
  <c r="A257" i="44" s="1"/>
  <c r="A261" i="44" s="1"/>
  <c r="A265" i="44" s="1"/>
  <c r="A266" i="44" s="1"/>
  <c r="A267" i="44" s="1"/>
  <c r="A268" i="44" s="1"/>
  <c r="A269" i="44" s="1"/>
  <c r="A270" i="44" s="1"/>
  <c r="A271" i="44" s="1"/>
  <c r="A272" i="44" s="1"/>
  <c r="A273" i="44" s="1"/>
  <c r="A274" i="44" s="1"/>
  <c r="A158" i="44"/>
  <c r="A278" i="44" l="1"/>
  <c r="A280" i="44" s="1"/>
  <c r="A281" i="44" s="1"/>
  <c r="A282" i="44" s="1"/>
  <c r="A283" i="44" s="1"/>
  <c r="A284" i="44" s="1"/>
  <c r="A285" i="44" s="1"/>
  <c r="A286" i="44" s="1"/>
  <c r="A287" i="44" s="1"/>
  <c r="A288" i="44" s="1"/>
  <c r="A289" i="44" s="1"/>
  <c r="A290" i="44" s="1"/>
  <c r="A291" i="44" s="1"/>
  <c r="A292" i="44" s="1"/>
  <c r="A295" i="44" s="1"/>
  <c r="A296" i="44" s="1"/>
  <c r="A297" i="44" s="1"/>
  <c r="A298" i="44" s="1"/>
  <c r="A299" i="44" s="1"/>
  <c r="A300" i="44" s="1"/>
  <c r="A301" i="44" l="1"/>
  <c r="A302" i="44" s="1"/>
  <c r="A307" i="44" s="1"/>
  <c r="A308" i="44" s="1"/>
  <c r="A309" i="44" s="1"/>
  <c r="A310" i="44" s="1"/>
  <c r="A311" i="44" s="1"/>
  <c r="A316" i="44" s="1"/>
  <c r="A321" i="44" s="1"/>
  <c r="A326" i="44" s="1"/>
  <c r="A303" i="44"/>
  <c r="A304" i="44" s="1"/>
  <c r="A305" i="44" s="1"/>
  <c r="A306" i="44" s="1"/>
  <c r="A312" i="44" l="1"/>
  <c r="A313" i="44" s="1"/>
  <c r="A317" i="44" l="1"/>
  <c r="A322" i="44" s="1"/>
  <c r="A314" i="44"/>
  <c r="A318" i="44"/>
  <c r="A323" i="44" s="1"/>
  <c r="A315" i="44" l="1"/>
  <c r="A319" i="44"/>
  <c r="A324" i="44" s="1"/>
  <c r="A327" i="44" l="1"/>
  <c r="A328" i="44" s="1"/>
  <c r="A329" i="44" s="1"/>
  <c r="A330" i="44" s="1"/>
  <c r="A331" i="44" s="1"/>
  <c r="A332" i="44" s="1"/>
  <c r="A333" i="44" s="1"/>
  <c r="A320" i="44"/>
  <c r="A325" i="44" s="1"/>
  <c r="A334" i="44" l="1"/>
  <c r="A335" i="44" s="1"/>
  <c r="A336" i="44" s="1"/>
  <c r="A337" i="44" s="1"/>
  <c r="A338" i="44" s="1"/>
  <c r="A339" i="44" s="1"/>
  <c r="A347" i="44" l="1"/>
  <c r="A348" i="44" s="1"/>
  <c r="A349" i="44" s="1"/>
  <c r="A350" i="44" s="1"/>
  <c r="A352" i="44" s="1"/>
  <c r="A353" i="44" s="1"/>
  <c r="A354" i="44" s="1"/>
  <c r="A355" i="44" s="1"/>
  <c r="A356" i="44" s="1"/>
  <c r="A357" i="44" s="1"/>
  <c r="A358" i="44" s="1"/>
  <c r="A359" i="44" s="1"/>
  <c r="A360" i="44" s="1"/>
  <c r="A361" i="44" s="1"/>
  <c r="A362" i="44" s="1"/>
  <c r="A363" i="44" s="1"/>
  <c r="A364" i="44" s="1"/>
  <c r="A365" i="44" s="1"/>
  <c r="A366" i="44" s="1"/>
  <c r="A367" i="44" s="1"/>
  <c r="A368" i="44" s="1"/>
  <c r="A369" i="44" s="1"/>
  <c r="A371" i="44" s="1"/>
  <c r="A372" i="44" s="1"/>
  <c r="A373" i="44" s="1"/>
  <c r="A374" i="44" s="1"/>
  <c r="A375" i="44" s="1"/>
  <c r="A376" i="44" s="1"/>
  <c r="A377" i="44" s="1"/>
  <c r="A378" i="44" s="1"/>
  <c r="A379" i="44" s="1"/>
  <c r="A380" i="44" s="1"/>
  <c r="A381" i="44" s="1"/>
  <c r="A382" i="44" s="1"/>
  <c r="A383" i="44" s="1"/>
  <c r="A384" i="44" s="1"/>
  <c r="A386" i="44" s="1"/>
  <c r="A387" i="44" s="1"/>
  <c r="A388" i="44" s="1"/>
  <c r="A389" i="44" s="1"/>
  <c r="A390" i="44" s="1"/>
  <c r="A391" i="44" s="1"/>
  <c r="A392" i="44" s="1"/>
  <c r="A393" i="44" s="1"/>
  <c r="A395" i="44" s="1"/>
  <c r="A396" i="44" s="1"/>
  <c r="A397" i="44" s="1"/>
  <c r="A398" i="44" s="1"/>
  <c r="A399" i="44" s="1"/>
  <c r="A400" i="44" s="1"/>
  <c r="A401" i="44" s="1"/>
  <c r="A402" i="44" s="1"/>
  <c r="A403" i="44" s="1"/>
  <c r="A404" i="44" s="1"/>
  <c r="A405" i="44" s="1"/>
  <c r="A407" i="44" s="1"/>
  <c r="A408" i="44" s="1"/>
  <c r="A409" i="44" s="1"/>
  <c r="A410" i="44" s="1"/>
  <c r="A411" i="44" s="1"/>
  <c r="A412" i="44" s="1"/>
  <c r="A413" i="44" s="1"/>
  <c r="A414" i="44" s="1"/>
  <c r="A415" i="44" s="1"/>
  <c r="A416" i="44" s="1"/>
  <c r="A418" i="44" s="1"/>
  <c r="A419" i="44" s="1"/>
  <c r="A420" i="44" s="1"/>
  <c r="A421" i="44" s="1"/>
  <c r="A422" i="44" s="1"/>
  <c r="A423" i="44" s="1"/>
  <c r="A424" i="44" s="1"/>
  <c r="A425" i="44" s="1"/>
  <c r="A426" i="44" s="1"/>
  <c r="A427" i="44" s="1"/>
  <c r="A428" i="44" s="1"/>
  <c r="A429" i="44" s="1"/>
  <c r="A430" i="44" s="1"/>
  <c r="A431" i="44" s="1"/>
  <c r="A432" i="44" s="1"/>
  <c r="A433" i="44" s="1"/>
  <c r="A434" i="44" s="1"/>
  <c r="A435" i="44" s="1"/>
  <c r="A436" i="44" s="1"/>
  <c r="A438" i="44" s="1"/>
  <c r="A439" i="44" s="1"/>
  <c r="A440" i="44" s="1"/>
  <c r="A441" i="44" s="1"/>
  <c r="A442" i="44" s="1"/>
  <c r="A443" i="44" s="1"/>
  <c r="A342" i="44"/>
  <c r="A343" i="44" s="1"/>
  <c r="A344" i="44" s="1"/>
  <c r="A345" i="44" s="1"/>
  <c r="AD27" i="44" l="1"/>
  <c r="AD25" i="44"/>
  <c r="AD23" i="44"/>
  <c r="W27" i="44"/>
  <c r="W25" i="44"/>
  <c r="AC46" i="44"/>
  <c r="W133" i="44"/>
  <c r="AC30" i="44"/>
  <c r="AC25" i="44"/>
  <c r="AC19" i="44"/>
  <c r="AD20" i="44"/>
  <c r="AD19" i="44"/>
  <c r="AD18" i="44"/>
  <c r="AD17" i="44"/>
  <c r="AD16" i="44"/>
  <c r="AD15" i="44"/>
  <c r="AD14" i="44"/>
  <c r="AD13" i="44"/>
  <c r="AD12" i="44"/>
  <c r="AD11" i="44"/>
  <c r="AB133" i="44" l="1"/>
  <c r="Z133" i="44"/>
  <c r="AA133" i="44"/>
  <c r="AC80" i="39"/>
  <c r="AC30" i="39"/>
  <c r="AC26" i="39"/>
  <c r="AC22" i="39"/>
  <c r="AC18" i="39"/>
  <c r="AD60" i="39"/>
  <c r="AD59" i="39"/>
  <c r="AD58" i="39"/>
  <c r="AD57" i="39"/>
  <c r="AD56" i="39"/>
  <c r="AD55" i="39"/>
  <c r="AD54" i="39"/>
  <c r="AD53" i="39"/>
  <c r="AD52" i="39"/>
  <c r="AD51" i="39"/>
  <c r="AD50" i="39"/>
  <c r="AD49" i="39"/>
  <c r="AD48" i="39"/>
  <c r="AD46" i="39"/>
  <c r="AD15" i="39"/>
  <c r="AD14" i="39"/>
  <c r="AC173" i="44"/>
  <c r="AC169" i="44"/>
  <c r="AC166" i="44"/>
  <c r="AC193" i="44"/>
  <c r="AC204" i="44"/>
  <c r="AC217" i="44"/>
  <c r="AC251" i="44"/>
  <c r="AC202" i="44"/>
  <c r="AC191" i="44"/>
  <c r="AC185" i="44"/>
  <c r="AC184" i="44"/>
  <c r="AC182" i="44"/>
  <c r="AC171" i="44"/>
  <c r="AC167" i="44"/>
  <c r="AC165" i="44"/>
  <c r="AC206" i="44"/>
  <c r="AC208" i="44"/>
  <c r="AC220" i="44"/>
  <c r="AC228" i="44"/>
  <c r="AC247" i="44"/>
  <c r="AC249" i="44"/>
  <c r="AC253" i="44"/>
  <c r="AC257" i="44"/>
  <c r="AC261" i="44"/>
  <c r="AC278" i="44"/>
  <c r="AC276" i="44"/>
  <c r="AC288" i="44"/>
  <c r="AC285" i="44"/>
  <c r="AC283" i="44"/>
  <c r="AC280" i="44"/>
  <c r="AC287" i="44"/>
  <c r="AC286" i="44"/>
  <c r="AC284" i="44"/>
  <c r="AC282" i="44"/>
  <c r="AC281" i="44"/>
  <c r="AC274" i="44"/>
  <c r="AC273" i="44"/>
  <c r="AC272" i="44"/>
  <c r="AC271" i="44"/>
  <c r="AC270" i="44"/>
  <c r="AC269" i="44"/>
  <c r="AC268" i="44"/>
  <c r="AC267" i="44"/>
  <c r="AC266" i="44"/>
  <c r="AC265" i="44"/>
  <c r="AC245" i="44"/>
  <c r="AC244" i="44"/>
  <c r="AC243" i="44"/>
  <c r="AC242" i="44"/>
  <c r="AC241" i="44"/>
  <c r="AC240" i="44"/>
  <c r="AC239" i="44"/>
  <c r="AC238" i="44"/>
  <c r="AC235" i="44"/>
  <c r="AC224" i="44"/>
  <c r="AC149" i="44"/>
  <c r="AG149" i="44" s="1"/>
  <c r="AH149" i="44" s="1"/>
  <c r="AC148" i="44"/>
  <c r="AC147" i="44"/>
  <c r="AG147" i="44" s="1"/>
  <c r="AH147" i="44" s="1"/>
  <c r="AC146" i="44"/>
  <c r="AD10" i="39"/>
  <c r="AD8" i="39"/>
  <c r="AD278" i="44"/>
  <c r="AM278" i="44"/>
  <c r="AL278" i="44"/>
  <c r="AK278" i="44"/>
  <c r="AJ278" i="44"/>
  <c r="AI278" i="44"/>
  <c r="AE278" i="44"/>
  <c r="W278" i="44"/>
  <c r="BB278" i="44" s="1"/>
  <c r="S278" i="44"/>
  <c r="P278" i="44"/>
  <c r="N278" i="44"/>
  <c r="AM276" i="44"/>
  <c r="AL276" i="44"/>
  <c r="AK276" i="44"/>
  <c r="AJ276" i="44"/>
  <c r="AI276" i="44"/>
  <c r="AE276" i="44"/>
  <c r="W276" i="44"/>
  <c r="AA276" i="44" s="1"/>
  <c r="S276" i="44"/>
  <c r="P276" i="44"/>
  <c r="N276" i="44"/>
  <c r="AD75" i="44"/>
  <c r="AD74" i="44"/>
  <c r="AD73" i="44"/>
  <c r="AD72" i="44"/>
  <c r="AD76" i="44"/>
  <c r="AD92" i="44"/>
  <c r="AD91" i="44"/>
  <c r="AD90" i="44"/>
  <c r="AC163" i="44"/>
  <c r="AG163" i="44" s="1"/>
  <c r="AH163" i="44" s="1"/>
  <c r="AC162" i="44"/>
  <c r="H163" i="44"/>
  <c r="N163" i="44" s="1"/>
  <c r="AU163" i="44"/>
  <c r="AM163" i="44"/>
  <c r="AL163" i="44"/>
  <c r="AK163" i="44"/>
  <c r="AJ163" i="44"/>
  <c r="AI163" i="44"/>
  <c r="W163" i="44"/>
  <c r="AB163" i="44" s="1"/>
  <c r="S163" i="44"/>
  <c r="P163" i="44"/>
  <c r="O163" i="44"/>
  <c r="H151" i="44"/>
  <c r="N151" i="44" s="1"/>
  <c r="H149" i="44"/>
  <c r="N149" i="44" s="1"/>
  <c r="H147" i="44"/>
  <c r="N147" i="44" s="1"/>
  <c r="AU151" i="44"/>
  <c r="AT151" i="44"/>
  <c r="AM151" i="44"/>
  <c r="AL151" i="44"/>
  <c r="AK151" i="44"/>
  <c r="AJ151" i="44"/>
  <c r="AI151" i="44"/>
  <c r="AC151" i="44"/>
  <c r="W151" i="44"/>
  <c r="AB151" i="44" s="1"/>
  <c r="S151" i="44"/>
  <c r="P151" i="44"/>
  <c r="O151" i="44"/>
  <c r="AU149" i="44"/>
  <c r="AM149" i="44"/>
  <c r="AL149" i="44"/>
  <c r="AK149" i="44"/>
  <c r="AJ149" i="44"/>
  <c r="AI149" i="44"/>
  <c r="W149" i="44"/>
  <c r="BB149" i="44" s="1"/>
  <c r="S149" i="44"/>
  <c r="P149" i="44"/>
  <c r="O149" i="44"/>
  <c r="C149" i="44"/>
  <c r="AU147" i="44"/>
  <c r="AM147" i="44"/>
  <c r="AL147" i="44"/>
  <c r="AK147" i="44"/>
  <c r="AJ147" i="44"/>
  <c r="AI147" i="44"/>
  <c r="W147" i="44"/>
  <c r="Z147" i="44" s="1"/>
  <c r="S147" i="44"/>
  <c r="P147" i="44"/>
  <c r="O147" i="44"/>
  <c r="C147" i="44"/>
  <c r="H162" i="44"/>
  <c r="AU150" i="44"/>
  <c r="AT150" i="44"/>
  <c r="AM150" i="44"/>
  <c r="AL150" i="44"/>
  <c r="AK150" i="44"/>
  <c r="AJ150" i="44"/>
  <c r="AI150" i="44"/>
  <c r="AC150" i="44"/>
  <c r="AG150" i="44" s="1"/>
  <c r="AH150" i="44" s="1"/>
  <c r="W150" i="44"/>
  <c r="AB150" i="44" s="1"/>
  <c r="S150" i="44"/>
  <c r="P150" i="44"/>
  <c r="O150" i="44"/>
  <c r="N150" i="44"/>
  <c r="AG278" i="44" l="1"/>
  <c r="AH278" i="44" s="1"/>
  <c r="AN278" i="44"/>
  <c r="AB276" i="44"/>
  <c r="AN276" i="44"/>
  <c r="X276" i="44"/>
  <c r="Z276" i="44"/>
  <c r="O278" i="44"/>
  <c r="Z278" i="44"/>
  <c r="AA278" i="44"/>
  <c r="X278" i="44"/>
  <c r="AB278" i="44"/>
  <c r="AG276" i="44"/>
  <c r="AH276" i="44" s="1"/>
  <c r="O276" i="44"/>
  <c r="AN147" i="44"/>
  <c r="AO147" i="44" s="1"/>
  <c r="AP147" i="44" s="1"/>
  <c r="AW147" i="44" s="1"/>
  <c r="AN151" i="44"/>
  <c r="BB163" i="44"/>
  <c r="AN163" i="44"/>
  <c r="BB151" i="44"/>
  <c r="AN150" i="44"/>
  <c r="AN149" i="44"/>
  <c r="X163" i="44"/>
  <c r="Z163" i="44"/>
  <c r="AA163" i="44"/>
  <c r="AG151" i="44"/>
  <c r="AH151" i="44" s="1"/>
  <c r="X151" i="44"/>
  <c r="Z151" i="44"/>
  <c r="AA151" i="44"/>
  <c r="AB149" i="44"/>
  <c r="X149" i="44"/>
  <c r="Z149" i="44"/>
  <c r="AA149" i="44"/>
  <c r="AA147" i="44"/>
  <c r="BB147" i="44"/>
  <c r="AB147" i="44"/>
  <c r="X147" i="44"/>
  <c r="BB150" i="44"/>
  <c r="X150" i="44"/>
  <c r="Z150" i="44"/>
  <c r="AA150" i="44"/>
  <c r="AO278" i="44" l="1"/>
  <c r="AP278" i="44" s="1"/>
  <c r="AW278" i="44" s="1"/>
  <c r="AO276" i="44"/>
  <c r="AP276" i="44" s="1"/>
  <c r="AW276" i="44" s="1"/>
  <c r="AO151" i="44"/>
  <c r="AP151" i="44" s="1"/>
  <c r="AV151" i="44" s="1"/>
  <c r="AO150" i="44"/>
  <c r="AP150" i="44" s="1"/>
  <c r="BC147" i="44"/>
  <c r="AZ147" i="44"/>
  <c r="AX147" i="44"/>
  <c r="AR147" i="44"/>
  <c r="AS147" i="44" s="1"/>
  <c r="AO149" i="44"/>
  <c r="AP149" i="44" s="1"/>
  <c r="AW149" i="44" s="1"/>
  <c r="AO163" i="44"/>
  <c r="AP163" i="44" s="1"/>
  <c r="AX163" i="44" s="1"/>
  <c r="AQ147" i="44"/>
  <c r="AW163" i="44" l="1"/>
  <c r="AZ151" i="44"/>
  <c r="AW151" i="44"/>
  <c r="AV150" i="44"/>
  <c r="AW150" i="44"/>
  <c r="AV276" i="44"/>
  <c r="AT278" i="44"/>
  <c r="AU278" i="44" s="1"/>
  <c r="AV278" i="44"/>
  <c r="AZ150" i="44"/>
  <c r="BC151" i="44"/>
  <c r="AT276" i="44"/>
  <c r="AU276" i="44" s="1"/>
  <c r="AX151" i="44"/>
  <c r="AQ276" i="44"/>
  <c r="AR276" i="44"/>
  <c r="AS276" i="44" s="1"/>
  <c r="BC278" i="44"/>
  <c r="AZ278" i="44"/>
  <c r="AX278" i="44"/>
  <c r="AR278" i="44"/>
  <c r="AS278" i="44" s="1"/>
  <c r="AQ278" i="44"/>
  <c r="AQ150" i="44"/>
  <c r="AR150" i="44"/>
  <c r="AS150" i="44" s="1"/>
  <c r="AX150" i="44"/>
  <c r="BC150" i="44"/>
  <c r="AR163" i="44"/>
  <c r="AS163" i="44" s="1"/>
  <c r="BC163" i="44"/>
  <c r="AZ163" i="44"/>
  <c r="BC149" i="44"/>
  <c r="AX149" i="44"/>
  <c r="AZ149" i="44"/>
  <c r="AQ163" i="44"/>
  <c r="AQ151" i="44"/>
  <c r="AR151" i="44"/>
  <c r="AS151" i="44" s="1"/>
  <c r="AR149" i="44"/>
  <c r="AS149" i="44" s="1"/>
  <c r="AQ149" i="44"/>
  <c r="GB278" i="44" l="1"/>
  <c r="GB448" i="44" s="1"/>
  <c r="FZ278" i="44"/>
  <c r="FZ448" i="44" s="1"/>
  <c r="FY278" i="44"/>
  <c r="FY448" i="44" s="1"/>
  <c r="FR278" i="44"/>
  <c r="FR448" i="44" s="1"/>
  <c r="FP278" i="44"/>
  <c r="DX278" i="44"/>
  <c r="EW276" i="44"/>
  <c r="EW448" i="44" s="1"/>
  <c r="ER276" i="44"/>
  <c r="EP276" i="44"/>
  <c r="EO276" i="44"/>
  <c r="EN276" i="44"/>
  <c r="EF276" i="44"/>
  <c r="EB276" i="44"/>
  <c r="EA276" i="44"/>
  <c r="DX276" i="44"/>
  <c r="AC442" i="44"/>
  <c r="AC441" i="44"/>
  <c r="AC440" i="44"/>
  <c r="AC439" i="44"/>
  <c r="AC438" i="44"/>
  <c r="AC437" i="44"/>
  <c r="AC436" i="44"/>
  <c r="AC435" i="44"/>
  <c r="AC434" i="44"/>
  <c r="AC433" i="44"/>
  <c r="AC432" i="44"/>
  <c r="AC431" i="44"/>
  <c r="AC430" i="44"/>
  <c r="AC429" i="44"/>
  <c r="AC428" i="44"/>
  <c r="AC427" i="44"/>
  <c r="AC426" i="44"/>
  <c r="AC425" i="44"/>
  <c r="AC424" i="44"/>
  <c r="AC422" i="44"/>
  <c r="AC421" i="44"/>
  <c r="AC420" i="44"/>
  <c r="AC419" i="44"/>
  <c r="AC418" i="44"/>
  <c r="AC404" i="44"/>
  <c r="AC403" i="44"/>
  <c r="AC400" i="44"/>
  <c r="AC339" i="44"/>
  <c r="AC338" i="44"/>
  <c r="AC337" i="44"/>
  <c r="AC336" i="44"/>
  <c r="AC335" i="44"/>
  <c r="AC334" i="44"/>
  <c r="AC333" i="44"/>
  <c r="AC332" i="44"/>
  <c r="AC331" i="44"/>
  <c r="AC330" i="44"/>
  <c r="AC329" i="44"/>
  <c r="AC328" i="44"/>
  <c r="AC327" i="44"/>
  <c r="AC315" i="44"/>
  <c r="AC314" i="44"/>
  <c r="AC312" i="44"/>
  <c r="AC311" i="44"/>
  <c r="AC310" i="44"/>
  <c r="AC308" i="44"/>
  <c r="AC307" i="44"/>
  <c r="AC302" i="44"/>
  <c r="AC301" i="44"/>
  <c r="AC299" i="44"/>
  <c r="AC298" i="44"/>
  <c r="AC297" i="44"/>
  <c r="AC295" i="44"/>
  <c r="AC423" i="44"/>
  <c r="FR453" i="44" l="1"/>
  <c r="FR454" i="44" s="1"/>
  <c r="FR450" i="44"/>
  <c r="FR451" i="44" s="1"/>
  <c r="FR456" i="44" s="1"/>
  <c r="FR457" i="44" s="1"/>
  <c r="FY450" i="44"/>
  <c r="FY451" i="44" s="1"/>
  <c r="FY453" i="44"/>
  <c r="FY454" i="44" s="1"/>
  <c r="FZ450" i="44"/>
  <c r="FZ451" i="44" s="1"/>
  <c r="FZ453" i="44"/>
  <c r="FZ454" i="44" s="1"/>
  <c r="GB450" i="44"/>
  <c r="GB451" i="44" s="1"/>
  <c r="GB453" i="44"/>
  <c r="GB454" i="44" s="1"/>
  <c r="AU53" i="45"/>
  <c r="AM53" i="45"/>
  <c r="AL53" i="45"/>
  <c r="AK53" i="45"/>
  <c r="AJ53" i="45"/>
  <c r="AI53" i="45"/>
  <c r="AF53" i="45"/>
  <c r="AE53" i="45"/>
  <c r="AD53" i="45"/>
  <c r="AC53" i="45"/>
  <c r="W53" i="45"/>
  <c r="BB53" i="45" s="1"/>
  <c r="S53" i="45"/>
  <c r="P53" i="45"/>
  <c r="O53" i="45"/>
  <c r="AC128" i="39"/>
  <c r="AC127" i="39"/>
  <c r="AU128" i="39"/>
  <c r="AM128" i="39"/>
  <c r="AL128" i="39"/>
  <c r="AK128" i="39"/>
  <c r="AJ128" i="39"/>
  <c r="AI128" i="39"/>
  <c r="W128" i="39"/>
  <c r="BB128" i="39" s="1"/>
  <c r="S128" i="39"/>
  <c r="P128" i="39"/>
  <c r="O128" i="39"/>
  <c r="N128" i="39"/>
  <c r="AU127" i="39"/>
  <c r="AM127" i="39"/>
  <c r="AL127" i="39"/>
  <c r="AK127" i="39"/>
  <c r="AJ127" i="39"/>
  <c r="AI127" i="39"/>
  <c r="W127" i="39"/>
  <c r="S127" i="39"/>
  <c r="P127" i="39"/>
  <c r="O127" i="39"/>
  <c r="N127" i="39"/>
  <c r="AD44" i="39"/>
  <c r="AD39" i="39"/>
  <c r="AD37" i="39"/>
  <c r="AD35" i="39"/>
  <c r="AD33" i="39"/>
  <c r="AD31" i="39"/>
  <c r="AU392" i="44"/>
  <c r="AM392" i="44"/>
  <c r="AL392" i="44"/>
  <c r="AK392" i="44"/>
  <c r="AJ392" i="44"/>
  <c r="AI392" i="44"/>
  <c r="W392" i="44"/>
  <c r="AA392" i="44" s="1"/>
  <c r="S392" i="44"/>
  <c r="P392" i="44"/>
  <c r="O392" i="44"/>
  <c r="AF30" i="31"/>
  <c r="AE30" i="31"/>
  <c r="AF28" i="31"/>
  <c r="AE28" i="31"/>
  <c r="AF26" i="31"/>
  <c r="AE26" i="31"/>
  <c r="AF24" i="31"/>
  <c r="AE24" i="31"/>
  <c r="AF22" i="31"/>
  <c r="AE22" i="31"/>
  <c r="AF21" i="31"/>
  <c r="AE21" i="31"/>
  <c r="AF20" i="31"/>
  <c r="AE20" i="31"/>
  <c r="AF18" i="31"/>
  <c r="AE18" i="31"/>
  <c r="AF16" i="31"/>
  <c r="AE16" i="31"/>
  <c r="AF14" i="31"/>
  <c r="AE14" i="31"/>
  <c r="AF12" i="31"/>
  <c r="AE12" i="31"/>
  <c r="AF10" i="31"/>
  <c r="AE10" i="31"/>
  <c r="AD9" i="31"/>
  <c r="AD8" i="31"/>
  <c r="AF7" i="31"/>
  <c r="AE7" i="31"/>
  <c r="Z127" i="39" l="1"/>
  <c r="BB127" i="39"/>
  <c r="GB456" i="44"/>
  <c r="GB457" i="44" s="1"/>
  <c r="FZ456" i="44"/>
  <c r="FZ457" i="44" s="1"/>
  <c r="FY456" i="44"/>
  <c r="FY457" i="44" s="1"/>
  <c r="AN53" i="45"/>
  <c r="AA53" i="45"/>
  <c r="AG53" i="45"/>
  <c r="AH53" i="45" s="1"/>
  <c r="AB53" i="45"/>
  <c r="Z53" i="45"/>
  <c r="X53" i="45"/>
  <c r="AB127" i="39"/>
  <c r="AN127" i="39"/>
  <c r="AO127" i="39" s="1"/>
  <c r="AP127" i="39" s="1"/>
  <c r="AN392" i="44"/>
  <c r="AN128" i="39"/>
  <c r="AA127" i="39"/>
  <c r="AG128" i="39"/>
  <c r="AH128" i="39" s="1"/>
  <c r="AG127" i="39"/>
  <c r="AH127" i="39" s="1"/>
  <c r="Z128" i="39"/>
  <c r="X128" i="39"/>
  <c r="X127" i="39"/>
  <c r="AA128" i="39"/>
  <c r="AB128" i="39"/>
  <c r="AG392" i="44"/>
  <c r="AH392" i="44" s="1"/>
  <c r="X392" i="44"/>
  <c r="Z392" i="44"/>
  <c r="AB392" i="44"/>
  <c r="BB392" i="44"/>
  <c r="AM206" i="44"/>
  <c r="AL206" i="44"/>
  <c r="AK206" i="44"/>
  <c r="AJ206" i="44"/>
  <c r="AI206" i="44"/>
  <c r="AE206" i="44"/>
  <c r="AD206" i="44"/>
  <c r="W206" i="44"/>
  <c r="Z206" i="44" s="1"/>
  <c r="S206" i="44"/>
  <c r="P206" i="44"/>
  <c r="N206" i="44"/>
  <c r="AM204" i="44"/>
  <c r="AL204" i="44"/>
  <c r="AK204" i="44"/>
  <c r="AJ204" i="44"/>
  <c r="AI204" i="44"/>
  <c r="AE204" i="44"/>
  <c r="AD204" i="44"/>
  <c r="W204" i="44"/>
  <c r="BB204" i="44" s="1"/>
  <c r="S204" i="44"/>
  <c r="P204" i="44"/>
  <c r="N204" i="44"/>
  <c r="AM202" i="44"/>
  <c r="AL202" i="44"/>
  <c r="AK202" i="44"/>
  <c r="AJ202" i="44"/>
  <c r="AI202" i="44"/>
  <c r="AE202" i="44"/>
  <c r="AD202" i="44"/>
  <c r="W202" i="44"/>
  <c r="AB202" i="44" s="1"/>
  <c r="S202" i="44"/>
  <c r="P202" i="44"/>
  <c r="N202" i="44"/>
  <c r="AX127" i="39" l="1"/>
  <c r="AW127" i="39"/>
  <c r="AZ127" i="39"/>
  <c r="BC127" i="39"/>
  <c r="AO53" i="45"/>
  <c r="AP53" i="45" s="1"/>
  <c r="AG202" i="44"/>
  <c r="AH202" i="44" s="1"/>
  <c r="AO392" i="44"/>
  <c r="AP392" i="44" s="1"/>
  <c r="AW392" i="44" s="1"/>
  <c r="AO128" i="39"/>
  <c r="AP128" i="39" s="1"/>
  <c r="O202" i="44"/>
  <c r="AN204" i="44"/>
  <c r="AN206" i="44"/>
  <c r="AO206" i="44" s="1"/>
  <c r="AP206" i="44" s="1"/>
  <c r="AN202" i="44"/>
  <c r="AR127" i="39"/>
  <c r="AS127" i="39" s="1"/>
  <c r="AV127" i="39"/>
  <c r="AQ127" i="39"/>
  <c r="BB202" i="44"/>
  <c r="AG206" i="44"/>
  <c r="AH206" i="44" s="1"/>
  <c r="AG204" i="44"/>
  <c r="AH204" i="44" s="1"/>
  <c r="O206" i="44"/>
  <c r="O204" i="44"/>
  <c r="X206" i="44"/>
  <c r="X204" i="44"/>
  <c r="Z204" i="44"/>
  <c r="AA206" i="44"/>
  <c r="Z202" i="44"/>
  <c r="AA204" i="44"/>
  <c r="AB206" i="44"/>
  <c r="AA202" i="44"/>
  <c r="AB204" i="44"/>
  <c r="BB206" i="44"/>
  <c r="X202" i="44"/>
  <c r="AW128" i="39" l="1"/>
  <c r="AZ128" i="39"/>
  <c r="BC128" i="39"/>
  <c r="AX128" i="39"/>
  <c r="AR53" i="45"/>
  <c r="AS53" i="45" s="1"/>
  <c r="AW53" i="45"/>
  <c r="AV206" i="44"/>
  <c r="AW206" i="44"/>
  <c r="AT206" i="44"/>
  <c r="AU206" i="44" s="1"/>
  <c r="AO204" i="44"/>
  <c r="AP204" i="44" s="1"/>
  <c r="AW204" i="44" s="1"/>
  <c r="BC53" i="45"/>
  <c r="AZ53" i="45"/>
  <c r="AV53" i="45"/>
  <c r="AX53" i="45"/>
  <c r="AQ53" i="45"/>
  <c r="AO202" i="44"/>
  <c r="AV128" i="39"/>
  <c r="AQ128" i="39"/>
  <c r="AR128" i="39"/>
  <c r="AS128" i="39" s="1"/>
  <c r="BC392" i="44"/>
  <c r="AZ392" i="44"/>
  <c r="AV392" i="44"/>
  <c r="AR392" i="44"/>
  <c r="AS392" i="44" s="1"/>
  <c r="AQ392" i="44"/>
  <c r="AX392" i="44"/>
  <c r="AX206" i="44"/>
  <c r="AR206" i="44"/>
  <c r="AS206" i="44" s="1"/>
  <c r="BC206" i="44"/>
  <c r="AZ206" i="44"/>
  <c r="AQ206" i="44"/>
  <c r="EF206" i="44" l="1"/>
  <c r="EB206" i="44"/>
  <c r="EA206" i="44"/>
  <c r="EK206" i="44"/>
  <c r="EJ206" i="44"/>
  <c r="DX206" i="44"/>
  <c r="EI206" i="44"/>
  <c r="EH206" i="44"/>
  <c r="BC204" i="44"/>
  <c r="AV204" i="44"/>
  <c r="AT204" i="44"/>
  <c r="AU204" i="44" s="1"/>
  <c r="AQ204" i="44"/>
  <c r="AR204" i="44"/>
  <c r="AS204" i="44" s="1"/>
  <c r="AZ204" i="44"/>
  <c r="AX204" i="44"/>
  <c r="AP202" i="44"/>
  <c r="EH204" i="44" l="1"/>
  <c r="EF204" i="44"/>
  <c r="EI204" i="44"/>
  <c r="EB204" i="44"/>
  <c r="EA204" i="44"/>
  <c r="EK204" i="44"/>
  <c r="EJ204" i="44"/>
  <c r="DX204" i="44"/>
  <c r="AV202" i="44"/>
  <c r="AW202" i="44"/>
  <c r="AQ202" i="44"/>
  <c r="AT202" i="44"/>
  <c r="AU202" i="44" s="1"/>
  <c r="AR202" i="44"/>
  <c r="AS202" i="44" s="1"/>
  <c r="AX202" i="44"/>
  <c r="BC202" i="44"/>
  <c r="AZ202" i="44"/>
  <c r="AU56" i="31"/>
  <c r="AM56" i="31"/>
  <c r="AL56" i="31"/>
  <c r="AK56" i="31"/>
  <c r="AJ56" i="31"/>
  <c r="AI56" i="31"/>
  <c r="W56" i="31"/>
  <c r="P56" i="31"/>
  <c r="O56" i="31"/>
  <c r="N56" i="31"/>
  <c r="AD36" i="44"/>
  <c r="AD35" i="44"/>
  <c r="AD34" i="44"/>
  <c r="AD30" i="44"/>
  <c r="AD29" i="44"/>
  <c r="EK202" i="44" l="1"/>
  <c r="EJ202" i="44"/>
  <c r="DX202" i="44"/>
  <c r="EI202" i="44"/>
  <c r="EH202" i="44"/>
  <c r="EF202" i="44"/>
  <c r="EB202" i="44"/>
  <c r="EA202" i="44"/>
  <c r="AA56" i="31"/>
  <c r="X56" i="31"/>
  <c r="AG56" i="31"/>
  <c r="AH56" i="31" s="1"/>
  <c r="AN56" i="31"/>
  <c r="AB56" i="31"/>
  <c r="BB56" i="31"/>
  <c r="Z56" i="31"/>
  <c r="AO56" i="31" l="1"/>
  <c r="AP56" i="31" s="1"/>
  <c r="AX56" i="31" l="1"/>
  <c r="AW56" i="31"/>
  <c r="AR56" i="31"/>
  <c r="AS56" i="31" s="1"/>
  <c r="BC56" i="31"/>
  <c r="AZ56" i="31"/>
  <c r="AV56" i="31"/>
  <c r="AQ56" i="31"/>
  <c r="EA56" i="31" l="1"/>
  <c r="DX56" i="31"/>
  <c r="AD43" i="31"/>
  <c r="AD41" i="31"/>
  <c r="AD414" i="44"/>
  <c r="AD413" i="44"/>
  <c r="AD412" i="44"/>
  <c r="AD411" i="44"/>
  <c r="O150" i="39"/>
  <c r="P150" i="39"/>
  <c r="S150" i="39"/>
  <c r="W150" i="39"/>
  <c r="AB150" i="39" s="1"/>
  <c r="AC150" i="39"/>
  <c r="AD150" i="39"/>
  <c r="AI150" i="39"/>
  <c r="AJ150" i="39"/>
  <c r="AK150" i="39"/>
  <c r="AL150" i="39"/>
  <c r="AM150" i="39"/>
  <c r="AU150" i="39"/>
  <c r="AU404" i="44"/>
  <c r="AM404" i="44"/>
  <c r="AL404" i="44"/>
  <c r="AK404" i="44"/>
  <c r="AJ404" i="44"/>
  <c r="AI404" i="44"/>
  <c r="W404" i="44"/>
  <c r="Z404" i="44" s="1"/>
  <c r="S404" i="44"/>
  <c r="P404" i="44"/>
  <c r="O404" i="44"/>
  <c r="AF62" i="45"/>
  <c r="AE62" i="45"/>
  <c r="AG62" i="45" l="1"/>
  <c r="AH62" i="45" s="1"/>
  <c r="AN404" i="44"/>
  <c r="AO404" i="44" s="1"/>
  <c r="X150" i="39"/>
  <c r="AG150" i="39"/>
  <c r="AH150" i="39" s="1"/>
  <c r="AB404" i="44"/>
  <c r="AA404" i="44"/>
  <c r="BB404" i="44"/>
  <c r="AG404" i="44"/>
  <c r="AH404" i="44" s="1"/>
  <c r="AN150" i="39"/>
  <c r="AA150" i="39"/>
  <c r="Z150" i="39"/>
  <c r="BB150" i="39"/>
  <c r="X404" i="44"/>
  <c r="AO150" i="39" l="1"/>
  <c r="AP150" i="39" s="1"/>
  <c r="AP404" i="44"/>
  <c r="AR150" i="39" l="1"/>
  <c r="AS150" i="39" s="1"/>
  <c r="AW150" i="39"/>
  <c r="AX404" i="44"/>
  <c r="AW404" i="44"/>
  <c r="AQ150" i="39"/>
  <c r="BC150" i="39"/>
  <c r="AZ150" i="39"/>
  <c r="AX150" i="39"/>
  <c r="AV150" i="39"/>
  <c r="AV404" i="44"/>
  <c r="AQ404" i="44"/>
  <c r="AZ404" i="44"/>
  <c r="BC404" i="44"/>
  <c r="AR404" i="44"/>
  <c r="AS404" i="44" s="1"/>
  <c r="GB150" i="39" l="1"/>
  <c r="FZ150" i="39"/>
  <c r="FY150" i="39"/>
  <c r="FS150" i="39"/>
  <c r="EH404" i="44"/>
  <c r="EF404" i="44"/>
  <c r="EB404" i="44"/>
  <c r="EA404" i="44"/>
  <c r="DX404" i="44"/>
  <c r="AU162" i="44"/>
  <c r="AM162" i="44"/>
  <c r="AL162" i="44"/>
  <c r="AK162" i="44"/>
  <c r="AJ162" i="44"/>
  <c r="AI162" i="44"/>
  <c r="AG162" i="44"/>
  <c r="AH162" i="44" s="1"/>
  <c r="W162" i="44"/>
  <c r="S162" i="44"/>
  <c r="P162" i="44"/>
  <c r="O162" i="44"/>
  <c r="N162" i="44"/>
  <c r="AB162" i="44" l="1"/>
  <c r="BB162" i="44"/>
  <c r="AN162" i="44"/>
  <c r="AA162" i="44"/>
  <c r="X162" i="44"/>
  <c r="Z162" i="44"/>
  <c r="AO162" i="44" l="1"/>
  <c r="AP162" i="44" s="1"/>
  <c r="AV162" i="44" l="1"/>
  <c r="AW162" i="44"/>
  <c r="AZ162" i="44"/>
  <c r="AX162" i="44"/>
  <c r="BC162" i="44"/>
  <c r="AQ162" i="44"/>
  <c r="AR162" i="44"/>
  <c r="AS162" i="44" s="1"/>
  <c r="AF63" i="45"/>
  <c r="AE63" i="45"/>
  <c r="AC63" i="45"/>
  <c r="AU63" i="45"/>
  <c r="AM63" i="45"/>
  <c r="AL63" i="45"/>
  <c r="AK63" i="45"/>
  <c r="AJ63" i="45"/>
  <c r="AI63" i="45"/>
  <c r="AU62" i="45"/>
  <c r="AM62" i="45"/>
  <c r="AL62" i="45"/>
  <c r="AK62" i="45"/>
  <c r="AJ62" i="45"/>
  <c r="AI62" i="45"/>
  <c r="AU61" i="45"/>
  <c r="AM61" i="45"/>
  <c r="AL61" i="45"/>
  <c r="AK61" i="45"/>
  <c r="AJ61" i="45"/>
  <c r="AI61" i="45"/>
  <c r="W63" i="45"/>
  <c r="AB63" i="45" s="1"/>
  <c r="S63" i="45"/>
  <c r="P63" i="45"/>
  <c r="O63" i="45"/>
  <c r="W62" i="45"/>
  <c r="AB62" i="45" s="1"/>
  <c r="S62" i="45"/>
  <c r="P62" i="45"/>
  <c r="O62" i="45"/>
  <c r="W61" i="45"/>
  <c r="AB61" i="45" s="1"/>
  <c r="S61" i="45"/>
  <c r="P61" i="45"/>
  <c r="O61" i="45"/>
  <c r="AF61" i="45"/>
  <c r="AE61" i="45"/>
  <c r="AU58" i="45"/>
  <c r="AM58" i="45"/>
  <c r="AL58" i="45"/>
  <c r="AK58" i="45"/>
  <c r="AJ58" i="45"/>
  <c r="AI58" i="45"/>
  <c r="AU57" i="45"/>
  <c r="AM57" i="45"/>
  <c r="AL57" i="45"/>
  <c r="AK57" i="45"/>
  <c r="AJ57" i="45"/>
  <c r="AI57" i="45"/>
  <c r="AU56" i="45"/>
  <c r="AM56" i="45"/>
  <c r="AL56" i="45"/>
  <c r="AK56" i="45"/>
  <c r="AJ56" i="45"/>
  <c r="AI56" i="45"/>
  <c r="W58" i="45"/>
  <c r="AB58" i="45" s="1"/>
  <c r="S58" i="45"/>
  <c r="P58" i="45"/>
  <c r="O58" i="45"/>
  <c r="W57" i="45"/>
  <c r="BB57" i="45" s="1"/>
  <c r="S57" i="45"/>
  <c r="P57" i="45"/>
  <c r="O57" i="45"/>
  <c r="W56" i="45"/>
  <c r="AB56" i="45" s="1"/>
  <c r="S56" i="45"/>
  <c r="P56" i="45"/>
  <c r="O56" i="45"/>
  <c r="AF58" i="45"/>
  <c r="AE58" i="45"/>
  <c r="AD58" i="45"/>
  <c r="AC58" i="45"/>
  <c r="AF57" i="45"/>
  <c r="AE57" i="45"/>
  <c r="AD57" i="45"/>
  <c r="AC57" i="45"/>
  <c r="AF56" i="45"/>
  <c r="AE56" i="45"/>
  <c r="AC52" i="45"/>
  <c r="AC51" i="45"/>
  <c r="AU52" i="45"/>
  <c r="AM52" i="45"/>
  <c r="AL52" i="45"/>
  <c r="AK52" i="45"/>
  <c r="AJ52" i="45"/>
  <c r="AI52" i="45"/>
  <c r="AU51" i="45"/>
  <c r="AM51" i="45"/>
  <c r="AL51" i="45"/>
  <c r="AK51" i="45"/>
  <c r="AJ51" i="45"/>
  <c r="AI51" i="45"/>
  <c r="AU50" i="45"/>
  <c r="AM50" i="45"/>
  <c r="AL50" i="45"/>
  <c r="AK50" i="45"/>
  <c r="AJ50" i="45"/>
  <c r="AI50" i="45"/>
  <c r="AD52" i="45"/>
  <c r="AD51" i="45"/>
  <c r="W52" i="45"/>
  <c r="AB52" i="45" s="1"/>
  <c r="S52" i="45"/>
  <c r="P52" i="45"/>
  <c r="O52" i="45"/>
  <c r="W51" i="45"/>
  <c r="AB51" i="45" s="1"/>
  <c r="S51" i="45"/>
  <c r="P51" i="45"/>
  <c r="O51" i="45"/>
  <c r="W50" i="45"/>
  <c r="Z50" i="45" s="1"/>
  <c r="S50" i="45"/>
  <c r="P50" i="45"/>
  <c r="O50" i="45"/>
  <c r="AF52" i="45"/>
  <c r="AE52" i="45"/>
  <c r="AF51" i="45"/>
  <c r="AE51" i="45"/>
  <c r="AF50" i="45"/>
  <c r="AE50" i="45"/>
  <c r="AU125" i="39"/>
  <c r="AM125" i="39"/>
  <c r="AL125" i="39"/>
  <c r="AK125" i="39"/>
  <c r="AJ125" i="39"/>
  <c r="AI125" i="39"/>
  <c r="AU131" i="39"/>
  <c r="AM131" i="39"/>
  <c r="AL131" i="39"/>
  <c r="AK131" i="39"/>
  <c r="AJ131" i="39"/>
  <c r="AI131" i="39"/>
  <c r="AU130" i="39"/>
  <c r="AM130" i="39"/>
  <c r="AL130" i="39"/>
  <c r="AK130" i="39"/>
  <c r="AJ130" i="39"/>
  <c r="AI130" i="39"/>
  <c r="AU129" i="39"/>
  <c r="AM129" i="39"/>
  <c r="AL129" i="39"/>
  <c r="AK129" i="39"/>
  <c r="AJ129" i="39"/>
  <c r="AI129" i="39"/>
  <c r="W131" i="39"/>
  <c r="S131" i="39"/>
  <c r="P131" i="39"/>
  <c r="O131" i="39"/>
  <c r="N131" i="39"/>
  <c r="W130" i="39"/>
  <c r="S130" i="39"/>
  <c r="P130" i="39"/>
  <c r="O130" i="39"/>
  <c r="N130" i="39"/>
  <c r="W129" i="39"/>
  <c r="S129" i="39"/>
  <c r="P129" i="39"/>
  <c r="O129" i="39"/>
  <c r="N129" i="39"/>
  <c r="AC131" i="39"/>
  <c r="AC130" i="39"/>
  <c r="AC129" i="39"/>
  <c r="AU382" i="44"/>
  <c r="AM382" i="44"/>
  <c r="AL382" i="44"/>
  <c r="AK382" i="44"/>
  <c r="AJ382" i="44"/>
  <c r="AI382" i="44"/>
  <c r="AU381" i="44"/>
  <c r="AM381" i="44"/>
  <c r="AL381" i="44"/>
  <c r="AK381" i="44"/>
  <c r="AJ381" i="44"/>
  <c r="AI381" i="44"/>
  <c r="AU380" i="44"/>
  <c r="AM380" i="44"/>
  <c r="AL380" i="44"/>
  <c r="AK380" i="44"/>
  <c r="AJ380" i="44"/>
  <c r="AI380" i="44"/>
  <c r="AU379" i="44"/>
  <c r="AM379" i="44"/>
  <c r="AL379" i="44"/>
  <c r="AK379" i="44"/>
  <c r="AJ379" i="44"/>
  <c r="AI379" i="44"/>
  <c r="AU378" i="44"/>
  <c r="AM378" i="44"/>
  <c r="AL378" i="44"/>
  <c r="AK378" i="44"/>
  <c r="AJ378" i="44"/>
  <c r="AI378" i="44"/>
  <c r="W382" i="44"/>
  <c r="AB382" i="44" s="1"/>
  <c r="S382" i="44"/>
  <c r="P382" i="44"/>
  <c r="O382" i="44"/>
  <c r="W381" i="44"/>
  <c r="BB381" i="44" s="1"/>
  <c r="S381" i="44"/>
  <c r="P381" i="44"/>
  <c r="O381" i="44"/>
  <c r="W380" i="44"/>
  <c r="AA380" i="44" s="1"/>
  <c r="S380" i="44"/>
  <c r="P380" i="44"/>
  <c r="O380" i="44"/>
  <c r="W379" i="44"/>
  <c r="AB379" i="44" s="1"/>
  <c r="S379" i="44"/>
  <c r="P379" i="44"/>
  <c r="O379" i="44"/>
  <c r="W378" i="44"/>
  <c r="AA378" i="44" s="1"/>
  <c r="S378" i="44"/>
  <c r="P378" i="44"/>
  <c r="O378" i="44"/>
  <c r="AU403" i="44"/>
  <c r="AM403" i="44"/>
  <c r="AL403" i="44"/>
  <c r="AK403" i="44"/>
  <c r="AJ403" i="44"/>
  <c r="AI403" i="44"/>
  <c r="AU402" i="44"/>
  <c r="AM402" i="44"/>
  <c r="AL402" i="44"/>
  <c r="AK402" i="44"/>
  <c r="AJ402" i="44"/>
  <c r="AI402" i="44"/>
  <c r="AU401" i="44"/>
  <c r="AM401" i="44"/>
  <c r="AL401" i="44"/>
  <c r="AK401" i="44"/>
  <c r="AJ401" i="44"/>
  <c r="AI401" i="44"/>
  <c r="W403" i="44"/>
  <c r="AB403" i="44" s="1"/>
  <c r="S403" i="44"/>
  <c r="P403" i="44"/>
  <c r="O403" i="44"/>
  <c r="W402" i="44"/>
  <c r="X402" i="44" s="1"/>
  <c r="S402" i="44"/>
  <c r="P402" i="44"/>
  <c r="O402" i="44"/>
  <c r="W401" i="44"/>
  <c r="X401" i="44" s="1"/>
  <c r="S401" i="44"/>
  <c r="P401" i="44"/>
  <c r="O401" i="44"/>
  <c r="AG382" i="44"/>
  <c r="AH382" i="44" s="1"/>
  <c r="AG395" i="44"/>
  <c r="AH395" i="44" s="1"/>
  <c r="AG386" i="44"/>
  <c r="AH386" i="44" s="1"/>
  <c r="AG371" i="44"/>
  <c r="AH371" i="44" s="1"/>
  <c r="AG357" i="44"/>
  <c r="AH357" i="44" s="1"/>
  <c r="AG356" i="44"/>
  <c r="AH356" i="44" s="1"/>
  <c r="AG355" i="44"/>
  <c r="AH355" i="44" s="1"/>
  <c r="AG348" i="44"/>
  <c r="AH348" i="44" s="1"/>
  <c r="AG347" i="44"/>
  <c r="AH347" i="44" s="1"/>
  <c r="AG401" i="44"/>
  <c r="AH401" i="44" s="1"/>
  <c r="AU126" i="39"/>
  <c r="AM126" i="39"/>
  <c r="AL126" i="39"/>
  <c r="AK126" i="39"/>
  <c r="AJ126" i="39"/>
  <c r="AI126" i="39"/>
  <c r="AC126" i="39"/>
  <c r="AG126" i="39" s="1"/>
  <c r="W126" i="39"/>
  <c r="BB126" i="39" s="1"/>
  <c r="S126" i="39"/>
  <c r="P126" i="39"/>
  <c r="O126" i="39"/>
  <c r="N126" i="39"/>
  <c r="AU120" i="39"/>
  <c r="AM120" i="39"/>
  <c r="AL120" i="39"/>
  <c r="AK120" i="39"/>
  <c r="AJ120" i="39"/>
  <c r="AI120" i="39"/>
  <c r="AD120" i="39"/>
  <c r="AC120" i="39"/>
  <c r="W120" i="39"/>
  <c r="BB120" i="39" s="1"/>
  <c r="S120" i="39"/>
  <c r="P120" i="39"/>
  <c r="O120" i="39"/>
  <c r="N120" i="39"/>
  <c r="AC125" i="39"/>
  <c r="W125" i="39"/>
  <c r="S125" i="39"/>
  <c r="P125" i="39"/>
  <c r="O125" i="39"/>
  <c r="N125" i="39"/>
  <c r="AU124" i="39"/>
  <c r="AM124" i="39"/>
  <c r="AL124" i="39"/>
  <c r="AK124" i="39"/>
  <c r="AJ124" i="39"/>
  <c r="AI124" i="39"/>
  <c r="AD124" i="39"/>
  <c r="AC124" i="39"/>
  <c r="W124" i="39"/>
  <c r="BB124" i="39" s="1"/>
  <c r="S124" i="39"/>
  <c r="P124" i="39"/>
  <c r="O124" i="39"/>
  <c r="N124" i="39"/>
  <c r="AU123" i="39"/>
  <c r="AM123" i="39"/>
  <c r="AL123" i="39"/>
  <c r="AK123" i="39"/>
  <c r="AJ123" i="39"/>
  <c r="AI123" i="39"/>
  <c r="AD123" i="39"/>
  <c r="AC123" i="39"/>
  <c r="W123" i="39"/>
  <c r="S123" i="39"/>
  <c r="P123" i="39"/>
  <c r="O123" i="39"/>
  <c r="N123" i="39"/>
  <c r="AU122" i="39"/>
  <c r="AM122" i="39"/>
  <c r="AL122" i="39"/>
  <c r="AK122" i="39"/>
  <c r="AJ122" i="39"/>
  <c r="AI122" i="39"/>
  <c r="AD122" i="39"/>
  <c r="AC122" i="39"/>
  <c r="W122" i="39"/>
  <c r="S122" i="39"/>
  <c r="P122" i="39"/>
  <c r="O122" i="39"/>
  <c r="AU121" i="39"/>
  <c r="AM121" i="39"/>
  <c r="AL121" i="39"/>
  <c r="AK121" i="39"/>
  <c r="AJ121" i="39"/>
  <c r="AI121" i="39"/>
  <c r="AD121" i="39"/>
  <c r="AC121" i="39"/>
  <c r="W121" i="39"/>
  <c r="BB121" i="39" s="1"/>
  <c r="S121" i="39"/>
  <c r="P121" i="39"/>
  <c r="O121" i="39"/>
  <c r="N121" i="39"/>
  <c r="AU119" i="39"/>
  <c r="AM119" i="39"/>
  <c r="AL119" i="39"/>
  <c r="AK119" i="39"/>
  <c r="AJ119" i="39"/>
  <c r="AI119" i="39"/>
  <c r="AD119" i="39"/>
  <c r="AC119" i="39"/>
  <c r="W119" i="39"/>
  <c r="S119" i="39"/>
  <c r="P119" i="39"/>
  <c r="O119" i="39"/>
  <c r="N119" i="39"/>
  <c r="AU118" i="39"/>
  <c r="AM118" i="39"/>
  <c r="AL118" i="39"/>
  <c r="AK118" i="39"/>
  <c r="AJ118" i="39"/>
  <c r="AI118" i="39"/>
  <c r="AD118" i="39"/>
  <c r="AC118" i="39"/>
  <c r="W118" i="39"/>
  <c r="BB118" i="39" s="1"/>
  <c r="S118" i="39"/>
  <c r="P118" i="39"/>
  <c r="O118" i="39"/>
  <c r="N118" i="39"/>
  <c r="AU117" i="39"/>
  <c r="AM117" i="39"/>
  <c r="AL117" i="39"/>
  <c r="AK117" i="39"/>
  <c r="AJ117" i="39"/>
  <c r="AI117" i="39"/>
  <c r="AD117" i="39"/>
  <c r="AC117" i="39"/>
  <c r="W117" i="39"/>
  <c r="BB117" i="39" s="1"/>
  <c r="S117" i="39"/>
  <c r="P117" i="39"/>
  <c r="O117" i="39"/>
  <c r="N117" i="39"/>
  <c r="AU116" i="39"/>
  <c r="AM116" i="39"/>
  <c r="AL116" i="39"/>
  <c r="AK116" i="39"/>
  <c r="AJ116" i="39"/>
  <c r="AI116" i="39"/>
  <c r="AD116" i="39"/>
  <c r="AC116" i="39"/>
  <c r="W116" i="39"/>
  <c r="Z116" i="39" s="1"/>
  <c r="S116" i="39"/>
  <c r="P116" i="39"/>
  <c r="O116" i="39"/>
  <c r="N116" i="39"/>
  <c r="AU377" i="44"/>
  <c r="AM377" i="44"/>
  <c r="AL377" i="44"/>
  <c r="AK377" i="44"/>
  <c r="AJ377" i="44"/>
  <c r="AI377" i="44"/>
  <c r="AG377" i="44"/>
  <c r="AH377" i="44" s="1"/>
  <c r="W377" i="44"/>
  <c r="AB377" i="44" s="1"/>
  <c r="S377" i="44"/>
  <c r="P377" i="44"/>
  <c r="O377" i="44"/>
  <c r="AU376" i="44"/>
  <c r="AM376" i="44"/>
  <c r="AL376" i="44"/>
  <c r="AK376" i="44"/>
  <c r="AJ376" i="44"/>
  <c r="AI376" i="44"/>
  <c r="W376" i="44"/>
  <c r="X376" i="44" s="1"/>
  <c r="S376" i="44"/>
  <c r="P376" i="44"/>
  <c r="O376" i="44"/>
  <c r="N376" i="44"/>
  <c r="AU375" i="44"/>
  <c r="AM375" i="44"/>
  <c r="AL375" i="44"/>
  <c r="AK375" i="44"/>
  <c r="AJ375" i="44"/>
  <c r="AI375" i="44"/>
  <c r="W375" i="44"/>
  <c r="BB375" i="44" s="1"/>
  <c r="S375" i="44"/>
  <c r="P375" i="44"/>
  <c r="O375" i="44"/>
  <c r="AU374" i="44"/>
  <c r="AM374" i="44"/>
  <c r="AL374" i="44"/>
  <c r="AK374" i="44"/>
  <c r="AJ374" i="44"/>
  <c r="AI374" i="44"/>
  <c r="AF374" i="44"/>
  <c r="W374" i="44"/>
  <c r="AB374" i="44" s="1"/>
  <c r="S374" i="44"/>
  <c r="P374" i="44"/>
  <c r="O374" i="44"/>
  <c r="AU373" i="44"/>
  <c r="AM373" i="44"/>
  <c r="AL373" i="44"/>
  <c r="AK373" i="44"/>
  <c r="AJ373" i="44"/>
  <c r="AI373" i="44"/>
  <c r="AF373" i="44"/>
  <c r="W373" i="44"/>
  <c r="AB373" i="44" s="1"/>
  <c r="S373" i="44"/>
  <c r="P373" i="44"/>
  <c r="O373" i="44"/>
  <c r="AU372" i="44"/>
  <c r="AM372" i="44"/>
  <c r="AL372" i="44"/>
  <c r="AK372" i="44"/>
  <c r="AJ372" i="44"/>
  <c r="AI372" i="44"/>
  <c r="W372" i="44"/>
  <c r="X372" i="44" s="1"/>
  <c r="S372" i="44"/>
  <c r="P372" i="44"/>
  <c r="O372" i="44"/>
  <c r="AU371" i="44"/>
  <c r="AM371" i="44"/>
  <c r="AL371" i="44"/>
  <c r="AK371" i="44"/>
  <c r="AJ371" i="44"/>
  <c r="AI371" i="44"/>
  <c r="W371" i="44"/>
  <c r="AB371" i="44" s="1"/>
  <c r="S371" i="44"/>
  <c r="P371" i="44"/>
  <c r="O371" i="44"/>
  <c r="AU400" i="44"/>
  <c r="AM400" i="44"/>
  <c r="AL400" i="44"/>
  <c r="AK400" i="44"/>
  <c r="AJ400" i="44"/>
  <c r="AI400" i="44"/>
  <c r="W400" i="44"/>
  <c r="BB400" i="44" s="1"/>
  <c r="S400" i="44"/>
  <c r="P400" i="44"/>
  <c r="O400" i="44"/>
  <c r="AU399" i="44"/>
  <c r="AM399" i="44"/>
  <c r="AL399" i="44"/>
  <c r="AK399" i="44"/>
  <c r="AJ399" i="44"/>
  <c r="AI399" i="44"/>
  <c r="W399" i="44"/>
  <c r="AA399" i="44" s="1"/>
  <c r="S399" i="44"/>
  <c r="P399" i="44"/>
  <c r="O399" i="44"/>
  <c r="AU398" i="44"/>
  <c r="AM398" i="44"/>
  <c r="AL398" i="44"/>
  <c r="AK398" i="44"/>
  <c r="AJ398" i="44"/>
  <c r="AI398" i="44"/>
  <c r="AF398" i="44"/>
  <c r="W398" i="44"/>
  <c r="Z398" i="44" s="1"/>
  <c r="S398" i="44"/>
  <c r="P398" i="44"/>
  <c r="O398" i="44"/>
  <c r="AU397" i="44"/>
  <c r="AM397" i="44"/>
  <c r="AL397" i="44"/>
  <c r="AK397" i="44"/>
  <c r="AJ397" i="44"/>
  <c r="AI397" i="44"/>
  <c r="AF397" i="44"/>
  <c r="W397" i="44"/>
  <c r="AB397" i="44" s="1"/>
  <c r="S397" i="44"/>
  <c r="P397" i="44"/>
  <c r="O397" i="44"/>
  <c r="AU396" i="44"/>
  <c r="AM396" i="44"/>
  <c r="AL396" i="44"/>
  <c r="AK396" i="44"/>
  <c r="AJ396" i="44"/>
  <c r="AI396" i="44"/>
  <c r="W396" i="44"/>
  <c r="AB396" i="44" s="1"/>
  <c r="S396" i="44"/>
  <c r="P396" i="44"/>
  <c r="O396" i="44"/>
  <c r="AU395" i="44"/>
  <c r="AM395" i="44"/>
  <c r="AL395" i="44"/>
  <c r="AK395" i="44"/>
  <c r="AJ395" i="44"/>
  <c r="AI395" i="44"/>
  <c r="W395" i="44"/>
  <c r="AB395" i="44" s="1"/>
  <c r="S395" i="44"/>
  <c r="P395" i="44"/>
  <c r="O395" i="44"/>
  <c r="AU391" i="44"/>
  <c r="AM391" i="44"/>
  <c r="AL391" i="44"/>
  <c r="AK391" i="44"/>
  <c r="AJ391" i="44"/>
  <c r="AI391" i="44"/>
  <c r="W391" i="44"/>
  <c r="Z391" i="44" s="1"/>
  <c r="S391" i="44"/>
  <c r="P391" i="44"/>
  <c r="O391" i="44"/>
  <c r="AU390" i="44"/>
  <c r="AM390" i="44"/>
  <c r="AL390" i="44"/>
  <c r="AK390" i="44"/>
  <c r="AJ390" i="44"/>
  <c r="AI390" i="44"/>
  <c r="AG390" i="44"/>
  <c r="W390" i="44"/>
  <c r="Z390" i="44" s="1"/>
  <c r="S390" i="44"/>
  <c r="P390" i="44"/>
  <c r="O390" i="44"/>
  <c r="AU389" i="44"/>
  <c r="AM389" i="44"/>
  <c r="AL389" i="44"/>
  <c r="AK389" i="44"/>
  <c r="AJ389" i="44"/>
  <c r="AI389" i="44"/>
  <c r="AF389" i="44"/>
  <c r="W389" i="44"/>
  <c r="Z389" i="44" s="1"/>
  <c r="S389" i="44"/>
  <c r="P389" i="44"/>
  <c r="O389" i="44"/>
  <c r="AU388" i="44"/>
  <c r="AM388" i="44"/>
  <c r="AL388" i="44"/>
  <c r="AK388" i="44"/>
  <c r="AJ388" i="44"/>
  <c r="AI388" i="44"/>
  <c r="AF388" i="44"/>
  <c r="W388" i="44"/>
  <c r="X388" i="44" s="1"/>
  <c r="S388" i="44"/>
  <c r="P388" i="44"/>
  <c r="O388" i="44"/>
  <c r="AU387" i="44"/>
  <c r="AM387" i="44"/>
  <c r="AL387" i="44"/>
  <c r="AK387" i="44"/>
  <c r="AJ387" i="44"/>
  <c r="AI387" i="44"/>
  <c r="W387" i="44"/>
  <c r="BB387" i="44" s="1"/>
  <c r="S387" i="44"/>
  <c r="P387" i="44"/>
  <c r="O387" i="44"/>
  <c r="AU386" i="44"/>
  <c r="AM386" i="44"/>
  <c r="AL386" i="44"/>
  <c r="AK386" i="44"/>
  <c r="AJ386" i="44"/>
  <c r="AI386" i="44"/>
  <c r="W386" i="44"/>
  <c r="BB386" i="44" s="1"/>
  <c r="S386" i="44"/>
  <c r="P386" i="44"/>
  <c r="O386" i="44"/>
  <c r="AA119" i="39" l="1"/>
  <c r="BB119" i="39"/>
  <c r="X122" i="39"/>
  <c r="BB122" i="39"/>
  <c r="X130" i="39"/>
  <c r="BB130" i="39"/>
  <c r="AA123" i="39"/>
  <c r="BB123" i="39"/>
  <c r="X125" i="39"/>
  <c r="BB125" i="39"/>
  <c r="AB131" i="39"/>
  <c r="BB131" i="39"/>
  <c r="AB129" i="39"/>
  <c r="BB129" i="39"/>
  <c r="AN52" i="45"/>
  <c r="AN399" i="44"/>
  <c r="AG61" i="45"/>
  <c r="AH61" i="45" s="1"/>
  <c r="AN378" i="44"/>
  <c r="AN380" i="44"/>
  <c r="AN131" i="39"/>
  <c r="AN61" i="45"/>
  <c r="AB123" i="39"/>
  <c r="AB126" i="39"/>
  <c r="AN129" i="39"/>
  <c r="AN125" i="39"/>
  <c r="AN121" i="39"/>
  <c r="AG117" i="39"/>
  <c r="AH117" i="39" s="1"/>
  <c r="AB130" i="39"/>
  <c r="AG120" i="39"/>
  <c r="AH120" i="39" s="1"/>
  <c r="Z130" i="39"/>
  <c r="X116" i="39"/>
  <c r="AN119" i="39"/>
  <c r="AN124" i="39"/>
  <c r="AN126" i="39"/>
  <c r="AN118" i="39"/>
  <c r="AN120" i="39"/>
  <c r="AG124" i="39"/>
  <c r="AH124" i="39" s="1"/>
  <c r="AN130" i="39"/>
  <c r="AN122" i="39"/>
  <c r="AG131" i="39"/>
  <c r="AH131" i="39" s="1"/>
  <c r="AG118" i="39"/>
  <c r="AH118" i="39" s="1"/>
  <c r="AG123" i="39"/>
  <c r="AH123" i="39" s="1"/>
  <c r="X117" i="39"/>
  <c r="AA117" i="39"/>
  <c r="AN123" i="39"/>
  <c r="X129" i="39"/>
  <c r="AN117" i="39"/>
  <c r="AA122" i="39"/>
  <c r="Z129" i="39"/>
  <c r="AB122" i="39"/>
  <c r="AA129" i="39"/>
  <c r="AA116" i="39"/>
  <c r="BB116" i="39"/>
  <c r="AB116" i="39"/>
  <c r="Z125" i="39"/>
  <c r="AA125" i="39"/>
  <c r="AB125" i="39"/>
  <c r="Z122" i="39"/>
  <c r="AN116" i="39"/>
  <c r="AO116" i="39" s="1"/>
  <c r="AP116" i="39" s="1"/>
  <c r="AW116" i="39" s="1"/>
  <c r="AN377" i="44"/>
  <c r="AA390" i="44"/>
  <c r="AG375" i="44"/>
  <c r="AH375" i="44" s="1"/>
  <c r="AN376" i="44"/>
  <c r="AG398" i="44"/>
  <c r="AH398" i="44" s="1"/>
  <c r="AN379" i="44"/>
  <c r="AG391" i="44"/>
  <c r="AH391" i="44" s="1"/>
  <c r="AN398" i="44"/>
  <c r="AO398" i="44" s="1"/>
  <c r="AG399" i="44"/>
  <c r="AH399" i="44" s="1"/>
  <c r="AG402" i="44"/>
  <c r="AH402" i="44" s="1"/>
  <c r="AB381" i="44"/>
  <c r="AG374" i="44"/>
  <c r="AH374" i="44" s="1"/>
  <c r="AN388" i="44"/>
  <c r="AN395" i="44"/>
  <c r="AG396" i="44"/>
  <c r="AH396" i="44" s="1"/>
  <c r="AG381" i="44"/>
  <c r="AH381" i="44" s="1"/>
  <c r="AN396" i="44"/>
  <c r="AN389" i="44"/>
  <c r="AO389" i="44" s="1"/>
  <c r="AP389" i="44" s="1"/>
  <c r="AW389" i="44" s="1"/>
  <c r="X390" i="44"/>
  <c r="BB390" i="44"/>
  <c r="AN386" i="44"/>
  <c r="AG387" i="44"/>
  <c r="AH387" i="44" s="1"/>
  <c r="AB390" i="44"/>
  <c r="AN397" i="44"/>
  <c r="AA50" i="45"/>
  <c r="Z62" i="45"/>
  <c r="X57" i="45"/>
  <c r="AA57" i="45"/>
  <c r="AN58" i="45"/>
  <c r="AB57" i="45"/>
  <c r="AN62" i="45"/>
  <c r="Z61" i="45"/>
  <c r="BB51" i="45"/>
  <c r="Z63" i="45"/>
  <c r="BB50" i="45"/>
  <c r="AA61" i="45"/>
  <c r="AN51" i="45"/>
  <c r="AN56" i="45"/>
  <c r="Z51" i="45"/>
  <c r="X61" i="45"/>
  <c r="AN50" i="45"/>
  <c r="AO50" i="45" s="1"/>
  <c r="AP50" i="45" s="1"/>
  <c r="AN63" i="45"/>
  <c r="X51" i="45"/>
  <c r="BB52" i="45"/>
  <c r="Z57" i="45"/>
  <c r="BB63" i="45"/>
  <c r="BB58" i="45"/>
  <c r="AA51" i="45"/>
  <c r="BB62" i="45"/>
  <c r="AB50" i="45"/>
  <c r="AN57" i="45"/>
  <c r="X62" i="45"/>
  <c r="X63" i="45"/>
  <c r="BB61" i="45"/>
  <c r="AA62" i="45"/>
  <c r="AA63" i="45"/>
  <c r="AG51" i="45"/>
  <c r="AH51" i="45" s="1"/>
  <c r="AG389" i="44"/>
  <c r="AH389" i="44" s="1"/>
  <c r="AG397" i="44"/>
  <c r="AH397" i="44" s="1"/>
  <c r="BB397" i="44"/>
  <c r="AG400" i="44"/>
  <c r="AH400" i="44" s="1"/>
  <c r="AB380" i="44"/>
  <c r="AH390" i="44"/>
  <c r="AA371" i="44"/>
  <c r="AG388" i="44"/>
  <c r="AH388" i="44" s="1"/>
  <c r="AG372" i="44"/>
  <c r="AH372" i="44" s="1"/>
  <c r="AN375" i="44"/>
  <c r="AG376" i="44"/>
  <c r="AH376" i="44" s="1"/>
  <c r="AG403" i="44"/>
  <c r="AH403" i="44" s="1"/>
  <c r="AG378" i="44"/>
  <c r="AH378" i="44" s="1"/>
  <c r="AN403" i="44"/>
  <c r="AB378" i="44"/>
  <c r="BB379" i="44"/>
  <c r="BB371" i="44"/>
  <c r="Z371" i="44"/>
  <c r="X371" i="44"/>
  <c r="AN401" i="44"/>
  <c r="AG379" i="44"/>
  <c r="AH379" i="44" s="1"/>
  <c r="AN372" i="44"/>
  <c r="AG373" i="44"/>
  <c r="AH373" i="44" s="1"/>
  <c r="AG380" i="44"/>
  <c r="AH380" i="44" s="1"/>
  <c r="AA381" i="44"/>
  <c r="AN382" i="44"/>
  <c r="BB380" i="44"/>
  <c r="Z402" i="44"/>
  <c r="X378" i="44"/>
  <c r="X380" i="44"/>
  <c r="AN381" i="44"/>
  <c r="X399" i="44"/>
  <c r="BB399" i="44"/>
  <c r="AN374" i="44"/>
  <c r="AA402" i="44"/>
  <c r="Z378" i="44"/>
  <c r="Z380" i="44"/>
  <c r="BB378" i="44"/>
  <c r="AN387" i="44"/>
  <c r="AB399" i="44"/>
  <c r="AN371" i="44"/>
  <c r="AB402" i="44"/>
  <c r="X397" i="44"/>
  <c r="AA376" i="44"/>
  <c r="AB398" i="44"/>
  <c r="AN390" i="44"/>
  <c r="AO390" i="44" s="1"/>
  <c r="Z397" i="44"/>
  <c r="AB376" i="44"/>
  <c r="BB376" i="44"/>
  <c r="BB402" i="44"/>
  <c r="BB403" i="44"/>
  <c r="BB382" i="44"/>
  <c r="Z376" i="44"/>
  <c r="AA397" i="44"/>
  <c r="BB398" i="44"/>
  <c r="X403" i="44"/>
  <c r="BB401" i="44"/>
  <c r="X381" i="44"/>
  <c r="AA398" i="44"/>
  <c r="AN400" i="44"/>
  <c r="AN373" i="44"/>
  <c r="AN402" i="44"/>
  <c r="Z381" i="44"/>
  <c r="AG63" i="45"/>
  <c r="AH63" i="45" s="1"/>
  <c r="Z56" i="45"/>
  <c r="X56" i="45"/>
  <c r="X58" i="45"/>
  <c r="Z58" i="45"/>
  <c r="AA56" i="45"/>
  <c r="AA58" i="45"/>
  <c r="AG57" i="45"/>
  <c r="AH57" i="45" s="1"/>
  <c r="AG56" i="45"/>
  <c r="AH56" i="45" s="1"/>
  <c r="AG58" i="45"/>
  <c r="AH58" i="45" s="1"/>
  <c r="X52" i="45"/>
  <c r="Z52" i="45"/>
  <c r="AA52" i="45"/>
  <c r="X50" i="45"/>
  <c r="AG52" i="45"/>
  <c r="AH52" i="45" s="1"/>
  <c r="AG50" i="45"/>
  <c r="AH50" i="45" s="1"/>
  <c r="AA130" i="39"/>
  <c r="X131" i="39"/>
  <c r="Z131" i="39"/>
  <c r="AA131" i="39"/>
  <c r="X379" i="44"/>
  <c r="X382" i="44"/>
  <c r="Z382" i="44"/>
  <c r="Z379" i="44"/>
  <c r="AA379" i="44"/>
  <c r="AA382" i="44"/>
  <c r="AA401" i="44"/>
  <c r="AB401" i="44"/>
  <c r="Z401" i="44"/>
  <c r="Z403" i="44"/>
  <c r="AA403" i="44"/>
  <c r="AH126" i="39"/>
  <c r="X126" i="39"/>
  <c r="Z126" i="39"/>
  <c r="AA126" i="39"/>
  <c r="AG125" i="39"/>
  <c r="AH125" i="39" s="1"/>
  <c r="Z120" i="39"/>
  <c r="AA120" i="39"/>
  <c r="X120" i="39"/>
  <c r="AB120" i="39"/>
  <c r="X119" i="39"/>
  <c r="Z119" i="39"/>
  <c r="AG122" i="39"/>
  <c r="AH122" i="39" s="1"/>
  <c r="X118" i="39"/>
  <c r="Z118" i="39"/>
  <c r="AB119" i="39"/>
  <c r="X124" i="39"/>
  <c r="AA118" i="39"/>
  <c r="AG121" i="39"/>
  <c r="AH121" i="39" s="1"/>
  <c r="Z124" i="39"/>
  <c r="Z117" i="39"/>
  <c r="AB118" i="39"/>
  <c r="X123" i="39"/>
  <c r="AA124" i="39"/>
  <c r="X121" i="39"/>
  <c r="AG116" i="39"/>
  <c r="AH116" i="39" s="1"/>
  <c r="AA121" i="39"/>
  <c r="AG119" i="39"/>
  <c r="AH119" i="39" s="1"/>
  <c r="Z123" i="39"/>
  <c r="AB124" i="39"/>
  <c r="Z121" i="39"/>
  <c r="AB121" i="39"/>
  <c r="AB117" i="39"/>
  <c r="X373" i="44"/>
  <c r="AA375" i="44"/>
  <c r="Z372" i="44"/>
  <c r="BB374" i="44"/>
  <c r="Z373" i="44"/>
  <c r="AA372" i="44"/>
  <c r="BB373" i="44"/>
  <c r="X377" i="44"/>
  <c r="X375" i="44"/>
  <c r="AA374" i="44"/>
  <c r="AB372" i="44"/>
  <c r="BB372" i="44"/>
  <c r="Z377" i="44"/>
  <c r="X374" i="44"/>
  <c r="Z375" i="44"/>
  <c r="Z374" i="44"/>
  <c r="AB375" i="44"/>
  <c r="AA373" i="44"/>
  <c r="AA377" i="44"/>
  <c r="BB377" i="44"/>
  <c r="X395" i="44"/>
  <c r="X400" i="44"/>
  <c r="Z395" i="44"/>
  <c r="BB395" i="44"/>
  <c r="Z400" i="44"/>
  <c r="X396" i="44"/>
  <c r="Z396" i="44"/>
  <c r="BB396" i="44"/>
  <c r="AA395" i="44"/>
  <c r="AA400" i="44"/>
  <c r="AA396" i="44"/>
  <c r="X398" i="44"/>
  <c r="Z399" i="44"/>
  <c r="AB400" i="44"/>
  <c r="AN391" i="44"/>
  <c r="AO391" i="44" s="1"/>
  <c r="AP391" i="44" s="1"/>
  <c r="AW391" i="44" s="1"/>
  <c r="AB389" i="44"/>
  <c r="AA388" i="44"/>
  <c r="AA389" i="44"/>
  <c r="Z388" i="44"/>
  <c r="AB388" i="44"/>
  <c r="AA386" i="44"/>
  <c r="AA391" i="44"/>
  <c r="AB386" i="44"/>
  <c r="AB391" i="44"/>
  <c r="BB391" i="44"/>
  <c r="X387" i="44"/>
  <c r="AA387" i="44"/>
  <c r="X386" i="44"/>
  <c r="X391" i="44"/>
  <c r="Z387" i="44"/>
  <c r="BB389" i="44"/>
  <c r="BB388" i="44"/>
  <c r="AB387" i="44"/>
  <c r="Z386" i="44"/>
  <c r="X389" i="44"/>
  <c r="AQ50" i="45" l="1"/>
  <c r="AW50" i="45"/>
  <c r="AO131" i="39"/>
  <c r="AP131" i="39" s="1"/>
  <c r="AZ131" i="39" s="1"/>
  <c r="AO63" i="45"/>
  <c r="AP63" i="45" s="1"/>
  <c r="AW63" i="45" s="1"/>
  <c r="AO52" i="45"/>
  <c r="AP52" i="45" s="1"/>
  <c r="AO399" i="44"/>
  <c r="AP399" i="44" s="1"/>
  <c r="AO62" i="45"/>
  <c r="AP62" i="45" s="1"/>
  <c r="AO61" i="45"/>
  <c r="AP61" i="45" s="1"/>
  <c r="AP390" i="44"/>
  <c r="AP398" i="44"/>
  <c r="AO376" i="44"/>
  <c r="AO380" i="44"/>
  <c r="AO377" i="44"/>
  <c r="AP377" i="44" s="1"/>
  <c r="AW377" i="44" s="1"/>
  <c r="AO378" i="44"/>
  <c r="AP378" i="44" s="1"/>
  <c r="AW378" i="44" s="1"/>
  <c r="AO117" i="39"/>
  <c r="AP117" i="39" s="1"/>
  <c r="AX117" i="39" s="1"/>
  <c r="AO124" i="39"/>
  <c r="AP124" i="39" s="1"/>
  <c r="AO395" i="44"/>
  <c r="AO386" i="44"/>
  <c r="AP386" i="44" s="1"/>
  <c r="AW386" i="44" s="1"/>
  <c r="AO129" i="39"/>
  <c r="AP129" i="39" s="1"/>
  <c r="AZ129" i="39" s="1"/>
  <c r="AO121" i="39"/>
  <c r="AP121" i="39" s="1"/>
  <c r="AX121" i="39" s="1"/>
  <c r="AO120" i="39"/>
  <c r="AP120" i="39" s="1"/>
  <c r="AO125" i="39"/>
  <c r="AP125" i="39" s="1"/>
  <c r="AZ125" i="39" s="1"/>
  <c r="AO58" i="45"/>
  <c r="AP58" i="45" s="1"/>
  <c r="AO56" i="45"/>
  <c r="AP56" i="45" s="1"/>
  <c r="AW56" i="45" s="1"/>
  <c r="AO119" i="39"/>
  <c r="AP119" i="39" s="1"/>
  <c r="AO130" i="39"/>
  <c r="AP130" i="39" s="1"/>
  <c r="BC130" i="39" s="1"/>
  <c r="AO118" i="39"/>
  <c r="AP118" i="39" s="1"/>
  <c r="AO122" i="39"/>
  <c r="AP122" i="39" s="1"/>
  <c r="AZ122" i="39" s="1"/>
  <c r="AO126" i="39"/>
  <c r="AP126" i="39" s="1"/>
  <c r="AX126" i="39" s="1"/>
  <c r="AO123" i="39"/>
  <c r="AP123" i="39" s="1"/>
  <c r="AZ123" i="39" s="1"/>
  <c r="AO375" i="44"/>
  <c r="AO372" i="44"/>
  <c r="AO374" i="44"/>
  <c r="AO379" i="44"/>
  <c r="AO371" i="44"/>
  <c r="AO397" i="44"/>
  <c r="AO388" i="44"/>
  <c r="AO373" i="44"/>
  <c r="AO402" i="44"/>
  <c r="AO387" i="44"/>
  <c r="AO396" i="44"/>
  <c r="AO57" i="45"/>
  <c r="AP57" i="45" s="1"/>
  <c r="AO51" i="45"/>
  <c r="AP51" i="45" s="1"/>
  <c r="AO403" i="44"/>
  <c r="AO400" i="44"/>
  <c r="AO401" i="44"/>
  <c r="AO382" i="44"/>
  <c r="AO381" i="44"/>
  <c r="AP381" i="44" s="1"/>
  <c r="AW381" i="44" s="1"/>
  <c r="AX50" i="45"/>
  <c r="AR50" i="45"/>
  <c r="AS50" i="45" s="1"/>
  <c r="AZ50" i="45"/>
  <c r="AV50" i="45"/>
  <c r="BC50" i="45"/>
  <c r="AX116" i="39"/>
  <c r="AR116" i="39"/>
  <c r="AS116" i="39" s="1"/>
  <c r="AZ116" i="39"/>
  <c r="AV116" i="39"/>
  <c r="BC116" i="39"/>
  <c r="AQ116" i="39"/>
  <c r="AX389" i="44"/>
  <c r="AR389" i="44"/>
  <c r="AS389" i="44" s="1"/>
  <c r="AV389" i="44"/>
  <c r="BC389" i="44"/>
  <c r="AZ389" i="44"/>
  <c r="AQ389" i="44"/>
  <c r="AX391" i="44"/>
  <c r="AX125" i="39" l="1"/>
  <c r="BC131" i="39"/>
  <c r="BC129" i="39"/>
  <c r="AZ124" i="39"/>
  <c r="BC124" i="39"/>
  <c r="AX131" i="39"/>
  <c r="AW119" i="39"/>
  <c r="AZ119" i="39"/>
  <c r="AX123" i="39"/>
  <c r="AX119" i="39"/>
  <c r="AZ118" i="39"/>
  <c r="BC118" i="39"/>
  <c r="AZ120" i="39"/>
  <c r="BC120" i="39"/>
  <c r="BC125" i="39"/>
  <c r="AX124" i="39"/>
  <c r="AW130" i="39"/>
  <c r="AZ130" i="39"/>
  <c r="AZ121" i="39"/>
  <c r="BC121" i="39"/>
  <c r="BC119" i="39"/>
  <c r="AX120" i="39"/>
  <c r="AZ126" i="39"/>
  <c r="BC126" i="39"/>
  <c r="AZ117" i="39"/>
  <c r="BC117" i="39"/>
  <c r="BC122" i="39"/>
  <c r="BC123" i="39"/>
  <c r="AX122" i="39"/>
  <c r="AX118" i="39"/>
  <c r="FZ116" i="39"/>
  <c r="FY116" i="39"/>
  <c r="GC116" i="39"/>
  <c r="GA116" i="39"/>
  <c r="EB389" i="44"/>
  <c r="EA389" i="44"/>
  <c r="DX389" i="44"/>
  <c r="EH389" i="44"/>
  <c r="EF389" i="44"/>
  <c r="AX63" i="45"/>
  <c r="BC58" i="45"/>
  <c r="AW58" i="45"/>
  <c r="AQ61" i="45"/>
  <c r="AW61" i="45"/>
  <c r="AX51" i="45"/>
  <c r="AW51" i="45"/>
  <c r="AX57" i="45"/>
  <c r="AW57" i="45"/>
  <c r="AX62" i="45"/>
  <c r="AW62" i="45"/>
  <c r="AQ52" i="45"/>
  <c r="AW52" i="45"/>
  <c r="AZ63" i="45"/>
  <c r="AQ63" i="45"/>
  <c r="AR118" i="39"/>
  <c r="AS118" i="39" s="1"/>
  <c r="AW118" i="39"/>
  <c r="AV129" i="39"/>
  <c r="AW129" i="39"/>
  <c r="AW124" i="39"/>
  <c r="AW121" i="39"/>
  <c r="AR125" i="39"/>
  <c r="AS125" i="39" s="1"/>
  <c r="AW125" i="39"/>
  <c r="AW123" i="39"/>
  <c r="AQ126" i="39"/>
  <c r="AW126" i="39"/>
  <c r="AR122" i="39"/>
  <c r="AS122" i="39" s="1"/>
  <c r="AW122" i="39"/>
  <c r="AV117" i="39"/>
  <c r="AW117" i="39"/>
  <c r="AV120" i="39"/>
  <c r="AW120" i="39"/>
  <c r="AW131" i="39"/>
  <c r="AV398" i="44"/>
  <c r="AW398" i="44"/>
  <c r="AR399" i="44"/>
  <c r="AS399" i="44" s="1"/>
  <c r="AW399" i="44"/>
  <c r="AQ390" i="44"/>
  <c r="AW390" i="44"/>
  <c r="AQ131" i="39"/>
  <c r="AR131" i="39"/>
  <c r="AS131" i="39" s="1"/>
  <c r="AV131" i="39"/>
  <c r="FY131" i="39"/>
  <c r="AV63" i="45"/>
  <c r="AR63" i="45"/>
  <c r="AS63" i="45" s="1"/>
  <c r="BC63" i="45"/>
  <c r="AX61" i="45"/>
  <c r="AV61" i="45"/>
  <c r="FS116" i="39"/>
  <c r="AQ62" i="45"/>
  <c r="AR62" i="45"/>
  <c r="AS62" i="45" s="1"/>
  <c r="AV62" i="45"/>
  <c r="AZ61" i="45"/>
  <c r="BC62" i="45"/>
  <c r="AZ62" i="45"/>
  <c r="BC61" i="45"/>
  <c r="AQ129" i="39"/>
  <c r="AR61" i="45"/>
  <c r="AS61" i="45" s="1"/>
  <c r="AZ57" i="45"/>
  <c r="AR51" i="45"/>
  <c r="AS51" i="45" s="1"/>
  <c r="AQ58" i="45"/>
  <c r="AQ117" i="39"/>
  <c r="AR124" i="39"/>
  <c r="AS124" i="39" s="1"/>
  <c r="AV124" i="39"/>
  <c r="AR117" i="39"/>
  <c r="AS117" i="39" s="1"/>
  <c r="AQ124" i="39"/>
  <c r="AR390" i="44"/>
  <c r="AS390" i="44" s="1"/>
  <c r="AX390" i="44"/>
  <c r="BC390" i="44"/>
  <c r="AV390" i="44"/>
  <c r="AZ390" i="44"/>
  <c r="AZ398" i="44"/>
  <c r="BC398" i="44"/>
  <c r="AP388" i="44"/>
  <c r="AW388" i="44" s="1"/>
  <c r="AP371" i="44"/>
  <c r="AW371" i="44" s="1"/>
  <c r="AP373" i="44"/>
  <c r="AW373" i="44" s="1"/>
  <c r="AP400" i="44"/>
  <c r="AW400" i="44" s="1"/>
  <c r="AP379" i="44"/>
  <c r="AW379" i="44" s="1"/>
  <c r="AP374" i="44"/>
  <c r="AW374" i="44" s="1"/>
  <c r="AP380" i="44"/>
  <c r="AW380" i="44" s="1"/>
  <c r="AP376" i="44"/>
  <c r="AW376" i="44" s="1"/>
  <c r="AP372" i="44"/>
  <c r="AW372" i="44" s="1"/>
  <c r="AP403" i="44"/>
  <c r="AW403" i="44" s="1"/>
  <c r="AP375" i="44"/>
  <c r="AW375" i="44" s="1"/>
  <c r="AP401" i="44"/>
  <c r="AW401" i="44" s="1"/>
  <c r="AP397" i="44"/>
  <c r="AW397" i="44" s="1"/>
  <c r="AQ378" i="44"/>
  <c r="AR398" i="44"/>
  <c r="AS398" i="44" s="1"/>
  <c r="AP382" i="44"/>
  <c r="AW382" i="44" s="1"/>
  <c r="AP396" i="44"/>
  <c r="AW396" i="44" s="1"/>
  <c r="AQ398" i="44"/>
  <c r="AX398" i="44"/>
  <c r="AP387" i="44"/>
  <c r="AW387" i="44" s="1"/>
  <c r="AP395" i="44"/>
  <c r="AW395" i="44" s="1"/>
  <c r="AP402" i="44"/>
  <c r="AW402" i="44" s="1"/>
  <c r="AV56" i="45"/>
  <c r="AZ51" i="45"/>
  <c r="BC51" i="45"/>
  <c r="AR56" i="45"/>
  <c r="AS56" i="45" s="1"/>
  <c r="AZ58" i="45"/>
  <c r="AR58" i="45"/>
  <c r="AS58" i="45" s="1"/>
  <c r="AV58" i="45"/>
  <c r="AX58" i="45"/>
  <c r="AQ56" i="45"/>
  <c r="AR120" i="39"/>
  <c r="AS120" i="39" s="1"/>
  <c r="AQ120" i="39"/>
  <c r="AV125" i="39"/>
  <c r="AQ125" i="39"/>
  <c r="AV122" i="39"/>
  <c r="AQ130" i="39"/>
  <c r="AQ122" i="39"/>
  <c r="AV130" i="39"/>
  <c r="BC57" i="45"/>
  <c r="AQ51" i="45"/>
  <c r="AR57" i="45"/>
  <c r="AS57" i="45" s="1"/>
  <c r="AV57" i="45"/>
  <c r="AV51" i="45"/>
  <c r="AQ57" i="45"/>
  <c r="AQ121" i="39"/>
  <c r="AQ123" i="39"/>
  <c r="AR123" i="39"/>
  <c r="AS123" i="39" s="1"/>
  <c r="BC52" i="45"/>
  <c r="AR52" i="45"/>
  <c r="AS52" i="45" s="1"/>
  <c r="AZ52" i="45"/>
  <c r="AV52" i="45"/>
  <c r="AX52" i="45"/>
  <c r="AQ381" i="44"/>
  <c r="AV126" i="39"/>
  <c r="AR126" i="39"/>
  <c r="AS126" i="39" s="1"/>
  <c r="AV123" i="39"/>
  <c r="AV118" i="39"/>
  <c r="AV121" i="39"/>
  <c r="AV119" i="39"/>
  <c r="AQ119" i="39"/>
  <c r="AQ118" i="39"/>
  <c r="AR119" i="39"/>
  <c r="AS119" i="39" s="1"/>
  <c r="AR121" i="39"/>
  <c r="AS121" i="39" s="1"/>
  <c r="BC377" i="44"/>
  <c r="AZ377" i="44"/>
  <c r="AV377" i="44"/>
  <c r="AQ377" i="44"/>
  <c r="AR377" i="44"/>
  <c r="AS377" i="44" s="1"/>
  <c r="AX377" i="44"/>
  <c r="AZ399" i="44"/>
  <c r="AV399" i="44"/>
  <c r="BC399" i="44"/>
  <c r="AQ399" i="44"/>
  <c r="AX399" i="44"/>
  <c r="BC386" i="44"/>
  <c r="AZ386" i="44"/>
  <c r="AV386" i="44"/>
  <c r="AR386" i="44"/>
  <c r="AS386" i="44" s="1"/>
  <c r="AX386" i="44"/>
  <c r="AQ386" i="44"/>
  <c r="BC391" i="44"/>
  <c r="AZ391" i="44"/>
  <c r="AV391" i="44"/>
  <c r="AR391" i="44"/>
  <c r="AS391" i="44" s="1"/>
  <c r="AQ391" i="44"/>
  <c r="GD118" i="39" l="1"/>
  <c r="GF118" i="39"/>
  <c r="GA118" i="39"/>
  <c r="FZ118" i="39"/>
  <c r="FY118" i="39"/>
  <c r="GB120" i="39"/>
  <c r="FZ120" i="39"/>
  <c r="FY120" i="39"/>
  <c r="GK123" i="39"/>
  <c r="FY123" i="39"/>
  <c r="GI123" i="39"/>
  <c r="GD123" i="39"/>
  <c r="GG123" i="39"/>
  <c r="GA123" i="39"/>
  <c r="FZ123" i="39"/>
  <c r="GA119" i="39"/>
  <c r="FZ119" i="39"/>
  <c r="FY119" i="39"/>
  <c r="GF119" i="39"/>
  <c r="GD119" i="39"/>
  <c r="GJ130" i="39"/>
  <c r="GI130" i="39"/>
  <c r="GD130" i="39"/>
  <c r="GG130" i="39"/>
  <c r="GA130" i="39"/>
  <c r="FZ130" i="39"/>
  <c r="FY130" i="39"/>
  <c r="FZ117" i="39"/>
  <c r="GC117" i="39"/>
  <c r="FY117" i="39"/>
  <c r="GA117" i="39"/>
  <c r="GD124" i="39"/>
  <c r="GJ124" i="39"/>
  <c r="GI124" i="39"/>
  <c r="FY124" i="39"/>
  <c r="GA124" i="39"/>
  <c r="GL124" i="39"/>
  <c r="FZ124" i="39"/>
  <c r="GG124" i="39"/>
  <c r="GD129" i="39"/>
  <c r="FZ129" i="39"/>
  <c r="FY129" i="39"/>
  <c r="GA129" i="39"/>
  <c r="GI129" i="39"/>
  <c r="GG129" i="39"/>
  <c r="GJ129" i="39"/>
  <c r="GA121" i="39"/>
  <c r="FZ121" i="39"/>
  <c r="FY121" i="39"/>
  <c r="GE121" i="39"/>
  <c r="GD121" i="39"/>
  <c r="GD122" i="39"/>
  <c r="GA122" i="39"/>
  <c r="FZ122" i="39"/>
  <c r="FY122" i="39"/>
  <c r="GH122" i="39"/>
  <c r="GG122" i="39"/>
  <c r="FS120" i="39"/>
  <c r="FS129" i="39"/>
  <c r="FS130" i="39"/>
  <c r="FS131" i="39"/>
  <c r="FI399" i="44"/>
  <c r="EX399" i="44"/>
  <c r="FH399" i="44"/>
  <c r="EE399" i="44"/>
  <c r="EX390" i="44"/>
  <c r="FI390" i="44"/>
  <c r="FH390" i="44"/>
  <c r="EE390" i="44"/>
  <c r="FH391" i="44"/>
  <c r="FN391" i="44"/>
  <c r="FM391" i="44"/>
  <c r="FJ391" i="44"/>
  <c r="EX391" i="44"/>
  <c r="FI391" i="44"/>
  <c r="EA398" i="44"/>
  <c r="DX398" i="44"/>
  <c r="EB398" i="44"/>
  <c r="EH398" i="44"/>
  <c r="EF398" i="44"/>
  <c r="FS124" i="39"/>
  <c r="AQ375" i="44"/>
  <c r="BC402" i="44"/>
  <c r="DW402" i="44" s="1"/>
  <c r="AX372" i="44"/>
  <c r="AV380" i="44"/>
  <c r="AX401" i="44"/>
  <c r="AR403" i="44"/>
  <c r="AS403" i="44" s="1"/>
  <c r="AV382" i="44"/>
  <c r="BC373" i="44"/>
  <c r="AQ376" i="44"/>
  <c r="AV371" i="44"/>
  <c r="AZ395" i="44"/>
  <c r="AQ397" i="44"/>
  <c r="AX388" i="44"/>
  <c r="FS122" i="39"/>
  <c r="FS121" i="39"/>
  <c r="FS117" i="39"/>
  <c r="FS123" i="39"/>
  <c r="FS118" i="39"/>
  <c r="FS119" i="39"/>
  <c r="AR397" i="44"/>
  <c r="AS397" i="44" s="1"/>
  <c r="AV397" i="44"/>
  <c r="AR382" i="44"/>
  <c r="AS382" i="44" s="1"/>
  <c r="BC400" i="44"/>
  <c r="AV373" i="44"/>
  <c r="AZ397" i="44"/>
  <c r="AX397" i="44"/>
  <c r="AQ401" i="44"/>
  <c r="AQ382" i="44"/>
  <c r="AX382" i="44"/>
  <c r="BC397" i="44"/>
  <c r="AZ388" i="44"/>
  <c r="AZ400" i="44"/>
  <c r="AR371" i="44"/>
  <c r="AS371" i="44" s="1"/>
  <c r="AV388" i="44"/>
  <c r="AQ388" i="44"/>
  <c r="AR388" i="44"/>
  <c r="AS388" i="44" s="1"/>
  <c r="AQ396" i="44"/>
  <c r="AX403" i="44"/>
  <c r="AR395" i="44"/>
  <c r="AS395" i="44" s="1"/>
  <c r="AQ395" i="44"/>
  <c r="AX395" i="44"/>
  <c r="AX402" i="44"/>
  <c r="AV403" i="44"/>
  <c r="AV395" i="44"/>
  <c r="AZ374" i="44"/>
  <c r="BC395" i="44"/>
  <c r="AQ402" i="44"/>
  <c r="AR375" i="44"/>
  <c r="AS375" i="44" s="1"/>
  <c r="AZ375" i="44"/>
  <c r="BC388" i="44"/>
  <c r="AR373" i="44"/>
  <c r="AS373" i="44" s="1"/>
  <c r="AZ380" i="44"/>
  <c r="AR380" i="44"/>
  <c r="AS380" i="44" s="1"/>
  <c r="AZ382" i="44"/>
  <c r="AQ373" i="44"/>
  <c r="BC380" i="44"/>
  <c r="AX373" i="44"/>
  <c r="AZ372" i="44"/>
  <c r="AV372" i="44"/>
  <c r="AQ380" i="44"/>
  <c r="AX380" i="44"/>
  <c r="AR387" i="44"/>
  <c r="AS387" i="44" s="1"/>
  <c r="AQ372" i="44"/>
  <c r="AZ376" i="44"/>
  <c r="AZ387" i="44"/>
  <c r="BC387" i="44"/>
  <c r="DW387" i="44" s="1"/>
  <c r="AR376" i="44"/>
  <c r="AS376" i="44" s="1"/>
  <c r="AV387" i="44"/>
  <c r="AR372" i="44"/>
  <c r="AS372" i="44" s="1"/>
  <c r="AQ387" i="44"/>
  <c r="BC372" i="44"/>
  <c r="DW372" i="44" s="1"/>
  <c r="AV402" i="44"/>
  <c r="AZ402" i="44"/>
  <c r="AX387" i="44"/>
  <c r="AR374" i="44"/>
  <c r="AS374" i="44" s="1"/>
  <c r="AZ373" i="44"/>
  <c r="AQ374" i="44"/>
  <c r="AV379" i="44"/>
  <c r="AV375" i="44"/>
  <c r="AX375" i="44"/>
  <c r="AX376" i="44"/>
  <c r="BC401" i="44"/>
  <c r="AX374" i="44"/>
  <c r="AR379" i="44"/>
  <c r="AS379" i="44" s="1"/>
  <c r="BC375" i="44"/>
  <c r="AX379" i="44"/>
  <c r="BC379" i="44"/>
  <c r="AX396" i="44"/>
  <c r="AQ403" i="44"/>
  <c r="AR401" i="44"/>
  <c r="AS401" i="44" s="1"/>
  <c r="AR378" i="44"/>
  <c r="AS378" i="44" s="1"/>
  <c r="AV376" i="44"/>
  <c r="AZ403" i="44"/>
  <c r="AV400" i="44"/>
  <c r="AZ378" i="44"/>
  <c r="BC376" i="44"/>
  <c r="BC382" i="44"/>
  <c r="EX382" i="44" s="1"/>
  <c r="AV396" i="44"/>
  <c r="AQ400" i="44"/>
  <c r="AR400" i="44"/>
  <c r="AS400" i="44" s="1"/>
  <c r="BC403" i="44"/>
  <c r="AQ379" i="44"/>
  <c r="AX378" i="44"/>
  <c r="BC378" i="44"/>
  <c r="AZ396" i="44"/>
  <c r="AV374" i="44"/>
  <c r="AZ401" i="44"/>
  <c r="AX400" i="44"/>
  <c r="AR402" i="44"/>
  <c r="AS402" i="44" s="1"/>
  <c r="BC371" i="44"/>
  <c r="AQ371" i="44"/>
  <c r="AV378" i="44"/>
  <c r="AX371" i="44"/>
  <c r="AZ379" i="44"/>
  <c r="AR396" i="44"/>
  <c r="AS396" i="44" s="1"/>
  <c r="AZ371" i="44"/>
  <c r="BC396" i="44"/>
  <c r="DW396" i="44" s="1"/>
  <c r="AV401" i="44"/>
  <c r="BC374" i="44"/>
  <c r="AZ381" i="44"/>
  <c r="AR381" i="44"/>
  <c r="AS381" i="44" s="1"/>
  <c r="AX381" i="44"/>
  <c r="BC381" i="44"/>
  <c r="AV381" i="44"/>
  <c r="AC169" i="39"/>
  <c r="AC170" i="39"/>
  <c r="AC171" i="39"/>
  <c r="AC172" i="39"/>
  <c r="AC173" i="39"/>
  <c r="AC174" i="39"/>
  <c r="AC175" i="39"/>
  <c r="AC176" i="39"/>
  <c r="AC177" i="39"/>
  <c r="AC178" i="39"/>
  <c r="AC179" i="39"/>
  <c r="AC180" i="39"/>
  <c r="AC181" i="39"/>
  <c r="AC182" i="39"/>
  <c r="AC183" i="39"/>
  <c r="AC184" i="39"/>
  <c r="AC185" i="39"/>
  <c r="AC186" i="39"/>
  <c r="AC187" i="39"/>
  <c r="AC188" i="39"/>
  <c r="AC189" i="39"/>
  <c r="AC190" i="39"/>
  <c r="AC191" i="39"/>
  <c r="AC192" i="39"/>
  <c r="AC193" i="39"/>
  <c r="AC194" i="39"/>
  <c r="AC195" i="39"/>
  <c r="AD158" i="39"/>
  <c r="AD157" i="39"/>
  <c r="AD154" i="39"/>
  <c r="AD153" i="39"/>
  <c r="AD152" i="39"/>
  <c r="AD151" i="39"/>
  <c r="AD149" i="39"/>
  <c r="AD148" i="39"/>
  <c r="AD147" i="39"/>
  <c r="AD146" i="39"/>
  <c r="AD138" i="39"/>
  <c r="AD142" i="39"/>
  <c r="AD141" i="39"/>
  <c r="AD140" i="39"/>
  <c r="AD139" i="39"/>
  <c r="AD137" i="39"/>
  <c r="AD136" i="39"/>
  <c r="AD135" i="39"/>
  <c r="AD134" i="39"/>
  <c r="AD130" i="39"/>
  <c r="AG130" i="39" s="1"/>
  <c r="AH130" i="39" s="1"/>
  <c r="AX130" i="39" s="1"/>
  <c r="AD129" i="39"/>
  <c r="AG129" i="39" s="1"/>
  <c r="AH129" i="39" s="1"/>
  <c r="AX129" i="39" s="1"/>
  <c r="AD111" i="39"/>
  <c r="AD103" i="39"/>
  <c r="AD102" i="39"/>
  <c r="AD101" i="39"/>
  <c r="AD100" i="39"/>
  <c r="AD95" i="39"/>
  <c r="AD94" i="39"/>
  <c r="AD92" i="39"/>
  <c r="AD91" i="39"/>
  <c r="AD90" i="39"/>
  <c r="AD88" i="39"/>
  <c r="AD87" i="39"/>
  <c r="AD86" i="39"/>
  <c r="AC79" i="39"/>
  <c r="AC78" i="39"/>
  <c r="AC77" i="39"/>
  <c r="AD30" i="39"/>
  <c r="AD28" i="39"/>
  <c r="AD26" i="39"/>
  <c r="AD24" i="39"/>
  <c r="AD22" i="39"/>
  <c r="AD20" i="39"/>
  <c r="AD18" i="39"/>
  <c r="AD29" i="39"/>
  <c r="AD27" i="39"/>
  <c r="AD25" i="39"/>
  <c r="AD23" i="39"/>
  <c r="AD21" i="39"/>
  <c r="AD19" i="39"/>
  <c r="AD17" i="39"/>
  <c r="AC142" i="44"/>
  <c r="AG142" i="44" s="1"/>
  <c r="AH142" i="44" s="1"/>
  <c r="AC367" i="44"/>
  <c r="AG367" i="44" s="1"/>
  <c r="AH367" i="44" s="1"/>
  <c r="AC366" i="44"/>
  <c r="AG366" i="44" s="1"/>
  <c r="AH366" i="44" s="1"/>
  <c r="AC365" i="44"/>
  <c r="AG365" i="44" s="1"/>
  <c r="AH365" i="44" s="1"/>
  <c r="AC364" i="44"/>
  <c r="AG364" i="44" s="1"/>
  <c r="AH364" i="44" s="1"/>
  <c r="AC363" i="44"/>
  <c r="AG363" i="44" s="1"/>
  <c r="AH363" i="44" s="1"/>
  <c r="AC362" i="44"/>
  <c r="AG362" i="44" s="1"/>
  <c r="AH362" i="44" s="1"/>
  <c r="AC361" i="44"/>
  <c r="AG361" i="44" s="1"/>
  <c r="AH361" i="44" s="1"/>
  <c r="AC360" i="44"/>
  <c r="AG360" i="44" s="1"/>
  <c r="AH360" i="44" s="1"/>
  <c r="AC359" i="44"/>
  <c r="AG359" i="44" s="1"/>
  <c r="AH359" i="44" s="1"/>
  <c r="AC358" i="44"/>
  <c r="AG358" i="44" s="1"/>
  <c r="AH358" i="44" s="1"/>
  <c r="AC354" i="44"/>
  <c r="AG354" i="44" s="1"/>
  <c r="AH354" i="44" s="1"/>
  <c r="AC353" i="44"/>
  <c r="AG353" i="44" s="1"/>
  <c r="AH353" i="44" s="1"/>
  <c r="AC352" i="44"/>
  <c r="AG352" i="44" s="1"/>
  <c r="AH352" i="44" s="1"/>
  <c r="AD339" i="44"/>
  <c r="AD338" i="44"/>
  <c r="AD337" i="44"/>
  <c r="AD336" i="44"/>
  <c r="AD335" i="44"/>
  <c r="AD334" i="44"/>
  <c r="AD333" i="44"/>
  <c r="AD332" i="44"/>
  <c r="AD331" i="44"/>
  <c r="AD330" i="44"/>
  <c r="AD329" i="44"/>
  <c r="AD328" i="44"/>
  <c r="AD327" i="44"/>
  <c r="AD315" i="44"/>
  <c r="AD314" i="44"/>
  <c r="AD312" i="44"/>
  <c r="AD311" i="44"/>
  <c r="AD310" i="44"/>
  <c r="AD308" i="44"/>
  <c r="AD307" i="44"/>
  <c r="AD302" i="44"/>
  <c r="AD301" i="44"/>
  <c r="AD299" i="44"/>
  <c r="AD298" i="44"/>
  <c r="AD297" i="44"/>
  <c r="AD295" i="44"/>
  <c r="AI295" i="44"/>
  <c r="AI297" i="44"/>
  <c r="AI298" i="44"/>
  <c r="AI299" i="44"/>
  <c r="AI301" i="44"/>
  <c r="AI302" i="44"/>
  <c r="AI307" i="44"/>
  <c r="AI308" i="44"/>
  <c r="AI310" i="44"/>
  <c r="AI311" i="44"/>
  <c r="AI312" i="44"/>
  <c r="AI314" i="44"/>
  <c r="AI315" i="44"/>
  <c r="AI327" i="44"/>
  <c r="AI328" i="44"/>
  <c r="AI329" i="44"/>
  <c r="AI330" i="44"/>
  <c r="AI331" i="44"/>
  <c r="AI332" i="44"/>
  <c r="AI333" i="44"/>
  <c r="AI334" i="44"/>
  <c r="AI335" i="44"/>
  <c r="AI336" i="44"/>
  <c r="AI337" i="44"/>
  <c r="AI338" i="44"/>
  <c r="AI339" i="44"/>
  <c r="AE288" i="44"/>
  <c r="AE287" i="44"/>
  <c r="AD287" i="44"/>
  <c r="AG285" i="44"/>
  <c r="AH285" i="44" s="1"/>
  <c r="AG284" i="44"/>
  <c r="AH284" i="44" s="1"/>
  <c r="AG283" i="44"/>
  <c r="AH283" i="44" s="1"/>
  <c r="AG282" i="44"/>
  <c r="AH282" i="44" s="1"/>
  <c r="AG281" i="44"/>
  <c r="AH281" i="44" s="1"/>
  <c r="AG280" i="44"/>
  <c r="AH280" i="44" s="1"/>
  <c r="AE265" i="44"/>
  <c r="AD265" i="44"/>
  <c r="AE264" i="44"/>
  <c r="AD264" i="44"/>
  <c r="AC264" i="44"/>
  <c r="AE263" i="44"/>
  <c r="AD263" i="44"/>
  <c r="AC263" i="44"/>
  <c r="AE262" i="44"/>
  <c r="AD262" i="44"/>
  <c r="AC262" i="44"/>
  <c r="AE261" i="44"/>
  <c r="AD261" i="44"/>
  <c r="AE260" i="44"/>
  <c r="AD260" i="44"/>
  <c r="AC260" i="44"/>
  <c r="AE259" i="44"/>
  <c r="AD259" i="44"/>
  <c r="AC259" i="44"/>
  <c r="AE258" i="44"/>
  <c r="AD258" i="44"/>
  <c r="AC258" i="44"/>
  <c r="AE257" i="44"/>
  <c r="AD257" i="44"/>
  <c r="AE256" i="44"/>
  <c r="AD256" i="44"/>
  <c r="AC256" i="44"/>
  <c r="AE255" i="44"/>
  <c r="AD255" i="44"/>
  <c r="AC255" i="44"/>
  <c r="AE254" i="44"/>
  <c r="AD254" i="44"/>
  <c r="AC254" i="44"/>
  <c r="AE253" i="44"/>
  <c r="AD253" i="44"/>
  <c r="AE251" i="44"/>
  <c r="AD251" i="44"/>
  <c r="AE249" i="44"/>
  <c r="AD249" i="44"/>
  <c r="AE248" i="44"/>
  <c r="AD248" i="44"/>
  <c r="AC248" i="44"/>
  <c r="AE247" i="44"/>
  <c r="AD247" i="44"/>
  <c r="AE238" i="44"/>
  <c r="AD238" i="44"/>
  <c r="AE237" i="44"/>
  <c r="AD237" i="44"/>
  <c r="AC237" i="44"/>
  <c r="AE236" i="44"/>
  <c r="AD236" i="44"/>
  <c r="AC236" i="44"/>
  <c r="AE234" i="44"/>
  <c r="AD234" i="44"/>
  <c r="AC234" i="44"/>
  <c r="AE233" i="44"/>
  <c r="AD233" i="44"/>
  <c r="AC233" i="44"/>
  <c r="AE232" i="44"/>
  <c r="AD232" i="44"/>
  <c r="AC232" i="44"/>
  <c r="AE231" i="44"/>
  <c r="AD231" i="44"/>
  <c r="AC231" i="44"/>
  <c r="AE230" i="44"/>
  <c r="AD230" i="44"/>
  <c r="AC230" i="44"/>
  <c r="AE229" i="44"/>
  <c r="AD229" i="44"/>
  <c r="AC229" i="44"/>
  <c r="AE228" i="44"/>
  <c r="AD228" i="44"/>
  <c r="AE227" i="44"/>
  <c r="AD227" i="44"/>
  <c r="AC227" i="44"/>
  <c r="AE226" i="44"/>
  <c r="AD226" i="44"/>
  <c r="AC226" i="44"/>
  <c r="AE225" i="44"/>
  <c r="AD225" i="44"/>
  <c r="AC225" i="44"/>
  <c r="AE223" i="44"/>
  <c r="AD223" i="44"/>
  <c r="AC223" i="44"/>
  <c r="AE222" i="44"/>
  <c r="AD222" i="44"/>
  <c r="AC222" i="44"/>
  <c r="AE221" i="44"/>
  <c r="AD221" i="44"/>
  <c r="AC221" i="44"/>
  <c r="AE220" i="44"/>
  <c r="AD220" i="44"/>
  <c r="AE219" i="44"/>
  <c r="AD219" i="44"/>
  <c r="AC219" i="44"/>
  <c r="AE218" i="44"/>
  <c r="AD218" i="44"/>
  <c r="AC218" i="44"/>
  <c r="AE217" i="44"/>
  <c r="AD217" i="44"/>
  <c r="AE216" i="44"/>
  <c r="AD216" i="44"/>
  <c r="AC216" i="44"/>
  <c r="AE208" i="44"/>
  <c r="AD208" i="44"/>
  <c r="AE193" i="44"/>
  <c r="AD193" i="44"/>
  <c r="AE191" i="44"/>
  <c r="AD191" i="44"/>
  <c r="AE185" i="44"/>
  <c r="AD185" i="44"/>
  <c r="AE184" i="44"/>
  <c r="AD184" i="44"/>
  <c r="AE182" i="44"/>
  <c r="AD182" i="44"/>
  <c r="AE180" i="44"/>
  <c r="AD180" i="44"/>
  <c r="AC180" i="44"/>
  <c r="AE179" i="44"/>
  <c r="AD179" i="44"/>
  <c r="AC179" i="44"/>
  <c r="AE178" i="44"/>
  <c r="AD178" i="44"/>
  <c r="AC178" i="44"/>
  <c r="AE177" i="44"/>
  <c r="AD177" i="44"/>
  <c r="AC177" i="44"/>
  <c r="AE176" i="44"/>
  <c r="AD176" i="44"/>
  <c r="AC176" i="44"/>
  <c r="AE173" i="44"/>
  <c r="AD173" i="44"/>
  <c r="AE171" i="44"/>
  <c r="AD171" i="44"/>
  <c r="AE169" i="44"/>
  <c r="AD169" i="44"/>
  <c r="AE167" i="44"/>
  <c r="AE157" i="44"/>
  <c r="AD157" i="44"/>
  <c r="AC157" i="44"/>
  <c r="AE154" i="44"/>
  <c r="AD154" i="44"/>
  <c r="AC154" i="44"/>
  <c r="AE152" i="44"/>
  <c r="AD152" i="44"/>
  <c r="AC152" i="44"/>
  <c r="AG148" i="44"/>
  <c r="AH148" i="44" s="1"/>
  <c r="AG146" i="44"/>
  <c r="AH146" i="44" s="1"/>
  <c r="AC145" i="44"/>
  <c r="AG145" i="44" s="1"/>
  <c r="AH145" i="44" s="1"/>
  <c r="AC144" i="44"/>
  <c r="AG144" i="44" s="1"/>
  <c r="AH144" i="44" s="1"/>
  <c r="AC143" i="44"/>
  <c r="AG143" i="44" s="1"/>
  <c r="AH143" i="44" s="1"/>
  <c r="AC141" i="44"/>
  <c r="AG141" i="44" s="1"/>
  <c r="AH141" i="44" s="1"/>
  <c r="AC139" i="44"/>
  <c r="AC138" i="44"/>
  <c r="AC137" i="44"/>
  <c r="AE136" i="44"/>
  <c r="AD136" i="44"/>
  <c r="AC136" i="44"/>
  <c r="AE135" i="44"/>
  <c r="AD135" i="44"/>
  <c r="AC135" i="44"/>
  <c r="AE134" i="44"/>
  <c r="AD134" i="44"/>
  <c r="AC134" i="44"/>
  <c r="AE133" i="44"/>
  <c r="AD133" i="44"/>
  <c r="AC133" i="44"/>
  <c r="AC132" i="44"/>
  <c r="AC131" i="44"/>
  <c r="AC130" i="44"/>
  <c r="AE129" i="44"/>
  <c r="AD129" i="44"/>
  <c r="AC129" i="44"/>
  <c r="AE128" i="44"/>
  <c r="AD128" i="44"/>
  <c r="AC128" i="44"/>
  <c r="AE127" i="44"/>
  <c r="AD127" i="44"/>
  <c r="AC127" i="44"/>
  <c r="AE122" i="44"/>
  <c r="AD122" i="44"/>
  <c r="AC122" i="44"/>
  <c r="AE121" i="44"/>
  <c r="AD121" i="44"/>
  <c r="AC121" i="44"/>
  <c r="AE120" i="44"/>
  <c r="AD120" i="44"/>
  <c r="AC120" i="44"/>
  <c r="AC119" i="44"/>
  <c r="AC118" i="44"/>
  <c r="AC117" i="44"/>
  <c r="AE116" i="44"/>
  <c r="AD116" i="44"/>
  <c r="AC116" i="44"/>
  <c r="AE115" i="44"/>
  <c r="AD115" i="44"/>
  <c r="AC115" i="44"/>
  <c r="AE114" i="44"/>
  <c r="AD114" i="44"/>
  <c r="AC114" i="44"/>
  <c r="AE113" i="44"/>
  <c r="AD113" i="44"/>
  <c r="AC113" i="44"/>
  <c r="AE112" i="44"/>
  <c r="AD112" i="44"/>
  <c r="AC112" i="44"/>
  <c r="AE111" i="44"/>
  <c r="AD111" i="44"/>
  <c r="AC111" i="44"/>
  <c r="AE110" i="44"/>
  <c r="AD110" i="44"/>
  <c r="AC110" i="44"/>
  <c r="AE109" i="44"/>
  <c r="AD109" i="44"/>
  <c r="AC109" i="44"/>
  <c r="AE108" i="44"/>
  <c r="AD108" i="44"/>
  <c r="AC108" i="44"/>
  <c r="AC106" i="44"/>
  <c r="AC105" i="44"/>
  <c r="AC104" i="44"/>
  <c r="AC103" i="44"/>
  <c r="AC102" i="44"/>
  <c r="AE100" i="44"/>
  <c r="AD100" i="44"/>
  <c r="AC100" i="44"/>
  <c r="AE99" i="44"/>
  <c r="AD99" i="44"/>
  <c r="AC99" i="44"/>
  <c r="AE98" i="44"/>
  <c r="AD98" i="44"/>
  <c r="AC98" i="44"/>
  <c r="AE97" i="44"/>
  <c r="AD97" i="44"/>
  <c r="AC97" i="44"/>
  <c r="AE96" i="44"/>
  <c r="AD96" i="44"/>
  <c r="AC96" i="44"/>
  <c r="AE95" i="44"/>
  <c r="AD95" i="44"/>
  <c r="AC95" i="44"/>
  <c r="AE92" i="44"/>
  <c r="AC92" i="44"/>
  <c r="AE91" i="44"/>
  <c r="AC91" i="44"/>
  <c r="AE90" i="44"/>
  <c r="AC90" i="44"/>
  <c r="AE89" i="44"/>
  <c r="AD89" i="44"/>
  <c r="AC89" i="44"/>
  <c r="AE88" i="44"/>
  <c r="AD88" i="44"/>
  <c r="AC88" i="44"/>
  <c r="AE87" i="44"/>
  <c r="AD87" i="44"/>
  <c r="AC87" i="44"/>
  <c r="AC86" i="44"/>
  <c r="AC84" i="44"/>
  <c r="AE83" i="44"/>
  <c r="AD83" i="44"/>
  <c r="AC83" i="44"/>
  <c r="AC81" i="44"/>
  <c r="AC80" i="44"/>
  <c r="AE79" i="44"/>
  <c r="AD79" i="44"/>
  <c r="AC79" i="44"/>
  <c r="AE78" i="44"/>
  <c r="AD78" i="44"/>
  <c r="AC78" i="44"/>
  <c r="AE77" i="44"/>
  <c r="AD77" i="44"/>
  <c r="AC77" i="44"/>
  <c r="AE76" i="44"/>
  <c r="AC76" i="44"/>
  <c r="AE75" i="44"/>
  <c r="AC75" i="44"/>
  <c r="AE74" i="44"/>
  <c r="AC74" i="44"/>
  <c r="AE73" i="44"/>
  <c r="AC73" i="44"/>
  <c r="AE72" i="44"/>
  <c r="AC72" i="44"/>
  <c r="AE71" i="44"/>
  <c r="AD71" i="44"/>
  <c r="AC71" i="44"/>
  <c r="AE69" i="44"/>
  <c r="AD69" i="44"/>
  <c r="AC69" i="44"/>
  <c r="AE68" i="44"/>
  <c r="AD68" i="44"/>
  <c r="AC68" i="44"/>
  <c r="AE67" i="44"/>
  <c r="AD67" i="44"/>
  <c r="AC67" i="44"/>
  <c r="AE66" i="44"/>
  <c r="AD66" i="44"/>
  <c r="AC66" i="44"/>
  <c r="AE65" i="44"/>
  <c r="AD65" i="44"/>
  <c r="AC65" i="44"/>
  <c r="AE64" i="44"/>
  <c r="AD64" i="44"/>
  <c r="AC64" i="44"/>
  <c r="AE63" i="44"/>
  <c r="AD63" i="44"/>
  <c r="AC63" i="44"/>
  <c r="AE62" i="44"/>
  <c r="AD62" i="44"/>
  <c r="AC62" i="44"/>
  <c r="AE59" i="44"/>
  <c r="AD59" i="44"/>
  <c r="AC59" i="44"/>
  <c r="AE55" i="44"/>
  <c r="AD55" i="44"/>
  <c r="AC55" i="44"/>
  <c r="AE54" i="44"/>
  <c r="AD54" i="44"/>
  <c r="AC54" i="44"/>
  <c r="AE53" i="44"/>
  <c r="AD53" i="44"/>
  <c r="AC53" i="44"/>
  <c r="AE52" i="44"/>
  <c r="AD52" i="44"/>
  <c r="AC52" i="44"/>
  <c r="AE51" i="44"/>
  <c r="AD51" i="44"/>
  <c r="AC51" i="44"/>
  <c r="AE50" i="44"/>
  <c r="AD50" i="44"/>
  <c r="AC50" i="44"/>
  <c r="AE48" i="44"/>
  <c r="AD48" i="44"/>
  <c r="AC48" i="44"/>
  <c r="AE46" i="44"/>
  <c r="AD46" i="44"/>
  <c r="AE45" i="44"/>
  <c r="AD45" i="44"/>
  <c r="AC45" i="44"/>
  <c r="AE44" i="44"/>
  <c r="AD44" i="44"/>
  <c r="AC44" i="44"/>
  <c r="AC7" i="44"/>
  <c r="AD7" i="44"/>
  <c r="AE7" i="44"/>
  <c r="AC8" i="44"/>
  <c r="AD8" i="44"/>
  <c r="AE8" i="44"/>
  <c r="AC9" i="44"/>
  <c r="AD9" i="44"/>
  <c r="AE9" i="44"/>
  <c r="AC10" i="44"/>
  <c r="AD10" i="44"/>
  <c r="AE10" i="44"/>
  <c r="AC11" i="44"/>
  <c r="AE11" i="44"/>
  <c r="AC12" i="44"/>
  <c r="AE12" i="44"/>
  <c r="AC13" i="44"/>
  <c r="AE13" i="44"/>
  <c r="AC14" i="44"/>
  <c r="AE14" i="44"/>
  <c r="AC15" i="44"/>
  <c r="AE15" i="44"/>
  <c r="AC16" i="44"/>
  <c r="AE16" i="44"/>
  <c r="AC17" i="44"/>
  <c r="AE17" i="44"/>
  <c r="AC18" i="44"/>
  <c r="AE18" i="44"/>
  <c r="AE19" i="44"/>
  <c r="AC20" i="44"/>
  <c r="AE20" i="44"/>
  <c r="AC23" i="44"/>
  <c r="AE23" i="44"/>
  <c r="AE25" i="44"/>
  <c r="AC27" i="44"/>
  <c r="AE27" i="44"/>
  <c r="AC29" i="44"/>
  <c r="AE29" i="44"/>
  <c r="AE30" i="44"/>
  <c r="AC34" i="44"/>
  <c r="AE34" i="44"/>
  <c r="AC35" i="44"/>
  <c r="AE35" i="44"/>
  <c r="AC36" i="44"/>
  <c r="AE36" i="44"/>
  <c r="AF45" i="31"/>
  <c r="AE45" i="31"/>
  <c r="AD45" i="31"/>
  <c r="AC45" i="31"/>
  <c r="AF43" i="31"/>
  <c r="AE43" i="31"/>
  <c r="AF41" i="31"/>
  <c r="AE41" i="31"/>
  <c r="FN400" i="44" l="1"/>
  <c r="FM400" i="44"/>
  <c r="FJ400" i="44"/>
  <c r="EX400" i="44"/>
  <c r="FI400" i="44"/>
  <c r="FH400" i="44"/>
  <c r="DX374" i="44"/>
  <c r="EH374" i="44"/>
  <c r="EF374" i="44"/>
  <c r="EB374" i="44"/>
  <c r="EA374" i="44"/>
  <c r="FJ378" i="44"/>
  <c r="EX378" i="44"/>
  <c r="FI378" i="44"/>
  <c r="FH378" i="44"/>
  <c r="FN378" i="44"/>
  <c r="FM378" i="44"/>
  <c r="FN380" i="44"/>
  <c r="FM380" i="44"/>
  <c r="FJ380" i="44"/>
  <c r="EX380" i="44"/>
  <c r="FI380" i="44"/>
  <c r="FH380" i="44"/>
  <c r="EB373" i="44"/>
  <c r="EA373" i="44"/>
  <c r="DX373" i="44"/>
  <c r="EC373" i="44"/>
  <c r="EC397" i="44"/>
  <c r="EB397" i="44"/>
  <c r="EA397" i="44"/>
  <c r="DX397" i="44"/>
  <c r="DX403" i="44"/>
  <c r="ED403" i="44"/>
  <c r="EC403" i="44"/>
  <c r="EB403" i="44"/>
  <c r="EA403" i="44"/>
  <c r="FM381" i="44"/>
  <c r="FJ381" i="44"/>
  <c r="EX381" i="44"/>
  <c r="FI381" i="44"/>
  <c r="FH381" i="44"/>
  <c r="FN381" i="44"/>
  <c r="FN379" i="44"/>
  <c r="FH379" i="44"/>
  <c r="FM379" i="44"/>
  <c r="FJ379" i="44"/>
  <c r="EX379" i="44"/>
  <c r="FI379" i="44"/>
  <c r="EC388" i="44"/>
  <c r="EB388" i="44"/>
  <c r="EA388" i="44"/>
  <c r="DX388" i="44"/>
  <c r="FH375" i="44"/>
  <c r="EE375" i="44"/>
  <c r="EX375" i="44"/>
  <c r="FI375" i="44"/>
  <c r="FN376" i="44"/>
  <c r="FM376" i="44"/>
  <c r="FJ376" i="44"/>
  <c r="EX376" i="44"/>
  <c r="FI376" i="44"/>
  <c r="FH376" i="44"/>
  <c r="AG301" i="44"/>
  <c r="AH301" i="44" s="1"/>
  <c r="AG311" i="44"/>
  <c r="AH311" i="44" s="1"/>
  <c r="AG329" i="44"/>
  <c r="AH329" i="44" s="1"/>
  <c r="AG335" i="44"/>
  <c r="AH335" i="44" s="1"/>
  <c r="AG286" i="44"/>
  <c r="AH286" i="44" s="1"/>
  <c r="AG302" i="44"/>
  <c r="AH302" i="44" s="1"/>
  <c r="AG312" i="44"/>
  <c r="AH312" i="44" s="1"/>
  <c r="AG330" i="44"/>
  <c r="AH330" i="44" s="1"/>
  <c r="AG336" i="44"/>
  <c r="AH336" i="44" s="1"/>
  <c r="AG295" i="44"/>
  <c r="AH295" i="44" s="1"/>
  <c r="AG314" i="44"/>
  <c r="AH314" i="44" s="1"/>
  <c r="AG331" i="44"/>
  <c r="AH331" i="44" s="1"/>
  <c r="AG337" i="44"/>
  <c r="AH337" i="44" s="1"/>
  <c r="AR129" i="39"/>
  <c r="AS129" i="39" s="1"/>
  <c r="AR130" i="39"/>
  <c r="AS130" i="39" s="1"/>
  <c r="AG182" i="44"/>
  <c r="AH182" i="44" s="1"/>
  <c r="AG193" i="44"/>
  <c r="AH193" i="44" s="1"/>
  <c r="AG218" i="44"/>
  <c r="AG222" i="44"/>
  <c r="AG226" i="44"/>
  <c r="AG230" i="44"/>
  <c r="AG234" i="44"/>
  <c r="AG238" i="44"/>
  <c r="AH238" i="44" s="1"/>
  <c r="AG242" i="44"/>
  <c r="AH242" i="44" s="1"/>
  <c r="AG247" i="44"/>
  <c r="AH247" i="44" s="1"/>
  <c r="AG253" i="44"/>
  <c r="AH253" i="44" s="1"/>
  <c r="AG257" i="44"/>
  <c r="AH257" i="44" s="1"/>
  <c r="AG261" i="44"/>
  <c r="AH261" i="44" s="1"/>
  <c r="AG265" i="44"/>
  <c r="AH265" i="44" s="1"/>
  <c r="AG269" i="44"/>
  <c r="AH269" i="44" s="1"/>
  <c r="AG273" i="44"/>
  <c r="AH273" i="44" s="1"/>
  <c r="AG44" i="44"/>
  <c r="AH44" i="44" s="1"/>
  <c r="AG50" i="44"/>
  <c r="AH50" i="44" s="1"/>
  <c r="AG54" i="44"/>
  <c r="AH54" i="44" s="1"/>
  <c r="AG62" i="44"/>
  <c r="AH62" i="44" s="1"/>
  <c r="AG66" i="44"/>
  <c r="AH66" i="44" s="1"/>
  <c r="AG74" i="44"/>
  <c r="AH74" i="44" s="1"/>
  <c r="AG78" i="44"/>
  <c r="AG83" i="44"/>
  <c r="AG88" i="44"/>
  <c r="AH88" i="44" s="1"/>
  <c r="AG92" i="44"/>
  <c r="AH92" i="44" s="1"/>
  <c r="AG98" i="44"/>
  <c r="AH98" i="44" s="1"/>
  <c r="AG102" i="44"/>
  <c r="AH102" i="44" s="1"/>
  <c r="AG106" i="44"/>
  <c r="AH106" i="44" s="1"/>
  <c r="AG111" i="44"/>
  <c r="AG115" i="44"/>
  <c r="AH115" i="44" s="1"/>
  <c r="AG119" i="44"/>
  <c r="AH119" i="44" s="1"/>
  <c r="AG123" i="44"/>
  <c r="AH123" i="44" s="1"/>
  <c r="AG128" i="44"/>
  <c r="AH128" i="44" s="1"/>
  <c r="AG136" i="44"/>
  <c r="AH136" i="44" s="1"/>
  <c r="AG156" i="44"/>
  <c r="AH156" i="44" s="1"/>
  <c r="AG167" i="44"/>
  <c r="AH167" i="44" s="1"/>
  <c r="AG176" i="44"/>
  <c r="AH176" i="44" s="1"/>
  <c r="AG191" i="44"/>
  <c r="AH191" i="44" s="1"/>
  <c r="AG217" i="44"/>
  <c r="AH217" i="44" s="1"/>
  <c r="AG221" i="44"/>
  <c r="AG225" i="44"/>
  <c r="AG229" i="44"/>
  <c r="AG233" i="44"/>
  <c r="AG237" i="44"/>
  <c r="AG241" i="44"/>
  <c r="AH241" i="44" s="1"/>
  <c r="AG245" i="44"/>
  <c r="AH245" i="44" s="1"/>
  <c r="AG251" i="44"/>
  <c r="AH251" i="44" s="1"/>
  <c r="AG256" i="44"/>
  <c r="AG260" i="44"/>
  <c r="AG264" i="44"/>
  <c r="AG268" i="44"/>
  <c r="AH268" i="44" s="1"/>
  <c r="AG272" i="44"/>
  <c r="AH272" i="44" s="1"/>
  <c r="AG157" i="44"/>
  <c r="AH157" i="44" s="1"/>
  <c r="AG169" i="44"/>
  <c r="AH169" i="44" s="1"/>
  <c r="AG177" i="44"/>
  <c r="AH177" i="44" s="1"/>
  <c r="AG48" i="44"/>
  <c r="AH48" i="44" s="1"/>
  <c r="AG60" i="44"/>
  <c r="AG65" i="44"/>
  <c r="AH65" i="44" s="1"/>
  <c r="AG69" i="44"/>
  <c r="AH69" i="44" s="1"/>
  <c r="AG73" i="44"/>
  <c r="AH73" i="44" s="1"/>
  <c r="AG77" i="44"/>
  <c r="AG81" i="44"/>
  <c r="AG87" i="44"/>
  <c r="AH87" i="44" s="1"/>
  <c r="AG91" i="44"/>
  <c r="AH91" i="44" s="1"/>
  <c r="AG97" i="44"/>
  <c r="AH97" i="44" s="1"/>
  <c r="AG101" i="44"/>
  <c r="AH101" i="44" s="1"/>
  <c r="AG105" i="44"/>
  <c r="AH105" i="44" s="1"/>
  <c r="AG110" i="44"/>
  <c r="AG114" i="44"/>
  <c r="AH114" i="44" s="1"/>
  <c r="AG118" i="44"/>
  <c r="AH118" i="44" s="1"/>
  <c r="AG122" i="44"/>
  <c r="AH122" i="44" s="1"/>
  <c r="AG127" i="44"/>
  <c r="AH127" i="44" s="1"/>
  <c r="AG131" i="44"/>
  <c r="AH131" i="44" s="1"/>
  <c r="AG135" i="44"/>
  <c r="AH135" i="44" s="1"/>
  <c r="AG139" i="44"/>
  <c r="AH139" i="44" s="1"/>
  <c r="AG154" i="44"/>
  <c r="AH154" i="44" s="1"/>
  <c r="AG173" i="44"/>
  <c r="AH173" i="44" s="1"/>
  <c r="AG179" i="44"/>
  <c r="AH179" i="44" s="1"/>
  <c r="AG185" i="44"/>
  <c r="AH185" i="44" s="1"/>
  <c r="AG216" i="44"/>
  <c r="AG220" i="44"/>
  <c r="AH220" i="44" s="1"/>
  <c r="AG224" i="44"/>
  <c r="AH224" i="44" s="1"/>
  <c r="AG228" i="44"/>
  <c r="AH228" i="44" s="1"/>
  <c r="AG232" i="44"/>
  <c r="AG236" i="44"/>
  <c r="AG240" i="44"/>
  <c r="AH240" i="44" s="1"/>
  <c r="AG244" i="44"/>
  <c r="AH244" i="44" s="1"/>
  <c r="AG249" i="44"/>
  <c r="AH249" i="44" s="1"/>
  <c r="AG255" i="44"/>
  <c r="AG259" i="44"/>
  <c r="AG263" i="44"/>
  <c r="AG267" i="44"/>
  <c r="AH267" i="44" s="1"/>
  <c r="AG271" i="44"/>
  <c r="AH271" i="44" s="1"/>
  <c r="AG53" i="44"/>
  <c r="AG30" i="44"/>
  <c r="AH30" i="44" s="1"/>
  <c r="AG23" i="44"/>
  <c r="AH23" i="44" s="1"/>
  <c r="AG17" i="44"/>
  <c r="AH17" i="44" s="1"/>
  <c r="AG13" i="44"/>
  <c r="AH13" i="44" s="1"/>
  <c r="AG9" i="44"/>
  <c r="AG297" i="44"/>
  <c r="AH297" i="44" s="1"/>
  <c r="AG307" i="44"/>
  <c r="AG315" i="44"/>
  <c r="AH315" i="44" s="1"/>
  <c r="AG332" i="44"/>
  <c r="AH332" i="44" s="1"/>
  <c r="AG338" i="44"/>
  <c r="AH338" i="44" s="1"/>
  <c r="AG36" i="44"/>
  <c r="AH36" i="44" s="1"/>
  <c r="AG29" i="44"/>
  <c r="AH29" i="44" s="1"/>
  <c r="AG20" i="44"/>
  <c r="AH20" i="44" s="1"/>
  <c r="AG16" i="44"/>
  <c r="AH16" i="44" s="1"/>
  <c r="AG12" i="44"/>
  <c r="AH12" i="44" s="1"/>
  <c r="AG8" i="44"/>
  <c r="AG288" i="44"/>
  <c r="AH288" i="44" s="1"/>
  <c r="AG298" i="44"/>
  <c r="AH298" i="44" s="1"/>
  <c r="AG35" i="44"/>
  <c r="AH35" i="44" s="1"/>
  <c r="AG27" i="44"/>
  <c r="AH27" i="44" s="1"/>
  <c r="AG19" i="44"/>
  <c r="AH19" i="44" s="1"/>
  <c r="AG15" i="44"/>
  <c r="AH15" i="44" s="1"/>
  <c r="AG11" i="44"/>
  <c r="AH11" i="44" s="1"/>
  <c r="AG7" i="44"/>
  <c r="AG289" i="44"/>
  <c r="AH289" i="44" s="1"/>
  <c r="AG299" i="44"/>
  <c r="AH299" i="44" s="1"/>
  <c r="AG310" i="44"/>
  <c r="AH310" i="44" s="1"/>
  <c r="AG328" i="44"/>
  <c r="AH328" i="44" s="1"/>
  <c r="AG334" i="44"/>
  <c r="AH334" i="44" s="1"/>
  <c r="AG166" i="44"/>
  <c r="AG132" i="44"/>
  <c r="AH132" i="44" s="1"/>
  <c r="AG180" i="44"/>
  <c r="AH180" i="44" s="1"/>
  <c r="AG308" i="44"/>
  <c r="AH308" i="44" s="1"/>
  <c r="AG327" i="44"/>
  <c r="AH327" i="44" s="1"/>
  <c r="AG333" i="44"/>
  <c r="AH333" i="44" s="1"/>
  <c r="AG339" i="44"/>
  <c r="AH339" i="44" s="1"/>
  <c r="AG34" i="44"/>
  <c r="AH34" i="44" s="1"/>
  <c r="AG25" i="44"/>
  <c r="AH25" i="44" s="1"/>
  <c r="AG18" i="44"/>
  <c r="AH18" i="44" s="1"/>
  <c r="AG14" i="44"/>
  <c r="AH14" i="44" s="1"/>
  <c r="AG10" i="44"/>
  <c r="AG45" i="44"/>
  <c r="AH45" i="44" s="1"/>
  <c r="AG51" i="44"/>
  <c r="AH51" i="44" s="1"/>
  <c r="AG55" i="44"/>
  <c r="AH55" i="44" s="1"/>
  <c r="AG63" i="44"/>
  <c r="AH63" i="44" s="1"/>
  <c r="AG67" i="44"/>
  <c r="AH67" i="44" s="1"/>
  <c r="AG71" i="44"/>
  <c r="AH71" i="44" s="1"/>
  <c r="AG75" i="44"/>
  <c r="AH75" i="44" s="1"/>
  <c r="AG79" i="44"/>
  <c r="AG84" i="44"/>
  <c r="AG89" i="44"/>
  <c r="AH89" i="44" s="1"/>
  <c r="AG95" i="44"/>
  <c r="AH95" i="44" s="1"/>
  <c r="AG99" i="44"/>
  <c r="AH99" i="44" s="1"/>
  <c r="AG103" i="44"/>
  <c r="AH103" i="44" s="1"/>
  <c r="AG108" i="44"/>
  <c r="AG112" i="44"/>
  <c r="AG116" i="44"/>
  <c r="AH116" i="44" s="1"/>
  <c r="AG120" i="44"/>
  <c r="AH120" i="44" s="1"/>
  <c r="AG124" i="44"/>
  <c r="AH124" i="44" s="1"/>
  <c r="AG129" i="44"/>
  <c r="AH129" i="44" s="1"/>
  <c r="AG133" i="44"/>
  <c r="AG137" i="44"/>
  <c r="AH137" i="44" s="1"/>
  <c r="AG287" i="44"/>
  <c r="AH287" i="44" s="1"/>
  <c r="AG46" i="44"/>
  <c r="AH46" i="44" s="1"/>
  <c r="AG52" i="44"/>
  <c r="AH52" i="44" s="1"/>
  <c r="AG59" i="44"/>
  <c r="AH59" i="44" s="1"/>
  <c r="AG64" i="44"/>
  <c r="AH64" i="44" s="1"/>
  <c r="AG68" i="44"/>
  <c r="AH68" i="44" s="1"/>
  <c r="AG72" i="44"/>
  <c r="AH72" i="44" s="1"/>
  <c r="AG76" i="44"/>
  <c r="AG80" i="44"/>
  <c r="AG86" i="44"/>
  <c r="AH86" i="44" s="1"/>
  <c r="AG90" i="44"/>
  <c r="AH90" i="44" s="1"/>
  <c r="AG96" i="44"/>
  <c r="AH96" i="44" s="1"/>
  <c r="AG100" i="44"/>
  <c r="AH100" i="44" s="1"/>
  <c r="AG104" i="44"/>
  <c r="AH104" i="44" s="1"/>
  <c r="AG109" i="44"/>
  <c r="AG113" i="44"/>
  <c r="AG117" i="44"/>
  <c r="AH117" i="44" s="1"/>
  <c r="AG121" i="44"/>
  <c r="AH121" i="44" s="1"/>
  <c r="AG125" i="44"/>
  <c r="AH125" i="44" s="1"/>
  <c r="AG130" i="44"/>
  <c r="AH130" i="44" s="1"/>
  <c r="AG134" i="44"/>
  <c r="AH134" i="44" s="1"/>
  <c r="AG138" i="44"/>
  <c r="AH138" i="44" s="1"/>
  <c r="AG152" i="44"/>
  <c r="AH152" i="44" s="1"/>
  <c r="AG165" i="44"/>
  <c r="AH165" i="44" s="1"/>
  <c r="AG171" i="44"/>
  <c r="AH171" i="44" s="1"/>
  <c r="AG178" i="44"/>
  <c r="AH178" i="44" s="1"/>
  <c r="AG184" i="44"/>
  <c r="AH184" i="44" s="1"/>
  <c r="AG208" i="44"/>
  <c r="AH208" i="44" s="1"/>
  <c r="AG219" i="44"/>
  <c r="AG223" i="44"/>
  <c r="AG227" i="44"/>
  <c r="AG231" i="44"/>
  <c r="AH231" i="44" s="1"/>
  <c r="AG235" i="44"/>
  <c r="AH235" i="44" s="1"/>
  <c r="AG239" i="44"/>
  <c r="AH239" i="44" s="1"/>
  <c r="AG243" i="44"/>
  <c r="AH243" i="44" s="1"/>
  <c r="AG248" i="44"/>
  <c r="AG254" i="44"/>
  <c r="AG258" i="44"/>
  <c r="AG262" i="44"/>
  <c r="AG266" i="44"/>
  <c r="AH266" i="44" s="1"/>
  <c r="AG270" i="44"/>
  <c r="AH270" i="44" s="1"/>
  <c r="AG274" i="44"/>
  <c r="AH274" i="44" s="1"/>
  <c r="AU158" i="39"/>
  <c r="AM158" i="39"/>
  <c r="AL158" i="39"/>
  <c r="AK158" i="39"/>
  <c r="AJ158" i="39"/>
  <c r="AI158" i="39"/>
  <c r="AC158" i="39"/>
  <c r="W158" i="39"/>
  <c r="Z158" i="39" s="1"/>
  <c r="S158" i="39"/>
  <c r="P158" i="39"/>
  <c r="O158" i="39"/>
  <c r="AC157" i="39"/>
  <c r="AC156" i="39"/>
  <c r="AC154" i="39"/>
  <c r="AC153" i="39"/>
  <c r="AC152" i="39"/>
  <c r="AC151" i="39"/>
  <c r="AC149" i="39"/>
  <c r="AC148" i="39"/>
  <c r="AC147" i="39"/>
  <c r="AC146" i="39"/>
  <c r="AU138" i="39"/>
  <c r="AM138" i="39"/>
  <c r="AL138" i="39"/>
  <c r="AK138" i="39"/>
  <c r="AJ138" i="39"/>
  <c r="AI138" i="39"/>
  <c r="AC138" i="39"/>
  <c r="W138" i="39"/>
  <c r="BB138" i="39" s="1"/>
  <c r="S138" i="39"/>
  <c r="P138" i="39"/>
  <c r="O138" i="39"/>
  <c r="N138" i="39"/>
  <c r="FN448" i="44" l="1"/>
  <c r="FN450" i="44" s="1"/>
  <c r="FN451" i="44" s="1"/>
  <c r="FN456" i="44" s="1"/>
  <c r="FN457" i="44" s="1"/>
  <c r="AN158" i="39"/>
  <c r="AO158" i="39" s="1"/>
  <c r="AP158" i="39" s="1"/>
  <c r="AW158" i="39" s="1"/>
  <c r="AG158" i="39"/>
  <c r="AH158" i="39" s="1"/>
  <c r="AA158" i="39"/>
  <c r="AB158" i="39"/>
  <c r="BB158" i="39"/>
  <c r="X158" i="39"/>
  <c r="AN138" i="39"/>
  <c r="X138" i="39"/>
  <c r="Z138" i="39"/>
  <c r="AG138" i="39"/>
  <c r="AH138" i="39" s="1"/>
  <c r="AA138" i="39"/>
  <c r="AB138" i="39"/>
  <c r="FN453" i="44" l="1"/>
  <c r="FN454" i="44" s="1"/>
  <c r="AO138" i="39"/>
  <c r="AP138" i="39" s="1"/>
  <c r="AR158" i="39"/>
  <c r="AS158" i="39" s="1"/>
  <c r="AX158" i="39"/>
  <c r="BC158" i="39"/>
  <c r="AV158" i="39"/>
  <c r="AZ158" i="39"/>
  <c r="AQ158" i="39"/>
  <c r="FZ158" i="39" l="1"/>
  <c r="GC158" i="39"/>
  <c r="GA158" i="39"/>
  <c r="FY158" i="39"/>
  <c r="FS158" i="39"/>
  <c r="AR138" i="39"/>
  <c r="AS138" i="39" s="1"/>
  <c r="AW138" i="39"/>
  <c r="BC138" i="39"/>
  <c r="AV138" i="39"/>
  <c r="AZ138" i="39"/>
  <c r="AQ138" i="39"/>
  <c r="AX138" i="39"/>
  <c r="GB138" i="39" l="1"/>
  <c r="FZ138" i="39"/>
  <c r="FY138" i="39"/>
  <c r="FS138" i="39"/>
  <c r="AU157" i="39"/>
  <c r="AM157" i="39"/>
  <c r="AL157" i="39"/>
  <c r="AK157" i="39"/>
  <c r="AJ157" i="39"/>
  <c r="AI157" i="39"/>
  <c r="W157" i="39"/>
  <c r="BB157" i="39" s="1"/>
  <c r="S157" i="39"/>
  <c r="P157" i="39"/>
  <c r="O157" i="39"/>
  <c r="AU156" i="39"/>
  <c r="AM156" i="39"/>
  <c r="AL156" i="39"/>
  <c r="AK156" i="39"/>
  <c r="AJ156" i="39"/>
  <c r="AI156" i="39"/>
  <c r="AG156" i="39"/>
  <c r="AH156" i="39" s="1"/>
  <c r="W156" i="39"/>
  <c r="S156" i="39"/>
  <c r="P156" i="39"/>
  <c r="O156" i="39"/>
  <c r="AU155" i="39"/>
  <c r="AM155" i="39"/>
  <c r="AL155" i="39"/>
  <c r="AK155" i="39"/>
  <c r="AJ155" i="39"/>
  <c r="AI155" i="39"/>
  <c r="AC155" i="39"/>
  <c r="W155" i="39"/>
  <c r="S155" i="39"/>
  <c r="P155" i="39"/>
  <c r="O155" i="39"/>
  <c r="AU154" i="39"/>
  <c r="AM154" i="39"/>
  <c r="AL154" i="39"/>
  <c r="AK154" i="39"/>
  <c r="AJ154" i="39"/>
  <c r="AI154" i="39"/>
  <c r="W154" i="39"/>
  <c r="BB154" i="39" s="1"/>
  <c r="S154" i="39"/>
  <c r="P154" i="39"/>
  <c r="O154" i="39"/>
  <c r="AU153" i="39"/>
  <c r="AM153" i="39"/>
  <c r="AL153" i="39"/>
  <c r="AK153" i="39"/>
  <c r="AJ153" i="39"/>
  <c r="AI153" i="39"/>
  <c r="W153" i="39"/>
  <c r="AA153" i="39" s="1"/>
  <c r="S153" i="39"/>
  <c r="P153" i="39"/>
  <c r="O153" i="39"/>
  <c r="AU152" i="39"/>
  <c r="AM152" i="39"/>
  <c r="AL152" i="39"/>
  <c r="AK152" i="39"/>
  <c r="AJ152" i="39"/>
  <c r="AI152" i="39"/>
  <c r="W152" i="39"/>
  <c r="Z152" i="39" s="1"/>
  <c r="S152" i="39"/>
  <c r="P152" i="39"/>
  <c r="O152" i="39"/>
  <c r="AU151" i="39"/>
  <c r="AM151" i="39"/>
  <c r="AL151" i="39"/>
  <c r="AK151" i="39"/>
  <c r="AJ151" i="39"/>
  <c r="AI151" i="39"/>
  <c r="W151" i="39"/>
  <c r="BB151" i="39" s="1"/>
  <c r="S151" i="39"/>
  <c r="P151" i="39"/>
  <c r="O151" i="39"/>
  <c r="AU149" i="39"/>
  <c r="AM149" i="39"/>
  <c r="AL149" i="39"/>
  <c r="AK149" i="39"/>
  <c r="AJ149" i="39"/>
  <c r="AI149" i="39"/>
  <c r="W149" i="39"/>
  <c r="AA149" i="39" s="1"/>
  <c r="S149" i="39"/>
  <c r="P149" i="39"/>
  <c r="O149" i="39"/>
  <c r="AU148" i="39"/>
  <c r="AM148" i="39"/>
  <c r="AL148" i="39"/>
  <c r="AK148" i="39"/>
  <c r="AJ148" i="39"/>
  <c r="AI148" i="39"/>
  <c r="X148" i="39"/>
  <c r="S148" i="39"/>
  <c r="P148" i="39"/>
  <c r="O148" i="39"/>
  <c r="AU147" i="39"/>
  <c r="AM147" i="39"/>
  <c r="AL147" i="39"/>
  <c r="AK147" i="39"/>
  <c r="AJ147" i="39"/>
  <c r="AI147" i="39"/>
  <c r="W147" i="39"/>
  <c r="BB147" i="39" s="1"/>
  <c r="S147" i="39"/>
  <c r="P147" i="39"/>
  <c r="O147" i="39"/>
  <c r="N147" i="39"/>
  <c r="AU146" i="39"/>
  <c r="AM146" i="39"/>
  <c r="AL146" i="39"/>
  <c r="AK146" i="39"/>
  <c r="AJ146" i="39"/>
  <c r="AI146" i="39"/>
  <c r="W146" i="39"/>
  <c r="AB146" i="39" s="1"/>
  <c r="S146" i="39"/>
  <c r="P146" i="39"/>
  <c r="O146" i="39"/>
  <c r="N146" i="39"/>
  <c r="AN154" i="39" l="1"/>
  <c r="AN148" i="39"/>
  <c r="AN157" i="39"/>
  <c r="AN146" i="39"/>
  <c r="AN149" i="39"/>
  <c r="AN155" i="39"/>
  <c r="AN153" i="39"/>
  <c r="AG147" i="39"/>
  <c r="AH147" i="39" s="1"/>
  <c r="AN152" i="39"/>
  <c r="AO152" i="39" s="1"/>
  <c r="AP152" i="39" s="1"/>
  <c r="AW152" i="39" s="1"/>
  <c r="AB155" i="39"/>
  <c r="BB155" i="39"/>
  <c r="X156" i="39"/>
  <c r="BB156" i="39"/>
  <c r="AN151" i="39"/>
  <c r="AN156" i="39"/>
  <c r="AN147" i="39"/>
  <c r="AG148" i="39"/>
  <c r="AH148" i="39" s="1"/>
  <c r="X151" i="39"/>
  <c r="Z151" i="39"/>
  <c r="AA151" i="39"/>
  <c r="AG151" i="39"/>
  <c r="AH151" i="39" s="1"/>
  <c r="X146" i="39"/>
  <c r="Z146" i="39"/>
  <c r="BB152" i="39"/>
  <c r="AB152" i="39"/>
  <c r="X155" i="39"/>
  <c r="BB146" i="39"/>
  <c r="AG155" i="39"/>
  <c r="AH155" i="39" s="1"/>
  <c r="AA152" i="39"/>
  <c r="BB153" i="39"/>
  <c r="AA146" i="39"/>
  <c r="AG154" i="39"/>
  <c r="AH154" i="39" s="1"/>
  <c r="AB151" i="39"/>
  <c r="AB153" i="39"/>
  <c r="AG157" i="39"/>
  <c r="AH157" i="39" s="1"/>
  <c r="X157" i="39"/>
  <c r="Z157" i="39"/>
  <c r="AA157" i="39"/>
  <c r="AB157" i="39"/>
  <c r="Z156" i="39"/>
  <c r="AA156" i="39"/>
  <c r="AB156" i="39"/>
  <c r="Z155" i="39"/>
  <c r="AA155" i="39"/>
  <c r="Z149" i="39"/>
  <c r="AG146" i="39"/>
  <c r="AH146" i="39" s="1"/>
  <c r="Z148" i="39"/>
  <c r="AA148" i="39"/>
  <c r="X154" i="39"/>
  <c r="X147" i="39"/>
  <c r="AB148" i="39"/>
  <c r="BB148" i="39"/>
  <c r="AG149" i="39"/>
  <c r="AH149" i="39" s="1"/>
  <c r="Z154" i="39"/>
  <c r="AG153" i="39"/>
  <c r="AH153" i="39" s="1"/>
  <c r="AG152" i="39"/>
  <c r="AH152" i="39" s="1"/>
  <c r="Z147" i="39"/>
  <c r="X153" i="39"/>
  <c r="AA154" i="39"/>
  <c r="AB149" i="39"/>
  <c r="BB149" i="39"/>
  <c r="AA147" i="39"/>
  <c r="X152" i="39"/>
  <c r="Z153" i="39"/>
  <c r="AB154" i="39"/>
  <c r="X149" i="39"/>
  <c r="AB147" i="39"/>
  <c r="AO148" i="39" l="1"/>
  <c r="AP148" i="39" s="1"/>
  <c r="AO147" i="39"/>
  <c r="AP147" i="39" s="1"/>
  <c r="AO146" i="39"/>
  <c r="AP146" i="39" s="1"/>
  <c r="AO149" i="39"/>
  <c r="AP149" i="39" s="1"/>
  <c r="AO154" i="39"/>
  <c r="AP154" i="39" s="1"/>
  <c r="AO155" i="39"/>
  <c r="AP155" i="39" s="1"/>
  <c r="AO157" i="39"/>
  <c r="AP157" i="39" s="1"/>
  <c r="AO153" i="39"/>
  <c r="AP153" i="39" s="1"/>
  <c r="AO151" i="39"/>
  <c r="AP151" i="39" s="1"/>
  <c r="AO156" i="39"/>
  <c r="AP156" i="39" s="1"/>
  <c r="AW156" i="39" s="1"/>
  <c r="AX152" i="39"/>
  <c r="AR152" i="39"/>
  <c r="AS152" i="39" s="1"/>
  <c r="AZ152" i="39"/>
  <c r="AV152" i="39"/>
  <c r="BC152" i="39"/>
  <c r="AQ152" i="39"/>
  <c r="FZ152" i="39" l="1"/>
  <c r="FY152" i="39"/>
  <c r="GH152" i="39"/>
  <c r="GG152" i="39"/>
  <c r="GD152" i="39"/>
  <c r="GA152" i="39"/>
  <c r="AX157" i="39"/>
  <c r="AW157" i="39"/>
  <c r="AQ154" i="39"/>
  <c r="AW154" i="39"/>
  <c r="AQ149" i="39"/>
  <c r="AW149" i="39"/>
  <c r="AQ147" i="39"/>
  <c r="AW147" i="39"/>
  <c r="AV151" i="39"/>
  <c r="AW151" i="39"/>
  <c r="AR153" i="39"/>
  <c r="AS153" i="39" s="1"/>
  <c r="AW153" i="39"/>
  <c r="AZ155" i="39"/>
  <c r="AW155" i="39"/>
  <c r="AW146" i="39"/>
  <c r="AQ148" i="39"/>
  <c r="AW148" i="39"/>
  <c r="FS152" i="39"/>
  <c r="AV146" i="39"/>
  <c r="AR146" i="39"/>
  <c r="AS146" i="39" s="1"/>
  <c r="AZ146" i="39"/>
  <c r="AX146" i="39"/>
  <c r="AQ146" i="39"/>
  <c r="BC146" i="39"/>
  <c r="AQ153" i="39"/>
  <c r="AV153" i="39"/>
  <c r="BC153" i="39"/>
  <c r="AR151" i="39"/>
  <c r="AS151" i="39" s="1"/>
  <c r="AZ153" i="39"/>
  <c r="AR155" i="39"/>
  <c r="AS155" i="39" s="1"/>
  <c r="AQ155" i="39"/>
  <c r="AV155" i="39"/>
  <c r="BC155" i="39"/>
  <c r="AX155" i="39"/>
  <c r="AX151" i="39"/>
  <c r="AX153" i="39"/>
  <c r="AQ151" i="39"/>
  <c r="BC151" i="39"/>
  <c r="AZ151" i="39"/>
  <c r="AR156" i="39"/>
  <c r="AS156" i="39" s="1"/>
  <c r="AZ156" i="39"/>
  <c r="AX156" i="39"/>
  <c r="AX154" i="39"/>
  <c r="AR154" i="39"/>
  <c r="AS154" i="39" s="1"/>
  <c r="BC156" i="39"/>
  <c r="AR148" i="39"/>
  <c r="AS148" i="39" s="1"/>
  <c r="BC157" i="39"/>
  <c r="AV157" i="39"/>
  <c r="AZ157" i="39"/>
  <c r="AQ157" i="39"/>
  <c r="AR157" i="39"/>
  <c r="AS157" i="39" s="1"/>
  <c r="AV156" i="39"/>
  <c r="AQ156" i="39"/>
  <c r="AZ147" i="39"/>
  <c r="AV147" i="39"/>
  <c r="BC147" i="39"/>
  <c r="BC154" i="39"/>
  <c r="AZ154" i="39"/>
  <c r="AV154" i="39"/>
  <c r="AX147" i="39"/>
  <c r="AR147" i="39"/>
  <c r="AS147" i="39" s="1"/>
  <c r="AV149" i="39"/>
  <c r="BC149" i="39"/>
  <c r="AZ149" i="39"/>
  <c r="AR149" i="39"/>
  <c r="AS149" i="39" s="1"/>
  <c r="AZ148" i="39"/>
  <c r="AV148" i="39"/>
  <c r="BC148" i="39"/>
  <c r="AX148" i="39"/>
  <c r="AX149" i="39"/>
  <c r="GD149" i="39" l="1"/>
  <c r="GF149" i="39"/>
  <c r="GA149" i="39"/>
  <c r="FZ149" i="39"/>
  <c r="FY149" i="39"/>
  <c r="GA151" i="39"/>
  <c r="GE151" i="39"/>
  <c r="GD151" i="39"/>
  <c r="FY151" i="39"/>
  <c r="FZ151" i="39"/>
  <c r="GA157" i="39"/>
  <c r="FZ157" i="39"/>
  <c r="FY157" i="39"/>
  <c r="GH157" i="39"/>
  <c r="GG157" i="39"/>
  <c r="GD157" i="39"/>
  <c r="GK153" i="39"/>
  <c r="GD153" i="39"/>
  <c r="FZ153" i="39"/>
  <c r="FY153" i="39"/>
  <c r="GA153" i="39"/>
  <c r="GI153" i="39"/>
  <c r="GG153" i="39"/>
  <c r="GJ154" i="39"/>
  <c r="GD154" i="39"/>
  <c r="GI154" i="39"/>
  <c r="GG154" i="39"/>
  <c r="GA154" i="39"/>
  <c r="GL154" i="39"/>
  <c r="FZ154" i="39"/>
  <c r="FY154" i="39"/>
  <c r="GA146" i="39"/>
  <c r="FZ146" i="39"/>
  <c r="GC146" i="39"/>
  <c r="FY146" i="39"/>
  <c r="GD148" i="39"/>
  <c r="FY148" i="39"/>
  <c r="GA148" i="39"/>
  <c r="FZ148" i="39"/>
  <c r="GF148" i="39"/>
  <c r="FY147" i="39"/>
  <c r="GC147" i="39"/>
  <c r="GA147" i="39"/>
  <c r="FZ147" i="39"/>
  <c r="FS157" i="39"/>
  <c r="FS147" i="39"/>
  <c r="FS146" i="39"/>
  <c r="FS151" i="39"/>
  <c r="FS153" i="39"/>
  <c r="FS149" i="39"/>
  <c r="FS148" i="39"/>
  <c r="FS154" i="39"/>
  <c r="AD410" i="44"/>
  <c r="AD409" i="44"/>
  <c r="AG14" i="39" l="1"/>
  <c r="AH14" i="39" s="1"/>
  <c r="AU231" i="39"/>
  <c r="AM231" i="39"/>
  <c r="AL231" i="39"/>
  <c r="AK231" i="39"/>
  <c r="AJ231" i="39"/>
  <c r="AI231" i="39"/>
  <c r="AC231" i="39"/>
  <c r="AG231" i="39" s="1"/>
  <c r="W231" i="39"/>
  <c r="BB231" i="39" s="1"/>
  <c r="S231" i="39"/>
  <c r="P231" i="39"/>
  <c r="O231" i="39"/>
  <c r="N231" i="39"/>
  <c r="AU230" i="39"/>
  <c r="AM230" i="39"/>
  <c r="AL230" i="39"/>
  <c r="AK230" i="39"/>
  <c r="AJ230" i="39"/>
  <c r="AI230" i="39"/>
  <c r="AC230" i="39"/>
  <c r="AG230" i="39" s="1"/>
  <c r="AH230" i="39" s="1"/>
  <c r="W230" i="39"/>
  <c r="BB230" i="39" s="1"/>
  <c r="S230" i="39"/>
  <c r="P230" i="39"/>
  <c r="O230" i="39"/>
  <c r="N230" i="39"/>
  <c r="AU229" i="39"/>
  <c r="AM229" i="39"/>
  <c r="AL229" i="39"/>
  <c r="AK229" i="39"/>
  <c r="AJ229" i="39"/>
  <c r="AI229" i="39"/>
  <c r="AC229" i="39"/>
  <c r="W229" i="39"/>
  <c r="AB229" i="39" s="1"/>
  <c r="S229" i="39"/>
  <c r="P229" i="39"/>
  <c r="O229" i="39"/>
  <c r="N229" i="39"/>
  <c r="AU228" i="39"/>
  <c r="AM228" i="39"/>
  <c r="AL228" i="39"/>
  <c r="AK228" i="39"/>
  <c r="AJ228" i="39"/>
  <c r="AI228" i="39"/>
  <c r="AC228" i="39"/>
  <c r="W228" i="39"/>
  <c r="BB228" i="39" s="1"/>
  <c r="S228" i="39"/>
  <c r="P228" i="39"/>
  <c r="O228" i="39"/>
  <c r="N228" i="39"/>
  <c r="AU227" i="39"/>
  <c r="AM227" i="39"/>
  <c r="AL227" i="39"/>
  <c r="AK227" i="39"/>
  <c r="AJ227" i="39"/>
  <c r="AI227" i="39"/>
  <c r="AC227" i="39"/>
  <c r="AG227" i="39" s="1"/>
  <c r="AH227" i="39" s="1"/>
  <c r="W227" i="39"/>
  <c r="BB227" i="39" s="1"/>
  <c r="S227" i="39"/>
  <c r="P227" i="39"/>
  <c r="O227" i="39"/>
  <c r="N227" i="39"/>
  <c r="AU212" i="39"/>
  <c r="AM212" i="39"/>
  <c r="AL212" i="39"/>
  <c r="AK212" i="39"/>
  <c r="AJ212" i="39"/>
  <c r="AI212" i="39"/>
  <c r="AC212" i="39"/>
  <c r="AG212" i="39" s="1"/>
  <c r="AH212" i="39" s="1"/>
  <c r="W212" i="39"/>
  <c r="AB212" i="39" s="1"/>
  <c r="S212" i="39"/>
  <c r="AU195" i="39"/>
  <c r="AM195" i="39"/>
  <c r="AL195" i="39"/>
  <c r="AK195" i="39"/>
  <c r="AJ195" i="39"/>
  <c r="AI195" i="39"/>
  <c r="W195" i="39"/>
  <c r="AB195" i="39" s="1"/>
  <c r="S195" i="39"/>
  <c r="P195" i="39"/>
  <c r="O195" i="39"/>
  <c r="N195" i="39"/>
  <c r="AU194" i="39"/>
  <c r="AM194" i="39"/>
  <c r="AL194" i="39"/>
  <c r="AK194" i="39"/>
  <c r="AJ194" i="39"/>
  <c r="AI194" i="39"/>
  <c r="W194" i="39"/>
  <c r="X194" i="39" s="1"/>
  <c r="S194" i="39"/>
  <c r="P194" i="39"/>
  <c r="O194" i="39"/>
  <c r="N194" i="39"/>
  <c r="AM35" i="39"/>
  <c r="AL35" i="39"/>
  <c r="AK35" i="39"/>
  <c r="AJ35" i="39"/>
  <c r="AI35" i="39"/>
  <c r="W35" i="39"/>
  <c r="X35" i="39" s="1"/>
  <c r="S35" i="39"/>
  <c r="P35" i="39"/>
  <c r="N35" i="39"/>
  <c r="AM15" i="39"/>
  <c r="AL15" i="39"/>
  <c r="AK15" i="39"/>
  <c r="AJ15" i="39"/>
  <c r="AI15" i="39"/>
  <c r="AC15" i="39"/>
  <c r="W15" i="39"/>
  <c r="Z15" i="39" s="1"/>
  <c r="S15" i="39"/>
  <c r="P15" i="39"/>
  <c r="N15" i="39"/>
  <c r="AM14" i="39"/>
  <c r="AL14" i="39"/>
  <c r="AK14" i="39"/>
  <c r="AJ14" i="39"/>
  <c r="AI14" i="39"/>
  <c r="W14" i="39"/>
  <c r="AA14" i="39" s="1"/>
  <c r="S14" i="39"/>
  <c r="P14" i="39"/>
  <c r="N14" i="39"/>
  <c r="O14" i="39" s="1"/>
  <c r="AM13" i="39"/>
  <c r="AL13" i="39"/>
  <c r="AK13" i="39"/>
  <c r="AJ13" i="39"/>
  <c r="AI13" i="39"/>
  <c r="AC13" i="39"/>
  <c r="W13" i="39"/>
  <c r="X13" i="39" s="1"/>
  <c r="S13" i="39"/>
  <c r="P13" i="39"/>
  <c r="N13" i="39"/>
  <c r="O13" i="39" s="1"/>
  <c r="AM12" i="39"/>
  <c r="AL12" i="39"/>
  <c r="AK12" i="39"/>
  <c r="AJ12" i="39"/>
  <c r="AI12" i="39"/>
  <c r="W12" i="39"/>
  <c r="AA12" i="39" s="1"/>
  <c r="S12" i="39"/>
  <c r="P12" i="39"/>
  <c r="N12" i="39"/>
  <c r="N31" i="45"/>
  <c r="AU143" i="39"/>
  <c r="AM143" i="39"/>
  <c r="AL143" i="39"/>
  <c r="AK143" i="39"/>
  <c r="AJ143" i="39"/>
  <c r="AI143" i="39"/>
  <c r="AC143" i="39"/>
  <c r="W143" i="39"/>
  <c r="S143" i="39"/>
  <c r="P143" i="39"/>
  <c r="O143" i="39"/>
  <c r="N143" i="39"/>
  <c r="AU142" i="39"/>
  <c r="AM142" i="39"/>
  <c r="AL142" i="39"/>
  <c r="AK142" i="39"/>
  <c r="AJ142" i="39"/>
  <c r="AI142" i="39"/>
  <c r="AC142" i="39"/>
  <c r="W142" i="39"/>
  <c r="Z142" i="39" s="1"/>
  <c r="S142" i="39"/>
  <c r="P142" i="39"/>
  <c r="O142" i="39"/>
  <c r="N142" i="39"/>
  <c r="AU141" i="39"/>
  <c r="AM141" i="39"/>
  <c r="AL141" i="39"/>
  <c r="AK141" i="39"/>
  <c r="AJ141" i="39"/>
  <c r="AI141" i="39"/>
  <c r="AC141" i="39"/>
  <c r="W141" i="39"/>
  <c r="BB141" i="39" s="1"/>
  <c r="S141" i="39"/>
  <c r="P141" i="39"/>
  <c r="O141" i="39"/>
  <c r="N141" i="39"/>
  <c r="AU140" i="39"/>
  <c r="AM140" i="39"/>
  <c r="AL140" i="39"/>
  <c r="AK140" i="39"/>
  <c r="AJ140" i="39"/>
  <c r="AI140" i="39"/>
  <c r="AC140" i="39"/>
  <c r="W140" i="39"/>
  <c r="AA140" i="39" s="1"/>
  <c r="S140" i="39"/>
  <c r="P140" i="39"/>
  <c r="O140" i="39"/>
  <c r="N140" i="39"/>
  <c r="AU139" i="39"/>
  <c r="AM139" i="39"/>
  <c r="AL139" i="39"/>
  <c r="AK139" i="39"/>
  <c r="AJ139" i="39"/>
  <c r="AI139" i="39"/>
  <c r="AC139" i="39"/>
  <c r="W139" i="39"/>
  <c r="X139" i="39" s="1"/>
  <c r="S139" i="39"/>
  <c r="P139" i="39"/>
  <c r="O139" i="39"/>
  <c r="N139" i="39"/>
  <c r="AU137" i="39"/>
  <c r="AM137" i="39"/>
  <c r="AL137" i="39"/>
  <c r="AK137" i="39"/>
  <c r="AJ137" i="39"/>
  <c r="AI137" i="39"/>
  <c r="AC137" i="39"/>
  <c r="W137" i="39"/>
  <c r="BB137" i="39" s="1"/>
  <c r="S137" i="39"/>
  <c r="P137" i="39"/>
  <c r="O137" i="39"/>
  <c r="N137" i="39"/>
  <c r="AU136" i="39"/>
  <c r="AM136" i="39"/>
  <c r="AL136" i="39"/>
  <c r="AK136" i="39"/>
  <c r="AJ136" i="39"/>
  <c r="AI136" i="39"/>
  <c r="AC136" i="39"/>
  <c r="W136" i="39"/>
  <c r="BB136" i="39" s="1"/>
  <c r="S136" i="39"/>
  <c r="P136" i="39"/>
  <c r="O136" i="39"/>
  <c r="N136" i="39"/>
  <c r="AU135" i="39"/>
  <c r="AM135" i="39"/>
  <c r="AL135" i="39"/>
  <c r="AK135" i="39"/>
  <c r="AJ135" i="39"/>
  <c r="AI135" i="39"/>
  <c r="AC135" i="39"/>
  <c r="AG135" i="39" s="1"/>
  <c r="W135" i="39"/>
  <c r="BB135" i="39" s="1"/>
  <c r="S135" i="39"/>
  <c r="P135" i="39"/>
  <c r="O135" i="39"/>
  <c r="N135" i="39"/>
  <c r="AU134" i="39"/>
  <c r="AM134" i="39"/>
  <c r="AL134" i="39"/>
  <c r="AK134" i="39"/>
  <c r="AJ134" i="39"/>
  <c r="AI134" i="39"/>
  <c r="AC134" i="39"/>
  <c r="W134" i="39"/>
  <c r="AB134" i="39" s="1"/>
  <c r="S134" i="39"/>
  <c r="P134" i="39"/>
  <c r="O134" i="39"/>
  <c r="N134" i="39"/>
  <c r="AA35" i="39" l="1"/>
  <c r="AN135" i="39"/>
  <c r="Z143" i="39"/>
  <c r="BB143" i="39"/>
  <c r="AG137" i="39"/>
  <c r="AH137" i="39" s="1"/>
  <c r="AN35" i="39"/>
  <c r="AN139" i="39"/>
  <c r="AN194" i="39"/>
  <c r="AB231" i="39"/>
  <c r="AA139" i="39"/>
  <c r="Z134" i="39"/>
  <c r="AG139" i="39"/>
  <c r="AH139" i="39" s="1"/>
  <c r="AN231" i="39"/>
  <c r="AN227" i="39"/>
  <c r="AN229" i="39"/>
  <c r="AA194" i="39"/>
  <c r="BB134" i="39"/>
  <c r="BB13" i="39"/>
  <c r="Z227" i="39"/>
  <c r="AB143" i="39"/>
  <c r="AA227" i="39"/>
  <c r="AN230" i="39"/>
  <c r="AN143" i="39"/>
  <c r="AA143" i="39"/>
  <c r="AB135" i="39"/>
  <c r="AN137" i="39"/>
  <c r="AN134" i="39"/>
  <c r="BB194" i="39"/>
  <c r="X135" i="39"/>
  <c r="AB194" i="39"/>
  <c r="Z231" i="39"/>
  <c r="AB13" i="39"/>
  <c r="Z13" i="39"/>
  <c r="AG13" i="39"/>
  <c r="AH13" i="39" s="1"/>
  <c r="Z228" i="39"/>
  <c r="X134" i="39"/>
  <c r="AN12" i="39"/>
  <c r="AN13" i="39"/>
  <c r="AN14" i="39"/>
  <c r="AN195" i="39"/>
  <c r="AA134" i="39"/>
  <c r="AN212" i="39"/>
  <c r="Z139" i="39"/>
  <c r="AN140" i="39"/>
  <c r="AA13" i="39"/>
  <c r="BB14" i="39"/>
  <c r="Z194" i="39"/>
  <c r="X227" i="39"/>
  <c r="AN228" i="39"/>
  <c r="AB227" i="39"/>
  <c r="AB139" i="39"/>
  <c r="BB139" i="39"/>
  <c r="AA136" i="39"/>
  <c r="AN141" i="39"/>
  <c r="AB14" i="39"/>
  <c r="AG194" i="39"/>
  <c r="AH194" i="39" s="1"/>
  <c r="X230" i="39"/>
  <c r="AN136" i="39"/>
  <c r="AN142" i="39"/>
  <c r="AO142" i="39" s="1"/>
  <c r="AP142" i="39" s="1"/>
  <c r="AW142" i="39" s="1"/>
  <c r="AN15" i="39"/>
  <c r="AO15" i="39" s="1"/>
  <c r="Z230" i="39"/>
  <c r="AA230" i="39"/>
  <c r="BB140" i="39"/>
  <c r="Z135" i="39"/>
  <c r="AB140" i="39"/>
  <c r="AB230" i="39"/>
  <c r="AA135" i="39"/>
  <c r="AB228" i="39"/>
  <c r="AG12" i="39"/>
  <c r="AH12" i="39" s="1"/>
  <c r="AG228" i="39"/>
  <c r="AH228" i="39" s="1"/>
  <c r="X229" i="39"/>
  <c r="AH231" i="39"/>
  <c r="Z229" i="39"/>
  <c r="AG229" i="39"/>
  <c r="AH229" i="39" s="1"/>
  <c r="AA229" i="39"/>
  <c r="BB229" i="39"/>
  <c r="X228" i="39"/>
  <c r="X231" i="39"/>
  <c r="AA228" i="39"/>
  <c r="AA231" i="39"/>
  <c r="X212" i="39"/>
  <c r="Z212" i="39"/>
  <c r="AA212" i="39"/>
  <c r="BB212" i="39"/>
  <c r="AG195" i="39"/>
  <c r="AH195" i="39" s="1"/>
  <c r="X195" i="39"/>
  <c r="Z195" i="39"/>
  <c r="AA195" i="39"/>
  <c r="BB195" i="39"/>
  <c r="AG35" i="39"/>
  <c r="AH35" i="39" s="1"/>
  <c r="O35" i="39"/>
  <c r="Z35" i="39"/>
  <c r="AB35" i="39"/>
  <c r="BB35" i="39"/>
  <c r="BB12" i="39"/>
  <c r="AB12" i="39"/>
  <c r="X12" i="39"/>
  <c r="AG15" i="39"/>
  <c r="AH15" i="39" s="1"/>
  <c r="Z12" i="39"/>
  <c r="O15" i="39"/>
  <c r="O12" i="39"/>
  <c r="X14" i="39"/>
  <c r="AA15" i="39"/>
  <c r="X15" i="39"/>
  <c r="Z14" i="39"/>
  <c r="AB15" i="39"/>
  <c r="BB15" i="39"/>
  <c r="X143" i="39"/>
  <c r="AG143" i="39"/>
  <c r="AH143" i="39" s="1"/>
  <c r="AG142" i="39"/>
  <c r="AH142" i="39" s="1"/>
  <c r="AG141" i="39"/>
  <c r="AH141" i="39" s="1"/>
  <c r="AG140" i="39"/>
  <c r="AH140" i="39" s="1"/>
  <c r="X140" i="39"/>
  <c r="Z141" i="39"/>
  <c r="AA142" i="39"/>
  <c r="X141" i="39"/>
  <c r="Z140" i="39"/>
  <c r="AA141" i="39"/>
  <c r="AB142" i="39"/>
  <c r="BB142" i="39"/>
  <c r="X142" i="39"/>
  <c r="AB141" i="39"/>
  <c r="AG134" i="39"/>
  <c r="AH134" i="39" s="1"/>
  <c r="AH135" i="39"/>
  <c r="X137" i="39"/>
  <c r="X136" i="39"/>
  <c r="Z137" i="39"/>
  <c r="AG136" i="39"/>
  <c r="AH136" i="39" s="1"/>
  <c r="Z136" i="39"/>
  <c r="AA137" i="39"/>
  <c r="AB137" i="39"/>
  <c r="AB136" i="39"/>
  <c r="AO135" i="39" l="1"/>
  <c r="AP135" i="39" s="1"/>
  <c r="AO143" i="39"/>
  <c r="AP143" i="39" s="1"/>
  <c r="AO136" i="39"/>
  <c r="AP136" i="39" s="1"/>
  <c r="AO35" i="39"/>
  <c r="AP35" i="39" s="1"/>
  <c r="AO194" i="39"/>
  <c r="AP194" i="39" s="1"/>
  <c r="AO139" i="39"/>
  <c r="AP139" i="39" s="1"/>
  <c r="AO230" i="39"/>
  <c r="AP230" i="39" s="1"/>
  <c r="AO137" i="39"/>
  <c r="AP137" i="39" s="1"/>
  <c r="AO12" i="39"/>
  <c r="AP12" i="39" s="1"/>
  <c r="AW12" i="39" s="1"/>
  <c r="AO13" i="39"/>
  <c r="AP13" i="39" s="1"/>
  <c r="AO231" i="39"/>
  <c r="AP231" i="39" s="1"/>
  <c r="AO134" i="39"/>
  <c r="AP134" i="39" s="1"/>
  <c r="AO227" i="39"/>
  <c r="AP227" i="39" s="1"/>
  <c r="AO229" i="39"/>
  <c r="AP229" i="39" s="1"/>
  <c r="AO228" i="39"/>
  <c r="AP228" i="39" s="1"/>
  <c r="AO212" i="39"/>
  <c r="AO14" i="39"/>
  <c r="AP14" i="39" s="1"/>
  <c r="AO195" i="39"/>
  <c r="AP195" i="39" s="1"/>
  <c r="AW195" i="39" s="1"/>
  <c r="AO141" i="39"/>
  <c r="AP141" i="39" s="1"/>
  <c r="AP15" i="39"/>
  <c r="AO140" i="39"/>
  <c r="AQ142" i="39"/>
  <c r="BC142" i="39"/>
  <c r="AZ142" i="39"/>
  <c r="AV142" i="39"/>
  <c r="AX142" i="39"/>
  <c r="AR142" i="39"/>
  <c r="AS142" i="39" s="1"/>
  <c r="GJ142" i="39" l="1"/>
  <c r="GI142" i="39"/>
  <c r="GD142" i="39"/>
  <c r="GG142" i="39"/>
  <c r="GA142" i="39"/>
  <c r="GL142" i="39"/>
  <c r="FZ142" i="39"/>
  <c r="FY142" i="39"/>
  <c r="AQ230" i="39"/>
  <c r="AW230" i="39"/>
  <c r="AZ228" i="39"/>
  <c r="AW228" i="39"/>
  <c r="AZ231" i="39"/>
  <c r="AW231" i="39"/>
  <c r="AQ229" i="39"/>
  <c r="AW229" i="39"/>
  <c r="AQ227" i="39"/>
  <c r="AW227" i="39"/>
  <c r="AQ134" i="39"/>
  <c r="AW134" i="39"/>
  <c r="AX141" i="39"/>
  <c r="AW141" i="39"/>
  <c r="AQ194" i="39"/>
  <c r="AW194" i="39"/>
  <c r="BC15" i="39"/>
  <c r="AW15" i="39"/>
  <c r="AQ13" i="39"/>
  <c r="AW13" i="39"/>
  <c r="AT35" i="39"/>
  <c r="AU35" i="39" s="1"/>
  <c r="AW35" i="39"/>
  <c r="AR137" i="39"/>
  <c r="AS137" i="39" s="1"/>
  <c r="AW137" i="39"/>
  <c r="BC139" i="39"/>
  <c r="AW139" i="39"/>
  <c r="AX14" i="39"/>
  <c r="AW14" i="39"/>
  <c r="AX136" i="39"/>
  <c r="AW136" i="39"/>
  <c r="AR135" i="39"/>
  <c r="AS135" i="39" s="1"/>
  <c r="AW135" i="39"/>
  <c r="AZ143" i="39"/>
  <c r="AW143" i="39"/>
  <c r="AT15" i="39"/>
  <c r="AU15" i="39" s="1"/>
  <c r="AT14" i="39"/>
  <c r="AU14" i="39" s="1"/>
  <c r="AT13" i="39"/>
  <c r="AU13" i="39" s="1"/>
  <c r="AT12" i="39"/>
  <c r="AU12" i="39" s="1"/>
  <c r="FS142" i="39"/>
  <c r="AQ135" i="39"/>
  <c r="AZ135" i="39"/>
  <c r="BC135" i="39"/>
  <c r="AX135" i="39"/>
  <c r="AV135" i="39"/>
  <c r="AR143" i="39"/>
  <c r="AS143" i="39" s="1"/>
  <c r="AV143" i="39"/>
  <c r="BC143" i="39"/>
  <c r="AX143" i="39"/>
  <c r="AQ143" i="39"/>
  <c r="AZ139" i="39"/>
  <c r="AQ139" i="39"/>
  <c r="AV139" i="39"/>
  <c r="AX139" i="39"/>
  <c r="AR139" i="39"/>
  <c r="AS139" i="39" s="1"/>
  <c r="AX137" i="39"/>
  <c r="AZ137" i="39"/>
  <c r="BC137" i="39"/>
  <c r="AQ137" i="39"/>
  <c r="AR230" i="39"/>
  <c r="AS230" i="39" s="1"/>
  <c r="AX230" i="39"/>
  <c r="BC230" i="39"/>
  <c r="AV230" i="39"/>
  <c r="AZ230" i="39"/>
  <c r="AV137" i="39"/>
  <c r="BC231" i="39"/>
  <c r="AQ231" i="39"/>
  <c r="AX231" i="39"/>
  <c r="AR231" i="39"/>
  <c r="AS231" i="39" s="1"/>
  <c r="AZ13" i="39"/>
  <c r="AV231" i="39"/>
  <c r="AR134" i="39"/>
  <c r="AS134" i="39" s="1"/>
  <c r="BC134" i="39"/>
  <c r="AX134" i="39"/>
  <c r="AV134" i="39"/>
  <c r="AZ134" i="39"/>
  <c r="AV227" i="39"/>
  <c r="AV14" i="39"/>
  <c r="AZ14" i="39"/>
  <c r="AV13" i="39"/>
  <c r="BC13" i="39"/>
  <c r="BC227" i="39"/>
  <c r="AR13" i="39"/>
  <c r="AS13" i="39" s="1"/>
  <c r="AQ14" i="39"/>
  <c r="AX13" i="39"/>
  <c r="AR227" i="39"/>
  <c r="AS227" i="39" s="1"/>
  <c r="AZ227" i="39"/>
  <c r="AX228" i="39"/>
  <c r="AR228" i="39"/>
  <c r="AS228" i="39" s="1"/>
  <c r="AR14" i="39"/>
  <c r="AS14" i="39" s="1"/>
  <c r="AQ228" i="39"/>
  <c r="AX227" i="39"/>
  <c r="AQ141" i="39"/>
  <c r="BC228" i="39"/>
  <c r="AV228" i="39"/>
  <c r="AV141" i="39"/>
  <c r="BC14" i="39"/>
  <c r="AZ141" i="39"/>
  <c r="AX15" i="39"/>
  <c r="AR141" i="39"/>
  <c r="AS141" i="39" s="1"/>
  <c r="AR15" i="39"/>
  <c r="AS15" i="39" s="1"/>
  <c r="AP140" i="39"/>
  <c r="BC141" i="39"/>
  <c r="AR12" i="39"/>
  <c r="AS12" i="39" s="1"/>
  <c r="AZ15" i="39"/>
  <c r="AV15" i="39"/>
  <c r="AR229" i="39"/>
  <c r="AS229" i="39" s="1"/>
  <c r="AQ15" i="39"/>
  <c r="BC229" i="39"/>
  <c r="AV229" i="39"/>
  <c r="AZ229" i="39"/>
  <c r="AX229" i="39"/>
  <c r="BC195" i="39"/>
  <c r="AZ195" i="39"/>
  <c r="AV195" i="39"/>
  <c r="AZ194" i="39"/>
  <c r="AV194" i="39"/>
  <c r="BC194" i="39"/>
  <c r="AR194" i="39"/>
  <c r="AS194" i="39" s="1"/>
  <c r="AX194" i="39"/>
  <c r="AQ195" i="39"/>
  <c r="AX195" i="39"/>
  <c r="AR195" i="39"/>
  <c r="AS195" i="39" s="1"/>
  <c r="BC35" i="39"/>
  <c r="AZ35" i="39"/>
  <c r="AV35" i="39"/>
  <c r="AQ35" i="39"/>
  <c r="AR35" i="39"/>
  <c r="AS35" i="39" s="1"/>
  <c r="AX35" i="39"/>
  <c r="AQ12" i="39"/>
  <c r="AX12" i="39"/>
  <c r="BC12" i="39"/>
  <c r="AZ12" i="39"/>
  <c r="AV12" i="39"/>
  <c r="AR136" i="39"/>
  <c r="AS136" i="39" s="1"/>
  <c r="AQ136" i="39"/>
  <c r="AZ136" i="39"/>
  <c r="AV136" i="39"/>
  <c r="BC136" i="39"/>
  <c r="GK141" i="39" l="1"/>
  <c r="FY141" i="39"/>
  <c r="GD141" i="39"/>
  <c r="GA141" i="39"/>
  <c r="FZ141" i="39"/>
  <c r="GI141" i="39"/>
  <c r="GG141" i="39"/>
  <c r="GA139" i="39"/>
  <c r="GE139" i="39"/>
  <c r="GD139" i="39"/>
  <c r="FZ139" i="39"/>
  <c r="FY139" i="39"/>
  <c r="FW12" i="39"/>
  <c r="FX12" i="39"/>
  <c r="FU12" i="39"/>
  <c r="FV12" i="39"/>
  <c r="GD137" i="39"/>
  <c r="GF137" i="39"/>
  <c r="GA137" i="39"/>
  <c r="FZ137" i="39"/>
  <c r="FY137" i="39"/>
  <c r="FY135" i="39"/>
  <c r="GC135" i="39"/>
  <c r="GA135" i="39"/>
  <c r="FZ135" i="39"/>
  <c r="FU14" i="39"/>
  <c r="FV14" i="39"/>
  <c r="FX14" i="39"/>
  <c r="FW14" i="39"/>
  <c r="GD136" i="39"/>
  <c r="FY136" i="39"/>
  <c r="GA136" i="39"/>
  <c r="FZ136" i="39"/>
  <c r="GF136" i="39"/>
  <c r="FX15" i="39"/>
  <c r="FW15" i="39"/>
  <c r="FV15" i="39"/>
  <c r="FU15" i="39"/>
  <c r="GB35" i="39"/>
  <c r="FZ35" i="39"/>
  <c r="FY35" i="39"/>
  <c r="FV13" i="39"/>
  <c r="FU13" i="39"/>
  <c r="FX13" i="39"/>
  <c r="FW13" i="39"/>
  <c r="GA134" i="39"/>
  <c r="FZ134" i="39"/>
  <c r="GC134" i="39"/>
  <c r="FY134" i="39"/>
  <c r="EG14" i="39"/>
  <c r="FT14" i="39"/>
  <c r="FQ14" i="39"/>
  <c r="EG15" i="39"/>
  <c r="FT15" i="39"/>
  <c r="FQ15" i="39"/>
  <c r="FT13" i="39"/>
  <c r="EG13" i="39"/>
  <c r="FQ13" i="39"/>
  <c r="EG12" i="39"/>
  <c r="FT12" i="39"/>
  <c r="FQ12" i="39"/>
  <c r="FS139" i="39"/>
  <c r="AV140" i="39"/>
  <c r="AW140" i="39"/>
  <c r="FS15" i="39"/>
  <c r="FS12" i="39"/>
  <c r="FS14" i="39"/>
  <c r="FS134" i="39"/>
  <c r="FS35" i="39"/>
  <c r="FS135" i="39"/>
  <c r="FS141" i="39"/>
  <c r="FS137" i="39"/>
  <c r="FS13" i="39"/>
  <c r="FS136" i="39"/>
  <c r="AZ140" i="39"/>
  <c r="AX140" i="39"/>
  <c r="BC140" i="39"/>
  <c r="AQ140" i="39"/>
  <c r="AR140" i="39"/>
  <c r="AS140" i="39" s="1"/>
  <c r="FZ140" i="39" l="1"/>
  <c r="GG140" i="39"/>
  <c r="FY140" i="39"/>
  <c r="GH140" i="39"/>
  <c r="GD140" i="39"/>
  <c r="GA140" i="39"/>
  <c r="FS140" i="39"/>
  <c r="O95" i="45" l="1"/>
  <c r="O94" i="45"/>
  <c r="O93" i="45"/>
  <c r="O92" i="45"/>
  <c r="O91" i="45"/>
  <c r="O90" i="45"/>
  <c r="O89" i="45"/>
  <c r="O88" i="45"/>
  <c r="O87" i="45"/>
  <c r="O86" i="45"/>
  <c r="O85" i="45"/>
  <c r="O84" i="45"/>
  <c r="O83" i="45"/>
  <c r="O82" i="45"/>
  <c r="O81" i="45"/>
  <c r="O80" i="45"/>
  <c r="O79" i="45"/>
  <c r="O78" i="45"/>
  <c r="O77" i="45"/>
  <c r="O76" i="45"/>
  <c r="O75" i="45"/>
  <c r="O74" i="45"/>
  <c r="O73" i="45"/>
  <c r="O72" i="45"/>
  <c r="O71" i="45"/>
  <c r="O70" i="45"/>
  <c r="O69" i="45"/>
  <c r="O68" i="45"/>
  <c r="O67" i="45"/>
  <c r="O66" i="45"/>
  <c r="O46" i="45"/>
  <c r="O45" i="45"/>
  <c r="O44" i="45"/>
  <c r="O43" i="45"/>
  <c r="O42" i="45"/>
  <c r="O41" i="45"/>
  <c r="O40" i="45"/>
  <c r="O39" i="45"/>
  <c r="O38" i="45"/>
  <c r="O37" i="45"/>
  <c r="O36" i="45"/>
  <c r="O35" i="45"/>
  <c r="O34" i="45"/>
  <c r="O33" i="45"/>
  <c r="O32" i="45"/>
  <c r="O31" i="45"/>
  <c r="O30" i="45"/>
  <c r="O25" i="45"/>
  <c r="O24" i="45"/>
  <c r="O23" i="45"/>
  <c r="O22" i="45"/>
  <c r="O21" i="45"/>
  <c r="O20" i="45"/>
  <c r="O16" i="45"/>
  <c r="O15" i="45"/>
  <c r="O10" i="45"/>
  <c r="O9" i="45"/>
  <c r="O280" i="39"/>
  <c r="O279" i="39"/>
  <c r="O278" i="39"/>
  <c r="O277" i="39"/>
  <c r="O276" i="39"/>
  <c r="O275" i="39"/>
  <c r="O274" i="39"/>
  <c r="O273" i="39"/>
  <c r="O272" i="39"/>
  <c r="O269" i="39"/>
  <c r="O268" i="39"/>
  <c r="O267" i="39"/>
  <c r="O266" i="39"/>
  <c r="O265" i="39"/>
  <c r="O264" i="39"/>
  <c r="O263" i="39"/>
  <c r="O262" i="39"/>
  <c r="O261" i="39"/>
  <c r="O260" i="39"/>
  <c r="O259" i="39"/>
  <c r="O258" i="39"/>
  <c r="O257" i="39"/>
  <c r="O256" i="39"/>
  <c r="O255" i="39"/>
  <c r="O254" i="39"/>
  <c r="O253" i="39"/>
  <c r="O252" i="39"/>
  <c r="O249" i="39"/>
  <c r="O248" i="39"/>
  <c r="O247" i="39"/>
  <c r="O246" i="39"/>
  <c r="O245" i="39"/>
  <c r="O244" i="39"/>
  <c r="O243" i="39"/>
  <c r="O242" i="39"/>
  <c r="O241" i="39"/>
  <c r="O240" i="39"/>
  <c r="O239" i="39"/>
  <c r="O238" i="39"/>
  <c r="O237" i="39"/>
  <c r="O236" i="39"/>
  <c r="O235" i="39"/>
  <c r="O234" i="39"/>
  <c r="O226" i="39"/>
  <c r="O225" i="39"/>
  <c r="O224" i="39"/>
  <c r="O223" i="39"/>
  <c r="O222" i="39"/>
  <c r="O221" i="39"/>
  <c r="O220" i="39"/>
  <c r="O219" i="39"/>
  <c r="O218" i="39"/>
  <c r="O217" i="39"/>
  <c r="O216" i="39"/>
  <c r="O215" i="39"/>
  <c r="O198" i="39"/>
  <c r="O193" i="39"/>
  <c r="O192" i="39"/>
  <c r="O191" i="39"/>
  <c r="O190" i="39"/>
  <c r="O189" i="39"/>
  <c r="O188" i="39"/>
  <c r="O187" i="39"/>
  <c r="O186" i="39"/>
  <c r="O185" i="39"/>
  <c r="O184" i="39"/>
  <c r="O183" i="39"/>
  <c r="O182" i="39"/>
  <c r="O181" i="39"/>
  <c r="O180" i="39"/>
  <c r="O179" i="39"/>
  <c r="O178" i="39"/>
  <c r="O177" i="39"/>
  <c r="O176" i="39"/>
  <c r="O175" i="39"/>
  <c r="O174" i="39"/>
  <c r="O173" i="39"/>
  <c r="O172" i="39"/>
  <c r="O171" i="39"/>
  <c r="O170" i="39"/>
  <c r="O169" i="39"/>
  <c r="O166" i="39"/>
  <c r="O165" i="39"/>
  <c r="O164" i="39"/>
  <c r="O163" i="39"/>
  <c r="O162" i="39"/>
  <c r="O161" i="39"/>
  <c r="O110" i="39"/>
  <c r="O109" i="39"/>
  <c r="O108" i="39"/>
  <c r="O107" i="39"/>
  <c r="O106" i="39"/>
  <c r="O105" i="39"/>
  <c r="O103" i="39"/>
  <c r="O102" i="39"/>
  <c r="O101" i="39"/>
  <c r="O100" i="39"/>
  <c r="O95" i="39"/>
  <c r="O94" i="39"/>
  <c r="O91" i="39"/>
  <c r="O90" i="39"/>
  <c r="O87" i="39"/>
  <c r="O86" i="39"/>
  <c r="O85" i="39"/>
  <c r="O80" i="39"/>
  <c r="O79" i="39"/>
  <c r="O78" i="39"/>
  <c r="O77" i="39"/>
  <c r="O30" i="39"/>
  <c r="O28" i="39"/>
  <c r="O26" i="39"/>
  <c r="O24" i="39"/>
  <c r="O22" i="39"/>
  <c r="O20" i="39"/>
  <c r="O18" i="39"/>
  <c r="O442" i="44"/>
  <c r="O441" i="44"/>
  <c r="O440" i="44"/>
  <c r="O439" i="44"/>
  <c r="O438" i="44"/>
  <c r="O437" i="44"/>
  <c r="O436" i="44"/>
  <c r="O435" i="44"/>
  <c r="O434" i="44"/>
  <c r="O433" i="44"/>
  <c r="O432" i="44"/>
  <c r="O431" i="44"/>
  <c r="O430" i="44"/>
  <c r="O429" i="44"/>
  <c r="O428" i="44"/>
  <c r="O427" i="44"/>
  <c r="O426" i="44"/>
  <c r="O425" i="44"/>
  <c r="O424" i="44"/>
  <c r="O423" i="44"/>
  <c r="O422" i="44"/>
  <c r="O421" i="44"/>
  <c r="O420" i="44"/>
  <c r="O419" i="44"/>
  <c r="O418" i="44"/>
  <c r="O414" i="44"/>
  <c r="O413" i="44"/>
  <c r="O412" i="44"/>
  <c r="O411" i="44"/>
  <c r="O410" i="44"/>
  <c r="O409" i="44"/>
  <c r="O408" i="44"/>
  <c r="O407" i="44"/>
  <c r="O367" i="44"/>
  <c r="O366" i="44"/>
  <c r="O365" i="44"/>
  <c r="O364" i="44"/>
  <c r="O363" i="44"/>
  <c r="O362" i="44"/>
  <c r="O361" i="44"/>
  <c r="O360" i="44"/>
  <c r="O359" i="44"/>
  <c r="O358" i="44"/>
  <c r="O357" i="44"/>
  <c r="O356" i="44"/>
  <c r="O355" i="44"/>
  <c r="O354" i="44"/>
  <c r="O353" i="44"/>
  <c r="O352" i="44"/>
  <c r="O348" i="44"/>
  <c r="O347" i="44"/>
  <c r="O339" i="44"/>
  <c r="O338" i="44"/>
  <c r="O337" i="44"/>
  <c r="O336" i="44"/>
  <c r="O335" i="44"/>
  <c r="O334" i="44"/>
  <c r="O333" i="44"/>
  <c r="O332" i="44"/>
  <c r="O331" i="44"/>
  <c r="O330" i="44"/>
  <c r="O329" i="44"/>
  <c r="O328" i="44"/>
  <c r="O327" i="44"/>
  <c r="O315" i="44"/>
  <c r="O314" i="44"/>
  <c r="O311" i="44"/>
  <c r="O310" i="44"/>
  <c r="O307" i="44"/>
  <c r="O302" i="44"/>
  <c r="O301" i="44"/>
  <c r="O298" i="44"/>
  <c r="O297" i="44"/>
  <c r="O289" i="44"/>
  <c r="O288" i="44"/>
  <c r="O287" i="44"/>
  <c r="O286" i="44"/>
  <c r="O285" i="44"/>
  <c r="O284" i="44"/>
  <c r="O283" i="44"/>
  <c r="O282" i="44"/>
  <c r="O281" i="44"/>
  <c r="O280" i="44"/>
  <c r="O274" i="44"/>
  <c r="O273" i="44"/>
  <c r="O272" i="44"/>
  <c r="O271" i="44"/>
  <c r="O270" i="44"/>
  <c r="O269" i="44"/>
  <c r="O268" i="44"/>
  <c r="O267" i="44"/>
  <c r="O266" i="44"/>
  <c r="O265" i="44"/>
  <c r="O264" i="44"/>
  <c r="O263" i="44"/>
  <c r="O262" i="44"/>
  <c r="O256" i="44"/>
  <c r="O255" i="44"/>
  <c r="O254" i="44"/>
  <c r="O245" i="44"/>
  <c r="O244" i="44"/>
  <c r="O243" i="44"/>
  <c r="O242" i="44"/>
  <c r="AT242" i="44" s="1"/>
  <c r="AU242" i="44" s="1"/>
  <c r="O241" i="44"/>
  <c r="O240" i="44"/>
  <c r="O239" i="44"/>
  <c r="O238" i="44"/>
  <c r="O237" i="44"/>
  <c r="O236" i="44"/>
  <c r="O235" i="44"/>
  <c r="O234" i="44"/>
  <c r="O233" i="44"/>
  <c r="O232" i="44"/>
  <c r="O226" i="44"/>
  <c r="O225" i="44"/>
  <c r="O224" i="44"/>
  <c r="O223" i="44"/>
  <c r="O222" i="44"/>
  <c r="O221" i="44"/>
  <c r="O214" i="44"/>
  <c r="O213" i="44"/>
  <c r="O212" i="44"/>
  <c r="O200" i="44"/>
  <c r="O199" i="44"/>
  <c r="O189" i="44"/>
  <c r="O185" i="44"/>
  <c r="O184" i="44"/>
  <c r="O182" i="44"/>
  <c r="O180" i="44"/>
  <c r="O179" i="44"/>
  <c r="O178" i="44"/>
  <c r="O177" i="44"/>
  <c r="O176" i="44"/>
  <c r="O148" i="44"/>
  <c r="O146" i="44"/>
  <c r="O145" i="44"/>
  <c r="O144" i="44"/>
  <c r="O143" i="44"/>
  <c r="O142" i="44"/>
  <c r="O141" i="44"/>
  <c r="O139" i="44"/>
  <c r="O138" i="44"/>
  <c r="O137" i="44"/>
  <c r="O136" i="44"/>
  <c r="O135" i="44"/>
  <c r="O134" i="44"/>
  <c r="O133" i="44"/>
  <c r="O132" i="44"/>
  <c r="O131" i="44"/>
  <c r="O130" i="44"/>
  <c r="O129" i="44"/>
  <c r="O128" i="44"/>
  <c r="O127" i="44"/>
  <c r="O125" i="44"/>
  <c r="O124" i="44"/>
  <c r="O123" i="44"/>
  <c r="O122" i="44"/>
  <c r="O121" i="44"/>
  <c r="O120" i="44"/>
  <c r="O119" i="44"/>
  <c r="O118" i="44"/>
  <c r="O117" i="44"/>
  <c r="O116" i="44"/>
  <c r="O115" i="44"/>
  <c r="O114" i="44"/>
  <c r="O113" i="44"/>
  <c r="O111" i="44"/>
  <c r="O110" i="44"/>
  <c r="O100" i="44"/>
  <c r="O99" i="44"/>
  <c r="O95" i="44"/>
  <c r="O92" i="44"/>
  <c r="O91" i="44"/>
  <c r="O90" i="44"/>
  <c r="O88" i="44"/>
  <c r="O87" i="44"/>
  <c r="O86" i="44"/>
  <c r="O84" i="44"/>
  <c r="O83" i="44"/>
  <c r="O81" i="44"/>
  <c r="O80" i="44"/>
  <c r="O75" i="44"/>
  <c r="O74" i="44"/>
  <c r="O73" i="44"/>
  <c r="O72" i="44"/>
  <c r="O70" i="44"/>
  <c r="O68" i="44"/>
  <c r="O67" i="44"/>
  <c r="O66" i="44"/>
  <c r="O65" i="44"/>
  <c r="O64" i="44"/>
  <c r="O63" i="44"/>
  <c r="O62" i="44"/>
  <c r="O60" i="44"/>
  <c r="O59" i="44"/>
  <c r="O53" i="44"/>
  <c r="O50" i="44"/>
  <c r="O45" i="44"/>
  <c r="O44" i="44"/>
  <c r="O42" i="44"/>
  <c r="O36" i="44"/>
  <c r="O30" i="44"/>
  <c r="O29" i="44"/>
  <c r="O80" i="31"/>
  <c r="O79" i="31"/>
  <c r="O62" i="31"/>
  <c r="O61" i="31"/>
  <c r="O60" i="31"/>
  <c r="O58" i="31"/>
  <c r="O55" i="31"/>
  <c r="O54" i="31"/>
  <c r="O53" i="31"/>
  <c r="O52" i="31"/>
  <c r="O51" i="31"/>
  <c r="O50" i="31"/>
  <c r="O48" i="31"/>
  <c r="O45" i="31"/>
  <c r="AU16" i="45"/>
  <c r="AM16" i="45"/>
  <c r="AL16" i="45"/>
  <c r="AK16" i="45"/>
  <c r="AJ16" i="45"/>
  <c r="AI16" i="45"/>
  <c r="AF16" i="45"/>
  <c r="AE16" i="45"/>
  <c r="AD16" i="45"/>
  <c r="AC16" i="45"/>
  <c r="W16" i="45"/>
  <c r="Z16" i="45" s="1"/>
  <c r="S16" i="45"/>
  <c r="P16" i="45"/>
  <c r="N16" i="45"/>
  <c r="AU15" i="45"/>
  <c r="AM15" i="45"/>
  <c r="AL15" i="45"/>
  <c r="AK15" i="45"/>
  <c r="AJ15" i="45"/>
  <c r="AI15" i="45"/>
  <c r="AF15" i="45"/>
  <c r="AE15" i="45"/>
  <c r="AD15" i="45"/>
  <c r="AC15" i="45"/>
  <c r="W15" i="45"/>
  <c r="BB15" i="45" s="1"/>
  <c r="S15" i="45"/>
  <c r="P15" i="45"/>
  <c r="N15" i="45"/>
  <c r="AM14" i="45"/>
  <c r="AL14" i="45"/>
  <c r="AK14" i="45"/>
  <c r="AJ14" i="45"/>
  <c r="AI14" i="45"/>
  <c r="AF14" i="45"/>
  <c r="AE14" i="45"/>
  <c r="AD14" i="45"/>
  <c r="AC14" i="45"/>
  <c r="W14" i="45"/>
  <c r="AA14" i="45" s="1"/>
  <c r="S14" i="45"/>
  <c r="P14" i="45"/>
  <c r="N14" i="45"/>
  <c r="O14" i="45" s="1"/>
  <c r="AM13" i="45"/>
  <c r="AL13" i="45"/>
  <c r="AK13" i="45"/>
  <c r="AJ13" i="45"/>
  <c r="AI13" i="45"/>
  <c r="AF13" i="45"/>
  <c r="AE13" i="45"/>
  <c r="AD13" i="45"/>
  <c r="AC13" i="45"/>
  <c r="W13" i="45"/>
  <c r="X13" i="45" s="1"/>
  <c r="S13" i="45"/>
  <c r="P13" i="45"/>
  <c r="N13" i="45"/>
  <c r="O13" i="45" s="1"/>
  <c r="AM12" i="45"/>
  <c r="AL12" i="45"/>
  <c r="AK12" i="45"/>
  <c r="AJ12" i="45"/>
  <c r="AI12" i="45"/>
  <c r="AF12" i="45"/>
  <c r="AE12" i="45"/>
  <c r="AD12" i="45"/>
  <c r="AC12" i="45"/>
  <c r="W12" i="45"/>
  <c r="BB12" i="45" s="1"/>
  <c r="S12" i="45"/>
  <c r="P12" i="45"/>
  <c r="N12" i="45"/>
  <c r="O12" i="45" s="1"/>
  <c r="AU280" i="39"/>
  <c r="AM280" i="39"/>
  <c r="AL280" i="39"/>
  <c r="AK280" i="39"/>
  <c r="AJ280" i="39"/>
  <c r="AI280" i="39"/>
  <c r="AD280" i="39"/>
  <c r="AC280" i="39"/>
  <c r="W280" i="39"/>
  <c r="AA280" i="39" s="1"/>
  <c r="S280" i="39"/>
  <c r="P280" i="39"/>
  <c r="N280" i="39"/>
  <c r="AU249" i="39"/>
  <c r="AM249" i="39"/>
  <c r="AL249" i="39"/>
  <c r="AK249" i="39"/>
  <c r="AJ249" i="39"/>
  <c r="AI249" i="39"/>
  <c r="AD249" i="39"/>
  <c r="AC249" i="39"/>
  <c r="W249" i="39"/>
  <c r="Z249" i="39" s="1"/>
  <c r="S249" i="39"/>
  <c r="P249" i="39"/>
  <c r="N249" i="39"/>
  <c r="AU248" i="39"/>
  <c r="AM248" i="39"/>
  <c r="AL248" i="39"/>
  <c r="AK248" i="39"/>
  <c r="AJ248" i="39"/>
  <c r="AI248" i="39"/>
  <c r="AD248" i="39"/>
  <c r="AC248" i="39"/>
  <c r="W248" i="39"/>
  <c r="AA248" i="39" s="1"/>
  <c r="S248" i="39"/>
  <c r="P248" i="39"/>
  <c r="N248" i="39"/>
  <c r="AM112" i="39"/>
  <c r="AL112" i="39"/>
  <c r="AK112" i="39"/>
  <c r="AJ112" i="39"/>
  <c r="AI112" i="39"/>
  <c r="W112" i="39"/>
  <c r="X112" i="39" s="1"/>
  <c r="S112" i="39"/>
  <c r="P112" i="39"/>
  <c r="N112" i="39"/>
  <c r="O112" i="39" s="1"/>
  <c r="AM111" i="39"/>
  <c r="AL111" i="39"/>
  <c r="AK111" i="39"/>
  <c r="AJ111" i="39"/>
  <c r="AI111" i="39"/>
  <c r="W111" i="39"/>
  <c r="AA111" i="39" s="1"/>
  <c r="S111" i="39"/>
  <c r="P111" i="39"/>
  <c r="N111" i="39"/>
  <c r="O111" i="39" s="1"/>
  <c r="W70" i="39"/>
  <c r="S70" i="39"/>
  <c r="P70" i="39"/>
  <c r="N70" i="39"/>
  <c r="AU274" i="44"/>
  <c r="AM274" i="44"/>
  <c r="AL274" i="44"/>
  <c r="AK274" i="44"/>
  <c r="AJ274" i="44"/>
  <c r="AI274" i="44"/>
  <c r="W274" i="44"/>
  <c r="X274" i="44" s="1"/>
  <c r="S274" i="44"/>
  <c r="P274" i="44"/>
  <c r="N274" i="44"/>
  <c r="AU273" i="44"/>
  <c r="AM273" i="44"/>
  <c r="AL273" i="44"/>
  <c r="AK273" i="44"/>
  <c r="AJ273" i="44"/>
  <c r="AI273" i="44"/>
  <c r="W273" i="44"/>
  <c r="BB273" i="44" s="1"/>
  <c r="S273" i="44"/>
  <c r="P273" i="44"/>
  <c r="N273" i="44"/>
  <c r="AU272" i="44"/>
  <c r="AM272" i="44"/>
  <c r="AL272" i="44"/>
  <c r="AK272" i="44"/>
  <c r="AJ272" i="44"/>
  <c r="AI272" i="44"/>
  <c r="W272" i="44"/>
  <c r="AB272" i="44" s="1"/>
  <c r="S272" i="44"/>
  <c r="P272" i="44"/>
  <c r="N272" i="44"/>
  <c r="AU271" i="44"/>
  <c r="AM271" i="44"/>
  <c r="AL271" i="44"/>
  <c r="AK271" i="44"/>
  <c r="AJ271" i="44"/>
  <c r="AI271" i="44"/>
  <c r="W271" i="44"/>
  <c r="AA271" i="44" s="1"/>
  <c r="S271" i="44"/>
  <c r="P271" i="44"/>
  <c r="N271" i="44"/>
  <c r="AU270" i="44"/>
  <c r="AM270" i="44"/>
  <c r="AL270" i="44"/>
  <c r="AK270" i="44"/>
  <c r="AJ270" i="44"/>
  <c r="AI270" i="44"/>
  <c r="W270" i="44"/>
  <c r="Z270" i="44" s="1"/>
  <c r="S270" i="44"/>
  <c r="P270" i="44"/>
  <c r="N270" i="44"/>
  <c r="AU269" i="44"/>
  <c r="AM269" i="44"/>
  <c r="AL269" i="44"/>
  <c r="AK269" i="44"/>
  <c r="AJ269" i="44"/>
  <c r="AI269" i="44"/>
  <c r="W269" i="44"/>
  <c r="X269" i="44" s="1"/>
  <c r="S269" i="44"/>
  <c r="P269" i="44"/>
  <c r="N269" i="44"/>
  <c r="AU268" i="44"/>
  <c r="AM268" i="44"/>
  <c r="AL268" i="44"/>
  <c r="AK268" i="44"/>
  <c r="AJ268" i="44"/>
  <c r="AI268" i="44"/>
  <c r="W268" i="44"/>
  <c r="Z268" i="44" s="1"/>
  <c r="S268" i="44"/>
  <c r="P268" i="44"/>
  <c r="N268" i="44"/>
  <c r="AU267" i="44"/>
  <c r="AM267" i="44"/>
  <c r="AL267" i="44"/>
  <c r="AK267" i="44"/>
  <c r="AJ267" i="44"/>
  <c r="AI267" i="44"/>
  <c r="W267" i="44"/>
  <c r="BB267" i="44" s="1"/>
  <c r="S267" i="44"/>
  <c r="P267" i="44"/>
  <c r="N267" i="44"/>
  <c r="AU266" i="44"/>
  <c r="AM266" i="44"/>
  <c r="AL266" i="44"/>
  <c r="AK266" i="44"/>
  <c r="AJ266" i="44"/>
  <c r="AI266" i="44"/>
  <c r="W266" i="44"/>
  <c r="BB266" i="44" s="1"/>
  <c r="S266" i="44"/>
  <c r="P266" i="44"/>
  <c r="N266" i="44"/>
  <c r="AU265" i="44"/>
  <c r="AM265" i="44"/>
  <c r="AL265" i="44"/>
  <c r="AK265" i="44"/>
  <c r="AJ265" i="44"/>
  <c r="AI265" i="44"/>
  <c r="W265" i="44"/>
  <c r="BB265" i="44" s="1"/>
  <c r="S265" i="44"/>
  <c r="P265" i="44"/>
  <c r="N265" i="44"/>
  <c r="AU245" i="44"/>
  <c r="AM245" i="44"/>
  <c r="AL245" i="44"/>
  <c r="AK245" i="44"/>
  <c r="AJ245" i="44"/>
  <c r="AI245" i="44"/>
  <c r="W245" i="44"/>
  <c r="BB245" i="44" s="1"/>
  <c r="S245" i="44"/>
  <c r="P245" i="44"/>
  <c r="N245" i="44"/>
  <c r="AU244" i="44"/>
  <c r="AM244" i="44"/>
  <c r="AL244" i="44"/>
  <c r="AK244" i="44"/>
  <c r="AJ244" i="44"/>
  <c r="AI244" i="44"/>
  <c r="W244" i="44"/>
  <c r="BB244" i="44" s="1"/>
  <c r="S244" i="44"/>
  <c r="P244" i="44"/>
  <c r="N244" i="44"/>
  <c r="AU243" i="44"/>
  <c r="AM243" i="44"/>
  <c r="AL243" i="44"/>
  <c r="AK243" i="44"/>
  <c r="AJ243" i="44"/>
  <c r="AI243" i="44"/>
  <c r="W243" i="44"/>
  <c r="AB243" i="44" s="1"/>
  <c r="S243" i="44"/>
  <c r="P243" i="44"/>
  <c r="N243" i="44"/>
  <c r="AM242" i="44"/>
  <c r="AL242" i="44"/>
  <c r="AK242" i="44"/>
  <c r="AJ242" i="44"/>
  <c r="AI242" i="44"/>
  <c r="W242" i="44"/>
  <c r="AA242" i="44" s="1"/>
  <c r="S242" i="44"/>
  <c r="P242" i="44"/>
  <c r="N242" i="44"/>
  <c r="AU241" i="44"/>
  <c r="AM241" i="44"/>
  <c r="AL241" i="44"/>
  <c r="AK241" i="44"/>
  <c r="AJ241" i="44"/>
  <c r="AI241" i="44"/>
  <c r="W241" i="44"/>
  <c r="Z241" i="44" s="1"/>
  <c r="S241" i="44"/>
  <c r="P241" i="44"/>
  <c r="N241" i="44"/>
  <c r="AU240" i="44"/>
  <c r="AM240" i="44"/>
  <c r="AL240" i="44"/>
  <c r="AK240" i="44"/>
  <c r="AJ240" i="44"/>
  <c r="AI240" i="44"/>
  <c r="W240" i="44"/>
  <c r="X240" i="44" s="1"/>
  <c r="S240" i="44"/>
  <c r="P240" i="44"/>
  <c r="N240" i="44"/>
  <c r="AU239" i="44"/>
  <c r="AM239" i="44"/>
  <c r="AL239" i="44"/>
  <c r="AK239" i="44"/>
  <c r="AJ239" i="44"/>
  <c r="AI239" i="44"/>
  <c r="W239" i="44"/>
  <c r="X239" i="44" s="1"/>
  <c r="S239" i="44"/>
  <c r="P239" i="44"/>
  <c r="N239" i="44"/>
  <c r="AM238" i="44"/>
  <c r="AL238" i="44"/>
  <c r="AK238" i="44"/>
  <c r="AJ238" i="44"/>
  <c r="AI238" i="44"/>
  <c r="W238" i="44"/>
  <c r="BB238" i="44" s="1"/>
  <c r="S238" i="44"/>
  <c r="P238" i="44"/>
  <c r="N238" i="44"/>
  <c r="AU185" i="44"/>
  <c r="AM185" i="44"/>
  <c r="AL185" i="44"/>
  <c r="AK185" i="44"/>
  <c r="AJ185" i="44"/>
  <c r="AI185" i="44"/>
  <c r="W185" i="44"/>
  <c r="BB185" i="44" s="1"/>
  <c r="S185" i="44"/>
  <c r="P185" i="44"/>
  <c r="N185" i="44"/>
  <c r="AU184" i="44"/>
  <c r="AM184" i="44"/>
  <c r="AL184" i="44"/>
  <c r="AK184" i="44"/>
  <c r="AJ184" i="44"/>
  <c r="AI184" i="44"/>
  <c r="W184" i="44"/>
  <c r="BB184" i="44" s="1"/>
  <c r="S184" i="44"/>
  <c r="P184" i="44"/>
  <c r="N184" i="44"/>
  <c r="AU182" i="44"/>
  <c r="AM182" i="44"/>
  <c r="AL182" i="44"/>
  <c r="AK182" i="44"/>
  <c r="AJ182" i="44"/>
  <c r="AI182" i="44"/>
  <c r="W182" i="44"/>
  <c r="BB182" i="44" s="1"/>
  <c r="S182" i="44"/>
  <c r="P182" i="44"/>
  <c r="N182" i="44"/>
  <c r="AU180" i="44"/>
  <c r="AM180" i="44"/>
  <c r="AL180" i="44"/>
  <c r="AK180" i="44"/>
  <c r="AJ180" i="44"/>
  <c r="AI180" i="44"/>
  <c r="W180" i="44"/>
  <c r="BB180" i="44" s="1"/>
  <c r="S180" i="44"/>
  <c r="P180" i="44"/>
  <c r="N180" i="44"/>
  <c r="AU179" i="44"/>
  <c r="AM179" i="44"/>
  <c r="AL179" i="44"/>
  <c r="AK179" i="44"/>
  <c r="AJ179" i="44"/>
  <c r="AI179" i="44"/>
  <c r="W179" i="44"/>
  <c r="BB179" i="44" s="1"/>
  <c r="S179" i="44"/>
  <c r="P179" i="44"/>
  <c r="N179" i="44"/>
  <c r="AU178" i="44"/>
  <c r="AM178" i="44"/>
  <c r="AL178" i="44"/>
  <c r="AK178" i="44"/>
  <c r="AJ178" i="44"/>
  <c r="AI178" i="44"/>
  <c r="W178" i="44"/>
  <c r="AB178" i="44" s="1"/>
  <c r="S178" i="44"/>
  <c r="P178" i="44"/>
  <c r="N178" i="44"/>
  <c r="AU177" i="44"/>
  <c r="AM177" i="44"/>
  <c r="AL177" i="44"/>
  <c r="AK177" i="44"/>
  <c r="AJ177" i="44"/>
  <c r="AI177" i="44"/>
  <c r="W177" i="44"/>
  <c r="AA177" i="44" s="1"/>
  <c r="S177" i="44"/>
  <c r="P177" i="44"/>
  <c r="N177" i="44"/>
  <c r="AU176" i="44"/>
  <c r="AM176" i="44"/>
  <c r="AL176" i="44"/>
  <c r="AK176" i="44"/>
  <c r="AJ176" i="44"/>
  <c r="AI176" i="44"/>
  <c r="W176" i="44"/>
  <c r="Z176" i="44" s="1"/>
  <c r="S176" i="44"/>
  <c r="P176" i="44"/>
  <c r="N176" i="44"/>
  <c r="AM173" i="44"/>
  <c r="AL173" i="44"/>
  <c r="AK173" i="44"/>
  <c r="AJ173" i="44"/>
  <c r="AI173" i="44"/>
  <c r="W173" i="44"/>
  <c r="AA173" i="44" s="1"/>
  <c r="S173" i="44"/>
  <c r="P173" i="44"/>
  <c r="N173" i="44"/>
  <c r="AM171" i="44"/>
  <c r="AL171" i="44"/>
  <c r="AK171" i="44"/>
  <c r="AJ171" i="44"/>
  <c r="AI171" i="44"/>
  <c r="W171" i="44"/>
  <c r="BB171" i="44" s="1"/>
  <c r="S171" i="44"/>
  <c r="P171" i="44"/>
  <c r="N171" i="44"/>
  <c r="AM157" i="44"/>
  <c r="AL157" i="44"/>
  <c r="AK157" i="44"/>
  <c r="AJ157" i="44"/>
  <c r="AI157" i="44"/>
  <c r="W157" i="44"/>
  <c r="BB157" i="44" s="1"/>
  <c r="S157" i="44"/>
  <c r="P157" i="44"/>
  <c r="N157" i="44"/>
  <c r="AM156" i="44"/>
  <c r="AL156" i="44"/>
  <c r="AK156" i="44"/>
  <c r="AJ156" i="44"/>
  <c r="AI156" i="44"/>
  <c r="W156" i="44"/>
  <c r="BB156" i="44" s="1"/>
  <c r="S156" i="44"/>
  <c r="P156" i="44"/>
  <c r="N156" i="44"/>
  <c r="AM154" i="44"/>
  <c r="AL154" i="44"/>
  <c r="AK154" i="44"/>
  <c r="AJ154" i="44"/>
  <c r="AI154" i="44"/>
  <c r="W154" i="44"/>
  <c r="AB154" i="44" s="1"/>
  <c r="S154" i="44"/>
  <c r="P154" i="44"/>
  <c r="N154" i="44"/>
  <c r="AM152" i="44"/>
  <c r="AL152" i="44"/>
  <c r="AK152" i="44"/>
  <c r="AJ152" i="44"/>
  <c r="AI152" i="44"/>
  <c r="W152" i="44"/>
  <c r="AA152" i="44" s="1"/>
  <c r="S152" i="44"/>
  <c r="P152" i="44"/>
  <c r="N152" i="44"/>
  <c r="AU139" i="44"/>
  <c r="AM139" i="44"/>
  <c r="AL139" i="44"/>
  <c r="AK139" i="44"/>
  <c r="AJ139" i="44"/>
  <c r="AI139" i="44"/>
  <c r="W139" i="44"/>
  <c r="BB139" i="44" s="1"/>
  <c r="S139" i="44"/>
  <c r="P139" i="44"/>
  <c r="N139" i="44"/>
  <c r="AU138" i="44"/>
  <c r="AM138" i="44"/>
  <c r="AL138" i="44"/>
  <c r="AK138" i="44"/>
  <c r="AJ138" i="44"/>
  <c r="AI138" i="44"/>
  <c r="W138" i="44"/>
  <c r="BB138" i="44" s="1"/>
  <c r="S138" i="44"/>
  <c r="P138" i="44"/>
  <c r="N138" i="44"/>
  <c r="AU137" i="44"/>
  <c r="AM137" i="44"/>
  <c r="AL137" i="44"/>
  <c r="AK137" i="44"/>
  <c r="AJ137" i="44"/>
  <c r="AI137" i="44"/>
  <c r="W137" i="44"/>
  <c r="AB137" i="44" s="1"/>
  <c r="S137" i="44"/>
  <c r="P137" i="44"/>
  <c r="N137" i="44"/>
  <c r="AU136" i="44"/>
  <c r="AM136" i="44"/>
  <c r="AL136" i="44"/>
  <c r="AK136" i="44"/>
  <c r="AJ136" i="44"/>
  <c r="AI136" i="44"/>
  <c r="W136" i="44"/>
  <c r="AA136" i="44" s="1"/>
  <c r="S136" i="44"/>
  <c r="P136" i="44"/>
  <c r="N136" i="44"/>
  <c r="AU135" i="44"/>
  <c r="AM135" i="44"/>
  <c r="AL135" i="44"/>
  <c r="AK135" i="44"/>
  <c r="AJ135" i="44"/>
  <c r="AI135" i="44"/>
  <c r="W135" i="44"/>
  <c r="Z135" i="44" s="1"/>
  <c r="S135" i="44"/>
  <c r="P135" i="44"/>
  <c r="N135" i="44"/>
  <c r="AU134" i="44"/>
  <c r="AM134" i="44"/>
  <c r="AL134" i="44"/>
  <c r="AK134" i="44"/>
  <c r="AJ134" i="44"/>
  <c r="AI134" i="44"/>
  <c r="W134" i="44"/>
  <c r="X134" i="44" s="1"/>
  <c r="S134" i="44"/>
  <c r="P134" i="44"/>
  <c r="N134" i="44"/>
  <c r="AU133" i="44"/>
  <c r="AM133" i="44"/>
  <c r="AL133" i="44"/>
  <c r="AK133" i="44"/>
  <c r="AJ133" i="44"/>
  <c r="AI133" i="44"/>
  <c r="S133" i="44"/>
  <c r="P133" i="44"/>
  <c r="N133" i="44"/>
  <c r="AU132" i="44"/>
  <c r="AM132" i="44"/>
  <c r="AL132" i="44"/>
  <c r="AK132" i="44"/>
  <c r="AJ132" i="44"/>
  <c r="AI132" i="44"/>
  <c r="W132" i="44"/>
  <c r="X132" i="44" s="1"/>
  <c r="S132" i="44"/>
  <c r="P132" i="44"/>
  <c r="N132" i="44"/>
  <c r="AU131" i="44"/>
  <c r="AM131" i="44"/>
  <c r="AL131" i="44"/>
  <c r="AK131" i="44"/>
  <c r="AJ131" i="44"/>
  <c r="AI131" i="44"/>
  <c r="W131" i="44"/>
  <c r="AB131" i="44" s="1"/>
  <c r="S131" i="44"/>
  <c r="P131" i="44"/>
  <c r="N131" i="44"/>
  <c r="AU130" i="44"/>
  <c r="AM130" i="44"/>
  <c r="AL130" i="44"/>
  <c r="AK130" i="44"/>
  <c r="AJ130" i="44"/>
  <c r="AI130" i="44"/>
  <c r="W130" i="44"/>
  <c r="AA130" i="44" s="1"/>
  <c r="S130" i="44"/>
  <c r="P130" i="44"/>
  <c r="N130" i="44"/>
  <c r="AU129" i="44"/>
  <c r="AM129" i="44"/>
  <c r="AL129" i="44"/>
  <c r="AK129" i="44"/>
  <c r="AJ129" i="44"/>
  <c r="AI129" i="44"/>
  <c r="W129" i="44"/>
  <c r="BB129" i="44" s="1"/>
  <c r="S129" i="44"/>
  <c r="P129" i="44"/>
  <c r="N129" i="44"/>
  <c r="AU128" i="44"/>
  <c r="AM128" i="44"/>
  <c r="AL128" i="44"/>
  <c r="AK128" i="44"/>
  <c r="AJ128" i="44"/>
  <c r="AI128" i="44"/>
  <c r="W128" i="44"/>
  <c r="X128" i="44" s="1"/>
  <c r="S128" i="44"/>
  <c r="P128" i="44"/>
  <c r="N128" i="44"/>
  <c r="AU127" i="44"/>
  <c r="AM127" i="44"/>
  <c r="AL127" i="44"/>
  <c r="AK127" i="44"/>
  <c r="AJ127" i="44"/>
  <c r="AI127" i="44"/>
  <c r="W127" i="44"/>
  <c r="BB127" i="44" s="1"/>
  <c r="S127" i="44"/>
  <c r="P127" i="44"/>
  <c r="N127" i="44"/>
  <c r="AU125" i="44"/>
  <c r="AM125" i="44"/>
  <c r="AL125" i="44"/>
  <c r="AK125" i="44"/>
  <c r="AJ125" i="44"/>
  <c r="AI125" i="44"/>
  <c r="W125" i="44"/>
  <c r="BB125" i="44" s="1"/>
  <c r="S125" i="44"/>
  <c r="P125" i="44"/>
  <c r="N125" i="44"/>
  <c r="AU124" i="44"/>
  <c r="AM124" i="44"/>
  <c r="AL124" i="44"/>
  <c r="AK124" i="44"/>
  <c r="AJ124" i="44"/>
  <c r="AI124" i="44"/>
  <c r="W124" i="44"/>
  <c r="BB124" i="44" s="1"/>
  <c r="S124" i="44"/>
  <c r="P124" i="44"/>
  <c r="N124" i="44"/>
  <c r="AU123" i="44"/>
  <c r="AM123" i="44"/>
  <c r="AL123" i="44"/>
  <c r="AK123" i="44"/>
  <c r="AJ123" i="44"/>
  <c r="AI123" i="44"/>
  <c r="W123" i="44"/>
  <c r="AB123" i="44" s="1"/>
  <c r="S123" i="44"/>
  <c r="P123" i="44"/>
  <c r="N123" i="44"/>
  <c r="AU122" i="44"/>
  <c r="AM122" i="44"/>
  <c r="AL122" i="44"/>
  <c r="AK122" i="44"/>
  <c r="AJ122" i="44"/>
  <c r="AI122" i="44"/>
  <c r="W122" i="44"/>
  <c r="AA122" i="44" s="1"/>
  <c r="S122" i="44"/>
  <c r="P122" i="44"/>
  <c r="N122" i="44"/>
  <c r="AU121" i="44"/>
  <c r="AM121" i="44"/>
  <c r="AL121" i="44"/>
  <c r="AK121" i="44"/>
  <c r="AJ121" i="44"/>
  <c r="AI121" i="44"/>
  <c r="W121" i="44"/>
  <c r="Z121" i="44" s="1"/>
  <c r="S121" i="44"/>
  <c r="P121" i="44"/>
  <c r="N121" i="44"/>
  <c r="AU120" i="44"/>
  <c r="AM120" i="44"/>
  <c r="AL120" i="44"/>
  <c r="AK120" i="44"/>
  <c r="AJ120" i="44"/>
  <c r="AI120" i="44"/>
  <c r="W120" i="44"/>
  <c r="X120" i="44" s="1"/>
  <c r="S120" i="44"/>
  <c r="P120" i="44"/>
  <c r="N120" i="44"/>
  <c r="AU119" i="44"/>
  <c r="AM119" i="44"/>
  <c r="AL119" i="44"/>
  <c r="AK119" i="44"/>
  <c r="AJ119" i="44"/>
  <c r="AI119" i="44"/>
  <c r="W119" i="44"/>
  <c r="BB119" i="44" s="1"/>
  <c r="S119" i="44"/>
  <c r="P119" i="44"/>
  <c r="N119" i="44"/>
  <c r="AU118" i="44"/>
  <c r="AM118" i="44"/>
  <c r="AL118" i="44"/>
  <c r="AK118" i="44"/>
  <c r="AJ118" i="44"/>
  <c r="AI118" i="44"/>
  <c r="W118" i="44"/>
  <c r="BB118" i="44" s="1"/>
  <c r="S118" i="44"/>
  <c r="P118" i="44"/>
  <c r="N118" i="44"/>
  <c r="AU117" i="44"/>
  <c r="AM117" i="44"/>
  <c r="AL117" i="44"/>
  <c r="AK117" i="44"/>
  <c r="AJ117" i="44"/>
  <c r="AI117" i="44"/>
  <c r="W117" i="44"/>
  <c r="BB117" i="44" s="1"/>
  <c r="S117" i="44"/>
  <c r="P117" i="44"/>
  <c r="N117" i="44"/>
  <c r="AU116" i="44"/>
  <c r="AM116" i="44"/>
  <c r="AL116" i="44"/>
  <c r="AK116" i="44"/>
  <c r="AJ116" i="44"/>
  <c r="AI116" i="44"/>
  <c r="W116" i="44"/>
  <c r="BB116" i="44" s="1"/>
  <c r="S116" i="44"/>
  <c r="P116" i="44"/>
  <c r="N116" i="44"/>
  <c r="AU115" i="44"/>
  <c r="AM115" i="44"/>
  <c r="AL115" i="44"/>
  <c r="AK115" i="44"/>
  <c r="AJ115" i="44"/>
  <c r="AI115" i="44"/>
  <c r="W115" i="44"/>
  <c r="AA115" i="44" s="1"/>
  <c r="S115" i="44"/>
  <c r="P115" i="44"/>
  <c r="N115" i="44"/>
  <c r="AU114" i="44"/>
  <c r="AM114" i="44"/>
  <c r="AL114" i="44"/>
  <c r="AK114" i="44"/>
  <c r="AJ114" i="44"/>
  <c r="AI114" i="44"/>
  <c r="W114" i="44"/>
  <c r="Z114" i="44" s="1"/>
  <c r="S114" i="44"/>
  <c r="P114" i="44"/>
  <c r="N114" i="44"/>
  <c r="AU106" i="44"/>
  <c r="AM106" i="44"/>
  <c r="AL106" i="44"/>
  <c r="AK106" i="44"/>
  <c r="AJ106" i="44"/>
  <c r="AI106" i="44"/>
  <c r="W106" i="44"/>
  <c r="AB106" i="44" s="1"/>
  <c r="AU105" i="44"/>
  <c r="AM105" i="44"/>
  <c r="AL105" i="44"/>
  <c r="AK105" i="44"/>
  <c r="AJ105" i="44"/>
  <c r="AI105" i="44"/>
  <c r="W105" i="44"/>
  <c r="BB105" i="44" s="1"/>
  <c r="AU104" i="44"/>
  <c r="AM104" i="44"/>
  <c r="AL104" i="44"/>
  <c r="AK104" i="44"/>
  <c r="AJ104" i="44"/>
  <c r="AI104" i="44"/>
  <c r="W104" i="44"/>
  <c r="AB104" i="44" s="1"/>
  <c r="AU103" i="44"/>
  <c r="AM103" i="44"/>
  <c r="AL103" i="44"/>
  <c r="AK103" i="44"/>
  <c r="AJ103" i="44"/>
  <c r="AI103" i="44"/>
  <c r="W103" i="44"/>
  <c r="AA103" i="44" s="1"/>
  <c r="AU102" i="44"/>
  <c r="AM102" i="44"/>
  <c r="AL102" i="44"/>
  <c r="AK102" i="44"/>
  <c r="AJ102" i="44"/>
  <c r="AI102" i="44"/>
  <c r="W102" i="44"/>
  <c r="Z102" i="44" s="1"/>
  <c r="AU101" i="44"/>
  <c r="AM101" i="44"/>
  <c r="AL101" i="44"/>
  <c r="AK101" i="44"/>
  <c r="AJ101" i="44"/>
  <c r="AI101" i="44"/>
  <c r="W101" i="44"/>
  <c r="X101" i="44" s="1"/>
  <c r="AU100" i="44"/>
  <c r="AM100" i="44"/>
  <c r="AL100" i="44"/>
  <c r="AK100" i="44"/>
  <c r="AJ100" i="44"/>
  <c r="AI100" i="44"/>
  <c r="W100" i="44"/>
  <c r="BB100" i="44" s="1"/>
  <c r="S100" i="44"/>
  <c r="P100" i="44"/>
  <c r="N100" i="44"/>
  <c r="AU99" i="44"/>
  <c r="AM99" i="44"/>
  <c r="AL99" i="44"/>
  <c r="AK99" i="44"/>
  <c r="AJ99" i="44"/>
  <c r="AI99" i="44"/>
  <c r="W99" i="44"/>
  <c r="BB99" i="44" s="1"/>
  <c r="S99" i="44"/>
  <c r="P99" i="44"/>
  <c r="N99" i="44"/>
  <c r="AM98" i="44"/>
  <c r="AL98" i="44"/>
  <c r="AK98" i="44"/>
  <c r="AJ98" i="44"/>
  <c r="AI98" i="44"/>
  <c r="W98" i="44"/>
  <c r="BB98" i="44" s="1"/>
  <c r="S98" i="44"/>
  <c r="P98" i="44"/>
  <c r="N98" i="44"/>
  <c r="AM97" i="44"/>
  <c r="AL97" i="44"/>
  <c r="AK97" i="44"/>
  <c r="AJ97" i="44"/>
  <c r="AI97" i="44"/>
  <c r="W97" i="44"/>
  <c r="X97" i="44" s="1"/>
  <c r="S97" i="44"/>
  <c r="P97" i="44"/>
  <c r="N97" i="44"/>
  <c r="AM96" i="44"/>
  <c r="AL96" i="44"/>
  <c r="AK96" i="44"/>
  <c r="AJ96" i="44"/>
  <c r="AI96" i="44"/>
  <c r="W96" i="44"/>
  <c r="AA96" i="44" s="1"/>
  <c r="S96" i="44"/>
  <c r="P96" i="44"/>
  <c r="N96" i="44"/>
  <c r="AU92" i="44"/>
  <c r="AM92" i="44"/>
  <c r="AL92" i="44"/>
  <c r="AK92" i="44"/>
  <c r="AJ92" i="44"/>
  <c r="AI92" i="44"/>
  <c r="W92" i="44"/>
  <c r="BB92" i="44" s="1"/>
  <c r="S92" i="44"/>
  <c r="P92" i="44"/>
  <c r="N92" i="44"/>
  <c r="AU91" i="44"/>
  <c r="AM91" i="44"/>
  <c r="AL91" i="44"/>
  <c r="AK91" i="44"/>
  <c r="AJ91" i="44"/>
  <c r="AI91" i="44"/>
  <c r="W91" i="44"/>
  <c r="AA91" i="44" s="1"/>
  <c r="S91" i="44"/>
  <c r="P91" i="44"/>
  <c r="N91" i="44"/>
  <c r="AU90" i="44"/>
  <c r="AM90" i="44"/>
  <c r="AL90" i="44"/>
  <c r="AK90" i="44"/>
  <c r="AJ90" i="44"/>
  <c r="AI90" i="44"/>
  <c r="W90" i="44"/>
  <c r="X90" i="44" s="1"/>
  <c r="S90" i="44"/>
  <c r="P90" i="44"/>
  <c r="N90" i="44"/>
  <c r="AM89" i="44"/>
  <c r="AL89" i="44"/>
  <c r="AK89" i="44"/>
  <c r="AJ89" i="44"/>
  <c r="AI89" i="44"/>
  <c r="W89" i="44"/>
  <c r="BB89" i="44" s="1"/>
  <c r="S89" i="44"/>
  <c r="P89" i="44"/>
  <c r="N89" i="44"/>
  <c r="AU88" i="44"/>
  <c r="AM88" i="44"/>
  <c r="AL88" i="44"/>
  <c r="AK88" i="44"/>
  <c r="AJ88" i="44"/>
  <c r="AI88" i="44"/>
  <c r="W88" i="44"/>
  <c r="BB88" i="44" s="1"/>
  <c r="S88" i="44"/>
  <c r="P88" i="44"/>
  <c r="N88" i="44"/>
  <c r="AU87" i="44"/>
  <c r="AM87" i="44"/>
  <c r="AL87" i="44"/>
  <c r="AK87" i="44"/>
  <c r="AJ87" i="44"/>
  <c r="AI87" i="44"/>
  <c r="W87" i="44"/>
  <c r="BB87" i="44" s="1"/>
  <c r="S87" i="44"/>
  <c r="P87" i="44"/>
  <c r="N87" i="44"/>
  <c r="AU86" i="44"/>
  <c r="AM86" i="44"/>
  <c r="AL86" i="44"/>
  <c r="AK86" i="44"/>
  <c r="AJ86" i="44"/>
  <c r="AI86" i="44"/>
  <c r="W86" i="44"/>
  <c r="BB86" i="44" s="1"/>
  <c r="S86" i="44"/>
  <c r="P86" i="44"/>
  <c r="N86" i="44"/>
  <c r="AU84" i="44"/>
  <c r="AM84" i="44"/>
  <c r="AL84" i="44"/>
  <c r="AK84" i="44"/>
  <c r="AJ84" i="44"/>
  <c r="AI84" i="44"/>
  <c r="W84" i="44"/>
  <c r="BB84" i="44" s="1"/>
  <c r="S84" i="44"/>
  <c r="P84" i="44"/>
  <c r="N84" i="44"/>
  <c r="AU83" i="44"/>
  <c r="AM83" i="44"/>
  <c r="AL83" i="44"/>
  <c r="AK83" i="44"/>
  <c r="AJ83" i="44"/>
  <c r="AI83" i="44"/>
  <c r="W83" i="44"/>
  <c r="X83" i="44" s="1"/>
  <c r="S83" i="44"/>
  <c r="P83" i="44"/>
  <c r="N83" i="44"/>
  <c r="AU81" i="44"/>
  <c r="AM81" i="44"/>
  <c r="AL81" i="44"/>
  <c r="AK81" i="44"/>
  <c r="AJ81" i="44"/>
  <c r="AI81" i="44"/>
  <c r="W81" i="44"/>
  <c r="BB81" i="44" s="1"/>
  <c r="S81" i="44"/>
  <c r="P81" i="44"/>
  <c r="N81" i="44"/>
  <c r="AU80" i="44"/>
  <c r="AM80" i="44"/>
  <c r="AL80" i="44"/>
  <c r="AK80" i="44"/>
  <c r="AJ80" i="44"/>
  <c r="AI80" i="44"/>
  <c r="W80" i="44"/>
  <c r="AA80" i="44" s="1"/>
  <c r="S80" i="44"/>
  <c r="P80" i="44"/>
  <c r="N80" i="44"/>
  <c r="AM79" i="44"/>
  <c r="AL79" i="44"/>
  <c r="AK79" i="44"/>
  <c r="AJ79" i="44"/>
  <c r="AI79" i="44"/>
  <c r="W79" i="44"/>
  <c r="BB79" i="44" s="1"/>
  <c r="S79" i="44"/>
  <c r="P79" i="44"/>
  <c r="N79" i="44"/>
  <c r="AM78" i="44"/>
  <c r="AL78" i="44"/>
  <c r="AK78" i="44"/>
  <c r="AJ78" i="44"/>
  <c r="AI78" i="44"/>
  <c r="W78" i="44"/>
  <c r="BB78" i="44" s="1"/>
  <c r="S78" i="44"/>
  <c r="P78" i="44"/>
  <c r="N78" i="44"/>
  <c r="AM77" i="44"/>
  <c r="AL77" i="44"/>
  <c r="AK77" i="44"/>
  <c r="AJ77" i="44"/>
  <c r="AI77" i="44"/>
  <c r="W77" i="44"/>
  <c r="AB77" i="44" s="1"/>
  <c r="S77" i="44"/>
  <c r="P77" i="44"/>
  <c r="N77" i="44"/>
  <c r="AM76" i="44"/>
  <c r="AL76" i="44"/>
  <c r="AK76" i="44"/>
  <c r="AJ76" i="44"/>
  <c r="AI76" i="44"/>
  <c r="W76" i="44"/>
  <c r="AB76" i="44" s="1"/>
  <c r="S76" i="44"/>
  <c r="P76" i="44"/>
  <c r="N76" i="44"/>
  <c r="AU75" i="44"/>
  <c r="AM75" i="44"/>
  <c r="AL75" i="44"/>
  <c r="AK75" i="44"/>
  <c r="AJ75" i="44"/>
  <c r="AI75" i="44"/>
  <c r="W75" i="44"/>
  <c r="BB75" i="44" s="1"/>
  <c r="S75" i="44"/>
  <c r="P75" i="44"/>
  <c r="N75" i="44"/>
  <c r="AU74" i="44"/>
  <c r="AM74" i="44"/>
  <c r="AL74" i="44"/>
  <c r="AK74" i="44"/>
  <c r="AJ74" i="44"/>
  <c r="AI74" i="44"/>
  <c r="W74" i="44"/>
  <c r="AA74" i="44" s="1"/>
  <c r="S74" i="44"/>
  <c r="P74" i="44"/>
  <c r="N74" i="44"/>
  <c r="AU73" i="44"/>
  <c r="AM73" i="44"/>
  <c r="AL73" i="44"/>
  <c r="AK73" i="44"/>
  <c r="AJ73" i="44"/>
  <c r="AI73" i="44"/>
  <c r="W73" i="44"/>
  <c r="BB73" i="44" s="1"/>
  <c r="S73" i="44"/>
  <c r="P73" i="44"/>
  <c r="N73" i="44"/>
  <c r="AU72" i="44"/>
  <c r="AM72" i="44"/>
  <c r="AL72" i="44"/>
  <c r="AK72" i="44"/>
  <c r="AJ72" i="44"/>
  <c r="AI72" i="44"/>
  <c r="W72" i="44"/>
  <c r="AA72" i="44" s="1"/>
  <c r="S72" i="44"/>
  <c r="P72" i="44"/>
  <c r="N72" i="44"/>
  <c r="AM71" i="44"/>
  <c r="AL71" i="44"/>
  <c r="AK71" i="44"/>
  <c r="AJ71" i="44"/>
  <c r="AI71" i="44"/>
  <c r="W71" i="44"/>
  <c r="X71" i="44" s="1"/>
  <c r="S71" i="44"/>
  <c r="P71" i="44"/>
  <c r="N71" i="44"/>
  <c r="AU70" i="44"/>
  <c r="AM70" i="44"/>
  <c r="AL70" i="44"/>
  <c r="AK70" i="44"/>
  <c r="AJ70" i="44"/>
  <c r="AI70" i="44"/>
  <c r="W70" i="44"/>
  <c r="X70" i="44" s="1"/>
  <c r="S70" i="44"/>
  <c r="P70" i="44"/>
  <c r="N70" i="44"/>
  <c r="AM69" i="44"/>
  <c r="AL69" i="44"/>
  <c r="AK69" i="44"/>
  <c r="AJ69" i="44"/>
  <c r="AI69" i="44"/>
  <c r="W69" i="44"/>
  <c r="AA69" i="44" s="1"/>
  <c r="S69" i="44"/>
  <c r="P69" i="44"/>
  <c r="N69" i="44"/>
  <c r="AU68" i="44"/>
  <c r="AM68" i="44"/>
  <c r="AL68" i="44"/>
  <c r="AK68" i="44"/>
  <c r="AJ68" i="44"/>
  <c r="AI68" i="44"/>
  <c r="W68" i="44"/>
  <c r="AA68" i="44" s="1"/>
  <c r="S68" i="44"/>
  <c r="P68" i="44"/>
  <c r="N68" i="44"/>
  <c r="AU67" i="44"/>
  <c r="AM67" i="44"/>
  <c r="AL67" i="44"/>
  <c r="AK67" i="44"/>
  <c r="AJ67" i="44"/>
  <c r="AI67" i="44"/>
  <c r="W67" i="44"/>
  <c r="AA67" i="44" s="1"/>
  <c r="S67" i="44"/>
  <c r="P67" i="44"/>
  <c r="N67" i="44"/>
  <c r="AM55" i="44"/>
  <c r="AL55" i="44"/>
  <c r="AK55" i="44"/>
  <c r="AJ55" i="44"/>
  <c r="AI55" i="44"/>
  <c r="W55" i="44"/>
  <c r="AA55" i="44" s="1"/>
  <c r="S55" i="44"/>
  <c r="P55" i="44"/>
  <c r="N55" i="44"/>
  <c r="AM54" i="44"/>
  <c r="AL54" i="44"/>
  <c r="AK54" i="44"/>
  <c r="AJ54" i="44"/>
  <c r="AI54" i="44"/>
  <c r="W54" i="44"/>
  <c r="AA54" i="44" s="1"/>
  <c r="S54" i="44"/>
  <c r="P54" i="44"/>
  <c r="N54" i="44"/>
  <c r="AU53" i="44"/>
  <c r="AM53" i="44"/>
  <c r="AL53" i="44"/>
  <c r="AK53" i="44"/>
  <c r="AJ53" i="44"/>
  <c r="AI53" i="44"/>
  <c r="S53" i="44"/>
  <c r="P53" i="44"/>
  <c r="N53" i="44"/>
  <c r="AM52" i="44"/>
  <c r="AL52" i="44"/>
  <c r="AK52" i="44"/>
  <c r="AJ52" i="44"/>
  <c r="AI52" i="44"/>
  <c r="W52" i="44"/>
  <c r="BB52" i="44" s="1"/>
  <c r="S52" i="44"/>
  <c r="P52" i="44"/>
  <c r="N52" i="44"/>
  <c r="AM51" i="44"/>
  <c r="AL51" i="44"/>
  <c r="AK51" i="44"/>
  <c r="AJ51" i="44"/>
  <c r="AI51" i="44"/>
  <c r="W51" i="44"/>
  <c r="BB51" i="44" s="1"/>
  <c r="S51" i="44"/>
  <c r="P51" i="44"/>
  <c r="N51" i="44"/>
  <c r="AU50" i="44"/>
  <c r="AM50" i="44"/>
  <c r="AL50" i="44"/>
  <c r="AK50" i="44"/>
  <c r="AJ50" i="44"/>
  <c r="AI50" i="44"/>
  <c r="W50" i="44"/>
  <c r="X50" i="44" s="1"/>
  <c r="S50" i="44"/>
  <c r="P50" i="44"/>
  <c r="N50" i="44"/>
  <c r="AM48" i="44"/>
  <c r="AL48" i="44"/>
  <c r="AK48" i="44"/>
  <c r="AJ48" i="44"/>
  <c r="AI48" i="44"/>
  <c r="W48" i="44"/>
  <c r="AA48" i="44" s="1"/>
  <c r="S48" i="44"/>
  <c r="P48" i="44"/>
  <c r="N48" i="44"/>
  <c r="AM46" i="44"/>
  <c r="AL46" i="44"/>
  <c r="AK46" i="44"/>
  <c r="AJ46" i="44"/>
  <c r="AI46" i="44"/>
  <c r="W46" i="44"/>
  <c r="AA46" i="44" s="1"/>
  <c r="S46" i="44"/>
  <c r="P46" i="44"/>
  <c r="N46" i="44"/>
  <c r="P36" i="44"/>
  <c r="P35" i="44"/>
  <c r="P34" i="44"/>
  <c r="AU36" i="44"/>
  <c r="AM36" i="44"/>
  <c r="AL36" i="44"/>
  <c r="AK36" i="44"/>
  <c r="AJ36" i="44"/>
  <c r="AI36" i="44"/>
  <c r="W36" i="44"/>
  <c r="BB36" i="44" s="1"/>
  <c r="S36" i="44"/>
  <c r="N36" i="44"/>
  <c r="AM35" i="44"/>
  <c r="AL35" i="44"/>
  <c r="AK35" i="44"/>
  <c r="AJ35" i="44"/>
  <c r="AI35" i="44"/>
  <c r="W35" i="44"/>
  <c r="BB35" i="44" s="1"/>
  <c r="S35" i="44"/>
  <c r="N35" i="44"/>
  <c r="AM34" i="44"/>
  <c r="AL34" i="44"/>
  <c r="AK34" i="44"/>
  <c r="AJ34" i="44"/>
  <c r="AI34" i="44"/>
  <c r="W34" i="44"/>
  <c r="AB34" i="44" s="1"/>
  <c r="S34" i="44"/>
  <c r="N34" i="44"/>
  <c r="AU339" i="44"/>
  <c r="AM339" i="44"/>
  <c r="AL339" i="44"/>
  <c r="AK339" i="44"/>
  <c r="AJ339" i="44"/>
  <c r="W339" i="44"/>
  <c r="BB339" i="44" s="1"/>
  <c r="S339" i="44"/>
  <c r="P339" i="44"/>
  <c r="N339" i="44"/>
  <c r="AU338" i="44"/>
  <c r="AM338" i="44"/>
  <c r="AL338" i="44"/>
  <c r="AK338" i="44"/>
  <c r="AJ338" i="44"/>
  <c r="W338" i="44"/>
  <c r="AA338" i="44" s="1"/>
  <c r="S338" i="44"/>
  <c r="P338" i="44"/>
  <c r="N338" i="44"/>
  <c r="AU337" i="44"/>
  <c r="AM337" i="44"/>
  <c r="AL337" i="44"/>
  <c r="AK337" i="44"/>
  <c r="AJ337" i="44"/>
  <c r="W337" i="44"/>
  <c r="AA337" i="44" s="1"/>
  <c r="S337" i="44"/>
  <c r="P337" i="44"/>
  <c r="N337" i="44"/>
  <c r="AU336" i="44"/>
  <c r="AM336" i="44"/>
  <c r="AL336" i="44"/>
  <c r="AK336" i="44"/>
  <c r="AJ336" i="44"/>
  <c r="W336" i="44"/>
  <c r="AB336" i="44" s="1"/>
  <c r="S336" i="44"/>
  <c r="P336" i="44"/>
  <c r="N336" i="44"/>
  <c r="AU335" i="44"/>
  <c r="AM335" i="44"/>
  <c r="AL335" i="44"/>
  <c r="AK335" i="44"/>
  <c r="AJ335" i="44"/>
  <c r="W335" i="44"/>
  <c r="S335" i="44"/>
  <c r="P335" i="44"/>
  <c r="N335" i="44"/>
  <c r="AU334" i="44"/>
  <c r="AM334" i="44"/>
  <c r="AL334" i="44"/>
  <c r="AK334" i="44"/>
  <c r="AJ334" i="44"/>
  <c r="W334" i="44"/>
  <c r="Z334" i="44" s="1"/>
  <c r="S334" i="44"/>
  <c r="P334" i="44"/>
  <c r="N334" i="44"/>
  <c r="AU333" i="44"/>
  <c r="AM333" i="44"/>
  <c r="AL333" i="44"/>
  <c r="AK333" i="44"/>
  <c r="AJ333" i="44"/>
  <c r="W333" i="44"/>
  <c r="BB333" i="44" s="1"/>
  <c r="S333" i="44"/>
  <c r="P333" i="44"/>
  <c r="N333" i="44"/>
  <c r="AU332" i="44"/>
  <c r="AM332" i="44"/>
  <c r="AL332" i="44"/>
  <c r="AK332" i="44"/>
  <c r="AJ332" i="44"/>
  <c r="W332" i="44"/>
  <c r="AA332" i="44" s="1"/>
  <c r="S332" i="44"/>
  <c r="P332" i="44"/>
  <c r="N332" i="44"/>
  <c r="AU331" i="44"/>
  <c r="AM331" i="44"/>
  <c r="AL331" i="44"/>
  <c r="AK331" i="44"/>
  <c r="AJ331" i="44"/>
  <c r="W331" i="44"/>
  <c r="X331" i="44" s="1"/>
  <c r="S331" i="44"/>
  <c r="P331" i="44"/>
  <c r="N331" i="44"/>
  <c r="AU330" i="44"/>
  <c r="AM330" i="44"/>
  <c r="AL330" i="44"/>
  <c r="AK330" i="44"/>
  <c r="AJ330" i="44"/>
  <c r="W330" i="44"/>
  <c r="BB330" i="44" s="1"/>
  <c r="S330" i="44"/>
  <c r="P330" i="44"/>
  <c r="N330" i="44"/>
  <c r="AU329" i="44"/>
  <c r="AM329" i="44"/>
  <c r="AL329" i="44"/>
  <c r="AK329" i="44"/>
  <c r="AJ329" i="44"/>
  <c r="W329" i="44"/>
  <c r="X329" i="44" s="1"/>
  <c r="S329" i="44"/>
  <c r="P329" i="44"/>
  <c r="N329" i="44"/>
  <c r="AU328" i="44"/>
  <c r="AM328" i="44"/>
  <c r="AL328" i="44"/>
  <c r="AK328" i="44"/>
  <c r="AJ328" i="44"/>
  <c r="W328" i="44"/>
  <c r="AA328" i="44" s="1"/>
  <c r="S328" i="44"/>
  <c r="P328" i="44"/>
  <c r="N328" i="44"/>
  <c r="AU327" i="44"/>
  <c r="AM327" i="44"/>
  <c r="AL327" i="44"/>
  <c r="AK327" i="44"/>
  <c r="AJ327" i="44"/>
  <c r="W327" i="44"/>
  <c r="X327" i="44" s="1"/>
  <c r="S327" i="44"/>
  <c r="P327" i="44"/>
  <c r="N327" i="44"/>
  <c r="AU289" i="44"/>
  <c r="AM289" i="44"/>
  <c r="AL289" i="44"/>
  <c r="AK289" i="44"/>
  <c r="AJ289" i="44"/>
  <c r="AI289" i="44"/>
  <c r="W289" i="44"/>
  <c r="AB289" i="44" s="1"/>
  <c r="S289" i="44"/>
  <c r="P289" i="44"/>
  <c r="N289" i="44"/>
  <c r="O7" i="31"/>
  <c r="N257" i="44"/>
  <c r="O70" i="39" l="1"/>
  <c r="Z70" i="39"/>
  <c r="AO70" i="39" s="1"/>
  <c r="AB70" i="39"/>
  <c r="AA70" i="39"/>
  <c r="AT238" i="44"/>
  <c r="AU238" i="44" s="1"/>
  <c r="O46" i="44"/>
  <c r="O48" i="44"/>
  <c r="O51" i="44"/>
  <c r="O79" i="44"/>
  <c r="O154" i="44"/>
  <c r="O152" i="44"/>
  <c r="O257" i="44"/>
  <c r="O34" i="44"/>
  <c r="O76" i="44"/>
  <c r="O77" i="44"/>
  <c r="O89" i="44"/>
  <c r="O98" i="44"/>
  <c r="O173" i="44"/>
  <c r="O78" i="44"/>
  <c r="O97" i="44"/>
  <c r="O171" i="44"/>
  <c r="O35" i="44"/>
  <c r="O96" i="44"/>
  <c r="O157" i="44"/>
  <c r="O52" i="44"/>
  <c r="O54" i="44"/>
  <c r="O55" i="44"/>
  <c r="O69" i="44"/>
  <c r="O71" i="44"/>
  <c r="O156" i="44"/>
  <c r="AN249" i="39"/>
  <c r="AO249" i="39" s="1"/>
  <c r="AP249" i="39" s="1"/>
  <c r="AW249" i="39" s="1"/>
  <c r="AA83" i="44"/>
  <c r="AN273" i="44"/>
  <c r="AN87" i="44"/>
  <c r="AN238" i="44"/>
  <c r="AN269" i="44"/>
  <c r="AN88" i="44"/>
  <c r="AB338" i="44"/>
  <c r="AN120" i="44"/>
  <c r="AA135" i="44"/>
  <c r="AN335" i="44"/>
  <c r="AB80" i="44"/>
  <c r="AN104" i="44"/>
  <c r="AN72" i="44"/>
  <c r="AN241" i="44"/>
  <c r="AO241" i="44" s="1"/>
  <c r="AP241" i="44" s="1"/>
  <c r="AN245" i="44"/>
  <c r="AN268" i="44"/>
  <c r="AO268" i="44" s="1"/>
  <c r="AP268" i="44" s="1"/>
  <c r="AN14" i="45"/>
  <c r="AN15" i="45"/>
  <c r="AN280" i="39"/>
  <c r="AA121" i="44"/>
  <c r="AB121" i="44"/>
  <c r="BB121" i="44"/>
  <c r="Z83" i="44"/>
  <c r="AN337" i="44"/>
  <c r="AB74" i="44"/>
  <c r="AN99" i="44"/>
  <c r="AA269" i="44"/>
  <c r="AN76" i="44"/>
  <c r="X268" i="44"/>
  <c r="AA268" i="44"/>
  <c r="BB53" i="44"/>
  <c r="X122" i="44"/>
  <c r="BB332" i="44"/>
  <c r="AB268" i="44"/>
  <c r="X332" i="44"/>
  <c r="X337" i="44"/>
  <c r="AN50" i="44"/>
  <c r="Z79" i="44"/>
  <c r="Z239" i="44"/>
  <c r="Z100" i="44"/>
  <c r="AB337" i="44"/>
  <c r="AB79" i="44"/>
  <c r="AN121" i="44"/>
  <c r="AO121" i="44" s="1"/>
  <c r="AA71" i="44"/>
  <c r="Z53" i="44"/>
  <c r="AN332" i="44"/>
  <c r="AN135" i="44"/>
  <c r="AO135" i="44" s="1"/>
  <c r="Z240" i="44"/>
  <c r="BB240" i="44"/>
  <c r="AN329" i="44"/>
  <c r="X335" i="44"/>
  <c r="AN71" i="44"/>
  <c r="AN100" i="44"/>
  <c r="Z101" i="44"/>
  <c r="AN117" i="44"/>
  <c r="AN132" i="44"/>
  <c r="BB154" i="44"/>
  <c r="AB177" i="44"/>
  <c r="BB177" i="44"/>
  <c r="AN185" i="44"/>
  <c r="AN330" i="44"/>
  <c r="Z335" i="44"/>
  <c r="BB74" i="44"/>
  <c r="AB101" i="44"/>
  <c r="BB101" i="44"/>
  <c r="AB335" i="44"/>
  <c r="AN79" i="44"/>
  <c r="AN114" i="44"/>
  <c r="AO114" i="44" s="1"/>
  <c r="AP114" i="44" s="1"/>
  <c r="AN124" i="44"/>
  <c r="AN267" i="44"/>
  <c r="AN270" i="44"/>
  <c r="AO270" i="44" s="1"/>
  <c r="AN274" i="44"/>
  <c r="AN331" i="44"/>
  <c r="AB332" i="44"/>
  <c r="AB54" i="44"/>
  <c r="BB54" i="44"/>
  <c r="AN289" i="44"/>
  <c r="AA50" i="44"/>
  <c r="AN70" i="44"/>
  <c r="AN125" i="44"/>
  <c r="AN136" i="44"/>
  <c r="AN339" i="44"/>
  <c r="AN80" i="44"/>
  <c r="AN105" i="44"/>
  <c r="AN154" i="44"/>
  <c r="AN182" i="44"/>
  <c r="AN242" i="44"/>
  <c r="Z337" i="44"/>
  <c r="BB337" i="44"/>
  <c r="AN35" i="44"/>
  <c r="AN36" i="44"/>
  <c r="AN52" i="44"/>
  <c r="AA53" i="44"/>
  <c r="AB71" i="44"/>
  <c r="BB71" i="44"/>
  <c r="AN83" i="44"/>
  <c r="AB100" i="44"/>
  <c r="AN116" i="44"/>
  <c r="AB135" i="44"/>
  <c r="AN156" i="44"/>
  <c r="AN178" i="44"/>
  <c r="AN78" i="44"/>
  <c r="AN89" i="44"/>
  <c r="AN102" i="44"/>
  <c r="AO102" i="44" s="1"/>
  <c r="AP102" i="44" s="1"/>
  <c r="BB135" i="44"/>
  <c r="AN157" i="44"/>
  <c r="AN184" i="44"/>
  <c r="AN333" i="44"/>
  <c r="AN106" i="44"/>
  <c r="AN112" i="39"/>
  <c r="AG248" i="39"/>
  <c r="AH248" i="39" s="1"/>
  <c r="AN248" i="39"/>
  <c r="X87" i="44"/>
  <c r="AB103" i="44"/>
  <c r="BB103" i="44"/>
  <c r="X116" i="44"/>
  <c r="AA335" i="44"/>
  <c r="AB53" i="44"/>
  <c r="AN54" i="44"/>
  <c r="Z71" i="44"/>
  <c r="X73" i="44"/>
  <c r="AB84" i="44"/>
  <c r="Z87" i="44"/>
  <c r="Z99" i="44"/>
  <c r="Z116" i="44"/>
  <c r="AN131" i="44"/>
  <c r="BB268" i="44"/>
  <c r="AA87" i="44"/>
  <c r="AN97" i="44"/>
  <c r="AA116" i="44"/>
  <c r="AN118" i="44"/>
  <c r="AN134" i="44"/>
  <c r="AN177" i="44"/>
  <c r="AN265" i="44"/>
  <c r="AN98" i="44"/>
  <c r="AB116" i="44"/>
  <c r="AN240" i="44"/>
  <c r="AN46" i="44"/>
  <c r="AN55" i="44"/>
  <c r="BB80" i="44"/>
  <c r="AB83" i="44"/>
  <c r="Z104" i="44"/>
  <c r="BB104" i="44"/>
  <c r="AB122" i="44"/>
  <c r="BB122" i="44"/>
  <c r="BB133" i="44"/>
  <c r="AA239" i="44"/>
  <c r="AN53" i="44"/>
  <c r="BB67" i="44"/>
  <c r="X79" i="44"/>
  <c r="X100" i="44"/>
  <c r="AN119" i="44"/>
  <c r="AB239" i="44"/>
  <c r="BB239" i="44"/>
  <c r="AN51" i="44"/>
  <c r="BB90" i="44"/>
  <c r="AA185" i="44"/>
  <c r="AB269" i="44"/>
  <c r="BB269" i="44"/>
  <c r="AN328" i="44"/>
  <c r="AN336" i="44"/>
  <c r="AN48" i="44"/>
  <c r="AA79" i="44"/>
  <c r="AN92" i="44"/>
  <c r="AA100" i="44"/>
  <c r="AN101" i="44"/>
  <c r="X136" i="44"/>
  <c r="BB152" i="44"/>
  <c r="AB185" i="44"/>
  <c r="AB242" i="44"/>
  <c r="BB242" i="44"/>
  <c r="AN244" i="44"/>
  <c r="AN133" i="44"/>
  <c r="AO133" i="44" s="1"/>
  <c r="AB136" i="44"/>
  <c r="BB136" i="44"/>
  <c r="AN173" i="44"/>
  <c r="AN86" i="44"/>
  <c r="AN90" i="44"/>
  <c r="AA118" i="44"/>
  <c r="AN176" i="44"/>
  <c r="AO176" i="44" s="1"/>
  <c r="AP176" i="44" s="1"/>
  <c r="AN239" i="44"/>
  <c r="AN272" i="44"/>
  <c r="AN12" i="45"/>
  <c r="AN16" i="45"/>
  <c r="AO16" i="45" s="1"/>
  <c r="AN13" i="45"/>
  <c r="AN327" i="44"/>
  <c r="AN334" i="44"/>
  <c r="AO334" i="44" s="1"/>
  <c r="AP334" i="44" s="1"/>
  <c r="AW334" i="44" s="1"/>
  <c r="AN67" i="44"/>
  <c r="X84" i="44"/>
  <c r="X86" i="44"/>
  <c r="AN96" i="44"/>
  <c r="X242" i="44"/>
  <c r="Z84" i="44"/>
  <c r="AN338" i="44"/>
  <c r="BB34" i="44"/>
  <c r="Z50" i="44"/>
  <c r="X55" i="44"/>
  <c r="AN69" i="44"/>
  <c r="AN74" i="44"/>
  <c r="AA84" i="44"/>
  <c r="X99" i="44"/>
  <c r="X103" i="44"/>
  <c r="AN122" i="44"/>
  <c r="AN128" i="44"/>
  <c r="AN138" i="44"/>
  <c r="X177" i="44"/>
  <c r="AB271" i="44"/>
  <c r="BB271" i="44"/>
  <c r="AB50" i="44"/>
  <c r="Z331" i="44"/>
  <c r="BB46" i="44"/>
  <c r="AB99" i="44"/>
  <c r="Z117" i="44"/>
  <c r="X119" i="44"/>
  <c r="AA120" i="44"/>
  <c r="BB137" i="44"/>
  <c r="AB241" i="44"/>
  <c r="Z120" i="44"/>
  <c r="Z329" i="44"/>
  <c r="Z90" i="44"/>
  <c r="X91" i="44"/>
  <c r="AA329" i="44"/>
  <c r="BB329" i="44"/>
  <c r="AA331" i="44"/>
  <c r="X36" i="44"/>
  <c r="Z72" i="44"/>
  <c r="BB83" i="44"/>
  <c r="AA90" i="44"/>
  <c r="AB91" i="44"/>
  <c r="AA102" i="44"/>
  <c r="AA117" i="44"/>
  <c r="Z119" i="44"/>
  <c r="AB120" i="44"/>
  <c r="AN129" i="44"/>
  <c r="Z134" i="44"/>
  <c r="AN139" i="44"/>
  <c r="AB152" i="44"/>
  <c r="AN171" i="44"/>
  <c r="AA176" i="44"/>
  <c r="AN179" i="44"/>
  <c r="BB241" i="44"/>
  <c r="BB243" i="44"/>
  <c r="AN266" i="44"/>
  <c r="AA270" i="44"/>
  <c r="AN271" i="44"/>
  <c r="AA99" i="44"/>
  <c r="AA241" i="44"/>
  <c r="AB329" i="44"/>
  <c r="AB331" i="44"/>
  <c r="BB331" i="44"/>
  <c r="Z36" i="44"/>
  <c r="X67" i="44"/>
  <c r="AB72" i="44"/>
  <c r="AN73" i="44"/>
  <c r="AN77" i="44"/>
  <c r="AN84" i="44"/>
  <c r="AB90" i="44"/>
  <c r="AB102" i="44"/>
  <c r="AN103" i="44"/>
  <c r="AA119" i="44"/>
  <c r="BB120" i="44"/>
  <c r="AA134" i="44"/>
  <c r="AB176" i="44"/>
  <c r="AB270" i="44"/>
  <c r="BB272" i="44"/>
  <c r="BB123" i="44"/>
  <c r="AB46" i="44"/>
  <c r="AN34" i="44"/>
  <c r="BB50" i="44"/>
  <c r="AB67" i="44"/>
  <c r="AN68" i="44"/>
  <c r="AN81" i="44"/>
  <c r="BB91" i="44"/>
  <c r="BB102" i="44"/>
  <c r="AN115" i="44"/>
  <c r="AB119" i="44"/>
  <c r="AN123" i="44"/>
  <c r="X133" i="44"/>
  <c r="AB134" i="44"/>
  <c r="BB176" i="44"/>
  <c r="X185" i="44"/>
  <c r="AA240" i="44"/>
  <c r="BB270" i="44"/>
  <c r="BB72" i="44"/>
  <c r="AN75" i="44"/>
  <c r="AN127" i="44"/>
  <c r="BB134" i="44"/>
  <c r="AN137" i="44"/>
  <c r="Z178" i="44"/>
  <c r="BB178" i="44"/>
  <c r="Z185" i="44"/>
  <c r="AB240" i="44"/>
  <c r="Z265" i="44"/>
  <c r="Z269" i="44"/>
  <c r="X338" i="44"/>
  <c r="BB338" i="44"/>
  <c r="Z69" i="44"/>
  <c r="AN91" i="44"/>
  <c r="AA101" i="44"/>
  <c r="AN130" i="44"/>
  <c r="AN152" i="44"/>
  <c r="AN180" i="44"/>
  <c r="AN243" i="44"/>
  <c r="AG12" i="45"/>
  <c r="AH12" i="45" s="1"/>
  <c r="AG13" i="45"/>
  <c r="AH13" i="45" s="1"/>
  <c r="AG14" i="45"/>
  <c r="AH14" i="45" s="1"/>
  <c r="AG15" i="45"/>
  <c r="AH15" i="45" s="1"/>
  <c r="AG16" i="45"/>
  <c r="AH16" i="45" s="1"/>
  <c r="AA12" i="45"/>
  <c r="AB12" i="45"/>
  <c r="AB13" i="45"/>
  <c r="AB14" i="45"/>
  <c r="AB15" i="45"/>
  <c r="AB16" i="45"/>
  <c r="X14" i="45"/>
  <c r="X15" i="45"/>
  <c r="X16" i="45"/>
  <c r="Z14" i="45"/>
  <c r="Z15" i="45"/>
  <c r="AA15" i="45"/>
  <c r="AA16" i="45"/>
  <c r="X12" i="45"/>
  <c r="Z12" i="45"/>
  <c r="Z13" i="45"/>
  <c r="AA13" i="45"/>
  <c r="BB13" i="45"/>
  <c r="BB14" i="45"/>
  <c r="BB16" i="45"/>
  <c r="X70" i="39"/>
  <c r="AB111" i="39"/>
  <c r="AN111" i="39"/>
  <c r="AB248" i="39"/>
  <c r="BB248" i="39"/>
  <c r="BB111" i="39"/>
  <c r="AG280" i="39"/>
  <c r="AH280" i="39" s="1"/>
  <c r="X280" i="39"/>
  <c r="Z280" i="39"/>
  <c r="AB280" i="39"/>
  <c r="BB280" i="39"/>
  <c r="AG249" i="39"/>
  <c r="AH249" i="39" s="1"/>
  <c r="X248" i="39"/>
  <c r="AA249" i="39"/>
  <c r="X249" i="39"/>
  <c r="Z248" i="39"/>
  <c r="AB249" i="39"/>
  <c r="BB249" i="39"/>
  <c r="AG111" i="39"/>
  <c r="AH111" i="39" s="1"/>
  <c r="AG112" i="39"/>
  <c r="AH112" i="39" s="1"/>
  <c r="Z112" i="39"/>
  <c r="X111" i="39"/>
  <c r="AA112" i="39"/>
  <c r="Z111" i="39"/>
  <c r="AB112" i="39"/>
  <c r="BB112" i="39"/>
  <c r="X267" i="44"/>
  <c r="X266" i="44"/>
  <c r="Z267" i="44"/>
  <c r="X265" i="44"/>
  <c r="Z266" i="44"/>
  <c r="AA267" i="44"/>
  <c r="AB267" i="44"/>
  <c r="AB265" i="44"/>
  <c r="X272" i="44"/>
  <c r="Z273" i="44"/>
  <c r="AA274" i="44"/>
  <c r="X273" i="44"/>
  <c r="Z274" i="44"/>
  <c r="X271" i="44"/>
  <c r="Z272" i="44"/>
  <c r="AA273" i="44"/>
  <c r="AB274" i="44"/>
  <c r="AA266" i="44"/>
  <c r="X270" i="44"/>
  <c r="Z271" i="44"/>
  <c r="AA272" i="44"/>
  <c r="AB273" i="44"/>
  <c r="BB274" i="44"/>
  <c r="AA265" i="44"/>
  <c r="AB266" i="44"/>
  <c r="X238" i="44"/>
  <c r="AB238" i="44"/>
  <c r="X244" i="44"/>
  <c r="Z245" i="44"/>
  <c r="Z238" i="44"/>
  <c r="X245" i="44"/>
  <c r="X243" i="44"/>
  <c r="Z244" i="44"/>
  <c r="AA245" i="44"/>
  <c r="AA238" i="44"/>
  <c r="Z243" i="44"/>
  <c r="AA244" i="44"/>
  <c r="AB245" i="44"/>
  <c r="X241" i="44"/>
  <c r="Z242" i="44"/>
  <c r="AA243" i="44"/>
  <c r="AB244" i="44"/>
  <c r="X184" i="44"/>
  <c r="Z184" i="44"/>
  <c r="AA184" i="44"/>
  <c r="AB184" i="44"/>
  <c r="X182" i="44"/>
  <c r="AA182" i="44"/>
  <c r="AB182" i="44"/>
  <c r="Z182" i="44"/>
  <c r="X179" i="44"/>
  <c r="Z180" i="44"/>
  <c r="X178" i="44"/>
  <c r="Z179" i="44"/>
  <c r="AA180" i="44"/>
  <c r="AA179" i="44"/>
  <c r="AB180" i="44"/>
  <c r="X180" i="44"/>
  <c r="X176" i="44"/>
  <c r="Z177" i="44"/>
  <c r="AA178" i="44"/>
  <c r="AB179" i="44"/>
  <c r="X171" i="44"/>
  <c r="Z171" i="44"/>
  <c r="AA171" i="44"/>
  <c r="AB173" i="44"/>
  <c r="X173" i="44"/>
  <c r="AB171" i="44"/>
  <c r="BB173" i="44"/>
  <c r="Z173" i="44"/>
  <c r="Z157" i="44"/>
  <c r="X154" i="44"/>
  <c r="Z156" i="44"/>
  <c r="X152" i="44"/>
  <c r="Z154" i="44"/>
  <c r="AA156" i="44"/>
  <c r="AB157" i="44"/>
  <c r="X157" i="44"/>
  <c r="X156" i="44"/>
  <c r="AA157" i="44"/>
  <c r="Z152" i="44"/>
  <c r="AA154" i="44"/>
  <c r="AB156" i="44"/>
  <c r="X130" i="44"/>
  <c r="X129" i="44"/>
  <c r="AB132" i="44"/>
  <c r="Z129" i="44"/>
  <c r="X127" i="44"/>
  <c r="Z128" i="44"/>
  <c r="AA129" i="44"/>
  <c r="AB130" i="44"/>
  <c r="BB131" i="44"/>
  <c r="X139" i="44"/>
  <c r="Z131" i="44"/>
  <c r="Z130" i="44"/>
  <c r="AA131" i="44"/>
  <c r="Z127" i="44"/>
  <c r="AA128" i="44"/>
  <c r="AB129" i="44"/>
  <c r="BB130" i="44"/>
  <c r="X138" i="44"/>
  <c r="Z139" i="44"/>
  <c r="AA127" i="44"/>
  <c r="AB128" i="44"/>
  <c r="X137" i="44"/>
  <c r="Z138" i="44"/>
  <c r="AA139" i="44"/>
  <c r="Z132" i="44"/>
  <c r="AA132" i="44"/>
  <c r="BB132" i="44"/>
  <c r="AB127" i="44"/>
  <c r="BB128" i="44"/>
  <c r="Z137" i="44"/>
  <c r="AA138" i="44"/>
  <c r="AB139" i="44"/>
  <c r="X131" i="44"/>
  <c r="X135" i="44"/>
  <c r="Z136" i="44"/>
  <c r="AA137" i="44"/>
  <c r="AB138" i="44"/>
  <c r="X118" i="44"/>
  <c r="X117" i="44"/>
  <c r="Z118" i="44"/>
  <c r="X115" i="44"/>
  <c r="AB118" i="44"/>
  <c r="AB117" i="44"/>
  <c r="AA114" i="44"/>
  <c r="AB115" i="44"/>
  <c r="AB114" i="44"/>
  <c r="BB115" i="44"/>
  <c r="X123" i="44"/>
  <c r="Z124" i="44"/>
  <c r="AA125" i="44"/>
  <c r="BB114" i="44"/>
  <c r="Z123" i="44"/>
  <c r="AA124" i="44"/>
  <c r="AB125" i="44"/>
  <c r="X114" i="44"/>
  <c r="X125" i="44"/>
  <c r="Z125" i="44"/>
  <c r="X121" i="44"/>
  <c r="Z122" i="44"/>
  <c r="AA123" i="44"/>
  <c r="AB124" i="44"/>
  <c r="Z115" i="44"/>
  <c r="X124" i="44"/>
  <c r="AA98" i="44"/>
  <c r="Z98" i="44"/>
  <c r="AA97" i="44"/>
  <c r="AB98" i="44"/>
  <c r="BB97" i="44"/>
  <c r="X105" i="44"/>
  <c r="Z106" i="44"/>
  <c r="X98" i="44"/>
  <c r="X96" i="44"/>
  <c r="Z96" i="44"/>
  <c r="AB97" i="44"/>
  <c r="AB96" i="44"/>
  <c r="BB96" i="44"/>
  <c r="X104" i="44"/>
  <c r="Z105" i="44"/>
  <c r="AA106" i="44"/>
  <c r="Z97" i="44"/>
  <c r="AA105" i="44"/>
  <c r="X102" i="44"/>
  <c r="Z103" i="44"/>
  <c r="AA104" i="44"/>
  <c r="AB105" i="44"/>
  <c r="BB106" i="44"/>
  <c r="X106" i="44"/>
  <c r="X89" i="44"/>
  <c r="Z89" i="44"/>
  <c r="X88" i="44"/>
  <c r="AA89" i="44"/>
  <c r="Z88" i="44"/>
  <c r="AB89" i="44"/>
  <c r="AA88" i="44"/>
  <c r="AB88" i="44"/>
  <c r="X92" i="44"/>
  <c r="Z86" i="44"/>
  <c r="AB87" i="44"/>
  <c r="Z92" i="44"/>
  <c r="AA86" i="44"/>
  <c r="AA92" i="44"/>
  <c r="AB86" i="44"/>
  <c r="Z91" i="44"/>
  <c r="AB92" i="44"/>
  <c r="X78" i="44"/>
  <c r="Z78" i="44"/>
  <c r="BB76" i="44"/>
  <c r="AA77" i="44"/>
  <c r="Z76" i="44"/>
  <c r="BB77" i="44"/>
  <c r="X75" i="44"/>
  <c r="AA76" i="44"/>
  <c r="X81" i="44"/>
  <c r="Z75" i="44"/>
  <c r="Z81" i="44"/>
  <c r="X74" i="44"/>
  <c r="AA75" i="44"/>
  <c r="X80" i="44"/>
  <c r="AA81" i="44"/>
  <c r="X77" i="44"/>
  <c r="AA78" i="44"/>
  <c r="Z77" i="44"/>
  <c r="X76" i="44"/>
  <c r="Z74" i="44"/>
  <c r="AB75" i="44"/>
  <c r="Z80" i="44"/>
  <c r="AB81" i="44"/>
  <c r="AB78" i="44"/>
  <c r="Z70" i="44"/>
  <c r="X69" i="44"/>
  <c r="AA70" i="44"/>
  <c r="BB70" i="44"/>
  <c r="Z68" i="44"/>
  <c r="AB69" i="44"/>
  <c r="BB69" i="44"/>
  <c r="AB70" i="44"/>
  <c r="Z67" i="44"/>
  <c r="AB68" i="44"/>
  <c r="BB68" i="44"/>
  <c r="Z73" i="44"/>
  <c r="X68" i="44"/>
  <c r="X72" i="44"/>
  <c r="AA73" i="44"/>
  <c r="AB73" i="44"/>
  <c r="X52" i="44"/>
  <c r="AA52" i="44"/>
  <c r="Z52" i="44"/>
  <c r="X51" i="44"/>
  <c r="Z51" i="44"/>
  <c r="AB52" i="44"/>
  <c r="AA51" i="44"/>
  <c r="AB51" i="44"/>
  <c r="X48" i="44"/>
  <c r="Z48" i="44"/>
  <c r="Z46" i="44"/>
  <c r="AB48" i="44"/>
  <c r="BB48" i="44"/>
  <c r="Z54" i="44"/>
  <c r="AB55" i="44"/>
  <c r="BB55" i="44"/>
  <c r="Z55" i="44"/>
  <c r="X46" i="44"/>
  <c r="X54" i="44"/>
  <c r="X34" i="44"/>
  <c r="Z35" i="44"/>
  <c r="AA36" i="44"/>
  <c r="Z34" i="44"/>
  <c r="AA35" i="44"/>
  <c r="AB36" i="44"/>
  <c r="AA34" i="44"/>
  <c r="AB35" i="44"/>
  <c r="X35" i="44"/>
  <c r="Z330" i="44"/>
  <c r="Z336" i="44"/>
  <c r="X330" i="44"/>
  <c r="X336" i="44"/>
  <c r="AA330" i="44"/>
  <c r="AA336" i="44"/>
  <c r="X328" i="44"/>
  <c r="Z328" i="44"/>
  <c r="Z327" i="44"/>
  <c r="AB328" i="44"/>
  <c r="BB328" i="44"/>
  <c r="Z333" i="44"/>
  <c r="AB334" i="44"/>
  <c r="BB334" i="44"/>
  <c r="Z339" i="44"/>
  <c r="X334" i="44"/>
  <c r="X333" i="44"/>
  <c r="X339" i="44"/>
  <c r="AA327" i="44"/>
  <c r="AA333" i="44"/>
  <c r="AA339" i="44"/>
  <c r="AB330" i="44"/>
  <c r="BB336" i="44"/>
  <c r="AA334" i="44"/>
  <c r="AB327" i="44"/>
  <c r="BB327" i="44"/>
  <c r="Z332" i="44"/>
  <c r="AB333" i="44"/>
  <c r="Z338" i="44"/>
  <c r="AB339" i="44"/>
  <c r="BB289" i="44"/>
  <c r="X289" i="44"/>
  <c r="Z289" i="44"/>
  <c r="AA289" i="44"/>
  <c r="AP70" i="39" l="1"/>
  <c r="AT70" i="39"/>
  <c r="AU70" i="39" s="1"/>
  <c r="AV176" i="44"/>
  <c r="AW176" i="44"/>
  <c r="AV102" i="44"/>
  <c r="AW102" i="44"/>
  <c r="AV114" i="44"/>
  <c r="AW114" i="44"/>
  <c r="AV268" i="44"/>
  <c r="AW268" i="44"/>
  <c r="AV241" i="44"/>
  <c r="AW241" i="44"/>
  <c r="AT171" i="44"/>
  <c r="AT48" i="44"/>
  <c r="AT173" i="44"/>
  <c r="AT46" i="44"/>
  <c r="AO73" i="44"/>
  <c r="AP121" i="44"/>
  <c r="AP270" i="44"/>
  <c r="AQ102" i="44"/>
  <c r="AP135" i="44"/>
  <c r="AO115" i="44"/>
  <c r="AP115" i="44" s="1"/>
  <c r="AO88" i="44"/>
  <c r="AP88" i="44" s="1"/>
  <c r="AO273" i="44"/>
  <c r="AO87" i="44"/>
  <c r="AO269" i="44"/>
  <c r="AO98" i="44"/>
  <c r="AP98" i="44" s="1"/>
  <c r="AO245" i="44"/>
  <c r="AO79" i="44"/>
  <c r="AP79" i="44" s="1"/>
  <c r="AO239" i="44"/>
  <c r="AO339" i="44"/>
  <c r="AO52" i="44"/>
  <c r="AP52" i="44" s="1"/>
  <c r="AO335" i="44"/>
  <c r="AO100" i="44"/>
  <c r="AO336" i="44"/>
  <c r="AO130" i="44"/>
  <c r="AO120" i="44"/>
  <c r="AO238" i="44"/>
  <c r="AO46" i="44"/>
  <c r="AO34" i="44"/>
  <c r="AO12" i="45"/>
  <c r="AP12" i="45" s="1"/>
  <c r="AW12" i="45" s="1"/>
  <c r="AO80" i="44"/>
  <c r="AP80" i="44" s="1"/>
  <c r="AO242" i="44"/>
  <c r="AO72" i="44"/>
  <c r="AO125" i="44"/>
  <c r="AO185" i="44"/>
  <c r="AO70" i="44"/>
  <c r="AP70" i="44" s="1"/>
  <c r="AO289" i="44"/>
  <c r="AO280" i="39"/>
  <c r="AP280" i="39" s="1"/>
  <c r="AW280" i="39" s="1"/>
  <c r="AO104" i="44"/>
  <c r="AO132" i="44"/>
  <c r="AO54" i="44"/>
  <c r="AO105" i="44"/>
  <c r="AO76" i="44"/>
  <c r="AO332" i="44"/>
  <c r="AO68" i="44"/>
  <c r="AP68" i="44" s="1"/>
  <c r="AO51" i="44"/>
  <c r="AP51" i="44" s="1"/>
  <c r="AO128" i="44"/>
  <c r="AO50" i="44"/>
  <c r="AP50" i="44" s="1"/>
  <c r="AO333" i="44"/>
  <c r="AO330" i="44"/>
  <c r="AO106" i="44"/>
  <c r="AO83" i="44"/>
  <c r="AO14" i="45"/>
  <c r="AP14" i="45" s="1"/>
  <c r="AW14" i="45" s="1"/>
  <c r="AO15" i="45"/>
  <c r="AP15" i="45" s="1"/>
  <c r="AO13" i="45"/>
  <c r="AP13" i="45" s="1"/>
  <c r="AW13" i="45" s="1"/>
  <c r="AO112" i="39"/>
  <c r="AP112" i="39" s="1"/>
  <c r="AO182" i="44"/>
  <c r="AO337" i="44"/>
  <c r="AP337" i="44" s="1"/>
  <c r="AW337" i="44" s="1"/>
  <c r="AO124" i="44"/>
  <c r="AO75" i="44"/>
  <c r="AO329" i="44"/>
  <c r="AO240" i="44"/>
  <c r="AO36" i="44"/>
  <c r="AO99" i="44"/>
  <c r="AO129" i="44"/>
  <c r="AP129" i="44" s="1"/>
  <c r="AO274" i="44"/>
  <c r="AO117" i="44"/>
  <c r="AO101" i="44"/>
  <c r="AO90" i="44"/>
  <c r="AO331" i="44"/>
  <c r="AO71" i="44"/>
  <c r="AP71" i="44" s="1"/>
  <c r="AO35" i="44"/>
  <c r="AO92" i="44"/>
  <c r="AO118" i="44"/>
  <c r="AO48" i="44"/>
  <c r="AO53" i="44"/>
  <c r="AO116" i="44"/>
  <c r="AO55" i="44"/>
  <c r="AP55" i="44" s="1"/>
  <c r="AQ55" i="44" s="1"/>
  <c r="AO157" i="44"/>
  <c r="AO243" i="44"/>
  <c r="AP243" i="44" s="1"/>
  <c r="AO134" i="44"/>
  <c r="AO136" i="44"/>
  <c r="AO184" i="44"/>
  <c r="AP184" i="44" s="1"/>
  <c r="AO97" i="44"/>
  <c r="AO180" i="44"/>
  <c r="AO96" i="44"/>
  <c r="AO267" i="44"/>
  <c r="AP267" i="44" s="1"/>
  <c r="AO78" i="44"/>
  <c r="AP78" i="44" s="1"/>
  <c r="AO138" i="44"/>
  <c r="AO173" i="44"/>
  <c r="AO137" i="44"/>
  <c r="AO338" i="44"/>
  <c r="AP338" i="44" s="1"/>
  <c r="AW338" i="44" s="1"/>
  <c r="AO67" i="44"/>
  <c r="AP67" i="44" s="1"/>
  <c r="AO84" i="44"/>
  <c r="AO122" i="44"/>
  <c r="AO178" i="44"/>
  <c r="AO154" i="44"/>
  <c r="AP154" i="44" s="1"/>
  <c r="AO328" i="44"/>
  <c r="AO89" i="44"/>
  <c r="AP89" i="44" s="1"/>
  <c r="AO156" i="44"/>
  <c r="AP156" i="44" s="1"/>
  <c r="AO266" i="44"/>
  <c r="AP266" i="44" s="1"/>
  <c r="AO248" i="39"/>
  <c r="AP248" i="39" s="1"/>
  <c r="AQ133" i="44"/>
  <c r="AO123" i="44"/>
  <c r="AO152" i="44"/>
  <c r="AO131" i="44"/>
  <c r="AO177" i="44"/>
  <c r="AO244" i="44"/>
  <c r="AO81" i="44"/>
  <c r="AP81" i="44" s="1"/>
  <c r="AQ241" i="44"/>
  <c r="AO265" i="44"/>
  <c r="AO119" i="44"/>
  <c r="AO77" i="44"/>
  <c r="AP77" i="44" s="1"/>
  <c r="AO86" i="44"/>
  <c r="AP86" i="44" s="1"/>
  <c r="AO272" i="44"/>
  <c r="AO127" i="44"/>
  <c r="AP16" i="45"/>
  <c r="AZ334" i="44"/>
  <c r="AV334" i="44"/>
  <c r="AQ334" i="44"/>
  <c r="AX334" i="44"/>
  <c r="BC334" i="44"/>
  <c r="AO74" i="44"/>
  <c r="AO69" i="44"/>
  <c r="AQ176" i="44"/>
  <c r="AO139" i="44"/>
  <c r="AO171" i="44"/>
  <c r="AO91" i="44"/>
  <c r="AO103" i="44"/>
  <c r="AO179" i="44"/>
  <c r="AO327" i="44"/>
  <c r="AP327" i="44" s="1"/>
  <c r="AW327" i="44" s="1"/>
  <c r="AO271" i="44"/>
  <c r="AO111" i="39"/>
  <c r="AP111" i="39" s="1"/>
  <c r="AX249" i="39"/>
  <c r="AR249" i="39"/>
  <c r="AS249" i="39" s="1"/>
  <c r="BC249" i="39"/>
  <c r="AV249" i="39"/>
  <c r="AZ249" i="39"/>
  <c r="AQ249" i="39"/>
  <c r="BC268" i="44"/>
  <c r="AZ268" i="44"/>
  <c r="AR268" i="44"/>
  <c r="AS268" i="44" s="1"/>
  <c r="AX268" i="44"/>
  <c r="AQ268" i="44"/>
  <c r="AX241" i="44"/>
  <c r="AR241" i="44"/>
  <c r="AS241" i="44" s="1"/>
  <c r="BC241" i="44"/>
  <c r="AZ241" i="44"/>
  <c r="AX176" i="44"/>
  <c r="AR176" i="44"/>
  <c r="AS176" i="44" s="1"/>
  <c r="AZ176" i="44"/>
  <c r="BC176" i="44"/>
  <c r="BC102" i="44"/>
  <c r="DY102" i="44" s="1"/>
  <c r="AZ102" i="44"/>
  <c r="AX102" i="44"/>
  <c r="AR102" i="44"/>
  <c r="AS102" i="44" s="1"/>
  <c r="AR334" i="44"/>
  <c r="AS334" i="44" s="1"/>
  <c r="AV70" i="39" l="1"/>
  <c r="AW70" i="39"/>
  <c r="AQ70" i="39"/>
  <c r="AR70" i="39"/>
  <c r="AS70" i="39" s="1"/>
  <c r="AP54" i="44"/>
  <c r="AR54" i="44" s="1"/>
  <c r="AS54" i="44" s="1"/>
  <c r="AR55" i="44"/>
  <c r="AS55" i="44" s="1"/>
  <c r="AP53" i="44"/>
  <c r="AR53" i="44" s="1"/>
  <c r="AS53" i="44" s="1"/>
  <c r="EP176" i="44"/>
  <c r="EO176" i="44"/>
  <c r="EN176" i="44"/>
  <c r="EB176" i="44"/>
  <c r="EA176" i="44"/>
  <c r="DX176" i="44"/>
  <c r="ER176" i="44"/>
  <c r="EV176" i="44"/>
  <c r="EF176" i="44"/>
  <c r="DX241" i="44"/>
  <c r="DY241" i="44"/>
  <c r="DY268" i="44"/>
  <c r="DX268" i="44"/>
  <c r="EJ102" i="44"/>
  <c r="DX102" i="44"/>
  <c r="EI102" i="44"/>
  <c r="EH102" i="44"/>
  <c r="EF102" i="44"/>
  <c r="EB102" i="44"/>
  <c r="EA102" i="44"/>
  <c r="AX15" i="45"/>
  <c r="AW15" i="45"/>
  <c r="AR16" i="45"/>
  <c r="AS16" i="45" s="1"/>
  <c r="AW16" i="45"/>
  <c r="AR248" i="39"/>
  <c r="AS248" i="39" s="1"/>
  <c r="AW248" i="39"/>
  <c r="AQ112" i="39"/>
  <c r="AW112" i="39"/>
  <c r="AQ111" i="39"/>
  <c r="AW111" i="39"/>
  <c r="AV129" i="44"/>
  <c r="AW129" i="44"/>
  <c r="AV79" i="44"/>
  <c r="AW79" i="44"/>
  <c r="AV270" i="44"/>
  <c r="AW270" i="44"/>
  <c r="AV68" i="44"/>
  <c r="AW68" i="44"/>
  <c r="AV267" i="44"/>
  <c r="AW267" i="44"/>
  <c r="AV121" i="44"/>
  <c r="AW121" i="44"/>
  <c r="AV80" i="44"/>
  <c r="AW80" i="44"/>
  <c r="AV70" i="44"/>
  <c r="AW70" i="44"/>
  <c r="AV98" i="44"/>
  <c r="AW98" i="44"/>
  <c r="AV67" i="44"/>
  <c r="AW67" i="44"/>
  <c r="AV89" i="44"/>
  <c r="AW89" i="44"/>
  <c r="AV50" i="44"/>
  <c r="AW50" i="44"/>
  <c r="AV184" i="44"/>
  <c r="AW184" i="44"/>
  <c r="AV156" i="44"/>
  <c r="AW156" i="44"/>
  <c r="AV81" i="44"/>
  <c r="AW81" i="44"/>
  <c r="AV71" i="44"/>
  <c r="AW71" i="44"/>
  <c r="AV154" i="44"/>
  <c r="AW154" i="44"/>
  <c r="AV238" i="44"/>
  <c r="AW238" i="44"/>
  <c r="AV52" i="44"/>
  <c r="AW52" i="44"/>
  <c r="AV88" i="44"/>
  <c r="AW88" i="44"/>
  <c r="AV135" i="44"/>
  <c r="AW135" i="44"/>
  <c r="AV243" i="44"/>
  <c r="AW243" i="44"/>
  <c r="AV266" i="44"/>
  <c r="AW266" i="44"/>
  <c r="AV86" i="44"/>
  <c r="AW86" i="44"/>
  <c r="AV77" i="44"/>
  <c r="AW77" i="44"/>
  <c r="AV78" i="44"/>
  <c r="AW78" i="44"/>
  <c r="AV51" i="44"/>
  <c r="AW51" i="44"/>
  <c r="AV115" i="44"/>
  <c r="AW115" i="44"/>
  <c r="AT79" i="44"/>
  <c r="AQ270" i="44"/>
  <c r="AT156" i="44"/>
  <c r="AU156" i="44" s="1"/>
  <c r="AQ121" i="44"/>
  <c r="AT98" i="44"/>
  <c r="AU98" i="44" s="1"/>
  <c r="AT71" i="44"/>
  <c r="AT154" i="44"/>
  <c r="AU154" i="44" s="1"/>
  <c r="AT52" i="44"/>
  <c r="AT77" i="44"/>
  <c r="AT78" i="44"/>
  <c r="AT51" i="44"/>
  <c r="AT89" i="44"/>
  <c r="AQ135" i="44"/>
  <c r="AR13" i="45"/>
  <c r="AS13" i="45" s="1"/>
  <c r="AT13" i="45"/>
  <c r="AU13" i="45" s="1"/>
  <c r="AR14" i="45"/>
  <c r="AS14" i="45" s="1"/>
  <c r="AT14" i="45"/>
  <c r="AU14" i="45" s="1"/>
  <c r="AV12" i="45"/>
  <c r="AT12" i="45"/>
  <c r="AU12" i="45" s="1"/>
  <c r="AT112" i="39"/>
  <c r="AU112" i="39" s="1"/>
  <c r="AT111" i="39"/>
  <c r="AU111" i="39" s="1"/>
  <c r="AR270" i="44"/>
  <c r="AS270" i="44" s="1"/>
  <c r="AX270" i="44"/>
  <c r="AZ121" i="44"/>
  <c r="AR135" i="44"/>
  <c r="AS135" i="44" s="1"/>
  <c r="AR121" i="44"/>
  <c r="AS121" i="44" s="1"/>
  <c r="BC270" i="44"/>
  <c r="AV15" i="45"/>
  <c r="AR15" i="45"/>
  <c r="AS15" i="45" s="1"/>
  <c r="AX135" i="44"/>
  <c r="AZ135" i="44"/>
  <c r="BC135" i="44"/>
  <c r="BC121" i="44"/>
  <c r="AX121" i="44"/>
  <c r="AZ270" i="44"/>
  <c r="AP271" i="44"/>
  <c r="AP127" i="44"/>
  <c r="AP122" i="44"/>
  <c r="AP87" i="44"/>
  <c r="AP74" i="44"/>
  <c r="AP97" i="44"/>
  <c r="AP90" i="44"/>
  <c r="AP125" i="44"/>
  <c r="AP178" i="44"/>
  <c r="AP101" i="44"/>
  <c r="AP75" i="44"/>
  <c r="AP185" i="44"/>
  <c r="AP339" i="44"/>
  <c r="AW339" i="44" s="1"/>
  <c r="AP124" i="44"/>
  <c r="AP273" i="44"/>
  <c r="AP131" i="44"/>
  <c r="AP330" i="44"/>
  <c r="AW330" i="44" s="1"/>
  <c r="AP336" i="44"/>
  <c r="AW336" i="44" s="1"/>
  <c r="AP245" i="44"/>
  <c r="AP117" i="44"/>
  <c r="AP274" i="44"/>
  <c r="AP34" i="44"/>
  <c r="AP177" i="44"/>
  <c r="AP139" i="44"/>
  <c r="AP118" i="44"/>
  <c r="AP99" i="44"/>
  <c r="AP333" i="44"/>
  <c r="AW333" i="44" s="1"/>
  <c r="AP105" i="44"/>
  <c r="AR171" i="44"/>
  <c r="AS171" i="44" s="1"/>
  <c r="AP72" i="44"/>
  <c r="AP73" i="44"/>
  <c r="AP179" i="44"/>
  <c r="AP96" i="44"/>
  <c r="AP157" i="44"/>
  <c r="AP92" i="44"/>
  <c r="AP269" i="44"/>
  <c r="AP83" i="44"/>
  <c r="AP152" i="44"/>
  <c r="AP137" i="44"/>
  <c r="AP35" i="44"/>
  <c r="AP36" i="44"/>
  <c r="AP128" i="44"/>
  <c r="AP120" i="44"/>
  <c r="AQ84" i="44"/>
  <c r="AP265" i="44"/>
  <c r="AP103" i="44"/>
  <c r="AP272" i="44"/>
  <c r="AP123" i="44"/>
  <c r="AU173" i="44"/>
  <c r="AP240" i="44"/>
  <c r="AP132" i="44"/>
  <c r="AP130" i="44"/>
  <c r="AP100" i="44"/>
  <c r="AP239" i="44"/>
  <c r="AP119" i="44"/>
  <c r="AP182" i="44"/>
  <c r="AP106" i="44"/>
  <c r="AP328" i="44"/>
  <c r="AW328" i="44" s="1"/>
  <c r="AP116" i="44"/>
  <c r="AP289" i="44"/>
  <c r="AP332" i="44"/>
  <c r="AW332" i="44" s="1"/>
  <c r="AP136" i="44"/>
  <c r="AP76" i="44"/>
  <c r="AP134" i="44"/>
  <c r="AP138" i="44"/>
  <c r="AP91" i="44"/>
  <c r="AP69" i="44"/>
  <c r="AP244" i="44"/>
  <c r="AP180" i="44"/>
  <c r="AP331" i="44"/>
  <c r="AW331" i="44" s="1"/>
  <c r="AP329" i="44"/>
  <c r="AW329" i="44" s="1"/>
  <c r="AP104" i="44"/>
  <c r="AP335" i="44"/>
  <c r="AW335" i="44" s="1"/>
  <c r="BC12" i="45"/>
  <c r="ET12" i="45" s="1"/>
  <c r="AX133" i="44"/>
  <c r="AZ133" i="44"/>
  <c r="BC133" i="44"/>
  <c r="AQ12" i="45"/>
  <c r="AZ15" i="45"/>
  <c r="AQ15" i="45"/>
  <c r="AX12" i="45"/>
  <c r="AR12" i="45"/>
  <c r="AS12" i="45" s="1"/>
  <c r="AZ12" i="45"/>
  <c r="BC15" i="45"/>
  <c r="ET15" i="45" s="1"/>
  <c r="AR133" i="44"/>
  <c r="AS133" i="44" s="1"/>
  <c r="AX337" i="44"/>
  <c r="AZ337" i="44"/>
  <c r="AR337" i="44"/>
  <c r="AS337" i="44" s="1"/>
  <c r="AQ337" i="44"/>
  <c r="AX248" i="39"/>
  <c r="BC248" i="39"/>
  <c r="AV248" i="39"/>
  <c r="AZ248" i="39"/>
  <c r="AQ248" i="39"/>
  <c r="BC337" i="44"/>
  <c r="AV337" i="44"/>
  <c r="AR156" i="44"/>
  <c r="AS156" i="44" s="1"/>
  <c r="AX156" i="44"/>
  <c r="AX16" i="45"/>
  <c r="BC16" i="45"/>
  <c r="ET16" i="45" s="1"/>
  <c r="AZ16" i="45"/>
  <c r="AV16" i="45"/>
  <c r="AQ16" i="45"/>
  <c r="AQ14" i="45"/>
  <c r="ET19" i="45"/>
  <c r="BC14" i="45"/>
  <c r="ET14" i="45" s="1"/>
  <c r="AV14" i="45"/>
  <c r="AZ14" i="45"/>
  <c r="AX14" i="45"/>
  <c r="BC13" i="45"/>
  <c r="ET13" i="45" s="1"/>
  <c r="AV13" i="45"/>
  <c r="AZ13" i="45"/>
  <c r="AX13" i="45"/>
  <c r="AQ13" i="45"/>
  <c r="BC280" i="39"/>
  <c r="AZ280" i="39"/>
  <c r="AV280" i="39"/>
  <c r="AQ280" i="39"/>
  <c r="AR280" i="39"/>
  <c r="AS280" i="39" s="1"/>
  <c r="AX280" i="39"/>
  <c r="BC112" i="39"/>
  <c r="AZ112" i="39"/>
  <c r="AV112" i="39"/>
  <c r="AZ111" i="39"/>
  <c r="AV111" i="39"/>
  <c r="BC111" i="39"/>
  <c r="AX111" i="39"/>
  <c r="AR111" i="39"/>
  <c r="AS111" i="39" s="1"/>
  <c r="AR112" i="39"/>
  <c r="AS112" i="39" s="1"/>
  <c r="AX112" i="39"/>
  <c r="BC266" i="44"/>
  <c r="AZ266" i="44"/>
  <c r="AQ266" i="44"/>
  <c r="BC267" i="44"/>
  <c r="AZ267" i="44"/>
  <c r="AQ267" i="44"/>
  <c r="AX267" i="44"/>
  <c r="AR267" i="44"/>
  <c r="AS267" i="44" s="1"/>
  <c r="AX266" i="44"/>
  <c r="AR266" i="44"/>
  <c r="AS266" i="44" s="1"/>
  <c r="AZ243" i="44"/>
  <c r="BC243" i="44"/>
  <c r="AQ243" i="44"/>
  <c r="AX243" i="44"/>
  <c r="AR243" i="44"/>
  <c r="AS243" i="44" s="1"/>
  <c r="AZ238" i="44"/>
  <c r="BC238" i="44"/>
  <c r="AR238" i="44"/>
  <c r="AS238" i="44" s="1"/>
  <c r="AQ238" i="44"/>
  <c r="AX238" i="44"/>
  <c r="BC184" i="44"/>
  <c r="AZ184" i="44"/>
  <c r="AQ184" i="44"/>
  <c r="AX184" i="44"/>
  <c r="AR184" i="44"/>
  <c r="AS184" i="44" s="1"/>
  <c r="AZ154" i="44"/>
  <c r="BC154" i="44"/>
  <c r="AQ154" i="44"/>
  <c r="AR154" i="44"/>
  <c r="AS154" i="44" s="1"/>
  <c r="AX154" i="44"/>
  <c r="AZ156" i="44"/>
  <c r="BC156" i="44"/>
  <c r="AQ156" i="44"/>
  <c r="BC129" i="44"/>
  <c r="AZ129" i="44"/>
  <c r="AX129" i="44"/>
  <c r="AR129" i="44"/>
  <c r="AS129" i="44" s="1"/>
  <c r="AQ129" i="44"/>
  <c r="BC114" i="44"/>
  <c r="AZ114" i="44"/>
  <c r="AX114" i="44"/>
  <c r="AZ115" i="44"/>
  <c r="BC115" i="44"/>
  <c r="AX115" i="44"/>
  <c r="AR115" i="44"/>
  <c r="AS115" i="44" s="1"/>
  <c r="AQ115" i="44"/>
  <c r="AQ114" i="44"/>
  <c r="AR114" i="44"/>
  <c r="AS114" i="44" s="1"/>
  <c r="AZ98" i="44"/>
  <c r="BC98" i="44"/>
  <c r="AR98" i="44"/>
  <c r="AS98" i="44" s="1"/>
  <c r="AX98" i="44"/>
  <c r="AQ98" i="44"/>
  <c r="BC327" i="44"/>
  <c r="AV327" i="44"/>
  <c r="AZ327" i="44"/>
  <c r="AR327" i="44"/>
  <c r="AS327" i="44" s="1"/>
  <c r="AZ338" i="44"/>
  <c r="AV338" i="44"/>
  <c r="BC338" i="44"/>
  <c r="AX338" i="44"/>
  <c r="AR338" i="44"/>
  <c r="AS338" i="44" s="1"/>
  <c r="AQ338" i="44"/>
  <c r="AX327" i="44"/>
  <c r="AQ327" i="44"/>
  <c r="AQ54" i="44" l="1"/>
  <c r="AQ53" i="44"/>
  <c r="FU66" i="39"/>
  <c r="FX66" i="39"/>
  <c r="FW66" i="39"/>
  <c r="FV66" i="39"/>
  <c r="FU64" i="39"/>
  <c r="FX64" i="39"/>
  <c r="FW64" i="39"/>
  <c r="FV64" i="39"/>
  <c r="FU68" i="39"/>
  <c r="FX68" i="39"/>
  <c r="FW68" i="39"/>
  <c r="FV68" i="39"/>
  <c r="FU65" i="39"/>
  <c r="FX65" i="39"/>
  <c r="FW65" i="39"/>
  <c r="FV65" i="39"/>
  <c r="FU72" i="39"/>
  <c r="FX72" i="39"/>
  <c r="FW72" i="39"/>
  <c r="FV72" i="39"/>
  <c r="FU70" i="39"/>
  <c r="FX70" i="39"/>
  <c r="FW70" i="39"/>
  <c r="FV70" i="39"/>
  <c r="FY111" i="39"/>
  <c r="GC111" i="39"/>
  <c r="GA111" i="39"/>
  <c r="FZ111" i="39"/>
  <c r="GM112" i="39"/>
  <c r="GM283" i="39" s="1"/>
  <c r="FU112" i="39"/>
  <c r="EO13" i="45"/>
  <c r="EN13" i="45"/>
  <c r="EB13" i="45"/>
  <c r="EV13" i="45"/>
  <c r="EA13" i="45"/>
  <c r="DY13" i="45"/>
  <c r="DX13" i="45"/>
  <c r="ER13" i="45"/>
  <c r="EF13" i="45"/>
  <c r="ER12" i="45"/>
  <c r="EF12" i="45"/>
  <c r="EO12" i="45"/>
  <c r="EN12" i="45"/>
  <c r="EB12" i="45"/>
  <c r="EA12" i="45"/>
  <c r="DY12" i="45"/>
  <c r="EV12" i="45"/>
  <c r="DX12" i="45"/>
  <c r="EV19" i="45"/>
  <c r="EO19" i="45"/>
  <c r="EN19" i="45"/>
  <c r="EB19" i="45"/>
  <c r="EA19" i="45"/>
  <c r="DY19" i="45"/>
  <c r="DX19" i="45"/>
  <c r="ER19" i="45"/>
  <c r="EF19" i="45"/>
  <c r="EA14" i="45"/>
  <c r="ER14" i="45"/>
  <c r="DY14" i="45"/>
  <c r="EF14" i="45"/>
  <c r="DX14" i="45"/>
  <c r="EV14" i="45"/>
  <c r="EO14" i="45"/>
  <c r="EN14" i="45"/>
  <c r="EB14" i="45"/>
  <c r="ER16" i="45"/>
  <c r="EF16" i="45"/>
  <c r="EO16" i="45"/>
  <c r="EN16" i="45"/>
  <c r="EB16" i="45"/>
  <c r="EA16" i="45"/>
  <c r="DY16" i="45"/>
  <c r="DX16" i="45"/>
  <c r="EV16" i="45"/>
  <c r="DX15" i="45"/>
  <c r="EV15" i="45"/>
  <c r="EO15" i="45"/>
  <c r="ER15" i="45"/>
  <c r="EF15" i="45"/>
  <c r="EN15" i="45"/>
  <c r="EB15" i="45"/>
  <c r="EA15" i="45"/>
  <c r="DY15" i="45"/>
  <c r="EG66" i="39"/>
  <c r="FT66" i="39"/>
  <c r="FQ66" i="39"/>
  <c r="EG68" i="39"/>
  <c r="FT68" i="39"/>
  <c r="FQ68" i="39"/>
  <c r="EG64" i="39"/>
  <c r="FT64" i="39"/>
  <c r="FQ64" i="39"/>
  <c r="EG65" i="39"/>
  <c r="FT65" i="39"/>
  <c r="FQ65" i="39"/>
  <c r="EG72" i="39"/>
  <c r="FT72" i="39"/>
  <c r="FQ72" i="39"/>
  <c r="EG70" i="39"/>
  <c r="FT70" i="39"/>
  <c r="FQ70" i="39"/>
  <c r="FQ112" i="39"/>
  <c r="FT112" i="39"/>
  <c r="EG112" i="39"/>
  <c r="EA270" i="44"/>
  <c r="EB270" i="44"/>
  <c r="EI270" i="44"/>
  <c r="EH270" i="44"/>
  <c r="EF270" i="44"/>
  <c r="EB115" i="44"/>
  <c r="EA115" i="44"/>
  <c r="DX115" i="44"/>
  <c r="EI115" i="44"/>
  <c r="EH115" i="44"/>
  <c r="EF115" i="44"/>
  <c r="EB135" i="44"/>
  <c r="EA135" i="44"/>
  <c r="DX135" i="44"/>
  <c r="EI135" i="44"/>
  <c r="EH135" i="44"/>
  <c r="EF135" i="44"/>
  <c r="EF238" i="44"/>
  <c r="EB238" i="44"/>
  <c r="EA238" i="44"/>
  <c r="EH238" i="44"/>
  <c r="DX238" i="44"/>
  <c r="EI238" i="44"/>
  <c r="DY267" i="44"/>
  <c r="DX267" i="44"/>
  <c r="DX154" i="44"/>
  <c r="EI154" i="44"/>
  <c r="EH154" i="44"/>
  <c r="EF154" i="44"/>
  <c r="EB154" i="44"/>
  <c r="EA154" i="44"/>
  <c r="DY270" i="44"/>
  <c r="DX270" i="44"/>
  <c r="DY266" i="44"/>
  <c r="DX266" i="44"/>
  <c r="EF114" i="44"/>
  <c r="EB114" i="44"/>
  <c r="EA114" i="44"/>
  <c r="EH114" i="44"/>
  <c r="DX114" i="44"/>
  <c r="EI114" i="44"/>
  <c r="EJ98" i="44"/>
  <c r="DX98" i="44"/>
  <c r="EI98" i="44"/>
  <c r="EH98" i="44"/>
  <c r="EF98" i="44"/>
  <c r="EB98" i="44"/>
  <c r="EA98" i="44"/>
  <c r="DY243" i="44"/>
  <c r="DX243" i="44"/>
  <c r="DX133" i="44"/>
  <c r="EI133" i="44"/>
  <c r="EH133" i="44"/>
  <c r="EF133" i="44"/>
  <c r="EB133" i="44"/>
  <c r="EA133" i="44"/>
  <c r="DX129" i="44"/>
  <c r="EI129" i="44"/>
  <c r="EH129" i="44"/>
  <c r="EF129" i="44"/>
  <c r="EB129" i="44"/>
  <c r="EA129" i="44"/>
  <c r="EB184" i="44"/>
  <c r="EA184" i="44"/>
  <c r="EL184" i="44"/>
  <c r="EK184" i="44"/>
  <c r="EJ184" i="44"/>
  <c r="DX184" i="44"/>
  <c r="EI184" i="44"/>
  <c r="EH184" i="44"/>
  <c r="EF184" i="44"/>
  <c r="DX121" i="44"/>
  <c r="EI121" i="44"/>
  <c r="EH121" i="44"/>
  <c r="EF121" i="44"/>
  <c r="EB121" i="44"/>
  <c r="EA121" i="44"/>
  <c r="AV103" i="44"/>
  <c r="AW103" i="44"/>
  <c r="AV118" i="44"/>
  <c r="AW118" i="44"/>
  <c r="AV127" i="44"/>
  <c r="AW127" i="44"/>
  <c r="AV244" i="44"/>
  <c r="AW244" i="44"/>
  <c r="AV106" i="44"/>
  <c r="AW106" i="44"/>
  <c r="AV265" i="44"/>
  <c r="AW265" i="44"/>
  <c r="AV92" i="44"/>
  <c r="AW92" i="44"/>
  <c r="AV139" i="44"/>
  <c r="AW139" i="44"/>
  <c r="AV271" i="44"/>
  <c r="AW271" i="44"/>
  <c r="AV54" i="44"/>
  <c r="AW54" i="44"/>
  <c r="AV124" i="44"/>
  <c r="AW124" i="44"/>
  <c r="AV69" i="44"/>
  <c r="AW69" i="44"/>
  <c r="AV182" i="44"/>
  <c r="AW182" i="44"/>
  <c r="AV157" i="44"/>
  <c r="AW157" i="44"/>
  <c r="AV177" i="44"/>
  <c r="AW177" i="44"/>
  <c r="AV185" i="44"/>
  <c r="AW185" i="44"/>
  <c r="AV180" i="44"/>
  <c r="AW180" i="44"/>
  <c r="AV91" i="44"/>
  <c r="AW91" i="44"/>
  <c r="AV119" i="44"/>
  <c r="AW119" i="44"/>
  <c r="AV120" i="44"/>
  <c r="AW120" i="44"/>
  <c r="AV96" i="44"/>
  <c r="AW96" i="44"/>
  <c r="AV34" i="44"/>
  <c r="AW34" i="44"/>
  <c r="AV75" i="44"/>
  <c r="AW75" i="44"/>
  <c r="AV178" i="44"/>
  <c r="AW178" i="44"/>
  <c r="AV239" i="44"/>
  <c r="AW239" i="44"/>
  <c r="AV73" i="44"/>
  <c r="AW73" i="44"/>
  <c r="AV76" i="44"/>
  <c r="AW76" i="44"/>
  <c r="AV245" i="44"/>
  <c r="AW245" i="44"/>
  <c r="AV136" i="44"/>
  <c r="AW136" i="44"/>
  <c r="AV132" i="44"/>
  <c r="AW132" i="44"/>
  <c r="AV55" i="44"/>
  <c r="AW55" i="44"/>
  <c r="AV90" i="44"/>
  <c r="AW90" i="44"/>
  <c r="AV101" i="44"/>
  <c r="AW101" i="44"/>
  <c r="AV117" i="44"/>
  <c r="AW117" i="44"/>
  <c r="AV35" i="44"/>
  <c r="AW35" i="44"/>
  <c r="AV125" i="44"/>
  <c r="AW125" i="44"/>
  <c r="AV240" i="44"/>
  <c r="AW240" i="44"/>
  <c r="AV137" i="44"/>
  <c r="AW137" i="44"/>
  <c r="AV53" i="44"/>
  <c r="AW53" i="44"/>
  <c r="AV242" i="44"/>
  <c r="AW242" i="44"/>
  <c r="AV97" i="44"/>
  <c r="AW97" i="44"/>
  <c r="AV138" i="44"/>
  <c r="AW138" i="44"/>
  <c r="AV36" i="44"/>
  <c r="AW36" i="44"/>
  <c r="AV130" i="44"/>
  <c r="AW130" i="44"/>
  <c r="AV104" i="44"/>
  <c r="AW104" i="44"/>
  <c r="AV152" i="44"/>
  <c r="AW152" i="44"/>
  <c r="AV105" i="44"/>
  <c r="AW105" i="44"/>
  <c r="AV74" i="44"/>
  <c r="AW74" i="44"/>
  <c r="AV128" i="44"/>
  <c r="AW128" i="44"/>
  <c r="AV274" i="44"/>
  <c r="AW274" i="44"/>
  <c r="AV134" i="44"/>
  <c r="AW134" i="44"/>
  <c r="AV72" i="44"/>
  <c r="AW72" i="44"/>
  <c r="AV123" i="44"/>
  <c r="AW123" i="44"/>
  <c r="AV83" i="44"/>
  <c r="AW83" i="44"/>
  <c r="AV131" i="44"/>
  <c r="AW131" i="44"/>
  <c r="AV87" i="44"/>
  <c r="AW87" i="44"/>
  <c r="AV179" i="44"/>
  <c r="AW179" i="44"/>
  <c r="AV100" i="44"/>
  <c r="AW100" i="44"/>
  <c r="AV289" i="44"/>
  <c r="AW289" i="44"/>
  <c r="AV116" i="44"/>
  <c r="AW116" i="44"/>
  <c r="AV272" i="44"/>
  <c r="AW272" i="44"/>
  <c r="AV269" i="44"/>
  <c r="AW269" i="44"/>
  <c r="AV99" i="44"/>
  <c r="AW99" i="44"/>
  <c r="AV273" i="44"/>
  <c r="AW273" i="44"/>
  <c r="AV122" i="44"/>
  <c r="AW122" i="44"/>
  <c r="AQ335" i="44"/>
  <c r="AR104" i="44"/>
  <c r="AS104" i="44" s="1"/>
  <c r="AQ289" i="44"/>
  <c r="AT152" i="44"/>
  <c r="AU152" i="44" s="1"/>
  <c r="AR105" i="44"/>
  <c r="AS105" i="44" s="1"/>
  <c r="AZ330" i="44"/>
  <c r="BC333" i="44"/>
  <c r="BC131" i="44"/>
  <c r="AQ87" i="44"/>
  <c r="BC331" i="44"/>
  <c r="BC116" i="44"/>
  <c r="AX272" i="44"/>
  <c r="AX269" i="44"/>
  <c r="AZ99" i="44"/>
  <c r="AZ273" i="44"/>
  <c r="AZ122" i="44"/>
  <c r="AQ137" i="44"/>
  <c r="AQ328" i="44"/>
  <c r="AR103" i="44"/>
  <c r="AS103" i="44" s="1"/>
  <c r="AR127" i="44"/>
  <c r="AS127" i="44" s="1"/>
  <c r="AZ240" i="44"/>
  <c r="AR244" i="44"/>
  <c r="AS244" i="44" s="1"/>
  <c r="AQ106" i="44"/>
  <c r="AQ92" i="44"/>
  <c r="AX339" i="44"/>
  <c r="AX271" i="44"/>
  <c r="AV329" i="44"/>
  <c r="AQ185" i="44"/>
  <c r="AQ91" i="44"/>
  <c r="AQ119" i="44"/>
  <c r="AZ120" i="44"/>
  <c r="AX138" i="44"/>
  <c r="AQ239" i="44"/>
  <c r="AX128" i="44"/>
  <c r="AX179" i="44"/>
  <c r="AZ274" i="44"/>
  <c r="BC101" i="44"/>
  <c r="AQ100" i="44"/>
  <c r="BC36" i="44"/>
  <c r="BC117" i="44"/>
  <c r="AZ178" i="44"/>
  <c r="AZ242" i="44"/>
  <c r="AX182" i="44"/>
  <c r="AX177" i="44"/>
  <c r="AZ134" i="44"/>
  <c r="AT76" i="44"/>
  <c r="AU76" i="44" s="1"/>
  <c r="AX130" i="44"/>
  <c r="AQ72" i="44"/>
  <c r="BC245" i="44"/>
  <c r="AZ125" i="44"/>
  <c r="AX332" i="44"/>
  <c r="AQ136" i="44"/>
  <c r="AX132" i="44"/>
  <c r="AT55" i="44"/>
  <c r="AU55" i="44" s="1"/>
  <c r="AR336" i="44"/>
  <c r="AS336" i="44" s="1"/>
  <c r="AZ35" i="44"/>
  <c r="AT35" i="44"/>
  <c r="AU35" i="44" s="1"/>
  <c r="AX97" i="44"/>
  <c r="AT97" i="44"/>
  <c r="AU97" i="44" s="1"/>
  <c r="AT54" i="44"/>
  <c r="AU54" i="44" s="1"/>
  <c r="AQ69" i="44"/>
  <c r="AT69" i="44"/>
  <c r="AU69" i="44" s="1"/>
  <c r="AT157" i="44"/>
  <c r="AU157" i="44" s="1"/>
  <c r="AZ96" i="44"/>
  <c r="AT96" i="44"/>
  <c r="AU96" i="44" s="1"/>
  <c r="AQ34" i="44"/>
  <c r="AT34" i="44"/>
  <c r="AU34" i="44" s="1"/>
  <c r="FS72" i="39"/>
  <c r="FS64" i="39"/>
  <c r="FS65" i="39"/>
  <c r="FS111" i="39"/>
  <c r="FS70" i="39"/>
  <c r="FS68" i="39"/>
  <c r="FS112" i="39"/>
  <c r="FS66" i="39"/>
  <c r="AQ339" i="44"/>
  <c r="AR179" i="44"/>
  <c r="AS179" i="44" s="1"/>
  <c r="AR34" i="44"/>
  <c r="AS34" i="44" s="1"/>
  <c r="AQ96" i="44"/>
  <c r="AR177" i="44"/>
  <c r="AS177" i="44" s="1"/>
  <c r="AR271" i="44"/>
  <c r="AS271" i="44" s="1"/>
  <c r="BC339" i="44"/>
  <c r="AX96" i="44"/>
  <c r="BC96" i="44"/>
  <c r="AX34" i="44"/>
  <c r="BC34" i="44"/>
  <c r="AR339" i="44"/>
  <c r="AS339" i="44" s="1"/>
  <c r="AZ34" i="44"/>
  <c r="AZ128" i="44"/>
  <c r="AQ127" i="44"/>
  <c r="AQ122" i="44"/>
  <c r="AQ271" i="44"/>
  <c r="BC124" i="44"/>
  <c r="AZ124" i="44"/>
  <c r="AX105" i="44"/>
  <c r="AZ271" i="44"/>
  <c r="AV339" i="44"/>
  <c r="AZ339" i="44"/>
  <c r="AQ124" i="44"/>
  <c r="BC177" i="44"/>
  <c r="AZ177" i="44"/>
  <c r="BC271" i="44"/>
  <c r="AQ105" i="44"/>
  <c r="BC119" i="44"/>
  <c r="BC105" i="44"/>
  <c r="DY105" i="44" s="1"/>
  <c r="AZ136" i="44"/>
  <c r="AR119" i="44"/>
  <c r="AS119" i="44" s="1"/>
  <c r="AZ36" i="44"/>
  <c r="AQ336" i="44"/>
  <c r="AX136" i="44"/>
  <c r="AQ103" i="44"/>
  <c r="BC99" i="44"/>
  <c r="AZ130" i="44"/>
  <c r="BC122" i="44"/>
  <c r="AQ99" i="44"/>
  <c r="AX122" i="44"/>
  <c r="AQ131" i="44"/>
  <c r="AR131" i="44"/>
  <c r="AS131" i="44" s="1"/>
  <c r="BC332" i="44"/>
  <c r="AR332" i="44"/>
  <c r="AS332" i="44" s="1"/>
  <c r="AV332" i="44"/>
  <c r="AZ131" i="44"/>
  <c r="AR124" i="44"/>
  <c r="AS124" i="44" s="1"/>
  <c r="AX118" i="44"/>
  <c r="AR329" i="44"/>
  <c r="AS329" i="44" s="1"/>
  <c r="BC118" i="44"/>
  <c r="AQ123" i="44"/>
  <c r="AQ130" i="44"/>
  <c r="AR122" i="44"/>
  <c r="AS122" i="44" s="1"/>
  <c r="AZ332" i="44"/>
  <c r="AZ101" i="44"/>
  <c r="AR130" i="44"/>
  <c r="AS130" i="44" s="1"/>
  <c r="AZ103" i="44"/>
  <c r="BC103" i="44"/>
  <c r="DY103" i="44" s="1"/>
  <c r="AX328" i="44"/>
  <c r="BC130" i="44"/>
  <c r="AX157" i="44"/>
  <c r="AR157" i="44"/>
  <c r="AS157" i="44" s="1"/>
  <c r="AZ157" i="44"/>
  <c r="AR272" i="44"/>
  <c r="AS272" i="44" s="1"/>
  <c r="AR97" i="44"/>
  <c r="AS97" i="44" s="1"/>
  <c r="AZ272" i="44"/>
  <c r="AZ105" i="44"/>
  <c r="BC97" i="44"/>
  <c r="AZ123" i="44"/>
  <c r="AZ97" i="44"/>
  <c r="BC137" i="44"/>
  <c r="AX336" i="44"/>
  <c r="AQ97" i="44"/>
  <c r="BC123" i="44"/>
  <c r="AZ331" i="44"/>
  <c r="AV335" i="44"/>
  <c r="AQ132" i="44"/>
  <c r="AR136" i="44"/>
  <c r="AS136" i="44" s="1"/>
  <c r="AQ101" i="44"/>
  <c r="AX35" i="44"/>
  <c r="AZ329" i="44"/>
  <c r="AQ329" i="44"/>
  <c r="AQ179" i="44"/>
  <c r="BC128" i="44"/>
  <c r="AZ100" i="44"/>
  <c r="AX329" i="44"/>
  <c r="BC132" i="44"/>
  <c r="AZ179" i="44"/>
  <c r="AQ128" i="44"/>
  <c r="AR128" i="44"/>
  <c r="AS128" i="44" s="1"/>
  <c r="BC35" i="44"/>
  <c r="AZ132" i="44"/>
  <c r="BC179" i="44"/>
  <c r="AQ35" i="44"/>
  <c r="AZ336" i="44"/>
  <c r="AV336" i="44"/>
  <c r="BC336" i="44"/>
  <c r="AV331" i="44"/>
  <c r="AR35" i="44"/>
  <c r="AS35" i="44" s="1"/>
  <c r="AR335" i="44"/>
  <c r="AS335" i="44" s="1"/>
  <c r="BC136" i="44"/>
  <c r="AX101" i="44"/>
  <c r="BC272" i="44"/>
  <c r="AR333" i="44"/>
  <c r="AS333" i="44" s="1"/>
  <c r="AX171" i="44"/>
  <c r="AX106" i="44"/>
  <c r="AR328" i="44"/>
  <c r="AS328" i="44" s="1"/>
  <c r="AZ137" i="44"/>
  <c r="AX333" i="44"/>
  <c r="AX185" i="44"/>
  <c r="BC244" i="44"/>
  <c r="AX137" i="44"/>
  <c r="AZ117" i="44"/>
  <c r="AU171" i="44"/>
  <c r="AQ240" i="44"/>
  <c r="AQ242" i="44"/>
  <c r="BC138" i="44"/>
  <c r="AQ244" i="44"/>
  <c r="AX99" i="44"/>
  <c r="AZ328" i="44"/>
  <c r="AV333" i="44"/>
  <c r="AZ171" i="44"/>
  <c r="AR117" i="44"/>
  <c r="AS117" i="44" s="1"/>
  <c r="AZ180" i="44"/>
  <c r="BC269" i="44"/>
  <c r="AR137" i="44"/>
  <c r="AS137" i="44" s="1"/>
  <c r="AZ138" i="44"/>
  <c r="AZ185" i="44"/>
  <c r="AQ171" i="44"/>
  <c r="BC173" i="44"/>
  <c r="AX265" i="44"/>
  <c r="AQ182" i="44"/>
  <c r="BC106" i="44"/>
  <c r="DY106" i="44" s="1"/>
  <c r="AX242" i="44"/>
  <c r="AZ269" i="44"/>
  <c r="BC240" i="44"/>
  <c r="AR178" i="44"/>
  <c r="AS178" i="44" s="1"/>
  <c r="AV328" i="44"/>
  <c r="AZ244" i="44"/>
  <c r="AX123" i="44"/>
  <c r="AZ333" i="44"/>
  <c r="AR99" i="44"/>
  <c r="AS99" i="44" s="1"/>
  <c r="AQ125" i="44"/>
  <c r="AZ106" i="44"/>
  <c r="AR240" i="44"/>
  <c r="AS240" i="44" s="1"/>
  <c r="AQ332" i="44"/>
  <c r="AR106" i="44"/>
  <c r="AS106" i="44" s="1"/>
  <c r="BC328" i="44"/>
  <c r="BC185" i="44"/>
  <c r="AQ333" i="44"/>
  <c r="AR269" i="44"/>
  <c r="AS269" i="44" s="1"/>
  <c r="AQ272" i="44"/>
  <c r="BC330" i="44"/>
  <c r="AQ330" i="44"/>
  <c r="AX103" i="44"/>
  <c r="AR138" i="44"/>
  <c r="AS138" i="44" s="1"/>
  <c r="AR123" i="44"/>
  <c r="AS123" i="44" s="1"/>
  <c r="AR242" i="44"/>
  <c r="AS242" i="44" s="1"/>
  <c r="BC265" i="44"/>
  <c r="AR134" i="44"/>
  <c r="AS134" i="44" s="1"/>
  <c r="AX125" i="44"/>
  <c r="AX245" i="44"/>
  <c r="BC157" i="44"/>
  <c r="BC180" i="44"/>
  <c r="AZ104" i="44"/>
  <c r="AZ245" i="44"/>
  <c r="AX173" i="44"/>
  <c r="AZ127" i="44"/>
  <c r="AQ104" i="44"/>
  <c r="BC104" i="44"/>
  <c r="DY104" i="44" s="1"/>
  <c r="AR289" i="44"/>
  <c r="AS289" i="44" s="1"/>
  <c r="AQ265" i="44"/>
  <c r="AR330" i="44"/>
  <c r="AS330" i="44" s="1"/>
  <c r="AR125" i="44"/>
  <c r="AS125" i="44" s="1"/>
  <c r="BC127" i="44"/>
  <c r="BC182" i="44"/>
  <c r="AR274" i="44"/>
  <c r="AS274" i="44" s="1"/>
  <c r="BC125" i="44"/>
  <c r="AR118" i="44"/>
  <c r="AS118" i="44" s="1"/>
  <c r="AX127" i="44"/>
  <c r="AQ180" i="44"/>
  <c r="AR132" i="44"/>
  <c r="AS132" i="44" s="1"/>
  <c r="AX274" i="44"/>
  <c r="AX330" i="44"/>
  <c r="AQ274" i="44"/>
  <c r="AZ289" i="44"/>
  <c r="AQ245" i="44"/>
  <c r="AV330" i="44"/>
  <c r="AQ177" i="44"/>
  <c r="AR36" i="44"/>
  <c r="AS36" i="44" s="1"/>
  <c r="AQ36" i="44"/>
  <c r="BC274" i="44"/>
  <c r="AQ138" i="44"/>
  <c r="AX240" i="44"/>
  <c r="AQ117" i="44"/>
  <c r="AX239" i="44"/>
  <c r="AZ265" i="44"/>
  <c r="AR265" i="44"/>
  <c r="AS265" i="44" s="1"/>
  <c r="AX104" i="44"/>
  <c r="AR245" i="44"/>
  <c r="AS245" i="44" s="1"/>
  <c r="AR173" i="44"/>
  <c r="AS173" i="44" s="1"/>
  <c r="AX36" i="44"/>
  <c r="AR185" i="44"/>
  <c r="AS185" i="44" s="1"/>
  <c r="AX244" i="44"/>
  <c r="AR182" i="44"/>
  <c r="AS182" i="44" s="1"/>
  <c r="AR180" i="44"/>
  <c r="AS180" i="44" s="1"/>
  <c r="AZ119" i="44"/>
  <c r="BC242" i="44"/>
  <c r="AX289" i="44"/>
  <c r="AQ118" i="44"/>
  <c r="AQ178" i="44"/>
  <c r="AZ239" i="44"/>
  <c r="AZ55" i="44"/>
  <c r="AX55" i="44"/>
  <c r="BC55" i="44"/>
  <c r="AZ75" i="44"/>
  <c r="BC75" i="44"/>
  <c r="AX75" i="44"/>
  <c r="AR75" i="44"/>
  <c r="AS75" i="44" s="1"/>
  <c r="AZ152" i="44"/>
  <c r="AX178" i="44"/>
  <c r="AZ91" i="44"/>
  <c r="AX91" i="44"/>
  <c r="AR91" i="44"/>
  <c r="AS91" i="44" s="1"/>
  <c r="BC91" i="44"/>
  <c r="EC91" i="44" s="1"/>
  <c r="AZ84" i="44"/>
  <c r="BC84" i="44"/>
  <c r="AX84" i="44"/>
  <c r="AR84" i="44"/>
  <c r="AS84" i="44" s="1"/>
  <c r="AZ92" i="44"/>
  <c r="BC92" i="44"/>
  <c r="EC92" i="44" s="1"/>
  <c r="AR92" i="44"/>
  <c r="AS92" i="44" s="1"/>
  <c r="AX92" i="44"/>
  <c r="AQ75" i="44"/>
  <c r="AR239" i="44"/>
  <c r="AS239" i="44" s="1"/>
  <c r="AZ74" i="44"/>
  <c r="BC74" i="44"/>
  <c r="AR74" i="44"/>
  <c r="AS74" i="44" s="1"/>
  <c r="AX74" i="44"/>
  <c r="AR139" i="44"/>
  <c r="AS139" i="44" s="1"/>
  <c r="BC178" i="44"/>
  <c r="AX120" i="44"/>
  <c r="BC239" i="44"/>
  <c r="AR101" i="44"/>
  <c r="AS101" i="44" s="1"/>
  <c r="AQ74" i="44"/>
  <c r="AZ53" i="44"/>
  <c r="AX53" i="44"/>
  <c r="BC53" i="44"/>
  <c r="AQ116" i="44"/>
  <c r="AR152" i="44"/>
  <c r="AS152" i="44" s="1"/>
  <c r="AZ139" i="44"/>
  <c r="AZ87" i="44"/>
  <c r="BC87" i="44"/>
  <c r="AX87" i="44"/>
  <c r="AR87" i="44"/>
  <c r="AS87" i="44" s="1"/>
  <c r="AX331" i="44"/>
  <c r="BC329" i="44"/>
  <c r="AR120" i="44"/>
  <c r="AS120" i="44" s="1"/>
  <c r="AQ120" i="44"/>
  <c r="AQ331" i="44"/>
  <c r="AQ134" i="44"/>
  <c r="AR96" i="44"/>
  <c r="AS96" i="44" s="1"/>
  <c r="AX152" i="44"/>
  <c r="AR331" i="44"/>
  <c r="AS331" i="44" s="1"/>
  <c r="BC134" i="44"/>
  <c r="AZ76" i="44"/>
  <c r="AX76" i="44"/>
  <c r="AR76" i="44"/>
  <c r="AS76" i="44" s="1"/>
  <c r="BC76" i="44"/>
  <c r="AZ83" i="44"/>
  <c r="AX83" i="44"/>
  <c r="AR83" i="44"/>
  <c r="AS83" i="44" s="1"/>
  <c r="BC83" i="44"/>
  <c r="AZ46" i="44"/>
  <c r="AU46" i="44"/>
  <c r="BC46" i="44"/>
  <c r="AX46" i="44"/>
  <c r="AR46" i="44"/>
  <c r="AS46" i="44" s="1"/>
  <c r="AX124" i="44"/>
  <c r="AQ139" i="44"/>
  <c r="AZ118" i="44"/>
  <c r="AX116" i="44"/>
  <c r="AQ157" i="44"/>
  <c r="AZ173" i="44"/>
  <c r="AX134" i="44"/>
  <c r="BC289" i="44"/>
  <c r="AX180" i="44"/>
  <c r="AR100" i="44"/>
  <c r="AS100" i="44" s="1"/>
  <c r="AQ76" i="44"/>
  <c r="AQ273" i="44"/>
  <c r="AX100" i="44"/>
  <c r="AQ83" i="44"/>
  <c r="AQ46" i="44"/>
  <c r="AX139" i="44"/>
  <c r="AQ152" i="44"/>
  <c r="AX131" i="44"/>
  <c r="AQ173" i="44"/>
  <c r="BC171" i="44"/>
  <c r="AZ182" i="44"/>
  <c r="BC100" i="44"/>
  <c r="AZ48" i="44"/>
  <c r="AU48" i="44"/>
  <c r="AR48" i="44"/>
  <c r="AS48" i="44" s="1"/>
  <c r="BC48" i="44"/>
  <c r="AX48" i="44"/>
  <c r="AZ73" i="44"/>
  <c r="BC73" i="44"/>
  <c r="AR73" i="44"/>
  <c r="AS73" i="44" s="1"/>
  <c r="AX73" i="44"/>
  <c r="AR116" i="44"/>
  <c r="AS116" i="44" s="1"/>
  <c r="BC139" i="44"/>
  <c r="AZ116" i="44"/>
  <c r="BC152" i="44"/>
  <c r="AX119" i="44"/>
  <c r="AX117" i="44"/>
  <c r="AQ48" i="44"/>
  <c r="AQ269" i="44"/>
  <c r="AQ73" i="44"/>
  <c r="AZ90" i="44"/>
  <c r="AX90" i="44"/>
  <c r="BC90" i="44"/>
  <c r="EC90" i="44" s="1"/>
  <c r="AR90" i="44"/>
  <c r="AS90" i="44" s="1"/>
  <c r="AX273" i="44"/>
  <c r="AR273" i="44"/>
  <c r="AS273" i="44" s="1"/>
  <c r="BC273" i="44"/>
  <c r="BC120" i="44"/>
  <c r="AZ69" i="44"/>
  <c r="AX69" i="44"/>
  <c r="AR69" i="44"/>
  <c r="AS69" i="44" s="1"/>
  <c r="BC69" i="44"/>
  <c r="AZ54" i="44"/>
  <c r="BC54" i="44"/>
  <c r="AX54" i="44"/>
  <c r="AZ72" i="44"/>
  <c r="BC72" i="44"/>
  <c r="AR72" i="44"/>
  <c r="AS72" i="44" s="1"/>
  <c r="AX72" i="44"/>
  <c r="AQ90" i="44"/>
  <c r="AZ88" i="44"/>
  <c r="BC88" i="44"/>
  <c r="AX88" i="44"/>
  <c r="AR88" i="44"/>
  <c r="AS88" i="44" s="1"/>
  <c r="AQ88" i="44"/>
  <c r="AZ89" i="44"/>
  <c r="BC89" i="44"/>
  <c r="AX89" i="44"/>
  <c r="AR89" i="44"/>
  <c r="AS89" i="44" s="1"/>
  <c r="AU89" i="44"/>
  <c r="AQ89" i="44"/>
  <c r="AZ86" i="44"/>
  <c r="BC86" i="44"/>
  <c r="AX86" i="44"/>
  <c r="AR86" i="44"/>
  <c r="AS86" i="44" s="1"/>
  <c r="AQ86" i="44"/>
  <c r="AZ78" i="44"/>
  <c r="BC78" i="44"/>
  <c r="AU78" i="44"/>
  <c r="AX78" i="44"/>
  <c r="AR78" i="44"/>
  <c r="AS78" i="44" s="1"/>
  <c r="AQ78" i="44"/>
  <c r="AZ79" i="44"/>
  <c r="BC79" i="44"/>
  <c r="AR79" i="44"/>
  <c r="AS79" i="44" s="1"/>
  <c r="AX79" i="44"/>
  <c r="AU79" i="44"/>
  <c r="AQ79" i="44"/>
  <c r="AZ80" i="44"/>
  <c r="BC80" i="44"/>
  <c r="AX80" i="44"/>
  <c r="AR80" i="44"/>
  <c r="AS80" i="44" s="1"/>
  <c r="AQ80" i="44"/>
  <c r="AZ81" i="44"/>
  <c r="BC81" i="44"/>
  <c r="AR81" i="44"/>
  <c r="AS81" i="44" s="1"/>
  <c r="AX81" i="44"/>
  <c r="AQ81" i="44"/>
  <c r="AZ71" i="44"/>
  <c r="BC71" i="44"/>
  <c r="AR71" i="44"/>
  <c r="AS71" i="44" s="1"/>
  <c r="AX71" i="44"/>
  <c r="AU71" i="44"/>
  <c r="AQ71" i="44"/>
  <c r="AZ77" i="44"/>
  <c r="AU77" i="44"/>
  <c r="BC77" i="44"/>
  <c r="AR77" i="44"/>
  <c r="AS77" i="44" s="1"/>
  <c r="AX77" i="44"/>
  <c r="AQ77" i="44"/>
  <c r="AZ70" i="44"/>
  <c r="BC70" i="44"/>
  <c r="AR70" i="44"/>
  <c r="AS70" i="44" s="1"/>
  <c r="AX70" i="44"/>
  <c r="AQ70" i="44"/>
  <c r="AZ68" i="44"/>
  <c r="AX68" i="44"/>
  <c r="BC68" i="44"/>
  <c r="AR68" i="44"/>
  <c r="AS68" i="44" s="1"/>
  <c r="AQ68" i="44"/>
  <c r="AZ67" i="44"/>
  <c r="BC67" i="44"/>
  <c r="AX67" i="44"/>
  <c r="AR67" i="44"/>
  <c r="AS67" i="44" s="1"/>
  <c r="AQ67" i="44"/>
  <c r="AZ52" i="44"/>
  <c r="BC52" i="44"/>
  <c r="AU52" i="44"/>
  <c r="AR52" i="44"/>
  <c r="AS52" i="44" s="1"/>
  <c r="AX52" i="44"/>
  <c r="AQ52" i="44"/>
  <c r="AZ51" i="44"/>
  <c r="BC51" i="44"/>
  <c r="AR51" i="44"/>
  <c r="AS51" i="44" s="1"/>
  <c r="AX51" i="44"/>
  <c r="AU51" i="44"/>
  <c r="AQ51" i="44"/>
  <c r="AZ50" i="44"/>
  <c r="AX50" i="44"/>
  <c r="BC50" i="44"/>
  <c r="AR50" i="44"/>
  <c r="AS50" i="44" s="1"/>
  <c r="AQ50" i="44"/>
  <c r="C82" i="39"/>
  <c r="C72" i="39"/>
  <c r="C70" i="39"/>
  <c r="C68" i="39"/>
  <c r="C66" i="39"/>
  <c r="C65" i="39"/>
  <c r="C64" i="39"/>
  <c r="C15" i="39"/>
  <c r="C14" i="39"/>
  <c r="C13" i="39"/>
  <c r="C12" i="39"/>
  <c r="C106" i="44"/>
  <c r="C105" i="44"/>
  <c r="C104" i="44"/>
  <c r="C103" i="44"/>
  <c r="C102" i="44"/>
  <c r="C101" i="44"/>
  <c r="C100" i="44"/>
  <c r="C99" i="44"/>
  <c r="C98" i="44"/>
  <c r="C97" i="44"/>
  <c r="C96" i="44"/>
  <c r="C36" i="44"/>
  <c r="C35" i="44"/>
  <c r="C34" i="44"/>
  <c r="GM285" i="39" l="1"/>
  <c r="GM286" i="39" s="1"/>
  <c r="GM291" i="39"/>
  <c r="GM288" i="39"/>
  <c r="GM289" i="39" s="1"/>
  <c r="DX178" i="44"/>
  <c r="EV178" i="44"/>
  <c r="ER178" i="44"/>
  <c r="EF178" i="44"/>
  <c r="EP178" i="44"/>
  <c r="EO178" i="44"/>
  <c r="EN178" i="44"/>
  <c r="EB178" i="44"/>
  <c r="EA178" i="44"/>
  <c r="EN177" i="44"/>
  <c r="EB177" i="44"/>
  <c r="EA177" i="44"/>
  <c r="EO177" i="44"/>
  <c r="DX177" i="44"/>
  <c r="EV177" i="44"/>
  <c r="ER177" i="44"/>
  <c r="EF177" i="44"/>
  <c r="EP177" i="44"/>
  <c r="FJ182" i="44"/>
  <c r="FJ448" i="44" s="1"/>
  <c r="EX182" i="44"/>
  <c r="FI182" i="44"/>
  <c r="FH182" i="44"/>
  <c r="FM182" i="44"/>
  <c r="FM448" i="44" s="1"/>
  <c r="EP180" i="44"/>
  <c r="EO180" i="44"/>
  <c r="EN180" i="44"/>
  <c r="EB180" i="44"/>
  <c r="ER180" i="44"/>
  <c r="EA180" i="44"/>
  <c r="EF180" i="44"/>
  <c r="DX180" i="44"/>
  <c r="EV180" i="44"/>
  <c r="EV179" i="44"/>
  <c r="ER179" i="44"/>
  <c r="EF179" i="44"/>
  <c r="EP179" i="44"/>
  <c r="EO179" i="44"/>
  <c r="EN179" i="44"/>
  <c r="EB179" i="44"/>
  <c r="EA179" i="44"/>
  <c r="DX179" i="44"/>
  <c r="EF67" i="44"/>
  <c r="EB67" i="44"/>
  <c r="EA67" i="44"/>
  <c r="EJ67" i="44"/>
  <c r="DX67" i="44"/>
  <c r="EI67" i="44"/>
  <c r="EH67" i="44"/>
  <c r="EF88" i="44"/>
  <c r="EB88" i="44"/>
  <c r="EA88" i="44"/>
  <c r="EK88" i="44"/>
  <c r="EJ88" i="44"/>
  <c r="DX88" i="44"/>
  <c r="EI88" i="44"/>
  <c r="EH88" i="44"/>
  <c r="EB76" i="44"/>
  <c r="EA76" i="44"/>
  <c r="EJ76" i="44"/>
  <c r="DX76" i="44"/>
  <c r="EI76" i="44"/>
  <c r="EH76" i="44"/>
  <c r="EF76" i="44"/>
  <c r="DX125" i="44"/>
  <c r="DY125" i="44"/>
  <c r="EJ173" i="44"/>
  <c r="DX173" i="44"/>
  <c r="EI173" i="44"/>
  <c r="EH173" i="44"/>
  <c r="EF173" i="44"/>
  <c r="EB173" i="44"/>
  <c r="EA173" i="44"/>
  <c r="DX137" i="44"/>
  <c r="DY137" i="44"/>
  <c r="DX245" i="44"/>
  <c r="DY245" i="44"/>
  <c r="EA101" i="44"/>
  <c r="EJ101" i="44"/>
  <c r="DX101" i="44"/>
  <c r="EI101" i="44"/>
  <c r="EB101" i="44"/>
  <c r="EH101" i="44"/>
  <c r="EF101" i="44"/>
  <c r="EF122" i="44"/>
  <c r="EB122" i="44"/>
  <c r="EA122" i="44"/>
  <c r="EH122" i="44"/>
  <c r="DX122" i="44"/>
  <c r="EI122" i="44"/>
  <c r="DY86" i="44"/>
  <c r="DX86" i="44"/>
  <c r="DY138" i="44"/>
  <c r="DX138" i="44"/>
  <c r="EF99" i="44"/>
  <c r="EB99" i="44"/>
  <c r="EA99" i="44"/>
  <c r="EJ99" i="44"/>
  <c r="DX99" i="44"/>
  <c r="EI99" i="44"/>
  <c r="EH99" i="44"/>
  <c r="EJ69" i="44"/>
  <c r="DX69" i="44"/>
  <c r="EI69" i="44"/>
  <c r="EH69" i="44"/>
  <c r="EF69" i="44"/>
  <c r="EA69" i="44"/>
  <c r="EB69" i="44"/>
  <c r="EA116" i="44"/>
  <c r="DX116" i="44"/>
  <c r="EI116" i="44"/>
  <c r="EH116" i="44"/>
  <c r="EB116" i="44"/>
  <c r="EF116" i="44"/>
  <c r="DY118" i="44"/>
  <c r="DX118" i="44"/>
  <c r="EB127" i="44"/>
  <c r="EA127" i="44"/>
  <c r="DX127" i="44"/>
  <c r="EI127" i="44"/>
  <c r="EH127" i="44"/>
  <c r="EF127" i="44"/>
  <c r="EB157" i="44"/>
  <c r="EA157" i="44"/>
  <c r="DX157" i="44"/>
  <c r="EI157" i="44"/>
  <c r="EH157" i="44"/>
  <c r="EF157" i="44"/>
  <c r="DY272" i="44"/>
  <c r="DX272" i="44"/>
  <c r="EA97" i="44"/>
  <c r="EJ97" i="44"/>
  <c r="DX97" i="44"/>
  <c r="EI97" i="44"/>
  <c r="EH97" i="44"/>
  <c r="EF97" i="44"/>
  <c r="EB97" i="44"/>
  <c r="EH103" i="44"/>
  <c r="EF103" i="44"/>
  <c r="EB103" i="44"/>
  <c r="EA103" i="44"/>
  <c r="EJ103" i="44"/>
  <c r="DX103" i="44"/>
  <c r="EI103" i="44"/>
  <c r="EE34" i="44"/>
  <c r="FH34" i="44"/>
  <c r="EX34" i="44"/>
  <c r="FI34" i="44"/>
  <c r="DY130" i="44"/>
  <c r="DX130" i="44"/>
  <c r="DY271" i="44"/>
  <c r="DX271" i="44"/>
  <c r="EB68" i="44"/>
  <c r="EA68" i="44"/>
  <c r="EJ68" i="44"/>
  <c r="DX68" i="44"/>
  <c r="EI68" i="44"/>
  <c r="EH68" i="44"/>
  <c r="EF68" i="44"/>
  <c r="DY273" i="44"/>
  <c r="DX273" i="44"/>
  <c r="EA152" i="44"/>
  <c r="DX152" i="44"/>
  <c r="EB152" i="44"/>
  <c r="EI152" i="44"/>
  <c r="EH152" i="44"/>
  <c r="EF152" i="44"/>
  <c r="EF134" i="44"/>
  <c r="EH134" i="44"/>
  <c r="EB134" i="44"/>
  <c r="EA134" i="44"/>
  <c r="DX134" i="44"/>
  <c r="EI134" i="44"/>
  <c r="EI87" i="44"/>
  <c r="EH87" i="44"/>
  <c r="EF87" i="44"/>
  <c r="DX87" i="44"/>
  <c r="EB87" i="44"/>
  <c r="EA87" i="44"/>
  <c r="EK87" i="44"/>
  <c r="EJ87" i="44"/>
  <c r="DY239" i="44"/>
  <c r="DX239" i="44"/>
  <c r="EF92" i="44"/>
  <c r="EB92" i="44"/>
  <c r="EA92" i="44"/>
  <c r="EK92" i="44"/>
  <c r="EJ92" i="44"/>
  <c r="DX92" i="44"/>
  <c r="EI92" i="44"/>
  <c r="EH92" i="44"/>
  <c r="EE35" i="44"/>
  <c r="EX35" i="44"/>
  <c r="FI35" i="44"/>
  <c r="FH35" i="44"/>
  <c r="EF79" i="44"/>
  <c r="EB79" i="44"/>
  <c r="EA79" i="44"/>
  <c r="EJ79" i="44"/>
  <c r="DX79" i="44"/>
  <c r="EI79" i="44"/>
  <c r="EH79" i="44"/>
  <c r="EA120" i="44"/>
  <c r="DX120" i="44"/>
  <c r="EB120" i="44"/>
  <c r="EI120" i="44"/>
  <c r="EH120" i="44"/>
  <c r="EF120" i="44"/>
  <c r="EH46" i="44"/>
  <c r="EF46" i="44"/>
  <c r="EB46" i="44"/>
  <c r="EA46" i="44"/>
  <c r="EL46" i="44"/>
  <c r="EK46" i="44"/>
  <c r="EJ46" i="44"/>
  <c r="DX46" i="44"/>
  <c r="EI46" i="44"/>
  <c r="EA185" i="44"/>
  <c r="EL185" i="44"/>
  <c r="EB185" i="44"/>
  <c r="EK185" i="44"/>
  <c r="EJ185" i="44"/>
  <c r="DX185" i="44"/>
  <c r="EI185" i="44"/>
  <c r="EH185" i="44"/>
  <c r="EF185" i="44"/>
  <c r="DY269" i="44"/>
  <c r="DX269" i="44"/>
  <c r="EA136" i="44"/>
  <c r="DX136" i="44"/>
  <c r="EI136" i="44"/>
  <c r="EH136" i="44"/>
  <c r="EB136" i="44"/>
  <c r="EF136" i="44"/>
  <c r="EB96" i="44"/>
  <c r="EA96" i="44"/>
  <c r="EJ96" i="44"/>
  <c r="DX96" i="44"/>
  <c r="EI96" i="44"/>
  <c r="EH96" i="44"/>
  <c r="EF96" i="44"/>
  <c r="DY131" i="44"/>
  <c r="DX131" i="44"/>
  <c r="EC72" i="44"/>
  <c r="EB72" i="44"/>
  <c r="EA72" i="44"/>
  <c r="DX72" i="44"/>
  <c r="EB100" i="44"/>
  <c r="EA100" i="44"/>
  <c r="EJ100" i="44"/>
  <c r="DX100" i="44"/>
  <c r="EI100" i="44"/>
  <c r="EH100" i="44"/>
  <c r="EF100" i="44"/>
  <c r="EB50" i="44"/>
  <c r="EA50" i="44"/>
  <c r="EL50" i="44"/>
  <c r="EK50" i="44"/>
  <c r="EJ50" i="44"/>
  <c r="DX50" i="44"/>
  <c r="EI50" i="44"/>
  <c r="EH50" i="44"/>
  <c r="EF50" i="44"/>
  <c r="DY139" i="44"/>
  <c r="DX139" i="44"/>
  <c r="EF242" i="44"/>
  <c r="EB242" i="44"/>
  <c r="EA242" i="44"/>
  <c r="EH242" i="44"/>
  <c r="DX242" i="44"/>
  <c r="EI242" i="44"/>
  <c r="DY240" i="44"/>
  <c r="DX240" i="44"/>
  <c r="EB89" i="44"/>
  <c r="EA89" i="44"/>
  <c r="EK89" i="44"/>
  <c r="EJ89" i="44"/>
  <c r="DX89" i="44"/>
  <c r="EI89" i="44"/>
  <c r="EH89" i="44"/>
  <c r="EF89" i="44"/>
  <c r="EA171" i="44"/>
  <c r="EJ171" i="44"/>
  <c r="DX171" i="44"/>
  <c r="EI171" i="44"/>
  <c r="EH171" i="44"/>
  <c r="EB171" i="44"/>
  <c r="EF171" i="44"/>
  <c r="EC75" i="44"/>
  <c r="EB75" i="44"/>
  <c r="EA75" i="44"/>
  <c r="DX75" i="44"/>
  <c r="EH265" i="44"/>
  <c r="EF265" i="44"/>
  <c r="EB265" i="44"/>
  <c r="EI265" i="44"/>
  <c r="EA265" i="44"/>
  <c r="DX265" i="44"/>
  <c r="DY244" i="44"/>
  <c r="DX244" i="44"/>
  <c r="DY81" i="44"/>
  <c r="DX81" i="44"/>
  <c r="DY80" i="44"/>
  <c r="DX80" i="44"/>
  <c r="EI78" i="44"/>
  <c r="EH78" i="44"/>
  <c r="EF78" i="44"/>
  <c r="EJ78" i="44"/>
  <c r="DX78" i="44"/>
  <c r="EB78" i="44"/>
  <c r="EA78" i="44"/>
  <c r="EK90" i="44"/>
  <c r="EJ90" i="44"/>
  <c r="DX90" i="44"/>
  <c r="EI90" i="44"/>
  <c r="EH90" i="44"/>
  <c r="EA90" i="44"/>
  <c r="EF90" i="44"/>
  <c r="EB90" i="44"/>
  <c r="EF83" i="44"/>
  <c r="EB83" i="44"/>
  <c r="EA83" i="44"/>
  <c r="EK83" i="44"/>
  <c r="EJ83" i="44"/>
  <c r="DX83" i="44"/>
  <c r="EI83" i="44"/>
  <c r="EH83" i="44"/>
  <c r="EB104" i="44"/>
  <c r="EA104" i="44"/>
  <c r="EJ104" i="44"/>
  <c r="DX104" i="44"/>
  <c r="EI104" i="44"/>
  <c r="EH104" i="44"/>
  <c r="EF104" i="44"/>
  <c r="DY132" i="44"/>
  <c r="DX132" i="44"/>
  <c r="EA105" i="44"/>
  <c r="EJ105" i="44"/>
  <c r="DX105" i="44"/>
  <c r="EB105" i="44"/>
  <c r="EI105" i="44"/>
  <c r="EH105" i="44"/>
  <c r="EF105" i="44"/>
  <c r="DY124" i="44"/>
  <c r="DX124" i="44"/>
  <c r="EB53" i="44"/>
  <c r="EA53" i="44"/>
  <c r="EL53" i="44"/>
  <c r="EK53" i="44"/>
  <c r="EF53" i="44"/>
  <c r="EJ53" i="44"/>
  <c r="DX53" i="44"/>
  <c r="EI53" i="44"/>
  <c r="EH53" i="44"/>
  <c r="EK51" i="44"/>
  <c r="EJ51" i="44"/>
  <c r="DX51" i="44"/>
  <c r="EI51" i="44"/>
  <c r="EH51" i="44"/>
  <c r="EF51" i="44"/>
  <c r="EB51" i="44"/>
  <c r="EA51" i="44"/>
  <c r="EL51" i="44"/>
  <c r="EJ77" i="44"/>
  <c r="DX77" i="44"/>
  <c r="EI77" i="44"/>
  <c r="EH77" i="44"/>
  <c r="EF77" i="44"/>
  <c r="EB77" i="44"/>
  <c r="EA77" i="44"/>
  <c r="EB54" i="44"/>
  <c r="EA54" i="44"/>
  <c r="EL54" i="44"/>
  <c r="EK54" i="44"/>
  <c r="EJ54" i="44"/>
  <c r="DX54" i="44"/>
  <c r="EI54" i="44"/>
  <c r="EH54" i="44"/>
  <c r="EF54" i="44"/>
  <c r="DY84" i="44"/>
  <c r="DX84" i="44"/>
  <c r="EK55" i="44"/>
  <c r="EJ55" i="44"/>
  <c r="DX55" i="44"/>
  <c r="EI55" i="44"/>
  <c r="EH55" i="44"/>
  <c r="EF55" i="44"/>
  <c r="EL55" i="44"/>
  <c r="EB55" i="44"/>
  <c r="EA55" i="44"/>
  <c r="EJ106" i="44"/>
  <c r="DX106" i="44"/>
  <c r="EI106" i="44"/>
  <c r="EH106" i="44"/>
  <c r="EF106" i="44"/>
  <c r="EB106" i="44"/>
  <c r="EA106" i="44"/>
  <c r="DY123" i="44"/>
  <c r="DX123" i="44"/>
  <c r="DY119" i="44"/>
  <c r="DX119" i="44"/>
  <c r="DX117" i="44"/>
  <c r="DY117" i="44"/>
  <c r="EI91" i="44"/>
  <c r="EH91" i="44"/>
  <c r="DX91" i="44"/>
  <c r="EF91" i="44"/>
  <c r="EJ91" i="44"/>
  <c r="EB91" i="44"/>
  <c r="EA91" i="44"/>
  <c r="EK91" i="44"/>
  <c r="EA128" i="44"/>
  <c r="EB128" i="44"/>
  <c r="DX128" i="44"/>
  <c r="EI128" i="44"/>
  <c r="EH128" i="44"/>
  <c r="EF128" i="44"/>
  <c r="EB48" i="44"/>
  <c r="EF48" i="44"/>
  <c r="EA48" i="44"/>
  <c r="EL48" i="44"/>
  <c r="EK48" i="44"/>
  <c r="EJ48" i="44"/>
  <c r="DX48" i="44"/>
  <c r="EI48" i="44"/>
  <c r="EH48" i="44"/>
  <c r="EH52" i="44"/>
  <c r="EF52" i="44"/>
  <c r="EI52" i="44"/>
  <c r="EB52" i="44"/>
  <c r="EA52" i="44"/>
  <c r="EL52" i="44"/>
  <c r="EK52" i="44"/>
  <c r="EJ52" i="44"/>
  <c r="DX52" i="44"/>
  <c r="DX70" i="44"/>
  <c r="DY70" i="44"/>
  <c r="EF71" i="44"/>
  <c r="EB71" i="44"/>
  <c r="EA71" i="44"/>
  <c r="EJ71" i="44"/>
  <c r="DX71" i="44"/>
  <c r="EI71" i="44"/>
  <c r="EH71" i="44"/>
  <c r="DX73" i="44"/>
  <c r="EA73" i="44"/>
  <c r="EC73" i="44"/>
  <c r="EB73" i="44"/>
  <c r="EC74" i="44"/>
  <c r="EB74" i="44"/>
  <c r="EA74" i="44"/>
  <c r="DX74" i="44"/>
  <c r="DY274" i="44"/>
  <c r="DX274" i="44"/>
  <c r="EX36" i="44"/>
  <c r="FI36" i="44"/>
  <c r="FH36" i="44"/>
  <c r="EE36" i="44"/>
  <c r="FA289" i="44"/>
  <c r="FA448" i="44" s="1"/>
  <c r="EZ289" i="44"/>
  <c r="EY289" i="44"/>
  <c r="EX289" i="44"/>
  <c r="G32" i="52"/>
  <c r="G26" i="52"/>
  <c r="G20" i="52"/>
  <c r="G14" i="52"/>
  <c r="I3" i="52"/>
  <c r="J3" i="52" s="1"/>
  <c r="I2" i="52"/>
  <c r="J2" i="52" s="1"/>
  <c r="I7" i="52"/>
  <c r="J7" i="52" s="1"/>
  <c r="I9" i="52"/>
  <c r="J9" i="52" s="1"/>
  <c r="D133" i="9"/>
  <c r="D132" i="9"/>
  <c r="D131" i="9"/>
  <c r="D130" i="9"/>
  <c r="D129" i="9"/>
  <c r="D128" i="9"/>
  <c r="D127" i="9"/>
  <c r="D125" i="9"/>
  <c r="D124" i="9"/>
  <c r="D123" i="9"/>
  <c r="D122" i="9"/>
  <c r="D121" i="9"/>
  <c r="D120" i="9"/>
  <c r="D119" i="9"/>
  <c r="D118" i="9"/>
  <c r="D117" i="9"/>
  <c r="D116" i="9"/>
  <c r="D115" i="9"/>
  <c r="D112" i="9"/>
  <c r="D111" i="9"/>
  <c r="D110" i="9"/>
  <c r="D109" i="9"/>
  <c r="D108" i="9"/>
  <c r="D107" i="9"/>
  <c r="D106" i="9"/>
  <c r="D105" i="9"/>
  <c r="D103" i="9"/>
  <c r="D102" i="9"/>
  <c r="D101" i="9"/>
  <c r="D100" i="9"/>
  <c r="D99" i="9"/>
  <c r="D98" i="9"/>
  <c r="D97" i="9"/>
  <c r="D96" i="9"/>
  <c r="D95" i="9"/>
  <c r="D94" i="9"/>
  <c r="D93" i="9"/>
  <c r="D92" i="9"/>
  <c r="D89" i="9"/>
  <c r="D88" i="9"/>
  <c r="D87" i="9"/>
  <c r="D86" i="9"/>
  <c r="D85" i="9"/>
  <c r="D84" i="9"/>
  <c r="D82" i="9"/>
  <c r="D81" i="9"/>
  <c r="D80" i="9"/>
  <c r="D79" i="9"/>
  <c r="D78" i="9"/>
  <c r="D77" i="9"/>
  <c r="D76" i="9"/>
  <c r="D75" i="9"/>
  <c r="D74" i="9"/>
  <c r="D73" i="9"/>
  <c r="D71" i="9"/>
  <c r="D70" i="9"/>
  <c r="D69" i="9"/>
  <c r="D68" i="9"/>
  <c r="D67" i="9"/>
  <c r="D66" i="9"/>
  <c r="D65" i="9"/>
  <c r="D64" i="9"/>
  <c r="D63" i="9"/>
  <c r="D62" i="9"/>
  <c r="D61" i="9"/>
  <c r="D60" i="9"/>
  <c r="D59" i="9"/>
  <c r="D58" i="9"/>
  <c r="D57" i="9"/>
  <c r="D56" i="9"/>
  <c r="D55" i="9"/>
  <c r="D53" i="9"/>
  <c r="D52" i="9"/>
  <c r="D51" i="9"/>
  <c r="D50" i="9"/>
  <c r="D49" i="9"/>
  <c r="D48" i="9"/>
  <c r="D47" i="9"/>
  <c r="D46" i="9"/>
  <c r="D45" i="9"/>
  <c r="D44" i="9"/>
  <c r="D43" i="9"/>
  <c r="D41" i="9"/>
  <c r="D40" i="9"/>
  <c r="D39" i="9"/>
  <c r="D38" i="9"/>
  <c r="D37" i="9"/>
  <c r="D36" i="9"/>
  <c r="D35" i="9"/>
  <c r="D34" i="9"/>
  <c r="D33" i="9"/>
  <c r="D32" i="9"/>
  <c r="D31" i="9"/>
  <c r="D30" i="9"/>
  <c r="D29" i="9"/>
  <c r="D28" i="9"/>
  <c r="D27" i="9"/>
  <c r="D26" i="9"/>
  <c r="D25" i="9"/>
  <c r="D23" i="9"/>
  <c r="D22" i="9"/>
  <c r="D21" i="9"/>
  <c r="D20" i="9"/>
  <c r="D19" i="9"/>
  <c r="D18" i="9"/>
  <c r="D17" i="9"/>
  <c r="D16" i="9"/>
  <c r="D15" i="9"/>
  <c r="D14" i="9"/>
  <c r="D13" i="9"/>
  <c r="D12" i="9"/>
  <c r="D11" i="9"/>
  <c r="D10" i="9"/>
  <c r="D9" i="9"/>
  <c r="D8" i="9"/>
  <c r="D7" i="9"/>
  <c r="AU44" i="45"/>
  <c r="AM44" i="45"/>
  <c r="AL44" i="45"/>
  <c r="AK44" i="45"/>
  <c r="AJ44" i="45"/>
  <c r="AI44" i="45"/>
  <c r="AD44" i="45"/>
  <c r="AC44" i="45"/>
  <c r="W44" i="45"/>
  <c r="X44" i="45" s="1"/>
  <c r="S44" i="45"/>
  <c r="P44" i="45"/>
  <c r="N44" i="45"/>
  <c r="GM292" i="39" l="1"/>
  <c r="FM450" i="44"/>
  <c r="FM451" i="44" s="1"/>
  <c r="FM453" i="44"/>
  <c r="FM454" i="44" s="1"/>
  <c r="AB51" i="9"/>
  <c r="AB39" i="9"/>
  <c r="AB29" i="9"/>
  <c r="AB27" i="9"/>
  <c r="AB30" i="9"/>
  <c r="AB43" i="9"/>
  <c r="AB31" i="9"/>
  <c r="AB44" i="9"/>
  <c r="AB57" i="9"/>
  <c r="AB38" i="9"/>
  <c r="AB32" i="9"/>
  <c r="AB45" i="9"/>
  <c r="AB58" i="9"/>
  <c r="AB52" i="9"/>
  <c r="AB33" i="9"/>
  <c r="AB46" i="9"/>
  <c r="AB59" i="9"/>
  <c r="AB28" i="9"/>
  <c r="AB9" i="9"/>
  <c r="AB34" i="9"/>
  <c r="AB47" i="9"/>
  <c r="AB60" i="9"/>
  <c r="AB86" i="9"/>
  <c r="AB40" i="9"/>
  <c r="AB10" i="9"/>
  <c r="AB35" i="9"/>
  <c r="AB48" i="9"/>
  <c r="AB36" i="9"/>
  <c r="AB49" i="9"/>
  <c r="AB88" i="9"/>
  <c r="AB12" i="9"/>
  <c r="AB37" i="9"/>
  <c r="AB50" i="9"/>
  <c r="AB89" i="9"/>
  <c r="AB8" i="9"/>
  <c r="R38" i="9"/>
  <c r="R52" i="9"/>
  <c r="R40" i="9"/>
  <c r="R29" i="9"/>
  <c r="R27" i="9"/>
  <c r="R28" i="9"/>
  <c r="R30" i="9"/>
  <c r="R43" i="9"/>
  <c r="R8" i="9"/>
  <c r="R45" i="9"/>
  <c r="R33" i="9"/>
  <c r="R46" i="9"/>
  <c r="R59" i="9"/>
  <c r="R39" i="9"/>
  <c r="R31" i="9"/>
  <c r="R32" i="9"/>
  <c r="R58" i="9"/>
  <c r="R9" i="9"/>
  <c r="R34" i="9"/>
  <c r="R47" i="9"/>
  <c r="R60" i="9"/>
  <c r="R86" i="9"/>
  <c r="R51" i="9"/>
  <c r="R10" i="9"/>
  <c r="R35" i="9"/>
  <c r="R48" i="9"/>
  <c r="R57" i="9"/>
  <c r="R88" i="9"/>
  <c r="R44" i="9"/>
  <c r="R36" i="9"/>
  <c r="R49" i="9"/>
  <c r="R12" i="9"/>
  <c r="R37" i="9"/>
  <c r="R50" i="9"/>
  <c r="R89" i="9"/>
  <c r="AN44" i="45"/>
  <c r="Z44" i="45"/>
  <c r="AA44" i="45"/>
  <c r="AB44" i="45"/>
  <c r="AG44" i="45"/>
  <c r="AH44" i="45" s="1"/>
  <c r="C27" i="45"/>
  <c r="C26" i="45"/>
  <c r="C25" i="45"/>
  <c r="C24" i="45"/>
  <c r="C23" i="45"/>
  <c r="C22" i="45"/>
  <c r="C21" i="45"/>
  <c r="C11" i="45"/>
  <c r="C10" i="45"/>
  <c r="C9" i="45"/>
  <c r="S7" i="31"/>
  <c r="AO44" i="45" l="1"/>
  <c r="AP44" i="45" s="1"/>
  <c r="AC64" i="50"/>
  <c r="AU80" i="31"/>
  <c r="AU79" i="31"/>
  <c r="AU62" i="31"/>
  <c r="AU61" i="31"/>
  <c r="AU60" i="31"/>
  <c r="AU58" i="31"/>
  <c r="AU55" i="31"/>
  <c r="AU54" i="31"/>
  <c r="AU53" i="31"/>
  <c r="AU52" i="31"/>
  <c r="AU51" i="31"/>
  <c r="AU50" i="31"/>
  <c r="AU48" i="31"/>
  <c r="AU47" i="31"/>
  <c r="AU45" i="31"/>
  <c r="AU7" i="31"/>
  <c r="AQ44" i="45" l="1"/>
  <c r="AW44" i="45"/>
  <c r="AV44" i="45"/>
  <c r="AR44" i="45"/>
  <c r="AS44" i="45" s="1"/>
  <c r="AX44" i="45"/>
  <c r="A116" i="9" l="1"/>
  <c r="A117" i="9" s="1"/>
  <c r="A118" i="9" s="1"/>
  <c r="A119" i="9" s="1"/>
  <c r="A120" i="9" s="1"/>
  <c r="A121" i="9" s="1"/>
  <c r="A122" i="9" s="1"/>
  <c r="A123" i="9" s="1"/>
  <c r="A124" i="9" s="1"/>
  <c r="A125" i="9" s="1"/>
  <c r="A93" i="9"/>
  <c r="A94" i="9" s="1"/>
  <c r="A95" i="9" s="1"/>
  <c r="A96" i="9" s="1"/>
  <c r="A97" i="9" s="1"/>
  <c r="A98" i="9" s="1"/>
  <c r="A99" i="9" s="1"/>
  <c r="A100" i="9" s="1"/>
  <c r="A101" i="9" s="1"/>
  <c r="A102" i="9" s="1"/>
  <c r="A103" i="9" s="1"/>
  <c r="A105" i="9" s="1"/>
  <c r="A106" i="9" s="1"/>
  <c r="A107" i="9" s="1"/>
  <c r="A108" i="9" s="1"/>
  <c r="A109" i="9" s="1"/>
  <c r="A110" i="9" s="1"/>
  <c r="A111" i="9" s="1"/>
  <c r="A112" i="9" s="1"/>
  <c r="S113" i="9"/>
  <c r="AZ44" i="45"/>
  <c r="P18" i="31"/>
  <c r="C48" i="45" l="1"/>
  <c r="C47" i="45"/>
  <c r="C46" i="45"/>
  <c r="C45" i="45"/>
  <c r="C44" i="45"/>
  <c r="C43" i="45"/>
  <c r="C42" i="45"/>
  <c r="C41" i="45"/>
  <c r="C39" i="45"/>
  <c r="C38" i="45"/>
  <c r="C37" i="45"/>
  <c r="C36" i="45"/>
  <c r="C35" i="45"/>
  <c r="C34" i="45"/>
  <c r="C33" i="45"/>
  <c r="C32" i="45"/>
  <c r="C31" i="45"/>
  <c r="C30" i="45"/>
  <c r="C8" i="45"/>
  <c r="AU95" i="45"/>
  <c r="AU94" i="45"/>
  <c r="AU93" i="45"/>
  <c r="AU92" i="45"/>
  <c r="AU91" i="45"/>
  <c r="AU90" i="45"/>
  <c r="AU89" i="45"/>
  <c r="AU88" i="45"/>
  <c r="AU87" i="45"/>
  <c r="AU86" i="45"/>
  <c r="AU85" i="45"/>
  <c r="AU84" i="45"/>
  <c r="AU83" i="45"/>
  <c r="AU82" i="45"/>
  <c r="AU81" i="45"/>
  <c r="AU80" i="45"/>
  <c r="AU79" i="45"/>
  <c r="AU78" i="45"/>
  <c r="AU77" i="45"/>
  <c r="AU76" i="45"/>
  <c r="AU75" i="45"/>
  <c r="AU74" i="45"/>
  <c r="AU73" i="45"/>
  <c r="AU72" i="45"/>
  <c r="AU71" i="45"/>
  <c r="AU70" i="45"/>
  <c r="AU69" i="45"/>
  <c r="AU68" i="45"/>
  <c r="AU67" i="45"/>
  <c r="AU66" i="45"/>
  <c r="AU46" i="45"/>
  <c r="AU45" i="45"/>
  <c r="AU43" i="45"/>
  <c r="AU42" i="45"/>
  <c r="AU41" i="45"/>
  <c r="AU39" i="45"/>
  <c r="AU38" i="45"/>
  <c r="AU37" i="45"/>
  <c r="AU36" i="45"/>
  <c r="AU35" i="45"/>
  <c r="AU34" i="45"/>
  <c r="AU33" i="45"/>
  <c r="AU32" i="45"/>
  <c r="AU31" i="45"/>
  <c r="AU30" i="45"/>
  <c r="AU21" i="45"/>
  <c r="R19" i="21" l="1"/>
  <c r="S45" i="31"/>
  <c r="S10" i="31"/>
  <c r="S9" i="31"/>
  <c r="S8" i="31"/>
  <c r="AU64" i="50"/>
  <c r="AY7" i="50"/>
  <c r="AY9" i="50" s="1"/>
  <c r="AY11" i="50" s="1"/>
  <c r="AY12" i="50" s="1"/>
  <c r="AX7" i="50"/>
  <c r="AX9" i="50" s="1"/>
  <c r="AX11" i="50" s="1"/>
  <c r="AX12" i="50" s="1"/>
  <c r="AY40" i="50" l="1"/>
  <c r="FR110" i="45"/>
  <c r="AX36" i="50"/>
  <c r="AY36" i="50"/>
  <c r="AY20" i="50" l="1"/>
  <c r="AY22" i="50" s="1"/>
  <c r="AY27" i="50" s="1"/>
  <c r="AY33" i="50" s="1"/>
  <c r="AX42" i="50"/>
  <c r="AY42" i="50"/>
  <c r="AX40" i="50"/>
  <c r="FR107" i="45"/>
  <c r="FR105" i="45"/>
  <c r="FR111" i="45" s="1"/>
  <c r="FR108" i="45"/>
  <c r="FR104" i="45"/>
  <c r="FS104" i="45"/>
  <c r="FS105" i="45"/>
  <c r="FS111" i="45" s="1"/>
  <c r="FS107" i="45"/>
  <c r="FS108" i="45"/>
  <c r="FS110" i="45"/>
  <c r="FK451" i="44"/>
  <c r="FK457" i="44" s="1"/>
  <c r="FK454" i="44"/>
  <c r="FL451" i="44"/>
  <c r="FL450" i="44"/>
  <c r="FL453" i="44"/>
  <c r="FL454" i="44" s="1"/>
  <c r="FK450" i="44"/>
  <c r="FK456" i="44"/>
  <c r="FK453" i="44"/>
  <c r="FL456" i="44" l="1"/>
  <c r="FL457" i="44"/>
  <c r="I7" i="50" l="1"/>
  <c r="I9" i="50" s="1"/>
  <c r="I11" i="50" s="1"/>
  <c r="I12" i="50" s="1"/>
  <c r="U7" i="50"/>
  <c r="U9" i="50" s="1"/>
  <c r="U11" i="50" s="1"/>
  <c r="U12" i="50" s="1"/>
  <c r="G7" i="50"/>
  <c r="G9" i="50" s="1"/>
  <c r="AH7" i="50"/>
  <c r="AH9" i="50" s="1"/>
  <c r="AW7" i="50"/>
  <c r="AW9" i="50" s="1"/>
  <c r="X7" i="50"/>
  <c r="X9" i="50" s="1"/>
  <c r="V7" i="50"/>
  <c r="V9" i="50" s="1"/>
  <c r="AP7" i="50"/>
  <c r="AP9" i="50" s="1"/>
  <c r="AN7" i="50"/>
  <c r="AN9" i="50" s="1"/>
  <c r="L7" i="50"/>
  <c r="L9" i="50" s="1"/>
  <c r="E7" i="50"/>
  <c r="E9" i="50" s="1"/>
  <c r="AT7" i="50"/>
  <c r="AT9" i="50" s="1"/>
  <c r="BA7" i="50"/>
  <c r="BA9" i="50" s="1"/>
  <c r="AA7" i="50"/>
  <c r="AA9" i="50" s="1"/>
  <c r="J7" i="50"/>
  <c r="J9" i="50" s="1"/>
  <c r="AD7" i="50"/>
  <c r="AD9" i="50" s="1"/>
  <c r="AB7" i="50"/>
  <c r="AB9" i="50" s="1"/>
  <c r="AU7" i="50"/>
  <c r="AU9" i="50" s="1"/>
  <c r="R7" i="50"/>
  <c r="R9" i="50" s="1"/>
  <c r="F7" i="50"/>
  <c r="F9" i="50" s="1"/>
  <c r="H7" i="50"/>
  <c r="H9" i="50" s="1"/>
  <c r="Y7" i="50"/>
  <c r="Y9" i="50" s="1"/>
  <c r="AZ7" i="50"/>
  <c r="AZ9" i="50" s="1"/>
  <c r="AS7" i="50"/>
  <c r="AS9" i="50" s="1"/>
  <c r="AV7" i="50"/>
  <c r="AV9" i="50" s="1"/>
  <c r="AR7" i="50"/>
  <c r="AR9" i="50" s="1"/>
  <c r="AF7" i="50"/>
  <c r="AF9" i="50" s="1"/>
  <c r="K7" i="50"/>
  <c r="K9" i="50" s="1"/>
  <c r="M7" i="50"/>
  <c r="M9" i="50" s="1"/>
  <c r="AO7" i="50"/>
  <c r="AO9" i="50" s="1"/>
  <c r="AG7" i="50"/>
  <c r="AG9" i="50" s="1"/>
  <c r="S7" i="50"/>
  <c r="S9" i="50" s="1"/>
  <c r="W7" i="50"/>
  <c r="W9" i="50" s="1"/>
  <c r="O7" i="50"/>
  <c r="O9" i="50" s="1"/>
  <c r="AQ7" i="50"/>
  <c r="AQ9" i="50" s="1"/>
  <c r="AC7" i="50"/>
  <c r="AC9" i="50" s="1"/>
  <c r="Z7" i="50"/>
  <c r="Z9" i="50" s="1"/>
  <c r="P7" i="50"/>
  <c r="P9" i="50" s="1"/>
  <c r="AM7" i="50"/>
  <c r="AM9" i="50" s="1"/>
  <c r="T7" i="50"/>
  <c r="T9" i="50" s="1"/>
  <c r="AE7" i="50"/>
  <c r="AE9" i="50" s="1"/>
  <c r="Q7" i="50"/>
  <c r="Q9" i="50" s="1"/>
  <c r="N7" i="50"/>
  <c r="N9" i="50" s="1"/>
  <c r="AV11" i="50" l="1"/>
  <c r="AV12" i="50" s="1"/>
  <c r="P11" i="50"/>
  <c r="P12" i="50" s="1"/>
  <c r="Y11" i="50"/>
  <c r="Y12" i="50" s="1"/>
  <c r="AB11" i="50"/>
  <c r="AB12" i="50" s="1"/>
  <c r="E11" i="50"/>
  <c r="E12" i="50" s="1"/>
  <c r="AQ11" i="50"/>
  <c r="AQ12" i="50" s="1"/>
  <c r="N11" i="50"/>
  <c r="N12" i="50" s="1"/>
  <c r="S11" i="50"/>
  <c r="S12" i="50" s="1"/>
  <c r="AF11" i="50"/>
  <c r="AF12" i="50" s="1"/>
  <c r="AW11" i="50"/>
  <c r="AW12" i="50" s="1"/>
  <c r="Z11" i="50"/>
  <c r="Z12" i="50" s="1"/>
  <c r="H11" i="50"/>
  <c r="H12" i="50" s="1"/>
  <c r="AD11" i="50"/>
  <c r="AD12" i="50" s="1"/>
  <c r="L11" i="50"/>
  <c r="L12" i="50" s="1"/>
  <c r="Q11" i="50"/>
  <c r="Q12" i="50" s="1"/>
  <c r="AG11" i="50"/>
  <c r="AG12" i="50" s="1"/>
  <c r="AH11" i="50"/>
  <c r="AH12" i="50" s="1"/>
  <c r="AC11" i="50"/>
  <c r="AC12" i="50" s="1"/>
  <c r="AR11" i="50"/>
  <c r="AR12" i="50" s="1"/>
  <c r="J11" i="50"/>
  <c r="J12" i="50" s="1"/>
  <c r="AN11" i="50"/>
  <c r="AN12" i="50" s="1"/>
  <c r="AE11" i="50"/>
  <c r="AE12" i="50" s="1"/>
  <c r="AO11" i="50"/>
  <c r="AO12" i="50" s="1"/>
  <c r="G11" i="50"/>
  <c r="G12" i="50" s="1"/>
  <c r="T11" i="50"/>
  <c r="T12" i="50" s="1"/>
  <c r="AS11" i="50"/>
  <c r="AS12" i="50" s="1"/>
  <c r="R11" i="50"/>
  <c r="R12" i="50" s="1"/>
  <c r="BA11" i="50"/>
  <c r="BA12" i="50" s="1"/>
  <c r="V11" i="50"/>
  <c r="V12" i="50" s="1"/>
  <c r="AP11" i="50"/>
  <c r="AP12" i="50" s="1"/>
  <c r="O11" i="50"/>
  <c r="O12" i="50" s="1"/>
  <c r="M11" i="50"/>
  <c r="M12" i="50" s="1"/>
  <c r="F11" i="50"/>
  <c r="F12" i="50" s="1"/>
  <c r="AM11" i="50"/>
  <c r="AM12" i="50" s="1"/>
  <c r="AZ11" i="50"/>
  <c r="AZ12" i="50" s="1"/>
  <c r="AU11" i="50"/>
  <c r="AU12" i="50" s="1"/>
  <c r="AT11" i="50"/>
  <c r="AT12" i="50" s="1"/>
  <c r="AA11" i="50"/>
  <c r="AA12" i="50" s="1"/>
  <c r="W11" i="50"/>
  <c r="W12" i="50" s="1"/>
  <c r="K11" i="50"/>
  <c r="K12" i="50" s="1"/>
  <c r="X11" i="50"/>
  <c r="X12" i="50" s="1"/>
  <c r="E95" i="50" l="1"/>
  <c r="E96" i="50"/>
  <c r="E97" i="50"/>
  <c r="E98" i="50"/>
  <c r="E99" i="50"/>
  <c r="E100" i="50"/>
  <c r="AC28" i="39" l="1"/>
  <c r="AC24" i="39"/>
  <c r="AC20" i="39"/>
  <c r="AC60" i="39"/>
  <c r="AC59" i="39"/>
  <c r="AC57" i="39"/>
  <c r="AC55" i="39"/>
  <c r="AC53" i="39"/>
  <c r="AC51" i="39"/>
  <c r="AC49" i="39"/>
  <c r="AC44" i="39"/>
  <c r="AC39" i="39"/>
  <c r="AC33" i="39"/>
  <c r="AC27" i="39"/>
  <c r="AC23" i="39"/>
  <c r="AC19" i="39"/>
  <c r="AC10" i="39"/>
  <c r="AC247" i="39"/>
  <c r="AC246" i="39"/>
  <c r="AC245" i="39"/>
  <c r="AC244" i="39"/>
  <c r="AC243" i="39"/>
  <c r="AC242" i="39"/>
  <c r="AC241" i="39"/>
  <c r="AC240" i="39"/>
  <c r="AC239" i="39"/>
  <c r="AC238" i="39"/>
  <c r="AC237" i="39"/>
  <c r="AC236" i="39"/>
  <c r="AC235" i="39"/>
  <c r="AC234" i="39"/>
  <c r="W161" i="39"/>
  <c r="X161" i="39" s="1"/>
  <c r="AU279" i="39"/>
  <c r="AU278" i="39"/>
  <c r="AU277" i="39"/>
  <c r="AU276" i="39"/>
  <c r="AU275" i="39"/>
  <c r="AU274" i="39"/>
  <c r="AU273" i="39"/>
  <c r="AU272" i="39"/>
  <c r="AU269" i="39"/>
  <c r="AU268" i="39"/>
  <c r="AU267" i="39"/>
  <c r="AU266" i="39"/>
  <c r="AU265" i="39"/>
  <c r="AU264" i="39"/>
  <c r="AU263" i="39"/>
  <c r="AU262" i="39"/>
  <c r="AU261" i="39"/>
  <c r="AU260" i="39"/>
  <c r="AT260" i="39"/>
  <c r="AU259" i="39"/>
  <c r="AT259" i="39"/>
  <c r="AU258" i="39"/>
  <c r="AU257" i="39"/>
  <c r="AU256" i="39"/>
  <c r="AU255" i="39"/>
  <c r="AU254" i="39"/>
  <c r="AU253" i="39"/>
  <c r="AU252" i="39"/>
  <c r="AU247" i="39"/>
  <c r="AT247" i="39"/>
  <c r="AU246" i="39"/>
  <c r="AU245" i="39"/>
  <c r="AU244" i="39"/>
  <c r="AU243" i="39"/>
  <c r="AU242" i="39"/>
  <c r="AU241" i="39"/>
  <c r="AU240" i="39"/>
  <c r="AU239" i="39"/>
  <c r="AU238" i="39"/>
  <c r="AU237" i="39"/>
  <c r="AT237" i="39"/>
  <c r="AU236" i="39"/>
  <c r="AU235" i="39"/>
  <c r="AU234" i="39"/>
  <c r="AU226" i="39"/>
  <c r="AU225" i="39"/>
  <c r="AU224" i="39"/>
  <c r="AU223" i="39"/>
  <c r="AU222" i="39"/>
  <c r="AU221" i="39"/>
  <c r="AU220" i="39"/>
  <c r="AU219" i="39"/>
  <c r="AU218" i="39"/>
  <c r="AU217" i="39"/>
  <c r="AU216" i="39"/>
  <c r="AU215" i="39"/>
  <c r="AU211" i="39"/>
  <c r="AU210" i="39"/>
  <c r="AU209" i="39"/>
  <c r="AU208" i="39"/>
  <c r="AU207" i="39"/>
  <c r="AU206" i="39"/>
  <c r="AU205" i="39"/>
  <c r="AU204" i="39"/>
  <c r="AU203" i="39"/>
  <c r="AU202" i="39"/>
  <c r="AU201" i="39"/>
  <c r="AU200" i="39"/>
  <c r="AU199" i="39"/>
  <c r="AU198" i="39"/>
  <c r="AU193" i="39"/>
  <c r="AU192" i="39"/>
  <c r="AU191" i="39"/>
  <c r="AU190" i="39"/>
  <c r="AU189" i="39"/>
  <c r="AU188" i="39"/>
  <c r="AU187" i="39"/>
  <c r="AU186" i="39"/>
  <c r="AU185" i="39"/>
  <c r="AU184" i="39"/>
  <c r="AU183" i="39"/>
  <c r="AU182" i="39"/>
  <c r="AU181" i="39"/>
  <c r="AU180" i="39"/>
  <c r="AU179" i="39"/>
  <c r="AU178" i="39"/>
  <c r="AU177" i="39"/>
  <c r="AT177" i="39"/>
  <c r="AU176" i="39"/>
  <c r="AT176" i="39"/>
  <c r="AU175" i="39"/>
  <c r="AU174" i="39"/>
  <c r="AT174" i="39"/>
  <c r="AU173" i="39"/>
  <c r="AU172" i="39"/>
  <c r="AU171" i="39"/>
  <c r="AU170" i="39"/>
  <c r="AU169" i="39"/>
  <c r="AU166" i="39"/>
  <c r="AT166" i="39"/>
  <c r="AU165" i="39"/>
  <c r="AU164" i="39"/>
  <c r="AU163" i="39"/>
  <c r="AT163" i="39"/>
  <c r="AU162" i="39"/>
  <c r="AT162" i="39"/>
  <c r="AU161" i="39"/>
  <c r="AT161" i="39"/>
  <c r="AU110" i="39"/>
  <c r="AU109" i="39"/>
  <c r="AU108" i="39"/>
  <c r="AU107" i="39"/>
  <c r="AU106" i="39"/>
  <c r="AU105" i="39"/>
  <c r="AU103" i="39"/>
  <c r="AU102" i="39"/>
  <c r="AU101" i="39"/>
  <c r="AU100" i="39"/>
  <c r="AU95" i="39"/>
  <c r="AU94" i="39"/>
  <c r="AU91" i="39"/>
  <c r="AU90" i="39"/>
  <c r="AU87" i="39"/>
  <c r="AU86" i="39"/>
  <c r="AU85" i="39"/>
  <c r="AU80" i="39"/>
  <c r="AU79" i="39"/>
  <c r="AU78" i="39"/>
  <c r="AU77" i="39"/>
  <c r="AU30" i="39"/>
  <c r="AU28" i="39"/>
  <c r="AU26" i="39"/>
  <c r="AU24" i="39"/>
  <c r="AU22" i="39"/>
  <c r="AU20" i="39"/>
  <c r="AU18" i="39"/>
  <c r="I28" i="48" l="1"/>
  <c r="H28" i="48"/>
  <c r="G30" i="48"/>
  <c r="C26" i="48"/>
  <c r="C25" i="48"/>
  <c r="C23" i="48"/>
  <c r="G25" i="48"/>
  <c r="AG95" i="45"/>
  <c r="AH95" i="45" s="1"/>
  <c r="AG94" i="45"/>
  <c r="AH94" i="45" s="1"/>
  <c r="AG93" i="45"/>
  <c r="AH93" i="45" s="1"/>
  <c r="AG92" i="45"/>
  <c r="AH92" i="45" s="1"/>
  <c r="AG91" i="45"/>
  <c r="AH91" i="45" s="1"/>
  <c r="AG90" i="45"/>
  <c r="AH90" i="45" s="1"/>
  <c r="AG89" i="45"/>
  <c r="AH89" i="45" s="1"/>
  <c r="AG88" i="45"/>
  <c r="AH88" i="45" s="1"/>
  <c r="AG87" i="45"/>
  <c r="AH87" i="45" s="1"/>
  <c r="AG86" i="45"/>
  <c r="AH86" i="45" s="1"/>
  <c r="AG85" i="45"/>
  <c r="AH85" i="45" s="1"/>
  <c r="AG84" i="45"/>
  <c r="AH84" i="45" s="1"/>
  <c r="AG83" i="45"/>
  <c r="AH83" i="45" s="1"/>
  <c r="AG82" i="45"/>
  <c r="AH82" i="45" s="1"/>
  <c r="AG81" i="45"/>
  <c r="AH81" i="45" s="1"/>
  <c r="AG80" i="45"/>
  <c r="AH80" i="45" s="1"/>
  <c r="AG79" i="45"/>
  <c r="AH79" i="45" s="1"/>
  <c r="AG78" i="45"/>
  <c r="AH78" i="45" s="1"/>
  <c r="AG77" i="45"/>
  <c r="AH77" i="45" s="1"/>
  <c r="AG76" i="45"/>
  <c r="AH76" i="45" s="1"/>
  <c r="AG75" i="45"/>
  <c r="AH75" i="45" s="1"/>
  <c r="AG74" i="45"/>
  <c r="AH74" i="45" s="1"/>
  <c r="AG73" i="45"/>
  <c r="AH73" i="45" s="1"/>
  <c r="AG72" i="45"/>
  <c r="AH72" i="45" s="1"/>
  <c r="AG71" i="45"/>
  <c r="AH71" i="45" s="1"/>
  <c r="AG70" i="45"/>
  <c r="AH70" i="45" s="1"/>
  <c r="AG69" i="45"/>
  <c r="AH69" i="45" s="1"/>
  <c r="AG68" i="45"/>
  <c r="AH68" i="45" s="1"/>
  <c r="AG67" i="45"/>
  <c r="AH67" i="45" s="1"/>
  <c r="AG66" i="45"/>
  <c r="AH66" i="45" s="1"/>
  <c r="AG40" i="45"/>
  <c r="AG29" i="45"/>
  <c r="AG20" i="45"/>
  <c r="U42" i="50" l="1"/>
  <c r="AG247" i="39"/>
  <c r="AG246" i="39"/>
  <c r="AG245" i="39"/>
  <c r="AG244" i="39"/>
  <c r="AG243" i="39"/>
  <c r="AG242" i="39"/>
  <c r="AG241" i="39"/>
  <c r="AG240" i="39"/>
  <c r="AG239" i="39"/>
  <c r="AG238" i="39"/>
  <c r="AG237" i="39"/>
  <c r="AG236" i="39"/>
  <c r="AG235" i="39"/>
  <c r="AG234" i="39"/>
  <c r="AG193" i="39"/>
  <c r="AG192" i="39"/>
  <c r="AG191" i="39"/>
  <c r="AG190" i="39"/>
  <c r="AG189" i="39"/>
  <c r="AG188" i="39"/>
  <c r="AG187" i="39"/>
  <c r="AG186" i="39"/>
  <c r="AG185" i="39"/>
  <c r="AG184" i="39"/>
  <c r="AG183" i="39"/>
  <c r="AG182" i="39"/>
  <c r="AG166" i="39"/>
  <c r="AG165" i="39"/>
  <c r="AG164" i="39"/>
  <c r="AG163" i="39"/>
  <c r="AG162" i="39"/>
  <c r="AG161" i="39"/>
  <c r="AG80" i="39"/>
  <c r="AG44" i="39"/>
  <c r="AH44" i="39" s="1"/>
  <c r="AG39" i="39"/>
  <c r="AH39" i="39" s="1"/>
  <c r="AG33" i="39"/>
  <c r="AH33" i="39" s="1"/>
  <c r="AG30" i="39"/>
  <c r="AG28" i="39"/>
  <c r="AG26" i="39"/>
  <c r="AG24" i="39"/>
  <c r="AG22" i="39"/>
  <c r="AG20" i="39"/>
  <c r="AG18" i="39"/>
  <c r="AG27" i="39"/>
  <c r="AG23" i="39"/>
  <c r="AG19" i="39"/>
  <c r="AK42" i="50" l="1"/>
  <c r="O42" i="50"/>
  <c r="AP42" i="50"/>
  <c r="J42" i="50"/>
  <c r="AQ42" i="50"/>
  <c r="AM42" i="50"/>
  <c r="I42" i="50"/>
  <c r="G42" i="50"/>
  <c r="AO42" i="50"/>
  <c r="N42" i="50"/>
  <c r="F42" i="50"/>
  <c r="AD42" i="50"/>
  <c r="S42" i="50"/>
  <c r="M42" i="50"/>
  <c r="R42" i="50"/>
  <c r="V42" i="50"/>
  <c r="AI42" i="50"/>
  <c r="AJ42" i="50"/>
  <c r="K42" i="50"/>
  <c r="Q42" i="50"/>
  <c r="AF42" i="50"/>
  <c r="L42" i="50"/>
  <c r="AL42" i="50"/>
  <c r="AH42" i="50"/>
  <c r="P42" i="50"/>
  <c r="AN42" i="50"/>
  <c r="H42" i="50"/>
  <c r="E42" i="50"/>
  <c r="AG42" i="50"/>
  <c r="AE42" i="50"/>
  <c r="DW9" i="45"/>
  <c r="AD46" i="45"/>
  <c r="AC46" i="45"/>
  <c r="AD45" i="45"/>
  <c r="AC45" i="45"/>
  <c r="AD43" i="45"/>
  <c r="AC43" i="45"/>
  <c r="AD42" i="45"/>
  <c r="AC42" i="45"/>
  <c r="AD41" i="45"/>
  <c r="AC41" i="45"/>
  <c r="AD39" i="45"/>
  <c r="AC39" i="45"/>
  <c r="AD38" i="45"/>
  <c r="AC38" i="45"/>
  <c r="AD37" i="45"/>
  <c r="AC37" i="45"/>
  <c r="AD36" i="45"/>
  <c r="AC36" i="45"/>
  <c r="AD35" i="45"/>
  <c r="AC35" i="45"/>
  <c r="AD34" i="45"/>
  <c r="AC34" i="45"/>
  <c r="AD33" i="45"/>
  <c r="AC33" i="45"/>
  <c r="AD32" i="45"/>
  <c r="AC32" i="45"/>
  <c r="AD31" i="45"/>
  <c r="AC31" i="45"/>
  <c r="AD30" i="45"/>
  <c r="AC30" i="45"/>
  <c r="AC25" i="45"/>
  <c r="AC24" i="45"/>
  <c r="AC23" i="45"/>
  <c r="AC22" i="45"/>
  <c r="AF21" i="45"/>
  <c r="AE21" i="45"/>
  <c r="AD21" i="45"/>
  <c r="AC21" i="45"/>
  <c r="AF11" i="45"/>
  <c r="AE11" i="45"/>
  <c r="AD11" i="45"/>
  <c r="AC11" i="45"/>
  <c r="AF10" i="45"/>
  <c r="AE10" i="45"/>
  <c r="AD10" i="45"/>
  <c r="AC10" i="45"/>
  <c r="AF9" i="45"/>
  <c r="AE9" i="45"/>
  <c r="AD9" i="45"/>
  <c r="AC9" i="45"/>
  <c r="AF8" i="45"/>
  <c r="AE8" i="45"/>
  <c r="AD8" i="45"/>
  <c r="AC8" i="45"/>
  <c r="AC279" i="39"/>
  <c r="AG279" i="39" s="1"/>
  <c r="AC278" i="39"/>
  <c r="AG278" i="39" s="1"/>
  <c r="AC277" i="39"/>
  <c r="AG277" i="39" s="1"/>
  <c r="AC276" i="39"/>
  <c r="AG276" i="39" s="1"/>
  <c r="AC275" i="39"/>
  <c r="AG275" i="39" s="1"/>
  <c r="AC274" i="39"/>
  <c r="AG274" i="39" s="1"/>
  <c r="AC273" i="39"/>
  <c r="AG273" i="39" s="1"/>
  <c r="AC272" i="39"/>
  <c r="AG272" i="39" s="1"/>
  <c r="AC269" i="39"/>
  <c r="AG269" i="39" s="1"/>
  <c r="AC268" i="39"/>
  <c r="AG268" i="39" s="1"/>
  <c r="AC267" i="39"/>
  <c r="AG267" i="39" s="1"/>
  <c r="AC266" i="39"/>
  <c r="AG266" i="39" s="1"/>
  <c r="AC265" i="39"/>
  <c r="AG265" i="39" s="1"/>
  <c r="AC264" i="39"/>
  <c r="AG264" i="39" s="1"/>
  <c r="AC263" i="39"/>
  <c r="AG263" i="39" s="1"/>
  <c r="AC262" i="39"/>
  <c r="AG262" i="39" s="1"/>
  <c r="AC261" i="39"/>
  <c r="AG261" i="39" s="1"/>
  <c r="AC260" i="39"/>
  <c r="AG260" i="39" s="1"/>
  <c r="AC259" i="39"/>
  <c r="AG259" i="39" s="1"/>
  <c r="AC258" i="39"/>
  <c r="AG258" i="39" s="1"/>
  <c r="AC257" i="39"/>
  <c r="AG257" i="39" s="1"/>
  <c r="AC256" i="39"/>
  <c r="AG256" i="39" s="1"/>
  <c r="AC255" i="39"/>
  <c r="AG255" i="39" s="1"/>
  <c r="AC254" i="39"/>
  <c r="AG254" i="39" s="1"/>
  <c r="AC253" i="39"/>
  <c r="AG253" i="39" s="1"/>
  <c r="AC252" i="39"/>
  <c r="AG252" i="39" s="1"/>
  <c r="AC226" i="39"/>
  <c r="AG226" i="39" s="1"/>
  <c r="AC225" i="39"/>
  <c r="AG225" i="39" s="1"/>
  <c r="AC224" i="39"/>
  <c r="AG224" i="39" s="1"/>
  <c r="AC223" i="39"/>
  <c r="AG223" i="39" s="1"/>
  <c r="AC222" i="39"/>
  <c r="AG222" i="39" s="1"/>
  <c r="AC221" i="39"/>
  <c r="AG221" i="39" s="1"/>
  <c r="AC220" i="39"/>
  <c r="AG220" i="39" s="1"/>
  <c r="AC219" i="39"/>
  <c r="AG219" i="39" s="1"/>
  <c r="AC218" i="39"/>
  <c r="AG218" i="39" s="1"/>
  <c r="AC217" i="39"/>
  <c r="AG217" i="39" s="1"/>
  <c r="AC216" i="39"/>
  <c r="AG216" i="39" s="1"/>
  <c r="AC215" i="39"/>
  <c r="AG215" i="39" s="1"/>
  <c r="AC211" i="39"/>
  <c r="AG211" i="39" s="1"/>
  <c r="AC210" i="39"/>
  <c r="AG210" i="39" s="1"/>
  <c r="AC209" i="39"/>
  <c r="AG209" i="39" s="1"/>
  <c r="AC208" i="39"/>
  <c r="AG208" i="39" s="1"/>
  <c r="AC207" i="39"/>
  <c r="AG207" i="39" s="1"/>
  <c r="AC206" i="39"/>
  <c r="AG206" i="39" s="1"/>
  <c r="AC205" i="39"/>
  <c r="AG205" i="39" s="1"/>
  <c r="AC204" i="39"/>
  <c r="AG204" i="39" s="1"/>
  <c r="AC203" i="39"/>
  <c r="AG203" i="39" s="1"/>
  <c r="AC202" i="39"/>
  <c r="AG202" i="39" s="1"/>
  <c r="AC201" i="39"/>
  <c r="AG201" i="39" s="1"/>
  <c r="AC200" i="39"/>
  <c r="AG200" i="39" s="1"/>
  <c r="AC199" i="39"/>
  <c r="AG199" i="39" s="1"/>
  <c r="AC198" i="39"/>
  <c r="AG198" i="39" s="1"/>
  <c r="AG181" i="39"/>
  <c r="AG180" i="39"/>
  <c r="AG179" i="39"/>
  <c r="AG178" i="39"/>
  <c r="AG177" i="39"/>
  <c r="AG176" i="39"/>
  <c r="AG175" i="39"/>
  <c r="AG174" i="39"/>
  <c r="AG173" i="39"/>
  <c r="AG172" i="39"/>
  <c r="AG171" i="39"/>
  <c r="AG170" i="39"/>
  <c r="AG169" i="39"/>
  <c r="AC110" i="39"/>
  <c r="AG110" i="39" s="1"/>
  <c r="AC109" i="39"/>
  <c r="AG109" i="39" s="1"/>
  <c r="AC108" i="39"/>
  <c r="AG108" i="39" s="1"/>
  <c r="AC107" i="39"/>
  <c r="AG107" i="39" s="1"/>
  <c r="AC106" i="39"/>
  <c r="AG106" i="39" s="1"/>
  <c r="AC105" i="39"/>
  <c r="AG105" i="39" s="1"/>
  <c r="AC103" i="39"/>
  <c r="AG103" i="39" s="1"/>
  <c r="AC102" i="39"/>
  <c r="AG102" i="39" s="1"/>
  <c r="AC101" i="39"/>
  <c r="AG101" i="39" s="1"/>
  <c r="AC100" i="39"/>
  <c r="AG100" i="39" s="1"/>
  <c r="AC95" i="39"/>
  <c r="AG95" i="39" s="1"/>
  <c r="AH95" i="39" s="1"/>
  <c r="AC94" i="39"/>
  <c r="AG94" i="39" s="1"/>
  <c r="AH94" i="39" s="1"/>
  <c r="AC92" i="39"/>
  <c r="AG92" i="39" s="1"/>
  <c r="AH92" i="39" s="1"/>
  <c r="AC91" i="39"/>
  <c r="AG91" i="39" s="1"/>
  <c r="AH91" i="39" s="1"/>
  <c r="AC90" i="39"/>
  <c r="AG90" i="39" s="1"/>
  <c r="AH90" i="39" s="1"/>
  <c r="AC88" i="39"/>
  <c r="AG88" i="39" s="1"/>
  <c r="AH88" i="39" s="1"/>
  <c r="AC87" i="39"/>
  <c r="AG87" i="39" s="1"/>
  <c r="AC86" i="39"/>
  <c r="AG85" i="39"/>
  <c r="AG79" i="39"/>
  <c r="AG60" i="39"/>
  <c r="AG59" i="39"/>
  <c r="AG57" i="39"/>
  <c r="AG55" i="39"/>
  <c r="AG53" i="39"/>
  <c r="AG51" i="39"/>
  <c r="AG49" i="39"/>
  <c r="AH49" i="39" s="1"/>
  <c r="AG37" i="39"/>
  <c r="AH37" i="39" s="1"/>
  <c r="AG31" i="39"/>
  <c r="AG29" i="39"/>
  <c r="AG25" i="39"/>
  <c r="AG21" i="39"/>
  <c r="AG17" i="39"/>
  <c r="AG10" i="39"/>
  <c r="DW6" i="31"/>
  <c r="DW7" i="44"/>
  <c r="AG24" i="45" l="1"/>
  <c r="AH24" i="45" s="1"/>
  <c r="AG25" i="45"/>
  <c r="AH25" i="45" s="1"/>
  <c r="AG22" i="45"/>
  <c r="AH22" i="45" s="1"/>
  <c r="AG23" i="45"/>
  <c r="AH23" i="45" s="1"/>
  <c r="AG50" i="39"/>
  <c r="AG58" i="39"/>
  <c r="AG52" i="39"/>
  <c r="AG8" i="39"/>
  <c r="AH8" i="39" s="1"/>
  <c r="AG31" i="45"/>
  <c r="AH31" i="45" s="1"/>
  <c r="AG37" i="45"/>
  <c r="AH37" i="45" s="1"/>
  <c r="AG32" i="45"/>
  <c r="AH32" i="45" s="1"/>
  <c r="AG38" i="45"/>
  <c r="AH38" i="45" s="1"/>
  <c r="AG34" i="45"/>
  <c r="AH34" i="45" s="1"/>
  <c r="AG41" i="45"/>
  <c r="AH41" i="45" s="1"/>
  <c r="AG10" i="45"/>
  <c r="AH10" i="45" s="1"/>
  <c r="AG35" i="45"/>
  <c r="AH35" i="45" s="1"/>
  <c r="AG30" i="45"/>
  <c r="AH30" i="45" s="1"/>
  <c r="AG36" i="45"/>
  <c r="AH36" i="45" s="1"/>
  <c r="AG43" i="45"/>
  <c r="AH43" i="45" s="1"/>
  <c r="AG45" i="45"/>
  <c r="AH45" i="45" s="1"/>
  <c r="AG33" i="45"/>
  <c r="AH33" i="45" s="1"/>
  <c r="AG39" i="45"/>
  <c r="AH39" i="45" s="1"/>
  <c r="AG46" i="45"/>
  <c r="AH46" i="45" s="1"/>
  <c r="AG8" i="45"/>
  <c r="AH8" i="45" s="1"/>
  <c r="AG11" i="45"/>
  <c r="AH11" i="45" s="1"/>
  <c r="AG9" i="45"/>
  <c r="AH9" i="45" s="1"/>
  <c r="AG21" i="45"/>
  <c r="AH21" i="45" s="1"/>
  <c r="AG42" i="45"/>
  <c r="AH42" i="45" s="1"/>
  <c r="DW85" i="31"/>
  <c r="DW88" i="31" s="1"/>
  <c r="AG48" i="39"/>
  <c r="AH48" i="39" s="1"/>
  <c r="AG56" i="39"/>
  <c r="AG46" i="39"/>
  <c r="AH46" i="39" s="1"/>
  <c r="AG54" i="39"/>
  <c r="AG78" i="39"/>
  <c r="AG86" i="39"/>
  <c r="AG77" i="39"/>
  <c r="Z36" i="50"/>
  <c r="O36" i="50"/>
  <c r="AA36" i="50"/>
  <c r="AF36" i="50"/>
  <c r="AV36" i="50"/>
  <c r="EG104" i="45"/>
  <c r="I38" i="50"/>
  <c r="U38" i="50"/>
  <c r="AG38" i="50"/>
  <c r="J38" i="50"/>
  <c r="AH38" i="50"/>
  <c r="K38" i="50"/>
  <c r="W38" i="50"/>
  <c r="L38" i="50"/>
  <c r="X38" i="50"/>
  <c r="E38" i="50"/>
  <c r="Q38" i="50"/>
  <c r="AO38" i="50"/>
  <c r="M38" i="50"/>
  <c r="Y38" i="50"/>
  <c r="P38" i="50"/>
  <c r="F38" i="50"/>
  <c r="R38" i="50"/>
  <c r="AD38" i="50"/>
  <c r="AP38" i="50"/>
  <c r="AN38" i="50"/>
  <c r="G38" i="50"/>
  <c r="S38" i="50"/>
  <c r="AE38" i="50"/>
  <c r="AQ38" i="50"/>
  <c r="N38" i="50"/>
  <c r="Z38" i="50"/>
  <c r="AL38" i="50"/>
  <c r="H38" i="50"/>
  <c r="T38" i="50"/>
  <c r="AF38" i="50"/>
  <c r="AA38" i="50"/>
  <c r="AM38" i="50" l="1"/>
  <c r="AC38" i="50"/>
  <c r="AJ38" i="50"/>
  <c r="AI38" i="50"/>
  <c r="AK38" i="50"/>
  <c r="AN20" i="50"/>
  <c r="AN22" i="50" s="1"/>
  <c r="AN27" i="50" s="1"/>
  <c r="AN29" i="50" s="1"/>
  <c r="DW91" i="31"/>
  <c r="O40" i="50"/>
  <c r="EE110" i="45"/>
  <c r="M40" i="50"/>
  <c r="EC105" i="45"/>
  <c r="EC111" i="45" s="1"/>
  <c r="K40" i="50"/>
  <c r="FM108" i="45"/>
  <c r="ES108" i="45"/>
  <c r="AA40" i="50"/>
  <c r="FJ105" i="45"/>
  <c r="FJ111" i="45" s="1"/>
  <c r="AP40" i="50"/>
  <c r="DZ105" i="45"/>
  <c r="DZ111" i="45" s="1"/>
  <c r="H40" i="50"/>
  <c r="FI110" i="45"/>
  <c r="AO40" i="50"/>
  <c r="FE104" i="45"/>
  <c r="EL104" i="45"/>
  <c r="T40" i="50"/>
  <c r="EH104" i="45"/>
  <c r="P40" i="50"/>
  <c r="FH105" i="45"/>
  <c r="FH111" i="45" s="1"/>
  <c r="AN40" i="50"/>
  <c r="FD108" i="45"/>
  <c r="FN104" i="45"/>
  <c r="EK105" i="45"/>
  <c r="EK111" i="45" s="1"/>
  <c r="S40" i="50"/>
  <c r="L40" i="50"/>
  <c r="EJ104" i="45"/>
  <c r="R40" i="50"/>
  <c r="EI105" i="45"/>
  <c r="EI111" i="45" s="1"/>
  <c r="Q40" i="50"/>
  <c r="FL104" i="45"/>
  <c r="U40" i="50"/>
  <c r="EU104" i="45"/>
  <c r="AB40" i="50"/>
  <c r="FC108" i="45"/>
  <c r="FF108" i="45"/>
  <c r="FG104" i="45"/>
  <c r="FK108" i="45"/>
  <c r="AQ40" i="50"/>
  <c r="EP107" i="45"/>
  <c r="EP108" i="45" s="1"/>
  <c r="X40" i="50"/>
  <c r="FE107" i="45"/>
  <c r="Z40" i="50"/>
  <c r="Y40" i="50"/>
  <c r="AA20" i="50"/>
  <c r="AA22" i="50" s="1"/>
  <c r="AA27" i="50" s="1"/>
  <c r="AA29" i="50" s="1"/>
  <c r="H20" i="50"/>
  <c r="H22" i="50" s="1"/>
  <c r="H27" i="50" s="1"/>
  <c r="H29" i="50" s="1"/>
  <c r="AV20" i="50"/>
  <c r="AV22" i="50" s="1"/>
  <c r="AV27" i="50" s="1"/>
  <c r="AV29" i="50" s="1"/>
  <c r="DW90" i="31"/>
  <c r="E20" i="50"/>
  <c r="E22" i="50" s="1"/>
  <c r="E27" i="50" s="1"/>
  <c r="E29" i="50" s="1"/>
  <c r="DW87" i="31"/>
  <c r="AJ20" i="50"/>
  <c r="AJ22" i="50" s="1"/>
  <c r="AJ27" i="50" s="1"/>
  <c r="AJ29" i="50" s="1"/>
  <c r="X20" i="50"/>
  <c r="X22" i="50" s="1"/>
  <c r="X27" i="50" s="1"/>
  <c r="X29" i="50" s="1"/>
  <c r="AZ20" i="50"/>
  <c r="AZ22" i="50" s="1"/>
  <c r="AZ27" i="50" s="1"/>
  <c r="AZ29" i="50" s="1"/>
  <c r="AI20" i="50"/>
  <c r="AI22" i="50" s="1"/>
  <c r="AI27" i="50" s="1"/>
  <c r="AI29" i="50" s="1"/>
  <c r="AQ20" i="50"/>
  <c r="AQ22" i="50" s="1"/>
  <c r="AQ27" i="50" s="1"/>
  <c r="AQ29" i="50" s="1"/>
  <c r="AK20" i="50"/>
  <c r="AK22" i="50" s="1"/>
  <c r="AK27" i="50" s="1"/>
  <c r="AK29" i="50" s="1"/>
  <c r="AL20" i="50"/>
  <c r="AL22" i="50" s="1"/>
  <c r="AL27" i="50" s="1"/>
  <c r="AL29" i="50" s="1"/>
  <c r="AP20" i="50"/>
  <c r="AP22" i="50" s="1"/>
  <c r="AP27" i="50" s="1"/>
  <c r="AP29" i="50" s="1"/>
  <c r="Y20" i="50"/>
  <c r="Y22" i="50" s="1"/>
  <c r="Y27" i="50" s="1"/>
  <c r="Y29" i="50" s="1"/>
  <c r="Z20" i="50"/>
  <c r="Z22" i="50" s="1"/>
  <c r="Z27" i="50" s="1"/>
  <c r="Z29" i="50" s="1"/>
  <c r="AO20" i="50"/>
  <c r="AO22" i="50" s="1"/>
  <c r="AO27" i="50" s="1"/>
  <c r="AO29" i="50" s="1"/>
  <c r="AR20" i="50"/>
  <c r="AR22" i="50" s="1"/>
  <c r="AR27" i="50" s="1"/>
  <c r="AR29" i="50" s="1"/>
  <c r="BA20" i="50"/>
  <c r="BA22" i="50" s="1"/>
  <c r="BA27" i="50" s="1"/>
  <c r="BA29" i="50" s="1"/>
  <c r="AM20" i="50"/>
  <c r="AM22" i="50" s="1"/>
  <c r="AM27" i="50" s="1"/>
  <c r="AM29" i="50" s="1"/>
  <c r="EN289" i="39"/>
  <c r="V38" i="50"/>
  <c r="EU289" i="39"/>
  <c r="AB38" i="50"/>
  <c r="FM286" i="39"/>
  <c r="FM292" i="39" s="1"/>
  <c r="AE36" i="50"/>
  <c r="EU451" i="44"/>
  <c r="EU457" i="44" s="1"/>
  <c r="AH36" i="50"/>
  <c r="X36" i="50"/>
  <c r="FE451" i="44"/>
  <c r="FE457" i="44" s="1"/>
  <c r="AR36" i="50"/>
  <c r="Y36" i="50"/>
  <c r="BA36" i="50"/>
  <c r="DW94" i="31"/>
  <c r="DW93" i="31"/>
  <c r="EH108" i="45"/>
  <c r="EM110" i="45"/>
  <c r="FE454" i="44"/>
  <c r="EG450" i="44"/>
  <c r="EG453" i="44"/>
  <c r="EG456" i="44"/>
  <c r="FE450" i="44"/>
  <c r="FE453" i="44"/>
  <c r="FE456" i="44"/>
  <c r="EU450" i="44"/>
  <c r="EU453" i="44"/>
  <c r="EU454" i="44" s="1"/>
  <c r="EU456" i="44"/>
  <c r="EG454" i="44"/>
  <c r="EG451" i="44"/>
  <c r="EG457" i="44" s="1"/>
  <c r="EW450" i="44"/>
  <c r="EW451" i="44" s="1"/>
  <c r="EW453" i="44"/>
  <c r="EW454" i="44" s="1"/>
  <c r="EW456" i="44"/>
  <c r="FM289" i="39"/>
  <c r="FA289" i="39"/>
  <c r="FA288" i="39"/>
  <c r="FA285" i="39"/>
  <c r="FA291" i="39"/>
  <c r="EJ288" i="39"/>
  <c r="EJ285" i="39"/>
  <c r="EJ291" i="39"/>
  <c r="DZ286" i="39"/>
  <c r="DZ292" i="39" s="1"/>
  <c r="DZ288" i="39"/>
  <c r="DZ285" i="39"/>
  <c r="DZ291" i="39"/>
  <c r="FF285" i="39"/>
  <c r="FF291" i="39"/>
  <c r="FF288" i="39"/>
  <c r="EM286" i="39"/>
  <c r="EM292" i="39" s="1"/>
  <c r="EM285" i="39"/>
  <c r="EM288" i="39"/>
  <c r="EM291" i="39"/>
  <c r="EF285" i="39"/>
  <c r="EF291" i="39"/>
  <c r="EF288" i="39"/>
  <c r="EQ289" i="39"/>
  <c r="EQ291" i="39"/>
  <c r="EQ285" i="39"/>
  <c r="EQ288" i="39"/>
  <c r="EY288" i="39"/>
  <c r="EY285" i="39"/>
  <c r="EY291" i="39"/>
  <c r="ES289" i="39"/>
  <c r="ES291" i="39"/>
  <c r="ES288" i="39"/>
  <c r="ES285" i="39"/>
  <c r="EC285" i="39"/>
  <c r="EC291" i="39"/>
  <c r="EC288" i="39"/>
  <c r="FN286" i="39"/>
  <c r="FN292" i="39" s="1"/>
  <c r="FN288" i="39"/>
  <c r="FN285" i="39"/>
  <c r="FN291" i="39"/>
  <c r="FB286" i="39"/>
  <c r="FB292" i="39" s="1"/>
  <c r="FB288" i="39"/>
  <c r="FB285" i="39"/>
  <c r="FB291" i="39"/>
  <c r="FD288" i="39"/>
  <c r="FD285" i="39"/>
  <c r="FD291" i="39"/>
  <c r="EP289" i="39"/>
  <c r="EP288" i="39"/>
  <c r="EP285" i="39"/>
  <c r="EP291" i="39"/>
  <c r="FA286" i="39"/>
  <c r="FA292" i="39" s="1"/>
  <c r="ED289" i="39"/>
  <c r="ED288" i="39"/>
  <c r="ED285" i="39"/>
  <c r="ED291" i="39"/>
  <c r="FE285" i="39"/>
  <c r="FE291" i="39"/>
  <c r="FE288" i="39"/>
  <c r="FK286" i="39"/>
  <c r="FK292" i="39" s="1"/>
  <c r="FK288" i="39"/>
  <c r="FK285" i="39"/>
  <c r="FK291" i="39"/>
  <c r="FG289" i="39"/>
  <c r="FG291" i="39"/>
  <c r="FG288" i="39"/>
  <c r="FG285" i="39"/>
  <c r="EO286" i="39"/>
  <c r="EO292" i="39" s="1"/>
  <c r="EO291" i="39"/>
  <c r="EO288" i="39"/>
  <c r="EO285" i="39"/>
  <c r="FI288" i="39"/>
  <c r="FI285" i="39"/>
  <c r="FI291" i="39"/>
  <c r="FL286" i="39"/>
  <c r="FL292" i="39" s="1"/>
  <c r="FL288" i="39"/>
  <c r="FL285" i="39"/>
  <c r="FL291" i="39"/>
  <c r="EI288" i="39"/>
  <c r="EI285" i="39"/>
  <c r="EI291" i="39"/>
  <c r="FI286" i="39"/>
  <c r="FI292" i="39" s="1"/>
  <c r="FJ288" i="39"/>
  <c r="FJ285" i="39"/>
  <c r="FJ291" i="39"/>
  <c r="EN288" i="39"/>
  <c r="EN285" i="39"/>
  <c r="EN291" i="39"/>
  <c r="FM285" i="39"/>
  <c r="FM288" i="39"/>
  <c r="FM291" i="39"/>
  <c r="EH291" i="39"/>
  <c r="EH288" i="39"/>
  <c r="EH285" i="39"/>
  <c r="ER285" i="39"/>
  <c r="ER291" i="39"/>
  <c r="ER288" i="39"/>
  <c r="EA289" i="39"/>
  <c r="EA288" i="39"/>
  <c r="EA285" i="39"/>
  <c r="EA291" i="39"/>
  <c r="FC289" i="39"/>
  <c r="FC285" i="39"/>
  <c r="FC291" i="39"/>
  <c r="FC288" i="39"/>
  <c r="EE289" i="39"/>
  <c r="EE291" i="39"/>
  <c r="EE288" i="39"/>
  <c r="EE285" i="39"/>
  <c r="EK288" i="39"/>
  <c r="EK285" i="39"/>
  <c r="EK291" i="39"/>
  <c r="EV286" i="39"/>
  <c r="EV292" i="39" s="1"/>
  <c r="EV288" i="39"/>
  <c r="EV285" i="39"/>
  <c r="EV291" i="39"/>
  <c r="FL289" i="39"/>
  <c r="FH289" i="39"/>
  <c r="FH291" i="39"/>
  <c r="FH288" i="39"/>
  <c r="FH285" i="39"/>
  <c r="EZ288" i="39"/>
  <c r="EZ285" i="39"/>
  <c r="EZ291" i="39"/>
  <c r="FH286" i="39"/>
  <c r="FH292" i="39" s="1"/>
  <c r="EL289" i="39"/>
  <c r="EL288" i="39"/>
  <c r="EL285" i="39"/>
  <c r="EL291" i="39"/>
  <c r="EX286" i="39"/>
  <c r="EX292" i="39" s="1"/>
  <c r="EX288" i="39"/>
  <c r="EX285" i="39"/>
  <c r="EX291" i="39"/>
  <c r="EU291" i="39"/>
  <c r="EU288" i="39"/>
  <c r="EU285" i="39"/>
  <c r="EB286" i="39"/>
  <c r="EB292" i="39" s="1"/>
  <c r="EB288" i="39"/>
  <c r="EB285" i="39"/>
  <c r="EB291" i="39"/>
  <c r="EH110" i="45"/>
  <c r="FI107" i="45"/>
  <c r="FE108" i="45"/>
  <c r="FI104" i="45"/>
  <c r="ED104" i="45"/>
  <c r="ED105" i="45" s="1"/>
  <c r="FI105" i="45"/>
  <c r="FI111" i="45" s="1"/>
  <c r="ED110" i="45"/>
  <c r="FH110" i="45"/>
  <c r="FE105" i="45"/>
  <c r="FE111" i="45" s="1"/>
  <c r="FH104" i="45"/>
  <c r="FE110" i="45"/>
  <c r="FI108" i="45"/>
  <c r="EM107" i="45"/>
  <c r="EM108" i="45" s="1"/>
  <c r="FH108" i="45"/>
  <c r="EE108" i="45"/>
  <c r="EH107" i="45"/>
  <c r="FK105" i="45"/>
  <c r="FK111" i="45" s="1"/>
  <c r="FH107" i="45"/>
  <c r="EM104" i="45"/>
  <c r="EM105" i="45" s="1"/>
  <c r="FL107" i="45"/>
  <c r="FD107" i="45"/>
  <c r="EL110" i="45"/>
  <c r="FG108" i="45"/>
  <c r="EI104" i="45"/>
  <c r="EE107" i="45"/>
  <c r="EE105" i="45"/>
  <c r="EE111" i="45" s="1"/>
  <c r="EQ107" i="45"/>
  <c r="EQ108" i="45" s="1"/>
  <c r="FM107" i="45"/>
  <c r="ES107" i="45"/>
  <c r="FM105" i="45"/>
  <c r="FM111" i="45" s="1"/>
  <c r="ES105" i="45"/>
  <c r="ES111" i="45" s="1"/>
  <c r="EE104" i="45"/>
  <c r="FM104" i="45"/>
  <c r="ES104" i="45"/>
  <c r="FL108" i="45"/>
  <c r="FG110" i="45"/>
  <c r="EL105" i="45"/>
  <c r="EL111" i="45" s="1"/>
  <c r="EH105" i="45"/>
  <c r="EH111" i="45" s="1"/>
  <c r="FL105" i="45"/>
  <c r="FL111" i="45" s="1"/>
  <c r="FG107" i="45"/>
  <c r="FG105" i="45"/>
  <c r="FG111" i="45" s="1"/>
  <c r="FC107" i="45"/>
  <c r="DZ110" i="45"/>
  <c r="EL107" i="45"/>
  <c r="EQ104" i="45"/>
  <c r="EQ105" i="45" s="1"/>
  <c r="FM110" i="45"/>
  <c r="DZ104" i="45"/>
  <c r="FC105" i="45"/>
  <c r="FC111" i="45" s="1"/>
  <c r="FN108" i="45"/>
  <c r="EG107" i="45"/>
  <c r="EG108" i="45" s="1"/>
  <c r="FN107" i="45"/>
  <c r="EQ110" i="45"/>
  <c r="EU108" i="45"/>
  <c r="EU107" i="45"/>
  <c r="EI108" i="45"/>
  <c r="EG110" i="45"/>
  <c r="FN110" i="45"/>
  <c r="FN105" i="45"/>
  <c r="FN111" i="45" s="1"/>
  <c r="EU110" i="45"/>
  <c r="EI110" i="45"/>
  <c r="EU105" i="45"/>
  <c r="EU111" i="45" s="1"/>
  <c r="ES110" i="45"/>
  <c r="EI107" i="45"/>
  <c r="EG105" i="45"/>
  <c r="FL110" i="45"/>
  <c r="FK104" i="45"/>
  <c r="FF105" i="45"/>
  <c r="FF111" i="45" s="1"/>
  <c r="EL108" i="45"/>
  <c r="FJ104" i="45"/>
  <c r="FF104" i="45"/>
  <c r="FF110" i="45"/>
  <c r="FF107" i="45"/>
  <c r="DZ108" i="45"/>
  <c r="EK104" i="45"/>
  <c r="FD105" i="45"/>
  <c r="FD111" i="45" s="1"/>
  <c r="DZ107" i="45"/>
  <c r="FD104" i="45"/>
  <c r="FD110" i="45"/>
  <c r="FK110" i="45"/>
  <c r="FK107" i="45"/>
  <c r="EP110" i="45"/>
  <c r="EC110" i="45"/>
  <c r="EK110" i="45"/>
  <c r="FJ110" i="45"/>
  <c r="EJ107" i="45"/>
  <c r="EP104" i="45"/>
  <c r="EP105" i="45" s="1"/>
  <c r="EC104" i="45"/>
  <c r="EJ108" i="45"/>
  <c r="FC104" i="45"/>
  <c r="EK108" i="45"/>
  <c r="EJ105" i="45"/>
  <c r="EJ111" i="45" s="1"/>
  <c r="ED107" i="45"/>
  <c r="ED108" i="45" s="1"/>
  <c r="EJ110" i="45"/>
  <c r="EC108" i="45"/>
  <c r="FJ108" i="45"/>
  <c r="FC110" i="45"/>
  <c r="EC107" i="45"/>
  <c r="EK107" i="45"/>
  <c r="FJ107" i="45"/>
  <c r="EL286" i="39"/>
  <c r="EE286" i="39"/>
  <c r="EI289" i="39"/>
  <c r="FB289" i="39"/>
  <c r="EM289" i="39"/>
  <c r="EA286" i="39"/>
  <c r="FJ289" i="39"/>
  <c r="EU286" i="39"/>
  <c r="FG286" i="39"/>
  <c r="FC286" i="39"/>
  <c r="EF286" i="39"/>
  <c r="EZ289" i="39"/>
  <c r="EK289" i="39"/>
  <c r="FJ286" i="39"/>
  <c r="EN286" i="39"/>
  <c r="EK286" i="39"/>
  <c r="EX289" i="39"/>
  <c r="FN289" i="39"/>
  <c r="EB289" i="39"/>
  <c r="FK289" i="39"/>
  <c r="EI286" i="39"/>
  <c r="EO289" i="39"/>
  <c r="EZ286" i="39"/>
  <c r="EF289" i="39"/>
  <c r="EQ286" i="39"/>
  <c r="EP286" i="39"/>
  <c r="EY289" i="39"/>
  <c r="ES286" i="39"/>
  <c r="EY286" i="39"/>
  <c r="EC289" i="39"/>
  <c r="FI289" i="39"/>
  <c r="EH289" i="39"/>
  <c r="ED286" i="39"/>
  <c r="FF289" i="39"/>
  <c r="FF286" i="39"/>
  <c r="EH286" i="39"/>
  <c r="DZ289" i="39"/>
  <c r="EJ286" i="39"/>
  <c r="FE286" i="39"/>
  <c r="EV289" i="39"/>
  <c r="FD286" i="39"/>
  <c r="EC286" i="39"/>
  <c r="FE289" i="39"/>
  <c r="FD289" i="39"/>
  <c r="ER289" i="39"/>
  <c r="EJ289" i="39"/>
  <c r="ER286" i="39"/>
  <c r="EW457" i="44" l="1"/>
  <c r="EM111" i="45"/>
  <c r="EQ111" i="45"/>
  <c r="EP111" i="45"/>
  <c r="EG111" i="45"/>
  <c r="ED111" i="45"/>
  <c r="EP292" i="39"/>
  <c r="ED292" i="39"/>
  <c r="EK292" i="39"/>
  <c r="EE292" i="39"/>
  <c r="FE292" i="39"/>
  <c r="EJ292" i="39"/>
  <c r="EF292" i="39"/>
  <c r="FG292" i="39"/>
  <c r="EU292" i="39"/>
  <c r="EC292" i="39"/>
  <c r="EQ292" i="39"/>
  <c r="FD292" i="39"/>
  <c r="EN292" i="39"/>
  <c r="EL292" i="39"/>
  <c r="FJ292" i="39"/>
  <c r="ER292" i="39"/>
  <c r="EZ292" i="39"/>
  <c r="EH292" i="39"/>
  <c r="EY292" i="39"/>
  <c r="EI292" i="39"/>
  <c r="FC292" i="39"/>
  <c r="FF292" i="39"/>
  <c r="ES292" i="39"/>
  <c r="EA292" i="39"/>
  <c r="C114" i="39" l="1"/>
  <c r="C113" i="39"/>
  <c r="C405" i="44"/>
  <c r="C384" i="44"/>
  <c r="C383" i="44"/>
  <c r="C350" i="44"/>
  <c r="C349" i="44"/>
  <c r="C291" i="44"/>
  <c r="C290" i="44"/>
  <c r="C279" i="39"/>
  <c r="C278" i="39"/>
  <c r="C277" i="39"/>
  <c r="C276" i="39"/>
  <c r="C275" i="39"/>
  <c r="C274" i="39"/>
  <c r="C273" i="39"/>
  <c r="C272" i="39"/>
  <c r="C269" i="39"/>
  <c r="C268" i="39"/>
  <c r="C267" i="39"/>
  <c r="C266" i="39"/>
  <c r="C265" i="39"/>
  <c r="C264" i="39"/>
  <c r="C263" i="39"/>
  <c r="C262" i="39"/>
  <c r="C261" i="39"/>
  <c r="C260" i="39"/>
  <c r="C259" i="39"/>
  <c r="C258" i="39"/>
  <c r="C257" i="39"/>
  <c r="C256" i="39"/>
  <c r="C255" i="39"/>
  <c r="C254" i="39"/>
  <c r="C253" i="39"/>
  <c r="C252" i="39"/>
  <c r="C247" i="39"/>
  <c r="C246" i="39"/>
  <c r="C245" i="39"/>
  <c r="C244" i="39"/>
  <c r="C243" i="39"/>
  <c r="C242" i="39"/>
  <c r="C241" i="39"/>
  <c r="C240" i="39"/>
  <c r="C239" i="39"/>
  <c r="C238" i="39"/>
  <c r="C237" i="39"/>
  <c r="C236" i="39"/>
  <c r="C235" i="39"/>
  <c r="C234" i="39"/>
  <c r="C226" i="39"/>
  <c r="C225" i="39"/>
  <c r="C224" i="39"/>
  <c r="C223" i="39"/>
  <c r="C222" i="39"/>
  <c r="C221" i="39"/>
  <c r="C220" i="39"/>
  <c r="C219" i="39"/>
  <c r="C218" i="39"/>
  <c r="C217" i="39"/>
  <c r="C216" i="39"/>
  <c r="C215" i="39"/>
  <c r="C211" i="39"/>
  <c r="C210" i="39"/>
  <c r="C209" i="39"/>
  <c r="C208" i="39"/>
  <c r="C207" i="39"/>
  <c r="C206" i="39"/>
  <c r="C205" i="39"/>
  <c r="C204" i="39"/>
  <c r="C203" i="39"/>
  <c r="C202" i="39"/>
  <c r="C201" i="39"/>
  <c r="C200" i="39"/>
  <c r="C199" i="39"/>
  <c r="C198" i="39"/>
  <c r="C193" i="39"/>
  <c r="C192" i="39"/>
  <c r="C191" i="39"/>
  <c r="C190" i="39"/>
  <c r="C189" i="39"/>
  <c r="C188" i="39"/>
  <c r="C187" i="39"/>
  <c r="C186" i="39"/>
  <c r="C185" i="39"/>
  <c r="C184" i="39"/>
  <c r="C183" i="39"/>
  <c r="C182" i="39"/>
  <c r="C181" i="39"/>
  <c r="C180" i="39"/>
  <c r="C179" i="39"/>
  <c r="C178" i="39"/>
  <c r="C177" i="39"/>
  <c r="C176" i="39"/>
  <c r="C175" i="39"/>
  <c r="C174" i="39"/>
  <c r="C173" i="39"/>
  <c r="C172" i="39"/>
  <c r="C171" i="39"/>
  <c r="C170" i="39"/>
  <c r="C169" i="39"/>
  <c r="C166" i="39"/>
  <c r="C165" i="39"/>
  <c r="C164" i="39"/>
  <c r="C163" i="39"/>
  <c r="C162" i="39"/>
  <c r="C161" i="39"/>
  <c r="C110" i="39"/>
  <c r="C109" i="39"/>
  <c r="C108" i="39"/>
  <c r="C107" i="39"/>
  <c r="C106" i="39"/>
  <c r="C105" i="39"/>
  <c r="C103" i="39"/>
  <c r="C102" i="39"/>
  <c r="C101" i="39"/>
  <c r="C100" i="39"/>
  <c r="C95" i="39"/>
  <c r="C94" i="39"/>
  <c r="C92" i="39"/>
  <c r="C91" i="39"/>
  <c r="C90" i="39"/>
  <c r="C88" i="39"/>
  <c r="C87" i="39"/>
  <c r="C86" i="39"/>
  <c r="C85" i="39"/>
  <c r="C281" i="39" s="1"/>
  <c r="C81" i="39"/>
  <c r="C80" i="39"/>
  <c r="C79" i="39"/>
  <c r="C78" i="39"/>
  <c r="C77" i="39"/>
  <c r="C159" i="39" s="1"/>
  <c r="C60" i="39"/>
  <c r="C59" i="39"/>
  <c r="C58" i="39"/>
  <c r="C57" i="39"/>
  <c r="C56" i="39"/>
  <c r="C55" i="39"/>
  <c r="C54" i="39"/>
  <c r="C53" i="39"/>
  <c r="C52" i="39"/>
  <c r="C51" i="39"/>
  <c r="C50" i="39"/>
  <c r="C49" i="39"/>
  <c r="C48" i="39"/>
  <c r="C46" i="39"/>
  <c r="C44" i="39"/>
  <c r="C39" i="39"/>
  <c r="C37" i="39"/>
  <c r="C33" i="39"/>
  <c r="C31" i="39"/>
  <c r="C30" i="39"/>
  <c r="C28" i="39"/>
  <c r="C26" i="39"/>
  <c r="C24" i="39"/>
  <c r="C22" i="39"/>
  <c r="C20" i="39"/>
  <c r="C18" i="39"/>
  <c r="C29" i="39"/>
  <c r="C27" i="39"/>
  <c r="C25" i="39"/>
  <c r="C23" i="39"/>
  <c r="C21" i="39"/>
  <c r="C19" i="39"/>
  <c r="C17" i="39"/>
  <c r="C10" i="39"/>
  <c r="C8" i="39"/>
  <c r="W218" i="44"/>
  <c r="X218" i="44" s="1"/>
  <c r="C132" i="39" l="1"/>
  <c r="C167" i="39"/>
  <c r="C196" i="39"/>
  <c r="C213" i="39"/>
  <c r="C232" i="39"/>
  <c r="C250" i="39"/>
  <c r="C270" i="39"/>
  <c r="AG442" i="44" l="1"/>
  <c r="AH442" i="44" s="1"/>
  <c r="AG441" i="44"/>
  <c r="AH441" i="44" s="1"/>
  <c r="AG440" i="44"/>
  <c r="AH440" i="44" s="1"/>
  <c r="AG439" i="44"/>
  <c r="AH439" i="44" s="1"/>
  <c r="AG438" i="44"/>
  <c r="AH438" i="44" s="1"/>
  <c r="AG437" i="44"/>
  <c r="AG436" i="44"/>
  <c r="AH436" i="44" s="1"/>
  <c r="AG435" i="44"/>
  <c r="AH435" i="44" s="1"/>
  <c r="AG434" i="44"/>
  <c r="AH434" i="44" s="1"/>
  <c r="AG433" i="44"/>
  <c r="AH433" i="44" s="1"/>
  <c r="AG432" i="44"/>
  <c r="AH432" i="44" s="1"/>
  <c r="AG431" i="44"/>
  <c r="AH431" i="44" s="1"/>
  <c r="AG430" i="44"/>
  <c r="AH430" i="44" s="1"/>
  <c r="AG429" i="44"/>
  <c r="AH429" i="44" s="1"/>
  <c r="AG428" i="44"/>
  <c r="AH428" i="44" s="1"/>
  <c r="AG427" i="44"/>
  <c r="AH427" i="44" s="1"/>
  <c r="AG426" i="44"/>
  <c r="AH426" i="44" s="1"/>
  <c r="AG425" i="44"/>
  <c r="AH425" i="44" s="1"/>
  <c r="AG424" i="44"/>
  <c r="AH424" i="44" s="1"/>
  <c r="AG423" i="44"/>
  <c r="AH423" i="44" s="1"/>
  <c r="AG422" i="44"/>
  <c r="AH422" i="44" s="1"/>
  <c r="AG421" i="44"/>
  <c r="AH421" i="44" s="1"/>
  <c r="AG420" i="44"/>
  <c r="AH420" i="44" s="1"/>
  <c r="AG419" i="44"/>
  <c r="AH419" i="44" s="1"/>
  <c r="AG418" i="44"/>
  <c r="AH418" i="44" s="1"/>
  <c r="W348" i="44"/>
  <c r="X348" i="44" s="1"/>
  <c r="AM44" i="39" l="1"/>
  <c r="AL44" i="39"/>
  <c r="AK44" i="39"/>
  <c r="AJ44" i="39"/>
  <c r="AI44" i="39"/>
  <c r="W44" i="39"/>
  <c r="X44" i="39" s="1"/>
  <c r="S44" i="39"/>
  <c r="P44" i="39"/>
  <c r="N44" i="39"/>
  <c r="O44" i="39" s="1"/>
  <c r="AD214" i="44"/>
  <c r="AD213" i="44"/>
  <c r="AD212" i="44"/>
  <c r="AD211" i="44"/>
  <c r="AD210" i="44"/>
  <c r="AD209" i="44"/>
  <c r="AD200" i="44"/>
  <c r="AD199" i="44"/>
  <c r="AD198" i="44"/>
  <c r="AD197" i="44"/>
  <c r="AD196" i="44"/>
  <c r="AD195" i="44"/>
  <c r="AD189" i="44"/>
  <c r="AD188" i="44"/>
  <c r="AD187" i="44"/>
  <c r="AN44" i="39" l="1"/>
  <c r="Z44" i="39"/>
  <c r="AA44" i="39"/>
  <c r="AB44" i="39"/>
  <c r="AE189" i="44"/>
  <c r="AE188" i="44"/>
  <c r="AE187" i="44"/>
  <c r="AE42" i="44"/>
  <c r="AE41" i="44"/>
  <c r="AE40" i="44"/>
  <c r="AE39" i="44"/>
  <c r="AE38" i="44"/>
  <c r="AD42" i="44"/>
  <c r="AD41" i="44"/>
  <c r="AD40" i="44"/>
  <c r="AD39" i="44"/>
  <c r="AD38" i="44"/>
  <c r="AC42" i="44"/>
  <c r="AC41" i="44"/>
  <c r="AC40" i="44"/>
  <c r="AC38" i="44"/>
  <c r="AC214" i="44"/>
  <c r="AC212" i="44"/>
  <c r="AC210" i="44"/>
  <c r="AC199" i="44"/>
  <c r="AC197" i="44"/>
  <c r="AC195" i="44"/>
  <c r="AC189" i="44"/>
  <c r="AC187" i="44"/>
  <c r="AC213" i="44"/>
  <c r="AC211" i="44"/>
  <c r="AC209" i="44"/>
  <c r="AC200" i="44"/>
  <c r="AC198" i="44"/>
  <c r="AC196" i="44"/>
  <c r="AC188" i="44"/>
  <c r="AC39" i="44"/>
  <c r="AG189" i="44" l="1"/>
  <c r="AG188" i="44"/>
  <c r="AG38" i="44"/>
  <c r="AG40" i="44"/>
  <c r="AG41" i="44"/>
  <c r="AG42" i="44"/>
  <c r="AG39" i="44"/>
  <c r="AG187" i="44"/>
  <c r="AO44" i="39"/>
  <c r="AP44" i="39" s="1"/>
  <c r="AW44" i="39" s="1"/>
  <c r="AT44" i="39" l="1"/>
  <c r="AU44" i="39" s="1"/>
  <c r="AR44" i="39"/>
  <c r="AS44" i="39" s="1"/>
  <c r="AV44" i="39"/>
  <c r="AQ44" i="39"/>
  <c r="C59" i="31" l="1"/>
  <c r="C57" i="31"/>
  <c r="C82" i="31"/>
  <c r="C81" i="31"/>
  <c r="C80" i="31"/>
  <c r="C79" i="31"/>
  <c r="C76" i="31"/>
  <c r="C74" i="31"/>
  <c r="C72" i="31"/>
  <c r="C69" i="31"/>
  <c r="C67" i="31"/>
  <c r="C65" i="31"/>
  <c r="C62" i="31"/>
  <c r="C61" i="31"/>
  <c r="C60" i="31"/>
  <c r="C58" i="31"/>
  <c r="C55" i="31"/>
  <c r="C54" i="31"/>
  <c r="C53" i="31"/>
  <c r="C52" i="31"/>
  <c r="C51" i="31"/>
  <c r="C50" i="31"/>
  <c r="C48" i="31"/>
  <c r="C47" i="31"/>
  <c r="C45" i="31"/>
  <c r="C43" i="31"/>
  <c r="C41" i="31"/>
  <c r="C38" i="31"/>
  <c r="C36" i="31"/>
  <c r="C34" i="31"/>
  <c r="C32" i="31"/>
  <c r="C30" i="31"/>
  <c r="C28" i="31"/>
  <c r="C26" i="31"/>
  <c r="C24" i="31"/>
  <c r="C22" i="31"/>
  <c r="C21" i="31"/>
  <c r="C20" i="31"/>
  <c r="C18" i="31"/>
  <c r="C16" i="31"/>
  <c r="C14" i="31"/>
  <c r="C12" i="31"/>
  <c r="C10" i="31"/>
  <c r="C9" i="31"/>
  <c r="C8" i="31"/>
  <c r="C7" i="31"/>
  <c r="N82" i="31"/>
  <c r="N81" i="31"/>
  <c r="AG62" i="31"/>
  <c r="AH62" i="31" s="1"/>
  <c r="AG61" i="31"/>
  <c r="AH61" i="31" s="1"/>
  <c r="AG60" i="31"/>
  <c r="AH60" i="31" s="1"/>
  <c r="AG58" i="31"/>
  <c r="AH58" i="31" s="1"/>
  <c r="C442" i="44"/>
  <c r="C441" i="44"/>
  <c r="C440" i="44"/>
  <c r="C439" i="44"/>
  <c r="C438" i="44"/>
  <c r="C437" i="44"/>
  <c r="C436" i="44"/>
  <c r="C435" i="44"/>
  <c r="C434" i="44"/>
  <c r="C433" i="44"/>
  <c r="C432" i="44"/>
  <c r="C431" i="44"/>
  <c r="C430" i="44"/>
  <c r="C429" i="44"/>
  <c r="C428" i="44"/>
  <c r="C427" i="44"/>
  <c r="C426" i="44"/>
  <c r="C425" i="44"/>
  <c r="C424" i="44"/>
  <c r="C423" i="44"/>
  <c r="C422" i="44"/>
  <c r="C421" i="44"/>
  <c r="C420" i="44"/>
  <c r="C419" i="44"/>
  <c r="C418" i="44"/>
  <c r="C414" i="44"/>
  <c r="C413" i="44"/>
  <c r="C412" i="44"/>
  <c r="C411" i="44"/>
  <c r="C410" i="44"/>
  <c r="C409" i="44"/>
  <c r="C408" i="44"/>
  <c r="C407" i="44"/>
  <c r="C393" i="44"/>
  <c r="C367" i="44"/>
  <c r="C366" i="44"/>
  <c r="C365" i="44"/>
  <c r="C364" i="44"/>
  <c r="C363" i="44"/>
  <c r="C362" i="44"/>
  <c r="C361" i="44"/>
  <c r="C360" i="44"/>
  <c r="C359" i="44"/>
  <c r="C358" i="44"/>
  <c r="C357" i="44"/>
  <c r="C356" i="44"/>
  <c r="C355" i="44"/>
  <c r="C354" i="44"/>
  <c r="C353" i="44"/>
  <c r="C352" i="44"/>
  <c r="C348" i="44"/>
  <c r="C347" i="44"/>
  <c r="C315" i="44"/>
  <c r="C314" i="44"/>
  <c r="C312" i="44"/>
  <c r="C311" i="44"/>
  <c r="C310" i="44"/>
  <c r="C308" i="44"/>
  <c r="C307" i="44"/>
  <c r="C302" i="44"/>
  <c r="C301" i="44"/>
  <c r="C299" i="44"/>
  <c r="C298" i="44"/>
  <c r="C297" i="44"/>
  <c r="C295" i="44"/>
  <c r="C288" i="44"/>
  <c r="C287" i="44"/>
  <c r="C286" i="44"/>
  <c r="C285" i="44"/>
  <c r="C284" i="44"/>
  <c r="C283" i="44"/>
  <c r="C282" i="44"/>
  <c r="C281" i="44"/>
  <c r="C280" i="44"/>
  <c r="C264" i="44"/>
  <c r="C263" i="44"/>
  <c r="C262" i="44"/>
  <c r="C261" i="44"/>
  <c r="C260" i="44"/>
  <c r="C259" i="44"/>
  <c r="C258" i="44"/>
  <c r="C257" i="44"/>
  <c r="C256" i="44"/>
  <c r="C255" i="44"/>
  <c r="C254" i="44"/>
  <c r="C253" i="44"/>
  <c r="C251" i="44"/>
  <c r="C249" i="44"/>
  <c r="C248" i="44"/>
  <c r="C247" i="44"/>
  <c r="C237" i="44"/>
  <c r="C236" i="44"/>
  <c r="C235" i="44"/>
  <c r="C234" i="44"/>
  <c r="C233" i="44"/>
  <c r="C232" i="44"/>
  <c r="C231" i="44"/>
  <c r="C230" i="44"/>
  <c r="C229" i="44"/>
  <c r="C228" i="44"/>
  <c r="C227" i="44"/>
  <c r="C226" i="44"/>
  <c r="C225" i="44"/>
  <c r="C224" i="44"/>
  <c r="C223" i="44"/>
  <c r="C222" i="44"/>
  <c r="C221" i="44"/>
  <c r="C220" i="44"/>
  <c r="C219" i="44"/>
  <c r="C218" i="44"/>
  <c r="C217" i="44"/>
  <c r="C216" i="44"/>
  <c r="C214" i="44"/>
  <c r="C213" i="44"/>
  <c r="C212" i="44"/>
  <c r="C211" i="44"/>
  <c r="C210" i="44"/>
  <c r="C209" i="44"/>
  <c r="C208" i="44"/>
  <c r="C200" i="44"/>
  <c r="C199" i="44"/>
  <c r="C198" i="44"/>
  <c r="C197" i="44"/>
  <c r="C196" i="44"/>
  <c r="C195" i="44"/>
  <c r="C193" i="44"/>
  <c r="C191" i="44"/>
  <c r="C189" i="44"/>
  <c r="C188" i="44"/>
  <c r="C187" i="44"/>
  <c r="C169" i="44"/>
  <c r="C167" i="44"/>
  <c r="C166" i="44"/>
  <c r="C165" i="44"/>
  <c r="C144" i="39" s="1"/>
  <c r="C160" i="44"/>
  <c r="C159" i="44"/>
  <c r="C148" i="44"/>
  <c r="C146" i="44"/>
  <c r="C145" i="44"/>
  <c r="C144" i="44"/>
  <c r="C143" i="44"/>
  <c r="C142" i="44"/>
  <c r="C141" i="44"/>
  <c r="C113" i="44"/>
  <c r="C112" i="44"/>
  <c r="C111" i="44"/>
  <c r="C110" i="44"/>
  <c r="C109" i="44"/>
  <c r="C108" i="44"/>
  <c r="C95" i="44"/>
  <c r="C66" i="44"/>
  <c r="C65" i="44"/>
  <c r="C64" i="44"/>
  <c r="C63" i="44"/>
  <c r="C62" i="44"/>
  <c r="C60" i="44"/>
  <c r="C59" i="44"/>
  <c r="C45" i="44"/>
  <c r="C44" i="44"/>
  <c r="C42" i="44"/>
  <c r="C41" i="44"/>
  <c r="C40" i="44"/>
  <c r="C39" i="44"/>
  <c r="C38" i="44"/>
  <c r="C30" i="44"/>
  <c r="C29" i="44"/>
  <c r="C27" i="44"/>
  <c r="C25" i="44"/>
  <c r="C23" i="44"/>
  <c r="C20" i="44"/>
  <c r="C19" i="44"/>
  <c r="C18" i="44"/>
  <c r="C17" i="44"/>
  <c r="C16" i="44"/>
  <c r="C15" i="44"/>
  <c r="C14" i="44"/>
  <c r="C13" i="44"/>
  <c r="C12" i="44"/>
  <c r="C11" i="44"/>
  <c r="C10" i="44"/>
  <c r="C9" i="44"/>
  <c r="C8" i="44"/>
  <c r="C7" i="44"/>
  <c r="AU442" i="44"/>
  <c r="AU441" i="44"/>
  <c r="AU440" i="44"/>
  <c r="AU439" i="44"/>
  <c r="AU438" i="44"/>
  <c r="AU437" i="44"/>
  <c r="AU436" i="44"/>
  <c r="AU435" i="44"/>
  <c r="AU434" i="44"/>
  <c r="AU433" i="44"/>
  <c r="AU432" i="44"/>
  <c r="AU431" i="44"/>
  <c r="AU430" i="44"/>
  <c r="AU429" i="44"/>
  <c r="AU428" i="44"/>
  <c r="AU427" i="44"/>
  <c r="AU426" i="44"/>
  <c r="AU425" i="44"/>
  <c r="AU424" i="44"/>
  <c r="AU421" i="44"/>
  <c r="AU420" i="44"/>
  <c r="AU419" i="44"/>
  <c r="AU418" i="44"/>
  <c r="AU414" i="44"/>
  <c r="AU413" i="44"/>
  <c r="AU412" i="44"/>
  <c r="AU411" i="44"/>
  <c r="AU410" i="44"/>
  <c r="AU409" i="44"/>
  <c r="AU408" i="44"/>
  <c r="AU407" i="44"/>
  <c r="AU367" i="44"/>
  <c r="AU366" i="44"/>
  <c r="AU365" i="44"/>
  <c r="AU364" i="44"/>
  <c r="AU363" i="44"/>
  <c r="AU362" i="44"/>
  <c r="AU361" i="44"/>
  <c r="AU360" i="44"/>
  <c r="AU359" i="44"/>
  <c r="AU358" i="44"/>
  <c r="AU357" i="44"/>
  <c r="AU356" i="44"/>
  <c r="AU355" i="44"/>
  <c r="AU354" i="44"/>
  <c r="AU353" i="44"/>
  <c r="AU352" i="44"/>
  <c r="AU348" i="44"/>
  <c r="AU347" i="44"/>
  <c r="AU315" i="44"/>
  <c r="AU314" i="44"/>
  <c r="AU311" i="44"/>
  <c r="AU310" i="44"/>
  <c r="AU307" i="44"/>
  <c r="AU302" i="44"/>
  <c r="AU301" i="44"/>
  <c r="AU298" i="44"/>
  <c r="AU297" i="44"/>
  <c r="AU288" i="44"/>
  <c r="AU287" i="44"/>
  <c r="AU286" i="44"/>
  <c r="AU285" i="44"/>
  <c r="AU284" i="44"/>
  <c r="AU283" i="44"/>
  <c r="AU282" i="44"/>
  <c r="AU281" i="44"/>
  <c r="AU280" i="44"/>
  <c r="AU264" i="44"/>
  <c r="AU263" i="44"/>
  <c r="AU262" i="44"/>
  <c r="AU256" i="44"/>
  <c r="AU255" i="44"/>
  <c r="AU254" i="44"/>
  <c r="AU237" i="44"/>
  <c r="AU236" i="44"/>
  <c r="AU235" i="44"/>
  <c r="AU234" i="44"/>
  <c r="AU233" i="44"/>
  <c r="AU232" i="44"/>
  <c r="AU226" i="44"/>
  <c r="AU225" i="44"/>
  <c r="AU224" i="44"/>
  <c r="AU223" i="44"/>
  <c r="AU222" i="44"/>
  <c r="AU221" i="44"/>
  <c r="AU214" i="44"/>
  <c r="AU213" i="44"/>
  <c r="AU212" i="44"/>
  <c r="AU200" i="44"/>
  <c r="AU199" i="44"/>
  <c r="AU189" i="44"/>
  <c r="AU148" i="44"/>
  <c r="AU146" i="44"/>
  <c r="AU145" i="44"/>
  <c r="AU144" i="44"/>
  <c r="AU143" i="44"/>
  <c r="AU142" i="44"/>
  <c r="AU141" i="44"/>
  <c r="AU113" i="44"/>
  <c r="AU111" i="44"/>
  <c r="AU110" i="44"/>
  <c r="AU95" i="44"/>
  <c r="AU66" i="44"/>
  <c r="AU65" i="44"/>
  <c r="AU64" i="44"/>
  <c r="AU63" i="44"/>
  <c r="AU62" i="44"/>
  <c r="AU60" i="44"/>
  <c r="AU59" i="44"/>
  <c r="AU45" i="44"/>
  <c r="AU44" i="44"/>
  <c r="AU42" i="44"/>
  <c r="AU30" i="44"/>
  <c r="AU29" i="44"/>
  <c r="C369" i="44" l="1"/>
  <c r="C368" i="44"/>
  <c r="C443" i="44"/>
  <c r="E10" i="48"/>
  <c r="I10" i="48" s="1"/>
  <c r="J10" i="48" s="1"/>
  <c r="E8" i="48"/>
  <c r="I8" i="48" s="1"/>
  <c r="J8" i="48" s="1"/>
  <c r="I6" i="48"/>
  <c r="J6" i="48" s="1"/>
  <c r="M6" i="48" l="1"/>
  <c r="L6" i="48"/>
  <c r="M8" i="48"/>
  <c r="L8" i="48"/>
  <c r="M10" i="48"/>
  <c r="L10" i="48"/>
  <c r="W110" i="44"/>
  <c r="X110" i="44" s="1"/>
  <c r="W222" i="44"/>
  <c r="X222" i="44" s="1"/>
  <c r="W422" i="44"/>
  <c r="X422" i="44" s="1"/>
  <c r="AH165" i="39"/>
  <c r="AH164" i="39"/>
  <c r="AH110" i="39"/>
  <c r="AH109" i="39"/>
  <c r="AH108" i="39"/>
  <c r="AH107" i="39"/>
  <c r="AH106" i="39"/>
  <c r="AH105" i="39"/>
  <c r="AH85" i="39"/>
  <c r="AH80" i="39"/>
  <c r="AH79" i="39"/>
  <c r="AG9" i="31" l="1"/>
  <c r="AH9" i="31" s="1"/>
  <c r="AG8" i="31"/>
  <c r="AH8" i="31" s="1"/>
  <c r="AG76" i="31"/>
  <c r="AH76" i="31" s="1"/>
  <c r="AG74" i="31"/>
  <c r="AH74" i="31" s="1"/>
  <c r="AG72" i="31"/>
  <c r="AH72" i="31" s="1"/>
  <c r="AG34" i="31"/>
  <c r="AH34" i="31" s="1"/>
  <c r="AG38" i="31"/>
  <c r="AH38" i="31" s="1"/>
  <c r="AG36" i="31"/>
  <c r="AH36" i="31" s="1"/>
  <c r="AG32" i="31"/>
  <c r="AH32" i="31" s="1"/>
  <c r="AM60" i="31"/>
  <c r="AL60" i="31"/>
  <c r="AK60" i="31"/>
  <c r="AJ60" i="31"/>
  <c r="AI60" i="31"/>
  <c r="W60" i="31"/>
  <c r="P60" i="31"/>
  <c r="AM58" i="31"/>
  <c r="AL58" i="31"/>
  <c r="AK58" i="31"/>
  <c r="AJ58" i="31"/>
  <c r="AI58" i="31"/>
  <c r="W58" i="31"/>
  <c r="P58" i="31"/>
  <c r="N80" i="31"/>
  <c r="N79" i="31"/>
  <c r="N76" i="31"/>
  <c r="O76" i="31" s="1"/>
  <c r="N74" i="31"/>
  <c r="O74" i="31" s="1"/>
  <c r="N72" i="31"/>
  <c r="O72" i="31" s="1"/>
  <c r="N69" i="31"/>
  <c r="O69" i="31" s="1"/>
  <c r="N67" i="31"/>
  <c r="O67" i="31" s="1"/>
  <c r="N65" i="31"/>
  <c r="O65" i="31" s="1"/>
  <c r="N62" i="31"/>
  <c r="N61" i="31"/>
  <c r="N59" i="31"/>
  <c r="N57" i="31"/>
  <c r="N55" i="31"/>
  <c r="N54" i="31"/>
  <c r="N53" i="31"/>
  <c r="N52" i="31"/>
  <c r="N51" i="31"/>
  <c r="N48" i="31"/>
  <c r="N47" i="31"/>
  <c r="N45" i="31"/>
  <c r="N43" i="31"/>
  <c r="O43" i="31" s="1"/>
  <c r="N41" i="31"/>
  <c r="O41" i="31" s="1"/>
  <c r="N38" i="31"/>
  <c r="O38" i="31" s="1"/>
  <c r="N36" i="31"/>
  <c r="O36" i="31" s="1"/>
  <c r="N34" i="31"/>
  <c r="O34" i="31" s="1"/>
  <c r="N32" i="31"/>
  <c r="O32" i="31" s="1"/>
  <c r="N30" i="31"/>
  <c r="O30" i="31" s="1"/>
  <c r="N28" i="31"/>
  <c r="O28" i="31" s="1"/>
  <c r="N26" i="31"/>
  <c r="O26" i="31" s="1"/>
  <c r="N24" i="31"/>
  <c r="O24" i="31" s="1"/>
  <c r="N22" i="31"/>
  <c r="O22" i="31" s="1"/>
  <c r="N21" i="31"/>
  <c r="O21" i="31" s="1"/>
  <c r="N20" i="31"/>
  <c r="O20" i="31" s="1"/>
  <c r="N18" i="31"/>
  <c r="N16" i="31"/>
  <c r="O16" i="31" s="1"/>
  <c r="N14" i="31"/>
  <c r="O14" i="31" s="1"/>
  <c r="N12" i="31"/>
  <c r="O12" i="31" s="1"/>
  <c r="N10" i="31"/>
  <c r="O10" i="31" s="1"/>
  <c r="N9" i="31"/>
  <c r="O9" i="31" s="1"/>
  <c r="N8" i="31"/>
  <c r="O8" i="31" s="1"/>
  <c r="N7" i="31"/>
  <c r="P80" i="31"/>
  <c r="P79" i="31"/>
  <c r="P76" i="31"/>
  <c r="P74" i="31"/>
  <c r="P72" i="31"/>
  <c r="P69" i="31"/>
  <c r="P67" i="31"/>
  <c r="P65" i="31"/>
  <c r="P62" i="31"/>
  <c r="P61" i="31"/>
  <c r="P55" i="31"/>
  <c r="P54" i="31"/>
  <c r="P53" i="31"/>
  <c r="P52" i="31"/>
  <c r="P51" i="31"/>
  <c r="P50" i="31"/>
  <c r="P48" i="31"/>
  <c r="P47" i="31"/>
  <c r="P45" i="31"/>
  <c r="P43" i="31"/>
  <c r="P41" i="31"/>
  <c r="P38" i="31"/>
  <c r="P36" i="31"/>
  <c r="P34" i="31"/>
  <c r="P32" i="31"/>
  <c r="P30" i="31"/>
  <c r="P28" i="31"/>
  <c r="P26" i="31"/>
  <c r="P24" i="31"/>
  <c r="P22" i="31"/>
  <c r="P21" i="31"/>
  <c r="P20" i="31"/>
  <c r="P16" i="31"/>
  <c r="P14" i="31"/>
  <c r="P12" i="31"/>
  <c r="P10" i="31"/>
  <c r="P9" i="31"/>
  <c r="P8" i="31"/>
  <c r="P7" i="31"/>
  <c r="BB58" i="31" l="1"/>
  <c r="X58" i="31"/>
  <c r="BB60" i="31"/>
  <c r="X60" i="31"/>
  <c r="O18" i="31"/>
  <c r="K125" i="9"/>
  <c r="S125" i="9" s="1"/>
  <c r="K124" i="9"/>
  <c r="S124" i="9" s="1"/>
  <c r="U125" i="9"/>
  <c r="AC125" i="9" s="1"/>
  <c r="AD125" i="9" s="1"/>
  <c r="AE125" i="9" s="1"/>
  <c r="U116" i="9"/>
  <c r="AC116" i="9" s="1"/>
  <c r="U115" i="9"/>
  <c r="U117" i="9"/>
  <c r="AC117" i="9" s="1"/>
  <c r="AD117" i="9" s="1"/>
  <c r="AE117" i="9" s="1"/>
  <c r="U124" i="9"/>
  <c r="AC124" i="9" s="1"/>
  <c r="AD124" i="9" s="1"/>
  <c r="AE124" i="9" s="1"/>
  <c r="K117" i="9"/>
  <c r="S117" i="9" s="1"/>
  <c r="K116" i="9"/>
  <c r="S116" i="9" s="1"/>
  <c r="K115" i="9"/>
  <c r="S115" i="9" s="1"/>
  <c r="AN60" i="31"/>
  <c r="AN58" i="31"/>
  <c r="Z60" i="31"/>
  <c r="Z58" i="31"/>
  <c r="AB60" i="31"/>
  <c r="AA60" i="31"/>
  <c r="AA58" i="31"/>
  <c r="AB58" i="31"/>
  <c r="AC115" i="9" l="1"/>
  <c r="AD115" i="9" s="1"/>
  <c r="AE115" i="9" s="1"/>
  <c r="AO60" i="31"/>
  <c r="AP60" i="31" s="1"/>
  <c r="AD116" i="9"/>
  <c r="AE116" i="9" s="1"/>
  <c r="AO58" i="31"/>
  <c r="AP58" i="31" s="1"/>
  <c r="AW58" i="31" l="1"/>
  <c r="AZ60" i="31"/>
  <c r="AV60" i="31"/>
  <c r="AW60" i="31"/>
  <c r="BC60" i="31"/>
  <c r="AQ60" i="31"/>
  <c r="AR60" i="31"/>
  <c r="AS60" i="31" s="1"/>
  <c r="AV58" i="31"/>
  <c r="AZ58" i="31"/>
  <c r="BC58" i="31"/>
  <c r="AR58" i="31"/>
  <c r="AS58" i="31" s="1"/>
  <c r="AQ58" i="31"/>
  <c r="U127" i="9" l="1"/>
  <c r="K123" i="9"/>
  <c r="S123" i="9" s="1"/>
  <c r="U133" i="9"/>
  <c r="AC133" i="9" s="1"/>
  <c r="AD133" i="9" s="1"/>
  <c r="AE133" i="9" s="1"/>
  <c r="U123" i="9"/>
  <c r="AC123" i="9" s="1"/>
  <c r="AD123" i="9" s="1"/>
  <c r="AE123" i="9" s="1"/>
  <c r="K128" i="9"/>
  <c r="S128" i="9" s="1"/>
  <c r="K127" i="9"/>
  <c r="U132" i="9"/>
  <c r="AC132" i="9" s="1"/>
  <c r="AD132" i="9" s="1"/>
  <c r="AE132" i="9" s="1"/>
  <c r="U120" i="9"/>
  <c r="AC120" i="9" s="1"/>
  <c r="AD120" i="9" s="1"/>
  <c r="AE120" i="9" s="1"/>
  <c r="U122" i="9"/>
  <c r="AC122" i="9" s="1"/>
  <c r="AD122" i="9" s="1"/>
  <c r="AE122" i="9" s="1"/>
  <c r="K120" i="9"/>
  <c r="S120" i="9" s="1"/>
  <c r="K122" i="9"/>
  <c r="S122" i="9" s="1"/>
  <c r="K130" i="9"/>
  <c r="S130" i="9" s="1"/>
  <c r="K121" i="9"/>
  <c r="S121" i="9" s="1"/>
  <c r="U121" i="9"/>
  <c r="AC121" i="9" s="1"/>
  <c r="U130" i="9"/>
  <c r="AC130" i="9" s="1"/>
  <c r="AD130" i="9" s="1"/>
  <c r="AE130" i="9" s="1"/>
  <c r="U128" i="9" l="1"/>
  <c r="AC128" i="9" s="1"/>
  <c r="AD128" i="9" s="1"/>
  <c r="AE128" i="9" s="1"/>
  <c r="K132" i="9"/>
  <c r="S132" i="9" s="1"/>
  <c r="K133" i="9"/>
  <c r="S133" i="9" s="1"/>
  <c r="K119" i="9"/>
  <c r="S119" i="9" s="1"/>
  <c r="U119" i="9"/>
  <c r="AC119" i="9" s="1"/>
  <c r="AD119" i="9" s="1"/>
  <c r="AE119" i="9" s="1"/>
  <c r="K129" i="9"/>
  <c r="S129" i="9" s="1"/>
  <c r="U129" i="9"/>
  <c r="AC129" i="9" s="1"/>
  <c r="AD129" i="9" s="1"/>
  <c r="AE129" i="9" s="1"/>
  <c r="K131" i="9"/>
  <c r="S131" i="9" s="1"/>
  <c r="U131" i="9"/>
  <c r="AC131" i="9" s="1"/>
  <c r="AD131" i="9" s="1"/>
  <c r="AE131" i="9" s="1"/>
  <c r="AC127" i="9"/>
  <c r="AD127" i="9" s="1"/>
  <c r="AE127" i="9" s="1"/>
  <c r="S127" i="9"/>
  <c r="U118" i="9"/>
  <c r="K118" i="9"/>
  <c r="S118" i="9" s="1"/>
  <c r="AD121" i="9"/>
  <c r="AE121" i="9" s="1"/>
  <c r="AG69" i="31"/>
  <c r="AH69" i="31" s="1"/>
  <c r="AG65" i="31"/>
  <c r="AH65" i="31" s="1"/>
  <c r="AG54" i="31"/>
  <c r="AH54" i="31" s="1"/>
  <c r="AG51" i="31"/>
  <c r="AH51" i="31" s="1"/>
  <c r="AG55" i="31"/>
  <c r="AH55" i="31" s="1"/>
  <c r="AG53" i="31"/>
  <c r="AH53" i="31" s="1"/>
  <c r="AG52" i="31"/>
  <c r="AH52" i="31" s="1"/>
  <c r="AG50" i="31"/>
  <c r="AH50" i="31" s="1"/>
  <c r="U141" i="9" l="1"/>
  <c r="AJ7" i="50"/>
  <c r="AJ9" i="50" s="1"/>
  <c r="AJ11" i="50" s="1"/>
  <c r="AJ12" i="50" s="1"/>
  <c r="AK7" i="50"/>
  <c r="AK9" i="50" s="1"/>
  <c r="AK11" i="50" s="1"/>
  <c r="AK12" i="50" s="1"/>
  <c r="AL7" i="50"/>
  <c r="AL9" i="50" s="1"/>
  <c r="AL11" i="50" s="1"/>
  <c r="AL12" i="50" s="1"/>
  <c r="K141" i="9"/>
  <c r="AC118" i="9"/>
  <c r="AD118" i="9" s="1"/>
  <c r="AE118" i="9" s="1"/>
  <c r="AG79" i="31"/>
  <c r="AH79" i="31" s="1"/>
  <c r="AG80" i="31"/>
  <c r="AH80" i="31" s="1"/>
  <c r="AG67" i="31"/>
  <c r="AH67" i="31" s="1"/>
  <c r="AG413" i="44"/>
  <c r="AH413" i="44" s="1"/>
  <c r="AC412" i="44"/>
  <c r="AG412" i="44" s="1"/>
  <c r="AH412" i="44" s="1"/>
  <c r="AC411" i="44"/>
  <c r="AG411" i="44" s="1"/>
  <c r="AH411" i="44" s="1"/>
  <c r="AG410" i="44"/>
  <c r="AH410" i="44" s="1"/>
  <c r="AG409" i="44"/>
  <c r="AH409" i="44" s="1"/>
  <c r="AH279" i="39"/>
  <c r="AH278" i="39"/>
  <c r="AH277" i="39"/>
  <c r="AH276" i="39"/>
  <c r="AH275" i="39"/>
  <c r="AH274" i="39"/>
  <c r="AH273" i="39"/>
  <c r="AH272" i="39"/>
  <c r="AH269" i="39"/>
  <c r="AH268" i="39"/>
  <c r="AH267" i="39"/>
  <c r="AH266" i="39"/>
  <c r="AH265" i="39"/>
  <c r="AH264" i="39"/>
  <c r="AH263" i="39"/>
  <c r="AH262" i="39"/>
  <c r="AH261" i="39"/>
  <c r="AH258" i="39"/>
  <c r="AH257" i="39"/>
  <c r="AH256" i="39"/>
  <c r="AH255" i="39"/>
  <c r="AH254" i="39"/>
  <c r="AH253" i="39"/>
  <c r="AH252" i="39"/>
  <c r="AH246" i="39"/>
  <c r="AH245" i="39"/>
  <c r="AH244" i="39"/>
  <c r="AH243" i="39"/>
  <c r="AH242" i="39"/>
  <c r="AH241" i="39"/>
  <c r="AH240" i="39"/>
  <c r="AH239" i="39"/>
  <c r="AH238" i="39"/>
  <c r="AH236" i="39"/>
  <c r="AH235" i="39"/>
  <c r="AH234" i="39"/>
  <c r="AH225" i="39"/>
  <c r="AH223" i="39"/>
  <c r="AH222" i="39"/>
  <c r="AH221" i="39"/>
  <c r="AH220" i="39"/>
  <c r="AH219" i="39"/>
  <c r="AH217" i="39"/>
  <c r="AH216" i="39"/>
  <c r="AH215" i="39"/>
  <c r="AH211" i="39"/>
  <c r="AH210" i="39"/>
  <c r="AH209" i="39"/>
  <c r="AH208" i="39"/>
  <c r="AH207" i="39"/>
  <c r="AH206" i="39"/>
  <c r="AH205" i="39"/>
  <c r="AH204" i="39"/>
  <c r="AH203" i="39"/>
  <c r="AH202" i="39"/>
  <c r="AH201" i="39"/>
  <c r="AH200" i="39"/>
  <c r="AH199" i="39"/>
  <c r="AH198" i="39"/>
  <c r="AH193" i="39"/>
  <c r="AH192" i="39"/>
  <c r="AH191" i="39"/>
  <c r="AH190" i="39"/>
  <c r="AH189" i="39"/>
  <c r="AH188" i="39"/>
  <c r="AH187" i="39"/>
  <c r="AH186" i="39"/>
  <c r="AH185" i="39"/>
  <c r="AH184" i="39"/>
  <c r="AH183" i="39"/>
  <c r="AH182" i="39"/>
  <c r="AH181" i="39"/>
  <c r="AH180" i="39"/>
  <c r="AH179" i="39"/>
  <c r="AH178" i="39"/>
  <c r="AH175" i="39"/>
  <c r="AH173" i="39"/>
  <c r="AH172" i="39"/>
  <c r="AH171" i="39"/>
  <c r="AH170" i="39"/>
  <c r="AH169" i="39"/>
  <c r="AH103" i="39"/>
  <c r="AH102" i="39"/>
  <c r="AH101" i="39"/>
  <c r="AH87" i="39"/>
  <c r="AH86" i="39"/>
  <c r="W8" i="39"/>
  <c r="AM8" i="39"/>
  <c r="AL8" i="39"/>
  <c r="AK8" i="39"/>
  <c r="AJ8" i="39"/>
  <c r="S8" i="39"/>
  <c r="P8" i="39"/>
  <c r="O8" i="39"/>
  <c r="N281" i="39"/>
  <c r="AM279" i="39"/>
  <c r="AL279" i="39"/>
  <c r="AK279" i="39"/>
  <c r="AJ279" i="39"/>
  <c r="AI279" i="39"/>
  <c r="W279" i="39"/>
  <c r="S279" i="39"/>
  <c r="P279" i="39"/>
  <c r="N279" i="39"/>
  <c r="AM278" i="39"/>
  <c r="AL278" i="39"/>
  <c r="AK278" i="39"/>
  <c r="AJ278" i="39"/>
  <c r="AI278" i="39"/>
  <c r="W278" i="39"/>
  <c r="S278" i="39"/>
  <c r="P278" i="39"/>
  <c r="N278" i="39"/>
  <c r="AM277" i="39"/>
  <c r="AL277" i="39"/>
  <c r="AK277" i="39"/>
  <c r="AJ277" i="39"/>
  <c r="AI277" i="39"/>
  <c r="W277" i="39"/>
  <c r="S277" i="39"/>
  <c r="P277" i="39"/>
  <c r="N277" i="39"/>
  <c r="AM276" i="39"/>
  <c r="AL276" i="39"/>
  <c r="AK276" i="39"/>
  <c r="AJ276" i="39"/>
  <c r="AI276" i="39"/>
  <c r="W276" i="39"/>
  <c r="S276" i="39"/>
  <c r="P276" i="39"/>
  <c r="N276" i="39"/>
  <c r="AM275" i="39"/>
  <c r="AL275" i="39"/>
  <c r="AK275" i="39"/>
  <c r="AJ275" i="39"/>
  <c r="AI275" i="39"/>
  <c r="W275" i="39"/>
  <c r="S275" i="39"/>
  <c r="P275" i="39"/>
  <c r="N275" i="39"/>
  <c r="AM274" i="39"/>
  <c r="AL274" i="39"/>
  <c r="AK274" i="39"/>
  <c r="AJ274" i="39"/>
  <c r="AI274" i="39"/>
  <c r="W274" i="39"/>
  <c r="S274" i="39"/>
  <c r="P274" i="39"/>
  <c r="N274" i="39"/>
  <c r="AM273" i="39"/>
  <c r="AL273" i="39"/>
  <c r="AK273" i="39"/>
  <c r="AJ273" i="39"/>
  <c r="AI273" i="39"/>
  <c r="W273" i="39"/>
  <c r="S273" i="39"/>
  <c r="P273" i="39"/>
  <c r="N273" i="39"/>
  <c r="AM272" i="39"/>
  <c r="AL272" i="39"/>
  <c r="AK272" i="39"/>
  <c r="AJ272" i="39"/>
  <c r="AI272" i="39"/>
  <c r="W272" i="39"/>
  <c r="S272" i="39"/>
  <c r="P272" i="39"/>
  <c r="N272" i="39"/>
  <c r="N270" i="39"/>
  <c r="AM269" i="39"/>
  <c r="AL269" i="39"/>
  <c r="AK269" i="39"/>
  <c r="AJ269" i="39"/>
  <c r="AI269" i="39"/>
  <c r="W269" i="39"/>
  <c r="S269" i="39"/>
  <c r="P269" i="39"/>
  <c r="N269" i="39"/>
  <c r="AM268" i="39"/>
  <c r="AL268" i="39"/>
  <c r="AK268" i="39"/>
  <c r="AJ268" i="39"/>
  <c r="AI268" i="39"/>
  <c r="W268" i="39"/>
  <c r="S268" i="39"/>
  <c r="P268" i="39"/>
  <c r="N268" i="39"/>
  <c r="AM267" i="39"/>
  <c r="AL267" i="39"/>
  <c r="AK267" i="39"/>
  <c r="AJ267" i="39"/>
  <c r="AI267" i="39"/>
  <c r="W267" i="39"/>
  <c r="S267" i="39"/>
  <c r="P267" i="39"/>
  <c r="N267" i="39"/>
  <c r="AM266" i="39"/>
  <c r="AL266" i="39"/>
  <c r="AK266" i="39"/>
  <c r="AJ266" i="39"/>
  <c r="AI266" i="39"/>
  <c r="W266" i="39"/>
  <c r="S266" i="39"/>
  <c r="P266" i="39"/>
  <c r="N266" i="39"/>
  <c r="AM265" i="39"/>
  <c r="AL265" i="39"/>
  <c r="AK265" i="39"/>
  <c r="AJ265" i="39"/>
  <c r="AI265" i="39"/>
  <c r="W265" i="39"/>
  <c r="S265" i="39"/>
  <c r="P265" i="39"/>
  <c r="N265" i="39"/>
  <c r="AM264" i="39"/>
  <c r="AL264" i="39"/>
  <c r="AK264" i="39"/>
  <c r="AJ264" i="39"/>
  <c r="AI264" i="39"/>
  <c r="W264" i="39"/>
  <c r="S264" i="39"/>
  <c r="P264" i="39"/>
  <c r="N264" i="39"/>
  <c r="AM263" i="39"/>
  <c r="AL263" i="39"/>
  <c r="AK263" i="39"/>
  <c r="AJ263" i="39"/>
  <c r="AI263" i="39"/>
  <c r="W263" i="39"/>
  <c r="S263" i="39"/>
  <c r="P263" i="39"/>
  <c r="N263" i="39"/>
  <c r="AM262" i="39"/>
  <c r="AL262" i="39"/>
  <c r="AK262" i="39"/>
  <c r="AJ262" i="39"/>
  <c r="AI262" i="39"/>
  <c r="W262" i="39"/>
  <c r="S262" i="39"/>
  <c r="P262" i="39"/>
  <c r="N262" i="39"/>
  <c r="AM261" i="39"/>
  <c r="AL261" i="39"/>
  <c r="AK261" i="39"/>
  <c r="AJ261" i="39"/>
  <c r="AI261" i="39"/>
  <c r="W261" i="39"/>
  <c r="S261" i="39"/>
  <c r="P261" i="39"/>
  <c r="N261" i="39"/>
  <c r="AM260" i="39"/>
  <c r="AL260" i="39"/>
  <c r="AK260" i="39"/>
  <c r="AJ260" i="39"/>
  <c r="AI260" i="39"/>
  <c r="W260" i="39"/>
  <c r="S260" i="39"/>
  <c r="P260" i="39"/>
  <c r="N260" i="39"/>
  <c r="AM259" i="39"/>
  <c r="AL259" i="39"/>
  <c r="AK259" i="39"/>
  <c r="AJ259" i="39"/>
  <c r="AI259" i="39"/>
  <c r="S259" i="39"/>
  <c r="P259" i="39"/>
  <c r="N259" i="39"/>
  <c r="AM258" i="39"/>
  <c r="AL258" i="39"/>
  <c r="AK258" i="39"/>
  <c r="AJ258" i="39"/>
  <c r="AI258" i="39"/>
  <c r="W258" i="39"/>
  <c r="S258" i="39"/>
  <c r="P258" i="39"/>
  <c r="N258" i="39"/>
  <c r="AM257" i="39"/>
  <c r="AL257" i="39"/>
  <c r="AK257" i="39"/>
  <c r="AJ257" i="39"/>
  <c r="AI257" i="39"/>
  <c r="W257" i="39"/>
  <c r="S257" i="39"/>
  <c r="P257" i="39"/>
  <c r="N257" i="39"/>
  <c r="AM256" i="39"/>
  <c r="AL256" i="39"/>
  <c r="AK256" i="39"/>
  <c r="AJ256" i="39"/>
  <c r="AI256" i="39"/>
  <c r="W256" i="39"/>
  <c r="S256" i="39"/>
  <c r="P256" i="39"/>
  <c r="N256" i="39"/>
  <c r="AM255" i="39"/>
  <c r="AL255" i="39"/>
  <c r="AK255" i="39"/>
  <c r="AJ255" i="39"/>
  <c r="AI255" i="39"/>
  <c r="W255" i="39"/>
  <c r="S255" i="39"/>
  <c r="P255" i="39"/>
  <c r="N255" i="39"/>
  <c r="AM254" i="39"/>
  <c r="AL254" i="39"/>
  <c r="AK254" i="39"/>
  <c r="AJ254" i="39"/>
  <c r="AI254" i="39"/>
  <c r="W254" i="39"/>
  <c r="S254" i="39"/>
  <c r="P254" i="39"/>
  <c r="N254" i="39"/>
  <c r="AM253" i="39"/>
  <c r="AL253" i="39"/>
  <c r="AK253" i="39"/>
  <c r="AJ253" i="39"/>
  <c r="AI253" i="39"/>
  <c r="W253" i="39"/>
  <c r="S253" i="39"/>
  <c r="P253" i="39"/>
  <c r="N253" i="39"/>
  <c r="AM252" i="39"/>
  <c r="AL252" i="39"/>
  <c r="AK252" i="39"/>
  <c r="AJ252" i="39"/>
  <c r="AI252" i="39"/>
  <c r="W252" i="39"/>
  <c r="S252" i="39"/>
  <c r="P252" i="39"/>
  <c r="N252" i="39"/>
  <c r="N250" i="39"/>
  <c r="AM247" i="39"/>
  <c r="AL247" i="39"/>
  <c r="AK247" i="39"/>
  <c r="AJ247" i="39"/>
  <c r="AI247" i="39"/>
  <c r="W247" i="39"/>
  <c r="S247" i="39"/>
  <c r="P247" i="39"/>
  <c r="N247" i="39"/>
  <c r="AM246" i="39"/>
  <c r="AL246" i="39"/>
  <c r="AK246" i="39"/>
  <c r="AJ246" i="39"/>
  <c r="AI246" i="39"/>
  <c r="W246" i="39"/>
  <c r="S246" i="39"/>
  <c r="P246" i="39"/>
  <c r="N246" i="39"/>
  <c r="AM245" i="39"/>
  <c r="AL245" i="39"/>
  <c r="AK245" i="39"/>
  <c r="AJ245" i="39"/>
  <c r="AI245" i="39"/>
  <c r="W245" i="39"/>
  <c r="S245" i="39"/>
  <c r="P245" i="39"/>
  <c r="N245" i="39"/>
  <c r="AM244" i="39"/>
  <c r="AL244" i="39"/>
  <c r="AK244" i="39"/>
  <c r="AJ244" i="39"/>
  <c r="AI244" i="39"/>
  <c r="W244" i="39"/>
  <c r="S244" i="39"/>
  <c r="P244" i="39"/>
  <c r="N244" i="39"/>
  <c r="AM243" i="39"/>
  <c r="AL243" i="39"/>
  <c r="AK243" i="39"/>
  <c r="AJ243" i="39"/>
  <c r="AI243" i="39"/>
  <c r="W243" i="39"/>
  <c r="S243" i="39"/>
  <c r="P243" i="39"/>
  <c r="N243" i="39"/>
  <c r="AM242" i="39"/>
  <c r="AL242" i="39"/>
  <c r="AK242" i="39"/>
  <c r="AJ242" i="39"/>
  <c r="AI242" i="39"/>
  <c r="W242" i="39"/>
  <c r="S242" i="39"/>
  <c r="P242" i="39"/>
  <c r="N242" i="39"/>
  <c r="AM241" i="39"/>
  <c r="AL241" i="39"/>
  <c r="AK241" i="39"/>
  <c r="AJ241" i="39"/>
  <c r="AI241" i="39"/>
  <c r="W241" i="39"/>
  <c r="S241" i="39"/>
  <c r="P241" i="39"/>
  <c r="N241" i="39"/>
  <c r="AM240" i="39"/>
  <c r="AL240" i="39"/>
  <c r="AK240" i="39"/>
  <c r="AJ240" i="39"/>
  <c r="AI240" i="39"/>
  <c r="W240" i="39"/>
  <c r="S240" i="39"/>
  <c r="P240" i="39"/>
  <c r="N240" i="39"/>
  <c r="AM239" i="39"/>
  <c r="AL239" i="39"/>
  <c r="AK239" i="39"/>
  <c r="AJ239" i="39"/>
  <c r="AI239" i="39"/>
  <c r="W239" i="39"/>
  <c r="S239" i="39"/>
  <c r="P239" i="39"/>
  <c r="N239" i="39"/>
  <c r="AM238" i="39"/>
  <c r="AL238" i="39"/>
  <c r="AK238" i="39"/>
  <c r="AJ238" i="39"/>
  <c r="AI238" i="39"/>
  <c r="W238" i="39"/>
  <c r="S238" i="39"/>
  <c r="P238" i="39"/>
  <c r="N238" i="39"/>
  <c r="AM237" i="39"/>
  <c r="AL237" i="39"/>
  <c r="AK237" i="39"/>
  <c r="AJ237" i="39"/>
  <c r="AI237" i="39"/>
  <c r="W237" i="39"/>
  <c r="S237" i="39"/>
  <c r="P237" i="39"/>
  <c r="N237" i="39"/>
  <c r="AM236" i="39"/>
  <c r="AL236" i="39"/>
  <c r="AK236" i="39"/>
  <c r="AJ236" i="39"/>
  <c r="AI236" i="39"/>
  <c r="W236" i="39"/>
  <c r="S236" i="39"/>
  <c r="P236" i="39"/>
  <c r="N236" i="39"/>
  <c r="AM235" i="39"/>
  <c r="AL235" i="39"/>
  <c r="AK235" i="39"/>
  <c r="AJ235" i="39"/>
  <c r="AI235" i="39"/>
  <c r="W235" i="39"/>
  <c r="S235" i="39"/>
  <c r="P235" i="39"/>
  <c r="N235" i="39"/>
  <c r="AM234" i="39"/>
  <c r="AL234" i="39"/>
  <c r="AK234" i="39"/>
  <c r="AJ234" i="39"/>
  <c r="AI234" i="39"/>
  <c r="W234" i="39"/>
  <c r="S234" i="39"/>
  <c r="P234" i="39"/>
  <c r="N234" i="39"/>
  <c r="N232" i="39"/>
  <c r="AM226" i="39"/>
  <c r="AL226" i="39"/>
  <c r="AK226" i="39"/>
  <c r="AJ226" i="39"/>
  <c r="AI226" i="39"/>
  <c r="W226" i="39"/>
  <c r="S226" i="39"/>
  <c r="P226" i="39"/>
  <c r="N226" i="39"/>
  <c r="AM225" i="39"/>
  <c r="AL225" i="39"/>
  <c r="AK225" i="39"/>
  <c r="AJ225" i="39"/>
  <c r="AI225" i="39"/>
  <c r="W225" i="39"/>
  <c r="S225" i="39"/>
  <c r="P225" i="39"/>
  <c r="N225" i="39"/>
  <c r="AM224" i="39"/>
  <c r="AL224" i="39"/>
  <c r="AK224" i="39"/>
  <c r="AJ224" i="39"/>
  <c r="AI224" i="39"/>
  <c r="W224" i="39"/>
  <c r="S224" i="39"/>
  <c r="P224" i="39"/>
  <c r="N224" i="39"/>
  <c r="AM223" i="39"/>
  <c r="AL223" i="39"/>
  <c r="AK223" i="39"/>
  <c r="AJ223" i="39"/>
  <c r="AI223" i="39"/>
  <c r="W223" i="39"/>
  <c r="S223" i="39"/>
  <c r="P223" i="39"/>
  <c r="N223" i="39"/>
  <c r="AM222" i="39"/>
  <c r="AL222" i="39"/>
  <c r="AK222" i="39"/>
  <c r="AJ222" i="39"/>
  <c r="AI222" i="39"/>
  <c r="W222" i="39"/>
  <c r="S222" i="39"/>
  <c r="P222" i="39"/>
  <c r="N222" i="39"/>
  <c r="AM221" i="39"/>
  <c r="AL221" i="39"/>
  <c r="AK221" i="39"/>
  <c r="AJ221" i="39"/>
  <c r="AI221" i="39"/>
  <c r="W221" i="39"/>
  <c r="S221" i="39"/>
  <c r="P221" i="39"/>
  <c r="N221" i="39"/>
  <c r="AM220" i="39"/>
  <c r="AL220" i="39"/>
  <c r="AK220" i="39"/>
  <c r="AJ220" i="39"/>
  <c r="AI220" i="39"/>
  <c r="W220" i="39"/>
  <c r="S220" i="39"/>
  <c r="P220" i="39"/>
  <c r="N220" i="39"/>
  <c r="AM219" i="39"/>
  <c r="AL219" i="39"/>
  <c r="AK219" i="39"/>
  <c r="AJ219" i="39"/>
  <c r="AI219" i="39"/>
  <c r="W219" i="39"/>
  <c r="S219" i="39"/>
  <c r="P219" i="39"/>
  <c r="N219" i="39"/>
  <c r="AM218" i="39"/>
  <c r="AL218" i="39"/>
  <c r="AK218" i="39"/>
  <c r="AJ218" i="39"/>
  <c r="AI218" i="39"/>
  <c r="W218" i="39"/>
  <c r="S218" i="39"/>
  <c r="P218" i="39"/>
  <c r="N218" i="39"/>
  <c r="AM217" i="39"/>
  <c r="AL217" i="39"/>
  <c r="AK217" i="39"/>
  <c r="AJ217" i="39"/>
  <c r="AI217" i="39"/>
  <c r="W217" i="39"/>
  <c r="S217" i="39"/>
  <c r="P217" i="39"/>
  <c r="N217" i="39"/>
  <c r="AM216" i="39"/>
  <c r="AL216" i="39"/>
  <c r="AK216" i="39"/>
  <c r="AJ216" i="39"/>
  <c r="AI216" i="39"/>
  <c r="W216" i="39"/>
  <c r="S216" i="39"/>
  <c r="P216" i="39"/>
  <c r="N216" i="39"/>
  <c r="AM215" i="39"/>
  <c r="AL215" i="39"/>
  <c r="AK215" i="39"/>
  <c r="AJ215" i="39"/>
  <c r="AI215" i="39"/>
  <c r="W215" i="39"/>
  <c r="S215" i="39"/>
  <c r="P215" i="39"/>
  <c r="N215" i="39"/>
  <c r="AM211" i="39"/>
  <c r="AL211" i="39"/>
  <c r="AK211" i="39"/>
  <c r="AJ211" i="39"/>
  <c r="AI211" i="39"/>
  <c r="W211" i="39"/>
  <c r="S211" i="39"/>
  <c r="AM210" i="39"/>
  <c r="AL210" i="39"/>
  <c r="AK210" i="39"/>
  <c r="AJ210" i="39"/>
  <c r="AI210" i="39"/>
  <c r="W210" i="39"/>
  <c r="S210" i="39"/>
  <c r="AM209" i="39"/>
  <c r="AL209" i="39"/>
  <c r="AK209" i="39"/>
  <c r="AJ209" i="39"/>
  <c r="AI209" i="39"/>
  <c r="W209" i="39"/>
  <c r="S209" i="39"/>
  <c r="AM208" i="39"/>
  <c r="AL208" i="39"/>
  <c r="AK208" i="39"/>
  <c r="AJ208" i="39"/>
  <c r="AI208" i="39"/>
  <c r="W208" i="39"/>
  <c r="S208" i="39"/>
  <c r="AM207" i="39"/>
  <c r="AL207" i="39"/>
  <c r="AK207" i="39"/>
  <c r="AJ207" i="39"/>
  <c r="AI207" i="39"/>
  <c r="W207" i="39"/>
  <c r="S207" i="39"/>
  <c r="AM206" i="39"/>
  <c r="AL206" i="39"/>
  <c r="AK206" i="39"/>
  <c r="AJ206" i="39"/>
  <c r="AI206" i="39"/>
  <c r="W206" i="39"/>
  <c r="S206" i="39"/>
  <c r="AM205" i="39"/>
  <c r="AL205" i="39"/>
  <c r="AK205" i="39"/>
  <c r="AJ205" i="39"/>
  <c r="AI205" i="39"/>
  <c r="W205" i="39"/>
  <c r="S205" i="39"/>
  <c r="AM204" i="39"/>
  <c r="AL204" i="39"/>
  <c r="AK204" i="39"/>
  <c r="AJ204" i="39"/>
  <c r="AI204" i="39"/>
  <c r="W204" i="39"/>
  <c r="S204" i="39"/>
  <c r="AM203" i="39"/>
  <c r="AL203" i="39"/>
  <c r="AK203" i="39"/>
  <c r="AJ203" i="39"/>
  <c r="AI203" i="39"/>
  <c r="W203" i="39"/>
  <c r="S203" i="39"/>
  <c r="AM202" i="39"/>
  <c r="AL202" i="39"/>
  <c r="AK202" i="39"/>
  <c r="AJ202" i="39"/>
  <c r="AI202" i="39"/>
  <c r="W202" i="39"/>
  <c r="S202" i="39"/>
  <c r="AM201" i="39"/>
  <c r="AL201" i="39"/>
  <c r="AK201" i="39"/>
  <c r="AJ201" i="39"/>
  <c r="AI201" i="39"/>
  <c r="W201" i="39"/>
  <c r="S201" i="39"/>
  <c r="AM200" i="39"/>
  <c r="AL200" i="39"/>
  <c r="AK200" i="39"/>
  <c r="AJ200" i="39"/>
  <c r="AI200" i="39"/>
  <c r="W200" i="39"/>
  <c r="S200" i="39"/>
  <c r="AM199" i="39"/>
  <c r="AL199" i="39"/>
  <c r="AK199" i="39"/>
  <c r="AJ199" i="39"/>
  <c r="AI199" i="39"/>
  <c r="W199" i="39"/>
  <c r="S199" i="39"/>
  <c r="AM198" i="39"/>
  <c r="AL198" i="39"/>
  <c r="AK198" i="39"/>
  <c r="AJ198" i="39"/>
  <c r="AI198" i="39"/>
  <c r="W198" i="39"/>
  <c r="S198" i="39"/>
  <c r="P198" i="39"/>
  <c r="N196" i="39"/>
  <c r="AM193" i="39"/>
  <c r="AL193" i="39"/>
  <c r="AK193" i="39"/>
  <c r="AJ193" i="39"/>
  <c r="AI193" i="39"/>
  <c r="W193" i="39"/>
  <c r="X193" i="39" s="1"/>
  <c r="S193" i="39"/>
  <c r="P193" i="39"/>
  <c r="N193" i="39"/>
  <c r="AM192" i="39"/>
  <c r="AL192" i="39"/>
  <c r="AK192" i="39"/>
  <c r="AJ192" i="39"/>
  <c r="AI192" i="39"/>
  <c r="W192" i="39"/>
  <c r="X192" i="39" s="1"/>
  <c r="S192" i="39"/>
  <c r="P192" i="39"/>
  <c r="N192" i="39"/>
  <c r="AM191" i="39"/>
  <c r="AL191" i="39"/>
  <c r="AK191" i="39"/>
  <c r="AJ191" i="39"/>
  <c r="AI191" i="39"/>
  <c r="W191" i="39"/>
  <c r="X191" i="39" s="1"/>
  <c r="S191" i="39"/>
  <c r="P191" i="39"/>
  <c r="N191" i="39"/>
  <c r="AM190" i="39"/>
  <c r="AL190" i="39"/>
  <c r="AK190" i="39"/>
  <c r="AJ190" i="39"/>
  <c r="AI190" i="39"/>
  <c r="W190" i="39"/>
  <c r="X190" i="39" s="1"/>
  <c r="S190" i="39"/>
  <c r="P190" i="39"/>
  <c r="N190" i="39"/>
  <c r="AM189" i="39"/>
  <c r="AL189" i="39"/>
  <c r="AK189" i="39"/>
  <c r="AJ189" i="39"/>
  <c r="AI189" i="39"/>
  <c r="W189" i="39"/>
  <c r="X189" i="39" s="1"/>
  <c r="S189" i="39"/>
  <c r="P189" i="39"/>
  <c r="N189" i="39"/>
  <c r="AM188" i="39"/>
  <c r="AL188" i="39"/>
  <c r="AK188" i="39"/>
  <c r="AJ188" i="39"/>
  <c r="AI188" i="39"/>
  <c r="W188" i="39"/>
  <c r="X188" i="39" s="1"/>
  <c r="S188" i="39"/>
  <c r="P188" i="39"/>
  <c r="N188" i="39"/>
  <c r="AM187" i="39"/>
  <c r="AL187" i="39"/>
  <c r="AK187" i="39"/>
  <c r="AJ187" i="39"/>
  <c r="AI187" i="39"/>
  <c r="W187" i="39"/>
  <c r="X187" i="39" s="1"/>
  <c r="S187" i="39"/>
  <c r="P187" i="39"/>
  <c r="N187" i="39"/>
  <c r="AM186" i="39"/>
  <c r="AL186" i="39"/>
  <c r="AK186" i="39"/>
  <c r="AJ186" i="39"/>
  <c r="AI186" i="39"/>
  <c r="W186" i="39"/>
  <c r="X186" i="39" s="1"/>
  <c r="S186" i="39"/>
  <c r="P186" i="39"/>
  <c r="N186" i="39"/>
  <c r="AM185" i="39"/>
  <c r="AL185" i="39"/>
  <c r="AK185" i="39"/>
  <c r="AJ185" i="39"/>
  <c r="AI185" i="39"/>
  <c r="W185" i="39"/>
  <c r="X185" i="39" s="1"/>
  <c r="S185" i="39"/>
  <c r="P185" i="39"/>
  <c r="N185" i="39"/>
  <c r="AM184" i="39"/>
  <c r="AL184" i="39"/>
  <c r="AK184" i="39"/>
  <c r="AJ184" i="39"/>
  <c r="AI184" i="39"/>
  <c r="W184" i="39"/>
  <c r="X184" i="39" s="1"/>
  <c r="S184" i="39"/>
  <c r="P184" i="39"/>
  <c r="N184" i="39"/>
  <c r="AM183" i="39"/>
  <c r="AL183" i="39"/>
  <c r="AK183" i="39"/>
  <c r="AJ183" i="39"/>
  <c r="AI183" i="39"/>
  <c r="W183" i="39"/>
  <c r="X183" i="39" s="1"/>
  <c r="S183" i="39"/>
  <c r="P183" i="39"/>
  <c r="N183" i="39"/>
  <c r="AM182" i="39"/>
  <c r="AL182" i="39"/>
  <c r="AK182" i="39"/>
  <c r="AJ182" i="39"/>
  <c r="AI182" i="39"/>
  <c r="W182" i="39"/>
  <c r="X182" i="39" s="1"/>
  <c r="S182" i="39"/>
  <c r="P182" i="39"/>
  <c r="N182" i="39"/>
  <c r="AM181" i="39"/>
  <c r="AL181" i="39"/>
  <c r="AK181" i="39"/>
  <c r="AJ181" i="39"/>
  <c r="AI181" i="39"/>
  <c r="W181" i="39"/>
  <c r="S181" i="39"/>
  <c r="P181" i="39"/>
  <c r="N181" i="39"/>
  <c r="AM180" i="39"/>
  <c r="AL180" i="39"/>
  <c r="AK180" i="39"/>
  <c r="AJ180" i="39"/>
  <c r="AI180" i="39"/>
  <c r="W180" i="39"/>
  <c r="S180" i="39"/>
  <c r="P180" i="39"/>
  <c r="N180" i="39"/>
  <c r="AM179" i="39"/>
  <c r="AL179" i="39"/>
  <c r="AK179" i="39"/>
  <c r="AJ179" i="39"/>
  <c r="AI179" i="39"/>
  <c r="W179" i="39"/>
  <c r="S179" i="39"/>
  <c r="P179" i="39"/>
  <c r="N179" i="39"/>
  <c r="AM178" i="39"/>
  <c r="AL178" i="39"/>
  <c r="AK178" i="39"/>
  <c r="AJ178" i="39"/>
  <c r="AI178" i="39"/>
  <c r="W178" i="39"/>
  <c r="S178" i="39"/>
  <c r="P178" i="39"/>
  <c r="N178" i="39"/>
  <c r="AM177" i="39"/>
  <c r="AL177" i="39"/>
  <c r="AK177" i="39"/>
  <c r="AJ177" i="39"/>
  <c r="AI177" i="39"/>
  <c r="W177" i="39"/>
  <c r="S177" i="39"/>
  <c r="P177" i="39"/>
  <c r="N177" i="39"/>
  <c r="AM176" i="39"/>
  <c r="AL176" i="39"/>
  <c r="AK176" i="39"/>
  <c r="AJ176" i="39"/>
  <c r="AI176" i="39"/>
  <c r="W176" i="39"/>
  <c r="S176" i="39"/>
  <c r="P176" i="39"/>
  <c r="N176" i="39"/>
  <c r="AM175" i="39"/>
  <c r="AL175" i="39"/>
  <c r="AK175" i="39"/>
  <c r="AJ175" i="39"/>
  <c r="AI175" i="39"/>
  <c r="W175" i="39"/>
  <c r="S175" i="39"/>
  <c r="P175" i="39"/>
  <c r="N175" i="39"/>
  <c r="AM174" i="39"/>
  <c r="AL174" i="39"/>
  <c r="AK174" i="39"/>
  <c r="AJ174" i="39"/>
  <c r="AI174" i="39"/>
  <c r="W174" i="39"/>
  <c r="S174" i="39"/>
  <c r="P174" i="39"/>
  <c r="N174" i="39"/>
  <c r="AM173" i="39"/>
  <c r="AL173" i="39"/>
  <c r="AK173" i="39"/>
  <c r="AJ173" i="39"/>
  <c r="AI173" i="39"/>
  <c r="W173" i="39"/>
  <c r="S173" i="39"/>
  <c r="P173" i="39"/>
  <c r="N173" i="39"/>
  <c r="AM172" i="39"/>
  <c r="AL172" i="39"/>
  <c r="AK172" i="39"/>
  <c r="AJ172" i="39"/>
  <c r="AI172" i="39"/>
  <c r="W172" i="39"/>
  <c r="S172" i="39"/>
  <c r="P172" i="39"/>
  <c r="N172" i="39"/>
  <c r="AM171" i="39"/>
  <c r="AL171" i="39"/>
  <c r="AK171" i="39"/>
  <c r="AJ171" i="39"/>
  <c r="AI171" i="39"/>
  <c r="W171" i="39"/>
  <c r="S171" i="39"/>
  <c r="P171" i="39"/>
  <c r="N171" i="39"/>
  <c r="AM170" i="39"/>
  <c r="AL170" i="39"/>
  <c r="AK170" i="39"/>
  <c r="AJ170" i="39"/>
  <c r="AI170" i="39"/>
  <c r="W170" i="39"/>
  <c r="S170" i="39"/>
  <c r="P170" i="39"/>
  <c r="N170" i="39"/>
  <c r="AM169" i="39"/>
  <c r="AL169" i="39"/>
  <c r="AK169" i="39"/>
  <c r="AJ169" i="39"/>
  <c r="AI169" i="39"/>
  <c r="W169" i="39"/>
  <c r="S169" i="39"/>
  <c r="P169" i="39"/>
  <c r="N169" i="39"/>
  <c r="N167" i="39"/>
  <c r="AM166" i="39"/>
  <c r="AL166" i="39"/>
  <c r="AK166" i="39"/>
  <c r="AJ166" i="39"/>
  <c r="AI166" i="39"/>
  <c r="W166" i="39"/>
  <c r="S166" i="39"/>
  <c r="P166" i="39"/>
  <c r="N166" i="39"/>
  <c r="AM165" i="39"/>
  <c r="AL165" i="39"/>
  <c r="AK165" i="39"/>
  <c r="AJ165" i="39"/>
  <c r="AI165" i="39"/>
  <c r="W165" i="39"/>
  <c r="S165" i="39"/>
  <c r="P165" i="39"/>
  <c r="N165" i="39"/>
  <c r="AM164" i="39"/>
  <c r="AL164" i="39"/>
  <c r="AK164" i="39"/>
  <c r="AJ164" i="39"/>
  <c r="AI164" i="39"/>
  <c r="W164" i="39"/>
  <c r="S164" i="39"/>
  <c r="P164" i="39"/>
  <c r="N164" i="39"/>
  <c r="AM163" i="39"/>
  <c r="AL163" i="39"/>
  <c r="AK163" i="39"/>
  <c r="AJ163" i="39"/>
  <c r="AI163" i="39"/>
  <c r="W163" i="39"/>
  <c r="S163" i="39"/>
  <c r="P163" i="39"/>
  <c r="N163" i="39"/>
  <c r="AM162" i="39"/>
  <c r="AL162" i="39"/>
  <c r="AK162" i="39"/>
  <c r="AJ162" i="39"/>
  <c r="AI162" i="39"/>
  <c r="W162" i="39"/>
  <c r="S162" i="39"/>
  <c r="P162" i="39"/>
  <c r="N162" i="39"/>
  <c r="AM161" i="39"/>
  <c r="AL161" i="39"/>
  <c r="AK161" i="39"/>
  <c r="AJ161" i="39"/>
  <c r="AI161" i="39"/>
  <c r="S161" i="39"/>
  <c r="P161" i="39"/>
  <c r="N161" i="39"/>
  <c r="N114" i="39"/>
  <c r="N113" i="39"/>
  <c r="AM110" i="39"/>
  <c r="AL110" i="39"/>
  <c r="AK110" i="39"/>
  <c r="AJ110" i="39"/>
  <c r="AI110" i="39"/>
  <c r="W110" i="39"/>
  <c r="S110" i="39"/>
  <c r="P110" i="39"/>
  <c r="N110" i="39"/>
  <c r="AM109" i="39"/>
  <c r="AL109" i="39"/>
  <c r="AK109" i="39"/>
  <c r="AJ109" i="39"/>
  <c r="AI109" i="39"/>
  <c r="W109" i="39"/>
  <c r="S109" i="39"/>
  <c r="P109" i="39"/>
  <c r="N109" i="39"/>
  <c r="AM108" i="39"/>
  <c r="AL108" i="39"/>
  <c r="AK108" i="39"/>
  <c r="AJ108" i="39"/>
  <c r="AI108" i="39"/>
  <c r="W108" i="39"/>
  <c r="S108" i="39"/>
  <c r="P108" i="39"/>
  <c r="N108" i="39"/>
  <c r="AM107" i="39"/>
  <c r="AL107" i="39"/>
  <c r="AK107" i="39"/>
  <c r="AJ107" i="39"/>
  <c r="AI107" i="39"/>
  <c r="W107" i="39"/>
  <c r="S107" i="39"/>
  <c r="P107" i="39"/>
  <c r="N107" i="39"/>
  <c r="AM106" i="39"/>
  <c r="AL106" i="39"/>
  <c r="AK106" i="39"/>
  <c r="AJ106" i="39"/>
  <c r="AI106" i="39"/>
  <c r="W106" i="39"/>
  <c r="S106" i="39"/>
  <c r="P106" i="39"/>
  <c r="N106" i="39"/>
  <c r="AM105" i="39"/>
  <c r="AL105" i="39"/>
  <c r="AK105" i="39"/>
  <c r="AJ105" i="39"/>
  <c r="AI105" i="39"/>
  <c r="W105" i="39"/>
  <c r="S105" i="39"/>
  <c r="P105" i="39"/>
  <c r="N105" i="39"/>
  <c r="AM103" i="39"/>
  <c r="AL103" i="39"/>
  <c r="AK103" i="39"/>
  <c r="AJ103" i="39"/>
  <c r="AI103" i="39"/>
  <c r="W103" i="39"/>
  <c r="S103" i="39"/>
  <c r="P103" i="39"/>
  <c r="N103" i="39"/>
  <c r="AM102" i="39"/>
  <c r="AL102" i="39"/>
  <c r="AK102" i="39"/>
  <c r="AJ102" i="39"/>
  <c r="AI102" i="39"/>
  <c r="W102" i="39"/>
  <c r="S102" i="39"/>
  <c r="P102" i="39"/>
  <c r="N102" i="39"/>
  <c r="AM101" i="39"/>
  <c r="AL101" i="39"/>
  <c r="AK101" i="39"/>
  <c r="AJ101" i="39"/>
  <c r="AI101" i="39"/>
  <c r="W101" i="39"/>
  <c r="S101" i="39"/>
  <c r="P101" i="39"/>
  <c r="N101" i="39"/>
  <c r="AM100" i="39"/>
  <c r="AL100" i="39"/>
  <c r="AK100" i="39"/>
  <c r="AJ100" i="39"/>
  <c r="AI100" i="39"/>
  <c r="W100" i="39"/>
  <c r="S100" i="39"/>
  <c r="P100" i="39"/>
  <c r="N100" i="39"/>
  <c r="AM95" i="39"/>
  <c r="AL95" i="39"/>
  <c r="AK95" i="39"/>
  <c r="AJ95" i="39"/>
  <c r="AI95" i="39"/>
  <c r="W95" i="39"/>
  <c r="S95" i="39"/>
  <c r="P95" i="39"/>
  <c r="N95" i="39"/>
  <c r="AM94" i="39"/>
  <c r="AL94" i="39"/>
  <c r="AK94" i="39"/>
  <c r="AJ94" i="39"/>
  <c r="AI94" i="39"/>
  <c r="W94" i="39"/>
  <c r="S94" i="39"/>
  <c r="P94" i="39"/>
  <c r="N94" i="39"/>
  <c r="AM92" i="39"/>
  <c r="AL92" i="39"/>
  <c r="AK92" i="39"/>
  <c r="AJ92" i="39"/>
  <c r="AI92" i="39"/>
  <c r="W92" i="39"/>
  <c r="S92" i="39"/>
  <c r="P92" i="39"/>
  <c r="N92" i="39"/>
  <c r="O92" i="39" s="1"/>
  <c r="AM91" i="39"/>
  <c r="AL91" i="39"/>
  <c r="AK91" i="39"/>
  <c r="AJ91" i="39"/>
  <c r="AI91" i="39"/>
  <c r="W91" i="39"/>
  <c r="S91" i="39"/>
  <c r="P91" i="39"/>
  <c r="N91" i="39"/>
  <c r="AM90" i="39"/>
  <c r="AL90" i="39"/>
  <c r="AK90" i="39"/>
  <c r="AJ90" i="39"/>
  <c r="AI90" i="39"/>
  <c r="W90" i="39"/>
  <c r="S90" i="39"/>
  <c r="P90" i="39"/>
  <c r="N90" i="39"/>
  <c r="AM88" i="39"/>
  <c r="AL88" i="39"/>
  <c r="AK88" i="39"/>
  <c r="AJ88" i="39"/>
  <c r="AI88" i="39"/>
  <c r="W88" i="39"/>
  <c r="S88" i="39"/>
  <c r="P88" i="39"/>
  <c r="N88" i="39"/>
  <c r="O88" i="39" s="1"/>
  <c r="AM87" i="39"/>
  <c r="AL87" i="39"/>
  <c r="AK87" i="39"/>
  <c r="AJ87" i="39"/>
  <c r="AI87" i="39"/>
  <c r="W87" i="39"/>
  <c r="S87" i="39"/>
  <c r="P87" i="39"/>
  <c r="N87" i="39"/>
  <c r="AM86" i="39"/>
  <c r="AL86" i="39"/>
  <c r="AK86" i="39"/>
  <c r="AJ86" i="39"/>
  <c r="AI86" i="39"/>
  <c r="W86" i="39"/>
  <c r="S86" i="39"/>
  <c r="P86" i="39"/>
  <c r="N86" i="39"/>
  <c r="AM85" i="39"/>
  <c r="AL85" i="39"/>
  <c r="AK85" i="39"/>
  <c r="AJ85" i="39"/>
  <c r="AI85" i="39"/>
  <c r="W85" i="39"/>
  <c r="S85" i="39"/>
  <c r="P85" i="39"/>
  <c r="N85" i="39"/>
  <c r="N82" i="39"/>
  <c r="N81" i="39"/>
  <c r="AM80" i="39"/>
  <c r="AL80" i="39"/>
  <c r="AK80" i="39"/>
  <c r="AJ80" i="39"/>
  <c r="AI80" i="39"/>
  <c r="W80" i="39"/>
  <c r="S80" i="39"/>
  <c r="P80" i="39"/>
  <c r="N80" i="39"/>
  <c r="AM79" i="39"/>
  <c r="AL79" i="39"/>
  <c r="AK79" i="39"/>
  <c r="AJ79" i="39"/>
  <c r="AI79" i="39"/>
  <c r="W79" i="39"/>
  <c r="S79" i="39"/>
  <c r="P79" i="39"/>
  <c r="N79" i="39"/>
  <c r="AM78" i="39"/>
  <c r="AL78" i="39"/>
  <c r="AK78" i="39"/>
  <c r="AJ78" i="39"/>
  <c r="AI78" i="39"/>
  <c r="AH78" i="39"/>
  <c r="W78" i="39"/>
  <c r="S78" i="39"/>
  <c r="P78" i="39"/>
  <c r="N78" i="39"/>
  <c r="AM77" i="39"/>
  <c r="AL77" i="39"/>
  <c r="AK77" i="39"/>
  <c r="AJ77" i="39"/>
  <c r="AI77" i="39"/>
  <c r="AH77" i="39"/>
  <c r="W77" i="39"/>
  <c r="S77" i="39"/>
  <c r="P77" i="39"/>
  <c r="N77" i="39"/>
  <c r="AM60" i="39"/>
  <c r="AL60" i="39"/>
  <c r="AK60" i="39"/>
  <c r="AJ60" i="39"/>
  <c r="AI60" i="39"/>
  <c r="AH60" i="39"/>
  <c r="W60" i="39"/>
  <c r="S60" i="39"/>
  <c r="P60" i="39"/>
  <c r="N60" i="39"/>
  <c r="O60" i="39" s="1"/>
  <c r="AM59" i="39"/>
  <c r="AL59" i="39"/>
  <c r="AK59" i="39"/>
  <c r="AJ59" i="39"/>
  <c r="AI59" i="39"/>
  <c r="AH59" i="39"/>
  <c r="W59" i="39"/>
  <c r="S59" i="39"/>
  <c r="P59" i="39"/>
  <c r="N59" i="39"/>
  <c r="O59" i="39" s="1"/>
  <c r="AM58" i="39"/>
  <c r="AL58" i="39"/>
  <c r="AK58" i="39"/>
  <c r="AJ58" i="39"/>
  <c r="AI58" i="39"/>
  <c r="AH58" i="39"/>
  <c r="W58" i="39"/>
  <c r="Z58" i="39" s="1"/>
  <c r="S58" i="39"/>
  <c r="P58" i="39"/>
  <c r="N58" i="39"/>
  <c r="O58" i="39" s="1"/>
  <c r="AM57" i="39"/>
  <c r="AL57" i="39"/>
  <c r="AK57" i="39"/>
  <c r="AJ57" i="39"/>
  <c r="AI57" i="39"/>
  <c r="AH57" i="39"/>
  <c r="W57" i="39"/>
  <c r="S57" i="39"/>
  <c r="P57" i="39"/>
  <c r="N57" i="39"/>
  <c r="O57" i="39" s="1"/>
  <c r="AM56" i="39"/>
  <c r="AL56" i="39"/>
  <c r="AK56" i="39"/>
  <c r="AJ56" i="39"/>
  <c r="AI56" i="39"/>
  <c r="AH56" i="39"/>
  <c r="W56" i="39"/>
  <c r="S56" i="39"/>
  <c r="P56" i="39"/>
  <c r="N56" i="39"/>
  <c r="O56" i="39" s="1"/>
  <c r="AM55" i="39"/>
  <c r="AL55" i="39"/>
  <c r="AK55" i="39"/>
  <c r="AJ55" i="39"/>
  <c r="AI55" i="39"/>
  <c r="AH55" i="39"/>
  <c r="W55" i="39"/>
  <c r="S55" i="39"/>
  <c r="P55" i="39"/>
  <c r="N55" i="39"/>
  <c r="O55" i="39" s="1"/>
  <c r="AM54" i="39"/>
  <c r="AL54" i="39"/>
  <c r="AK54" i="39"/>
  <c r="AJ54" i="39"/>
  <c r="AI54" i="39"/>
  <c r="AH54" i="39"/>
  <c r="W54" i="39"/>
  <c r="S54" i="39"/>
  <c r="P54" i="39"/>
  <c r="N54" i="39"/>
  <c r="O54" i="39" s="1"/>
  <c r="AM53" i="39"/>
  <c r="AL53" i="39"/>
  <c r="AK53" i="39"/>
  <c r="AJ53" i="39"/>
  <c r="AI53" i="39"/>
  <c r="AH53" i="39"/>
  <c r="W53" i="39"/>
  <c r="S53" i="39"/>
  <c r="P53" i="39"/>
  <c r="N53" i="39"/>
  <c r="O53" i="39" s="1"/>
  <c r="AM52" i="39"/>
  <c r="AL52" i="39"/>
  <c r="AK52" i="39"/>
  <c r="AJ52" i="39"/>
  <c r="AI52" i="39"/>
  <c r="AH52" i="39"/>
  <c r="W52" i="39"/>
  <c r="S52" i="39"/>
  <c r="P52" i="39"/>
  <c r="N52" i="39"/>
  <c r="O52" i="39" s="1"/>
  <c r="AM51" i="39"/>
  <c r="AL51" i="39"/>
  <c r="AK51" i="39"/>
  <c r="AJ51" i="39"/>
  <c r="AI51" i="39"/>
  <c r="AH51" i="39"/>
  <c r="W51" i="39"/>
  <c r="S51" i="39"/>
  <c r="P51" i="39"/>
  <c r="N51" i="39"/>
  <c r="O51" i="39" s="1"/>
  <c r="AM50" i="39"/>
  <c r="AL50" i="39"/>
  <c r="AK50" i="39"/>
  <c r="AJ50" i="39"/>
  <c r="AI50" i="39"/>
  <c r="AH50" i="39"/>
  <c r="W50" i="39"/>
  <c r="S50" i="39"/>
  <c r="P50" i="39"/>
  <c r="N50" i="39"/>
  <c r="O50" i="39" s="1"/>
  <c r="AM49" i="39"/>
  <c r="AL49" i="39"/>
  <c r="AK49" i="39"/>
  <c r="AJ49" i="39"/>
  <c r="AI49" i="39"/>
  <c r="W49" i="39"/>
  <c r="S49" i="39"/>
  <c r="P49" i="39"/>
  <c r="N49" i="39"/>
  <c r="O49" i="39" s="1"/>
  <c r="AM48" i="39"/>
  <c r="AL48" i="39"/>
  <c r="AK48" i="39"/>
  <c r="AJ48" i="39"/>
  <c r="AI48" i="39"/>
  <c r="W48" i="39"/>
  <c r="S48" i="39"/>
  <c r="P48" i="39"/>
  <c r="N48" i="39"/>
  <c r="O48" i="39" s="1"/>
  <c r="AM46" i="39"/>
  <c r="AL46" i="39"/>
  <c r="AK46" i="39"/>
  <c r="AJ46" i="39"/>
  <c r="AI46" i="39"/>
  <c r="W46" i="39"/>
  <c r="S46" i="39"/>
  <c r="P46" i="39"/>
  <c r="N46" i="39"/>
  <c r="O46" i="39" s="1"/>
  <c r="AM39" i="39"/>
  <c r="AL39" i="39"/>
  <c r="AK39" i="39"/>
  <c r="AJ39" i="39"/>
  <c r="AI39" i="39"/>
  <c r="W39" i="39"/>
  <c r="S39" i="39"/>
  <c r="P39" i="39"/>
  <c r="N39" i="39"/>
  <c r="O39" i="39" s="1"/>
  <c r="AM37" i="39"/>
  <c r="AL37" i="39"/>
  <c r="AK37" i="39"/>
  <c r="AJ37" i="39"/>
  <c r="AI37" i="39"/>
  <c r="W37" i="39"/>
  <c r="S37" i="39"/>
  <c r="P37" i="39"/>
  <c r="N37" i="39"/>
  <c r="O37" i="39" s="1"/>
  <c r="AM33" i="39"/>
  <c r="AL33" i="39"/>
  <c r="AK33" i="39"/>
  <c r="AJ33" i="39"/>
  <c r="AI33" i="39"/>
  <c r="W33" i="39"/>
  <c r="S33" i="39"/>
  <c r="P33" i="39"/>
  <c r="N33" i="39"/>
  <c r="O33" i="39" s="1"/>
  <c r="AM31" i="39"/>
  <c r="AL31" i="39"/>
  <c r="AK31" i="39"/>
  <c r="AJ31" i="39"/>
  <c r="AI31" i="39"/>
  <c r="AH31" i="39"/>
  <c r="W31" i="39"/>
  <c r="S31" i="39"/>
  <c r="P31" i="39"/>
  <c r="N31" i="39"/>
  <c r="O31" i="39" s="1"/>
  <c r="AM30" i="39"/>
  <c r="AL30" i="39"/>
  <c r="AK30" i="39"/>
  <c r="AJ30" i="39"/>
  <c r="AI30" i="39"/>
  <c r="AH30" i="39"/>
  <c r="W30" i="39"/>
  <c r="S30" i="39"/>
  <c r="P30" i="39"/>
  <c r="N30" i="39"/>
  <c r="AM28" i="39"/>
  <c r="AL28" i="39"/>
  <c r="AK28" i="39"/>
  <c r="AJ28" i="39"/>
  <c r="AI28" i="39"/>
  <c r="AH28" i="39"/>
  <c r="W28" i="39"/>
  <c r="S28" i="39"/>
  <c r="P28" i="39"/>
  <c r="N28" i="39"/>
  <c r="AM26" i="39"/>
  <c r="AL26" i="39"/>
  <c r="AK26" i="39"/>
  <c r="AJ26" i="39"/>
  <c r="AI26" i="39"/>
  <c r="AH26" i="39"/>
  <c r="W26" i="39"/>
  <c r="S26" i="39"/>
  <c r="P26" i="39"/>
  <c r="N26" i="39"/>
  <c r="AM24" i="39"/>
  <c r="AL24" i="39"/>
  <c r="AK24" i="39"/>
  <c r="AJ24" i="39"/>
  <c r="AI24" i="39"/>
  <c r="AH24" i="39"/>
  <c r="W24" i="39"/>
  <c r="S24" i="39"/>
  <c r="P24" i="39"/>
  <c r="N24" i="39"/>
  <c r="AM22" i="39"/>
  <c r="AL22" i="39"/>
  <c r="AK22" i="39"/>
  <c r="AJ22" i="39"/>
  <c r="AI22" i="39"/>
  <c r="AH22" i="39"/>
  <c r="W22" i="39"/>
  <c r="S22" i="39"/>
  <c r="P22" i="39"/>
  <c r="N22" i="39"/>
  <c r="AM20" i="39"/>
  <c r="AL20" i="39"/>
  <c r="AK20" i="39"/>
  <c r="AJ20" i="39"/>
  <c r="AI20" i="39"/>
  <c r="AH20" i="39"/>
  <c r="W20" i="39"/>
  <c r="S20" i="39"/>
  <c r="P20" i="39"/>
  <c r="N20" i="39"/>
  <c r="AM18" i="39"/>
  <c r="AL18" i="39"/>
  <c r="AK18" i="39"/>
  <c r="AJ18" i="39"/>
  <c r="AI18" i="39"/>
  <c r="AH18" i="39"/>
  <c r="W18" i="39"/>
  <c r="X18" i="39" s="1"/>
  <c r="S18" i="39"/>
  <c r="P18" i="39"/>
  <c r="N18" i="39"/>
  <c r="AM29" i="39"/>
  <c r="AL29" i="39"/>
  <c r="AK29" i="39"/>
  <c r="AJ29" i="39"/>
  <c r="AI29" i="39"/>
  <c r="W29" i="39"/>
  <c r="S29" i="39"/>
  <c r="P29" i="39"/>
  <c r="N29" i="39"/>
  <c r="O29" i="39" s="1"/>
  <c r="AM27" i="39"/>
  <c r="AL27" i="39"/>
  <c r="AK27" i="39"/>
  <c r="AJ27" i="39"/>
  <c r="AI27" i="39"/>
  <c r="AH27" i="39"/>
  <c r="W27" i="39"/>
  <c r="S27" i="39"/>
  <c r="P27" i="39"/>
  <c r="N27" i="39"/>
  <c r="O27" i="39" s="1"/>
  <c r="AM25" i="39"/>
  <c r="AL25" i="39"/>
  <c r="AK25" i="39"/>
  <c r="AJ25" i="39"/>
  <c r="AI25" i="39"/>
  <c r="AH25" i="39"/>
  <c r="W25" i="39"/>
  <c r="S25" i="39"/>
  <c r="P25" i="39"/>
  <c r="N25" i="39"/>
  <c r="O25" i="39" s="1"/>
  <c r="AM23" i="39"/>
  <c r="AL23" i="39"/>
  <c r="AK23" i="39"/>
  <c r="AJ23" i="39"/>
  <c r="AI23" i="39"/>
  <c r="AH23" i="39"/>
  <c r="W23" i="39"/>
  <c r="S23" i="39"/>
  <c r="P23" i="39"/>
  <c r="N23" i="39"/>
  <c r="O23" i="39" s="1"/>
  <c r="AM21" i="39"/>
  <c r="AL21" i="39"/>
  <c r="AK21" i="39"/>
  <c r="AJ21" i="39"/>
  <c r="AI21" i="39"/>
  <c r="AH21" i="39"/>
  <c r="W21" i="39"/>
  <c r="S21" i="39"/>
  <c r="P21" i="39"/>
  <c r="N21" i="39"/>
  <c r="O21" i="39" s="1"/>
  <c r="AM19" i="39"/>
  <c r="AL19" i="39"/>
  <c r="AK19" i="39"/>
  <c r="AJ19" i="39"/>
  <c r="AI19" i="39"/>
  <c r="AH19" i="39"/>
  <c r="W19" i="39"/>
  <c r="S19" i="39"/>
  <c r="P19" i="39"/>
  <c r="N19" i="39"/>
  <c r="O19" i="39" s="1"/>
  <c r="AM17" i="39"/>
  <c r="AL17" i="39"/>
  <c r="AK17" i="39"/>
  <c r="AJ17" i="39"/>
  <c r="AI17" i="39"/>
  <c r="AH17" i="39"/>
  <c r="W17" i="39"/>
  <c r="S17" i="39"/>
  <c r="P17" i="39"/>
  <c r="N17" i="39"/>
  <c r="O17" i="39" s="1"/>
  <c r="AM10" i="39"/>
  <c r="AL10" i="39"/>
  <c r="AK10" i="39"/>
  <c r="AJ10" i="39"/>
  <c r="AI10" i="39"/>
  <c r="AH10" i="39"/>
  <c r="W10" i="39"/>
  <c r="S10" i="39"/>
  <c r="P10" i="39"/>
  <c r="N10" i="39"/>
  <c r="O10" i="39" s="1"/>
  <c r="X27" i="44"/>
  <c r="X25" i="44"/>
  <c r="AM414" i="44"/>
  <c r="AL414" i="44"/>
  <c r="AK414" i="44"/>
  <c r="AJ414" i="44"/>
  <c r="AI414" i="44"/>
  <c r="W414" i="44"/>
  <c r="X414" i="44" s="1"/>
  <c r="S414" i="44"/>
  <c r="P414" i="44"/>
  <c r="AM413" i="44"/>
  <c r="AL413" i="44"/>
  <c r="AK413" i="44"/>
  <c r="AJ413" i="44"/>
  <c r="AI413" i="44"/>
  <c r="W413" i="44"/>
  <c r="X413" i="44" s="1"/>
  <c r="S413" i="44"/>
  <c r="P413" i="44"/>
  <c r="AM412" i="44"/>
  <c r="AL412" i="44"/>
  <c r="AK412" i="44"/>
  <c r="AJ412" i="44"/>
  <c r="AI412" i="44"/>
  <c r="W412" i="44"/>
  <c r="X412" i="44" s="1"/>
  <c r="S412" i="44"/>
  <c r="P412" i="44"/>
  <c r="AM411" i="44"/>
  <c r="AL411" i="44"/>
  <c r="AK411" i="44"/>
  <c r="AJ411" i="44"/>
  <c r="AI411" i="44"/>
  <c r="W411" i="44"/>
  <c r="X411" i="44" s="1"/>
  <c r="S411" i="44"/>
  <c r="P411" i="44"/>
  <c r="AM410" i="44"/>
  <c r="AL410" i="44"/>
  <c r="AK410" i="44"/>
  <c r="AJ410" i="44"/>
  <c r="AI410" i="44"/>
  <c r="W410" i="44"/>
  <c r="X410" i="44" s="1"/>
  <c r="S410" i="44"/>
  <c r="P410" i="44"/>
  <c r="AM409" i="44"/>
  <c r="AL409" i="44"/>
  <c r="AK409" i="44"/>
  <c r="AJ409" i="44"/>
  <c r="AI409" i="44"/>
  <c r="W409" i="44"/>
  <c r="X409" i="44" s="1"/>
  <c r="S409" i="44"/>
  <c r="P409" i="44"/>
  <c r="AM408" i="44"/>
  <c r="AL408" i="44"/>
  <c r="AK408" i="44"/>
  <c r="AJ408" i="44"/>
  <c r="AI408" i="44"/>
  <c r="W408" i="44"/>
  <c r="X408" i="44" s="1"/>
  <c r="S408" i="44"/>
  <c r="P408" i="44"/>
  <c r="AM407" i="44"/>
  <c r="AL407" i="44"/>
  <c r="AK407" i="44"/>
  <c r="AJ407" i="44"/>
  <c r="AI407" i="44"/>
  <c r="W407" i="44"/>
  <c r="X407" i="44" s="1"/>
  <c r="S407" i="44"/>
  <c r="P407" i="44"/>
  <c r="AE214" i="44"/>
  <c r="AE213" i="44"/>
  <c r="AE212" i="44"/>
  <c r="AG212" i="44" s="1"/>
  <c r="AE211" i="44"/>
  <c r="AG211" i="44" s="1"/>
  <c r="AE210" i="44"/>
  <c r="AG210" i="44" s="1"/>
  <c r="AE209" i="44"/>
  <c r="AG209" i="44" s="1"/>
  <c r="AE200" i="44"/>
  <c r="AG200" i="44" s="1"/>
  <c r="AE199" i="44"/>
  <c r="AG199" i="44" s="1"/>
  <c r="AE198" i="44"/>
  <c r="AG198" i="44" s="1"/>
  <c r="AE197" i="44"/>
  <c r="AG197" i="44" s="1"/>
  <c r="AE196" i="44"/>
  <c r="AG196" i="44" s="1"/>
  <c r="AE195" i="44"/>
  <c r="AG195" i="44" s="1"/>
  <c r="AG16" i="31"/>
  <c r="AH16" i="31" s="1"/>
  <c r="AI7" i="50" l="1"/>
  <c r="AI9" i="50" s="1"/>
  <c r="AI11" i="50" s="1"/>
  <c r="AI12" i="50" s="1"/>
  <c r="AG414" i="44"/>
  <c r="AH414" i="44" s="1"/>
  <c r="AG213" i="44"/>
  <c r="AG214" i="44"/>
  <c r="AD407" i="44"/>
  <c r="AG407" i="44" s="1"/>
  <c r="AH407" i="44" s="1"/>
  <c r="AD408" i="44"/>
  <c r="AG408" i="44" s="1"/>
  <c r="BB22" i="39"/>
  <c r="X22" i="39"/>
  <c r="BB39" i="39"/>
  <c r="X39" i="39"/>
  <c r="BB19" i="39"/>
  <c r="X19" i="39"/>
  <c r="BB20" i="39"/>
  <c r="X20" i="39"/>
  <c r="BB80" i="39"/>
  <c r="X80" i="39"/>
  <c r="BB85" i="39"/>
  <c r="X85" i="39"/>
  <c r="BB102" i="39"/>
  <c r="X102" i="39"/>
  <c r="BB109" i="39"/>
  <c r="X109" i="39"/>
  <c r="X166" i="39"/>
  <c r="BB203" i="39"/>
  <c r="X203" i="39"/>
  <c r="BB209" i="39"/>
  <c r="X209" i="39"/>
  <c r="BB238" i="39"/>
  <c r="X238" i="39"/>
  <c r="BB244" i="39"/>
  <c r="X244" i="39"/>
  <c r="BB275" i="39"/>
  <c r="X275" i="39"/>
  <c r="BB95" i="39"/>
  <c r="X95" i="39"/>
  <c r="BB37" i="39"/>
  <c r="X37" i="39"/>
  <c r="BB50" i="39"/>
  <c r="X50" i="39"/>
  <c r="BB56" i="39"/>
  <c r="X56" i="39"/>
  <c r="BB91" i="39"/>
  <c r="X91" i="39"/>
  <c r="X174" i="39"/>
  <c r="BB180" i="39"/>
  <c r="X180" i="39"/>
  <c r="BB218" i="39"/>
  <c r="X218" i="39"/>
  <c r="BB224" i="39"/>
  <c r="X224" i="39"/>
  <c r="BB254" i="39"/>
  <c r="X254" i="39"/>
  <c r="X260" i="39"/>
  <c r="BB266" i="39"/>
  <c r="X266" i="39"/>
  <c r="BB17" i="39"/>
  <c r="X17" i="39"/>
  <c r="BB165" i="39"/>
  <c r="X165" i="39"/>
  <c r="BB202" i="39"/>
  <c r="X202" i="39"/>
  <c r="X237" i="39"/>
  <c r="BB33" i="39"/>
  <c r="X33" i="39"/>
  <c r="BB49" i="39"/>
  <c r="X49" i="39"/>
  <c r="BB55" i="39"/>
  <c r="X55" i="39"/>
  <c r="BB78" i="39"/>
  <c r="X78" i="39"/>
  <c r="BB90" i="39"/>
  <c r="X90" i="39"/>
  <c r="BB173" i="39"/>
  <c r="X173" i="39"/>
  <c r="BB179" i="39"/>
  <c r="X179" i="39"/>
  <c r="BB217" i="39"/>
  <c r="X217" i="39"/>
  <c r="BB223" i="39"/>
  <c r="X223" i="39"/>
  <c r="BB253" i="39"/>
  <c r="X253" i="39"/>
  <c r="X259" i="39"/>
  <c r="BB265" i="39"/>
  <c r="X265" i="39"/>
  <c r="BB29" i="39"/>
  <c r="X29" i="39"/>
  <c r="BB101" i="39"/>
  <c r="X101" i="39"/>
  <c r="BB10" i="39"/>
  <c r="X10" i="39"/>
  <c r="BB27" i="39"/>
  <c r="X27" i="39"/>
  <c r="BB77" i="39"/>
  <c r="X77" i="39"/>
  <c r="BB100" i="39"/>
  <c r="X100" i="39"/>
  <c r="BB107" i="39"/>
  <c r="X107" i="39"/>
  <c r="BB164" i="39"/>
  <c r="X164" i="39"/>
  <c r="BB201" i="39"/>
  <c r="X201" i="39"/>
  <c r="BB207" i="39"/>
  <c r="X207" i="39"/>
  <c r="BB236" i="39"/>
  <c r="X236" i="39"/>
  <c r="BB242" i="39"/>
  <c r="X242" i="39"/>
  <c r="BB273" i="39"/>
  <c r="X273" i="39"/>
  <c r="BB279" i="39"/>
  <c r="X279" i="39"/>
  <c r="BB79" i="39"/>
  <c r="X79" i="39"/>
  <c r="BB108" i="39"/>
  <c r="X108" i="39"/>
  <c r="BB208" i="39"/>
  <c r="X208" i="39"/>
  <c r="BB243" i="39"/>
  <c r="X243" i="39"/>
  <c r="BB274" i="39"/>
  <c r="X274" i="39"/>
  <c r="BB31" i="39"/>
  <c r="X31" i="39"/>
  <c r="BB48" i="39"/>
  <c r="X48" i="39"/>
  <c r="BB54" i="39"/>
  <c r="X54" i="39"/>
  <c r="BB60" i="39"/>
  <c r="X60" i="39"/>
  <c r="BB88" i="39"/>
  <c r="X88" i="39"/>
  <c r="BB172" i="39"/>
  <c r="X172" i="39"/>
  <c r="BB178" i="39"/>
  <c r="X178" i="39"/>
  <c r="BB216" i="39"/>
  <c r="X216" i="39"/>
  <c r="BB222" i="39"/>
  <c r="X222" i="39"/>
  <c r="BB252" i="39"/>
  <c r="X252" i="39"/>
  <c r="BB258" i="39"/>
  <c r="X258" i="39"/>
  <c r="BB264" i="39"/>
  <c r="X264" i="39"/>
  <c r="X163" i="39"/>
  <c r="X247" i="39"/>
  <c r="BB30" i="39"/>
  <c r="X30" i="39"/>
  <c r="BB53" i="39"/>
  <c r="X53" i="39"/>
  <c r="BB59" i="39"/>
  <c r="X59" i="39"/>
  <c r="BB171" i="39"/>
  <c r="X171" i="39"/>
  <c r="X177" i="39"/>
  <c r="BB215" i="39"/>
  <c r="X215" i="39"/>
  <c r="BB221" i="39"/>
  <c r="X221" i="39"/>
  <c r="BB257" i="39"/>
  <c r="X257" i="39"/>
  <c r="BB263" i="39"/>
  <c r="X263" i="39"/>
  <c r="BB269" i="39"/>
  <c r="X269" i="39"/>
  <c r="BB8" i="39"/>
  <c r="X8" i="39"/>
  <c r="BB272" i="39"/>
  <c r="X272" i="39"/>
  <c r="BB23" i="39"/>
  <c r="X23" i="39"/>
  <c r="BB28" i="39"/>
  <c r="X28" i="39"/>
  <c r="BB87" i="39"/>
  <c r="X87" i="39"/>
  <c r="BB94" i="39"/>
  <c r="X94" i="39"/>
  <c r="BB105" i="39"/>
  <c r="X105" i="39"/>
  <c r="X162" i="39"/>
  <c r="BB199" i="39"/>
  <c r="X199" i="39"/>
  <c r="BB205" i="39"/>
  <c r="X205" i="39"/>
  <c r="BB211" i="39"/>
  <c r="X211" i="39"/>
  <c r="BB234" i="39"/>
  <c r="X234" i="39"/>
  <c r="BB240" i="39"/>
  <c r="X240" i="39"/>
  <c r="BB246" i="39"/>
  <c r="X246" i="39"/>
  <c r="BB277" i="39"/>
  <c r="X277" i="39"/>
  <c r="BB206" i="39"/>
  <c r="X206" i="39"/>
  <c r="BB241" i="39"/>
  <c r="X241" i="39"/>
  <c r="BB278" i="39"/>
  <c r="X278" i="39"/>
  <c r="BB26" i="39"/>
  <c r="X26" i="39"/>
  <c r="BB46" i="39"/>
  <c r="X46" i="39"/>
  <c r="BB52" i="39"/>
  <c r="X52" i="39"/>
  <c r="BB58" i="39"/>
  <c r="X58" i="39"/>
  <c r="BB170" i="39"/>
  <c r="X170" i="39"/>
  <c r="X176" i="39"/>
  <c r="BB220" i="39"/>
  <c r="X220" i="39"/>
  <c r="BB226" i="39"/>
  <c r="X226" i="39"/>
  <c r="BB256" i="39"/>
  <c r="X256" i="39"/>
  <c r="BB262" i="39"/>
  <c r="X262" i="39"/>
  <c r="BB268" i="39"/>
  <c r="X268" i="39"/>
  <c r="BB25" i="39"/>
  <c r="X25" i="39"/>
  <c r="BB200" i="39"/>
  <c r="X200" i="39"/>
  <c r="BB235" i="39"/>
  <c r="X235" i="39"/>
  <c r="BB21" i="39"/>
  <c r="X21" i="39"/>
  <c r="BB24" i="39"/>
  <c r="X24" i="39"/>
  <c r="BB86" i="39"/>
  <c r="X86" i="39"/>
  <c r="BB92" i="39"/>
  <c r="X92" i="39"/>
  <c r="BB103" i="39"/>
  <c r="X103" i="39"/>
  <c r="BB110" i="39"/>
  <c r="X110" i="39"/>
  <c r="BB198" i="39"/>
  <c r="X198" i="39"/>
  <c r="BB204" i="39"/>
  <c r="X204" i="39"/>
  <c r="BB210" i="39"/>
  <c r="X210" i="39"/>
  <c r="BB239" i="39"/>
  <c r="X239" i="39"/>
  <c r="BB245" i="39"/>
  <c r="X245" i="39"/>
  <c r="BB276" i="39"/>
  <c r="X276" i="39"/>
  <c r="BB106" i="39"/>
  <c r="X106" i="39"/>
  <c r="BB51" i="39"/>
  <c r="X51" i="39"/>
  <c r="BB57" i="39"/>
  <c r="X57" i="39"/>
  <c r="BB169" i="39"/>
  <c r="X169" i="39"/>
  <c r="BB175" i="39"/>
  <c r="X175" i="39"/>
  <c r="BB181" i="39"/>
  <c r="X181" i="39"/>
  <c r="BB219" i="39"/>
  <c r="X219" i="39"/>
  <c r="BB225" i="39"/>
  <c r="X225" i="39"/>
  <c r="BB255" i="39"/>
  <c r="X255" i="39"/>
  <c r="BB261" i="39"/>
  <c r="X261" i="39"/>
  <c r="BB267" i="39"/>
  <c r="X267" i="39"/>
  <c r="BB27" i="44"/>
  <c r="BB25" i="44"/>
  <c r="BB18" i="39"/>
  <c r="AG10" i="31"/>
  <c r="AH10" i="31" s="1"/>
  <c r="AG21" i="31"/>
  <c r="AH21" i="31" s="1"/>
  <c r="BB183" i="39"/>
  <c r="BB186" i="39"/>
  <c r="BB189" i="39"/>
  <c r="BB185" i="39"/>
  <c r="BB184" i="39"/>
  <c r="BB187" i="39"/>
  <c r="BB188" i="39"/>
  <c r="BB190" i="39"/>
  <c r="BB191" i="39"/>
  <c r="BB192" i="39"/>
  <c r="BB193" i="39"/>
  <c r="BB182" i="39"/>
  <c r="AH100" i="39"/>
  <c r="AH224" i="39"/>
  <c r="AH226" i="39"/>
  <c r="AH218" i="39"/>
  <c r="AG26" i="31"/>
  <c r="AH26" i="31" s="1"/>
  <c r="AG41" i="31"/>
  <c r="AH41" i="31" s="1"/>
  <c r="AG7" i="31"/>
  <c r="AH7" i="31" s="1"/>
  <c r="AG14" i="31"/>
  <c r="AH14" i="31" s="1"/>
  <c r="AG20" i="31"/>
  <c r="AH20" i="31" s="1"/>
  <c r="AG24" i="31"/>
  <c r="AH24" i="31" s="1"/>
  <c r="AG30" i="31"/>
  <c r="AH30" i="31" s="1"/>
  <c r="AG45" i="31"/>
  <c r="AH45" i="31" s="1"/>
  <c r="AG12" i="31"/>
  <c r="AH12" i="31" s="1"/>
  <c r="AG18" i="31"/>
  <c r="AH18" i="31" s="1"/>
  <c r="AG22" i="31"/>
  <c r="AH22" i="31" s="1"/>
  <c r="AG28" i="31"/>
  <c r="AH28" i="31" s="1"/>
  <c r="AG43" i="31"/>
  <c r="AH43" i="31" s="1"/>
  <c r="AN408" i="44"/>
  <c r="AN410" i="44"/>
  <c r="Z413" i="44"/>
  <c r="BB413" i="44"/>
  <c r="Z412" i="44"/>
  <c r="BB412" i="44"/>
  <c r="Z411" i="44"/>
  <c r="BB411" i="44"/>
  <c r="AB414" i="44"/>
  <c r="BB414" i="44"/>
  <c r="BB409" i="44"/>
  <c r="AB408" i="44"/>
  <c r="BB408" i="44"/>
  <c r="AA407" i="44"/>
  <c r="BB407" i="44"/>
  <c r="AB410" i="44"/>
  <c r="BB410" i="44"/>
  <c r="Z101" i="39"/>
  <c r="Z243" i="39"/>
  <c r="Z79" i="39"/>
  <c r="AB55" i="39"/>
  <c r="AA182" i="39"/>
  <c r="Z226" i="39"/>
  <c r="AB253" i="39"/>
  <c r="AB255" i="39"/>
  <c r="AB256" i="39"/>
  <c r="AB192" i="39"/>
  <c r="AB239" i="39"/>
  <c r="AB49" i="39"/>
  <c r="AB29" i="39"/>
  <c r="Z54" i="39"/>
  <c r="AB108" i="39"/>
  <c r="AA183" i="39"/>
  <c r="AA203" i="39"/>
  <c r="AA33" i="39"/>
  <c r="Z103" i="39"/>
  <c r="Z39" i="39"/>
  <c r="Z85" i="39"/>
  <c r="Z109" i="39"/>
  <c r="Z184" i="39"/>
  <c r="Z204" i="39"/>
  <c r="AB258" i="39"/>
  <c r="AA244" i="39"/>
  <c r="Z110" i="39"/>
  <c r="AA185" i="39"/>
  <c r="Z205" i="39"/>
  <c r="Z206" i="39"/>
  <c r="Z207" i="39"/>
  <c r="AA234" i="39"/>
  <c r="AB260" i="39"/>
  <c r="AB264" i="39"/>
  <c r="AA265" i="39"/>
  <c r="AB51" i="39"/>
  <c r="AA24" i="39"/>
  <c r="AB53" i="39"/>
  <c r="AB86" i="39"/>
  <c r="Z94" i="39"/>
  <c r="AB37" i="39"/>
  <c r="AB87" i="39"/>
  <c r="AB88" i="39"/>
  <c r="Z91" i="39"/>
  <c r="AB92" i="39"/>
  <c r="AB95" i="39"/>
  <c r="AB166" i="39"/>
  <c r="AB211" i="39"/>
  <c r="AB235" i="39"/>
  <c r="Z191" i="39"/>
  <c r="AA190" i="39"/>
  <c r="AB8" i="39"/>
  <c r="Z50" i="39"/>
  <c r="AB59" i="39"/>
  <c r="AB102" i="39"/>
  <c r="AB215" i="39"/>
  <c r="AA246" i="39"/>
  <c r="AB247" i="39"/>
  <c r="AA274" i="39"/>
  <c r="Z276" i="39"/>
  <c r="Z171" i="39"/>
  <c r="AB172" i="39"/>
  <c r="AB219" i="39"/>
  <c r="AA221" i="39"/>
  <c r="Z60" i="39"/>
  <c r="AB57" i="39"/>
  <c r="AA173" i="39"/>
  <c r="Z174" i="39"/>
  <c r="AB175" i="39"/>
  <c r="Z177" i="39"/>
  <c r="AB180" i="39"/>
  <c r="Z223" i="39"/>
  <c r="AA224" i="39"/>
  <c r="AA28" i="39"/>
  <c r="AA17" i="39"/>
  <c r="AA106" i="39"/>
  <c r="AB161" i="39"/>
  <c r="AB252" i="39"/>
  <c r="AB279" i="39"/>
  <c r="AN412" i="44"/>
  <c r="AN411" i="44"/>
  <c r="AN409" i="44"/>
  <c r="AN414" i="44"/>
  <c r="AN407" i="44"/>
  <c r="AN205" i="39"/>
  <c r="AN8" i="39"/>
  <c r="AN269" i="39"/>
  <c r="AN278" i="39"/>
  <c r="AN108" i="39"/>
  <c r="AN244" i="39"/>
  <c r="AN52" i="39"/>
  <c r="AN57" i="39"/>
  <c r="AB207" i="39"/>
  <c r="AN257" i="39"/>
  <c r="AN188" i="39"/>
  <c r="AN207" i="39"/>
  <c r="AN208" i="39"/>
  <c r="AN209" i="39"/>
  <c r="AN259" i="39"/>
  <c r="AN261" i="39"/>
  <c r="AN262" i="39"/>
  <c r="AN263" i="39"/>
  <c r="AN174" i="39"/>
  <c r="AN180" i="39"/>
  <c r="AN274" i="39"/>
  <c r="AN221" i="39"/>
  <c r="AN276" i="39"/>
  <c r="AN162" i="39"/>
  <c r="AN200" i="39"/>
  <c r="AN201" i="39"/>
  <c r="AN95" i="39"/>
  <c r="AN184" i="39"/>
  <c r="AN56" i="39"/>
  <c r="AN39" i="39"/>
  <c r="AN266" i="39"/>
  <c r="AN202" i="39"/>
  <c r="AN163" i="39"/>
  <c r="AN203" i="39"/>
  <c r="Z241" i="39"/>
  <c r="AA253" i="39"/>
  <c r="AA207" i="39"/>
  <c r="AB241" i="39"/>
  <c r="AN245" i="39"/>
  <c r="AN55" i="39"/>
  <c r="AA235" i="39"/>
  <c r="Z246" i="39"/>
  <c r="AN175" i="39"/>
  <c r="AN178" i="39"/>
  <c r="AN179" i="39"/>
  <c r="AN53" i="39"/>
  <c r="AN235" i="39"/>
  <c r="AB39" i="39"/>
  <c r="AN28" i="39"/>
  <c r="AN33" i="39"/>
  <c r="AN219" i="39"/>
  <c r="AN220" i="39"/>
  <c r="AN92" i="39"/>
  <c r="AN193" i="39"/>
  <c r="AN101" i="39"/>
  <c r="AN170" i="39"/>
  <c r="AN171" i="39"/>
  <c r="AB106" i="39"/>
  <c r="AN181" i="39"/>
  <c r="AN217" i="39"/>
  <c r="AN277" i="39"/>
  <c r="AA279" i="39"/>
  <c r="AB85" i="39"/>
  <c r="AN165" i="39"/>
  <c r="AN223" i="39"/>
  <c r="AA247" i="39"/>
  <c r="Z33" i="39"/>
  <c r="AN77" i="39"/>
  <c r="AN86" i="39"/>
  <c r="Z253" i="39"/>
  <c r="AB25" i="39"/>
  <c r="AA77" i="39"/>
  <c r="AA223" i="39"/>
  <c r="AA21" i="39"/>
  <c r="AN24" i="39"/>
  <c r="AN60" i="39"/>
  <c r="AB77" i="39"/>
  <c r="AA164" i="39"/>
  <c r="AN222" i="39"/>
  <c r="AB223" i="39"/>
  <c r="AN246" i="39"/>
  <c r="AN254" i="39"/>
  <c r="AB265" i="39"/>
  <c r="Z77" i="39"/>
  <c r="AN21" i="39"/>
  <c r="AN183" i="39"/>
  <c r="AN198" i="39"/>
  <c r="AN224" i="39"/>
  <c r="AN256" i="39"/>
  <c r="AN267" i="39"/>
  <c r="Z279" i="39"/>
  <c r="AB31" i="39"/>
  <c r="AB33" i="39"/>
  <c r="AB203" i="39"/>
  <c r="Z216" i="39"/>
  <c r="AB79" i="39"/>
  <c r="Z88" i="39"/>
  <c r="AA216" i="39"/>
  <c r="Z258" i="39"/>
  <c r="AN78" i="39"/>
  <c r="AA88" i="39"/>
  <c r="AB190" i="39"/>
  <c r="AB216" i="39"/>
  <c r="Z252" i="39"/>
  <c r="AA258" i="39"/>
  <c r="AN206" i="39"/>
  <c r="AA252" i="39"/>
  <c r="Z25" i="39"/>
  <c r="AN169" i="39"/>
  <c r="AN190" i="39"/>
  <c r="AN191" i="39"/>
  <c r="AN218" i="39"/>
  <c r="AA101" i="39"/>
  <c r="AN176" i="39"/>
  <c r="AB182" i="39"/>
  <c r="Z59" i="39"/>
  <c r="AB101" i="39"/>
  <c r="Z106" i="39"/>
  <c r="AA177" i="39"/>
  <c r="Z265" i="39"/>
  <c r="AA59" i="39"/>
  <c r="AN80" i="39"/>
  <c r="AB177" i="39"/>
  <c r="AB183" i="39"/>
  <c r="Z190" i="39"/>
  <c r="AN199" i="39"/>
  <c r="AN234" i="39"/>
  <c r="Z235" i="39"/>
  <c r="AN240" i="39"/>
  <c r="AA241" i="39"/>
  <c r="Z247" i="39"/>
  <c r="AN272" i="39"/>
  <c r="AA243" i="39"/>
  <c r="AA259" i="39"/>
  <c r="AA19" i="39"/>
  <c r="AA18" i="39"/>
  <c r="AB30" i="39"/>
  <c r="AN59" i="39"/>
  <c r="AN90" i="39"/>
  <c r="AA91" i="39"/>
  <c r="AA103" i="39"/>
  <c r="AN107" i="39"/>
  <c r="AN172" i="39"/>
  <c r="AN192" i="39"/>
  <c r="Z193" i="39"/>
  <c r="AB204" i="39"/>
  <c r="AB221" i="39"/>
  <c r="AA226" i="39"/>
  <c r="Z236" i="39"/>
  <c r="AN243" i="39"/>
  <c r="AN268" i="39"/>
  <c r="Z275" i="39"/>
  <c r="AA30" i="39"/>
  <c r="AN87" i="39"/>
  <c r="AB243" i="39"/>
  <c r="AB19" i="39"/>
  <c r="AB18" i="39"/>
  <c r="AB91" i="39"/>
  <c r="AB103" i="39"/>
  <c r="Z173" i="39"/>
  <c r="Z180" i="39"/>
  <c r="Z185" i="39"/>
  <c r="AA193" i="39"/>
  <c r="AB226" i="39"/>
  <c r="AA236" i="39"/>
  <c r="AA275" i="39"/>
  <c r="Z179" i="39"/>
  <c r="AN242" i="39"/>
  <c r="Z21" i="39"/>
  <c r="AA25" i="39"/>
  <c r="AN29" i="39"/>
  <c r="AA39" i="39"/>
  <c r="AN51" i="39"/>
  <c r="AB173" i="39"/>
  <c r="AA180" i="39"/>
  <c r="AB185" i="39"/>
  <c r="AB205" i="39"/>
  <c r="AB236" i="39"/>
  <c r="AB275" i="39"/>
  <c r="AA204" i="39"/>
  <c r="AA174" i="39"/>
  <c r="Z264" i="39"/>
  <c r="AN275" i="39"/>
  <c r="Z18" i="39"/>
  <c r="Z221" i="39"/>
  <c r="AB259" i="39"/>
  <c r="AN17" i="39"/>
  <c r="AN20" i="39"/>
  <c r="AN46" i="39"/>
  <c r="AN50" i="39"/>
  <c r="AA79" i="39"/>
  <c r="AA85" i="39"/>
  <c r="AB174" i="39"/>
  <c r="AN185" i="39"/>
  <c r="AN237" i="39"/>
  <c r="AA264" i="39"/>
  <c r="AB234" i="39"/>
  <c r="AN19" i="39"/>
  <c r="AB21" i="39"/>
  <c r="AA23" i="39"/>
  <c r="AN18" i="39"/>
  <c r="AA26" i="39"/>
  <c r="Z31" i="39"/>
  <c r="Z51" i="39"/>
  <c r="AN88" i="39"/>
  <c r="Z183" i="39"/>
  <c r="AB193" i="39"/>
  <c r="AN236" i="39"/>
  <c r="AA254" i="39"/>
  <c r="AN258" i="39"/>
  <c r="Z23" i="39"/>
  <c r="Z26" i="39"/>
  <c r="AN54" i="39"/>
  <c r="AB23" i="39"/>
  <c r="AB26" i="39"/>
  <c r="AA31" i="39"/>
  <c r="AN49" i="39"/>
  <c r="AA51" i="39"/>
  <c r="Z27" i="39"/>
  <c r="AN173" i="39"/>
  <c r="Z202" i="39"/>
  <c r="Z10" i="39"/>
  <c r="AB27" i="39"/>
  <c r="Z29" i="39"/>
  <c r="AB22" i="39"/>
  <c r="Z37" i="39"/>
  <c r="AA53" i="39"/>
  <c r="AA94" i="39"/>
  <c r="Z105" i="39"/>
  <c r="AA181" i="39"/>
  <c r="Z187" i="39"/>
  <c r="AA202" i="39"/>
  <c r="Z215" i="39"/>
  <c r="Z244" i="39"/>
  <c r="AA273" i="39"/>
  <c r="Z220" i="39"/>
  <c r="AA10" i="39"/>
  <c r="AN25" i="39"/>
  <c r="AA29" i="39"/>
  <c r="AA37" i="39"/>
  <c r="AB94" i="39"/>
  <c r="AA109" i="39"/>
  <c r="Z164" i="39"/>
  <c r="Z172" i="39"/>
  <c r="Z175" i="39"/>
  <c r="AB181" i="39"/>
  <c r="AN186" i="39"/>
  <c r="AA187" i="39"/>
  <c r="Z192" i="39"/>
  <c r="AB202" i="39"/>
  <c r="AN204" i="39"/>
  <c r="AA205" i="39"/>
  <c r="AA215" i="39"/>
  <c r="Z224" i="39"/>
  <c r="AN226" i="39"/>
  <c r="AN239" i="39"/>
  <c r="Z260" i="39"/>
  <c r="AB273" i="39"/>
  <c r="Z22" i="39"/>
  <c r="AA256" i="39"/>
  <c r="AA27" i="39"/>
  <c r="AB28" i="39"/>
  <c r="AN255" i="39"/>
  <c r="AB10" i="39"/>
  <c r="AB17" i="39"/>
  <c r="Z19" i="39"/>
  <c r="AN27" i="39"/>
  <c r="AN22" i="39"/>
  <c r="Z30" i="39"/>
  <c r="AA55" i="39"/>
  <c r="AA102" i="39"/>
  <c r="AB109" i="39"/>
  <c r="AA172" i="39"/>
  <c r="AA175" i="39"/>
  <c r="AB187" i="39"/>
  <c r="AA192" i="39"/>
  <c r="AB224" i="39"/>
  <c r="AA260" i="39"/>
  <c r="AA239" i="39"/>
  <c r="Z273" i="39"/>
  <c r="AN94" i="39"/>
  <c r="AN105" i="39"/>
  <c r="AB164" i="39"/>
  <c r="AN187" i="39"/>
  <c r="AN210" i="39"/>
  <c r="AA22" i="39"/>
  <c r="Z53" i="39"/>
  <c r="Z181" i="39"/>
  <c r="AN37" i="39"/>
  <c r="AN102" i="39"/>
  <c r="AN109" i="39"/>
  <c r="AN260" i="39"/>
  <c r="AA8" i="39"/>
  <c r="Z8" i="39"/>
  <c r="AB80" i="39"/>
  <c r="AA80" i="39"/>
  <c r="Z80" i="39"/>
  <c r="AN31" i="39"/>
  <c r="AN48" i="39"/>
  <c r="AA46" i="39"/>
  <c r="AB46" i="39"/>
  <c r="Z46" i="39"/>
  <c r="AA107" i="39"/>
  <c r="Z107" i="39"/>
  <c r="AB107" i="39"/>
  <c r="AB162" i="39"/>
  <c r="AA162" i="39"/>
  <c r="Z162" i="39"/>
  <c r="AB52" i="39"/>
  <c r="AA52" i="39"/>
  <c r="Z52" i="39"/>
  <c r="AA20" i="39"/>
  <c r="AB20" i="39"/>
  <c r="Z20" i="39"/>
  <c r="AN30" i="39"/>
  <c r="AB48" i="39"/>
  <c r="AA48" i="39"/>
  <c r="Z48" i="39"/>
  <c r="AB100" i="39"/>
  <c r="AA100" i="39"/>
  <c r="Z100" i="39"/>
  <c r="AB242" i="39"/>
  <c r="AA242" i="39"/>
  <c r="Z242" i="39"/>
  <c r="AB54" i="39"/>
  <c r="AA54" i="39"/>
  <c r="AN91" i="39"/>
  <c r="AA261" i="39"/>
  <c r="AB261" i="39"/>
  <c r="Z261" i="39"/>
  <c r="AN10" i="39"/>
  <c r="AN26" i="39"/>
  <c r="AA169" i="39"/>
  <c r="Z169" i="39"/>
  <c r="AB169" i="39"/>
  <c r="AA188" i="39"/>
  <c r="Z188" i="39"/>
  <c r="AB188" i="39"/>
  <c r="AA57" i="39"/>
  <c r="Z57" i="39"/>
  <c r="AA92" i="39"/>
  <c r="Z92" i="39"/>
  <c r="AA95" i="39"/>
  <c r="Z95" i="39"/>
  <c r="AN100" i="39"/>
  <c r="AN110" i="39"/>
  <c r="AB191" i="39"/>
  <c r="AA191" i="39"/>
  <c r="AN238" i="39"/>
  <c r="AA178" i="39"/>
  <c r="Z178" i="39"/>
  <c r="AA199" i="39"/>
  <c r="Z199" i="39"/>
  <c r="AB199" i="39"/>
  <c r="AN23" i="39"/>
  <c r="AN58" i="39"/>
  <c r="Z24" i="39"/>
  <c r="AB56" i="39"/>
  <c r="AA56" i="39"/>
  <c r="Z56" i="39"/>
  <c r="AB163" i="39"/>
  <c r="AA163" i="39"/>
  <c r="Z163" i="39"/>
  <c r="AA49" i="39"/>
  <c r="Z49" i="39"/>
  <c r="Z237" i="39"/>
  <c r="AB237" i="39"/>
  <c r="AA237" i="39"/>
  <c r="Z17" i="39"/>
  <c r="AB24" i="39"/>
  <c r="Z28" i="39"/>
  <c r="AB78" i="39"/>
  <c r="AA78" i="39"/>
  <c r="Z78" i="39"/>
  <c r="Z86" i="39"/>
  <c r="AB90" i="39"/>
  <c r="AA90" i="39"/>
  <c r="Z90" i="39"/>
  <c r="AA87" i="39"/>
  <c r="Z87" i="39"/>
  <c r="AB178" i="39"/>
  <c r="Z55" i="39"/>
  <c r="AB60" i="39"/>
  <c r="AA60" i="39"/>
  <c r="AN79" i="39"/>
  <c r="AA86" i="39"/>
  <c r="AB105" i="39"/>
  <c r="AA105" i="39"/>
  <c r="AN182" i="39"/>
  <c r="Z182" i="39"/>
  <c r="AB110" i="39"/>
  <c r="AA110" i="39"/>
  <c r="AB170" i="39"/>
  <c r="AA170" i="39"/>
  <c r="Z170" i="39"/>
  <c r="AN106" i="39"/>
  <c r="AN161" i="39"/>
  <c r="AN166" i="39"/>
  <c r="AB165" i="39"/>
  <c r="AA165" i="39"/>
  <c r="Z165" i="39"/>
  <c r="Z217" i="39"/>
  <c r="AB217" i="39"/>
  <c r="AB269" i="39"/>
  <c r="AA269" i="39"/>
  <c r="Z269" i="39"/>
  <c r="Z102" i="39"/>
  <c r="AA217" i="39"/>
  <c r="AB200" i="39"/>
  <c r="AA200" i="39"/>
  <c r="Z200" i="39"/>
  <c r="AN103" i="39"/>
  <c r="AA108" i="39"/>
  <c r="Z108" i="39"/>
  <c r="AB186" i="39"/>
  <c r="AA186" i="39"/>
  <c r="Z186" i="39"/>
  <c r="AA210" i="39"/>
  <c r="Z210" i="39"/>
  <c r="AB50" i="39"/>
  <c r="AA50" i="39"/>
  <c r="AB58" i="39"/>
  <c r="AA58" i="39"/>
  <c r="AN85" i="39"/>
  <c r="AB210" i="39"/>
  <c r="AB176" i="39"/>
  <c r="AA176" i="39"/>
  <c r="Z176" i="39"/>
  <c r="AB184" i="39"/>
  <c r="AA184" i="39"/>
  <c r="AB189" i="39"/>
  <c r="AA189" i="39"/>
  <c r="Z189" i="39"/>
  <c r="AB179" i="39"/>
  <c r="AA179" i="39"/>
  <c r="Z209" i="39"/>
  <c r="AA209" i="39"/>
  <c r="AB209" i="39"/>
  <c r="AN225" i="39"/>
  <c r="AA255" i="39"/>
  <c r="Z255" i="39"/>
  <c r="AN177" i="39"/>
  <c r="AN189" i="39"/>
  <c r="AB246" i="39"/>
  <c r="AB198" i="39"/>
  <c r="AA198" i="39"/>
  <c r="AB277" i="39"/>
  <c r="AA277" i="39"/>
  <c r="Z277" i="39"/>
  <c r="Z161" i="39"/>
  <c r="AA238" i="39"/>
  <c r="Z238" i="39"/>
  <c r="AA267" i="39"/>
  <c r="Z267" i="39"/>
  <c r="AB267" i="39"/>
  <c r="AA161" i="39"/>
  <c r="AA166" i="39"/>
  <c r="Z166" i="39"/>
  <c r="AB171" i="39"/>
  <c r="AA171" i="39"/>
  <c r="Z198" i="39"/>
  <c r="AA208" i="39"/>
  <c r="Z208" i="39"/>
  <c r="Z211" i="39"/>
  <c r="AB238" i="39"/>
  <c r="AB257" i="39"/>
  <c r="AA257" i="39"/>
  <c r="Z257" i="39"/>
  <c r="AN164" i="39"/>
  <c r="AB208" i="39"/>
  <c r="AA211" i="39"/>
  <c r="Z234" i="39"/>
  <c r="AB278" i="39"/>
  <c r="AA278" i="39"/>
  <c r="Z278" i="39"/>
  <c r="AB262" i="39"/>
  <c r="AA262" i="39"/>
  <c r="Z262" i="39"/>
  <c r="AA276" i="39"/>
  <c r="AB276" i="39"/>
  <c r="AB245" i="39"/>
  <c r="AA245" i="39"/>
  <c r="Z245" i="39"/>
  <c r="Z254" i="39"/>
  <c r="AB254" i="39"/>
  <c r="AB244" i="39"/>
  <c r="Z266" i="39"/>
  <c r="AB266" i="39"/>
  <c r="AA266" i="39"/>
  <c r="AB222" i="39"/>
  <c r="AA222" i="39"/>
  <c r="Z222" i="39"/>
  <c r="AB240" i="39"/>
  <c r="AA240" i="39"/>
  <c r="AB263" i="39"/>
  <c r="AA263" i="39"/>
  <c r="AB268" i="39"/>
  <c r="AA268" i="39"/>
  <c r="AB272" i="39"/>
  <c r="AA272" i="39"/>
  <c r="Z272" i="39"/>
  <c r="AB201" i="39"/>
  <c r="AA201" i="39"/>
  <c r="Z218" i="39"/>
  <c r="AA218" i="39"/>
  <c r="AB274" i="39"/>
  <c r="Z201" i="39"/>
  <c r="Z203" i="39"/>
  <c r="AB206" i="39"/>
  <c r="AA206" i="39"/>
  <c r="AN216" i="39"/>
  <c r="AB218" i="39"/>
  <c r="Z239" i="39"/>
  <c r="Z240" i="39"/>
  <c r="Z256" i="39"/>
  <c r="Z259" i="39"/>
  <c r="Z263" i="39"/>
  <c r="Z268" i="39"/>
  <c r="Z274" i="39"/>
  <c r="AN211" i="39"/>
  <c r="AN241" i="39"/>
  <c r="Z219" i="39"/>
  <c r="AN247" i="39"/>
  <c r="AA219" i="39"/>
  <c r="AB220" i="39"/>
  <c r="AA220" i="39"/>
  <c r="AN252" i="39"/>
  <c r="AN253" i="39"/>
  <c r="AN273" i="39"/>
  <c r="AN215" i="39"/>
  <c r="AB225" i="39"/>
  <c r="AA225" i="39"/>
  <c r="Z225" i="39"/>
  <c r="AN264" i="39"/>
  <c r="AN265" i="39"/>
  <c r="AN279" i="39"/>
  <c r="AN413" i="44"/>
  <c r="Z408" i="44"/>
  <c r="Z410" i="44"/>
  <c r="AA408" i="44"/>
  <c r="AA409" i="44"/>
  <c r="AA410" i="44"/>
  <c r="AA411" i="44"/>
  <c r="AA412" i="44"/>
  <c r="AA413" i="44"/>
  <c r="AB407" i="44"/>
  <c r="AB409" i="44"/>
  <c r="AB411" i="44"/>
  <c r="AB412" i="44"/>
  <c r="Z407" i="44"/>
  <c r="Z409" i="44"/>
  <c r="AA414" i="44"/>
  <c r="AB413" i="44"/>
  <c r="Z414" i="44"/>
  <c r="AG48" i="31"/>
  <c r="AH48" i="31" s="1"/>
  <c r="AG47" i="31"/>
  <c r="AH47" i="31" s="1"/>
  <c r="AM95" i="45"/>
  <c r="AL95" i="45"/>
  <c r="AK95" i="45"/>
  <c r="AJ95" i="45"/>
  <c r="AI95" i="45"/>
  <c r="W95" i="45"/>
  <c r="X95" i="45" s="1"/>
  <c r="S95" i="45"/>
  <c r="P95" i="45"/>
  <c r="AM94" i="45"/>
  <c r="AL94" i="45"/>
  <c r="AK94" i="45"/>
  <c r="AJ94" i="45"/>
  <c r="AI94" i="45"/>
  <c r="W94" i="45"/>
  <c r="X94" i="45" s="1"/>
  <c r="S94" i="45"/>
  <c r="P94" i="45"/>
  <c r="AM93" i="45"/>
  <c r="AL93" i="45"/>
  <c r="AK93" i="45"/>
  <c r="AJ93" i="45"/>
  <c r="AI93" i="45"/>
  <c r="W93" i="45"/>
  <c r="X93" i="45" s="1"/>
  <c r="S93" i="45"/>
  <c r="P93" i="45"/>
  <c r="AM92" i="45"/>
  <c r="AL92" i="45"/>
  <c r="AK92" i="45"/>
  <c r="AJ92" i="45"/>
  <c r="AI92" i="45"/>
  <c r="W92" i="45"/>
  <c r="S92" i="45"/>
  <c r="P92" i="45"/>
  <c r="AM91" i="45"/>
  <c r="AL91" i="45"/>
  <c r="AK91" i="45"/>
  <c r="AJ91" i="45"/>
  <c r="AI91" i="45"/>
  <c r="W91" i="45"/>
  <c r="X91" i="45" s="1"/>
  <c r="S91" i="45"/>
  <c r="P91" i="45"/>
  <c r="AM90" i="45"/>
  <c r="AL90" i="45"/>
  <c r="AK90" i="45"/>
  <c r="AJ90" i="45"/>
  <c r="AI90" i="45"/>
  <c r="W90" i="45"/>
  <c r="S90" i="45"/>
  <c r="P90" i="45"/>
  <c r="AM89" i="45"/>
  <c r="AL89" i="45"/>
  <c r="AK89" i="45"/>
  <c r="AJ89" i="45"/>
  <c r="AI89" i="45"/>
  <c r="W89" i="45"/>
  <c r="X89" i="45" s="1"/>
  <c r="S89" i="45"/>
  <c r="P89" i="45"/>
  <c r="AM88" i="45"/>
  <c r="AL88" i="45"/>
  <c r="AK88" i="45"/>
  <c r="AJ88" i="45"/>
  <c r="AI88" i="45"/>
  <c r="W88" i="45"/>
  <c r="S88" i="45"/>
  <c r="P88" i="45"/>
  <c r="AM87" i="45"/>
  <c r="AL87" i="45"/>
  <c r="AK87" i="45"/>
  <c r="AJ87" i="45"/>
  <c r="AI87" i="45"/>
  <c r="W87" i="45"/>
  <c r="X87" i="45" s="1"/>
  <c r="S87" i="45"/>
  <c r="P87" i="45"/>
  <c r="AM86" i="45"/>
  <c r="AL86" i="45"/>
  <c r="AK86" i="45"/>
  <c r="AJ86" i="45"/>
  <c r="AI86" i="45"/>
  <c r="W86" i="45"/>
  <c r="S86" i="45"/>
  <c r="P86" i="45"/>
  <c r="AM85" i="45"/>
  <c r="AL85" i="45"/>
  <c r="AK85" i="45"/>
  <c r="AJ85" i="45"/>
  <c r="AI85" i="45"/>
  <c r="W85" i="45"/>
  <c r="X85" i="45" s="1"/>
  <c r="S85" i="45"/>
  <c r="P85" i="45"/>
  <c r="AM84" i="45"/>
  <c r="AL84" i="45"/>
  <c r="AK84" i="45"/>
  <c r="AJ84" i="45"/>
  <c r="AI84" i="45"/>
  <c r="W84" i="45"/>
  <c r="X84" i="45" s="1"/>
  <c r="S84" i="45"/>
  <c r="P84" i="45"/>
  <c r="AM83" i="45"/>
  <c r="AL83" i="45"/>
  <c r="AK83" i="45"/>
  <c r="AJ83" i="45"/>
  <c r="AI83" i="45"/>
  <c r="W83" i="45"/>
  <c r="X83" i="45" s="1"/>
  <c r="S83" i="45"/>
  <c r="P83" i="45"/>
  <c r="AM82" i="45"/>
  <c r="AL82" i="45"/>
  <c r="AK82" i="45"/>
  <c r="AJ82" i="45"/>
  <c r="AI82" i="45"/>
  <c r="W82" i="45"/>
  <c r="X82" i="45" s="1"/>
  <c r="S82" i="45"/>
  <c r="P82" i="45"/>
  <c r="AM81" i="45"/>
  <c r="AL81" i="45"/>
  <c r="AK81" i="45"/>
  <c r="AJ81" i="45"/>
  <c r="AI81" i="45"/>
  <c r="W81" i="45"/>
  <c r="X81" i="45" s="1"/>
  <c r="S81" i="45"/>
  <c r="P81" i="45"/>
  <c r="AM80" i="45"/>
  <c r="AL80" i="45"/>
  <c r="AK80" i="45"/>
  <c r="AJ80" i="45"/>
  <c r="AI80" i="45"/>
  <c r="W80" i="45"/>
  <c r="X80" i="45" s="1"/>
  <c r="S80" i="45"/>
  <c r="P80" i="45"/>
  <c r="AM79" i="45"/>
  <c r="AL79" i="45"/>
  <c r="AK79" i="45"/>
  <c r="AJ79" i="45"/>
  <c r="AI79" i="45"/>
  <c r="W79" i="45"/>
  <c r="X79" i="45" s="1"/>
  <c r="S79" i="45"/>
  <c r="P79" i="45"/>
  <c r="AM78" i="45"/>
  <c r="AL78" i="45"/>
  <c r="AK78" i="45"/>
  <c r="AJ78" i="45"/>
  <c r="AI78" i="45"/>
  <c r="W78" i="45"/>
  <c r="X78" i="45" s="1"/>
  <c r="S78" i="45"/>
  <c r="P78" i="45"/>
  <c r="AM77" i="45"/>
  <c r="AL77" i="45"/>
  <c r="AK77" i="45"/>
  <c r="AJ77" i="45"/>
  <c r="AI77" i="45"/>
  <c r="W77" i="45"/>
  <c r="X77" i="45" s="1"/>
  <c r="S77" i="45"/>
  <c r="P77" i="45"/>
  <c r="AM76" i="45"/>
  <c r="AL76" i="45"/>
  <c r="AK76" i="45"/>
  <c r="AJ76" i="45"/>
  <c r="AI76" i="45"/>
  <c r="W76" i="45"/>
  <c r="X76" i="45" s="1"/>
  <c r="S76" i="45"/>
  <c r="P76" i="45"/>
  <c r="AM75" i="45"/>
  <c r="AL75" i="45"/>
  <c r="AK75" i="45"/>
  <c r="AJ75" i="45"/>
  <c r="AI75" i="45"/>
  <c r="W75" i="45"/>
  <c r="X75" i="45" s="1"/>
  <c r="S75" i="45"/>
  <c r="P75" i="45"/>
  <c r="AM74" i="45"/>
  <c r="AL74" i="45"/>
  <c r="AK74" i="45"/>
  <c r="AJ74" i="45"/>
  <c r="AI74" i="45"/>
  <c r="W74" i="45"/>
  <c r="X74" i="45" s="1"/>
  <c r="S74" i="45"/>
  <c r="P74" i="45"/>
  <c r="AM73" i="45"/>
  <c r="AL73" i="45"/>
  <c r="AK73" i="45"/>
  <c r="AJ73" i="45"/>
  <c r="AI73" i="45"/>
  <c r="W73" i="45"/>
  <c r="X73" i="45" s="1"/>
  <c r="S73" i="45"/>
  <c r="P73" i="45"/>
  <c r="AM72" i="45"/>
  <c r="AL72" i="45"/>
  <c r="AK72" i="45"/>
  <c r="AJ72" i="45"/>
  <c r="AI72" i="45"/>
  <c r="W72" i="45"/>
  <c r="X72" i="45" s="1"/>
  <c r="S72" i="45"/>
  <c r="P72" i="45"/>
  <c r="AM71" i="45"/>
  <c r="AL71" i="45"/>
  <c r="AK71" i="45"/>
  <c r="AJ71" i="45"/>
  <c r="AI71" i="45"/>
  <c r="W71" i="45"/>
  <c r="X71" i="45" s="1"/>
  <c r="S71" i="45"/>
  <c r="P71" i="45"/>
  <c r="AM70" i="45"/>
  <c r="AL70" i="45"/>
  <c r="AK70" i="45"/>
  <c r="AJ70" i="45"/>
  <c r="AI70" i="45"/>
  <c r="W70" i="45"/>
  <c r="X70" i="45" s="1"/>
  <c r="S70" i="45"/>
  <c r="P70" i="45"/>
  <c r="AM69" i="45"/>
  <c r="AL69" i="45"/>
  <c r="AK69" i="45"/>
  <c r="AJ69" i="45"/>
  <c r="AI69" i="45"/>
  <c r="W69" i="45"/>
  <c r="X69" i="45" s="1"/>
  <c r="S69" i="45"/>
  <c r="P69" i="45"/>
  <c r="AM68" i="45"/>
  <c r="AL68" i="45"/>
  <c r="AK68" i="45"/>
  <c r="AJ68" i="45"/>
  <c r="AI68" i="45"/>
  <c r="W68" i="45"/>
  <c r="X68" i="45" s="1"/>
  <c r="S68" i="45"/>
  <c r="P68" i="45"/>
  <c r="AM67" i="45"/>
  <c r="AL67" i="45"/>
  <c r="AK67" i="45"/>
  <c r="AJ67" i="45"/>
  <c r="AI67" i="45"/>
  <c r="W67" i="45"/>
  <c r="X67" i="45" s="1"/>
  <c r="S67" i="45"/>
  <c r="P67" i="45"/>
  <c r="AM66" i="45"/>
  <c r="AL66" i="45"/>
  <c r="AK66" i="45"/>
  <c r="AJ66" i="45"/>
  <c r="AI66" i="45"/>
  <c r="W66" i="45"/>
  <c r="X66" i="45" s="1"/>
  <c r="S66" i="45"/>
  <c r="P66" i="45"/>
  <c r="AH283" i="39" l="1"/>
  <c r="N53" i="9"/>
  <c r="N51" i="9"/>
  <c r="N50" i="9"/>
  <c r="N49" i="9"/>
  <c r="N89" i="9"/>
  <c r="N76" i="9"/>
  <c r="N63" i="9"/>
  <c r="N25" i="9"/>
  <c r="N87" i="9"/>
  <c r="N61" i="9"/>
  <c r="N70" i="9"/>
  <c r="N69" i="9"/>
  <c r="N18" i="9"/>
  <c r="N81" i="9"/>
  <c r="N55" i="9"/>
  <c r="N16" i="9"/>
  <c r="N28" i="9"/>
  <c r="N78" i="9"/>
  <c r="N77" i="9"/>
  <c r="N13" i="9"/>
  <c r="N88" i="9"/>
  <c r="N75" i="9"/>
  <c r="N62" i="9"/>
  <c r="N23" i="9"/>
  <c r="N74" i="9"/>
  <c r="N22" i="9"/>
  <c r="N19" i="9"/>
  <c r="N17" i="9"/>
  <c r="N41" i="9"/>
  <c r="N66" i="9"/>
  <c r="N65" i="9"/>
  <c r="N64" i="9"/>
  <c r="N82" i="9"/>
  <c r="N80" i="9"/>
  <c r="N29" i="9"/>
  <c r="N15" i="9"/>
  <c r="N86" i="9"/>
  <c r="N73" i="9"/>
  <c r="N21" i="9"/>
  <c r="N85" i="9"/>
  <c r="N71" i="9"/>
  <c r="N20" i="9"/>
  <c r="N84" i="9"/>
  <c r="N32" i="9"/>
  <c r="N31" i="9"/>
  <c r="N68" i="9"/>
  <c r="N30" i="9"/>
  <c r="N67" i="9"/>
  <c r="N79" i="9"/>
  <c r="N14" i="9"/>
  <c r="N26" i="9"/>
  <c r="AT29" i="39"/>
  <c r="AH408" i="44"/>
  <c r="AH448" i="44" s="1"/>
  <c r="X88" i="45"/>
  <c r="X86" i="45"/>
  <c r="X90" i="45"/>
  <c r="X92" i="45"/>
  <c r="X87" i="9"/>
  <c r="X14" i="9"/>
  <c r="N7" i="9"/>
  <c r="X85" i="9"/>
  <c r="X74" i="9"/>
  <c r="X31" i="9"/>
  <c r="X23" i="9"/>
  <c r="X13" i="9"/>
  <c r="X30" i="9"/>
  <c r="X25" i="9"/>
  <c r="X69" i="9"/>
  <c r="X75" i="9"/>
  <c r="X76" i="9"/>
  <c r="X28" i="9"/>
  <c r="X68" i="9"/>
  <c r="X78" i="9"/>
  <c r="X71" i="9"/>
  <c r="X66" i="9"/>
  <c r="X22" i="9"/>
  <c r="X26" i="9"/>
  <c r="X16" i="9"/>
  <c r="X19" i="9"/>
  <c r="X89" i="9"/>
  <c r="X84" i="9"/>
  <c r="X55" i="9"/>
  <c r="X88" i="9"/>
  <c r="X82" i="9"/>
  <c r="X80" i="9"/>
  <c r="X7" i="9"/>
  <c r="X18" i="9"/>
  <c r="X79" i="9"/>
  <c r="X67" i="9"/>
  <c r="X81" i="9"/>
  <c r="X70" i="9"/>
  <c r="X17" i="9"/>
  <c r="X21" i="9"/>
  <c r="X65" i="9"/>
  <c r="X15" i="9"/>
  <c r="X77" i="9"/>
  <c r="X20" i="9"/>
  <c r="X73" i="9"/>
  <c r="X86" i="9"/>
  <c r="AO110" i="39"/>
  <c r="AP110" i="39" s="1"/>
  <c r="AO208" i="39"/>
  <c r="AO241" i="39"/>
  <c r="AP241" i="39" s="1"/>
  <c r="AW241" i="39" s="1"/>
  <c r="AO103" i="39"/>
  <c r="AP103" i="39" s="1"/>
  <c r="AW103" i="39" s="1"/>
  <c r="AO91" i="39"/>
  <c r="AP91" i="39" s="1"/>
  <c r="AW91" i="39" s="1"/>
  <c r="AO171" i="39"/>
  <c r="AP171" i="39" s="1"/>
  <c r="AO54" i="39"/>
  <c r="AP54" i="39" s="1"/>
  <c r="AO85" i="39"/>
  <c r="AP85" i="39" s="1"/>
  <c r="AA87" i="45"/>
  <c r="AA95" i="45"/>
  <c r="Z67" i="45"/>
  <c r="Z73" i="45"/>
  <c r="Z79" i="45"/>
  <c r="AA85" i="45"/>
  <c r="AA94" i="45"/>
  <c r="Z69" i="45"/>
  <c r="Z75" i="45"/>
  <c r="Z81" i="45"/>
  <c r="Z68" i="45"/>
  <c r="Z72" i="45"/>
  <c r="Z76" i="45"/>
  <c r="Z80" i="45"/>
  <c r="Z82" i="45"/>
  <c r="AA89" i="45"/>
  <c r="Z74" i="45"/>
  <c r="AA91" i="45"/>
  <c r="Z70" i="45"/>
  <c r="Z77" i="45"/>
  <c r="Z83" i="45"/>
  <c r="Z66" i="45"/>
  <c r="Z71" i="45"/>
  <c r="Z78" i="45"/>
  <c r="AA84" i="45"/>
  <c r="AA93" i="45"/>
  <c r="AN66" i="45"/>
  <c r="AN67" i="45"/>
  <c r="AN74" i="45"/>
  <c r="AN75" i="45"/>
  <c r="AN76" i="45"/>
  <c r="AN84" i="45"/>
  <c r="AN86" i="45"/>
  <c r="AO57" i="39"/>
  <c r="AP57" i="39" s="1"/>
  <c r="AO204" i="39"/>
  <c r="AO60" i="39"/>
  <c r="AP60" i="39" s="1"/>
  <c r="AO94" i="39"/>
  <c r="AP94" i="39" s="1"/>
  <c r="AW94" i="39" s="1"/>
  <c r="AO39" i="39"/>
  <c r="AP39" i="39" s="1"/>
  <c r="AO8" i="39"/>
  <c r="AP8" i="39" s="1"/>
  <c r="AO243" i="39"/>
  <c r="AP243" i="39" s="1"/>
  <c r="AW243" i="39" s="1"/>
  <c r="AO191" i="39"/>
  <c r="AP191" i="39" s="1"/>
  <c r="AW191" i="39" s="1"/>
  <c r="AO200" i="39"/>
  <c r="AO101" i="39"/>
  <c r="AP101" i="39" s="1"/>
  <c r="AO206" i="39"/>
  <c r="AO223" i="39"/>
  <c r="AP223" i="39" s="1"/>
  <c r="AW223" i="39" s="1"/>
  <c r="AO184" i="39"/>
  <c r="AP184" i="39" s="1"/>
  <c r="AO174" i="39"/>
  <c r="AP174" i="39" s="1"/>
  <c r="AW174" i="39" s="1"/>
  <c r="AO269" i="39"/>
  <c r="AP269" i="39" s="1"/>
  <c r="AW269" i="39" s="1"/>
  <c r="AO205" i="39"/>
  <c r="AO408" i="44"/>
  <c r="AO412" i="44"/>
  <c r="AO410" i="44"/>
  <c r="AO413" i="44"/>
  <c r="AO411" i="44"/>
  <c r="AO414" i="44"/>
  <c r="AO58" i="39"/>
  <c r="AP58" i="39" s="1"/>
  <c r="AO109" i="39"/>
  <c r="AP109" i="39" s="1"/>
  <c r="AO177" i="39"/>
  <c r="AP177" i="39" s="1"/>
  <c r="AW177" i="39" s="1"/>
  <c r="AO226" i="39"/>
  <c r="AP226" i="39" s="1"/>
  <c r="AO50" i="39"/>
  <c r="AP50" i="39" s="1"/>
  <c r="AO207" i="39"/>
  <c r="AO79" i="39"/>
  <c r="AP79" i="39" s="1"/>
  <c r="AW79" i="39" s="1"/>
  <c r="AO108" i="39"/>
  <c r="AP108" i="39" s="1"/>
  <c r="AO276" i="39"/>
  <c r="AP276" i="39" s="1"/>
  <c r="AW276" i="39" s="1"/>
  <c r="AO409" i="44"/>
  <c r="AO407" i="44"/>
  <c r="AO244" i="39"/>
  <c r="AP244" i="39" s="1"/>
  <c r="AW244" i="39" s="1"/>
  <c r="AO26" i="39"/>
  <c r="AP26" i="39" s="1"/>
  <c r="AO246" i="39"/>
  <c r="AP246" i="39" s="1"/>
  <c r="AW246" i="39" s="1"/>
  <c r="AO10" i="39"/>
  <c r="AP10" i="39" s="1"/>
  <c r="AO278" i="39"/>
  <c r="AP278" i="39" s="1"/>
  <c r="AO86" i="39"/>
  <c r="AP86" i="39" s="1"/>
  <c r="AW86" i="39" s="1"/>
  <c r="AO92" i="39"/>
  <c r="AO279" i="39"/>
  <c r="AP279" i="39" s="1"/>
  <c r="AO52" i="39"/>
  <c r="AP52" i="39" s="1"/>
  <c r="AO179" i="39"/>
  <c r="AP179" i="39" s="1"/>
  <c r="AO55" i="39"/>
  <c r="AP55" i="39" s="1"/>
  <c r="AO263" i="39"/>
  <c r="AP263" i="39" s="1"/>
  <c r="AO181" i="39"/>
  <c r="AP181" i="39" s="1"/>
  <c r="AW181" i="39" s="1"/>
  <c r="AO257" i="39"/>
  <c r="AP257" i="39" s="1"/>
  <c r="AW257" i="39" s="1"/>
  <c r="AO53" i="39"/>
  <c r="AP53" i="39" s="1"/>
  <c r="AO260" i="39"/>
  <c r="AO221" i="39"/>
  <c r="AP221" i="39" s="1"/>
  <c r="AO245" i="39"/>
  <c r="AP245" i="39" s="1"/>
  <c r="AO274" i="39"/>
  <c r="AP274" i="39" s="1"/>
  <c r="AO28" i="39"/>
  <c r="AP28" i="39" s="1"/>
  <c r="AO203" i="39"/>
  <c r="AO216" i="39"/>
  <c r="AP216" i="39" s="1"/>
  <c r="AO202" i="39"/>
  <c r="AO188" i="39"/>
  <c r="AP188" i="39" s="1"/>
  <c r="AO163" i="39"/>
  <c r="AP163" i="39" s="1"/>
  <c r="AW163" i="39" s="1"/>
  <c r="AO180" i="39"/>
  <c r="AP180" i="39" s="1"/>
  <c r="AO247" i="39"/>
  <c r="AP247" i="39" s="1"/>
  <c r="AW247" i="39" s="1"/>
  <c r="AO176" i="39"/>
  <c r="AP176" i="39" s="1"/>
  <c r="AW176" i="39" s="1"/>
  <c r="AO268" i="39"/>
  <c r="AP268" i="39" s="1"/>
  <c r="AX268" i="39" s="1"/>
  <c r="AO266" i="39"/>
  <c r="AP266" i="39" s="1"/>
  <c r="AO190" i="39"/>
  <c r="AP190" i="39" s="1"/>
  <c r="AO80" i="39"/>
  <c r="AP80" i="39" s="1"/>
  <c r="AO59" i="39"/>
  <c r="AP59" i="39" s="1"/>
  <c r="AO162" i="39"/>
  <c r="AP162" i="39" s="1"/>
  <c r="AW162" i="39" s="1"/>
  <c r="AO201" i="39"/>
  <c r="AO259" i="39"/>
  <c r="AO224" i="39"/>
  <c r="AP224" i="39" s="1"/>
  <c r="AO262" i="39"/>
  <c r="AP262" i="39" s="1"/>
  <c r="AO199" i="39"/>
  <c r="AO267" i="39"/>
  <c r="AP267" i="39" s="1"/>
  <c r="AW267" i="39" s="1"/>
  <c r="AO178" i="39"/>
  <c r="AP178" i="39" s="1"/>
  <c r="AW178" i="39" s="1"/>
  <c r="AO261" i="39"/>
  <c r="AP261" i="39" s="1"/>
  <c r="AW261" i="39" s="1"/>
  <c r="AO88" i="39"/>
  <c r="AP88" i="39" s="1"/>
  <c r="AO235" i="39"/>
  <c r="AO77" i="39"/>
  <c r="AP77" i="39" s="1"/>
  <c r="AO219" i="39"/>
  <c r="AP219" i="39" s="1"/>
  <c r="AO209" i="39"/>
  <c r="AO254" i="39"/>
  <c r="AP254" i="39" s="1"/>
  <c r="AO56" i="39"/>
  <c r="AP56" i="39" s="1"/>
  <c r="AO95" i="39"/>
  <c r="AP95" i="39" s="1"/>
  <c r="AO192" i="39"/>
  <c r="AP192" i="39" s="1"/>
  <c r="AW192" i="39" s="1"/>
  <c r="AO220" i="39"/>
  <c r="AP220" i="39" s="1"/>
  <c r="AO277" i="39"/>
  <c r="AP277" i="39" s="1"/>
  <c r="AW277" i="39" s="1"/>
  <c r="AO33" i="39"/>
  <c r="AP33" i="39" s="1"/>
  <c r="AW33" i="39" s="1"/>
  <c r="AO23" i="39"/>
  <c r="AP23" i="39" s="1"/>
  <c r="AO198" i="39"/>
  <c r="AO164" i="39"/>
  <c r="AP164" i="39" s="1"/>
  <c r="AO175" i="39"/>
  <c r="AP175" i="39" s="1"/>
  <c r="AW175" i="39" s="1"/>
  <c r="AO172" i="39"/>
  <c r="AP172" i="39" s="1"/>
  <c r="AW172" i="39" s="1"/>
  <c r="AO242" i="39"/>
  <c r="AP242" i="39" s="1"/>
  <c r="AO217" i="39"/>
  <c r="AP217" i="39" s="1"/>
  <c r="AO187" i="39"/>
  <c r="AP187" i="39" s="1"/>
  <c r="AW187" i="39" s="1"/>
  <c r="AO49" i="39"/>
  <c r="AP49" i="39" s="1"/>
  <c r="AO234" i="39"/>
  <c r="AP234" i="39" s="1"/>
  <c r="AO78" i="39"/>
  <c r="AP78" i="39" s="1"/>
  <c r="AW78" i="39" s="1"/>
  <c r="AO173" i="39"/>
  <c r="AP173" i="39" s="1"/>
  <c r="AO193" i="39"/>
  <c r="AP193" i="39" s="1"/>
  <c r="AW193" i="39" s="1"/>
  <c r="AO161" i="39"/>
  <c r="AP161" i="39" s="1"/>
  <c r="AW161" i="39" s="1"/>
  <c r="AO218" i="39"/>
  <c r="AP218" i="39" s="1"/>
  <c r="AO240" i="39"/>
  <c r="AP240" i="39" s="1"/>
  <c r="AO273" i="39"/>
  <c r="AP273" i="39" s="1"/>
  <c r="AO211" i="39"/>
  <c r="AO165" i="39"/>
  <c r="AP165" i="39" s="1"/>
  <c r="AW165" i="39" s="1"/>
  <c r="AO90" i="39"/>
  <c r="AP90" i="39" s="1"/>
  <c r="AO256" i="39"/>
  <c r="AP256" i="39" s="1"/>
  <c r="AO222" i="39"/>
  <c r="AP222" i="39" s="1"/>
  <c r="AO170" i="39"/>
  <c r="AP170" i="39" s="1"/>
  <c r="AO18" i="39"/>
  <c r="AP18" i="39" s="1"/>
  <c r="AW18" i="39" s="1"/>
  <c r="AO253" i="39"/>
  <c r="AP253" i="39" s="1"/>
  <c r="AO237" i="39"/>
  <c r="AP237" i="39" s="1"/>
  <c r="AW237" i="39" s="1"/>
  <c r="AO275" i="39"/>
  <c r="AP275" i="39" s="1"/>
  <c r="AO239" i="39"/>
  <c r="AP239" i="39" s="1"/>
  <c r="AW239" i="39" s="1"/>
  <c r="AO252" i="39"/>
  <c r="AP252" i="39" s="1"/>
  <c r="AO236" i="39"/>
  <c r="AP236" i="39" s="1"/>
  <c r="AO169" i="39"/>
  <c r="AP169" i="39" s="1"/>
  <c r="AO25" i="39"/>
  <c r="AP25" i="39" s="1"/>
  <c r="AO46" i="39"/>
  <c r="AP46" i="39" s="1"/>
  <c r="AO106" i="39"/>
  <c r="AP106" i="39" s="1"/>
  <c r="AO183" i="39"/>
  <c r="AP183" i="39" s="1"/>
  <c r="AW183" i="39" s="1"/>
  <c r="AO51" i="39"/>
  <c r="AP51" i="39" s="1"/>
  <c r="AO24" i="39"/>
  <c r="AP24" i="39" s="1"/>
  <c r="AW24" i="39" s="1"/>
  <c r="AO31" i="39"/>
  <c r="AP31" i="39" s="1"/>
  <c r="AO272" i="39"/>
  <c r="AP272" i="39" s="1"/>
  <c r="AO21" i="39"/>
  <c r="AP21" i="39" s="1"/>
  <c r="AO189" i="39"/>
  <c r="AP189" i="39" s="1"/>
  <c r="AO225" i="39"/>
  <c r="AP225" i="39" s="1"/>
  <c r="AO258" i="39"/>
  <c r="AP258" i="39" s="1"/>
  <c r="AW258" i="39" s="1"/>
  <c r="AO185" i="39"/>
  <c r="AP185" i="39" s="1"/>
  <c r="AW185" i="39" s="1"/>
  <c r="AO215" i="39"/>
  <c r="AP215" i="39" s="1"/>
  <c r="AO265" i="39"/>
  <c r="AP265" i="39" s="1"/>
  <c r="AO210" i="39"/>
  <c r="AO17" i="39"/>
  <c r="AP17" i="39" s="1"/>
  <c r="AO107" i="39"/>
  <c r="AP107" i="39" s="1"/>
  <c r="AW107" i="39" s="1"/>
  <c r="AO264" i="39"/>
  <c r="AP264" i="39" s="1"/>
  <c r="AO30" i="39"/>
  <c r="AP30" i="39" s="1"/>
  <c r="AW30" i="39" s="1"/>
  <c r="AO87" i="39"/>
  <c r="AP87" i="39" s="1"/>
  <c r="AW87" i="39" s="1"/>
  <c r="AO27" i="39"/>
  <c r="AP27" i="39" s="1"/>
  <c r="AO20" i="39"/>
  <c r="AP20" i="39" s="1"/>
  <c r="AW20" i="39" s="1"/>
  <c r="AO29" i="39"/>
  <c r="AX29" i="39" s="1"/>
  <c r="N40" i="9" s="1"/>
  <c r="AO255" i="39"/>
  <c r="AP255" i="39" s="1"/>
  <c r="AW255" i="39" s="1"/>
  <c r="AO105" i="39"/>
  <c r="AO48" i="39"/>
  <c r="AP48" i="39" s="1"/>
  <c r="AO37" i="39"/>
  <c r="AO186" i="39"/>
  <c r="AP186" i="39" s="1"/>
  <c r="AO22" i="39"/>
  <c r="AO166" i="39"/>
  <c r="AP166" i="39" s="1"/>
  <c r="AW166" i="39" s="1"/>
  <c r="AO19" i="39"/>
  <c r="AP19" i="39" s="1"/>
  <c r="AO102" i="39"/>
  <c r="AP102" i="39" s="1"/>
  <c r="AW102" i="39" s="1"/>
  <c r="AO100" i="39"/>
  <c r="AP100" i="39" s="1"/>
  <c r="AO238" i="39"/>
  <c r="AO182" i="39"/>
  <c r="AN83" i="45"/>
  <c r="AN87" i="45"/>
  <c r="AN88" i="45"/>
  <c r="AN89" i="45"/>
  <c r="AN90" i="45"/>
  <c r="AN91" i="45"/>
  <c r="AN92" i="45"/>
  <c r="AN94" i="45"/>
  <c r="AN95" i="45"/>
  <c r="AA77" i="45"/>
  <c r="AN85" i="45"/>
  <c r="AN68" i="45"/>
  <c r="AN69" i="45"/>
  <c r="AN70" i="45"/>
  <c r="AN71" i="45"/>
  <c r="AN72" i="45"/>
  <c r="AN73" i="45"/>
  <c r="AN93" i="45"/>
  <c r="AN77" i="45"/>
  <c r="AN78" i="45"/>
  <c r="AN79" i="45"/>
  <c r="AN80" i="45"/>
  <c r="AN81" i="45"/>
  <c r="AN82" i="45"/>
  <c r="AA71" i="45"/>
  <c r="AA80" i="45"/>
  <c r="AA74" i="45"/>
  <c r="AA83" i="45"/>
  <c r="AA68" i="45"/>
  <c r="AA79" i="45"/>
  <c r="Z92" i="45"/>
  <c r="AA67" i="45"/>
  <c r="AA76" i="45"/>
  <c r="AA82" i="45"/>
  <c r="AB73" i="45"/>
  <c r="AB79" i="45"/>
  <c r="AA92" i="45"/>
  <c r="AA66" i="45"/>
  <c r="AA75" i="45"/>
  <c r="Z84" i="45"/>
  <c r="Z88" i="45"/>
  <c r="Z90" i="45"/>
  <c r="AB66" i="45"/>
  <c r="AB69" i="45"/>
  <c r="AB72" i="45"/>
  <c r="AB75" i="45"/>
  <c r="AB78" i="45"/>
  <c r="AB81" i="45"/>
  <c r="Z85" i="45"/>
  <c r="Z87" i="45"/>
  <c r="Z89" i="45"/>
  <c r="Z91" i="45"/>
  <c r="Z93" i="45"/>
  <c r="Z95" i="45"/>
  <c r="AA70" i="45"/>
  <c r="AA73" i="45"/>
  <c r="AB82" i="45"/>
  <c r="AA88" i="45"/>
  <c r="AA90" i="45"/>
  <c r="AB84" i="45"/>
  <c r="AB92" i="45"/>
  <c r="AA78" i="45"/>
  <c r="AA81" i="45"/>
  <c r="AB67" i="45"/>
  <c r="AB70" i="45"/>
  <c r="AB76" i="45"/>
  <c r="Z86" i="45"/>
  <c r="Z94" i="45"/>
  <c r="AA86" i="45"/>
  <c r="AB86" i="45"/>
  <c r="AB88" i="45"/>
  <c r="AB90" i="45"/>
  <c r="AB94" i="45"/>
  <c r="AA69" i="45"/>
  <c r="AA72" i="45"/>
  <c r="AB68" i="45"/>
  <c r="AB71" i="45"/>
  <c r="AB74" i="45"/>
  <c r="AB77" i="45"/>
  <c r="AB80" i="45"/>
  <c r="AB83" i="45"/>
  <c r="AB85" i="45"/>
  <c r="AB87" i="45"/>
  <c r="AB89" i="45"/>
  <c r="AB91" i="45"/>
  <c r="AB93" i="45"/>
  <c r="AB95" i="45"/>
  <c r="AX253" i="39" l="1"/>
  <c r="AW253" i="39"/>
  <c r="AX252" i="39"/>
  <c r="AW252" i="39"/>
  <c r="AX263" i="39"/>
  <c r="AW263" i="39"/>
  <c r="AX279" i="39"/>
  <c r="AW279" i="39"/>
  <c r="AX266" i="39"/>
  <c r="AW266" i="39"/>
  <c r="AX245" i="39"/>
  <c r="AW245" i="39"/>
  <c r="AX265" i="39"/>
  <c r="AW265" i="39"/>
  <c r="AX222" i="39"/>
  <c r="AW222" i="39"/>
  <c r="AW268" i="39"/>
  <c r="AX221" i="39"/>
  <c r="AW221" i="39"/>
  <c r="AX278" i="39"/>
  <c r="AW278" i="39"/>
  <c r="AX226" i="39"/>
  <c r="AW226" i="39"/>
  <c r="AX236" i="39"/>
  <c r="AW236" i="39"/>
  <c r="AX217" i="39"/>
  <c r="AW217" i="39"/>
  <c r="AX254" i="39"/>
  <c r="AW254" i="39"/>
  <c r="AX215" i="39"/>
  <c r="AW215" i="39"/>
  <c r="AX262" i="39"/>
  <c r="AW262" i="39"/>
  <c r="AX256" i="39"/>
  <c r="AW256" i="39"/>
  <c r="AX234" i="39"/>
  <c r="AW234" i="39"/>
  <c r="AX220" i="39"/>
  <c r="AW220" i="39"/>
  <c r="AX225" i="39"/>
  <c r="AW225" i="39"/>
  <c r="AX240" i="39"/>
  <c r="AW240" i="39"/>
  <c r="AX272" i="39"/>
  <c r="AW272" i="39"/>
  <c r="AX275" i="39"/>
  <c r="AW275" i="39"/>
  <c r="AZ218" i="39"/>
  <c r="AW218" i="39"/>
  <c r="AX219" i="39"/>
  <c r="AW219" i="39"/>
  <c r="AX216" i="39"/>
  <c r="AW216" i="39"/>
  <c r="AX264" i="39"/>
  <c r="AW264" i="39"/>
  <c r="AX242" i="39"/>
  <c r="AW242" i="39"/>
  <c r="AX224" i="39"/>
  <c r="AW224" i="39"/>
  <c r="AX273" i="39"/>
  <c r="AW273" i="39"/>
  <c r="AX274" i="39"/>
  <c r="AW274" i="39"/>
  <c r="AX170" i="39"/>
  <c r="AW170" i="39"/>
  <c r="AX173" i="39"/>
  <c r="AW173" i="39"/>
  <c r="AX50" i="39"/>
  <c r="AW50" i="39"/>
  <c r="AT8" i="39"/>
  <c r="AU8" i="39" s="1"/>
  <c r="AW8" i="39"/>
  <c r="AX80" i="39"/>
  <c r="AW80" i="39"/>
  <c r="AX48" i="39"/>
  <c r="AW48" i="39"/>
  <c r="AX106" i="39"/>
  <c r="AW106" i="39"/>
  <c r="AX39" i="39"/>
  <c r="AW39" i="39"/>
  <c r="AT25" i="39"/>
  <c r="AU25" i="39" s="1"/>
  <c r="AW25" i="39"/>
  <c r="AX90" i="39"/>
  <c r="AW90" i="39"/>
  <c r="AT49" i="39"/>
  <c r="AU49" i="39" s="1"/>
  <c r="AW49" i="39"/>
  <c r="AT53" i="39"/>
  <c r="AU53" i="39" s="1"/>
  <c r="AW53" i="39"/>
  <c r="AX109" i="39"/>
  <c r="AW109" i="39"/>
  <c r="AX60" i="39"/>
  <c r="AW60" i="39"/>
  <c r="AX85" i="39"/>
  <c r="N59" i="9" s="1"/>
  <c r="AW85" i="39"/>
  <c r="AT59" i="39"/>
  <c r="AU59" i="39" s="1"/>
  <c r="AW59" i="39"/>
  <c r="AX95" i="39"/>
  <c r="AW95" i="39"/>
  <c r="AX180" i="39"/>
  <c r="AW180" i="39"/>
  <c r="AX26" i="39"/>
  <c r="AW26" i="39"/>
  <c r="AX58" i="39"/>
  <c r="AW58" i="39"/>
  <c r="AX54" i="39"/>
  <c r="AW54" i="39"/>
  <c r="AX46" i="39"/>
  <c r="AW46" i="39"/>
  <c r="AX56" i="39"/>
  <c r="AW56" i="39"/>
  <c r="AX184" i="39"/>
  <c r="AW184" i="39"/>
  <c r="AX57" i="39"/>
  <c r="AW57" i="39"/>
  <c r="AX171" i="39"/>
  <c r="AW171" i="39"/>
  <c r="AX77" i="39"/>
  <c r="AW77" i="39"/>
  <c r="AX108" i="39"/>
  <c r="AW108" i="39"/>
  <c r="AZ100" i="39"/>
  <c r="AW100" i="39"/>
  <c r="AT27" i="39"/>
  <c r="AU27" i="39" s="1"/>
  <c r="AW27" i="39"/>
  <c r="AX189" i="39"/>
  <c r="AW189" i="39"/>
  <c r="AX188" i="39"/>
  <c r="AW188" i="39"/>
  <c r="AX110" i="39"/>
  <c r="AW110" i="39"/>
  <c r="AT21" i="39"/>
  <c r="AU21" i="39" s="1"/>
  <c r="AW21" i="39"/>
  <c r="AT55" i="39"/>
  <c r="AU55" i="39" s="1"/>
  <c r="AW55" i="39"/>
  <c r="AT31" i="39"/>
  <c r="AU31" i="39" s="1"/>
  <c r="AW31" i="39"/>
  <c r="AX164" i="39"/>
  <c r="AW164" i="39"/>
  <c r="AX52" i="39"/>
  <c r="AW52" i="39"/>
  <c r="AX10" i="39"/>
  <c r="AW10" i="39"/>
  <c r="AX169" i="39"/>
  <c r="AW169" i="39"/>
  <c r="AT19" i="39"/>
  <c r="AU19" i="39" s="1"/>
  <c r="AW19" i="39"/>
  <c r="AX179" i="39"/>
  <c r="AW179" i="39"/>
  <c r="AX101" i="39"/>
  <c r="AW101" i="39"/>
  <c r="AX28" i="39"/>
  <c r="AW28" i="39"/>
  <c r="AX186" i="39"/>
  <c r="AW186" i="39"/>
  <c r="AT17" i="39"/>
  <c r="AU17" i="39" s="1"/>
  <c r="AW17" i="39"/>
  <c r="AT51" i="39"/>
  <c r="AU51" i="39" s="1"/>
  <c r="AW51" i="39"/>
  <c r="AX23" i="39"/>
  <c r="AW23" i="39"/>
  <c r="AZ88" i="39"/>
  <c r="AW88" i="39"/>
  <c r="AX190" i="39"/>
  <c r="AW190" i="39"/>
  <c r="AR8" i="39"/>
  <c r="AS8" i="39" s="1"/>
  <c r="AT56" i="39"/>
  <c r="AU56" i="39" s="1"/>
  <c r="AT48" i="39"/>
  <c r="AU48" i="39" s="1"/>
  <c r="AT46" i="39"/>
  <c r="AU46" i="39" s="1"/>
  <c r="AT58" i="39"/>
  <c r="AU58" i="39" s="1"/>
  <c r="AT23" i="39"/>
  <c r="AU23" i="39" s="1"/>
  <c r="AT10" i="39"/>
  <c r="AU10" i="39" s="1"/>
  <c r="AT39" i="39"/>
  <c r="AU39" i="39" s="1"/>
  <c r="AT54" i="39"/>
  <c r="AU54" i="39" s="1"/>
  <c r="AT88" i="39"/>
  <c r="AU88" i="39" s="1"/>
  <c r="AT52" i="39"/>
  <c r="AU52" i="39" s="1"/>
  <c r="AT60" i="39"/>
  <c r="AU60" i="39" s="1"/>
  <c r="AX33" i="39"/>
  <c r="AT33" i="39"/>
  <c r="AU33" i="39" s="1"/>
  <c r="AT50" i="39"/>
  <c r="AU50" i="39" s="1"/>
  <c r="AT57" i="39"/>
  <c r="AU57" i="39" s="1"/>
  <c r="AP407" i="44"/>
  <c r="AW407" i="44" s="1"/>
  <c r="AP411" i="44"/>
  <c r="AW411" i="44" s="1"/>
  <c r="AP409" i="44"/>
  <c r="AW409" i="44" s="1"/>
  <c r="AP413" i="44"/>
  <c r="AW413" i="44" s="1"/>
  <c r="AP410" i="44"/>
  <c r="AW410" i="44" s="1"/>
  <c r="AP412" i="44"/>
  <c r="AW412" i="44" s="1"/>
  <c r="AP408" i="44"/>
  <c r="AP414" i="44"/>
  <c r="AW414" i="44" s="1"/>
  <c r="AX88" i="39"/>
  <c r="AO73" i="45"/>
  <c r="AP73" i="45" s="1"/>
  <c r="AO81" i="45"/>
  <c r="AP81" i="45" s="1"/>
  <c r="AW81" i="45" s="1"/>
  <c r="AZ165" i="39"/>
  <c r="AX165" i="39"/>
  <c r="AZ277" i="39"/>
  <c r="AX277" i="39"/>
  <c r="AZ261" i="39"/>
  <c r="AX261" i="39"/>
  <c r="AZ223" i="39"/>
  <c r="AX223" i="39"/>
  <c r="AX100" i="39"/>
  <c r="AZ21" i="39"/>
  <c r="AX21" i="39"/>
  <c r="AZ49" i="39"/>
  <c r="AX49" i="39"/>
  <c r="AZ178" i="39"/>
  <c r="AX178" i="39"/>
  <c r="AZ276" i="39"/>
  <c r="AX276" i="39"/>
  <c r="AZ241" i="39"/>
  <c r="AX241" i="39"/>
  <c r="AZ192" i="39"/>
  <c r="AX192" i="39"/>
  <c r="AZ19" i="39"/>
  <c r="AX19" i="39"/>
  <c r="AZ20" i="39"/>
  <c r="AX20" i="39"/>
  <c r="AZ24" i="39"/>
  <c r="AX24" i="39"/>
  <c r="AZ86" i="39"/>
  <c r="X63" i="9" s="1"/>
  <c r="AX86" i="39"/>
  <c r="AZ79" i="39"/>
  <c r="X53" i="9" s="1"/>
  <c r="AX79" i="39"/>
  <c r="AZ243" i="39"/>
  <c r="AX243" i="39"/>
  <c r="AZ255" i="39"/>
  <c r="AX255" i="39"/>
  <c r="AZ187" i="39"/>
  <c r="AX187" i="39"/>
  <c r="AZ31" i="39"/>
  <c r="AX31" i="39"/>
  <c r="AZ87" i="39"/>
  <c r="AX87" i="39"/>
  <c r="AZ183" i="39"/>
  <c r="AX183" i="39"/>
  <c r="AZ257" i="39"/>
  <c r="AX257" i="39"/>
  <c r="AZ8" i="39"/>
  <c r="AX8" i="39"/>
  <c r="N34" i="9" s="1"/>
  <c r="AZ91" i="39"/>
  <c r="AX91" i="39"/>
  <c r="AZ103" i="39"/>
  <c r="AX103" i="39"/>
  <c r="AZ172" i="39"/>
  <c r="AX172" i="39"/>
  <c r="AZ175" i="39"/>
  <c r="AX175" i="39"/>
  <c r="AZ185" i="39"/>
  <c r="AX185" i="39"/>
  <c r="AZ18" i="39"/>
  <c r="AX18" i="39"/>
  <c r="AZ30" i="39"/>
  <c r="AX30" i="39"/>
  <c r="AZ258" i="39"/>
  <c r="AX258" i="39"/>
  <c r="AZ193" i="39"/>
  <c r="AX193" i="39"/>
  <c r="AZ181" i="39"/>
  <c r="AX181" i="39"/>
  <c r="AZ246" i="39"/>
  <c r="AX246" i="39"/>
  <c r="AZ269" i="39"/>
  <c r="AX269" i="39"/>
  <c r="AZ267" i="39"/>
  <c r="AX267" i="39"/>
  <c r="AZ239" i="39"/>
  <c r="AX239" i="39"/>
  <c r="AZ53" i="39"/>
  <c r="AX53" i="39"/>
  <c r="AZ94" i="39"/>
  <c r="AX94" i="39"/>
  <c r="AZ27" i="39"/>
  <c r="AX27" i="39"/>
  <c r="AZ191" i="39"/>
  <c r="AX191" i="39"/>
  <c r="AZ107" i="39"/>
  <c r="AX107" i="39"/>
  <c r="AZ59" i="39"/>
  <c r="AX59" i="39"/>
  <c r="AZ102" i="39"/>
  <c r="AX102" i="39"/>
  <c r="AZ51" i="39"/>
  <c r="AX51" i="39"/>
  <c r="AZ25" i="39"/>
  <c r="AX25" i="39"/>
  <c r="N39" i="9" s="1"/>
  <c r="AZ78" i="39"/>
  <c r="AX78" i="39"/>
  <c r="N48" i="9" s="1"/>
  <c r="AZ55" i="39"/>
  <c r="AX55" i="39"/>
  <c r="AZ244" i="39"/>
  <c r="AX244" i="39"/>
  <c r="AZ17" i="39"/>
  <c r="AX17" i="39"/>
  <c r="AX218" i="39"/>
  <c r="AO74" i="45"/>
  <c r="AP74" i="45" s="1"/>
  <c r="AW74" i="45" s="1"/>
  <c r="AR169" i="39"/>
  <c r="AS169" i="39" s="1"/>
  <c r="AZ169" i="39"/>
  <c r="AR90" i="39"/>
  <c r="AS90" i="39" s="1"/>
  <c r="AZ90" i="39"/>
  <c r="AR23" i="39"/>
  <c r="AS23" i="39" s="1"/>
  <c r="AZ23" i="39"/>
  <c r="BC184" i="39"/>
  <c r="AZ184" i="39"/>
  <c r="AR60" i="39"/>
  <c r="AS60" i="39" s="1"/>
  <c r="AZ60" i="39"/>
  <c r="BC236" i="39"/>
  <c r="AZ236" i="39"/>
  <c r="AR234" i="39"/>
  <c r="AS234" i="39" s="1"/>
  <c r="AZ234" i="39"/>
  <c r="AZ33" i="39"/>
  <c r="X32" i="9" s="1"/>
  <c r="AR80" i="39"/>
  <c r="AS80" i="39" s="1"/>
  <c r="AZ80" i="39"/>
  <c r="AV179" i="39"/>
  <c r="AZ179" i="39"/>
  <c r="BC256" i="39"/>
  <c r="AZ256" i="39"/>
  <c r="AR266" i="39"/>
  <c r="AS266" i="39" s="1"/>
  <c r="AZ266" i="39"/>
  <c r="AR245" i="39"/>
  <c r="AS245" i="39" s="1"/>
  <c r="AZ245" i="39"/>
  <c r="AZ52" i="39"/>
  <c r="AR263" i="39"/>
  <c r="AS263" i="39" s="1"/>
  <c r="AZ263" i="39"/>
  <c r="AR240" i="39"/>
  <c r="AS240" i="39" s="1"/>
  <c r="AZ240" i="39"/>
  <c r="AR217" i="39"/>
  <c r="AS217" i="39" s="1"/>
  <c r="AZ217" i="39"/>
  <c r="AR220" i="39"/>
  <c r="AS220" i="39" s="1"/>
  <c r="AZ220" i="39"/>
  <c r="AR268" i="39"/>
  <c r="AS268" i="39" s="1"/>
  <c r="AZ268" i="39"/>
  <c r="AR221" i="39"/>
  <c r="AS221" i="39" s="1"/>
  <c r="AZ221" i="39"/>
  <c r="BC279" i="39"/>
  <c r="AZ279" i="39"/>
  <c r="AR108" i="39"/>
  <c r="AS108" i="39" s="1"/>
  <c r="AZ108" i="39"/>
  <c r="AR57" i="39"/>
  <c r="AS57" i="39" s="1"/>
  <c r="AZ57" i="39"/>
  <c r="AR162" i="39"/>
  <c r="AS162" i="39" s="1"/>
  <c r="BC190" i="39"/>
  <c r="AZ190" i="39"/>
  <c r="BC252" i="39"/>
  <c r="AZ252" i="39"/>
  <c r="AR215" i="39"/>
  <c r="AS215" i="39" s="1"/>
  <c r="AZ215" i="39"/>
  <c r="AR101" i="39"/>
  <c r="AS101" i="39" s="1"/>
  <c r="AZ101" i="39"/>
  <c r="BC225" i="39"/>
  <c r="AZ225" i="39"/>
  <c r="BC216" i="39"/>
  <c r="AZ216" i="39"/>
  <c r="AR174" i="39"/>
  <c r="AS174" i="39" s="1"/>
  <c r="AR189" i="39"/>
  <c r="AS189" i="39" s="1"/>
  <c r="AZ189" i="39"/>
  <c r="BC54" i="39"/>
  <c r="AZ54" i="39"/>
  <c r="AR272" i="39"/>
  <c r="AS272" i="39" s="1"/>
  <c r="AZ272" i="39"/>
  <c r="AR242" i="39"/>
  <c r="AS242" i="39" s="1"/>
  <c r="AZ242" i="39"/>
  <c r="AR237" i="39"/>
  <c r="AS237" i="39" s="1"/>
  <c r="AR95" i="39"/>
  <c r="AS95" i="39" s="1"/>
  <c r="AZ95" i="39"/>
  <c r="AR262" i="39"/>
  <c r="AS262" i="39" s="1"/>
  <c r="AZ262" i="39"/>
  <c r="AR247" i="39"/>
  <c r="AS247" i="39" s="1"/>
  <c r="AR260" i="39"/>
  <c r="AS260" i="39" s="1"/>
  <c r="AR253" i="39"/>
  <c r="AS253" i="39" s="1"/>
  <c r="AZ253" i="39"/>
  <c r="AZ56" i="39"/>
  <c r="AZ224" i="39"/>
  <c r="AR180" i="39"/>
  <c r="AS180" i="39" s="1"/>
  <c r="AZ180" i="39"/>
  <c r="BC278" i="39"/>
  <c r="AZ278" i="39"/>
  <c r="BC50" i="39"/>
  <c r="AZ50" i="39"/>
  <c r="AZ171" i="39"/>
  <c r="AR110" i="39"/>
  <c r="AS110" i="39" s="1"/>
  <c r="AZ110" i="39"/>
  <c r="BC58" i="39"/>
  <c r="AZ58" i="39"/>
  <c r="AR273" i="39"/>
  <c r="AS273" i="39" s="1"/>
  <c r="AZ273" i="39"/>
  <c r="AZ85" i="39"/>
  <c r="X64" i="9" s="1"/>
  <c r="AR186" i="39"/>
  <c r="AS186" i="39" s="1"/>
  <c r="AZ186" i="39"/>
  <c r="BC254" i="39"/>
  <c r="AZ254" i="39"/>
  <c r="AR259" i="39"/>
  <c r="AS259" i="39" s="1"/>
  <c r="AR10" i="39"/>
  <c r="AS10" i="39" s="1"/>
  <c r="AZ10" i="39"/>
  <c r="AR226" i="39"/>
  <c r="AS226" i="39" s="1"/>
  <c r="AZ226" i="39"/>
  <c r="AR77" i="39"/>
  <c r="AS77" i="39" s="1"/>
  <c r="AZ77" i="39"/>
  <c r="AR274" i="39"/>
  <c r="AS274" i="39" s="1"/>
  <c r="AZ274" i="39"/>
  <c r="AR265" i="39"/>
  <c r="AS265" i="39" s="1"/>
  <c r="AZ265" i="39"/>
  <c r="AU29" i="39"/>
  <c r="AZ29" i="39"/>
  <c r="X41" i="9" s="1"/>
  <c r="AR275" i="39"/>
  <c r="AS275" i="39" s="1"/>
  <c r="AZ275" i="39"/>
  <c r="AR106" i="39"/>
  <c r="AS106" i="39" s="1"/>
  <c r="AZ106" i="39"/>
  <c r="BC170" i="39"/>
  <c r="AZ170" i="39"/>
  <c r="AR188" i="39"/>
  <c r="AS188" i="39" s="1"/>
  <c r="AZ188" i="39"/>
  <c r="BC48" i="39"/>
  <c r="AZ48" i="39"/>
  <c r="BC264" i="39"/>
  <c r="AZ264" i="39"/>
  <c r="AR46" i="39"/>
  <c r="AS46" i="39" s="1"/>
  <c r="AZ46" i="39"/>
  <c r="AR222" i="39"/>
  <c r="AS222" i="39" s="1"/>
  <c r="AZ222" i="39"/>
  <c r="AR173" i="39"/>
  <c r="AS173" i="39" s="1"/>
  <c r="AZ173" i="39"/>
  <c r="AR164" i="39"/>
  <c r="AS164" i="39" s="1"/>
  <c r="AZ164" i="39"/>
  <c r="AR219" i="39"/>
  <c r="AS219" i="39" s="1"/>
  <c r="AZ219" i="39"/>
  <c r="AR109" i="39"/>
  <c r="AS109" i="39" s="1"/>
  <c r="AZ109" i="39"/>
  <c r="AV39" i="39"/>
  <c r="AZ39" i="39"/>
  <c r="BC26" i="39"/>
  <c r="AZ26" i="39"/>
  <c r="AR28" i="39"/>
  <c r="AS28" i="39" s="1"/>
  <c r="AZ28" i="39"/>
  <c r="AO82" i="45"/>
  <c r="AP82" i="45" s="1"/>
  <c r="AW82" i="45" s="1"/>
  <c r="AO83" i="45"/>
  <c r="AP83" i="45" s="1"/>
  <c r="AW83" i="45" s="1"/>
  <c r="AO66" i="45"/>
  <c r="AP66" i="45" s="1"/>
  <c r="AW66" i="45" s="1"/>
  <c r="AO85" i="45"/>
  <c r="AP85" i="45" s="1"/>
  <c r="AW85" i="45" s="1"/>
  <c r="AO79" i="45"/>
  <c r="AP79" i="45" s="1"/>
  <c r="AW79" i="45" s="1"/>
  <c r="AO76" i="45"/>
  <c r="AP76" i="45" s="1"/>
  <c r="AW76" i="45" s="1"/>
  <c r="AO70" i="45"/>
  <c r="AP70" i="45" s="1"/>
  <c r="AW70" i="45" s="1"/>
  <c r="AO68" i="45"/>
  <c r="AP68" i="45" s="1"/>
  <c r="AW68" i="45" s="1"/>
  <c r="AO80" i="45"/>
  <c r="AP80" i="45" s="1"/>
  <c r="AW80" i="45" s="1"/>
  <c r="AO69" i="45"/>
  <c r="AP69" i="45" s="1"/>
  <c r="AW69" i="45" s="1"/>
  <c r="AO78" i="45"/>
  <c r="AP78" i="45" s="1"/>
  <c r="AW78" i="45" s="1"/>
  <c r="AO87" i="45"/>
  <c r="AP87" i="45" s="1"/>
  <c r="AW87" i="45" s="1"/>
  <c r="AP92" i="39"/>
  <c r="AW92" i="39" s="1"/>
  <c r="AV54" i="39"/>
  <c r="AQ171" i="39"/>
  <c r="AR277" i="39"/>
  <c r="AS277" i="39" s="1"/>
  <c r="AR56" i="39"/>
  <c r="AS56" i="39" s="1"/>
  <c r="AR190" i="39"/>
  <c r="AS190" i="39" s="1"/>
  <c r="AR87" i="39"/>
  <c r="AS87" i="39" s="1"/>
  <c r="AR21" i="39"/>
  <c r="AS21" i="39" s="1"/>
  <c r="AR50" i="39"/>
  <c r="AS50" i="39" s="1"/>
  <c r="AR193" i="39"/>
  <c r="AS193" i="39" s="1"/>
  <c r="AR255" i="39"/>
  <c r="AS255" i="39" s="1"/>
  <c r="AR252" i="39"/>
  <c r="AS252" i="39" s="1"/>
  <c r="AR52" i="39"/>
  <c r="AS52" i="39" s="1"/>
  <c r="AR54" i="39"/>
  <c r="AS54" i="39" s="1"/>
  <c r="AR55" i="39"/>
  <c r="AS55" i="39" s="1"/>
  <c r="AR216" i="39"/>
  <c r="AS216" i="39" s="1"/>
  <c r="AR176" i="39"/>
  <c r="AS176" i="39" s="1"/>
  <c r="AR191" i="39"/>
  <c r="AS191" i="39" s="1"/>
  <c r="AR19" i="39"/>
  <c r="AS19" i="39" s="1"/>
  <c r="AR241" i="39"/>
  <c r="AS241" i="39" s="1"/>
  <c r="AR107" i="39"/>
  <c r="AS107" i="39" s="1"/>
  <c r="BC94" i="39"/>
  <c r="BC91" i="39"/>
  <c r="AR172" i="39"/>
  <c r="AS172" i="39" s="1"/>
  <c r="AR85" i="39"/>
  <c r="AS85" i="39" s="1"/>
  <c r="AR243" i="39"/>
  <c r="AS243" i="39" s="1"/>
  <c r="AR178" i="39"/>
  <c r="AS178" i="39" s="1"/>
  <c r="AR31" i="39"/>
  <c r="AS31" i="39" s="1"/>
  <c r="AR254" i="39"/>
  <c r="AS254" i="39" s="1"/>
  <c r="AR192" i="39"/>
  <c r="AS192" i="39" s="1"/>
  <c r="AR27" i="39"/>
  <c r="AS27" i="39" s="1"/>
  <c r="BC239" i="39"/>
  <c r="AR239" i="39"/>
  <c r="AS239" i="39" s="1"/>
  <c r="AR166" i="39"/>
  <c r="AS166" i="39" s="1"/>
  <c r="AR223" i="39"/>
  <c r="AS223" i="39" s="1"/>
  <c r="AR48" i="39"/>
  <c r="AS48" i="39" s="1"/>
  <c r="AR49" i="39"/>
  <c r="AS49" i="39" s="1"/>
  <c r="BC269" i="39"/>
  <c r="AR269" i="39"/>
  <c r="AS269" i="39" s="1"/>
  <c r="AR258" i="39"/>
  <c r="AS258" i="39" s="1"/>
  <c r="AR276" i="39"/>
  <c r="AS276" i="39" s="1"/>
  <c r="AR181" i="39"/>
  <c r="AS181" i="39" s="1"/>
  <c r="AR279" i="39"/>
  <c r="AS279" i="39" s="1"/>
  <c r="BC30" i="39"/>
  <c r="AR30" i="39"/>
  <c r="AS30" i="39" s="1"/>
  <c r="AR100" i="39"/>
  <c r="AS100" i="39" s="1"/>
  <c r="AR88" i="39"/>
  <c r="AS88" i="39" s="1"/>
  <c r="AR102" i="39"/>
  <c r="AS102" i="39" s="1"/>
  <c r="AR187" i="39"/>
  <c r="AS187" i="39" s="1"/>
  <c r="AR264" i="39"/>
  <c r="AS264" i="39" s="1"/>
  <c r="AR278" i="39"/>
  <c r="AS278" i="39" s="1"/>
  <c r="AR175" i="39"/>
  <c r="AS175" i="39" s="1"/>
  <c r="BC18" i="39"/>
  <c r="AR18" i="39"/>
  <c r="AS18" i="39" s="1"/>
  <c r="AR17" i="39"/>
  <c r="AS17" i="39" s="1"/>
  <c r="AR261" i="39"/>
  <c r="AS261" i="39" s="1"/>
  <c r="AR25" i="39"/>
  <c r="AS25" i="39" s="1"/>
  <c r="AR103" i="39"/>
  <c r="AS103" i="39" s="1"/>
  <c r="AR51" i="39"/>
  <c r="AS51" i="39" s="1"/>
  <c r="AR33" i="39"/>
  <c r="AS33" i="39" s="1"/>
  <c r="AR183" i="39"/>
  <c r="AS183" i="39" s="1"/>
  <c r="AR94" i="39"/>
  <c r="AS94" i="39" s="1"/>
  <c r="AR218" i="39"/>
  <c r="AS218" i="39" s="1"/>
  <c r="AR184" i="39"/>
  <c r="AS184" i="39" s="1"/>
  <c r="BC80" i="39"/>
  <c r="BC79" i="39"/>
  <c r="AR79" i="39"/>
  <c r="AS79" i="39" s="1"/>
  <c r="AV246" i="39"/>
  <c r="AR246" i="39"/>
  <c r="AS246" i="39" s="1"/>
  <c r="AR224" i="39"/>
  <c r="AS224" i="39" s="1"/>
  <c r="AR171" i="39"/>
  <c r="AS171" i="39" s="1"/>
  <c r="AR53" i="39"/>
  <c r="AS53" i="39" s="1"/>
  <c r="AR170" i="39"/>
  <c r="AS170" i="39" s="1"/>
  <c r="AR177" i="39"/>
  <c r="AS177" i="39" s="1"/>
  <c r="AR58" i="39"/>
  <c r="AS58" i="39" s="1"/>
  <c r="AR185" i="39"/>
  <c r="AS185" i="39" s="1"/>
  <c r="AR163" i="39"/>
  <c r="AS163" i="39" s="1"/>
  <c r="AR161" i="39"/>
  <c r="AS161" i="39" s="1"/>
  <c r="BC29" i="39"/>
  <c r="AR29" i="39"/>
  <c r="AS29" i="39" s="1"/>
  <c r="AR267" i="39"/>
  <c r="AS267" i="39" s="1"/>
  <c r="AR91" i="39"/>
  <c r="AS91" i="39" s="1"/>
  <c r="AR39" i="39"/>
  <c r="AS39" i="39" s="1"/>
  <c r="AR256" i="39"/>
  <c r="AS256" i="39" s="1"/>
  <c r="AR59" i="39"/>
  <c r="AS59" i="39" s="1"/>
  <c r="AR86" i="39"/>
  <c r="AS86" i="39" s="1"/>
  <c r="AR257" i="39"/>
  <c r="AS257" i="39" s="1"/>
  <c r="AR24" i="39"/>
  <c r="AS24" i="39" s="1"/>
  <c r="AV171" i="39"/>
  <c r="AR20" i="39"/>
  <c r="AS20" i="39" s="1"/>
  <c r="BC165" i="39"/>
  <c r="AR165" i="39"/>
  <c r="AS165" i="39" s="1"/>
  <c r="AR78" i="39"/>
  <c r="AS78" i="39" s="1"/>
  <c r="BC28" i="39"/>
  <c r="AV244" i="39"/>
  <c r="AR244" i="39"/>
  <c r="AS244" i="39" s="1"/>
  <c r="BC226" i="39"/>
  <c r="BC57" i="39"/>
  <c r="AR225" i="39"/>
  <c r="AS225" i="39" s="1"/>
  <c r="AR236" i="39"/>
  <c r="AS236" i="39" s="1"/>
  <c r="AR26" i="39"/>
  <c r="AS26" i="39" s="1"/>
  <c r="AR179" i="39"/>
  <c r="AS179" i="39" s="1"/>
  <c r="BC171" i="39"/>
  <c r="AQ54" i="39"/>
  <c r="AV57" i="39"/>
  <c r="AV243" i="39"/>
  <c r="AV94" i="39"/>
  <c r="AV85" i="39"/>
  <c r="BC60" i="39"/>
  <c r="BC85" i="39"/>
  <c r="AQ60" i="39"/>
  <c r="AQ94" i="39"/>
  <c r="AQ85" i="39"/>
  <c r="AQ184" i="39"/>
  <c r="AQ57" i="39"/>
  <c r="AO72" i="45"/>
  <c r="AP72" i="45" s="1"/>
  <c r="AW72" i="45" s="1"/>
  <c r="AO75" i="45"/>
  <c r="AP75" i="45" s="1"/>
  <c r="AW75" i="45" s="1"/>
  <c r="AO77" i="45"/>
  <c r="AP77" i="45" s="1"/>
  <c r="AW77" i="45" s="1"/>
  <c r="AO67" i="45"/>
  <c r="AP67" i="45" s="1"/>
  <c r="AW67" i="45" s="1"/>
  <c r="AO71" i="45"/>
  <c r="AP71" i="45" s="1"/>
  <c r="AW71" i="45" s="1"/>
  <c r="AO88" i="45"/>
  <c r="AP88" i="45" s="1"/>
  <c r="AW88" i="45" s="1"/>
  <c r="AO84" i="45"/>
  <c r="AP84" i="45" s="1"/>
  <c r="AW84" i="45" s="1"/>
  <c r="AO86" i="45"/>
  <c r="AP86" i="45" s="1"/>
  <c r="AW86" i="45" s="1"/>
  <c r="AO92" i="45"/>
  <c r="AP92" i="45" s="1"/>
  <c r="AW92" i="45" s="1"/>
  <c r="AO89" i="45"/>
  <c r="AP89" i="45" s="1"/>
  <c r="AW89" i="45" s="1"/>
  <c r="BC39" i="39"/>
  <c r="AV191" i="39"/>
  <c r="AQ243" i="39"/>
  <c r="AV184" i="39"/>
  <c r="AV10" i="39"/>
  <c r="AQ10" i="39"/>
  <c r="BC191" i="39"/>
  <c r="AQ191" i="39"/>
  <c r="AV60" i="39"/>
  <c r="AV226" i="39"/>
  <c r="BC243" i="39"/>
  <c r="AQ39" i="39"/>
  <c r="AQ177" i="39"/>
  <c r="AV101" i="39"/>
  <c r="BC101" i="39"/>
  <c r="AQ101" i="39"/>
  <c r="AV58" i="39"/>
  <c r="AV177" i="39"/>
  <c r="AQ58" i="39"/>
  <c r="AV174" i="39"/>
  <c r="AQ174" i="39"/>
  <c r="AV26" i="39"/>
  <c r="AQ50" i="39"/>
  <c r="AQ226" i="39"/>
  <c r="AV50" i="39"/>
  <c r="AQ26" i="39"/>
  <c r="AQ276" i="39"/>
  <c r="BC276" i="39"/>
  <c r="AQ110" i="39"/>
  <c r="BC110" i="39"/>
  <c r="BC8" i="39"/>
  <c r="AQ27" i="39"/>
  <c r="BC27" i="39"/>
  <c r="AQ51" i="39"/>
  <c r="BC51" i="39"/>
  <c r="AV267" i="39"/>
  <c r="BC267" i="39"/>
  <c r="AV245" i="39"/>
  <c r="BC245" i="39"/>
  <c r="BC55" i="39"/>
  <c r="AQ223" i="39"/>
  <c r="BC223" i="39"/>
  <c r="BC183" i="39"/>
  <c r="BC222" i="39"/>
  <c r="BC234" i="39"/>
  <c r="BC221" i="39"/>
  <c r="AQ179" i="39"/>
  <c r="BC179" i="39"/>
  <c r="BC59" i="39"/>
  <c r="BC186" i="39"/>
  <c r="AQ106" i="39"/>
  <c r="BC106" i="39"/>
  <c r="BC49" i="39"/>
  <c r="AQ219" i="39"/>
  <c r="BC219" i="39"/>
  <c r="BC180" i="39"/>
  <c r="BC52" i="39"/>
  <c r="BC185" i="39"/>
  <c r="BC164" i="39"/>
  <c r="AQ77" i="39"/>
  <c r="BC77" i="39"/>
  <c r="AQ163" i="39"/>
  <c r="AQ260" i="39"/>
  <c r="BC87" i="39"/>
  <c r="AV276" i="39"/>
  <c r="BC262" i="39"/>
  <c r="AQ103" i="39"/>
  <c r="BC103" i="39"/>
  <c r="BC107" i="39"/>
  <c r="AQ215" i="39"/>
  <c r="BC215" i="39"/>
  <c r="AQ224" i="39"/>
  <c r="BC224" i="39"/>
  <c r="AQ188" i="39"/>
  <c r="BC188" i="39"/>
  <c r="BC53" i="39"/>
  <c r="BC175" i="39"/>
  <c r="AQ247" i="39"/>
  <c r="BC109" i="39"/>
  <c r="BC258" i="39"/>
  <c r="BC255" i="39"/>
  <c r="AQ173" i="39"/>
  <c r="BC173" i="39"/>
  <c r="BC217" i="39"/>
  <c r="AQ88" i="39"/>
  <c r="BC88" i="39"/>
  <c r="BC257" i="39"/>
  <c r="BC86" i="39"/>
  <c r="AQ244" i="39"/>
  <c r="BC244" i="39"/>
  <c r="BC100" i="39"/>
  <c r="BC90" i="39"/>
  <c r="AQ102" i="39"/>
  <c r="BC102" i="39"/>
  <c r="AQ263" i="39"/>
  <c r="BC263" i="39"/>
  <c r="BC46" i="39"/>
  <c r="BC242" i="39"/>
  <c r="AQ23" i="39"/>
  <c r="BC23" i="39"/>
  <c r="BC220" i="39"/>
  <c r="AQ261" i="39"/>
  <c r="BC261" i="39"/>
  <c r="BC187" i="39"/>
  <c r="AQ241" i="39"/>
  <c r="BC241" i="39"/>
  <c r="AQ108" i="39"/>
  <c r="BC108" i="39"/>
  <c r="BC19" i="39"/>
  <c r="AQ265" i="39"/>
  <c r="BC265" i="39"/>
  <c r="AQ272" i="39"/>
  <c r="BC272" i="39"/>
  <c r="BC33" i="39"/>
  <c r="BC192" i="39"/>
  <c r="BC266" i="39"/>
  <c r="BC181" i="39"/>
  <c r="BC10" i="39"/>
  <c r="AQ20" i="39"/>
  <c r="BC20" i="39"/>
  <c r="AV31" i="39"/>
  <c r="BC31" i="39"/>
  <c r="BC25" i="39"/>
  <c r="AQ273" i="39"/>
  <c r="BC273" i="39"/>
  <c r="BC218" i="39"/>
  <c r="BC172" i="39"/>
  <c r="AV277" i="39"/>
  <c r="BC277" i="39"/>
  <c r="AQ95" i="39"/>
  <c r="BC95" i="39"/>
  <c r="BC268" i="39"/>
  <c r="AQ189" i="39"/>
  <c r="BC189" i="39"/>
  <c r="AV17" i="39"/>
  <c r="BC17" i="39"/>
  <c r="BC21" i="39"/>
  <c r="AQ253" i="39"/>
  <c r="BC253" i="39"/>
  <c r="AQ193" i="39"/>
  <c r="BC193" i="39"/>
  <c r="AQ259" i="39"/>
  <c r="BC24" i="39"/>
  <c r="AQ169" i="39"/>
  <c r="BC169" i="39"/>
  <c r="BC275" i="39"/>
  <c r="AQ240" i="39"/>
  <c r="BC240" i="39"/>
  <c r="BC78" i="39"/>
  <c r="AV56" i="39"/>
  <c r="BC56" i="39"/>
  <c r="BC178" i="39"/>
  <c r="AQ274" i="39"/>
  <c r="BC274" i="39"/>
  <c r="AQ246" i="39"/>
  <c r="BC246" i="39"/>
  <c r="AV21" i="39"/>
  <c r="AV172" i="39"/>
  <c r="AQ59" i="39"/>
  <c r="AV254" i="39"/>
  <c r="AV49" i="39"/>
  <c r="AV180" i="39"/>
  <c r="AQ217" i="39"/>
  <c r="AQ55" i="39"/>
  <c r="AQ181" i="39"/>
  <c r="AV55" i="39"/>
  <c r="AV262" i="39"/>
  <c r="AQ262" i="39"/>
  <c r="AV181" i="39"/>
  <c r="AV53" i="39"/>
  <c r="AQ100" i="39"/>
  <c r="AQ53" i="39"/>
  <c r="AQ221" i="39"/>
  <c r="AV221" i="39"/>
  <c r="AQ56" i="39"/>
  <c r="AQ21" i="39"/>
  <c r="AQ172" i="39"/>
  <c r="AV258" i="39"/>
  <c r="AQ78" i="39"/>
  <c r="AQ237" i="39"/>
  <c r="AV59" i="39"/>
  <c r="AQ245" i="39"/>
  <c r="AQ164" i="39"/>
  <c r="AQ180" i="39"/>
  <c r="AV192" i="39"/>
  <c r="AQ192" i="39"/>
  <c r="AV187" i="39"/>
  <c r="AV162" i="39"/>
  <c r="AV78" i="39"/>
  <c r="AQ266" i="39"/>
  <c r="AQ187" i="39"/>
  <c r="AV183" i="39"/>
  <c r="AQ162" i="39"/>
  <c r="AV90" i="39"/>
  <c r="AV77" i="39"/>
  <c r="AV164" i="39"/>
  <c r="AV266" i="39"/>
  <c r="AQ19" i="39"/>
  <c r="AQ234" i="39"/>
  <c r="AQ220" i="39"/>
  <c r="AV220" i="39"/>
  <c r="AQ242" i="39"/>
  <c r="AV237" i="39"/>
  <c r="AV27" i="39"/>
  <c r="AV175" i="39"/>
  <c r="AV217" i="39"/>
  <c r="AQ258" i="39"/>
  <c r="AQ267" i="39"/>
  <c r="AV19" i="39"/>
  <c r="AP235" i="39"/>
  <c r="AW235" i="39" s="1"/>
  <c r="AV33" i="39"/>
  <c r="AQ254" i="39"/>
  <c r="AQ33" i="39"/>
  <c r="AQ175" i="39"/>
  <c r="AQ277" i="39"/>
  <c r="AV234" i="39"/>
  <c r="AQ17" i="39"/>
  <c r="AV242" i="39"/>
  <c r="AQ183" i="39"/>
  <c r="AV87" i="39"/>
  <c r="AQ48" i="39"/>
  <c r="AV48" i="39"/>
  <c r="AQ275" i="39"/>
  <c r="AQ49" i="39"/>
  <c r="AV51" i="39"/>
  <c r="AQ87" i="39"/>
  <c r="AQ255" i="39"/>
  <c r="AV100" i="39"/>
  <c r="AQ18" i="39"/>
  <c r="AQ25" i="39"/>
  <c r="AV275" i="39"/>
  <c r="AV46" i="39"/>
  <c r="AQ90" i="39"/>
  <c r="AQ46" i="39"/>
  <c r="AQ176" i="39"/>
  <c r="AV25" i="39"/>
  <c r="AV185" i="39"/>
  <c r="AQ31" i="39"/>
  <c r="AQ185" i="39"/>
  <c r="AV88" i="39"/>
  <c r="AQ186" i="39"/>
  <c r="AQ236" i="39"/>
  <c r="AQ86" i="39"/>
  <c r="AV109" i="39"/>
  <c r="AQ29" i="39"/>
  <c r="AV29" i="39"/>
  <c r="AQ109" i="39"/>
  <c r="AQ268" i="39"/>
  <c r="AQ24" i="39"/>
  <c r="AV18" i="39"/>
  <c r="AV193" i="39"/>
  <c r="AV260" i="39"/>
  <c r="AV255" i="39"/>
  <c r="AP37" i="39"/>
  <c r="AP22" i="39"/>
  <c r="AW22" i="39" s="1"/>
  <c r="AV236" i="39"/>
  <c r="AP105" i="39"/>
  <c r="AW105" i="39" s="1"/>
  <c r="AQ8" i="39"/>
  <c r="AV8" i="39"/>
  <c r="AV225" i="39"/>
  <c r="AV170" i="39"/>
  <c r="AV279" i="39"/>
  <c r="AQ225" i="39"/>
  <c r="AV30" i="39"/>
  <c r="AV263" i="39"/>
  <c r="AV219" i="39"/>
  <c r="AV108" i="39"/>
  <c r="AV79" i="39"/>
  <c r="AV265" i="39"/>
  <c r="AP238" i="39"/>
  <c r="AW238" i="39" s="1"/>
  <c r="AQ30" i="39"/>
  <c r="AV224" i="39"/>
  <c r="AV103" i="39"/>
  <c r="AV110" i="39"/>
  <c r="AV261" i="39"/>
  <c r="AV166" i="39"/>
  <c r="AV218" i="39"/>
  <c r="AV216" i="39"/>
  <c r="AV169" i="39"/>
  <c r="AV269" i="39"/>
  <c r="AV239" i="39"/>
  <c r="AV256" i="39"/>
  <c r="AV161" i="39"/>
  <c r="AV52" i="39"/>
  <c r="AV257" i="39"/>
  <c r="AQ216" i="39"/>
  <c r="AV241" i="39"/>
  <c r="AV188" i="39"/>
  <c r="AV86" i="39"/>
  <c r="AQ239" i="39"/>
  <c r="AQ256" i="39"/>
  <c r="AV259" i="39"/>
  <c r="AV102" i="39"/>
  <c r="AV247" i="39"/>
  <c r="AV163" i="39"/>
  <c r="AV240" i="39"/>
  <c r="AV215" i="39"/>
  <c r="AP182" i="39"/>
  <c r="AW182" i="39" s="1"/>
  <c r="AV107" i="39"/>
  <c r="AV28" i="39"/>
  <c r="AV278" i="39"/>
  <c r="AQ52" i="39"/>
  <c r="AV264" i="39"/>
  <c r="AV95" i="39"/>
  <c r="AV186" i="39"/>
  <c r="AV176" i="39"/>
  <c r="AV106" i="39"/>
  <c r="AV189" i="39"/>
  <c r="AV91" i="39"/>
  <c r="AQ79" i="39"/>
  <c r="AQ278" i="39"/>
  <c r="AQ28" i="39"/>
  <c r="AV178" i="39"/>
  <c r="AV274" i="39"/>
  <c r="AQ178" i="39"/>
  <c r="AV272" i="39"/>
  <c r="AQ269" i="39"/>
  <c r="AV20" i="39"/>
  <c r="AQ279" i="39"/>
  <c r="AV165" i="39"/>
  <c r="AQ257" i="39"/>
  <c r="AV190" i="39"/>
  <c r="AV80" i="39"/>
  <c r="AQ91" i="39"/>
  <c r="AV252" i="39"/>
  <c r="AV173" i="39"/>
  <c r="AV273" i="39"/>
  <c r="AQ264" i="39"/>
  <c r="AV23" i="39"/>
  <c r="AQ107" i="39"/>
  <c r="AV223" i="39"/>
  <c r="AQ170" i="39"/>
  <c r="AQ165" i="39"/>
  <c r="AV268" i="39"/>
  <c r="AQ166" i="39"/>
  <c r="AQ190" i="39"/>
  <c r="AV222" i="39"/>
  <c r="AQ80" i="39"/>
  <c r="AV24" i="39"/>
  <c r="AQ222" i="39"/>
  <c r="AQ161" i="39"/>
  <c r="AQ218" i="39"/>
  <c r="AQ252" i="39"/>
  <c r="AV253" i="39"/>
  <c r="AO94" i="45"/>
  <c r="AP94" i="45" s="1"/>
  <c r="AW94" i="45" s="1"/>
  <c r="AO91" i="45"/>
  <c r="AP91" i="45" s="1"/>
  <c r="AW91" i="45" s="1"/>
  <c r="AO95" i="45"/>
  <c r="AP95" i="45" s="1"/>
  <c r="AW95" i="45" s="1"/>
  <c r="AO90" i="45"/>
  <c r="AP90" i="45" s="1"/>
  <c r="AW90" i="45" s="1"/>
  <c r="AO93" i="45"/>
  <c r="AP93" i="45" s="1"/>
  <c r="AW93" i="45" s="1"/>
  <c r="N45" i="9" l="1"/>
  <c r="N52" i="9"/>
  <c r="X56" i="9"/>
  <c r="N56" i="9"/>
  <c r="N44" i="9"/>
  <c r="FU55" i="39"/>
  <c r="FV55" i="39"/>
  <c r="FU54" i="39"/>
  <c r="FV54" i="39"/>
  <c r="FU60" i="39"/>
  <c r="FV60" i="39"/>
  <c r="FU57" i="39"/>
  <c r="FV57" i="39"/>
  <c r="FU50" i="39"/>
  <c r="FV50" i="39"/>
  <c r="FU52" i="39"/>
  <c r="FV52" i="39"/>
  <c r="FU51" i="39"/>
  <c r="FV51" i="39"/>
  <c r="FU59" i="39"/>
  <c r="FV59" i="39"/>
  <c r="FU46" i="39"/>
  <c r="FV46" i="39"/>
  <c r="FU58" i="39"/>
  <c r="FV58" i="39"/>
  <c r="FU49" i="39"/>
  <c r="FV49" i="39"/>
  <c r="FU56" i="39"/>
  <c r="FV56" i="39"/>
  <c r="FU53" i="39"/>
  <c r="FV53" i="39"/>
  <c r="FU48" i="39"/>
  <c r="FV48" i="39"/>
  <c r="FZ33" i="39"/>
  <c r="FY33" i="39"/>
  <c r="GB33" i="39"/>
  <c r="GA102" i="39"/>
  <c r="FZ102" i="39"/>
  <c r="FY102" i="39"/>
  <c r="GE102" i="39"/>
  <c r="GE283" i="39" s="1"/>
  <c r="GD102" i="39"/>
  <c r="GB29" i="39"/>
  <c r="FY29" i="39"/>
  <c r="FZ29" i="39"/>
  <c r="GB25" i="39"/>
  <c r="FZ25" i="39"/>
  <c r="FY25" i="39"/>
  <c r="GI101" i="39"/>
  <c r="GD101" i="39"/>
  <c r="GG101" i="39"/>
  <c r="GA101" i="39"/>
  <c r="FZ101" i="39"/>
  <c r="GK101" i="39"/>
  <c r="GK283" i="39" s="1"/>
  <c r="FY101" i="39"/>
  <c r="FZ26" i="39"/>
  <c r="FY26" i="39"/>
  <c r="GB26" i="39"/>
  <c r="FZ21" i="39"/>
  <c r="FY21" i="39"/>
  <c r="GB21" i="39"/>
  <c r="GB31" i="39"/>
  <c r="FZ31" i="39"/>
  <c r="FY31" i="39"/>
  <c r="GB23" i="39"/>
  <c r="FZ23" i="39"/>
  <c r="FY23" i="39"/>
  <c r="GD90" i="39"/>
  <c r="GF90" i="39"/>
  <c r="GA90" i="39"/>
  <c r="FZ90" i="39"/>
  <c r="FY90" i="39"/>
  <c r="GB24" i="39"/>
  <c r="FZ24" i="39"/>
  <c r="FY24" i="39"/>
  <c r="GD100" i="39"/>
  <c r="GA100" i="39"/>
  <c r="FZ100" i="39"/>
  <c r="FY100" i="39"/>
  <c r="GH100" i="39"/>
  <c r="GH283" i="39" s="1"/>
  <c r="GG100" i="39"/>
  <c r="GG103" i="39"/>
  <c r="GA103" i="39"/>
  <c r="GD103" i="39"/>
  <c r="FZ103" i="39"/>
  <c r="FY103" i="39"/>
  <c r="GJ103" i="39"/>
  <c r="GJ283" i="39" s="1"/>
  <c r="GI103" i="39"/>
  <c r="GL103" i="39"/>
  <c r="GL283" i="39" s="1"/>
  <c r="FY95" i="39"/>
  <c r="GF95" i="39"/>
  <c r="GA95" i="39"/>
  <c r="FZ95" i="39"/>
  <c r="GD95" i="39"/>
  <c r="GB19" i="39"/>
  <c r="FZ19" i="39"/>
  <c r="FY19" i="39"/>
  <c r="GB20" i="39"/>
  <c r="FZ20" i="39"/>
  <c r="FY20" i="39"/>
  <c r="FW10" i="39"/>
  <c r="FV10" i="39"/>
  <c r="FU10" i="39"/>
  <c r="FX10" i="39"/>
  <c r="GA86" i="39"/>
  <c r="FZ86" i="39"/>
  <c r="FY86" i="39"/>
  <c r="GC86" i="39"/>
  <c r="GC283" i="39" s="1"/>
  <c r="FZ27" i="39"/>
  <c r="FY27" i="39"/>
  <c r="GB27" i="39"/>
  <c r="FY28" i="39"/>
  <c r="GB28" i="39"/>
  <c r="FZ28" i="39"/>
  <c r="GB30" i="39"/>
  <c r="FZ30" i="39"/>
  <c r="FY30" i="39"/>
  <c r="GA91" i="39"/>
  <c r="FZ91" i="39"/>
  <c r="FY91" i="39"/>
  <c r="GF91" i="39"/>
  <c r="GD91" i="39"/>
  <c r="FU8" i="39"/>
  <c r="FX8" i="39"/>
  <c r="FW8" i="39"/>
  <c r="FV8" i="39"/>
  <c r="FZ18" i="39"/>
  <c r="FY18" i="39"/>
  <c r="GB18" i="39"/>
  <c r="GF94" i="39"/>
  <c r="FZ94" i="39"/>
  <c r="GD94" i="39"/>
  <c r="GA94" i="39"/>
  <c r="FY94" i="39"/>
  <c r="GB17" i="39"/>
  <c r="FZ17" i="39"/>
  <c r="FY17" i="39"/>
  <c r="FZ88" i="39"/>
  <c r="GF88" i="39"/>
  <c r="FY88" i="39"/>
  <c r="GD88" i="39"/>
  <c r="GA88" i="39"/>
  <c r="GA87" i="39"/>
  <c r="GF87" i="39"/>
  <c r="GD87" i="39"/>
  <c r="FZ87" i="39"/>
  <c r="FY87" i="39"/>
  <c r="FZ39" i="39"/>
  <c r="GB39" i="39"/>
  <c r="FY39" i="39"/>
  <c r="FQ55" i="39"/>
  <c r="FT55" i="39"/>
  <c r="FQ54" i="39"/>
  <c r="FT54" i="39"/>
  <c r="FQ50" i="39"/>
  <c r="FT50" i="39"/>
  <c r="FQ60" i="39"/>
  <c r="FT60" i="39"/>
  <c r="FQ57" i="39"/>
  <c r="FT57" i="39"/>
  <c r="FQ52" i="39"/>
  <c r="FT52" i="39"/>
  <c r="FQ51" i="39"/>
  <c r="FT51" i="39"/>
  <c r="FQ59" i="39"/>
  <c r="FT59" i="39"/>
  <c r="EG10" i="39"/>
  <c r="FT10" i="39"/>
  <c r="FQ10" i="39"/>
  <c r="FQ46" i="39"/>
  <c r="FT46" i="39"/>
  <c r="FQ56" i="39"/>
  <c r="FT56" i="39"/>
  <c r="FQ53" i="39"/>
  <c r="FT53" i="39"/>
  <c r="FQ58" i="39"/>
  <c r="FT58" i="39"/>
  <c r="FQ49" i="39"/>
  <c r="FT49" i="39"/>
  <c r="FT8" i="39"/>
  <c r="EG8" i="39"/>
  <c r="FQ8" i="39"/>
  <c r="FQ48" i="39"/>
  <c r="FT48" i="39"/>
  <c r="AQ73" i="45"/>
  <c r="AW73" i="45"/>
  <c r="AT37" i="39"/>
  <c r="AU37" i="39" s="1"/>
  <c r="AW37" i="39"/>
  <c r="AX408" i="44"/>
  <c r="AW408" i="44"/>
  <c r="BC412" i="44"/>
  <c r="DX412" i="44" s="1"/>
  <c r="AX410" i="44"/>
  <c r="AR413" i="44"/>
  <c r="AS413" i="44" s="1"/>
  <c r="AX407" i="44"/>
  <c r="AZ411" i="44"/>
  <c r="BC409" i="44"/>
  <c r="BC414" i="44"/>
  <c r="N33" i="9"/>
  <c r="N46" i="9"/>
  <c r="N47" i="9"/>
  <c r="N27" i="9"/>
  <c r="N43" i="9"/>
  <c r="N38" i="9"/>
  <c r="AQ407" i="44"/>
  <c r="X61" i="9"/>
  <c r="AR409" i="44"/>
  <c r="AS409" i="44" s="1"/>
  <c r="AQ409" i="44"/>
  <c r="AR411" i="44"/>
  <c r="AS411" i="44" s="1"/>
  <c r="AV409" i="44"/>
  <c r="BC411" i="44"/>
  <c r="EN411" i="44" s="1"/>
  <c r="AX92" i="39"/>
  <c r="N36" i="9" s="1"/>
  <c r="AT92" i="39"/>
  <c r="AU92" i="39" s="1"/>
  <c r="FS25" i="39"/>
  <c r="FS33" i="39"/>
  <c r="FS103" i="39"/>
  <c r="FS26" i="39"/>
  <c r="FS31" i="39"/>
  <c r="FS88" i="39"/>
  <c r="FS91" i="39"/>
  <c r="FS56" i="39"/>
  <c r="FS23" i="39"/>
  <c r="FS102" i="39"/>
  <c r="FS53" i="39"/>
  <c r="FS39" i="39"/>
  <c r="FS57" i="39"/>
  <c r="FS54" i="39"/>
  <c r="FS51" i="39"/>
  <c r="FS60" i="39"/>
  <c r="FS95" i="39"/>
  <c r="FS94" i="39"/>
  <c r="FS19" i="39"/>
  <c r="FS52" i="39"/>
  <c r="FS27" i="39"/>
  <c r="FS90" i="39"/>
  <c r="FS29" i="39"/>
  <c r="FS20" i="39"/>
  <c r="FS100" i="39"/>
  <c r="FS55" i="39"/>
  <c r="FS8" i="39"/>
  <c r="FS18" i="39"/>
  <c r="FS58" i="39"/>
  <c r="FS10" i="39"/>
  <c r="FS21" i="39"/>
  <c r="FS87" i="39"/>
  <c r="FS28" i="39"/>
  <c r="FS48" i="39"/>
  <c r="FS46" i="39"/>
  <c r="FS17" i="39"/>
  <c r="FS30" i="39"/>
  <c r="FS59" i="39"/>
  <c r="FS101" i="39"/>
  <c r="FS24" i="39"/>
  <c r="FS86" i="39"/>
  <c r="FS49" i="39"/>
  <c r="FS50" i="39"/>
  <c r="X29" i="9"/>
  <c r="X49" i="9"/>
  <c r="X51" i="9"/>
  <c r="X52" i="9"/>
  <c r="AV411" i="44"/>
  <c r="AX411" i="44"/>
  <c r="AQ411" i="44"/>
  <c r="AZ409" i="44"/>
  <c r="AR407" i="44"/>
  <c r="AS407" i="44" s="1"/>
  <c r="AV407" i="44"/>
  <c r="AZ407" i="44"/>
  <c r="BC407" i="44"/>
  <c r="DW407" i="44" s="1"/>
  <c r="BC408" i="44"/>
  <c r="DW408" i="44" s="1"/>
  <c r="AQ413" i="44"/>
  <c r="AR408" i="44"/>
  <c r="AS408" i="44" s="1"/>
  <c r="AV413" i="44"/>
  <c r="AR412" i="44"/>
  <c r="AS412" i="44" s="1"/>
  <c r="AQ414" i="44"/>
  <c r="AV414" i="44"/>
  <c r="AR414" i="44"/>
  <c r="AS414" i="44" s="1"/>
  <c r="AV412" i="44"/>
  <c r="AX414" i="44"/>
  <c r="AZ414" i="44"/>
  <c r="AX412" i="44"/>
  <c r="AV408" i="44"/>
  <c r="AQ412" i="44"/>
  <c r="BC410" i="44"/>
  <c r="AQ408" i="44"/>
  <c r="AZ408" i="44"/>
  <c r="AR410" i="44"/>
  <c r="AS410" i="44" s="1"/>
  <c r="AZ410" i="44"/>
  <c r="AZ412" i="44"/>
  <c r="AX413" i="44"/>
  <c r="AZ413" i="44"/>
  <c r="AX409" i="44"/>
  <c r="AV410" i="44"/>
  <c r="AQ410" i="44"/>
  <c r="BC413" i="44"/>
  <c r="EQ413" i="44" s="1"/>
  <c r="X50" i="9"/>
  <c r="X48" i="9"/>
  <c r="AR73" i="45"/>
  <c r="AS73" i="45" s="1"/>
  <c r="AV73" i="45"/>
  <c r="X39" i="9"/>
  <c r="X33" i="9"/>
  <c r="AQ66" i="45"/>
  <c r="AQ81" i="45"/>
  <c r="AR81" i="45"/>
  <c r="AS81" i="45" s="1"/>
  <c r="AR66" i="45"/>
  <c r="AS66" i="45" s="1"/>
  <c r="AV81" i="45"/>
  <c r="AR74" i="45"/>
  <c r="AS74" i="45" s="1"/>
  <c r="AR70" i="45"/>
  <c r="AS70" i="45" s="1"/>
  <c r="AV70" i="45"/>
  <c r="AQ70" i="45"/>
  <c r="AV83" i="45"/>
  <c r="AQ83" i="45"/>
  <c r="AR83" i="45"/>
  <c r="AS83" i="45" s="1"/>
  <c r="AV66" i="45"/>
  <c r="AZ22" i="39"/>
  <c r="X8" i="9" s="1"/>
  <c r="AX22" i="39"/>
  <c r="N8" i="9" s="1"/>
  <c r="X27" i="9"/>
  <c r="X40" i="9"/>
  <c r="AZ37" i="39"/>
  <c r="AX37" i="39"/>
  <c r="N35" i="9" s="1"/>
  <c r="AZ238" i="39"/>
  <c r="AX238" i="39"/>
  <c r="AZ235" i="39"/>
  <c r="AX235" i="39"/>
  <c r="N58" i="9" s="1"/>
  <c r="X45" i="9"/>
  <c r="AZ182" i="39"/>
  <c r="X11" i="9" s="1"/>
  <c r="AX182" i="39"/>
  <c r="N11" i="9" s="1"/>
  <c r="AZ105" i="39"/>
  <c r="AX105" i="39"/>
  <c r="X43" i="9"/>
  <c r="X47" i="9"/>
  <c r="AV74" i="45"/>
  <c r="AQ74" i="45"/>
  <c r="AR76" i="45"/>
  <c r="AS76" i="45" s="1"/>
  <c r="AV76" i="45"/>
  <c r="AR79" i="45"/>
  <c r="AS79" i="45" s="1"/>
  <c r="AQ76" i="45"/>
  <c r="AR71" i="45"/>
  <c r="AS71" i="45" s="1"/>
  <c r="AV68" i="45"/>
  <c r="AV79" i="45"/>
  <c r="AR82" i="45"/>
  <c r="AS82" i="45" s="1"/>
  <c r="AV82" i="45"/>
  <c r="AQ82" i="45"/>
  <c r="AR92" i="39"/>
  <c r="AS92" i="39" s="1"/>
  <c r="AZ92" i="39"/>
  <c r="X38" i="9" s="1"/>
  <c r="AQ79" i="45"/>
  <c r="AR68" i="45"/>
  <c r="AS68" i="45" s="1"/>
  <c r="AR78" i="45"/>
  <c r="AS78" i="45" s="1"/>
  <c r="AQ68" i="45"/>
  <c r="AQ78" i="45"/>
  <c r="AR80" i="45"/>
  <c r="AS80" i="45" s="1"/>
  <c r="AV80" i="45"/>
  <c r="AQ80" i="45"/>
  <c r="AR75" i="45"/>
  <c r="AS75" i="45" s="1"/>
  <c r="AV78" i="45"/>
  <c r="AR69" i="45"/>
  <c r="AS69" i="45" s="1"/>
  <c r="AQ69" i="45"/>
  <c r="AR67" i="45"/>
  <c r="AS67" i="45" s="1"/>
  <c r="AQ75" i="45"/>
  <c r="AV69" i="45"/>
  <c r="AV75" i="45"/>
  <c r="AQ72" i="45"/>
  <c r="AR72" i="45"/>
  <c r="AS72" i="45" s="1"/>
  <c r="AQ92" i="39"/>
  <c r="AV92" i="39"/>
  <c r="BC92" i="39"/>
  <c r="AR37" i="39"/>
  <c r="AS37" i="39" s="1"/>
  <c r="AR238" i="39"/>
  <c r="AS238" i="39" s="1"/>
  <c r="AR105" i="39"/>
  <c r="AS105" i="39" s="1"/>
  <c r="AR22" i="39"/>
  <c r="AS22" i="39" s="1"/>
  <c r="AR235" i="39"/>
  <c r="AS235" i="39" s="1"/>
  <c r="BC182" i="39"/>
  <c r="AR182" i="39"/>
  <c r="AS182" i="39" s="1"/>
  <c r="AV72" i="45"/>
  <c r="AV67" i="45"/>
  <c r="AQ67" i="45"/>
  <c r="AV88" i="45"/>
  <c r="AQ94" i="45"/>
  <c r="AV94" i="45"/>
  <c r="AV92" i="45"/>
  <c r="AV84" i="45"/>
  <c r="AV85" i="45"/>
  <c r="AV93" i="45"/>
  <c r="AQ77" i="45"/>
  <c r="AV77" i="45"/>
  <c r="AQ71" i="45"/>
  <c r="AV71" i="45"/>
  <c r="AQ87" i="45"/>
  <c r="AV87" i="45"/>
  <c r="AV90" i="45"/>
  <c r="AV95" i="45"/>
  <c r="AV89" i="45"/>
  <c r="AQ86" i="45"/>
  <c r="AV86" i="45"/>
  <c r="AV91" i="45"/>
  <c r="AQ22" i="39"/>
  <c r="BC22" i="39"/>
  <c r="AQ105" i="39"/>
  <c r="BC105" i="39"/>
  <c r="AQ238" i="39"/>
  <c r="BC238" i="39"/>
  <c r="AQ37" i="39"/>
  <c r="BC37" i="39"/>
  <c r="AQ235" i="39"/>
  <c r="BC235" i="39"/>
  <c r="AR77" i="45"/>
  <c r="AS77" i="45" s="1"/>
  <c r="AV235" i="39"/>
  <c r="AV22" i="39"/>
  <c r="AV105" i="39"/>
  <c r="AV37" i="39"/>
  <c r="AV238" i="39"/>
  <c r="AV182" i="39"/>
  <c r="AQ182" i="39"/>
  <c r="AQ93" i="45"/>
  <c r="AR93" i="45"/>
  <c r="AS93" i="45" s="1"/>
  <c r="AQ95" i="45"/>
  <c r="AR86" i="45"/>
  <c r="AS86" i="45" s="1"/>
  <c r="AR95" i="45"/>
  <c r="AS95" i="45" s="1"/>
  <c r="AQ88" i="45"/>
  <c r="AR89" i="45"/>
  <c r="AS89" i="45" s="1"/>
  <c r="AQ89" i="45"/>
  <c r="AQ84" i="45"/>
  <c r="AR91" i="45"/>
  <c r="AS91" i="45" s="1"/>
  <c r="AR90" i="45"/>
  <c r="AS90" i="45" s="1"/>
  <c r="AR85" i="45"/>
  <c r="AS85" i="45" s="1"/>
  <c r="AQ85" i="45"/>
  <c r="AQ92" i="45"/>
  <c r="AR92" i="45"/>
  <c r="AS92" i="45" s="1"/>
  <c r="AR88" i="45"/>
  <c r="AS88" i="45" s="1"/>
  <c r="AQ91" i="45"/>
  <c r="AQ90" i="45"/>
  <c r="AR87" i="45"/>
  <c r="AS87" i="45" s="1"/>
  <c r="AR94" i="45"/>
  <c r="AS94" i="45" s="1"/>
  <c r="AR84" i="45"/>
  <c r="AS84" i="45" s="1"/>
  <c r="X12" i="9" l="1"/>
  <c r="N12" i="9"/>
  <c r="N37" i="9"/>
  <c r="FW283" i="39"/>
  <c r="FW288" i="39" s="1"/>
  <c r="FW289" i="39" s="1"/>
  <c r="EG283" i="39"/>
  <c r="EG285" i="39" s="1"/>
  <c r="EG286" i="39" s="1"/>
  <c r="EO412" i="44"/>
  <c r="EB412" i="44"/>
  <c r="FU283" i="39"/>
  <c r="FU291" i="39" s="1"/>
  <c r="FV283" i="39"/>
  <c r="FV291" i="39" s="1"/>
  <c r="GH291" i="39"/>
  <c r="GH285" i="39"/>
  <c r="GH286" i="39" s="1"/>
  <c r="GH288" i="39"/>
  <c r="GH289" i="39" s="1"/>
  <c r="FZ22" i="39"/>
  <c r="GB22" i="39"/>
  <c r="FY22" i="39"/>
  <c r="GK285" i="39"/>
  <c r="GK286" i="39" s="1"/>
  <c r="GK288" i="39"/>
  <c r="GK289" i="39" s="1"/>
  <c r="GK291" i="39"/>
  <c r="GB37" i="39"/>
  <c r="FZ37" i="39"/>
  <c r="FY37" i="39"/>
  <c r="GL285" i="39"/>
  <c r="GL286" i="39" s="1"/>
  <c r="GL288" i="39"/>
  <c r="GL289" i="39" s="1"/>
  <c r="GL291" i="39"/>
  <c r="GE288" i="39"/>
  <c r="GE289" i="39" s="1"/>
  <c r="GE291" i="39"/>
  <c r="GE285" i="39"/>
  <c r="GE286" i="39" s="1"/>
  <c r="GF92" i="39"/>
  <c r="GF283" i="39" s="1"/>
  <c r="GD92" i="39"/>
  <c r="GD283" i="39" s="1"/>
  <c r="GA92" i="39"/>
  <c r="GA283" i="39" s="1"/>
  <c r="FZ92" i="39"/>
  <c r="FY92" i="39"/>
  <c r="GG283" i="39"/>
  <c r="FX283" i="39"/>
  <c r="GJ288" i="39"/>
  <c r="GJ289" i="39" s="1"/>
  <c r="GJ291" i="39"/>
  <c r="GJ285" i="39"/>
  <c r="GJ286" i="39" s="1"/>
  <c r="GI283" i="39"/>
  <c r="GC291" i="39"/>
  <c r="GC285" i="39"/>
  <c r="GC286" i="39" s="1"/>
  <c r="GC288" i="39"/>
  <c r="GC289" i="39" s="1"/>
  <c r="EN412" i="44"/>
  <c r="ER412" i="44"/>
  <c r="EA412" i="44"/>
  <c r="FQ283" i="39"/>
  <c r="FT283" i="39"/>
  <c r="DW410" i="44"/>
  <c r="EZ410" i="44"/>
  <c r="EY410" i="44"/>
  <c r="EX410" i="44"/>
  <c r="DW409" i="44"/>
  <c r="EZ409" i="44"/>
  <c r="EY409" i="44"/>
  <c r="EX409" i="44"/>
  <c r="EB414" i="44"/>
  <c r="EQ414" i="44"/>
  <c r="EF412" i="44"/>
  <c r="EV412" i="44"/>
  <c r="DY412" i="44"/>
  <c r="EP414" i="44"/>
  <c r="EO414" i="44"/>
  <c r="EA414" i="44"/>
  <c r="EN414" i="44"/>
  <c r="EF414" i="44"/>
  <c r="DX414" i="44"/>
  <c r="DY414" i="44"/>
  <c r="N10" i="9"/>
  <c r="X10" i="9"/>
  <c r="EA411" i="44"/>
  <c r="EO411" i="44"/>
  <c r="ER411" i="44"/>
  <c r="EV411" i="44"/>
  <c r="DX411" i="44"/>
  <c r="DY411" i="44"/>
  <c r="EB411" i="44"/>
  <c r="EF411" i="44"/>
  <c r="X36" i="9"/>
  <c r="X34" i="9"/>
  <c r="X35" i="9"/>
  <c r="EO413" i="44"/>
  <c r="EN413" i="44"/>
  <c r="EB413" i="44"/>
  <c r="EA413" i="44"/>
  <c r="DY413" i="44"/>
  <c r="DX413" i="44"/>
  <c r="EF413" i="44"/>
  <c r="EP413" i="44"/>
  <c r="AV40" i="50"/>
  <c r="AS40" i="50"/>
  <c r="FS22" i="39"/>
  <c r="FS37" i="39"/>
  <c r="FS92" i="39"/>
  <c r="X37" i="9"/>
  <c r="X59" i="9"/>
  <c r="X44" i="9"/>
  <c r="X62" i="9"/>
  <c r="X58" i="9"/>
  <c r="X60" i="9"/>
  <c r="X46" i="9"/>
  <c r="FP104" i="45"/>
  <c r="FP105" i="45" s="1"/>
  <c r="FP107" i="45"/>
  <c r="FP108" i="45" s="1"/>
  <c r="FP110" i="45"/>
  <c r="BA40" i="50"/>
  <c r="GB283" i="39" l="1"/>
  <c r="GB291" i="39" s="1"/>
  <c r="O38" i="50"/>
  <c r="O48" i="50" s="1"/>
  <c r="O50" i="50" s="1"/>
  <c r="O52" i="50" s="1"/>
  <c r="O54" i="50" s="1"/>
  <c r="FW285" i="39"/>
  <c r="FW286" i="39" s="1"/>
  <c r="FW291" i="39"/>
  <c r="EG288" i="39"/>
  <c r="EG289" i="39" s="1"/>
  <c r="EG291" i="39"/>
  <c r="EG292" i="39" s="1"/>
  <c r="FV288" i="39"/>
  <c r="FV289" i="39" s="1"/>
  <c r="GH292" i="39"/>
  <c r="FV285" i="39"/>
  <c r="FV286" i="39" s="1"/>
  <c r="FV292" i="39" s="1"/>
  <c r="FU285" i="39"/>
  <c r="FU286" i="39" s="1"/>
  <c r="FU292" i="39" s="1"/>
  <c r="FZ283" i="39"/>
  <c r="FZ288" i="39" s="1"/>
  <c r="FZ289" i="39" s="1"/>
  <c r="FU288" i="39"/>
  <c r="FU289" i="39" s="1"/>
  <c r="GL292" i="39"/>
  <c r="FY283" i="39"/>
  <c r="FY288" i="39" s="1"/>
  <c r="FY289" i="39" s="1"/>
  <c r="GK292" i="39"/>
  <c r="GE292" i="39"/>
  <c r="EZ448" i="44"/>
  <c r="EZ453" i="44" s="1"/>
  <c r="EZ454" i="44" s="1"/>
  <c r="GA291" i="39"/>
  <c r="GA285" i="39"/>
  <c r="GA286" i="39" s="1"/>
  <c r="GA288" i="39"/>
  <c r="GA289" i="39" s="1"/>
  <c r="GD285" i="39"/>
  <c r="GD286" i="39" s="1"/>
  <c r="GD291" i="39"/>
  <c r="GD288" i="39"/>
  <c r="GD289" i="39" s="1"/>
  <c r="GC292" i="39"/>
  <c r="GG291" i="39"/>
  <c r="GG285" i="39"/>
  <c r="GG286" i="39" s="1"/>
  <c r="GG288" i="39"/>
  <c r="GG289" i="39" s="1"/>
  <c r="GF291" i="39"/>
  <c r="GF288" i="39"/>
  <c r="GF289" i="39" s="1"/>
  <c r="GF285" i="39"/>
  <c r="GF286" i="39" s="1"/>
  <c r="FX288" i="39"/>
  <c r="FX289" i="39" s="1"/>
  <c r="FX291" i="39"/>
  <c r="FX285" i="39"/>
  <c r="FX286" i="39" s="1"/>
  <c r="GI288" i="39"/>
  <c r="GI289" i="39" s="1"/>
  <c r="GI291" i="39"/>
  <c r="GI285" i="39"/>
  <c r="GI286" i="39" s="1"/>
  <c r="GJ292" i="39"/>
  <c r="EY448" i="44"/>
  <c r="EY450" i="44" s="1"/>
  <c r="EY451" i="44" s="1"/>
  <c r="FT285" i="39"/>
  <c r="FT286" i="39" s="1"/>
  <c r="FS283" i="39"/>
  <c r="FS288" i="39" s="1"/>
  <c r="FS289" i="39" s="1"/>
  <c r="FR285" i="39"/>
  <c r="FR286" i="39" s="1"/>
  <c r="BA38" i="50"/>
  <c r="AZ38" i="50"/>
  <c r="FP111" i="45"/>
  <c r="FW292" i="39" l="1"/>
  <c r="GB288" i="39"/>
  <c r="GB289" i="39" s="1"/>
  <c r="GB285" i="39"/>
  <c r="GB286" i="39" s="1"/>
  <c r="FZ285" i="39"/>
  <c r="FZ286" i="39" s="1"/>
  <c r="FY291" i="39"/>
  <c r="FY285" i="39"/>
  <c r="FY286" i="39" s="1"/>
  <c r="GF292" i="39"/>
  <c r="GB292" i="39"/>
  <c r="FZ291" i="39"/>
  <c r="GG292" i="39"/>
  <c r="FX292" i="39"/>
  <c r="AK36" i="50"/>
  <c r="GD292" i="39"/>
  <c r="GI292" i="39"/>
  <c r="EZ456" i="44"/>
  <c r="EZ450" i="44"/>
  <c r="EZ451" i="44" s="1"/>
  <c r="AJ36" i="50"/>
  <c r="GA292" i="39"/>
  <c r="EY456" i="44"/>
  <c r="EY457" i="44" s="1"/>
  <c r="EY453" i="44"/>
  <c r="EY454" i="44" s="1"/>
  <c r="AW38" i="50"/>
  <c r="AT38" i="50"/>
  <c r="AU38" i="50"/>
  <c r="AR38" i="50"/>
  <c r="AV38" i="50"/>
  <c r="AS38" i="50"/>
  <c r="AX38" i="50"/>
  <c r="AX48" i="50" s="1"/>
  <c r="AX50" i="50" s="1"/>
  <c r="AX52" i="50" s="1"/>
  <c r="AY38" i="50"/>
  <c r="AY48" i="50" s="1"/>
  <c r="AY50" i="50" s="1"/>
  <c r="AY52" i="50" s="1"/>
  <c r="AY54" i="50" s="1"/>
  <c r="FR288" i="39"/>
  <c r="FR289" i="39" s="1"/>
  <c r="FR291" i="39"/>
  <c r="FR292" i="39" s="1"/>
  <c r="FS285" i="39"/>
  <c r="FS286" i="39" s="1"/>
  <c r="FS291" i="39"/>
  <c r="FP285" i="39"/>
  <c r="FP286" i="39" s="1"/>
  <c r="FP291" i="39"/>
  <c r="FP288" i="39"/>
  <c r="FP289" i="39" s="1"/>
  <c r="FT288" i="39"/>
  <c r="FT289" i="39" s="1"/>
  <c r="FT291" i="39"/>
  <c r="FO291" i="39"/>
  <c r="FO288" i="39"/>
  <c r="FO289" i="39" s="1"/>
  <c r="FO285" i="39"/>
  <c r="FO286" i="39" s="1"/>
  <c r="FQ288" i="39"/>
  <c r="FQ289" i="39" s="1"/>
  <c r="FQ291" i="39"/>
  <c r="FQ285" i="39"/>
  <c r="FQ286" i="39" s="1"/>
  <c r="FY292" i="39" l="1"/>
  <c r="EZ457" i="44"/>
  <c r="FZ292" i="39"/>
  <c r="FP292" i="39"/>
  <c r="FS292" i="39"/>
  <c r="FT292" i="39"/>
  <c r="FO292" i="39"/>
  <c r="FQ292" i="39"/>
  <c r="AV42" i="50" l="1"/>
  <c r="AV48" i="50" s="1"/>
  <c r="AV50" i="50" s="1"/>
  <c r="AV52" i="50" s="1"/>
  <c r="AS42" i="50"/>
  <c r="AA51" i="9"/>
  <c r="R87" i="9"/>
  <c r="R85" i="9"/>
  <c r="R84" i="9"/>
  <c r="Y42" i="50"/>
  <c r="Y48" i="50" s="1"/>
  <c r="Y50" i="50" s="1"/>
  <c r="Y52" i="50" s="1"/>
  <c r="Y58" i="50" s="1"/>
  <c r="Y64" i="50" s="1"/>
  <c r="P86" i="9"/>
  <c r="P85" i="9"/>
  <c r="P89" i="9"/>
  <c r="P84" i="9"/>
  <c r="P88" i="9"/>
  <c r="P87" i="9"/>
  <c r="AA42" i="50"/>
  <c r="AA48" i="50" s="1"/>
  <c r="AA50" i="50" s="1"/>
  <c r="AA52" i="50" s="1"/>
  <c r="AA58" i="50" s="1"/>
  <c r="AA64" i="50" s="1"/>
  <c r="BA42" i="50"/>
  <c r="BA48" i="50" s="1"/>
  <c r="BA50" i="50" s="1"/>
  <c r="BA52" i="50" s="1"/>
  <c r="BA54" i="50" s="1"/>
  <c r="Q17" i="9" l="1"/>
  <c r="Q56" i="9"/>
  <c r="Q25" i="9"/>
  <c r="Q13" i="9"/>
  <c r="Q77" i="9"/>
  <c r="Q65" i="9"/>
  <c r="Q64" i="9"/>
  <c r="Q78" i="9"/>
  <c r="Q70" i="9"/>
  <c r="Q14" i="9"/>
  <c r="Q66" i="9"/>
  <c r="Q26" i="9"/>
  <c r="Q84" i="9"/>
  <c r="Q68" i="9"/>
  <c r="Q41" i="9"/>
  <c r="Q67" i="9"/>
  <c r="Q23" i="9"/>
  <c r="Q69" i="9"/>
  <c r="Q53" i="9"/>
  <c r="Q15" i="9"/>
  <c r="Q81" i="9"/>
  <c r="Q58" i="9"/>
  <c r="Q55" i="9"/>
  <c r="Q16" i="9"/>
  <c r="Q82" i="9"/>
  <c r="Q7" i="9"/>
  <c r="Q71" i="9"/>
  <c r="Q18" i="9"/>
  <c r="Q85" i="9"/>
  <c r="Q20" i="9"/>
  <c r="Q9" i="9"/>
  <c r="Q10" i="9"/>
  <c r="Q19" i="9"/>
  <c r="Q61" i="9"/>
  <c r="Q21" i="9"/>
  <c r="Q22" i="9"/>
  <c r="Q12" i="9"/>
  <c r="Q59" i="9"/>
  <c r="Q74" i="9"/>
  <c r="Q62" i="9"/>
  <c r="Q63" i="9"/>
  <c r="Q79" i="9"/>
  <c r="Q73" i="9"/>
  <c r="Q87" i="9"/>
  <c r="Q75" i="9"/>
  <c r="Q76" i="9"/>
  <c r="Q80" i="9"/>
  <c r="Q86" i="9"/>
  <c r="Q11" i="9"/>
  <c r="Q88" i="9"/>
  <c r="Q89" i="9"/>
  <c r="AA89" i="9"/>
  <c r="AA38" i="9"/>
  <c r="Q37" i="9"/>
  <c r="AA30" i="9"/>
  <c r="Q28" i="9"/>
  <c r="AA32" i="9"/>
  <c r="Q29" i="9"/>
  <c r="AA37" i="9"/>
  <c r="AA35" i="9"/>
  <c r="AA28" i="9"/>
  <c r="Q39" i="9"/>
  <c r="Q49" i="9"/>
  <c r="AA33" i="9"/>
  <c r="AA59" i="9"/>
  <c r="Q48" i="9"/>
  <c r="AA45" i="9"/>
  <c r="AA8" i="9"/>
  <c r="AA50" i="9"/>
  <c r="Q52" i="9"/>
  <c r="Q33" i="9"/>
  <c r="AA49" i="9"/>
  <c r="AA47" i="9"/>
  <c r="AA58" i="9"/>
  <c r="AA36" i="9"/>
  <c r="AA86" i="9"/>
  <c r="AA29" i="9"/>
  <c r="Q31" i="9"/>
  <c r="Q35" i="9"/>
  <c r="AA48" i="9"/>
  <c r="Q8" i="9"/>
  <c r="AA52" i="9"/>
  <c r="Q43" i="9"/>
  <c r="Q34" i="9"/>
  <c r="Q51" i="9"/>
  <c r="Q50" i="9"/>
  <c r="Q40" i="9"/>
  <c r="AA44" i="9"/>
  <c r="AA12" i="9"/>
  <c r="AA40" i="9"/>
  <c r="AA34" i="9"/>
  <c r="Q44" i="9"/>
  <c r="AA10" i="9"/>
  <c r="Q30" i="9"/>
  <c r="AA43" i="9"/>
  <c r="AA39" i="9"/>
  <c r="AA46" i="9"/>
  <c r="AA9" i="9"/>
  <c r="Q38" i="9"/>
  <c r="Q36" i="9"/>
  <c r="Q32" i="9"/>
  <c r="AA31" i="9"/>
  <c r="AA88" i="9"/>
  <c r="Q46" i="9"/>
  <c r="Q45" i="9"/>
  <c r="Q47" i="9"/>
  <c r="AC42" i="50"/>
  <c r="R80" i="9"/>
  <c r="AB73" i="9"/>
  <c r="R55" i="9"/>
  <c r="P44" i="9"/>
  <c r="P32" i="9"/>
  <c r="P7" i="9"/>
  <c r="Z51" i="9"/>
  <c r="R23" i="9"/>
  <c r="AB22" i="9"/>
  <c r="AB63" i="9"/>
  <c r="R65" i="9"/>
  <c r="R67" i="9"/>
  <c r="AB7" i="9"/>
  <c r="AB64" i="9"/>
  <c r="R74" i="9"/>
  <c r="AB76" i="9"/>
  <c r="R70" i="9"/>
  <c r="AB62" i="9"/>
  <c r="R20" i="9"/>
  <c r="R78" i="9"/>
  <c r="R14" i="9"/>
  <c r="R19" i="9"/>
  <c r="AB21" i="9"/>
  <c r="AB61" i="9"/>
  <c r="AB66" i="9"/>
  <c r="AB19" i="9"/>
  <c r="AB41" i="9"/>
  <c r="AB13" i="9"/>
  <c r="R68" i="9"/>
  <c r="AB65" i="9"/>
  <c r="R61" i="9"/>
  <c r="AB11" i="9"/>
  <c r="AB20" i="9"/>
  <c r="AB14" i="9"/>
  <c r="R41" i="9"/>
  <c r="AB74" i="9"/>
  <c r="R13" i="9"/>
  <c r="AB85" i="9"/>
  <c r="AB67" i="9"/>
  <c r="AB71" i="9"/>
  <c r="AB69" i="9"/>
  <c r="R73" i="9"/>
  <c r="R75" i="9"/>
  <c r="R77" i="9"/>
  <c r="AB78" i="9"/>
  <c r="R16" i="9"/>
  <c r="R69" i="9"/>
  <c r="AB87" i="9"/>
  <c r="R71" i="9"/>
  <c r="R15" i="9"/>
  <c r="R11" i="9"/>
  <c r="AB17" i="9"/>
  <c r="AB81" i="9"/>
  <c r="AB15" i="9"/>
  <c r="AB23" i="9"/>
  <c r="R18" i="9"/>
  <c r="AB53" i="9"/>
  <c r="AB25" i="9"/>
  <c r="R25" i="9"/>
  <c r="AB70" i="9"/>
  <c r="AB84" i="9"/>
  <c r="R63" i="9"/>
  <c r="R7" i="9"/>
  <c r="R64" i="9"/>
  <c r="AB16" i="9"/>
  <c r="AB55" i="9"/>
  <c r="AB26" i="9"/>
  <c r="AB79" i="9"/>
  <c r="R62" i="9"/>
  <c r="R53" i="9"/>
  <c r="AB77" i="9"/>
  <c r="AB75" i="9"/>
  <c r="R56" i="9"/>
  <c r="R22" i="9"/>
  <c r="AB18" i="9"/>
  <c r="R79" i="9"/>
  <c r="R26" i="9"/>
  <c r="R66" i="9"/>
  <c r="AB80" i="9"/>
  <c r="R17" i="9"/>
  <c r="R81" i="9"/>
  <c r="R82" i="9"/>
  <c r="AB82" i="9"/>
  <c r="R21" i="9"/>
  <c r="AB56" i="9"/>
  <c r="R76" i="9"/>
  <c r="AB68" i="9"/>
  <c r="Z13" i="9"/>
  <c r="P41" i="9"/>
  <c r="Z53" i="9"/>
  <c r="P11" i="9"/>
  <c r="Z61" i="9"/>
  <c r="Z56" i="9"/>
  <c r="Z66" i="9"/>
  <c r="Z38" i="9"/>
  <c r="P33" i="9"/>
  <c r="P15" i="9"/>
  <c r="P60" i="9"/>
  <c r="Z64" i="9"/>
  <c r="P78" i="9"/>
  <c r="P57" i="9"/>
  <c r="P70" i="9"/>
  <c r="Z29" i="9"/>
  <c r="P21" i="9"/>
  <c r="Z68" i="9"/>
  <c r="P30" i="9"/>
  <c r="P65" i="9"/>
  <c r="P71" i="9"/>
  <c r="Z9" i="9"/>
  <c r="Z81" i="9"/>
  <c r="Z35" i="9"/>
  <c r="Z33" i="9"/>
  <c r="Z26" i="9"/>
  <c r="Z28" i="9"/>
  <c r="Z57" i="9"/>
  <c r="Z31" i="9"/>
  <c r="Z89" i="9"/>
  <c r="Z79" i="9"/>
  <c r="Z75" i="9"/>
  <c r="P49" i="9"/>
  <c r="P14" i="9"/>
  <c r="P75" i="9"/>
  <c r="Z69" i="9"/>
  <c r="Z60" i="9"/>
  <c r="P82" i="9"/>
  <c r="Z23" i="9"/>
  <c r="P37" i="9"/>
  <c r="Z78" i="9"/>
  <c r="P48" i="9"/>
  <c r="P66" i="9"/>
  <c r="Z7" i="9"/>
  <c r="Z27" i="9"/>
  <c r="P45" i="9"/>
  <c r="Z36" i="9"/>
  <c r="P20" i="9"/>
  <c r="P29" i="9"/>
  <c r="Z82" i="9"/>
  <c r="P28" i="9"/>
  <c r="Z85" i="9"/>
  <c r="P81" i="9"/>
  <c r="P76" i="9"/>
  <c r="Z8" i="9"/>
  <c r="Z41" i="9"/>
  <c r="Z84" i="9"/>
  <c r="P58" i="9"/>
  <c r="Z11" i="9"/>
  <c r="Z70" i="9"/>
  <c r="Z19" i="9"/>
  <c r="Z65" i="9"/>
  <c r="P73" i="9"/>
  <c r="P18" i="9"/>
  <c r="Z73" i="9"/>
  <c r="Z40" i="9"/>
  <c r="P79" i="9"/>
  <c r="P51" i="9"/>
  <c r="Z80" i="9"/>
  <c r="P62" i="9"/>
  <c r="P63" i="9"/>
  <c r="P10" i="9"/>
  <c r="Z16" i="9"/>
  <c r="P80" i="9"/>
  <c r="P59" i="9"/>
  <c r="Z25" i="9"/>
  <c r="P19" i="9"/>
  <c r="P55" i="9"/>
  <c r="P43" i="9"/>
  <c r="Z45" i="9"/>
  <c r="P61" i="9"/>
  <c r="Z71" i="9"/>
  <c r="P34" i="9"/>
  <c r="P56" i="9"/>
  <c r="P31" i="9"/>
  <c r="Z10" i="9"/>
  <c r="P16" i="9"/>
  <c r="Z20" i="9"/>
  <c r="Z87" i="9"/>
  <c r="Z14" i="9"/>
  <c r="Z47" i="9"/>
  <c r="P47" i="9"/>
  <c r="P64" i="9"/>
  <c r="P52" i="9"/>
  <c r="Z34" i="9"/>
  <c r="Z88" i="9"/>
  <c r="Z44" i="9"/>
  <c r="P74" i="9"/>
  <c r="P26" i="9"/>
  <c r="Z49" i="9"/>
  <c r="Z37" i="9"/>
  <c r="Z77" i="9"/>
  <c r="Z46" i="9"/>
  <c r="P67" i="9"/>
  <c r="Z30" i="9"/>
  <c r="P8" i="9"/>
  <c r="Z76" i="9"/>
  <c r="Z63" i="9"/>
  <c r="P17" i="9"/>
  <c r="P39" i="9"/>
  <c r="Z74" i="9"/>
  <c r="Z67" i="9"/>
  <c r="P23" i="9"/>
  <c r="P50" i="9"/>
  <c r="P53" i="9"/>
  <c r="P46" i="9"/>
  <c r="Z55" i="9"/>
  <c r="Z58" i="9"/>
  <c r="P40" i="9"/>
  <c r="P68" i="9"/>
  <c r="Z21" i="9"/>
  <c r="Z52" i="9"/>
  <c r="P38" i="9"/>
  <c r="P22" i="9"/>
  <c r="Z18" i="9"/>
  <c r="Z17" i="9"/>
  <c r="P9" i="9"/>
  <c r="Z59" i="9"/>
  <c r="Z22" i="9"/>
  <c r="Z39" i="9"/>
  <c r="P35" i="9"/>
  <c r="P25" i="9"/>
  <c r="Z86" i="9"/>
  <c r="P12" i="9"/>
  <c r="Z62" i="9"/>
  <c r="P27" i="9"/>
  <c r="P36" i="9"/>
  <c r="Z32" i="9"/>
  <c r="Z50" i="9"/>
  <c r="Z43" i="9"/>
  <c r="P69" i="9"/>
  <c r="P77" i="9"/>
  <c r="Z12" i="9"/>
  <c r="P13" i="9"/>
  <c r="Z48" i="9"/>
  <c r="Z15" i="9"/>
  <c r="X42" i="50"/>
  <c r="X48" i="50" s="1"/>
  <c r="X50" i="50" s="1"/>
  <c r="X52" i="50" s="1"/>
  <c r="Z42" i="50"/>
  <c r="Z48" i="50" s="1"/>
  <c r="Z50" i="50" s="1"/>
  <c r="Z52" i="50" s="1"/>
  <c r="W42" i="50"/>
  <c r="AB42" i="50"/>
  <c r="Q60" i="9" l="1"/>
  <c r="R141" i="9"/>
  <c r="P141" i="9"/>
  <c r="Z141" i="9"/>
  <c r="AB141" i="9"/>
  <c r="AA60" i="9"/>
  <c r="Q57" i="9" l="1"/>
  <c r="Q27" i="9"/>
  <c r="Q141" i="9" s="1"/>
  <c r="AA57" i="9"/>
  <c r="AA27" i="9"/>
  <c r="AA141" i="9" s="1"/>
  <c r="AZ42" i="50"/>
  <c r="AM80" i="31"/>
  <c r="AL80" i="31"/>
  <c r="AK80" i="31"/>
  <c r="AJ80" i="31"/>
  <c r="AI80" i="31"/>
  <c r="W80" i="31"/>
  <c r="X80" i="31" s="1"/>
  <c r="AM79" i="31"/>
  <c r="AL79" i="31"/>
  <c r="AK79" i="31"/>
  <c r="AJ79" i="31"/>
  <c r="AI79" i="31"/>
  <c r="W79" i="31"/>
  <c r="X79" i="31" s="1"/>
  <c r="A7" i="31"/>
  <c r="A10" i="31" l="1"/>
  <c r="A11" i="31" s="1"/>
  <c r="A12" i="31" s="1"/>
  <c r="A13" i="31" s="1"/>
  <c r="A14" i="31" s="1"/>
  <c r="A15" i="31" s="1"/>
  <c r="A16" i="31" s="1"/>
  <c r="A17" i="31" s="1"/>
  <c r="A18" i="31" s="1"/>
  <c r="A19" i="31" s="1"/>
  <c r="A20" i="31" s="1"/>
  <c r="A21" i="31" s="1"/>
  <c r="A22" i="31" s="1"/>
  <c r="A23" i="31" s="1"/>
  <c r="A24" i="31" s="1"/>
  <c r="A25" i="31" s="1"/>
  <c r="A26" i="31" s="1"/>
  <c r="A27" i="31" s="1"/>
  <c r="A28" i="31" s="1"/>
  <c r="A29" i="31" s="1"/>
  <c r="A30" i="31" s="1"/>
  <c r="A31" i="31" s="1"/>
  <c r="A32" i="31" s="1"/>
  <c r="A33" i="31" s="1"/>
  <c r="A34" i="31" s="1"/>
  <c r="A35" i="31" s="1"/>
  <c r="A36" i="31" s="1"/>
  <c r="A37" i="31" s="1"/>
  <c r="A38" i="31" s="1"/>
  <c r="A39" i="31" s="1"/>
  <c r="A41" i="31" s="1"/>
  <c r="A42" i="31" s="1"/>
  <c r="A43" i="31" s="1"/>
  <c r="A44" i="31" s="1"/>
  <c r="A47" i="31" s="1"/>
  <c r="A50" i="31" s="1"/>
  <c r="AT42" i="50"/>
  <c r="AB80" i="31"/>
  <c r="BB80" i="31"/>
  <c r="AA79" i="31"/>
  <c r="BB79" i="31"/>
  <c r="AN80" i="31"/>
  <c r="AN79" i="31"/>
  <c r="AB79" i="31"/>
  <c r="Z79" i="31"/>
  <c r="AA80" i="31"/>
  <c r="Z80" i="31"/>
  <c r="A48" i="31" l="1"/>
  <c r="A51" i="31" s="1"/>
  <c r="A52" i="31" s="1"/>
  <c r="A53" i="31" s="1"/>
  <c r="A54" i="31" s="1"/>
  <c r="A55" i="31" s="1"/>
  <c r="A56" i="31" s="1"/>
  <c r="A57" i="31" s="1"/>
  <c r="A58" i="31" s="1"/>
  <c r="A59" i="31" s="1"/>
  <c r="A60" i="31" s="1"/>
  <c r="A61" i="31" s="1"/>
  <c r="A62" i="31" s="1"/>
  <c r="A65" i="31" s="1"/>
  <c r="AU42" i="50"/>
  <c r="AR42" i="50"/>
  <c r="AW42" i="50"/>
  <c r="AO80" i="31"/>
  <c r="AP80" i="31" s="1"/>
  <c r="AO79" i="31"/>
  <c r="AP79" i="31" s="1"/>
  <c r="AW79" i="31" s="1"/>
  <c r="AV80" i="31" l="1"/>
  <c r="AW80" i="31"/>
  <c r="A66" i="31"/>
  <c r="A67" i="31" s="1"/>
  <c r="A68" i="31" s="1"/>
  <c r="A69" i="31" s="1"/>
  <c r="AZ79" i="31"/>
  <c r="AV79" i="31"/>
  <c r="BC80" i="31"/>
  <c r="EQ80" i="31" s="1"/>
  <c r="AZ80" i="31"/>
  <c r="BC79" i="31"/>
  <c r="EQ79" i="31" s="1"/>
  <c r="AQ79" i="31"/>
  <c r="AR79" i="31"/>
  <c r="AS79" i="31" s="1"/>
  <c r="AQ80" i="31"/>
  <c r="AX79" i="31"/>
  <c r="AR80" i="31"/>
  <c r="AS80" i="31" s="1"/>
  <c r="AX80" i="31"/>
  <c r="A70" i="31" l="1"/>
  <c r="A72" i="31" s="1"/>
  <c r="AM76" i="31"/>
  <c r="AL76" i="31"/>
  <c r="AK76" i="31"/>
  <c r="AJ76" i="31"/>
  <c r="AI76" i="31"/>
  <c r="W76" i="31"/>
  <c r="AM74" i="31"/>
  <c r="AL74" i="31"/>
  <c r="AK74" i="31"/>
  <c r="AJ74" i="31"/>
  <c r="AI74" i="31"/>
  <c r="W74" i="31"/>
  <c r="X74" i="31" s="1"/>
  <c r="AM72" i="31"/>
  <c r="AL72" i="31"/>
  <c r="AK72" i="31"/>
  <c r="AJ72" i="31"/>
  <c r="AI72" i="31"/>
  <c r="W72" i="31"/>
  <c r="X72" i="31" s="1"/>
  <c r="AM69" i="31"/>
  <c r="AL69" i="31"/>
  <c r="AK69" i="31"/>
  <c r="AJ69" i="31"/>
  <c r="AI69" i="31"/>
  <c r="W69" i="31"/>
  <c r="X69" i="31" s="1"/>
  <c r="AM67" i="31"/>
  <c r="AL67" i="31"/>
  <c r="AK67" i="31"/>
  <c r="AJ67" i="31"/>
  <c r="AI67" i="31"/>
  <c r="W67" i="31"/>
  <c r="X67" i="31" s="1"/>
  <c r="AM65" i="31"/>
  <c r="AL65" i="31"/>
  <c r="AK65" i="31"/>
  <c r="AJ65" i="31"/>
  <c r="AI65" i="31"/>
  <c r="W65" i="31"/>
  <c r="X65" i="31" s="1"/>
  <c r="AM62" i="31"/>
  <c r="AL62" i="31"/>
  <c r="AK62" i="31"/>
  <c r="AJ62" i="31"/>
  <c r="AI62" i="31"/>
  <c r="W62" i="31"/>
  <c r="X62" i="31" s="1"/>
  <c r="AM61" i="31"/>
  <c r="AL61" i="31"/>
  <c r="AK61" i="31"/>
  <c r="AJ61" i="31"/>
  <c r="AI61" i="31"/>
  <c r="W61" i="31"/>
  <c r="X61" i="31" s="1"/>
  <c r="AM55" i="31"/>
  <c r="AL55" i="31"/>
  <c r="AK55" i="31"/>
  <c r="AJ55" i="31"/>
  <c r="AI55" i="31"/>
  <c r="W55" i="31"/>
  <c r="X55" i="31" s="1"/>
  <c r="AM54" i="31"/>
  <c r="AL54" i="31"/>
  <c r="AK54" i="31"/>
  <c r="AJ54" i="31"/>
  <c r="AI54" i="31"/>
  <c r="W54" i="31"/>
  <c r="X54" i="31" s="1"/>
  <c r="AM53" i="31"/>
  <c r="AL53" i="31"/>
  <c r="AK53" i="31"/>
  <c r="AJ53" i="31"/>
  <c r="AI53" i="31"/>
  <c r="W53" i="31"/>
  <c r="X53" i="31" s="1"/>
  <c r="AM52" i="31"/>
  <c r="AL52" i="31"/>
  <c r="AK52" i="31"/>
  <c r="AJ52" i="31"/>
  <c r="AI52" i="31"/>
  <c r="W52" i="31"/>
  <c r="X52" i="31" s="1"/>
  <c r="AM51" i="31"/>
  <c r="AL51" i="31"/>
  <c r="AK51" i="31"/>
  <c r="AJ51" i="31"/>
  <c r="AI51" i="31"/>
  <c r="W51" i="31"/>
  <c r="X51" i="31" s="1"/>
  <c r="AM50" i="31"/>
  <c r="AL50" i="31"/>
  <c r="AK50" i="31"/>
  <c r="AJ50" i="31"/>
  <c r="AI50" i="31"/>
  <c r="W50" i="31"/>
  <c r="X50" i="31" s="1"/>
  <c r="AM48" i="31"/>
  <c r="AL48" i="31"/>
  <c r="AK48" i="31"/>
  <c r="AJ48" i="31"/>
  <c r="AI48" i="31"/>
  <c r="W48" i="31"/>
  <c r="X48" i="31" s="1"/>
  <c r="AM47" i="31"/>
  <c r="AL47" i="31"/>
  <c r="AK47" i="31"/>
  <c r="AJ47" i="31"/>
  <c r="AI47" i="31"/>
  <c r="W47" i="31"/>
  <c r="X47" i="31" s="1"/>
  <c r="AM45" i="31"/>
  <c r="AL45" i="31"/>
  <c r="AK45" i="31"/>
  <c r="AJ45" i="31"/>
  <c r="AI45" i="31"/>
  <c r="W45" i="31"/>
  <c r="AM43" i="31"/>
  <c r="AL43" i="31"/>
  <c r="AK43" i="31"/>
  <c r="AJ43" i="31"/>
  <c r="AI43" i="31"/>
  <c r="W43" i="31"/>
  <c r="X43" i="31" s="1"/>
  <c r="AM41" i="31"/>
  <c r="AL41" i="31"/>
  <c r="AK41" i="31"/>
  <c r="AJ41" i="31"/>
  <c r="AI41" i="31"/>
  <c r="W41" i="31"/>
  <c r="X41" i="31" s="1"/>
  <c r="AM38" i="31"/>
  <c r="AL38" i="31"/>
  <c r="AK38" i="31"/>
  <c r="AJ38" i="31"/>
  <c r="AI38" i="31"/>
  <c r="W38" i="31"/>
  <c r="X38" i="31" s="1"/>
  <c r="AM36" i="31"/>
  <c r="AL36" i="31"/>
  <c r="AK36" i="31"/>
  <c r="AJ36" i="31"/>
  <c r="AI36" i="31"/>
  <c r="W36" i="31"/>
  <c r="X36" i="31" s="1"/>
  <c r="AM34" i="31"/>
  <c r="AL34" i="31"/>
  <c r="AK34" i="31"/>
  <c r="AJ34" i="31"/>
  <c r="AI34" i="31"/>
  <c r="W34" i="31"/>
  <c r="X34" i="31" s="1"/>
  <c r="AM32" i="31"/>
  <c r="AL32" i="31"/>
  <c r="AK32" i="31"/>
  <c r="AJ32" i="31"/>
  <c r="AI32" i="31"/>
  <c r="W32" i="31"/>
  <c r="X32" i="31" s="1"/>
  <c r="AM30" i="31"/>
  <c r="AL30" i="31"/>
  <c r="AK30" i="31"/>
  <c r="AJ30" i="31"/>
  <c r="AI30" i="31"/>
  <c r="W30" i="31"/>
  <c r="X30" i="31" s="1"/>
  <c r="AM28" i="31"/>
  <c r="AL28" i="31"/>
  <c r="AK28" i="31"/>
  <c r="AJ28" i="31"/>
  <c r="AI28" i="31"/>
  <c r="W28" i="31"/>
  <c r="X28" i="31" s="1"/>
  <c r="AM26" i="31"/>
  <c r="AL26" i="31"/>
  <c r="AK26" i="31"/>
  <c r="AJ26" i="31"/>
  <c r="AI26" i="31"/>
  <c r="W26" i="31"/>
  <c r="X26" i="31" s="1"/>
  <c r="AM24" i="31"/>
  <c r="AL24" i="31"/>
  <c r="AK24" i="31"/>
  <c r="AJ24" i="31"/>
  <c r="AI24" i="31"/>
  <c r="W24" i="31"/>
  <c r="X24" i="31" s="1"/>
  <c r="AM22" i="31"/>
  <c r="AL22" i="31"/>
  <c r="AK22" i="31"/>
  <c r="AJ22" i="31"/>
  <c r="AI22" i="31"/>
  <c r="W22" i="31"/>
  <c r="X22" i="31" s="1"/>
  <c r="AM21" i="31"/>
  <c r="AL21" i="31"/>
  <c r="AK21" i="31"/>
  <c r="AJ21" i="31"/>
  <c r="AI21" i="31"/>
  <c r="W21" i="31"/>
  <c r="X21" i="31" s="1"/>
  <c r="AM20" i="31"/>
  <c r="AL20" i="31"/>
  <c r="AK20" i="31"/>
  <c r="AJ20" i="31"/>
  <c r="AI20" i="31"/>
  <c r="W20" i="31"/>
  <c r="X20" i="31" s="1"/>
  <c r="AM18" i="31"/>
  <c r="AL18" i="31"/>
  <c r="AK18" i="31"/>
  <c r="AJ18" i="31"/>
  <c r="AI18" i="31"/>
  <c r="W18" i="31"/>
  <c r="X18" i="31" s="1"/>
  <c r="AM16" i="31"/>
  <c r="AL16" i="31"/>
  <c r="AK16" i="31"/>
  <c r="AJ16" i="31"/>
  <c r="AI16" i="31"/>
  <c r="W16" i="31"/>
  <c r="X16" i="31" s="1"/>
  <c r="AM14" i="31"/>
  <c r="AL14" i="31"/>
  <c r="AK14" i="31"/>
  <c r="AJ14" i="31"/>
  <c r="AI14" i="31"/>
  <c r="W14" i="31"/>
  <c r="X14" i="31" s="1"/>
  <c r="AM12" i="31"/>
  <c r="AL12" i="31"/>
  <c r="AK12" i="31"/>
  <c r="AJ12" i="31"/>
  <c r="AI12" i="31"/>
  <c r="W12" i="31"/>
  <c r="X12" i="31" s="1"/>
  <c r="AM10" i="31"/>
  <c r="AL10" i="31"/>
  <c r="AK10" i="31"/>
  <c r="AJ10" i="31"/>
  <c r="AI10" i="31"/>
  <c r="W10" i="31"/>
  <c r="X10" i="31" s="1"/>
  <c r="AM9" i="31"/>
  <c r="AL9" i="31"/>
  <c r="AK9" i="31"/>
  <c r="AJ9" i="31"/>
  <c r="AI9" i="31"/>
  <c r="W9" i="31"/>
  <c r="X9" i="31" s="1"/>
  <c r="AM8" i="31"/>
  <c r="AL8" i="31"/>
  <c r="AK8" i="31"/>
  <c r="AJ8" i="31"/>
  <c r="AI8" i="31"/>
  <c r="W8" i="31"/>
  <c r="X8" i="31" s="1"/>
  <c r="AM7" i="31"/>
  <c r="AL7" i="31"/>
  <c r="AK7" i="31"/>
  <c r="AJ7" i="31"/>
  <c r="AI7" i="31"/>
  <c r="W7" i="31"/>
  <c r="W10" i="44"/>
  <c r="X10" i="44" s="1"/>
  <c r="W9" i="44"/>
  <c r="X9" i="44" s="1"/>
  <c r="W8" i="44"/>
  <c r="X8" i="44" s="1"/>
  <c r="W7" i="44"/>
  <c r="X7" i="44" s="1"/>
  <c r="W11" i="45"/>
  <c r="X11" i="45" s="1"/>
  <c r="W10" i="45"/>
  <c r="X10" i="45" s="1"/>
  <c r="W9" i="45"/>
  <c r="X9" i="45" s="1"/>
  <c r="W8" i="45"/>
  <c r="X8" i="45" s="1"/>
  <c r="N48" i="45"/>
  <c r="N47" i="45"/>
  <c r="AM46" i="45"/>
  <c r="AL46" i="45"/>
  <c r="AK46" i="45"/>
  <c r="AJ46" i="45"/>
  <c r="AI46" i="45"/>
  <c r="W46" i="45"/>
  <c r="S46" i="45"/>
  <c r="P46" i="45"/>
  <c r="N46" i="45"/>
  <c r="AM45" i="45"/>
  <c r="AL45" i="45"/>
  <c r="AK45" i="45"/>
  <c r="AJ45" i="45"/>
  <c r="AI45" i="45"/>
  <c r="W45" i="45"/>
  <c r="X45" i="45" s="1"/>
  <c r="S45" i="45"/>
  <c r="P45" i="45"/>
  <c r="N45" i="45"/>
  <c r="AM43" i="45"/>
  <c r="AL43" i="45"/>
  <c r="AK43" i="45"/>
  <c r="AJ43" i="45"/>
  <c r="AI43" i="45"/>
  <c r="W43" i="45"/>
  <c r="X43" i="45" s="1"/>
  <c r="S43" i="45"/>
  <c r="P43" i="45"/>
  <c r="N43" i="45"/>
  <c r="AM42" i="45"/>
  <c r="AL42" i="45"/>
  <c r="AK42" i="45"/>
  <c r="AJ42" i="45"/>
  <c r="AI42" i="45"/>
  <c r="W42" i="45"/>
  <c r="S42" i="45"/>
  <c r="P42" i="45"/>
  <c r="N42" i="45"/>
  <c r="AM41" i="45"/>
  <c r="AL41" i="45"/>
  <c r="AK41" i="45"/>
  <c r="AJ41" i="45"/>
  <c r="AI41" i="45"/>
  <c r="W41" i="45"/>
  <c r="X41" i="45" s="1"/>
  <c r="S41" i="45"/>
  <c r="P41" i="45"/>
  <c r="N41" i="45"/>
  <c r="AM39" i="45"/>
  <c r="AL39" i="45"/>
  <c r="AK39" i="45"/>
  <c r="AJ39" i="45"/>
  <c r="AI39" i="45"/>
  <c r="W39" i="45"/>
  <c r="S39" i="45"/>
  <c r="P39" i="45"/>
  <c r="N39" i="45"/>
  <c r="AM38" i="45"/>
  <c r="AL38" i="45"/>
  <c r="AK38" i="45"/>
  <c r="AJ38" i="45"/>
  <c r="AI38" i="45"/>
  <c r="W38" i="45"/>
  <c r="S38" i="45"/>
  <c r="P38" i="45"/>
  <c r="N38" i="45"/>
  <c r="AM37" i="45"/>
  <c r="AL37" i="45"/>
  <c r="AK37" i="45"/>
  <c r="AJ37" i="45"/>
  <c r="AI37" i="45"/>
  <c r="W37" i="45"/>
  <c r="X37" i="45" s="1"/>
  <c r="S37" i="45"/>
  <c r="P37" i="45"/>
  <c r="N37" i="45"/>
  <c r="AM36" i="45"/>
  <c r="AL36" i="45"/>
  <c r="AK36" i="45"/>
  <c r="AJ36" i="45"/>
  <c r="AI36" i="45"/>
  <c r="W36" i="45"/>
  <c r="S36" i="45"/>
  <c r="P36" i="45"/>
  <c r="N36" i="45"/>
  <c r="AM35" i="45"/>
  <c r="AL35" i="45"/>
  <c r="AK35" i="45"/>
  <c r="AJ35" i="45"/>
  <c r="AI35" i="45"/>
  <c r="W35" i="45"/>
  <c r="S35" i="45"/>
  <c r="P35" i="45"/>
  <c r="N35" i="45"/>
  <c r="AM34" i="45"/>
  <c r="AL34" i="45"/>
  <c r="AK34" i="45"/>
  <c r="AJ34" i="45"/>
  <c r="AI34" i="45"/>
  <c r="W34" i="45"/>
  <c r="X34" i="45" s="1"/>
  <c r="S34" i="45"/>
  <c r="P34" i="45"/>
  <c r="N34" i="45"/>
  <c r="AM33" i="45"/>
  <c r="AL33" i="45"/>
  <c r="AK33" i="45"/>
  <c r="AJ33" i="45"/>
  <c r="AI33" i="45"/>
  <c r="W33" i="45"/>
  <c r="X33" i="45" s="1"/>
  <c r="S33" i="45"/>
  <c r="P33" i="45"/>
  <c r="N33" i="45"/>
  <c r="AM32" i="45"/>
  <c r="AL32" i="45"/>
  <c r="AK32" i="45"/>
  <c r="AJ32" i="45"/>
  <c r="AI32" i="45"/>
  <c r="W32" i="45"/>
  <c r="S32" i="45"/>
  <c r="P32" i="45"/>
  <c r="N32" i="45"/>
  <c r="AM31" i="45"/>
  <c r="AL31" i="45"/>
  <c r="AK31" i="45"/>
  <c r="AJ31" i="45"/>
  <c r="AI31" i="45"/>
  <c r="W31" i="45"/>
  <c r="X31" i="45" s="1"/>
  <c r="S31" i="45"/>
  <c r="P31" i="45"/>
  <c r="AM30" i="45"/>
  <c r="AL30" i="45"/>
  <c r="AK30" i="45"/>
  <c r="AJ30" i="45"/>
  <c r="AI30" i="45"/>
  <c r="W30" i="45"/>
  <c r="X30" i="45" s="1"/>
  <c r="S30" i="45"/>
  <c r="P30" i="45"/>
  <c r="N30" i="45"/>
  <c r="N27" i="45"/>
  <c r="N26" i="45"/>
  <c r="AM25" i="45"/>
  <c r="AL25" i="45"/>
  <c r="AK25" i="45"/>
  <c r="AJ25" i="45"/>
  <c r="AI25" i="45"/>
  <c r="W25" i="45"/>
  <c r="X25" i="45" s="1"/>
  <c r="S25" i="45"/>
  <c r="P25" i="45"/>
  <c r="N25" i="45"/>
  <c r="AM24" i="45"/>
  <c r="AL24" i="45"/>
  <c r="AK24" i="45"/>
  <c r="AJ24" i="45"/>
  <c r="AI24" i="45"/>
  <c r="W24" i="45"/>
  <c r="X24" i="45" s="1"/>
  <c r="S24" i="45"/>
  <c r="P24" i="45"/>
  <c r="N24" i="45"/>
  <c r="AM23" i="45"/>
  <c r="AL23" i="45"/>
  <c r="AK23" i="45"/>
  <c r="AJ23" i="45"/>
  <c r="AI23" i="45"/>
  <c r="W23" i="45"/>
  <c r="X23" i="45" s="1"/>
  <c r="S23" i="45"/>
  <c r="P23" i="45"/>
  <c r="N23" i="45"/>
  <c r="AM22" i="45"/>
  <c r="AL22" i="45"/>
  <c r="AK22" i="45"/>
  <c r="AJ22" i="45"/>
  <c r="AI22" i="45"/>
  <c r="W22" i="45"/>
  <c r="X22" i="45" s="1"/>
  <c r="S22" i="45"/>
  <c r="P22" i="45"/>
  <c r="N22" i="45"/>
  <c r="AM21" i="45"/>
  <c r="AL21" i="45"/>
  <c r="AK21" i="45"/>
  <c r="AJ21" i="45"/>
  <c r="AI21" i="45"/>
  <c r="W21" i="45"/>
  <c r="X21" i="45" s="1"/>
  <c r="S21" i="45"/>
  <c r="P21" i="45"/>
  <c r="N21" i="45"/>
  <c r="AM11" i="45"/>
  <c r="AL11" i="45"/>
  <c r="AK11" i="45"/>
  <c r="AJ11" i="45"/>
  <c r="AI11" i="45"/>
  <c r="S11" i="45"/>
  <c r="P11" i="45"/>
  <c r="N11" i="45"/>
  <c r="O11" i="45" s="1"/>
  <c r="AM10" i="45"/>
  <c r="AL10" i="45"/>
  <c r="AK10" i="45"/>
  <c r="AJ10" i="45"/>
  <c r="AI10" i="45"/>
  <c r="S10" i="45"/>
  <c r="P10" i="45"/>
  <c r="N10" i="45"/>
  <c r="AM9" i="45"/>
  <c r="AL9" i="45"/>
  <c r="AK9" i="45"/>
  <c r="AJ9" i="45"/>
  <c r="AI9" i="45"/>
  <c r="S9" i="45"/>
  <c r="P9" i="45"/>
  <c r="N9" i="45"/>
  <c r="AM8" i="45"/>
  <c r="AL8" i="45"/>
  <c r="AK8" i="45"/>
  <c r="AJ8" i="45"/>
  <c r="AI8" i="45"/>
  <c r="S8" i="45"/>
  <c r="P8" i="45"/>
  <c r="N8" i="45"/>
  <c r="O8" i="45" s="1"/>
  <c r="L10" i="9" l="1"/>
  <c r="L9" i="9"/>
  <c r="L8" i="9"/>
  <c r="L7" i="9"/>
  <c r="V90" i="9"/>
  <c r="V14" i="9"/>
  <c r="V29" i="9"/>
  <c r="V8" i="9"/>
  <c r="V9" i="9"/>
  <c r="V10" i="9"/>
  <c r="V51" i="9"/>
  <c r="A73" i="31"/>
  <c r="A74" i="31" s="1"/>
  <c r="A75" i="31" s="1"/>
  <c r="A76" i="31" s="1"/>
  <c r="A77" i="31" s="1"/>
  <c r="A79" i="31" s="1"/>
  <c r="A80" i="31" s="1"/>
  <c r="A81" i="31" s="1"/>
  <c r="A82" i="31" s="1"/>
  <c r="X7" i="31"/>
  <c r="L99" i="9"/>
  <c r="S99" i="9" s="1"/>
  <c r="BB76" i="31"/>
  <c r="X76" i="31"/>
  <c r="BB35" i="45"/>
  <c r="X35" i="45"/>
  <c r="BB32" i="45"/>
  <c r="X32" i="45"/>
  <c r="BB42" i="45"/>
  <c r="X42" i="45"/>
  <c r="BB46" i="45"/>
  <c r="X46" i="45"/>
  <c r="X39" i="45"/>
  <c r="X38" i="45"/>
  <c r="X36" i="45"/>
  <c r="O86" i="9"/>
  <c r="O85" i="9"/>
  <c r="O84" i="9"/>
  <c r="O88" i="9"/>
  <c r="O87" i="9"/>
  <c r="V113" i="9"/>
  <c r="AC113" i="9" s="1"/>
  <c r="V100" i="9"/>
  <c r="AC100" i="9" s="1"/>
  <c r="AD100" i="9" s="1"/>
  <c r="AE100" i="9" s="1"/>
  <c r="L101" i="9"/>
  <c r="S101" i="9" s="1"/>
  <c r="L97" i="9"/>
  <c r="S97" i="9" s="1"/>
  <c r="V95" i="9"/>
  <c r="AC95" i="9" s="1"/>
  <c r="AD95" i="9" s="1"/>
  <c r="AE95" i="9" s="1"/>
  <c r="L96" i="9"/>
  <c r="S96" i="9" s="1"/>
  <c r="L92" i="9"/>
  <c r="L102" i="9"/>
  <c r="S102" i="9" s="1"/>
  <c r="V112" i="9"/>
  <c r="AC112" i="9" s="1"/>
  <c r="AD112" i="9" s="1"/>
  <c r="AE112" i="9" s="1"/>
  <c r="V99" i="9"/>
  <c r="AC99" i="9" s="1"/>
  <c r="AD99" i="9" s="1"/>
  <c r="AE99" i="9" s="1"/>
  <c r="L100" i="9"/>
  <c r="S100" i="9" s="1"/>
  <c r="V92" i="9"/>
  <c r="V101" i="9"/>
  <c r="AC101" i="9" s="1"/>
  <c r="V111" i="9"/>
  <c r="AC111" i="9" s="1"/>
  <c r="AD111" i="9" s="1"/>
  <c r="AE111" i="9" s="1"/>
  <c r="V98" i="9"/>
  <c r="AC98" i="9" s="1"/>
  <c r="L112" i="9"/>
  <c r="S112" i="9" s="1"/>
  <c r="L93" i="9"/>
  <c r="S93" i="9" s="1"/>
  <c r="L103" i="9"/>
  <c r="S103" i="9" s="1"/>
  <c r="V97" i="9"/>
  <c r="AC97" i="9" s="1"/>
  <c r="L111" i="9"/>
  <c r="S111" i="9" s="1"/>
  <c r="L98" i="9"/>
  <c r="S98" i="9" s="1"/>
  <c r="V102" i="9"/>
  <c r="AC102" i="9" s="1"/>
  <c r="V96" i="9"/>
  <c r="AC96" i="9" s="1"/>
  <c r="AD96" i="9" s="1"/>
  <c r="AE96" i="9" s="1"/>
  <c r="V94" i="9"/>
  <c r="AC94" i="9" s="1"/>
  <c r="L95" i="9"/>
  <c r="S95" i="9" s="1"/>
  <c r="V93" i="9"/>
  <c r="AC93" i="9" s="1"/>
  <c r="L94" i="9"/>
  <c r="S94" i="9" s="1"/>
  <c r="V103" i="9"/>
  <c r="AC103" i="9" s="1"/>
  <c r="AD103" i="9" s="1"/>
  <c r="AE103" i="9" s="1"/>
  <c r="AN25" i="45"/>
  <c r="AN30" i="45"/>
  <c r="AA11" i="45"/>
  <c r="BB11" i="45"/>
  <c r="AB45" i="45"/>
  <c r="BB45" i="45"/>
  <c r="Z23" i="45"/>
  <c r="BB23" i="45"/>
  <c r="AA21" i="45"/>
  <c r="BB21" i="45"/>
  <c r="Z24" i="45"/>
  <c r="BB24" i="45"/>
  <c r="AA9" i="45"/>
  <c r="BB9" i="45"/>
  <c r="AA22" i="45"/>
  <c r="BB22" i="45"/>
  <c r="AB10" i="45"/>
  <c r="BB10" i="45"/>
  <c r="Z31" i="45"/>
  <c r="BB31" i="45"/>
  <c r="Z34" i="45"/>
  <c r="BB34" i="45"/>
  <c r="AA37" i="45"/>
  <c r="AB25" i="45"/>
  <c r="BB25" i="45"/>
  <c r="BB30" i="45"/>
  <c r="AB33" i="45"/>
  <c r="BB33" i="45"/>
  <c r="BB41" i="45"/>
  <c r="BB43" i="45"/>
  <c r="AB8" i="45"/>
  <c r="Z55" i="31"/>
  <c r="BB55" i="31"/>
  <c r="Z18" i="31"/>
  <c r="BB18" i="31"/>
  <c r="Z34" i="31"/>
  <c r="BB34" i="31"/>
  <c r="AB12" i="31"/>
  <c r="BB12" i="31"/>
  <c r="AB51" i="31"/>
  <c r="BB51" i="31"/>
  <c r="AA20" i="31"/>
  <c r="BB20" i="31"/>
  <c r="AA30" i="31"/>
  <c r="BB30" i="31"/>
  <c r="Z36" i="31"/>
  <c r="BB36" i="31"/>
  <c r="AB43" i="31"/>
  <c r="BB43" i="31"/>
  <c r="AA50" i="31"/>
  <c r="BB50" i="31"/>
  <c r="Z52" i="31"/>
  <c r="BB52" i="31"/>
  <c r="AA45" i="31"/>
  <c r="AB53" i="31"/>
  <c r="BB53" i="31"/>
  <c r="AA65" i="31"/>
  <c r="BB65" i="31"/>
  <c r="AA72" i="31"/>
  <c r="BB72" i="31"/>
  <c r="AB47" i="31"/>
  <c r="BB47" i="31"/>
  <c r="AA22" i="31"/>
  <c r="BB22" i="31"/>
  <c r="AB8" i="31"/>
  <c r="AB26" i="31"/>
  <c r="BB26" i="31"/>
  <c r="AA32" i="31"/>
  <c r="BB32" i="31"/>
  <c r="AA38" i="31"/>
  <c r="BB38" i="31"/>
  <c r="AB54" i="31"/>
  <c r="BB54" i="31"/>
  <c r="AB24" i="31"/>
  <c r="BB24" i="31"/>
  <c r="AA9" i="31"/>
  <c r="AB14" i="31"/>
  <c r="BB14" i="31"/>
  <c r="Z62" i="31"/>
  <c r="BB62" i="31"/>
  <c r="AB48" i="31"/>
  <c r="BB48" i="31"/>
  <c r="Z67" i="31"/>
  <c r="BB67" i="31"/>
  <c r="AB74" i="31"/>
  <c r="BB74" i="31"/>
  <c r="AB28" i="31"/>
  <c r="BB28" i="31"/>
  <c r="Z41" i="31"/>
  <c r="BB41" i="31"/>
  <c r="Z69" i="31"/>
  <c r="BB69" i="31"/>
  <c r="AB21" i="31"/>
  <c r="BB21" i="31"/>
  <c r="AB7" i="31"/>
  <c r="BB7" i="31"/>
  <c r="Z10" i="31"/>
  <c r="BB10" i="31"/>
  <c r="AB16" i="31"/>
  <c r="BB16" i="31"/>
  <c r="AB61" i="31"/>
  <c r="BB61" i="31"/>
  <c r="AN76" i="31"/>
  <c r="AN36" i="31"/>
  <c r="AN55" i="31"/>
  <c r="AA10" i="45"/>
  <c r="AN31" i="45"/>
  <c r="AN34" i="45"/>
  <c r="AN74" i="31"/>
  <c r="AN67" i="31"/>
  <c r="AN47" i="31"/>
  <c r="AN34" i="31"/>
  <c r="AN16" i="31"/>
  <c r="AN28" i="31"/>
  <c r="AN41" i="31"/>
  <c r="AN32" i="31"/>
  <c r="AN65" i="31"/>
  <c r="AN72" i="31"/>
  <c r="AN43" i="31"/>
  <c r="AN48" i="31"/>
  <c r="AN45" i="31"/>
  <c r="AN53" i="31"/>
  <c r="AN20" i="31"/>
  <c r="AN61" i="31"/>
  <c r="AN26" i="31"/>
  <c r="AB32" i="31"/>
  <c r="AN14" i="31"/>
  <c r="AN21" i="31"/>
  <c r="AN62" i="31"/>
  <c r="AN50" i="31"/>
  <c r="Z7" i="31"/>
  <c r="AN7" i="31"/>
  <c r="AN12" i="31"/>
  <c r="AN24" i="31"/>
  <c r="AN30" i="31"/>
  <c r="Z32" i="31"/>
  <c r="AN38" i="31"/>
  <c r="AA7" i="31"/>
  <c r="AN22" i="31"/>
  <c r="Z61" i="31"/>
  <c r="AB45" i="31"/>
  <c r="AA52" i="31"/>
  <c r="AN10" i="31"/>
  <c r="AN18" i="31"/>
  <c r="AN52" i="31"/>
  <c r="AA61" i="31"/>
  <c r="AN69" i="31"/>
  <c r="Z74" i="31"/>
  <c r="AN8" i="31"/>
  <c r="AB41" i="31"/>
  <c r="AB52" i="31"/>
  <c r="AB67" i="31"/>
  <c r="AA67" i="31"/>
  <c r="Z76" i="31"/>
  <c r="AB76" i="31"/>
  <c r="AA76" i="31"/>
  <c r="AA62" i="31"/>
  <c r="AA69" i="31"/>
  <c r="Z65" i="31"/>
  <c r="AB69" i="31"/>
  <c r="AB62" i="31"/>
  <c r="AB72" i="31"/>
  <c r="AB65" i="31"/>
  <c r="AA74" i="31"/>
  <c r="Z72" i="31"/>
  <c r="AA51" i="31"/>
  <c r="AN51" i="31"/>
  <c r="AN54" i="31"/>
  <c r="Z45" i="31"/>
  <c r="Z51" i="31"/>
  <c r="AA41" i="31"/>
  <c r="AA18" i="31"/>
  <c r="AB18" i="31"/>
  <c r="AA28" i="31"/>
  <c r="AA36" i="31"/>
  <c r="Z28" i="31"/>
  <c r="AB36" i="31"/>
  <c r="AB9" i="31"/>
  <c r="AN9" i="31"/>
  <c r="Z48" i="31"/>
  <c r="AB50" i="31"/>
  <c r="AA55" i="31"/>
  <c r="AA48" i="31"/>
  <c r="Z53" i="31"/>
  <c r="AB55" i="31"/>
  <c r="AA53" i="31"/>
  <c r="Z50" i="31"/>
  <c r="Z54" i="31"/>
  <c r="AA54" i="31"/>
  <c r="AA34" i="31"/>
  <c r="Z43" i="31"/>
  <c r="Z30" i="31"/>
  <c r="AB34" i="31"/>
  <c r="AA43" i="31"/>
  <c r="Z38" i="31"/>
  <c r="Z26" i="31"/>
  <c r="AB30" i="31"/>
  <c r="Z47" i="31"/>
  <c r="AB38" i="31"/>
  <c r="AA26" i="31"/>
  <c r="AA47" i="31"/>
  <c r="AA14" i="31"/>
  <c r="AA10" i="31"/>
  <c r="Z20" i="31"/>
  <c r="AB22" i="31"/>
  <c r="Z8" i="31"/>
  <c r="AB10" i="31"/>
  <c r="AB20" i="31"/>
  <c r="Z24" i="31"/>
  <c r="AA24" i="31"/>
  <c r="AA12" i="31"/>
  <c r="Z21" i="31"/>
  <c r="AA8" i="31"/>
  <c r="Z16" i="31"/>
  <c r="AA16" i="31"/>
  <c r="Z12" i="31"/>
  <c r="Z9" i="31"/>
  <c r="AA21" i="31"/>
  <c r="Z14" i="31"/>
  <c r="Z22" i="31"/>
  <c r="AB9" i="45"/>
  <c r="AN41" i="45"/>
  <c r="AN24" i="45"/>
  <c r="AN38" i="45"/>
  <c r="AN45" i="45"/>
  <c r="AN21" i="45"/>
  <c r="AB37" i="45"/>
  <c r="Z10" i="45"/>
  <c r="AN11" i="45"/>
  <c r="AN22" i="45"/>
  <c r="AN42" i="45"/>
  <c r="AA41" i="45"/>
  <c r="AB41" i="45"/>
  <c r="AB11" i="45"/>
  <c r="Z41" i="45"/>
  <c r="Z45" i="45"/>
  <c r="AN35" i="45"/>
  <c r="AB22" i="45"/>
  <c r="AN23" i="45"/>
  <c r="AN36" i="45"/>
  <c r="AB42" i="45"/>
  <c r="AA42" i="45"/>
  <c r="AN9" i="45"/>
  <c r="AN8" i="45"/>
  <c r="AB24" i="45"/>
  <c r="Z21" i="45"/>
  <c r="AB30" i="45"/>
  <c r="AA30" i="45"/>
  <c r="Z30" i="45"/>
  <c r="Z42" i="45"/>
  <c r="AA24" i="45"/>
  <c r="AA45" i="45"/>
  <c r="Z43" i="45"/>
  <c r="Z9" i="45"/>
  <c r="Z33" i="45"/>
  <c r="AN39" i="45"/>
  <c r="AA43" i="45"/>
  <c r="AN32" i="45"/>
  <c r="AA33" i="45"/>
  <c r="AB43" i="45"/>
  <c r="Z11" i="45"/>
  <c r="AN10" i="45"/>
  <c r="AA46" i="45"/>
  <c r="Z46" i="45"/>
  <c r="Z22" i="45"/>
  <c r="AA23" i="45"/>
  <c r="AA39" i="45"/>
  <c r="Z39" i="45"/>
  <c r="AB39" i="45"/>
  <c r="AB46" i="45"/>
  <c r="AB23" i="45"/>
  <c r="AB21" i="45"/>
  <c r="Z25" i="45"/>
  <c r="Z32" i="45"/>
  <c r="AB32" i="45"/>
  <c r="AA32" i="45"/>
  <c r="Z36" i="45"/>
  <c r="AB36" i="45"/>
  <c r="AA36" i="45"/>
  <c r="AA25" i="45"/>
  <c r="AA8" i="45"/>
  <c r="Z8" i="45"/>
  <c r="AN43" i="45"/>
  <c r="AA31" i="45"/>
  <c r="AB31" i="45"/>
  <c r="AN37" i="45"/>
  <c r="AN33" i="45"/>
  <c r="AN46" i="45"/>
  <c r="AA35" i="45"/>
  <c r="Z35" i="45"/>
  <c r="AB35" i="45"/>
  <c r="AB38" i="45"/>
  <c r="Z38" i="45"/>
  <c r="AA38" i="45"/>
  <c r="AB34" i="45"/>
  <c r="AA34" i="45"/>
  <c r="Z37" i="45"/>
  <c r="S92" i="9" l="1"/>
  <c r="AC92" i="9"/>
  <c r="AD92" i="9" s="1"/>
  <c r="AE92" i="9" s="1"/>
  <c r="AO25" i="45"/>
  <c r="AP25" i="45" s="1"/>
  <c r="Y86" i="9"/>
  <c r="O25" i="9"/>
  <c r="O62" i="9"/>
  <c r="O8" i="9"/>
  <c r="O63" i="9"/>
  <c r="Y33" i="9"/>
  <c r="O55" i="9"/>
  <c r="Y66" i="9"/>
  <c r="O81" i="9"/>
  <c r="Y17" i="9"/>
  <c r="O76" i="9"/>
  <c r="O78" i="9"/>
  <c r="Y62" i="9"/>
  <c r="O23" i="9"/>
  <c r="Y20" i="9"/>
  <c r="Y40" i="9"/>
  <c r="Y74" i="9"/>
  <c r="Y64" i="9"/>
  <c r="Y68" i="9"/>
  <c r="Y78" i="9"/>
  <c r="O34" i="9"/>
  <c r="Y80" i="9"/>
  <c r="O82" i="9"/>
  <c r="Y67" i="9"/>
  <c r="Y84" i="9"/>
  <c r="O77" i="9"/>
  <c r="O33" i="9"/>
  <c r="Y87" i="9"/>
  <c r="O21" i="9"/>
  <c r="O10" i="9"/>
  <c r="Y63" i="9"/>
  <c r="O56" i="9"/>
  <c r="Y71" i="9"/>
  <c r="Y75" i="9"/>
  <c r="O38" i="9"/>
  <c r="O39" i="9"/>
  <c r="O35" i="9"/>
  <c r="Y56" i="9"/>
  <c r="O52" i="9"/>
  <c r="O26" i="9"/>
  <c r="O80" i="9"/>
  <c r="O36" i="9"/>
  <c r="O50" i="9"/>
  <c r="O20" i="9"/>
  <c r="O74" i="9"/>
  <c r="O14" i="9"/>
  <c r="Y10" i="9"/>
  <c r="Y39" i="9"/>
  <c r="O70" i="9"/>
  <c r="O69" i="9"/>
  <c r="Y73" i="9"/>
  <c r="Y81" i="9"/>
  <c r="O51" i="9"/>
  <c r="O41" i="9"/>
  <c r="O15" i="9"/>
  <c r="Y55" i="9"/>
  <c r="Y34" i="9"/>
  <c r="O19" i="9"/>
  <c r="Y79" i="9"/>
  <c r="Y52" i="9"/>
  <c r="Y37" i="9"/>
  <c r="O17" i="9"/>
  <c r="Y65" i="9"/>
  <c r="Y21" i="9"/>
  <c r="O75" i="9"/>
  <c r="Y15" i="9"/>
  <c r="Y50" i="9"/>
  <c r="O16" i="9"/>
  <c r="O66" i="9"/>
  <c r="O65" i="9"/>
  <c r="O53" i="9"/>
  <c r="Y38" i="9"/>
  <c r="Y22" i="9"/>
  <c r="O22" i="9"/>
  <c r="O64" i="9"/>
  <c r="Y51" i="9"/>
  <c r="Y76" i="9"/>
  <c r="Y69" i="9"/>
  <c r="Y18" i="9"/>
  <c r="Y19" i="9"/>
  <c r="Y14" i="9"/>
  <c r="Y70" i="9"/>
  <c r="O73" i="9"/>
  <c r="Y8" i="9"/>
  <c r="Y53" i="9"/>
  <c r="O40" i="9"/>
  <c r="Y82" i="9"/>
  <c r="O68" i="9"/>
  <c r="Y23" i="9"/>
  <c r="O67" i="9"/>
  <c r="O37" i="9"/>
  <c r="Y36" i="9"/>
  <c r="Y85" i="9"/>
  <c r="Y41" i="9"/>
  <c r="Y25" i="9"/>
  <c r="O79" i="9"/>
  <c r="Y88" i="9"/>
  <c r="Y7" i="9"/>
  <c r="Y77" i="9"/>
  <c r="O18" i="9"/>
  <c r="Y26" i="9"/>
  <c r="O7" i="9"/>
  <c r="Y35" i="9"/>
  <c r="Y16" i="9"/>
  <c r="O71" i="9"/>
  <c r="AU25" i="45"/>
  <c r="AO30" i="45"/>
  <c r="AP30" i="45" s="1"/>
  <c r="AO34" i="31"/>
  <c r="AP34" i="31" s="1"/>
  <c r="AW34" i="31" s="1"/>
  <c r="AD93" i="9"/>
  <c r="AE93" i="9" s="1"/>
  <c r="AD102" i="9"/>
  <c r="AE102" i="9" s="1"/>
  <c r="AD98" i="9"/>
  <c r="AE98" i="9" s="1"/>
  <c r="AD94" i="9"/>
  <c r="AE94" i="9" s="1"/>
  <c r="AD101" i="9"/>
  <c r="AE101" i="9" s="1"/>
  <c r="AD97" i="9"/>
  <c r="AE97" i="9" s="1"/>
  <c r="AD113" i="9"/>
  <c r="AE113" i="9" s="1"/>
  <c r="AO52" i="31"/>
  <c r="AP52" i="31" s="1"/>
  <c r="AO41" i="31"/>
  <c r="AP41" i="31" s="1"/>
  <c r="AW41" i="31" s="1"/>
  <c r="AO24" i="45"/>
  <c r="AP24" i="45" s="1"/>
  <c r="AO69" i="31"/>
  <c r="AP69" i="31" s="1"/>
  <c r="AW69" i="31" s="1"/>
  <c r="AO18" i="31"/>
  <c r="AP18" i="31" s="1"/>
  <c r="AW18" i="31" s="1"/>
  <c r="AO76" i="31"/>
  <c r="AP76" i="31" s="1"/>
  <c r="AW76" i="31" s="1"/>
  <c r="AO55" i="31"/>
  <c r="AP55" i="31" s="1"/>
  <c r="AO34" i="45"/>
  <c r="AP34" i="45" s="1"/>
  <c r="AW34" i="45" s="1"/>
  <c r="AO23" i="45"/>
  <c r="AP23" i="45" s="1"/>
  <c r="AW23" i="45" s="1"/>
  <c r="AO31" i="45"/>
  <c r="AP31" i="45" s="1"/>
  <c r="AO36" i="31"/>
  <c r="AP36" i="31" s="1"/>
  <c r="AW36" i="31" s="1"/>
  <c r="AO67" i="31"/>
  <c r="AP67" i="31" s="1"/>
  <c r="AO62" i="31"/>
  <c r="AP62" i="31" s="1"/>
  <c r="AO10" i="31"/>
  <c r="AP10" i="31" s="1"/>
  <c r="AO74" i="31"/>
  <c r="AP74" i="31" s="1"/>
  <c r="AO47" i="31"/>
  <c r="AP47" i="31" s="1"/>
  <c r="AO41" i="45"/>
  <c r="AP41" i="45" s="1"/>
  <c r="AO65" i="31"/>
  <c r="AP65" i="31" s="1"/>
  <c r="AW65" i="31" s="1"/>
  <c r="AO16" i="31"/>
  <c r="AP16" i="31" s="1"/>
  <c r="AW16" i="31" s="1"/>
  <c r="AO43" i="31"/>
  <c r="AP43" i="31" s="1"/>
  <c r="AW43" i="31" s="1"/>
  <c r="AO28" i="31"/>
  <c r="AP28" i="31" s="1"/>
  <c r="AW28" i="31" s="1"/>
  <c r="AO32" i="31"/>
  <c r="AP32" i="31" s="1"/>
  <c r="AW32" i="31" s="1"/>
  <c r="AO38" i="31"/>
  <c r="AP38" i="31" s="1"/>
  <c r="AW38" i="31" s="1"/>
  <c r="AO72" i="31"/>
  <c r="AP72" i="31" s="1"/>
  <c r="AW72" i="31" s="1"/>
  <c r="AO54" i="31"/>
  <c r="AP54" i="31" s="1"/>
  <c r="AO45" i="31"/>
  <c r="AP45" i="31" s="1"/>
  <c r="AO8" i="31"/>
  <c r="AP8" i="31" s="1"/>
  <c r="AW8" i="31" s="1"/>
  <c r="AO20" i="31"/>
  <c r="AO48" i="31"/>
  <c r="AP48" i="31" s="1"/>
  <c r="AO61" i="31"/>
  <c r="AP61" i="31" s="1"/>
  <c r="AO53" i="31"/>
  <c r="AP53" i="31" s="1"/>
  <c r="AW53" i="31" s="1"/>
  <c r="AO7" i="31"/>
  <c r="AP7" i="31" s="1"/>
  <c r="AW7" i="31" s="1"/>
  <c r="AO24" i="31"/>
  <c r="AP24" i="31" s="1"/>
  <c r="AW24" i="31" s="1"/>
  <c r="AO14" i="31"/>
  <c r="AP14" i="31" s="1"/>
  <c r="AW14" i="31" s="1"/>
  <c r="AO21" i="31"/>
  <c r="AP21" i="31" s="1"/>
  <c r="AO51" i="31"/>
  <c r="AP51" i="31" s="1"/>
  <c r="AO26" i="31"/>
  <c r="AP26" i="31" s="1"/>
  <c r="AW26" i="31" s="1"/>
  <c r="AO30" i="31"/>
  <c r="AP30" i="31" s="1"/>
  <c r="AW30" i="31" s="1"/>
  <c r="AO22" i="31"/>
  <c r="AP22" i="31" s="1"/>
  <c r="AW22" i="31" s="1"/>
  <c r="AO50" i="31"/>
  <c r="AP50" i="31" s="1"/>
  <c r="AO12" i="31"/>
  <c r="AP12" i="31" s="1"/>
  <c r="AW12" i="31" s="1"/>
  <c r="AO9" i="31"/>
  <c r="AP9" i="31" s="1"/>
  <c r="AW9" i="31" s="1"/>
  <c r="AO45" i="45"/>
  <c r="AP45" i="45" s="1"/>
  <c r="AW45" i="45" s="1"/>
  <c r="AO38" i="45"/>
  <c r="AO33" i="45"/>
  <c r="AP33" i="45" s="1"/>
  <c r="AW33" i="45" s="1"/>
  <c r="AO21" i="45"/>
  <c r="AP21" i="45" s="1"/>
  <c r="AO11" i="45"/>
  <c r="AP11" i="45" s="1"/>
  <c r="AO22" i="45"/>
  <c r="AP22" i="45" s="1"/>
  <c r="AO10" i="45"/>
  <c r="AP10" i="45" s="1"/>
  <c r="AW10" i="45" s="1"/>
  <c r="AO32" i="45"/>
  <c r="AP32" i="45" s="1"/>
  <c r="AW32" i="45" s="1"/>
  <c r="AO42" i="45"/>
  <c r="AP42" i="45" s="1"/>
  <c r="AW42" i="45" s="1"/>
  <c r="AO9" i="45"/>
  <c r="AP9" i="45" s="1"/>
  <c r="AW9" i="45" s="1"/>
  <c r="AO43" i="45"/>
  <c r="AP43" i="45" s="1"/>
  <c r="AW43" i="45" s="1"/>
  <c r="AO35" i="45"/>
  <c r="AP35" i="45" s="1"/>
  <c r="AW35" i="45" s="1"/>
  <c r="AO36" i="45"/>
  <c r="AO8" i="45"/>
  <c r="AP8" i="45" s="1"/>
  <c r="AW8" i="45" s="1"/>
  <c r="AO39" i="45"/>
  <c r="AR25" i="45"/>
  <c r="AS25" i="45" s="1"/>
  <c r="AO37" i="45"/>
  <c r="AO46" i="45"/>
  <c r="AX30" i="45" l="1"/>
  <c r="AW30" i="45"/>
  <c r="AX41" i="45"/>
  <c r="AW41" i="45"/>
  <c r="BC24" i="45"/>
  <c r="EO24" i="45" s="1"/>
  <c r="AW24" i="45"/>
  <c r="AX21" i="45"/>
  <c r="O89" i="9" s="1"/>
  <c r="AW21" i="45"/>
  <c r="AX31" i="45"/>
  <c r="AW31" i="45"/>
  <c r="AX25" i="45"/>
  <c r="AW25" i="45"/>
  <c r="AT11" i="45"/>
  <c r="AU11" i="45" s="1"/>
  <c r="AW11" i="45"/>
  <c r="AX22" i="45"/>
  <c r="O61" i="9" s="1"/>
  <c r="AW22" i="45"/>
  <c r="AV48" i="31"/>
  <c r="AW48" i="31"/>
  <c r="AV54" i="31"/>
  <c r="AW54" i="31"/>
  <c r="AV62" i="31"/>
  <c r="AW62" i="31"/>
  <c r="AX52" i="31"/>
  <c r="AW52" i="31"/>
  <c r="AV51" i="31"/>
  <c r="AW51" i="31"/>
  <c r="AX67" i="31"/>
  <c r="AW67" i="31"/>
  <c r="AV61" i="31"/>
  <c r="AW61" i="31"/>
  <c r="AV47" i="31"/>
  <c r="AW47" i="31"/>
  <c r="AV50" i="31"/>
  <c r="AW50" i="31"/>
  <c r="AT74" i="31"/>
  <c r="AU74" i="31" s="1"/>
  <c r="AW74" i="31"/>
  <c r="AV21" i="31"/>
  <c r="AW21" i="31"/>
  <c r="AV45" i="31"/>
  <c r="AW45" i="31"/>
  <c r="AT10" i="31"/>
  <c r="AU10" i="31" s="1"/>
  <c r="AW10" i="31"/>
  <c r="AV55" i="31"/>
  <c r="AW55" i="31"/>
  <c r="AQ25" i="45"/>
  <c r="AV25" i="45"/>
  <c r="AV69" i="31"/>
  <c r="AX69" i="31"/>
  <c r="AV65" i="31"/>
  <c r="AX65" i="31"/>
  <c r="AT65" i="31"/>
  <c r="AU65" i="31" s="1"/>
  <c r="AT67" i="31"/>
  <c r="AU67" i="31" s="1"/>
  <c r="AT69" i="31"/>
  <c r="AU69" i="31" s="1"/>
  <c r="AZ25" i="45"/>
  <c r="BC25" i="45"/>
  <c r="EB25" i="45" s="1"/>
  <c r="AV9" i="31"/>
  <c r="AT9" i="31"/>
  <c r="AU9" i="31" s="1"/>
  <c r="AV8" i="31"/>
  <c r="AT8" i="31"/>
  <c r="AU8" i="31" s="1"/>
  <c r="EV24" i="45"/>
  <c r="DX24" i="45"/>
  <c r="AV22" i="31"/>
  <c r="AT22" i="31"/>
  <c r="AU22" i="31" s="1"/>
  <c r="AV30" i="31"/>
  <c r="AT30" i="31"/>
  <c r="AU30" i="31" s="1"/>
  <c r="AV26" i="31"/>
  <c r="AT26" i="31"/>
  <c r="AU26" i="31" s="1"/>
  <c r="AV14" i="31"/>
  <c r="AT14" i="31"/>
  <c r="AU14" i="31" s="1"/>
  <c r="AV24" i="31"/>
  <c r="AT24" i="31"/>
  <c r="AU24" i="31" s="1"/>
  <c r="AV72" i="31"/>
  <c r="AT72" i="31"/>
  <c r="AU72" i="31" s="1"/>
  <c r="AV38" i="31"/>
  <c r="AT38" i="31"/>
  <c r="AU38" i="31" s="1"/>
  <c r="AV32" i="31"/>
  <c r="AT32" i="31"/>
  <c r="AU32" i="31" s="1"/>
  <c r="AV28" i="31"/>
  <c r="AT28" i="31"/>
  <c r="AU28" i="31" s="1"/>
  <c r="AV43" i="31"/>
  <c r="AT43" i="31"/>
  <c r="AU43" i="31" s="1"/>
  <c r="AV16" i="31"/>
  <c r="AT16" i="31"/>
  <c r="AU16" i="31" s="1"/>
  <c r="AV36" i="31"/>
  <c r="AT36" i="31"/>
  <c r="AU36" i="31" s="1"/>
  <c r="AV76" i="31"/>
  <c r="AT76" i="31"/>
  <c r="AU76" i="31" s="1"/>
  <c r="AV18" i="31"/>
  <c r="AT18" i="31"/>
  <c r="AU18" i="31" s="1"/>
  <c r="AV41" i="31"/>
  <c r="AT41" i="31"/>
  <c r="AU41" i="31" s="1"/>
  <c r="AV34" i="31"/>
  <c r="AT34" i="31"/>
  <c r="AU34" i="31" s="1"/>
  <c r="AV12" i="31"/>
  <c r="AT12" i="31"/>
  <c r="AU12" i="31" s="1"/>
  <c r="AR18" i="31"/>
  <c r="AS18" i="31" s="1"/>
  <c r="AQ52" i="31"/>
  <c r="AV24" i="45"/>
  <c r="AQ24" i="45"/>
  <c r="AU24" i="45"/>
  <c r="AZ33" i="45"/>
  <c r="AX33" i="45"/>
  <c r="AZ35" i="45"/>
  <c r="AX35" i="45"/>
  <c r="AU9" i="45"/>
  <c r="AX9" i="45"/>
  <c r="AU23" i="45"/>
  <c r="AX23" i="45"/>
  <c r="AZ45" i="45"/>
  <c r="AX45" i="45"/>
  <c r="AZ32" i="45"/>
  <c r="AX32" i="45"/>
  <c r="AZ42" i="45"/>
  <c r="AX42" i="45"/>
  <c r="AZ43" i="45"/>
  <c r="AX43" i="45"/>
  <c r="AU10" i="45"/>
  <c r="AX10" i="45"/>
  <c r="AR24" i="45"/>
  <c r="AS24" i="45" s="1"/>
  <c r="AX24" i="45"/>
  <c r="AX34" i="45"/>
  <c r="AX11" i="45"/>
  <c r="BC9" i="45"/>
  <c r="ET9" i="45" s="1"/>
  <c r="AZ9" i="45"/>
  <c r="AR23" i="45"/>
  <c r="AS23" i="45" s="1"/>
  <c r="AZ23" i="45"/>
  <c r="BC41" i="45"/>
  <c r="AZ41" i="45"/>
  <c r="AZ24" i="45"/>
  <c r="AZ34" i="45"/>
  <c r="AZ10" i="45"/>
  <c r="AZ21" i="45"/>
  <c r="Y89" i="9" s="1"/>
  <c r="AR34" i="31"/>
  <c r="AS34" i="31" s="1"/>
  <c r="AQ34" i="31"/>
  <c r="AX34" i="31"/>
  <c r="BC31" i="45"/>
  <c r="AZ31" i="45"/>
  <c r="AZ30" i="45"/>
  <c r="AU22" i="45"/>
  <c r="AZ22" i="45"/>
  <c r="BC11" i="45"/>
  <c r="ET11" i="45" s="1"/>
  <c r="AZ11" i="45"/>
  <c r="AT8" i="45"/>
  <c r="AU8" i="45" s="1"/>
  <c r="AV67" i="31"/>
  <c r="AZ10" i="31"/>
  <c r="AV10" i="31"/>
  <c r="AZ7" i="31"/>
  <c r="AV7" i="31"/>
  <c r="AR52" i="31"/>
  <c r="AS52" i="31" s="1"/>
  <c r="AV52" i="31"/>
  <c r="AZ74" i="31"/>
  <c r="AV74" i="31"/>
  <c r="AZ53" i="31"/>
  <c r="AV53" i="31"/>
  <c r="AP20" i="31"/>
  <c r="BC32" i="31"/>
  <c r="FZ32" i="31" s="1"/>
  <c r="AZ32" i="31"/>
  <c r="BC72" i="31"/>
  <c r="EQ72" i="31" s="1"/>
  <c r="AZ72" i="31"/>
  <c r="BC38" i="31"/>
  <c r="FZ38" i="31" s="1"/>
  <c r="AZ38" i="31"/>
  <c r="BC18" i="31"/>
  <c r="AZ18" i="31"/>
  <c r="BC61" i="31"/>
  <c r="AZ61" i="31"/>
  <c r="BC22" i="31"/>
  <c r="AZ22" i="31"/>
  <c r="BC36" i="31"/>
  <c r="FZ36" i="31" s="1"/>
  <c r="AZ36" i="31"/>
  <c r="BC28" i="31"/>
  <c r="AZ28" i="31"/>
  <c r="BC65" i="31"/>
  <c r="EP65" i="31" s="1"/>
  <c r="AZ65" i="31"/>
  <c r="BC41" i="31"/>
  <c r="AZ41" i="31"/>
  <c r="BC69" i="31"/>
  <c r="EP69" i="31" s="1"/>
  <c r="AZ69" i="31"/>
  <c r="BC50" i="31"/>
  <c r="AZ50" i="31"/>
  <c r="BC67" i="31"/>
  <c r="EP67" i="31" s="1"/>
  <c r="AZ67" i="31"/>
  <c r="BC30" i="31"/>
  <c r="AZ30" i="31"/>
  <c r="BC26" i="31"/>
  <c r="AZ26" i="31"/>
  <c r="BC47" i="31"/>
  <c r="EQ47" i="31" s="1"/>
  <c r="AZ47" i="31"/>
  <c r="BC52" i="31"/>
  <c r="AZ52" i="31"/>
  <c r="BC16" i="31"/>
  <c r="AZ16" i="31"/>
  <c r="BC48" i="31"/>
  <c r="EQ48" i="31" s="1"/>
  <c r="AZ48" i="31"/>
  <c r="BC51" i="31"/>
  <c r="AZ51" i="31"/>
  <c r="BC55" i="31"/>
  <c r="EU55" i="31" s="1"/>
  <c r="AZ55" i="31"/>
  <c r="BC34" i="31"/>
  <c r="FZ34" i="31" s="1"/>
  <c r="AZ34" i="31"/>
  <c r="BC14" i="31"/>
  <c r="AZ14" i="31"/>
  <c r="BC24" i="31"/>
  <c r="AZ24" i="31"/>
  <c r="BC43" i="31"/>
  <c r="AZ43" i="31"/>
  <c r="BC12" i="31"/>
  <c r="AZ12" i="31"/>
  <c r="BC62" i="31"/>
  <c r="AZ62" i="31"/>
  <c r="BC21" i="31"/>
  <c r="AZ21" i="31"/>
  <c r="BC54" i="31"/>
  <c r="EU54" i="31" s="1"/>
  <c r="AZ54" i="31"/>
  <c r="BC76" i="31"/>
  <c r="EQ76" i="31" s="1"/>
  <c r="AZ76" i="31"/>
  <c r="AR41" i="31"/>
  <c r="AS41" i="31" s="1"/>
  <c r="AX36" i="31"/>
  <c r="AQ67" i="31"/>
  <c r="AR36" i="31"/>
  <c r="AS36" i="31" s="1"/>
  <c r="AX18" i="31"/>
  <c r="AX41" i="31"/>
  <c r="AQ36" i="31"/>
  <c r="AQ41" i="31"/>
  <c r="AR67" i="31"/>
  <c r="AS67" i="31" s="1"/>
  <c r="AX62" i="31"/>
  <c r="AQ62" i="31"/>
  <c r="AR62" i="31"/>
  <c r="AS62" i="31" s="1"/>
  <c r="AV34" i="45"/>
  <c r="AQ34" i="45"/>
  <c r="AR34" i="45"/>
  <c r="AS34" i="45" s="1"/>
  <c r="BC34" i="45"/>
  <c r="AQ18" i="31"/>
  <c r="AQ55" i="31"/>
  <c r="AX55" i="31"/>
  <c r="AR55" i="31"/>
  <c r="AS55" i="31" s="1"/>
  <c r="AR31" i="45"/>
  <c r="AS31" i="45" s="1"/>
  <c r="BC23" i="45"/>
  <c r="AQ23" i="45"/>
  <c r="AR21" i="45"/>
  <c r="AS21" i="45" s="1"/>
  <c r="AV21" i="45"/>
  <c r="BC21" i="45"/>
  <c r="ET21" i="45" s="1"/>
  <c r="AV33" i="45"/>
  <c r="AV39" i="45"/>
  <c r="AR38" i="45"/>
  <c r="AS38" i="45" s="1"/>
  <c r="AV38" i="45"/>
  <c r="AQ9" i="45"/>
  <c r="AV9" i="45"/>
  <c r="AV45" i="45"/>
  <c r="AQ31" i="45"/>
  <c r="AV31" i="45"/>
  <c r="AR8" i="45"/>
  <c r="AS8" i="45" s="1"/>
  <c r="AV8" i="45"/>
  <c r="AV10" i="45"/>
  <c r="BC10" i="45"/>
  <c r="ET10" i="45" s="1"/>
  <c r="AV23" i="45"/>
  <c r="BC33" i="45"/>
  <c r="BC42" i="45"/>
  <c r="AV42" i="45"/>
  <c r="AQ22" i="45"/>
  <c r="AV22" i="45"/>
  <c r="BC45" i="45"/>
  <c r="AQ30" i="45"/>
  <c r="BC30" i="45"/>
  <c r="AV30" i="45"/>
  <c r="AQ43" i="45"/>
  <c r="AV43" i="45"/>
  <c r="AV36" i="45"/>
  <c r="AR11" i="45"/>
  <c r="AS11" i="45" s="1"/>
  <c r="AV11" i="45"/>
  <c r="BC43" i="45"/>
  <c r="BC22" i="45"/>
  <c r="AR41" i="45"/>
  <c r="AS41" i="45" s="1"/>
  <c r="AV41" i="45"/>
  <c r="BC32" i="45"/>
  <c r="AV32" i="45"/>
  <c r="AV35" i="45"/>
  <c r="BC35" i="45"/>
  <c r="AQ41" i="45"/>
  <c r="AX10" i="31"/>
  <c r="BC10" i="31"/>
  <c r="AQ10" i="31"/>
  <c r="BC53" i="31"/>
  <c r="AR74" i="31"/>
  <c r="AS74" i="31" s="1"/>
  <c r="BC74" i="31"/>
  <c r="EQ74" i="31" s="1"/>
  <c r="AR10" i="31"/>
  <c r="AS10" i="31" s="1"/>
  <c r="AQ7" i="31"/>
  <c r="BC7" i="31"/>
  <c r="AQ74" i="31"/>
  <c r="AR47" i="31"/>
  <c r="AS47" i="31" s="1"/>
  <c r="AX74" i="31"/>
  <c r="AQ76" i="31"/>
  <c r="AR65" i="31"/>
  <c r="AS65" i="31" s="1"/>
  <c r="AQ50" i="31"/>
  <c r="AX51" i="31"/>
  <c r="AX47" i="31"/>
  <c r="AQ47" i="31"/>
  <c r="AQ48" i="31"/>
  <c r="AR43" i="31"/>
  <c r="AS43" i="31" s="1"/>
  <c r="AQ38" i="31"/>
  <c r="AR21" i="31"/>
  <c r="AU21" i="31"/>
  <c r="AQ14" i="31"/>
  <c r="AR30" i="31"/>
  <c r="AS30" i="31" s="1"/>
  <c r="AQ9" i="31"/>
  <c r="AX12" i="31"/>
  <c r="AR26" i="31"/>
  <c r="AS26" i="31" s="1"/>
  <c r="AX28" i="31"/>
  <c r="AR16" i="31"/>
  <c r="AS16" i="31" s="1"/>
  <c r="AX16" i="31"/>
  <c r="AQ16" i="31"/>
  <c r="AQ28" i="31"/>
  <c r="AX43" i="31"/>
  <c r="AR28" i="31"/>
  <c r="AS28" i="31" s="1"/>
  <c r="AQ43" i="31"/>
  <c r="AR45" i="31"/>
  <c r="AS45" i="31" s="1"/>
  <c r="AX7" i="31"/>
  <c r="AR8" i="31"/>
  <c r="AS8" i="31" s="1"/>
  <c r="AR24" i="31"/>
  <c r="AS24" i="31" s="1"/>
  <c r="AX24" i="31"/>
  <c r="AQ8" i="31"/>
  <c r="AR7" i="31"/>
  <c r="AS7" i="31" s="1"/>
  <c r="AQ45" i="31"/>
  <c r="AR61" i="31"/>
  <c r="AS61" i="31" s="1"/>
  <c r="AQ30" i="31"/>
  <c r="AQ24" i="31"/>
  <c r="AX61" i="31"/>
  <c r="AQ61" i="31"/>
  <c r="AX30" i="31"/>
  <c r="AQ26" i="31"/>
  <c r="AQ51" i="31"/>
  <c r="AQ21" i="31"/>
  <c r="AX21" i="31"/>
  <c r="AX26" i="31"/>
  <c r="AR51" i="31"/>
  <c r="AS51" i="31" s="1"/>
  <c r="AQ12" i="31"/>
  <c r="AR12" i="31"/>
  <c r="AS12" i="31" s="1"/>
  <c r="AQ65" i="31"/>
  <c r="AR69" i="31"/>
  <c r="AS69" i="31" s="1"/>
  <c r="AR72" i="31"/>
  <c r="AS72" i="31" s="1"/>
  <c r="AX72" i="31"/>
  <c r="AX76" i="31"/>
  <c r="AR76" i="31"/>
  <c r="AS76" i="31" s="1"/>
  <c r="AQ72" i="31"/>
  <c r="AQ69" i="31"/>
  <c r="AR48" i="31"/>
  <c r="AS48" i="31" s="1"/>
  <c r="AX50" i="31"/>
  <c r="AX54" i="31"/>
  <c r="AX48" i="31"/>
  <c r="AR53" i="31"/>
  <c r="AS53" i="31" s="1"/>
  <c r="AX53" i="31"/>
  <c r="AQ54" i="31"/>
  <c r="AR54" i="31"/>
  <c r="AS54" i="31" s="1"/>
  <c r="AQ53" i="31"/>
  <c r="AR50" i="31"/>
  <c r="AS50" i="31" s="1"/>
  <c r="AX38" i="31"/>
  <c r="AR38" i="31"/>
  <c r="AS38" i="31" s="1"/>
  <c r="AR32" i="31"/>
  <c r="AS32" i="31" s="1"/>
  <c r="AX32" i="31"/>
  <c r="AQ32" i="31"/>
  <c r="AX22" i="31"/>
  <c r="AR22" i="31"/>
  <c r="AS22" i="31" s="1"/>
  <c r="AR9" i="31"/>
  <c r="AS9" i="31" s="1"/>
  <c r="AQ22" i="31"/>
  <c r="AX14" i="31"/>
  <c r="AR14" i="31"/>
  <c r="AS14" i="31" s="1"/>
  <c r="AR45" i="45"/>
  <c r="AS45" i="45" s="1"/>
  <c r="AQ21" i="45"/>
  <c r="AQ33" i="45"/>
  <c r="AQ45" i="45"/>
  <c r="AR33" i="45"/>
  <c r="AS33" i="45" s="1"/>
  <c r="AQ11" i="45"/>
  <c r="AR10" i="45"/>
  <c r="AS10" i="45" s="1"/>
  <c r="AQ10" i="45"/>
  <c r="AQ42" i="45"/>
  <c r="AR42" i="45"/>
  <c r="AS42" i="45" s="1"/>
  <c r="AR36" i="45"/>
  <c r="AS36" i="45" s="1"/>
  <c r="AQ36" i="45"/>
  <c r="AQ38" i="45"/>
  <c r="AR32" i="45"/>
  <c r="AS32" i="45" s="1"/>
  <c r="AQ8" i="45"/>
  <c r="AR43" i="45"/>
  <c r="AS43" i="45" s="1"/>
  <c r="AR39" i="45"/>
  <c r="AS39" i="45" s="1"/>
  <c r="AQ32" i="45"/>
  <c r="AQ39" i="45"/>
  <c r="AR9" i="45"/>
  <c r="AS9" i="45" s="1"/>
  <c r="AQ35" i="45"/>
  <c r="AR35" i="45"/>
  <c r="AS35" i="45" s="1"/>
  <c r="AR30" i="45"/>
  <c r="AS30" i="45" s="1"/>
  <c r="AP46" i="45"/>
  <c r="AR22" i="45"/>
  <c r="AS22" i="45" s="1"/>
  <c r="Y48" i="9" l="1"/>
  <c r="Y49" i="9"/>
  <c r="O48" i="9"/>
  <c r="O49" i="9"/>
  <c r="O46" i="9"/>
  <c r="O47" i="9"/>
  <c r="Y46" i="9"/>
  <c r="Y47" i="9"/>
  <c r="Y11" i="9"/>
  <c r="O11" i="9"/>
  <c r="EU85" i="31"/>
  <c r="EU87" i="31" s="1"/>
  <c r="EU88" i="31" s="1"/>
  <c r="EU93" i="31" s="1"/>
  <c r="EU94" i="31" s="1"/>
  <c r="ET102" i="45"/>
  <c r="DY24" i="45"/>
  <c r="EA24" i="45"/>
  <c r="EB24" i="45"/>
  <c r="ER24" i="45"/>
  <c r="EF24" i="45"/>
  <c r="EN24" i="45"/>
  <c r="AX46" i="45"/>
  <c r="O57" i="9" s="1"/>
  <c r="AW46" i="45"/>
  <c r="AV20" i="31"/>
  <c r="AW20" i="31"/>
  <c r="EQ85" i="31"/>
  <c r="FZ85" i="31"/>
  <c r="DX25" i="45"/>
  <c r="DY25" i="45"/>
  <c r="EA25" i="45"/>
  <c r="EF25" i="45"/>
  <c r="EN25" i="45"/>
  <c r="EO25" i="45"/>
  <c r="ER25" i="45"/>
  <c r="EV25" i="45"/>
  <c r="O45" i="9"/>
  <c r="EC45" i="31"/>
  <c r="DX45" i="31"/>
  <c r="ED45" i="31"/>
  <c r="EA45" i="31"/>
  <c r="DX8" i="31"/>
  <c r="EG8" i="31"/>
  <c r="EF8" i="31"/>
  <c r="EA8" i="31"/>
  <c r="EB8" i="31"/>
  <c r="DX53" i="31"/>
  <c r="FR53" i="31"/>
  <c r="FP53" i="31"/>
  <c r="EO48" i="31"/>
  <c r="EN48" i="31"/>
  <c r="EB48" i="31"/>
  <c r="EA48" i="31"/>
  <c r="EF48" i="31"/>
  <c r="DX48" i="31"/>
  <c r="EP48" i="31"/>
  <c r="EV54" i="31"/>
  <c r="ER54" i="31"/>
  <c r="EF54" i="31"/>
  <c r="EO54" i="31"/>
  <c r="EN54" i="31"/>
  <c r="EB54" i="31"/>
  <c r="EA54" i="31"/>
  <c r="DX54" i="31"/>
  <c r="DX52" i="31"/>
  <c r="FR52" i="31"/>
  <c r="FP52" i="31"/>
  <c r="ER55" i="31"/>
  <c r="EF55" i="31"/>
  <c r="EO55" i="31"/>
  <c r="EN55" i="31"/>
  <c r="EB55" i="31"/>
  <c r="EV55" i="31"/>
  <c r="EA55" i="31"/>
  <c r="DX55" i="31"/>
  <c r="EF47" i="31"/>
  <c r="EP47" i="31"/>
  <c r="EO47" i="31"/>
  <c r="EN47" i="31"/>
  <c r="EB47" i="31"/>
  <c r="EA47" i="31"/>
  <c r="DX47" i="31"/>
  <c r="EG9" i="31"/>
  <c r="EF9" i="31"/>
  <c r="DX9" i="31"/>
  <c r="EB9" i="31"/>
  <c r="EA9" i="31"/>
  <c r="EV22" i="45"/>
  <c r="ER22" i="45"/>
  <c r="EO22" i="45"/>
  <c r="EN22" i="45"/>
  <c r="EF22" i="45"/>
  <c r="EB22" i="45"/>
  <c r="EA22" i="45"/>
  <c r="DY22" i="45"/>
  <c r="DX22" i="45"/>
  <c r="EV10" i="45"/>
  <c r="ER10" i="45"/>
  <c r="EO10" i="45"/>
  <c r="EN10" i="45"/>
  <c r="EF10" i="45"/>
  <c r="EB10" i="45"/>
  <c r="EA10" i="45"/>
  <c r="DY10" i="45"/>
  <c r="DX10" i="45"/>
  <c r="EV21" i="45"/>
  <c r="ER21" i="45"/>
  <c r="EO21" i="45"/>
  <c r="EN21" i="45"/>
  <c r="EF21" i="45"/>
  <c r="EB21" i="45"/>
  <c r="EA21" i="45"/>
  <c r="DY21" i="45"/>
  <c r="DX21" i="45"/>
  <c r="EV9" i="45"/>
  <c r="ER9" i="45"/>
  <c r="EO9" i="45"/>
  <c r="EN9" i="45"/>
  <c r="EF9" i="45"/>
  <c r="EB9" i="45"/>
  <c r="EA9" i="45"/>
  <c r="DY9" i="45"/>
  <c r="DX9" i="45"/>
  <c r="EW8" i="45"/>
  <c r="EW102" i="45" s="1"/>
  <c r="ER8" i="45"/>
  <c r="EO8" i="45"/>
  <c r="EN8" i="45"/>
  <c r="EF8" i="45"/>
  <c r="EB8" i="45"/>
  <c r="EA8" i="45"/>
  <c r="DY8" i="45"/>
  <c r="DX8" i="45"/>
  <c r="EV23" i="45"/>
  <c r="ER23" i="45"/>
  <c r="EO23" i="45"/>
  <c r="EN23" i="45"/>
  <c r="EF23" i="45"/>
  <c r="EB23" i="45"/>
  <c r="EA23" i="45"/>
  <c r="DY23" i="45"/>
  <c r="DX23" i="45"/>
  <c r="Y28" i="9"/>
  <c r="Y30" i="9"/>
  <c r="O28" i="9"/>
  <c r="O30" i="9"/>
  <c r="EV11" i="45"/>
  <c r="ER11" i="45"/>
  <c r="EO11" i="45"/>
  <c r="EN11" i="45"/>
  <c r="EF11" i="45"/>
  <c r="EB11" i="45"/>
  <c r="EA11" i="45"/>
  <c r="DY11" i="45"/>
  <c r="DX11" i="45"/>
  <c r="EW74" i="31"/>
  <c r="ER74" i="31"/>
  <c r="EW76" i="31"/>
  <c r="ER76" i="31"/>
  <c r="EL21" i="31"/>
  <c r="EK21" i="31"/>
  <c r="EJ21" i="31"/>
  <c r="EI21" i="31"/>
  <c r="EH21" i="31"/>
  <c r="EF21" i="31"/>
  <c r="EB21" i="31"/>
  <c r="EA21" i="31"/>
  <c r="DX21" i="31"/>
  <c r="EE43" i="31"/>
  <c r="ED43" i="31"/>
  <c r="EC43" i="31"/>
  <c r="EA43" i="31"/>
  <c r="DX43" i="31"/>
  <c r="EH24" i="31"/>
  <c r="EF24" i="31"/>
  <c r="EB24" i="31"/>
  <c r="EA24" i="31"/>
  <c r="DX24" i="31"/>
  <c r="EV14" i="31"/>
  <c r="ER14" i="31"/>
  <c r="EO14" i="31"/>
  <c r="EN14" i="31"/>
  <c r="EF14" i="31"/>
  <c r="EB14" i="31"/>
  <c r="EA14" i="31"/>
  <c r="DX14" i="31"/>
  <c r="EV16" i="31"/>
  <c r="ER16" i="31"/>
  <c r="EO16" i="31"/>
  <c r="EN16" i="31"/>
  <c r="EF16" i="31"/>
  <c r="EB16" i="31"/>
  <c r="EA16" i="31"/>
  <c r="DX16" i="31"/>
  <c r="EI26" i="31"/>
  <c r="EH26" i="31"/>
  <c r="EF26" i="31"/>
  <c r="EB26" i="31"/>
  <c r="EA26" i="31"/>
  <c r="DX26" i="31"/>
  <c r="EI30" i="31"/>
  <c r="EH30" i="31"/>
  <c r="EF30" i="31"/>
  <c r="EB30" i="31"/>
  <c r="EA30" i="31"/>
  <c r="DX30" i="31"/>
  <c r="EE41" i="31"/>
  <c r="ED41" i="31"/>
  <c r="EC41" i="31"/>
  <c r="EA41" i="31"/>
  <c r="DX41" i="31"/>
  <c r="EH28" i="31"/>
  <c r="EF28" i="31"/>
  <c r="EB28" i="31"/>
  <c r="EA28" i="31"/>
  <c r="DX28" i="31"/>
  <c r="EJ22" i="31"/>
  <c r="EI22" i="31"/>
  <c r="EH22" i="31"/>
  <c r="EF22" i="31"/>
  <c r="EB22" i="31"/>
  <c r="EA22" i="31"/>
  <c r="DX22" i="31"/>
  <c r="FY38" i="31"/>
  <c r="FR38" i="31"/>
  <c r="FP38" i="31"/>
  <c r="DX38" i="31"/>
  <c r="EW72" i="31"/>
  <c r="ER72" i="31"/>
  <c r="EV12" i="31"/>
  <c r="ER12" i="31"/>
  <c r="EO12" i="31"/>
  <c r="EN12" i="31"/>
  <c r="EF12" i="31"/>
  <c r="EB12" i="31"/>
  <c r="EA12" i="31"/>
  <c r="DX12" i="31"/>
  <c r="EV10" i="31"/>
  <c r="ER10" i="31"/>
  <c r="EO10" i="31"/>
  <c r="EN10" i="31"/>
  <c r="EF10" i="31"/>
  <c r="EB10" i="31"/>
  <c r="EA10" i="31"/>
  <c r="DX10" i="31"/>
  <c r="EJ7" i="31"/>
  <c r="EI7" i="31"/>
  <c r="EH7" i="31"/>
  <c r="EF7" i="31"/>
  <c r="EB7" i="31"/>
  <c r="EA7" i="31"/>
  <c r="DX7" i="31"/>
  <c r="EL18" i="31"/>
  <c r="EK18" i="31"/>
  <c r="EJ18" i="31"/>
  <c r="EI18" i="31"/>
  <c r="EH18" i="31"/>
  <c r="EF18" i="31"/>
  <c r="EB18" i="31"/>
  <c r="EA18" i="31"/>
  <c r="DX18" i="31"/>
  <c r="FY34" i="31"/>
  <c r="DX34" i="31"/>
  <c r="FR34" i="31"/>
  <c r="FP34" i="31"/>
  <c r="FY36" i="31"/>
  <c r="DX36" i="31"/>
  <c r="FR36" i="31"/>
  <c r="FP36" i="31"/>
  <c r="FP32" i="31"/>
  <c r="FY32" i="31"/>
  <c r="DX32" i="31"/>
  <c r="FR32" i="31"/>
  <c r="O58" i="9"/>
  <c r="O59" i="9"/>
  <c r="Y61" i="9"/>
  <c r="Y58" i="9"/>
  <c r="Y59" i="9"/>
  <c r="O32" i="9"/>
  <c r="O29" i="9"/>
  <c r="Y32" i="9"/>
  <c r="Y29" i="9"/>
  <c r="O31" i="9"/>
  <c r="Y31" i="9"/>
  <c r="L106" i="9"/>
  <c r="S106" i="9" s="1"/>
  <c r="V106" i="9"/>
  <c r="AC106" i="9" s="1"/>
  <c r="AD106" i="9" s="1"/>
  <c r="AE106" i="9" s="1"/>
  <c r="O43" i="9"/>
  <c r="Y44" i="9"/>
  <c r="O44" i="9"/>
  <c r="Y45" i="9"/>
  <c r="Y43" i="9"/>
  <c r="Y13" i="9"/>
  <c r="O60" i="9"/>
  <c r="Y60" i="9"/>
  <c r="O13" i="9"/>
  <c r="O12" i="9"/>
  <c r="Y12" i="9"/>
  <c r="O27" i="9"/>
  <c r="O9" i="9"/>
  <c r="Y27" i="9"/>
  <c r="AR20" i="31"/>
  <c r="AQ20" i="31"/>
  <c r="AZ46" i="45"/>
  <c r="Y57" i="9" s="1"/>
  <c r="AM40" i="50"/>
  <c r="U20" i="50"/>
  <c r="U22" i="50" s="1"/>
  <c r="U27" i="50" s="1"/>
  <c r="U33" i="50" s="1"/>
  <c r="AZ20" i="31"/>
  <c r="AZ85" i="31" s="1"/>
  <c r="BC20" i="31"/>
  <c r="AU20" i="31"/>
  <c r="AX20" i="31"/>
  <c r="AE20" i="50"/>
  <c r="AE22" i="50" s="1"/>
  <c r="AE27" i="50" s="1"/>
  <c r="AE29" i="50" s="1"/>
  <c r="AQ37" i="45"/>
  <c r="AV37" i="45"/>
  <c r="AX102" i="45"/>
  <c r="AZ40" i="50"/>
  <c r="AV46" i="45"/>
  <c r="BC46" i="45"/>
  <c r="AR46" i="45"/>
  <c r="AS46" i="45" s="1"/>
  <c r="AQ46" i="45"/>
  <c r="AR37" i="45"/>
  <c r="AS37" i="45" s="1"/>
  <c r="EU90" i="31" l="1"/>
  <c r="EU91" i="31" s="1"/>
  <c r="ET110" i="45"/>
  <c r="ET104" i="45"/>
  <c r="ET105" i="45" s="1"/>
  <c r="ET107" i="45"/>
  <c r="ET108" i="45" s="1"/>
  <c r="EW85" i="31"/>
  <c r="EW87" i="31" s="1"/>
  <c r="EW88" i="31" s="1"/>
  <c r="EV85" i="31"/>
  <c r="O141" i="9"/>
  <c r="FZ90" i="31"/>
  <c r="FZ91" i="31" s="1"/>
  <c r="FZ87" i="31"/>
  <c r="FZ88" i="31" s="1"/>
  <c r="AX20" i="50"/>
  <c r="AX22" i="50" s="1"/>
  <c r="AX27" i="50" s="1"/>
  <c r="AX33" i="50" s="1"/>
  <c r="EQ87" i="31"/>
  <c r="EQ88" i="31" s="1"/>
  <c r="EQ90" i="31"/>
  <c r="EQ91" i="31" s="1"/>
  <c r="EC85" i="31"/>
  <c r="EC87" i="31" s="1"/>
  <c r="EC88" i="31" s="1"/>
  <c r="EC93" i="31" s="1"/>
  <c r="EC94" i="31" s="1"/>
  <c r="AZ102" i="45"/>
  <c r="EP85" i="31"/>
  <c r="EP90" i="31" s="1"/>
  <c r="EP91" i="31" s="1"/>
  <c r="EN85" i="31"/>
  <c r="EN87" i="31" s="1"/>
  <c r="EN88" i="31" s="1"/>
  <c r="EN93" i="31" s="1"/>
  <c r="EN94" i="31" s="1"/>
  <c r="EL85" i="31"/>
  <c r="EL87" i="31" s="1"/>
  <c r="EL88" i="31" s="1"/>
  <c r="EL93" i="31" s="1"/>
  <c r="EL94" i="31" s="1"/>
  <c r="EO85" i="31"/>
  <c r="EO90" i="31" s="1"/>
  <c r="EO91" i="31" s="1"/>
  <c r="ER85" i="31"/>
  <c r="ER90" i="31" s="1"/>
  <c r="ER91" i="31" s="1"/>
  <c r="FR85" i="31"/>
  <c r="FR87" i="31" s="1"/>
  <c r="FR88" i="31" s="1"/>
  <c r="FR93" i="31" s="1"/>
  <c r="FR94" i="31" s="1"/>
  <c r="FY85" i="31"/>
  <c r="FY87" i="31" s="1"/>
  <c r="FY88" i="31" s="1"/>
  <c r="FY93" i="31" s="1"/>
  <c r="FY94" i="31" s="1"/>
  <c r="EG85" i="31"/>
  <c r="O20" i="50" s="1"/>
  <c r="O22" i="50" s="1"/>
  <c r="O27" i="50" s="1"/>
  <c r="O33" i="50" s="1"/>
  <c r="FP85" i="31"/>
  <c r="FP87" i="31" s="1"/>
  <c r="FP88" i="31" s="1"/>
  <c r="ED85" i="31"/>
  <c r="ED90" i="31" s="1"/>
  <c r="ED91" i="31" s="1"/>
  <c r="EE85" i="31"/>
  <c r="EE87" i="31" s="1"/>
  <c r="EE88" i="31" s="1"/>
  <c r="EE93" i="31" s="1"/>
  <c r="EE94" i="31" s="1"/>
  <c r="EV102" i="45"/>
  <c r="ER102" i="45"/>
  <c r="ER110" i="45" s="1"/>
  <c r="EO102" i="45"/>
  <c r="EO110" i="45" s="1"/>
  <c r="EN102" i="45"/>
  <c r="EN110" i="45" s="1"/>
  <c r="EF102" i="45"/>
  <c r="EF104" i="45" s="1"/>
  <c r="EF105" i="45" s="1"/>
  <c r="EB102" i="45"/>
  <c r="EB107" i="45" s="1"/>
  <c r="EB108" i="45" s="1"/>
  <c r="EA102" i="45"/>
  <c r="EA110" i="45" s="1"/>
  <c r="DY102" i="45"/>
  <c r="DY107" i="45" s="1"/>
  <c r="DY108" i="45" s="1"/>
  <c r="DX102" i="45"/>
  <c r="DX104" i="45" s="1"/>
  <c r="DX105" i="45" s="1"/>
  <c r="DW102" i="45"/>
  <c r="DW104" i="45" s="1"/>
  <c r="DW105" i="45" s="1"/>
  <c r="EW104" i="45"/>
  <c r="EW105" i="45" s="1"/>
  <c r="EW110" i="45"/>
  <c r="EW107" i="45"/>
  <c r="EW108" i="45" s="1"/>
  <c r="L107" i="9"/>
  <c r="S107" i="9" s="1"/>
  <c r="L105" i="9"/>
  <c r="V107" i="9"/>
  <c r="AC107" i="9" s="1"/>
  <c r="AD107" i="9" s="1"/>
  <c r="AE107" i="9" s="1"/>
  <c r="V105" i="9"/>
  <c r="L110" i="9"/>
  <c r="S110" i="9" s="1"/>
  <c r="L109" i="9"/>
  <c r="S109" i="9" s="1"/>
  <c r="EK20" i="31"/>
  <c r="EK85" i="31" s="1"/>
  <c r="EK90" i="31" s="1"/>
  <c r="EK91" i="31" s="1"/>
  <c r="EJ20" i="31"/>
  <c r="EJ85" i="31" s="1"/>
  <c r="EJ87" i="31" s="1"/>
  <c r="EJ88" i="31" s="1"/>
  <c r="EJ93" i="31" s="1"/>
  <c r="EJ94" i="31" s="1"/>
  <c r="EI20" i="31"/>
  <c r="EI85" i="31" s="1"/>
  <c r="EH20" i="31"/>
  <c r="EH85" i="31" s="1"/>
  <c r="EH90" i="31" s="1"/>
  <c r="EF20" i="31"/>
  <c r="EF85" i="31" s="1"/>
  <c r="EB20" i="31"/>
  <c r="EB85" i="31" s="1"/>
  <c r="EA20" i="31"/>
  <c r="EA85" i="31" s="1"/>
  <c r="DX20" i="31"/>
  <c r="DX85" i="31" s="1"/>
  <c r="V110" i="9"/>
  <c r="AC110" i="9" s="1"/>
  <c r="AD110" i="9" s="1"/>
  <c r="AE110" i="9" s="1"/>
  <c r="V109" i="9"/>
  <c r="AC109" i="9" s="1"/>
  <c r="AD109" i="9" s="1"/>
  <c r="AE109" i="9" s="1"/>
  <c r="Y9" i="9"/>
  <c r="Y141" i="9" s="1"/>
  <c r="AL40" i="50"/>
  <c r="AI40" i="50"/>
  <c r="FB104" i="45"/>
  <c r="FB105" i="45" s="1"/>
  <c r="FB110" i="45"/>
  <c r="AH40" i="50"/>
  <c r="AH48" i="50" s="1"/>
  <c r="AH50" i="50" s="1"/>
  <c r="AH52" i="50" s="1"/>
  <c r="AH54" i="50" s="1"/>
  <c r="FB107" i="45"/>
  <c r="FB108" i="45" s="1"/>
  <c r="V108" i="9"/>
  <c r="AC108" i="9" s="1"/>
  <c r="AD108" i="9" s="1"/>
  <c r="AE108" i="9" s="1"/>
  <c r="L108" i="9"/>
  <c r="S108" i="9" s="1"/>
  <c r="AG20" i="50"/>
  <c r="AG22" i="50" s="1"/>
  <c r="AG27" i="50" s="1"/>
  <c r="AG33" i="50" s="1"/>
  <c r="AT20" i="50"/>
  <c r="AT22" i="50" s="1"/>
  <c r="AT27" i="50" s="1"/>
  <c r="AT29" i="50" s="1"/>
  <c r="FT107" i="45"/>
  <c r="FT108" i="45" s="1"/>
  <c r="FT104" i="45"/>
  <c r="FT105" i="45" s="1"/>
  <c r="FT110" i="45"/>
  <c r="W23" i="44"/>
  <c r="X23" i="44" s="1"/>
  <c r="AM353" i="44"/>
  <c r="AL353" i="44"/>
  <c r="AK353" i="44"/>
  <c r="AJ353" i="44"/>
  <c r="AI353" i="44"/>
  <c r="W353" i="44"/>
  <c r="X353" i="44" s="1"/>
  <c r="S353" i="44"/>
  <c r="P353" i="44"/>
  <c r="N353" i="44"/>
  <c r="N347" i="44"/>
  <c r="N443" i="44"/>
  <c r="AM442" i="44"/>
  <c r="AL442" i="44"/>
  <c r="AK442" i="44"/>
  <c r="AJ442" i="44"/>
  <c r="AI442" i="44"/>
  <c r="W442" i="44"/>
  <c r="X442" i="44" s="1"/>
  <c r="S442" i="44"/>
  <c r="P442" i="44"/>
  <c r="N442" i="44"/>
  <c r="AM441" i="44"/>
  <c r="AL441" i="44"/>
  <c r="AK441" i="44"/>
  <c r="AJ441" i="44"/>
  <c r="AI441" i="44"/>
  <c r="W441" i="44"/>
  <c r="X441" i="44" s="1"/>
  <c r="S441" i="44"/>
  <c r="P441" i="44"/>
  <c r="N441" i="44"/>
  <c r="AM440" i="44"/>
  <c r="AL440" i="44"/>
  <c r="AK440" i="44"/>
  <c r="AJ440" i="44"/>
  <c r="AI440" i="44"/>
  <c r="W440" i="44"/>
  <c r="X440" i="44" s="1"/>
  <c r="S440" i="44"/>
  <c r="P440" i="44"/>
  <c r="N440" i="44"/>
  <c r="AM439" i="44"/>
  <c r="AL439" i="44"/>
  <c r="AK439" i="44"/>
  <c r="AJ439" i="44"/>
  <c r="AI439" i="44"/>
  <c r="W439" i="44"/>
  <c r="X439" i="44" s="1"/>
  <c r="S439" i="44"/>
  <c r="P439" i="44"/>
  <c r="N439" i="44"/>
  <c r="AM438" i="44"/>
  <c r="AL438" i="44"/>
  <c r="AK438" i="44"/>
  <c r="AJ438" i="44"/>
  <c r="AI438" i="44"/>
  <c r="W438" i="44"/>
  <c r="X438" i="44" s="1"/>
  <c r="S438" i="44"/>
  <c r="P438" i="44"/>
  <c r="N438" i="44"/>
  <c r="AM437" i="44"/>
  <c r="AL437" i="44"/>
  <c r="AK437" i="44"/>
  <c r="AJ437" i="44"/>
  <c r="AI437" i="44"/>
  <c r="W437" i="44"/>
  <c r="X437" i="44" s="1"/>
  <c r="S437" i="44"/>
  <c r="P437" i="44"/>
  <c r="N437" i="44"/>
  <c r="AM436" i="44"/>
  <c r="AL436" i="44"/>
  <c r="AK436" i="44"/>
  <c r="AJ436" i="44"/>
  <c r="AI436" i="44"/>
  <c r="W436" i="44"/>
  <c r="X436" i="44" s="1"/>
  <c r="S436" i="44"/>
  <c r="P436" i="44"/>
  <c r="N436" i="44"/>
  <c r="AM435" i="44"/>
  <c r="AL435" i="44"/>
  <c r="AK435" i="44"/>
  <c r="AJ435" i="44"/>
  <c r="AI435" i="44"/>
  <c r="W435" i="44"/>
  <c r="X435" i="44" s="1"/>
  <c r="S435" i="44"/>
  <c r="P435" i="44"/>
  <c r="N435" i="44"/>
  <c r="AM434" i="44"/>
  <c r="AL434" i="44"/>
  <c r="AK434" i="44"/>
  <c r="AJ434" i="44"/>
  <c r="AI434" i="44"/>
  <c r="W434" i="44"/>
  <c r="X434" i="44" s="1"/>
  <c r="S434" i="44"/>
  <c r="P434" i="44"/>
  <c r="N434" i="44"/>
  <c r="AM433" i="44"/>
  <c r="AL433" i="44"/>
  <c r="AK433" i="44"/>
  <c r="AJ433" i="44"/>
  <c r="AI433" i="44"/>
  <c r="W433" i="44"/>
  <c r="X433" i="44" s="1"/>
  <c r="S433" i="44"/>
  <c r="P433" i="44"/>
  <c r="N433" i="44"/>
  <c r="AM432" i="44"/>
  <c r="AL432" i="44"/>
  <c r="AK432" i="44"/>
  <c r="AJ432" i="44"/>
  <c r="AI432" i="44"/>
  <c r="W432" i="44"/>
  <c r="X432" i="44" s="1"/>
  <c r="S432" i="44"/>
  <c r="P432" i="44"/>
  <c r="N432" i="44"/>
  <c r="AM431" i="44"/>
  <c r="AL431" i="44"/>
  <c r="AK431" i="44"/>
  <c r="AJ431" i="44"/>
  <c r="AI431" i="44"/>
  <c r="W431" i="44"/>
  <c r="X431" i="44" s="1"/>
  <c r="S431" i="44"/>
  <c r="P431" i="44"/>
  <c r="N431" i="44"/>
  <c r="AM430" i="44"/>
  <c r="AL430" i="44"/>
  <c r="AK430" i="44"/>
  <c r="AJ430" i="44"/>
  <c r="AI430" i="44"/>
  <c r="W430" i="44"/>
  <c r="X430" i="44" s="1"/>
  <c r="S430" i="44"/>
  <c r="P430" i="44"/>
  <c r="N430" i="44"/>
  <c r="AM429" i="44"/>
  <c r="AL429" i="44"/>
  <c r="AK429" i="44"/>
  <c r="AJ429" i="44"/>
  <c r="AI429" i="44"/>
  <c r="W429" i="44"/>
  <c r="X429" i="44" s="1"/>
  <c r="S429" i="44"/>
  <c r="P429" i="44"/>
  <c r="N429" i="44"/>
  <c r="AM428" i="44"/>
  <c r="AL428" i="44"/>
  <c r="AK428" i="44"/>
  <c r="AJ428" i="44"/>
  <c r="AI428" i="44"/>
  <c r="W428" i="44"/>
  <c r="X428" i="44" s="1"/>
  <c r="S428" i="44"/>
  <c r="P428" i="44"/>
  <c r="N428" i="44"/>
  <c r="AM427" i="44"/>
  <c r="AL427" i="44"/>
  <c r="AK427" i="44"/>
  <c r="AJ427" i="44"/>
  <c r="AI427" i="44"/>
  <c r="W427" i="44"/>
  <c r="X427" i="44" s="1"/>
  <c r="S427" i="44"/>
  <c r="P427" i="44"/>
  <c r="N427" i="44"/>
  <c r="AM426" i="44"/>
  <c r="AL426" i="44"/>
  <c r="AK426" i="44"/>
  <c r="AJ426" i="44"/>
  <c r="AI426" i="44"/>
  <c r="W426" i="44"/>
  <c r="X426" i="44" s="1"/>
  <c r="S426" i="44"/>
  <c r="P426" i="44"/>
  <c r="N426" i="44"/>
  <c r="AM425" i="44"/>
  <c r="AL425" i="44"/>
  <c r="AK425" i="44"/>
  <c r="AJ425" i="44"/>
  <c r="AI425" i="44"/>
  <c r="W425" i="44"/>
  <c r="X425" i="44" s="1"/>
  <c r="S425" i="44"/>
  <c r="P425" i="44"/>
  <c r="N425" i="44"/>
  <c r="AM424" i="44"/>
  <c r="AL424" i="44"/>
  <c r="AK424" i="44"/>
  <c r="AJ424" i="44"/>
  <c r="AI424" i="44"/>
  <c r="W424" i="44"/>
  <c r="X424" i="44" s="1"/>
  <c r="S424" i="44"/>
  <c r="P424" i="44"/>
  <c r="N424" i="44"/>
  <c r="AM423" i="44"/>
  <c r="AL423" i="44"/>
  <c r="AK423" i="44"/>
  <c r="AJ423" i="44"/>
  <c r="AI423" i="44"/>
  <c r="W423" i="44"/>
  <c r="S423" i="44"/>
  <c r="P423" i="44"/>
  <c r="N423" i="44"/>
  <c r="AM422" i="44"/>
  <c r="AL422" i="44"/>
  <c r="AK422" i="44"/>
  <c r="AJ422" i="44"/>
  <c r="AI422" i="44"/>
  <c r="S422" i="44"/>
  <c r="P422" i="44"/>
  <c r="AM421" i="44"/>
  <c r="AL421" i="44"/>
  <c r="AK421" i="44"/>
  <c r="AJ421" i="44"/>
  <c r="AI421" i="44"/>
  <c r="W421" i="44"/>
  <c r="X421" i="44" s="1"/>
  <c r="S421" i="44"/>
  <c r="P421" i="44"/>
  <c r="N421" i="44"/>
  <c r="AM420" i="44"/>
  <c r="AL420" i="44"/>
  <c r="AK420" i="44"/>
  <c r="AJ420" i="44"/>
  <c r="AI420" i="44"/>
  <c r="W420" i="44"/>
  <c r="X420" i="44" s="1"/>
  <c r="S420" i="44"/>
  <c r="P420" i="44"/>
  <c r="N420" i="44"/>
  <c r="AM419" i="44"/>
  <c r="AL419" i="44"/>
  <c r="AK419" i="44"/>
  <c r="AJ419" i="44"/>
  <c r="AI419" i="44"/>
  <c r="W419" i="44"/>
  <c r="X419" i="44" s="1"/>
  <c r="S419" i="44"/>
  <c r="P419" i="44"/>
  <c r="N419" i="44"/>
  <c r="AM418" i="44"/>
  <c r="AL418" i="44"/>
  <c r="AK418" i="44"/>
  <c r="AJ418" i="44"/>
  <c r="AI418" i="44"/>
  <c r="W418" i="44"/>
  <c r="X418" i="44" s="1"/>
  <c r="S418" i="44"/>
  <c r="P418" i="44"/>
  <c r="N418" i="44"/>
  <c r="N369" i="44"/>
  <c r="N368" i="44"/>
  <c r="AM367" i="44"/>
  <c r="AL367" i="44"/>
  <c r="AK367" i="44"/>
  <c r="AJ367" i="44"/>
  <c r="AI367" i="44"/>
  <c r="W367" i="44"/>
  <c r="X367" i="44" s="1"/>
  <c r="S367" i="44"/>
  <c r="P367" i="44"/>
  <c r="N367" i="44"/>
  <c r="AM366" i="44"/>
  <c r="AL366" i="44"/>
  <c r="AK366" i="44"/>
  <c r="AJ366" i="44"/>
  <c r="AI366" i="44"/>
  <c r="W366" i="44"/>
  <c r="X366" i="44" s="1"/>
  <c r="S366" i="44"/>
  <c r="P366" i="44"/>
  <c r="N366" i="44"/>
  <c r="AM365" i="44"/>
  <c r="AL365" i="44"/>
  <c r="AK365" i="44"/>
  <c r="AJ365" i="44"/>
  <c r="AI365" i="44"/>
  <c r="W365" i="44"/>
  <c r="X365" i="44" s="1"/>
  <c r="S365" i="44"/>
  <c r="P365" i="44"/>
  <c r="N365" i="44"/>
  <c r="AM364" i="44"/>
  <c r="AL364" i="44"/>
  <c r="AK364" i="44"/>
  <c r="AJ364" i="44"/>
  <c r="AI364" i="44"/>
  <c r="W364" i="44"/>
  <c r="X364" i="44" s="1"/>
  <c r="S364" i="44"/>
  <c r="P364" i="44"/>
  <c r="N364" i="44"/>
  <c r="AM363" i="44"/>
  <c r="AL363" i="44"/>
  <c r="AK363" i="44"/>
  <c r="AJ363" i="44"/>
  <c r="AI363" i="44"/>
  <c r="W363" i="44"/>
  <c r="X363" i="44" s="1"/>
  <c r="S363" i="44"/>
  <c r="P363" i="44"/>
  <c r="N363" i="44"/>
  <c r="AM362" i="44"/>
  <c r="AL362" i="44"/>
  <c r="AK362" i="44"/>
  <c r="AJ362" i="44"/>
  <c r="AI362" i="44"/>
  <c r="W362" i="44"/>
  <c r="X362" i="44" s="1"/>
  <c r="S362" i="44"/>
  <c r="P362" i="44"/>
  <c r="N362" i="44"/>
  <c r="AM361" i="44"/>
  <c r="AL361" i="44"/>
  <c r="AK361" i="44"/>
  <c r="AJ361" i="44"/>
  <c r="AI361" i="44"/>
  <c r="W361" i="44"/>
  <c r="X361" i="44" s="1"/>
  <c r="S361" i="44"/>
  <c r="P361" i="44"/>
  <c r="N361" i="44"/>
  <c r="AM360" i="44"/>
  <c r="AL360" i="44"/>
  <c r="AK360" i="44"/>
  <c r="AJ360" i="44"/>
  <c r="AI360" i="44"/>
  <c r="W360" i="44"/>
  <c r="X360" i="44" s="1"/>
  <c r="S360" i="44"/>
  <c r="P360" i="44"/>
  <c r="N360" i="44"/>
  <c r="AM359" i="44"/>
  <c r="AL359" i="44"/>
  <c r="AK359" i="44"/>
  <c r="AJ359" i="44"/>
  <c r="AI359" i="44"/>
  <c r="W359" i="44"/>
  <c r="X359" i="44" s="1"/>
  <c r="S359" i="44"/>
  <c r="P359" i="44"/>
  <c r="N359" i="44"/>
  <c r="AM358" i="44"/>
  <c r="AL358" i="44"/>
  <c r="AK358" i="44"/>
  <c r="AJ358" i="44"/>
  <c r="AI358" i="44"/>
  <c r="W358" i="44"/>
  <c r="X358" i="44" s="1"/>
  <c r="S358" i="44"/>
  <c r="P358" i="44"/>
  <c r="N358" i="44"/>
  <c r="AM357" i="44"/>
  <c r="AL357" i="44"/>
  <c r="AK357" i="44"/>
  <c r="AJ357" i="44"/>
  <c r="AI357" i="44"/>
  <c r="W357" i="44"/>
  <c r="X357" i="44" s="1"/>
  <c r="S357" i="44"/>
  <c r="P357" i="44"/>
  <c r="N357" i="44"/>
  <c r="AM356" i="44"/>
  <c r="AL356" i="44"/>
  <c r="AK356" i="44"/>
  <c r="AJ356" i="44"/>
  <c r="AI356" i="44"/>
  <c r="W356" i="44"/>
  <c r="X356" i="44" s="1"/>
  <c r="S356" i="44"/>
  <c r="P356" i="44"/>
  <c r="N356" i="44"/>
  <c r="AM355" i="44"/>
  <c r="AL355" i="44"/>
  <c r="AK355" i="44"/>
  <c r="AJ355" i="44"/>
  <c r="AI355" i="44"/>
  <c r="W355" i="44"/>
  <c r="X355" i="44" s="1"/>
  <c r="S355" i="44"/>
  <c r="P355" i="44"/>
  <c r="N355" i="44"/>
  <c r="AM354" i="44"/>
  <c r="AL354" i="44"/>
  <c r="AK354" i="44"/>
  <c r="AJ354" i="44"/>
  <c r="AI354" i="44"/>
  <c r="W354" i="44"/>
  <c r="X354" i="44" s="1"/>
  <c r="S354" i="44"/>
  <c r="P354" i="44"/>
  <c r="N354" i="44"/>
  <c r="AM352" i="44"/>
  <c r="AL352" i="44"/>
  <c r="AK352" i="44"/>
  <c r="AJ352" i="44"/>
  <c r="AI352" i="44"/>
  <c r="W352" i="44"/>
  <c r="X352" i="44" s="1"/>
  <c r="S352" i="44"/>
  <c r="P352" i="44"/>
  <c r="N352" i="44"/>
  <c r="N350" i="44"/>
  <c r="N349" i="44"/>
  <c r="AM348" i="44"/>
  <c r="AL348" i="44"/>
  <c r="AK348" i="44"/>
  <c r="AJ348" i="44"/>
  <c r="AI348" i="44"/>
  <c r="S348" i="44"/>
  <c r="P348" i="44"/>
  <c r="N348" i="44"/>
  <c r="AM347" i="44"/>
  <c r="AL347" i="44"/>
  <c r="AK347" i="44"/>
  <c r="AJ347" i="44"/>
  <c r="AI347" i="44"/>
  <c r="W347" i="44"/>
  <c r="X347" i="44" s="1"/>
  <c r="S347" i="44"/>
  <c r="P347" i="44"/>
  <c r="AM315" i="44"/>
  <c r="AL315" i="44"/>
  <c r="AK315" i="44"/>
  <c r="AJ315" i="44"/>
  <c r="W315" i="44"/>
  <c r="X315" i="44" s="1"/>
  <c r="S315" i="44"/>
  <c r="P315" i="44"/>
  <c r="N315" i="44"/>
  <c r="AM314" i="44"/>
  <c r="AL314" i="44"/>
  <c r="AK314" i="44"/>
  <c r="AJ314" i="44"/>
  <c r="W314" i="44"/>
  <c r="X314" i="44" s="1"/>
  <c r="S314" i="44"/>
  <c r="P314" i="44"/>
  <c r="N314" i="44"/>
  <c r="AM312" i="44"/>
  <c r="AL312" i="44"/>
  <c r="AK312" i="44"/>
  <c r="AJ312" i="44"/>
  <c r="W312" i="44"/>
  <c r="X312" i="44" s="1"/>
  <c r="S312" i="44"/>
  <c r="P312" i="44"/>
  <c r="N312" i="44"/>
  <c r="AM311" i="44"/>
  <c r="AL311" i="44"/>
  <c r="AK311" i="44"/>
  <c r="AJ311" i="44"/>
  <c r="W311" i="44"/>
  <c r="X311" i="44" s="1"/>
  <c r="S311" i="44"/>
  <c r="P311" i="44"/>
  <c r="N311" i="44"/>
  <c r="AM310" i="44"/>
  <c r="AL310" i="44"/>
  <c r="AK310" i="44"/>
  <c r="AJ310" i="44"/>
  <c r="W310" i="44"/>
  <c r="X310" i="44" s="1"/>
  <c r="S310" i="44"/>
  <c r="P310" i="44"/>
  <c r="N310" i="44"/>
  <c r="AM308" i="44"/>
  <c r="AL308" i="44"/>
  <c r="AK308" i="44"/>
  <c r="AJ308" i="44"/>
  <c r="W308" i="44"/>
  <c r="X308" i="44" s="1"/>
  <c r="S308" i="44"/>
  <c r="P308" i="44"/>
  <c r="N308" i="44"/>
  <c r="AM307" i="44"/>
  <c r="AL307" i="44"/>
  <c r="AK307" i="44"/>
  <c r="AJ307" i="44"/>
  <c r="W307" i="44"/>
  <c r="X307" i="44" s="1"/>
  <c r="S307" i="44"/>
  <c r="P307" i="44"/>
  <c r="N307" i="44"/>
  <c r="AM302" i="44"/>
  <c r="AL302" i="44"/>
  <c r="AK302" i="44"/>
  <c r="AJ302" i="44"/>
  <c r="W302" i="44"/>
  <c r="X302" i="44" s="1"/>
  <c r="S302" i="44"/>
  <c r="P302" i="44"/>
  <c r="N302" i="44"/>
  <c r="AM301" i="44"/>
  <c r="AL301" i="44"/>
  <c r="AK301" i="44"/>
  <c r="AJ301" i="44"/>
  <c r="W301" i="44"/>
  <c r="X301" i="44" s="1"/>
  <c r="S301" i="44"/>
  <c r="P301" i="44"/>
  <c r="N301" i="44"/>
  <c r="AM299" i="44"/>
  <c r="AL299" i="44"/>
  <c r="AK299" i="44"/>
  <c r="AJ299" i="44"/>
  <c r="W299" i="44"/>
  <c r="X299" i="44" s="1"/>
  <c r="S299" i="44"/>
  <c r="P299" i="44"/>
  <c r="N299" i="44"/>
  <c r="AM298" i="44"/>
  <c r="AL298" i="44"/>
  <c r="AK298" i="44"/>
  <c r="AJ298" i="44"/>
  <c r="W298" i="44"/>
  <c r="X298" i="44" s="1"/>
  <c r="S298" i="44"/>
  <c r="P298" i="44"/>
  <c r="N298" i="44"/>
  <c r="AM297" i="44"/>
  <c r="AL297" i="44"/>
  <c r="AK297" i="44"/>
  <c r="AJ297" i="44"/>
  <c r="W297" i="44"/>
  <c r="X297" i="44" s="1"/>
  <c r="S297" i="44"/>
  <c r="P297" i="44"/>
  <c r="N297" i="44"/>
  <c r="AM295" i="44"/>
  <c r="AL295" i="44"/>
  <c r="AK295" i="44"/>
  <c r="AJ295" i="44"/>
  <c r="W295" i="44"/>
  <c r="X295" i="44" s="1"/>
  <c r="S295" i="44"/>
  <c r="P295" i="44"/>
  <c r="N295" i="44"/>
  <c r="N292" i="44"/>
  <c r="N291" i="44"/>
  <c r="N290" i="44"/>
  <c r="AM288" i="44"/>
  <c r="AL288" i="44"/>
  <c r="AK288" i="44"/>
  <c r="AJ288" i="44"/>
  <c r="AI288" i="44"/>
  <c r="W288" i="44"/>
  <c r="X288" i="44" s="1"/>
  <c r="S288" i="44"/>
  <c r="P288" i="44"/>
  <c r="N288" i="44"/>
  <c r="AM287" i="44"/>
  <c r="AL287" i="44"/>
  <c r="AK287" i="44"/>
  <c r="AJ287" i="44"/>
  <c r="AI287" i="44"/>
  <c r="W287" i="44"/>
  <c r="X287" i="44" s="1"/>
  <c r="S287" i="44"/>
  <c r="P287" i="44"/>
  <c r="N287" i="44"/>
  <c r="AM286" i="44"/>
  <c r="AL286" i="44"/>
  <c r="AK286" i="44"/>
  <c r="AJ286" i="44"/>
  <c r="AI286" i="44"/>
  <c r="W286" i="44"/>
  <c r="X286" i="44" s="1"/>
  <c r="S286" i="44"/>
  <c r="P286" i="44"/>
  <c r="N286" i="44"/>
  <c r="AM285" i="44"/>
  <c r="AL285" i="44"/>
  <c r="AK285" i="44"/>
  <c r="AJ285" i="44"/>
  <c r="AI285" i="44"/>
  <c r="W285" i="44"/>
  <c r="X285" i="44" s="1"/>
  <c r="S285" i="44"/>
  <c r="P285" i="44"/>
  <c r="N285" i="44"/>
  <c r="AM284" i="44"/>
  <c r="AL284" i="44"/>
  <c r="AK284" i="44"/>
  <c r="AJ284" i="44"/>
  <c r="AI284" i="44"/>
  <c r="W284" i="44"/>
  <c r="X284" i="44" s="1"/>
  <c r="S284" i="44"/>
  <c r="P284" i="44"/>
  <c r="N284" i="44"/>
  <c r="AM283" i="44"/>
  <c r="AL283" i="44"/>
  <c r="AK283" i="44"/>
  <c r="AJ283" i="44"/>
  <c r="AI283" i="44"/>
  <c r="W283" i="44"/>
  <c r="X283" i="44" s="1"/>
  <c r="S283" i="44"/>
  <c r="P283" i="44"/>
  <c r="N283" i="44"/>
  <c r="AM282" i="44"/>
  <c r="AL282" i="44"/>
  <c r="AK282" i="44"/>
  <c r="AJ282" i="44"/>
  <c r="AI282" i="44"/>
  <c r="W282" i="44"/>
  <c r="X282" i="44" s="1"/>
  <c r="S282" i="44"/>
  <c r="P282" i="44"/>
  <c r="N282" i="44"/>
  <c r="AM281" i="44"/>
  <c r="AL281" i="44"/>
  <c r="AK281" i="44"/>
  <c r="AJ281" i="44"/>
  <c r="AI281" i="44"/>
  <c r="W281" i="44"/>
  <c r="X281" i="44" s="1"/>
  <c r="S281" i="44"/>
  <c r="P281" i="44"/>
  <c r="N281" i="44"/>
  <c r="AM280" i="44"/>
  <c r="AL280" i="44"/>
  <c r="AK280" i="44"/>
  <c r="AJ280" i="44"/>
  <c r="AI280" i="44"/>
  <c r="W280" i="44"/>
  <c r="X280" i="44" s="1"/>
  <c r="S280" i="44"/>
  <c r="P280" i="44"/>
  <c r="N280" i="44"/>
  <c r="AM264" i="44"/>
  <c r="AL264" i="44"/>
  <c r="AK264" i="44"/>
  <c r="AJ264" i="44"/>
  <c r="AI264" i="44"/>
  <c r="W264" i="44"/>
  <c r="X264" i="44" s="1"/>
  <c r="S264" i="44"/>
  <c r="P264" i="44"/>
  <c r="N264" i="44"/>
  <c r="AM263" i="44"/>
  <c r="AL263" i="44"/>
  <c r="AK263" i="44"/>
  <c r="AJ263" i="44"/>
  <c r="AI263" i="44"/>
  <c r="W263" i="44"/>
  <c r="X263" i="44" s="1"/>
  <c r="S263" i="44"/>
  <c r="P263" i="44"/>
  <c r="N263" i="44"/>
  <c r="AM262" i="44"/>
  <c r="AL262" i="44"/>
  <c r="AK262" i="44"/>
  <c r="AJ262" i="44"/>
  <c r="AI262" i="44"/>
  <c r="W262" i="44"/>
  <c r="X262" i="44" s="1"/>
  <c r="S262" i="44"/>
  <c r="P262" i="44"/>
  <c r="N262" i="44"/>
  <c r="AM261" i="44"/>
  <c r="AL261" i="44"/>
  <c r="AK261" i="44"/>
  <c r="AJ261" i="44"/>
  <c r="AI261" i="44"/>
  <c r="W261" i="44"/>
  <c r="X261" i="44" s="1"/>
  <c r="S261" i="44"/>
  <c r="P261" i="44"/>
  <c r="N261" i="44"/>
  <c r="AM260" i="44"/>
  <c r="AL260" i="44"/>
  <c r="AK260" i="44"/>
  <c r="AJ260" i="44"/>
  <c r="AI260" i="44"/>
  <c r="W260" i="44"/>
  <c r="X260" i="44" s="1"/>
  <c r="S260" i="44"/>
  <c r="P260" i="44"/>
  <c r="N260" i="44"/>
  <c r="AM259" i="44"/>
  <c r="AL259" i="44"/>
  <c r="AK259" i="44"/>
  <c r="AJ259" i="44"/>
  <c r="AI259" i="44"/>
  <c r="W259" i="44"/>
  <c r="X259" i="44" s="1"/>
  <c r="S259" i="44"/>
  <c r="P259" i="44"/>
  <c r="N259" i="44"/>
  <c r="AM258" i="44"/>
  <c r="AL258" i="44"/>
  <c r="AK258" i="44"/>
  <c r="AJ258" i="44"/>
  <c r="AI258" i="44"/>
  <c r="W258" i="44"/>
  <c r="X258" i="44" s="1"/>
  <c r="S258" i="44"/>
  <c r="P258" i="44"/>
  <c r="N258" i="44"/>
  <c r="AM257" i="44"/>
  <c r="AL257" i="44"/>
  <c r="AK257" i="44"/>
  <c r="AJ257" i="44"/>
  <c r="AI257" i="44"/>
  <c r="W257" i="44"/>
  <c r="X257" i="44" s="1"/>
  <c r="S257" i="44"/>
  <c r="P257" i="44"/>
  <c r="AM256" i="44"/>
  <c r="AL256" i="44"/>
  <c r="AK256" i="44"/>
  <c r="AJ256" i="44"/>
  <c r="AI256" i="44"/>
  <c r="W256" i="44"/>
  <c r="X256" i="44" s="1"/>
  <c r="S256" i="44"/>
  <c r="P256" i="44"/>
  <c r="N256" i="44"/>
  <c r="AM255" i="44"/>
  <c r="AL255" i="44"/>
  <c r="AK255" i="44"/>
  <c r="AJ255" i="44"/>
  <c r="AI255" i="44"/>
  <c r="W255" i="44"/>
  <c r="X255" i="44" s="1"/>
  <c r="S255" i="44"/>
  <c r="P255" i="44"/>
  <c r="N255" i="44"/>
  <c r="AM254" i="44"/>
  <c r="AL254" i="44"/>
  <c r="AK254" i="44"/>
  <c r="AJ254" i="44"/>
  <c r="AI254" i="44"/>
  <c r="W254" i="44"/>
  <c r="X254" i="44" s="1"/>
  <c r="S254" i="44"/>
  <c r="P254" i="44"/>
  <c r="N254" i="44"/>
  <c r="AM253" i="44"/>
  <c r="AL253" i="44"/>
  <c r="AK253" i="44"/>
  <c r="AJ253" i="44"/>
  <c r="AI253" i="44"/>
  <c r="W253" i="44"/>
  <c r="X253" i="44" s="1"/>
  <c r="S253" i="44"/>
  <c r="P253" i="44"/>
  <c r="N253" i="44"/>
  <c r="AM251" i="44"/>
  <c r="AL251" i="44"/>
  <c r="AK251" i="44"/>
  <c r="AJ251" i="44"/>
  <c r="AI251" i="44"/>
  <c r="W251" i="44"/>
  <c r="X251" i="44" s="1"/>
  <c r="S251" i="44"/>
  <c r="P251" i="44"/>
  <c r="N251" i="44"/>
  <c r="AM249" i="44"/>
  <c r="AL249" i="44"/>
  <c r="AK249" i="44"/>
  <c r="AJ249" i="44"/>
  <c r="AI249" i="44"/>
  <c r="W249" i="44"/>
  <c r="X249" i="44" s="1"/>
  <c r="S249" i="44"/>
  <c r="P249" i="44"/>
  <c r="N249" i="44"/>
  <c r="AM248" i="44"/>
  <c r="AL248" i="44"/>
  <c r="AK248" i="44"/>
  <c r="AJ248" i="44"/>
  <c r="AI248" i="44"/>
  <c r="W248" i="44"/>
  <c r="X248" i="44" s="1"/>
  <c r="S248" i="44"/>
  <c r="P248" i="44"/>
  <c r="N248" i="44"/>
  <c r="AM247" i="44"/>
  <c r="AL247" i="44"/>
  <c r="AK247" i="44"/>
  <c r="AJ247" i="44"/>
  <c r="AI247" i="44"/>
  <c r="W247" i="44"/>
  <c r="X247" i="44" s="1"/>
  <c r="S247" i="44"/>
  <c r="P247" i="44"/>
  <c r="N247" i="44"/>
  <c r="AM237" i="44"/>
  <c r="AL237" i="44"/>
  <c r="AK237" i="44"/>
  <c r="AJ237" i="44"/>
  <c r="AI237" i="44"/>
  <c r="W237" i="44"/>
  <c r="X237" i="44" s="1"/>
  <c r="S237" i="44"/>
  <c r="P237" i="44"/>
  <c r="N237" i="44"/>
  <c r="AM236" i="44"/>
  <c r="AL236" i="44"/>
  <c r="AK236" i="44"/>
  <c r="AJ236" i="44"/>
  <c r="AI236" i="44"/>
  <c r="W236" i="44"/>
  <c r="X236" i="44" s="1"/>
  <c r="S236" i="44"/>
  <c r="P236" i="44"/>
  <c r="N236" i="44"/>
  <c r="AM235" i="44"/>
  <c r="AL235" i="44"/>
  <c r="AK235" i="44"/>
  <c r="AJ235" i="44"/>
  <c r="AI235" i="44"/>
  <c r="W235" i="44"/>
  <c r="X235" i="44" s="1"/>
  <c r="S235" i="44"/>
  <c r="P235" i="44"/>
  <c r="N235" i="44"/>
  <c r="AM234" i="44"/>
  <c r="AL234" i="44"/>
  <c r="AK234" i="44"/>
  <c r="AJ234" i="44"/>
  <c r="AI234" i="44"/>
  <c r="W234" i="44"/>
  <c r="X234" i="44" s="1"/>
  <c r="S234" i="44"/>
  <c r="P234" i="44"/>
  <c r="N234" i="44"/>
  <c r="AM233" i="44"/>
  <c r="AL233" i="44"/>
  <c r="AK233" i="44"/>
  <c r="AJ233" i="44"/>
  <c r="AI233" i="44"/>
  <c r="W233" i="44"/>
  <c r="X233" i="44" s="1"/>
  <c r="S233" i="44"/>
  <c r="P233" i="44"/>
  <c r="N233" i="44"/>
  <c r="AM232" i="44"/>
  <c r="AL232" i="44"/>
  <c r="AK232" i="44"/>
  <c r="AJ232" i="44"/>
  <c r="AI232" i="44"/>
  <c r="W232" i="44"/>
  <c r="X232" i="44" s="1"/>
  <c r="S232" i="44"/>
  <c r="P232" i="44"/>
  <c r="N232" i="44"/>
  <c r="AM231" i="44"/>
  <c r="AL231" i="44"/>
  <c r="AK231" i="44"/>
  <c r="AJ231" i="44"/>
  <c r="AI231" i="44"/>
  <c r="W231" i="44"/>
  <c r="X231" i="44" s="1"/>
  <c r="S231" i="44"/>
  <c r="P231" i="44"/>
  <c r="N231" i="44"/>
  <c r="AM230" i="44"/>
  <c r="AL230" i="44"/>
  <c r="AK230" i="44"/>
  <c r="AJ230" i="44"/>
  <c r="AI230" i="44"/>
  <c r="W230" i="44"/>
  <c r="X230" i="44" s="1"/>
  <c r="S230" i="44"/>
  <c r="P230" i="44"/>
  <c r="AM229" i="44"/>
  <c r="AL229" i="44"/>
  <c r="AK229" i="44"/>
  <c r="AJ229" i="44"/>
  <c r="AI229" i="44"/>
  <c r="W229" i="44"/>
  <c r="X229" i="44" s="1"/>
  <c r="S229" i="44"/>
  <c r="P229" i="44"/>
  <c r="N229" i="44"/>
  <c r="AM228" i="44"/>
  <c r="AL228" i="44"/>
  <c r="AK228" i="44"/>
  <c r="AJ228" i="44"/>
  <c r="AI228" i="44"/>
  <c r="W228" i="44"/>
  <c r="X228" i="44" s="1"/>
  <c r="S228" i="44"/>
  <c r="P228" i="44"/>
  <c r="N228" i="44"/>
  <c r="AM227" i="44"/>
  <c r="AL227" i="44"/>
  <c r="AK227" i="44"/>
  <c r="AJ227" i="44"/>
  <c r="AI227" i="44"/>
  <c r="W227" i="44"/>
  <c r="X227" i="44" s="1"/>
  <c r="S227" i="44"/>
  <c r="P227" i="44"/>
  <c r="N227" i="44"/>
  <c r="AM226" i="44"/>
  <c r="AL226" i="44"/>
  <c r="AK226" i="44"/>
  <c r="AJ226" i="44"/>
  <c r="AI226" i="44"/>
  <c r="W226" i="44"/>
  <c r="X226" i="44" s="1"/>
  <c r="S226" i="44"/>
  <c r="P226" i="44"/>
  <c r="N226" i="44"/>
  <c r="AM225" i="44"/>
  <c r="AL225" i="44"/>
  <c r="AK225" i="44"/>
  <c r="AJ225" i="44"/>
  <c r="AI225" i="44"/>
  <c r="W225" i="44"/>
  <c r="X225" i="44" s="1"/>
  <c r="S225" i="44"/>
  <c r="P225" i="44"/>
  <c r="N225" i="44"/>
  <c r="AM224" i="44"/>
  <c r="AL224" i="44"/>
  <c r="AK224" i="44"/>
  <c r="AJ224" i="44"/>
  <c r="AI224" i="44"/>
  <c r="W224" i="44"/>
  <c r="X224" i="44" s="1"/>
  <c r="S224" i="44"/>
  <c r="P224" i="44"/>
  <c r="N224" i="44"/>
  <c r="AM223" i="44"/>
  <c r="AL223" i="44"/>
  <c r="AK223" i="44"/>
  <c r="AJ223" i="44"/>
  <c r="AI223" i="44"/>
  <c r="W223" i="44"/>
  <c r="X223" i="44" s="1"/>
  <c r="S223" i="44"/>
  <c r="P223" i="44"/>
  <c r="N223" i="44"/>
  <c r="AM222" i="44"/>
  <c r="AL222" i="44"/>
  <c r="AK222" i="44"/>
  <c r="AJ222" i="44"/>
  <c r="AI222" i="44"/>
  <c r="S222" i="44"/>
  <c r="P222" i="44"/>
  <c r="N222" i="44"/>
  <c r="AM221" i="44"/>
  <c r="AL221" i="44"/>
  <c r="AK221" i="44"/>
  <c r="AJ221" i="44"/>
  <c r="AI221" i="44"/>
  <c r="W221" i="44"/>
  <c r="X221" i="44" s="1"/>
  <c r="S221" i="44"/>
  <c r="P221" i="44"/>
  <c r="N221" i="44"/>
  <c r="AM220" i="44"/>
  <c r="AL220" i="44"/>
  <c r="AK220" i="44"/>
  <c r="AJ220" i="44"/>
  <c r="AI220" i="44"/>
  <c r="W220" i="44"/>
  <c r="X220" i="44" s="1"/>
  <c r="S220" i="44"/>
  <c r="P220" i="44"/>
  <c r="N220" i="44"/>
  <c r="AM219" i="44"/>
  <c r="AL219" i="44"/>
  <c r="AK219" i="44"/>
  <c r="AJ219" i="44"/>
  <c r="AI219" i="44"/>
  <c r="W219" i="44"/>
  <c r="X219" i="44" s="1"/>
  <c r="S219" i="44"/>
  <c r="P219" i="44"/>
  <c r="N219" i="44"/>
  <c r="AM218" i="44"/>
  <c r="AL218" i="44"/>
  <c r="AK218" i="44"/>
  <c r="AJ218" i="44"/>
  <c r="AI218" i="44"/>
  <c r="S218" i="44"/>
  <c r="P218" i="44"/>
  <c r="N218" i="44"/>
  <c r="AM217" i="44"/>
  <c r="AL217" i="44"/>
  <c r="AK217" i="44"/>
  <c r="AJ217" i="44"/>
  <c r="AI217" i="44"/>
  <c r="W217" i="44"/>
  <c r="X217" i="44" s="1"/>
  <c r="S217" i="44"/>
  <c r="P217" i="44"/>
  <c r="N217" i="44"/>
  <c r="AM216" i="44"/>
  <c r="AL216" i="44"/>
  <c r="AK216" i="44"/>
  <c r="AJ216" i="44"/>
  <c r="AI216" i="44"/>
  <c r="W216" i="44"/>
  <c r="X216" i="44" s="1"/>
  <c r="S216" i="44"/>
  <c r="P216" i="44"/>
  <c r="N216" i="44"/>
  <c r="AM214" i="44"/>
  <c r="AL214" i="44"/>
  <c r="AK214" i="44"/>
  <c r="AJ214" i="44"/>
  <c r="AI214" i="44"/>
  <c r="W214" i="44"/>
  <c r="X214" i="44" s="1"/>
  <c r="S214" i="44"/>
  <c r="P214" i="44"/>
  <c r="N214" i="44"/>
  <c r="AM213" i="44"/>
  <c r="AL213" i="44"/>
  <c r="AK213" i="44"/>
  <c r="AJ213" i="44"/>
  <c r="AI213" i="44"/>
  <c r="W213" i="44"/>
  <c r="X213" i="44" s="1"/>
  <c r="S213" i="44"/>
  <c r="P213" i="44"/>
  <c r="N213" i="44"/>
  <c r="AM212" i="44"/>
  <c r="AL212" i="44"/>
  <c r="AK212" i="44"/>
  <c r="AJ212" i="44"/>
  <c r="AI212" i="44"/>
  <c r="W212" i="44"/>
  <c r="X212" i="44" s="1"/>
  <c r="S212" i="44"/>
  <c r="P212" i="44"/>
  <c r="N212" i="44"/>
  <c r="AM211" i="44"/>
  <c r="AL211" i="44"/>
  <c r="AK211" i="44"/>
  <c r="AJ211" i="44"/>
  <c r="AI211" i="44"/>
  <c r="W211" i="44"/>
  <c r="X211" i="44" s="1"/>
  <c r="S211" i="44"/>
  <c r="P211" i="44"/>
  <c r="N211" i="44"/>
  <c r="AM210" i="44"/>
  <c r="AL210" i="44"/>
  <c r="AK210" i="44"/>
  <c r="AJ210" i="44"/>
  <c r="AI210" i="44"/>
  <c r="W210" i="44"/>
  <c r="X210" i="44" s="1"/>
  <c r="S210" i="44"/>
  <c r="P210" i="44"/>
  <c r="N210" i="44"/>
  <c r="AM209" i="44"/>
  <c r="AL209" i="44"/>
  <c r="AK209" i="44"/>
  <c r="AJ209" i="44"/>
  <c r="AI209" i="44"/>
  <c r="W209" i="44"/>
  <c r="X209" i="44" s="1"/>
  <c r="S209" i="44"/>
  <c r="P209" i="44"/>
  <c r="N209" i="44"/>
  <c r="AM208" i="44"/>
  <c r="AL208" i="44"/>
  <c r="AK208" i="44"/>
  <c r="AJ208" i="44"/>
  <c r="AI208" i="44"/>
  <c r="W208" i="44"/>
  <c r="X208" i="44" s="1"/>
  <c r="S208" i="44"/>
  <c r="P208" i="44"/>
  <c r="N208" i="44"/>
  <c r="AM200" i="44"/>
  <c r="AL200" i="44"/>
  <c r="AK200" i="44"/>
  <c r="AJ200" i="44"/>
  <c r="AI200" i="44"/>
  <c r="W200" i="44"/>
  <c r="X200" i="44" s="1"/>
  <c r="S200" i="44"/>
  <c r="P200" i="44"/>
  <c r="N200" i="44"/>
  <c r="AM199" i="44"/>
  <c r="AL199" i="44"/>
  <c r="AK199" i="44"/>
  <c r="AJ199" i="44"/>
  <c r="AI199" i="44"/>
  <c r="W199" i="44"/>
  <c r="X199" i="44" s="1"/>
  <c r="S199" i="44"/>
  <c r="P199" i="44"/>
  <c r="N199" i="44"/>
  <c r="AM198" i="44"/>
  <c r="AL198" i="44"/>
  <c r="AK198" i="44"/>
  <c r="AJ198" i="44"/>
  <c r="AI198" i="44"/>
  <c r="W198" i="44"/>
  <c r="X198" i="44" s="1"/>
  <c r="S198" i="44"/>
  <c r="P198" i="44"/>
  <c r="N198" i="44"/>
  <c r="AM197" i="44"/>
  <c r="AL197" i="44"/>
  <c r="AK197" i="44"/>
  <c r="AJ197" i="44"/>
  <c r="AI197" i="44"/>
  <c r="W197" i="44"/>
  <c r="X197" i="44" s="1"/>
  <c r="S197" i="44"/>
  <c r="P197" i="44"/>
  <c r="N197" i="44"/>
  <c r="AM196" i="44"/>
  <c r="AL196" i="44"/>
  <c r="AK196" i="44"/>
  <c r="AJ196" i="44"/>
  <c r="AI196" i="44"/>
  <c r="W196" i="44"/>
  <c r="X196" i="44" s="1"/>
  <c r="S196" i="44"/>
  <c r="P196" i="44"/>
  <c r="N196" i="44"/>
  <c r="AM195" i="44"/>
  <c r="AL195" i="44"/>
  <c r="AK195" i="44"/>
  <c r="AJ195" i="44"/>
  <c r="AI195" i="44"/>
  <c r="W195" i="44"/>
  <c r="X195" i="44" s="1"/>
  <c r="S195" i="44"/>
  <c r="P195" i="44"/>
  <c r="N195" i="44"/>
  <c r="AM193" i="44"/>
  <c r="AL193" i="44"/>
  <c r="AK193" i="44"/>
  <c r="AJ193" i="44"/>
  <c r="AI193" i="44"/>
  <c r="W193" i="44"/>
  <c r="X193" i="44" s="1"/>
  <c r="S193" i="44"/>
  <c r="P193" i="44"/>
  <c r="N193" i="44"/>
  <c r="AM191" i="44"/>
  <c r="AL191" i="44"/>
  <c r="AK191" i="44"/>
  <c r="AJ191" i="44"/>
  <c r="AI191" i="44"/>
  <c r="W191" i="44"/>
  <c r="X191" i="44" s="1"/>
  <c r="S191" i="44"/>
  <c r="P191" i="44"/>
  <c r="N191" i="44"/>
  <c r="AM189" i="44"/>
  <c r="AL189" i="44"/>
  <c r="AK189" i="44"/>
  <c r="AJ189" i="44"/>
  <c r="AI189" i="44"/>
  <c r="W189" i="44"/>
  <c r="X189" i="44" s="1"/>
  <c r="S189" i="44"/>
  <c r="P189" i="44"/>
  <c r="N189" i="44"/>
  <c r="AM188" i="44"/>
  <c r="AL188" i="44"/>
  <c r="AK188" i="44"/>
  <c r="AJ188" i="44"/>
  <c r="AI188" i="44"/>
  <c r="W188" i="44"/>
  <c r="X188" i="44" s="1"/>
  <c r="S188" i="44"/>
  <c r="P188" i="44"/>
  <c r="N188" i="44"/>
  <c r="ET111" i="45" l="1"/>
  <c r="AH20" i="50"/>
  <c r="AH22" i="50" s="1"/>
  <c r="AH27" i="50" s="1"/>
  <c r="AH33" i="50" s="1"/>
  <c r="EW90" i="31"/>
  <c r="EW91" i="31" s="1"/>
  <c r="EV90" i="31"/>
  <c r="EV91" i="31" s="1"/>
  <c r="EV87" i="31"/>
  <c r="EV88" i="31" s="1"/>
  <c r="EV93" i="31" s="1"/>
  <c r="EV94" i="31" s="1"/>
  <c r="EW93" i="31"/>
  <c r="EW94" i="31" s="1"/>
  <c r="L141" i="9"/>
  <c r="K20" i="50"/>
  <c r="K22" i="50" s="1"/>
  <c r="K27" i="50" s="1"/>
  <c r="K33" i="50" s="1"/>
  <c r="EQ93" i="31"/>
  <c r="EQ94" i="31" s="1"/>
  <c r="FZ93" i="31"/>
  <c r="FZ94" i="31" s="1"/>
  <c r="EP87" i="31"/>
  <c r="EP88" i="31" s="1"/>
  <c r="EP93" i="31" s="1"/>
  <c r="EP94" i="31" s="1"/>
  <c r="EC90" i="31"/>
  <c r="EC91" i="31" s="1"/>
  <c r="EN90" i="31"/>
  <c r="EN91" i="31" s="1"/>
  <c r="EL90" i="31"/>
  <c r="EL91" i="31" s="1"/>
  <c r="EO87" i="31"/>
  <c r="EO88" i="31" s="1"/>
  <c r="EO93" i="31" s="1"/>
  <c r="EO94" i="31" s="1"/>
  <c r="ER87" i="31"/>
  <c r="ER88" i="31" s="1"/>
  <c r="ER93" i="31" s="1"/>
  <c r="ER94" i="31" s="1"/>
  <c r="FY90" i="31"/>
  <c r="FY91" i="31" s="1"/>
  <c r="FR90" i="31"/>
  <c r="FR91" i="31" s="1"/>
  <c r="L20" i="50"/>
  <c r="L22" i="50" s="1"/>
  <c r="L27" i="50" s="1"/>
  <c r="L33" i="50" s="1"/>
  <c r="EK87" i="31"/>
  <c r="EK88" i="31" s="1"/>
  <c r="EK93" i="31" s="1"/>
  <c r="EK94" i="31" s="1"/>
  <c r="V141" i="9"/>
  <c r="S105" i="9"/>
  <c r="AC105" i="9"/>
  <c r="AD105" i="9" s="1"/>
  <c r="AE105" i="9" s="1"/>
  <c r="EW111" i="45"/>
  <c r="ER107" i="45"/>
  <c r="ER108" i="45" s="1"/>
  <c r="ER104" i="45"/>
  <c r="ER105" i="45" s="1"/>
  <c r="ER111" i="45" s="1"/>
  <c r="R20" i="50"/>
  <c r="R22" i="50" s="1"/>
  <c r="R27" i="50" s="1"/>
  <c r="R31" i="50" s="1"/>
  <c r="EJ90" i="31"/>
  <c r="EJ91" i="31" s="1"/>
  <c r="FP90" i="31"/>
  <c r="FP91" i="31" s="1"/>
  <c r="EH87" i="31"/>
  <c r="EH88" i="31" s="1"/>
  <c r="EH93" i="31" s="1"/>
  <c r="EH94" i="31" s="1"/>
  <c r="ED87" i="31"/>
  <c r="ED88" i="31" s="1"/>
  <c r="ED93" i="31" s="1"/>
  <c r="ED94" i="31" s="1"/>
  <c r="M20" i="50"/>
  <c r="M22" i="50" s="1"/>
  <c r="M27" i="50" s="1"/>
  <c r="M33" i="50" s="1"/>
  <c r="DX87" i="31"/>
  <c r="DX88" i="31" s="1"/>
  <c r="DX93" i="31" s="1"/>
  <c r="DX94" i="31" s="1"/>
  <c r="DX90" i="31"/>
  <c r="DX91" i="31" s="1"/>
  <c r="EA90" i="31"/>
  <c r="EA91" i="31" s="1"/>
  <c r="EA87" i="31"/>
  <c r="EA88" i="31" s="1"/>
  <c r="EA93" i="31" s="1"/>
  <c r="EA94" i="31" s="1"/>
  <c r="EB87" i="31"/>
  <c r="EB88" i="31" s="1"/>
  <c r="EB93" i="31" s="1"/>
  <c r="EB94" i="31" s="1"/>
  <c r="EB90" i="31"/>
  <c r="EB91" i="31" s="1"/>
  <c r="EF90" i="31"/>
  <c r="EF91" i="31" s="1"/>
  <c r="EF87" i="31"/>
  <c r="EF88" i="31" s="1"/>
  <c r="EF93" i="31" s="1"/>
  <c r="EF94" i="31" s="1"/>
  <c r="EI90" i="31"/>
  <c r="EI91" i="31" s="1"/>
  <c r="EI87" i="31"/>
  <c r="EI88" i="31" s="1"/>
  <c r="EI93" i="31" s="1"/>
  <c r="EI94" i="31" s="1"/>
  <c r="EG87" i="31"/>
  <c r="EG88" i="31" s="1"/>
  <c r="EG93" i="31" s="1"/>
  <c r="EG94" i="31" s="1"/>
  <c r="EG90" i="31"/>
  <c r="EG91" i="31" s="1"/>
  <c r="EH91" i="31"/>
  <c r="EE90" i="31"/>
  <c r="EE91" i="31" s="1"/>
  <c r="FP93" i="31"/>
  <c r="FP94" i="31" s="1"/>
  <c r="EY107" i="45"/>
  <c r="EY108" i="45" s="1"/>
  <c r="AJ40" i="50"/>
  <c r="AJ48" i="50" s="1"/>
  <c r="AJ50" i="50" s="1"/>
  <c r="AJ52" i="50" s="1"/>
  <c r="AJ54" i="50" s="1"/>
  <c r="EZ107" i="45"/>
  <c r="EZ108" i="45" s="1"/>
  <c r="AK40" i="50"/>
  <c r="AK48" i="50" s="1"/>
  <c r="AK50" i="50" s="1"/>
  <c r="AK52" i="50" s="1"/>
  <c r="AK54" i="50" s="1"/>
  <c r="O208" i="44"/>
  <c r="O218" i="44"/>
  <c r="O196" i="44"/>
  <c r="O227" i="44"/>
  <c r="O231" i="44"/>
  <c r="O251" i="44"/>
  <c r="O188" i="44"/>
  <c r="O260" i="44"/>
  <c r="O299" i="44"/>
  <c r="O211" i="44"/>
  <c r="O217" i="44"/>
  <c r="O195" i="44"/>
  <c r="O230" i="44"/>
  <c r="O249" i="44"/>
  <c r="O216" i="44"/>
  <c r="O259" i="44"/>
  <c r="O220" i="44"/>
  <c r="O210" i="44"/>
  <c r="O193" i="44"/>
  <c r="O198" i="44"/>
  <c r="O229" i="44"/>
  <c r="O248" i="44"/>
  <c r="O308" i="44"/>
  <c r="O219" i="44"/>
  <c r="O209" i="44"/>
  <c r="O258" i="44"/>
  <c r="O295" i="44"/>
  <c r="O312" i="44"/>
  <c r="O191" i="44"/>
  <c r="O197" i="44"/>
  <c r="O228" i="44"/>
  <c r="O247" i="44"/>
  <c r="O253" i="44"/>
  <c r="O261" i="44"/>
  <c r="AE40" i="50"/>
  <c r="AE48" i="50" s="1"/>
  <c r="AE50" i="50" s="1"/>
  <c r="AE52" i="50" s="1"/>
  <c r="AE54" i="50" s="1"/>
  <c r="EY104" i="45"/>
  <c r="EY105" i="45" s="1"/>
  <c r="EY110" i="45"/>
  <c r="BB423" i="44"/>
  <c r="X423" i="44"/>
  <c r="BB301" i="44"/>
  <c r="BB23" i="44"/>
  <c r="BB358" i="44"/>
  <c r="BB224" i="44"/>
  <c r="BB431" i="44"/>
  <c r="BB356" i="44"/>
  <c r="BB418" i="44"/>
  <c r="BB281" i="44"/>
  <c r="BB355" i="44"/>
  <c r="BB440" i="44"/>
  <c r="BB288" i="44"/>
  <c r="BB365" i="44"/>
  <c r="BB257" i="44"/>
  <c r="BB307" i="44"/>
  <c r="BB438" i="44"/>
  <c r="AF40" i="50"/>
  <c r="AF48" i="50" s="1"/>
  <c r="AF50" i="50" s="1"/>
  <c r="AF52" i="50" s="1"/>
  <c r="AF54" i="50" s="1"/>
  <c r="EZ104" i="45"/>
  <c r="EZ105" i="45" s="1"/>
  <c r="EZ110" i="45"/>
  <c r="EV107" i="45"/>
  <c r="EV108" i="45" s="1"/>
  <c r="EV110" i="45"/>
  <c r="AC40" i="50"/>
  <c r="EV104" i="45"/>
  <c r="EV105" i="45" s="1"/>
  <c r="EX107" i="45"/>
  <c r="EX108" i="45" s="1"/>
  <c r="AD40" i="50"/>
  <c r="EX110" i="45"/>
  <c r="EX104" i="45"/>
  <c r="EX105" i="45" s="1"/>
  <c r="FA110" i="45"/>
  <c r="FA104" i="45"/>
  <c r="FA105" i="45" s="1"/>
  <c r="FA107" i="45"/>
  <c r="FA108" i="45" s="1"/>
  <c r="AG40" i="50"/>
  <c r="T20" i="50"/>
  <c r="T22" i="50" s="1"/>
  <c r="T27" i="50" s="1"/>
  <c r="T33" i="50" s="1"/>
  <c r="AF20" i="50"/>
  <c r="AF22" i="50" s="1"/>
  <c r="AF27" i="50" s="1"/>
  <c r="AF33" i="50" s="1"/>
  <c r="DW110" i="45"/>
  <c r="DW111" i="45" s="1"/>
  <c r="E40" i="50"/>
  <c r="DW107" i="45"/>
  <c r="DW108" i="45" s="1"/>
  <c r="EF110" i="45"/>
  <c r="EF111" i="45" s="1"/>
  <c r="J40" i="50"/>
  <c r="EB110" i="45"/>
  <c r="EB104" i="45"/>
  <c r="EB105" i="45" s="1"/>
  <c r="I40" i="50"/>
  <c r="DY104" i="45"/>
  <c r="DY105" i="45" s="1"/>
  <c r="EF107" i="45"/>
  <c r="EF108" i="45" s="1"/>
  <c r="EA104" i="45"/>
  <c r="EA105" i="45" s="1"/>
  <c r="EA111" i="45" s="1"/>
  <c r="N40" i="50"/>
  <c r="EA107" i="45"/>
  <c r="EA108" i="45" s="1"/>
  <c r="EO107" i="45"/>
  <c r="EO108" i="45" s="1"/>
  <c r="W40" i="50"/>
  <c r="EO104" i="45"/>
  <c r="EO105" i="45" s="1"/>
  <c r="EO111" i="45" s="1"/>
  <c r="EN107" i="45"/>
  <c r="EN108" i="45" s="1"/>
  <c r="EN104" i="45"/>
  <c r="EN105" i="45" s="1"/>
  <c r="EN111" i="45" s="1"/>
  <c r="V40" i="50"/>
  <c r="DY110" i="45"/>
  <c r="G40" i="50"/>
  <c r="F40" i="50"/>
  <c r="DX107" i="45"/>
  <c r="DX108" i="45" s="1"/>
  <c r="DX110" i="45"/>
  <c r="DX111" i="45" s="1"/>
  <c r="FB111" i="45"/>
  <c r="AW20" i="50"/>
  <c r="AW22" i="50" s="1"/>
  <c r="AW27" i="50" s="1"/>
  <c r="AW33" i="50" s="1"/>
  <c r="AU20" i="50"/>
  <c r="AU22" i="50" s="1"/>
  <c r="AU27" i="50" s="1"/>
  <c r="AU33" i="50" s="1"/>
  <c r="AB20" i="50"/>
  <c r="AB22" i="50" s="1"/>
  <c r="AB27" i="50" s="1"/>
  <c r="AB31" i="50" s="1"/>
  <c r="AD20" i="50"/>
  <c r="AD22" i="50" s="1"/>
  <c r="AD27" i="50" s="1"/>
  <c r="AD31" i="50" s="1"/>
  <c r="S20" i="50"/>
  <c r="S22" i="50" s="1"/>
  <c r="S27" i="50" s="1"/>
  <c r="S33" i="50" s="1"/>
  <c r="W20" i="50"/>
  <c r="W22" i="50" s="1"/>
  <c r="W27" i="50" s="1"/>
  <c r="AS20" i="50"/>
  <c r="AS22" i="50" s="1"/>
  <c r="AS27" i="50" s="1"/>
  <c r="AS31" i="50" s="1"/>
  <c r="P20" i="50"/>
  <c r="P22" i="50" s="1"/>
  <c r="P27" i="50" s="1"/>
  <c r="Q20" i="50"/>
  <c r="Q22" i="50" s="1"/>
  <c r="Q27" i="50" s="1"/>
  <c r="Q29" i="50" s="1"/>
  <c r="V20" i="50"/>
  <c r="V22" i="50" s="1"/>
  <c r="V27" i="50" s="1"/>
  <c r="G20" i="50"/>
  <c r="G22" i="50" s="1"/>
  <c r="G27" i="50" s="1"/>
  <c r="G29" i="50" s="1"/>
  <c r="AC20" i="50"/>
  <c r="AC22" i="50" s="1"/>
  <c r="AC27" i="50" s="1"/>
  <c r="AC29" i="50" s="1"/>
  <c r="F20" i="50"/>
  <c r="F22" i="50" s="1"/>
  <c r="F27" i="50" s="1"/>
  <c r="F29" i="50" s="1"/>
  <c r="I20" i="50"/>
  <c r="I22" i="50" s="1"/>
  <c r="I27" i="50" s="1"/>
  <c r="I29" i="50" s="1"/>
  <c r="J20" i="50"/>
  <c r="J22" i="50" s="1"/>
  <c r="J27" i="50" s="1"/>
  <c r="N20" i="50"/>
  <c r="N22" i="50" s="1"/>
  <c r="N27" i="50" s="1"/>
  <c r="FT111" i="45"/>
  <c r="AB193" i="44"/>
  <c r="BB193" i="44"/>
  <c r="Z357" i="44"/>
  <c r="BB357" i="44"/>
  <c r="AB359" i="44"/>
  <c r="BB359" i="44"/>
  <c r="AA360" i="44"/>
  <c r="BB360" i="44"/>
  <c r="Z361" i="44"/>
  <c r="BB361" i="44"/>
  <c r="BB362" i="44"/>
  <c r="Z363" i="44"/>
  <c r="BB363" i="44"/>
  <c r="BB364" i="44"/>
  <c r="AB366" i="44"/>
  <c r="BB366" i="44"/>
  <c r="BB367" i="44"/>
  <c r="AB255" i="44"/>
  <c r="Z256" i="44"/>
  <c r="AA191" i="44"/>
  <c r="BB191" i="44"/>
  <c r="AB210" i="44"/>
  <c r="AA218" i="44"/>
  <c r="AB228" i="44"/>
  <c r="BB228" i="44"/>
  <c r="BB247" i="44"/>
  <c r="BB253" i="44"/>
  <c r="AB260" i="44"/>
  <c r="AA419" i="44"/>
  <c r="BB419" i="44"/>
  <c r="BB420" i="44"/>
  <c r="Z421" i="44"/>
  <c r="BB421" i="44"/>
  <c r="AA422" i="44"/>
  <c r="BB422" i="44"/>
  <c r="Z424" i="44"/>
  <c r="BB424" i="44"/>
  <c r="BB425" i="44"/>
  <c r="BB426" i="44"/>
  <c r="BB427" i="44"/>
  <c r="AB428" i="44"/>
  <c r="BB428" i="44"/>
  <c r="Z429" i="44"/>
  <c r="BB429" i="44"/>
  <c r="AB430" i="44"/>
  <c r="BB430" i="44"/>
  <c r="BB432" i="44"/>
  <c r="BB433" i="44"/>
  <c r="AA434" i="44"/>
  <c r="BB434" i="44"/>
  <c r="BB435" i="44"/>
  <c r="BB436" i="44"/>
  <c r="AB437" i="44"/>
  <c r="AA439" i="44"/>
  <c r="BB439" i="44"/>
  <c r="Z441" i="44"/>
  <c r="BB441" i="44"/>
  <c r="AB442" i="44"/>
  <c r="BB442" i="44"/>
  <c r="AB248" i="44"/>
  <c r="AB354" i="44"/>
  <c r="BB354" i="44"/>
  <c r="BB280" i="44"/>
  <c r="AB282" i="44"/>
  <c r="BB282" i="44"/>
  <c r="AB286" i="44"/>
  <c r="BB286" i="44"/>
  <c r="Z259" i="44"/>
  <c r="Z308" i="44"/>
  <c r="AA221" i="44"/>
  <c r="AB223" i="44"/>
  <c r="AB211" i="44"/>
  <c r="AB229" i="44"/>
  <c r="AA261" i="44"/>
  <c r="BB261" i="44"/>
  <c r="AA295" i="44"/>
  <c r="BB295" i="44"/>
  <c r="BB347" i="44"/>
  <c r="AB348" i="44"/>
  <c r="BB348" i="44"/>
  <c r="AA232" i="44"/>
  <c r="AB237" i="44"/>
  <c r="Z284" i="44"/>
  <c r="BB284" i="44"/>
  <c r="AB231" i="44"/>
  <c r="BB231" i="44"/>
  <c r="AB251" i="44"/>
  <c r="BB251" i="44"/>
  <c r="Z219" i="44"/>
  <c r="AA352" i="44"/>
  <c r="BB352" i="44"/>
  <c r="AB189" i="44"/>
  <c r="AB235" i="44"/>
  <c r="BB235" i="44"/>
  <c r="Z353" i="44"/>
  <c r="BB353" i="44"/>
  <c r="AA217" i="44"/>
  <c r="BB217" i="44"/>
  <c r="AA195" i="44"/>
  <c r="AB208" i="44"/>
  <c r="BB208" i="44"/>
  <c r="AB220" i="44"/>
  <c r="BB220" i="44"/>
  <c r="AB230" i="44"/>
  <c r="BB249" i="44"/>
  <c r="AB258" i="44"/>
  <c r="AA299" i="44"/>
  <c r="BB299" i="44"/>
  <c r="Z233" i="44"/>
  <c r="AA283" i="44"/>
  <c r="BB283" i="44"/>
  <c r="Z285" i="44"/>
  <c r="BB285" i="44"/>
  <c r="AB287" i="44"/>
  <c r="BB287" i="44"/>
  <c r="AA188" i="44"/>
  <c r="AB209" i="44"/>
  <c r="AA222" i="44"/>
  <c r="AA226" i="44"/>
  <c r="AA302" i="44"/>
  <c r="BB302" i="44"/>
  <c r="Z199" i="44"/>
  <c r="Z200" i="44"/>
  <c r="AB213" i="44"/>
  <c r="AA214" i="44"/>
  <c r="AA264" i="44"/>
  <c r="Z297" i="44"/>
  <c r="BB297" i="44"/>
  <c r="BB298" i="44"/>
  <c r="AN420" i="44"/>
  <c r="AN432" i="44"/>
  <c r="AN419" i="44"/>
  <c r="AN425" i="44"/>
  <c r="AN437" i="44"/>
  <c r="AN222" i="44"/>
  <c r="AN264" i="44"/>
  <c r="AN198" i="44"/>
  <c r="AN219" i="44"/>
  <c r="AN224" i="44"/>
  <c r="AN353" i="44"/>
  <c r="AN256" i="44"/>
  <c r="AN257" i="44"/>
  <c r="AN261" i="44"/>
  <c r="AN288" i="44"/>
  <c r="AN358" i="44"/>
  <c r="AA353" i="44"/>
  <c r="AN442" i="44"/>
  <c r="AB353" i="44"/>
  <c r="AN314" i="44"/>
  <c r="AN287" i="44"/>
  <c r="AN232" i="44"/>
  <c r="AN234" i="44"/>
  <c r="AN230" i="44"/>
  <c r="AB218" i="44"/>
  <c r="AN211" i="44"/>
  <c r="AN213" i="44"/>
  <c r="Z208" i="44"/>
  <c r="AA208" i="44"/>
  <c r="AN356" i="44"/>
  <c r="AN422" i="44"/>
  <c r="AN434" i="44"/>
  <c r="AN440" i="44"/>
  <c r="AN226" i="44"/>
  <c r="AN189" i="44"/>
  <c r="AN297" i="44"/>
  <c r="AN197" i="44"/>
  <c r="AN208" i="44"/>
  <c r="AN233" i="44"/>
  <c r="AN280" i="44"/>
  <c r="AN295" i="44"/>
  <c r="AN302" i="44"/>
  <c r="Z251" i="44"/>
  <c r="AA251" i="44"/>
  <c r="AN196" i="44"/>
  <c r="AN212" i="44"/>
  <c r="Z228" i="44"/>
  <c r="AA228" i="44"/>
  <c r="AN236" i="44"/>
  <c r="AB217" i="44"/>
  <c r="AN225" i="44"/>
  <c r="AN237" i="44"/>
  <c r="AN248" i="44"/>
  <c r="AN286" i="44"/>
  <c r="AB299" i="44"/>
  <c r="Z362" i="44"/>
  <c r="AA424" i="44"/>
  <c r="AN301" i="44"/>
  <c r="AA362" i="44"/>
  <c r="AB424" i="44"/>
  <c r="AA428" i="44"/>
  <c r="AB362" i="44"/>
  <c r="AA284" i="44"/>
  <c r="AB363" i="44"/>
  <c r="AA436" i="44"/>
  <c r="AA363" i="44"/>
  <c r="Z436" i="44"/>
  <c r="AN307" i="44"/>
  <c r="AN426" i="44"/>
  <c r="AN431" i="44"/>
  <c r="AB436" i="44"/>
  <c r="AN441" i="44"/>
  <c r="Z253" i="44"/>
  <c r="AA200" i="44"/>
  <c r="Z227" i="44"/>
  <c r="AB247" i="44"/>
  <c r="AB364" i="44"/>
  <c r="AN367" i="44"/>
  <c r="Z425" i="44"/>
  <c r="Z432" i="44"/>
  <c r="AN188" i="44"/>
  <c r="AA189" i="44"/>
  <c r="AN200" i="44"/>
  <c r="AA227" i="44"/>
  <c r="AN231" i="44"/>
  <c r="AA233" i="44"/>
  <c r="Z255" i="44"/>
  <c r="AN260" i="44"/>
  <c r="AB264" i="44"/>
  <c r="AN283" i="44"/>
  <c r="AB302" i="44"/>
  <c r="AN308" i="44"/>
  <c r="AN315" i="44"/>
  <c r="AB419" i="44"/>
  <c r="AA425" i="44"/>
  <c r="AA432" i="44"/>
  <c r="AN435" i="44"/>
  <c r="Z295" i="44"/>
  <c r="AA263" i="44"/>
  <c r="AN347" i="44"/>
  <c r="AA361" i="44"/>
  <c r="AA427" i="44"/>
  <c r="AA211" i="44"/>
  <c r="AN218" i="44"/>
  <c r="AA247" i="44"/>
  <c r="AB263" i="44"/>
  <c r="AB361" i="44"/>
  <c r="AB227" i="44"/>
  <c r="AA255" i="44"/>
  <c r="AB432" i="44"/>
  <c r="AN195" i="44"/>
  <c r="AN193" i="44"/>
  <c r="AB214" i="44"/>
  <c r="AN258" i="44"/>
  <c r="AN285" i="44"/>
  <c r="Z347" i="44"/>
  <c r="AN355" i="44"/>
  <c r="Z420" i="44"/>
  <c r="AA426" i="44"/>
  <c r="Z263" i="44"/>
  <c r="Z247" i="44"/>
  <c r="AA253" i="44"/>
  <c r="AB253" i="44"/>
  <c r="Z364" i="44"/>
  <c r="Z189" i="44"/>
  <c r="AN191" i="44"/>
  <c r="Z218" i="44"/>
  <c r="AN220" i="44"/>
  <c r="AN221" i="44"/>
  <c r="AB222" i="44"/>
  <c r="Z286" i="44"/>
  <c r="Z299" i="44"/>
  <c r="AA347" i="44"/>
  <c r="Z352" i="44"/>
  <c r="Z360" i="44"/>
  <c r="AN362" i="44"/>
  <c r="AA366" i="44"/>
  <c r="AA420" i="44"/>
  <c r="AB426" i="44"/>
  <c r="AB295" i="44"/>
  <c r="AA421" i="44"/>
  <c r="AB200" i="44"/>
  <c r="AB421" i="44"/>
  <c r="AB427" i="44"/>
  <c r="AB435" i="44"/>
  <c r="AN438" i="44"/>
  <c r="AB233" i="44"/>
  <c r="AB425" i="44"/>
  <c r="AN259" i="44"/>
  <c r="AB221" i="44"/>
  <c r="AA286" i="44"/>
  <c r="AB347" i="44"/>
  <c r="AB352" i="44"/>
  <c r="AB360" i="44"/>
  <c r="AB420" i="44"/>
  <c r="AN423" i="44"/>
  <c r="AN354" i="44"/>
  <c r="AA355" i="44"/>
  <c r="AB355" i="44"/>
  <c r="Z355" i="44"/>
  <c r="AB198" i="44"/>
  <c r="AA198" i="44"/>
  <c r="Z198" i="44"/>
  <c r="AN235" i="44"/>
  <c r="Z433" i="44"/>
  <c r="AB433" i="44"/>
  <c r="AA433" i="44"/>
  <c r="Z365" i="44"/>
  <c r="AA365" i="44"/>
  <c r="Z196" i="44"/>
  <c r="AB196" i="44"/>
  <c r="AN216" i="44"/>
  <c r="AN312" i="44"/>
  <c r="AB438" i="44"/>
  <c r="AA438" i="44"/>
  <c r="AA196" i="44"/>
  <c r="AN348" i="44"/>
  <c r="AN357" i="44"/>
  <c r="AB358" i="44"/>
  <c r="AA358" i="44"/>
  <c r="Z358" i="44"/>
  <c r="AA254" i="44"/>
  <c r="AB254" i="44"/>
  <c r="Z254" i="44"/>
  <c r="AB288" i="44"/>
  <c r="Z288" i="44"/>
  <c r="AA288" i="44"/>
  <c r="AN227" i="44"/>
  <c r="AN214" i="44"/>
  <c r="AN228" i="44"/>
  <c r="Z234" i="44"/>
  <c r="AN253" i="44"/>
  <c r="Z264" i="44"/>
  <c r="AN281" i="44"/>
  <c r="Z282" i="44"/>
  <c r="AB285" i="44"/>
  <c r="AN352" i="44"/>
  <c r="AN360" i="44"/>
  <c r="AN427" i="44"/>
  <c r="AN430" i="44"/>
  <c r="Z211" i="44"/>
  <c r="AN223" i="44"/>
  <c r="AB234" i="44"/>
  <c r="AA282" i="44"/>
  <c r="AA297" i="44"/>
  <c r="AN299" i="44"/>
  <c r="AN365" i="44"/>
  <c r="AN418" i="44"/>
  <c r="Z426" i="44"/>
  <c r="Z428" i="44"/>
  <c r="Z248" i="44"/>
  <c r="AB439" i="44"/>
  <c r="AA259" i="44"/>
  <c r="AN282" i="44"/>
  <c r="AN310" i="44"/>
  <c r="AB199" i="44"/>
  <c r="AN209" i="44"/>
  <c r="AA216" i="44"/>
  <c r="Z235" i="44"/>
  <c r="AA248" i="44"/>
  <c r="Z249" i="44"/>
  <c r="AB259" i="44"/>
  <c r="AA260" i="44"/>
  <c r="Z261" i="44"/>
  <c r="Z283" i="44"/>
  <c r="AB298" i="44"/>
  <c r="AA348" i="44"/>
  <c r="Z354" i="44"/>
  <c r="AN363" i="44"/>
  <c r="AN366" i="44"/>
  <c r="AN424" i="44"/>
  <c r="Z216" i="44"/>
  <c r="Z260" i="44"/>
  <c r="Z298" i="44"/>
  <c r="Z348" i="44"/>
  <c r="AB216" i="44"/>
  <c r="Z217" i="44"/>
  <c r="AA235" i="44"/>
  <c r="AN247" i="44"/>
  <c r="AA249" i="44"/>
  <c r="AB261" i="44"/>
  <c r="AB283" i="44"/>
  <c r="Z302" i="44"/>
  <c r="AA354" i="44"/>
  <c r="AA199" i="44"/>
  <c r="AN210" i="44"/>
  <c r="AN199" i="44"/>
  <c r="AB249" i="44"/>
  <c r="AN255" i="44"/>
  <c r="AN359" i="44"/>
  <c r="Z427" i="44"/>
  <c r="AN429" i="44"/>
  <c r="AA435" i="44"/>
  <c r="AN436" i="44"/>
  <c r="AN439" i="44"/>
  <c r="AB314" i="44"/>
  <c r="AA314" i="44"/>
  <c r="Z314" i="44"/>
  <c r="Z226" i="44"/>
  <c r="AN229" i="44"/>
  <c r="AN263" i="44"/>
  <c r="AB307" i="44"/>
  <c r="AA307" i="44"/>
  <c r="Z307" i="44"/>
  <c r="Z262" i="44"/>
  <c r="AA262" i="44"/>
  <c r="AA213" i="44"/>
  <c r="Z213" i="44"/>
  <c r="AB226" i="44"/>
  <c r="AN251" i="44"/>
  <c r="AB262" i="44"/>
  <c r="AB212" i="44"/>
  <c r="AA212" i="44"/>
  <c r="AA225" i="44"/>
  <c r="Z225" i="44"/>
  <c r="AB257" i="44"/>
  <c r="Z257" i="44"/>
  <c r="AA301" i="44"/>
  <c r="Z301" i="44"/>
  <c r="AB311" i="44"/>
  <c r="AA311" i="44"/>
  <c r="Z311" i="44"/>
  <c r="Z197" i="44"/>
  <c r="AA234" i="44"/>
  <c r="AN254" i="44"/>
  <c r="AB301" i="44"/>
  <c r="AA280" i="44"/>
  <c r="Z280" i="44"/>
  <c r="AB280" i="44"/>
  <c r="Z212" i="44"/>
  <c r="AB224" i="44"/>
  <c r="AA224" i="44"/>
  <c r="AB225" i="44"/>
  <c r="AA257" i="44"/>
  <c r="AB423" i="44"/>
  <c r="AA423" i="44"/>
  <c r="Z423" i="44"/>
  <c r="AA237" i="44"/>
  <c r="Z237" i="44"/>
  <c r="AN249" i="44"/>
  <c r="AA287" i="44"/>
  <c r="Z287" i="44"/>
  <c r="AN298" i="44"/>
  <c r="AA258" i="44"/>
  <c r="Z258" i="44"/>
  <c r="AB188" i="44"/>
  <c r="Z191" i="44"/>
  <c r="Z210" i="44"/>
  <c r="Z224" i="44"/>
  <c r="Z188" i="44"/>
  <c r="AA197" i="44"/>
  <c r="Z231" i="44"/>
  <c r="Z232" i="44"/>
  <c r="AB195" i="44"/>
  <c r="AA209" i="44"/>
  <c r="AA210" i="44"/>
  <c r="AA219" i="44"/>
  <c r="Z220" i="44"/>
  <c r="Z223" i="44"/>
  <c r="Z229" i="44"/>
  <c r="AA230" i="44"/>
  <c r="AA231" i="44"/>
  <c r="AB232" i="44"/>
  <c r="AB236" i="44"/>
  <c r="AA236" i="44"/>
  <c r="Z236" i="44"/>
  <c r="AA256" i="44"/>
  <c r="Z281" i="44"/>
  <c r="AB281" i="44"/>
  <c r="AB197" i="44"/>
  <c r="Z195" i="44"/>
  <c r="Z209" i="44"/>
  <c r="Z230" i="44"/>
  <c r="AA193" i="44"/>
  <c r="AB191" i="44"/>
  <c r="AB219" i="44"/>
  <c r="AA220" i="44"/>
  <c r="Z221" i="44"/>
  <c r="Z222" i="44"/>
  <c r="AA223" i="44"/>
  <c r="AA229" i="44"/>
  <c r="AB256" i="44"/>
  <c r="AA281" i="44"/>
  <c r="Z193" i="44"/>
  <c r="Z214" i="44"/>
  <c r="AN217" i="44"/>
  <c r="AN284" i="44"/>
  <c r="AB310" i="44"/>
  <c r="AA310" i="44"/>
  <c r="Z310" i="44"/>
  <c r="AB312" i="44"/>
  <c r="AA312" i="44"/>
  <c r="Z312" i="44"/>
  <c r="AB357" i="44"/>
  <c r="AA357" i="44"/>
  <c r="AN428" i="44"/>
  <c r="AA315" i="44"/>
  <c r="AB315" i="44"/>
  <c r="Z315" i="44"/>
  <c r="AN364" i="44"/>
  <c r="AN262" i="44"/>
  <c r="AA285" i="44"/>
  <c r="AB308" i="44"/>
  <c r="AA308" i="44"/>
  <c r="AN361" i="44"/>
  <c r="Z356" i="44"/>
  <c r="AB356" i="44"/>
  <c r="AA356" i="44"/>
  <c r="Z359" i="44"/>
  <c r="AA359" i="44"/>
  <c r="AA430" i="44"/>
  <c r="Z430" i="44"/>
  <c r="AA442" i="44"/>
  <c r="Z442" i="44"/>
  <c r="AB284" i="44"/>
  <c r="AB297" i="44"/>
  <c r="AA298" i="44"/>
  <c r="AA364" i="44"/>
  <c r="AB365" i="44"/>
  <c r="Z439" i="44"/>
  <c r="AA367" i="44"/>
  <c r="AB367" i="44"/>
  <c r="AN311" i="44"/>
  <c r="Z366" i="44"/>
  <c r="Z367" i="44"/>
  <c r="AB441" i="44"/>
  <c r="AA441" i="44"/>
  <c r="Z422" i="44"/>
  <c r="AB422" i="44"/>
  <c r="AB429" i="44"/>
  <c r="AA429" i="44"/>
  <c r="AN433" i="44"/>
  <c r="Z438" i="44"/>
  <c r="Z431" i="44"/>
  <c r="AB431" i="44"/>
  <c r="AA418" i="44"/>
  <c r="Z418" i="44"/>
  <c r="AA431" i="44"/>
  <c r="AB440" i="44"/>
  <c r="AA440" i="44"/>
  <c r="Z440" i="44"/>
  <c r="Z434" i="44"/>
  <c r="AB434" i="44"/>
  <c r="Z437" i="44"/>
  <c r="AB418" i="44"/>
  <c r="AA437" i="44"/>
  <c r="Z435" i="44"/>
  <c r="Z419" i="44"/>
  <c r="AN421" i="44"/>
  <c r="AT193" i="44" l="1"/>
  <c r="AT191" i="44"/>
  <c r="AU40" i="50"/>
  <c r="AR40" i="50"/>
  <c r="AR48" i="50" s="1"/>
  <c r="AR50" i="50" s="1"/>
  <c r="AR52" i="50" s="1"/>
  <c r="AR54" i="50" s="1"/>
  <c r="AW40" i="50"/>
  <c r="AT40" i="50"/>
  <c r="EY111" i="45"/>
  <c r="EZ111" i="45"/>
  <c r="FA111" i="45"/>
  <c r="EX111" i="45"/>
  <c r="EV111" i="45"/>
  <c r="EB111" i="45"/>
  <c r="DY111" i="45"/>
  <c r="FQ110" i="45"/>
  <c r="FQ104" i="45"/>
  <c r="FQ105" i="45" s="1"/>
  <c r="FQ111" i="45" s="1"/>
  <c r="FQ107" i="45"/>
  <c r="FQ108" i="45" s="1"/>
  <c r="FO107" i="45"/>
  <c r="FO108" i="45" s="1"/>
  <c r="FO104" i="45"/>
  <c r="FO105" i="45" s="1"/>
  <c r="FO111" i="45" s="1"/>
  <c r="FO110" i="45"/>
  <c r="AO363" i="44"/>
  <c r="AO199" i="44"/>
  <c r="AP199" i="44" s="1"/>
  <c r="AO441" i="44"/>
  <c r="AO200" i="44"/>
  <c r="AO421" i="44"/>
  <c r="AP421" i="44" s="1"/>
  <c r="AW421" i="44" s="1"/>
  <c r="AO420" i="44"/>
  <c r="AP420" i="44" s="1"/>
  <c r="AW420" i="44" s="1"/>
  <c r="AO361" i="44"/>
  <c r="AO308" i="44"/>
  <c r="AO297" i="44"/>
  <c r="AO285" i="44"/>
  <c r="AO429" i="44"/>
  <c r="AO353" i="44"/>
  <c r="AO233" i="44"/>
  <c r="AO284" i="44"/>
  <c r="AO256" i="44"/>
  <c r="AO357" i="44"/>
  <c r="AO219" i="44"/>
  <c r="AO259" i="44"/>
  <c r="AP259" i="44" s="1"/>
  <c r="AW259" i="44" s="1"/>
  <c r="AO424" i="44"/>
  <c r="AP424" i="44" s="1"/>
  <c r="AW424" i="44" s="1"/>
  <c r="AO432" i="44"/>
  <c r="AP432" i="44" s="1"/>
  <c r="AW432" i="44" s="1"/>
  <c r="AO419" i="44"/>
  <c r="AP419" i="44" s="1"/>
  <c r="AW419" i="44" s="1"/>
  <c r="AO188" i="44"/>
  <c r="AO257" i="44"/>
  <c r="AO264" i="44"/>
  <c r="AO442" i="44"/>
  <c r="AP442" i="44" s="1"/>
  <c r="AW442" i="44" s="1"/>
  <c r="AO437" i="44"/>
  <c r="AP437" i="44" s="1"/>
  <c r="AW437" i="44" s="1"/>
  <c r="AO224" i="44"/>
  <c r="AO425" i="44"/>
  <c r="AP425" i="44" s="1"/>
  <c r="AW425" i="44" s="1"/>
  <c r="AO236" i="44"/>
  <c r="AO261" i="44"/>
  <c r="AO222" i="44"/>
  <c r="AO198" i="44"/>
  <c r="AO226" i="44"/>
  <c r="AO247" i="44"/>
  <c r="AO213" i="44"/>
  <c r="AO282" i="44"/>
  <c r="AO440" i="44"/>
  <c r="AP440" i="44" s="1"/>
  <c r="AW440" i="44" s="1"/>
  <c r="AO221" i="44"/>
  <c r="AO367" i="44"/>
  <c r="AO195" i="44"/>
  <c r="AO251" i="44"/>
  <c r="AO301" i="44"/>
  <c r="AO218" i="44"/>
  <c r="AO232" i="44"/>
  <c r="AO228" i="44"/>
  <c r="AO281" i="44"/>
  <c r="AO431" i="44"/>
  <c r="AP431" i="44" s="1"/>
  <c r="AW431" i="44" s="1"/>
  <c r="AO288" i="44"/>
  <c r="AO217" i="44"/>
  <c r="AO216" i="44"/>
  <c r="AO314" i="44"/>
  <c r="AO234" i="44"/>
  <c r="AO356" i="44"/>
  <c r="AO208" i="44"/>
  <c r="AO426" i="44"/>
  <c r="AP426" i="44" s="1"/>
  <c r="AW426" i="44" s="1"/>
  <c r="AO422" i="44"/>
  <c r="AP422" i="44" s="1"/>
  <c r="AW422" i="44" s="1"/>
  <c r="AO434" i="44"/>
  <c r="AP434" i="44" s="1"/>
  <c r="AW434" i="44" s="1"/>
  <c r="AO230" i="44"/>
  <c r="AO287" i="44"/>
  <c r="AO280" i="44"/>
  <c r="AO211" i="44"/>
  <c r="AO358" i="44"/>
  <c r="AO435" i="44"/>
  <c r="AP435" i="44" s="1"/>
  <c r="AW435" i="44" s="1"/>
  <c r="AO362" i="44"/>
  <c r="AO299" i="44"/>
  <c r="AO310" i="44"/>
  <c r="AO302" i="44"/>
  <c r="AO262" i="44"/>
  <c r="AO248" i="44"/>
  <c r="AO212" i="44"/>
  <c r="AO209" i="44"/>
  <c r="AO191" i="44"/>
  <c r="AO260" i="44"/>
  <c r="AO295" i="44"/>
  <c r="AO229" i="44"/>
  <c r="AO197" i="44"/>
  <c r="AO286" i="44"/>
  <c r="AO249" i="44"/>
  <c r="AO189" i="44"/>
  <c r="AO283" i="44"/>
  <c r="AO255" i="44"/>
  <c r="AO433" i="44"/>
  <c r="AP433" i="44" s="1"/>
  <c r="AW433" i="44" s="1"/>
  <c r="AO237" i="44"/>
  <c r="AO423" i="44"/>
  <c r="AP423" i="44" s="1"/>
  <c r="AW423" i="44" s="1"/>
  <c r="AO223" i="44"/>
  <c r="AO196" i="44"/>
  <c r="AO347" i="44"/>
  <c r="AO253" i="44"/>
  <c r="AO220" i="44"/>
  <c r="AO436" i="44"/>
  <c r="AP436" i="44" s="1"/>
  <c r="AW436" i="44" s="1"/>
  <c r="AO225" i="44"/>
  <c r="AO360" i="44"/>
  <c r="AO365" i="44"/>
  <c r="AO355" i="44"/>
  <c r="AO359" i="44"/>
  <c r="AO428" i="44"/>
  <c r="AP428" i="44" s="1"/>
  <c r="AW428" i="44" s="1"/>
  <c r="AO307" i="44"/>
  <c r="AP307" i="44" s="1"/>
  <c r="AO418" i="44"/>
  <c r="AP418" i="44" s="1"/>
  <c r="AW418" i="44" s="1"/>
  <c r="AO258" i="44"/>
  <c r="AO210" i="44"/>
  <c r="AO263" i="44"/>
  <c r="AO298" i="44"/>
  <c r="AO227" i="44"/>
  <c r="AO366" i="44"/>
  <c r="AO364" i="44"/>
  <c r="AO312" i="44"/>
  <c r="AO193" i="44"/>
  <c r="AO231" i="44"/>
  <c r="AO235" i="44"/>
  <c r="AO438" i="44"/>
  <c r="AP438" i="44" s="1"/>
  <c r="AW438" i="44" s="1"/>
  <c r="AO315" i="44"/>
  <c r="AO430" i="44"/>
  <c r="AP430" i="44" s="1"/>
  <c r="AW430" i="44" s="1"/>
  <c r="AO348" i="44"/>
  <c r="AO254" i="44"/>
  <c r="AO439" i="44"/>
  <c r="AP439" i="44" s="1"/>
  <c r="AW439" i="44" s="1"/>
  <c r="AO352" i="44"/>
  <c r="AO214" i="44"/>
  <c r="AO427" i="44"/>
  <c r="AP427" i="44" s="1"/>
  <c r="AW427" i="44" s="1"/>
  <c r="AO354" i="44"/>
  <c r="AO311" i="44"/>
  <c r="AP311" i="44" s="1"/>
  <c r="AW311" i="44" s="1"/>
  <c r="AV199" i="44" l="1"/>
  <c r="AW199" i="44"/>
  <c r="AT259" i="44"/>
  <c r="AV259" i="44"/>
  <c r="AP298" i="44"/>
  <c r="AW298" i="44" s="1"/>
  <c r="AP222" i="44"/>
  <c r="AP357" i="44"/>
  <c r="AW357" i="44" s="1"/>
  <c r="AP302" i="44"/>
  <c r="AW302" i="44" s="1"/>
  <c r="AP354" i="44"/>
  <c r="AW354" i="44" s="1"/>
  <c r="AP263" i="44"/>
  <c r="AW263" i="44" s="1"/>
  <c r="AP225" i="44"/>
  <c r="AP310" i="44"/>
  <c r="AW310" i="44" s="1"/>
  <c r="AP287" i="44"/>
  <c r="AP216" i="44"/>
  <c r="AP261" i="44"/>
  <c r="AP264" i="44"/>
  <c r="AP219" i="44"/>
  <c r="AP353" i="44"/>
  <c r="AW353" i="44" s="1"/>
  <c r="AP315" i="44"/>
  <c r="AW315" i="44" s="1"/>
  <c r="AP196" i="44"/>
  <c r="AP189" i="44"/>
  <c r="AP217" i="44"/>
  <c r="AP235" i="44"/>
  <c r="AP210" i="44"/>
  <c r="AP362" i="44"/>
  <c r="AW362" i="44" s="1"/>
  <c r="AP230" i="44"/>
  <c r="AP195" i="44"/>
  <c r="AP236" i="44"/>
  <c r="AP429" i="44"/>
  <c r="AW429" i="44" s="1"/>
  <c r="AP258" i="44"/>
  <c r="AP314" i="44"/>
  <c r="AW314" i="44" s="1"/>
  <c r="AP352" i="44"/>
  <c r="AW352" i="44" s="1"/>
  <c r="AP209" i="44"/>
  <c r="AP221" i="44"/>
  <c r="AP254" i="44"/>
  <c r="AP312" i="44"/>
  <c r="AW312" i="44" s="1"/>
  <c r="AP355" i="44"/>
  <c r="AW355" i="44" s="1"/>
  <c r="AP212" i="44"/>
  <c r="AP281" i="44"/>
  <c r="AP188" i="44"/>
  <c r="AP256" i="44"/>
  <c r="AW256" i="44" s="1"/>
  <c r="AP285" i="44"/>
  <c r="AP363" i="44"/>
  <c r="AW363" i="44" s="1"/>
  <c r="AP229" i="44"/>
  <c r="AP228" i="44"/>
  <c r="AP247" i="44"/>
  <c r="AP284" i="44"/>
  <c r="AP297" i="44"/>
  <c r="AW297" i="44" s="1"/>
  <c r="AP441" i="44"/>
  <c r="AP360" i="44"/>
  <c r="AW360" i="44" s="1"/>
  <c r="AP299" i="44"/>
  <c r="AW299" i="44" s="1"/>
  <c r="AP214" i="44"/>
  <c r="AP197" i="44"/>
  <c r="AP224" i="44"/>
  <c r="AP364" i="44"/>
  <c r="AW364" i="44" s="1"/>
  <c r="AP348" i="44"/>
  <c r="AW348" i="44" s="1"/>
  <c r="AP366" i="44"/>
  <c r="AW366" i="44" s="1"/>
  <c r="AW307" i="44"/>
  <c r="AP365" i="44"/>
  <c r="AW365" i="44" s="1"/>
  <c r="AP253" i="44"/>
  <c r="AP255" i="44"/>
  <c r="AP208" i="44"/>
  <c r="AP232" i="44"/>
  <c r="AP226" i="44"/>
  <c r="AP359" i="44"/>
  <c r="AW359" i="44" s="1"/>
  <c r="AP288" i="44"/>
  <c r="AP237" i="44"/>
  <c r="AW237" i="44" s="1"/>
  <c r="AP280" i="44"/>
  <c r="AP220" i="44"/>
  <c r="BC191" i="44"/>
  <c r="AP367" i="44"/>
  <c r="AW367" i="44" s="1"/>
  <c r="AQ193" i="44"/>
  <c r="AP257" i="44"/>
  <c r="AP200" i="44"/>
  <c r="AW200" i="44" s="1"/>
  <c r="AP248" i="44"/>
  <c r="AP282" i="44"/>
  <c r="AP262" i="44"/>
  <c r="AP218" i="44"/>
  <c r="AP233" i="44"/>
  <c r="AP361" i="44"/>
  <c r="AW361" i="44" s="1"/>
  <c r="AP223" i="44"/>
  <c r="AW223" i="44" s="1"/>
  <c r="AP231" i="44"/>
  <c r="AP286" i="44"/>
  <c r="AP213" i="44"/>
  <c r="AP347" i="44"/>
  <c r="AW347" i="44" s="1"/>
  <c r="AP295" i="44"/>
  <c r="AW295" i="44" s="1"/>
  <c r="AP356" i="44"/>
  <c r="AW356" i="44" s="1"/>
  <c r="AP198" i="44"/>
  <c r="AP308" i="44"/>
  <c r="AW308" i="44" s="1"/>
  <c r="AP358" i="44"/>
  <c r="AW358" i="44" s="1"/>
  <c r="AP227" i="44"/>
  <c r="AP283" i="44"/>
  <c r="AP260" i="44"/>
  <c r="AP211" i="44"/>
  <c r="AP234" i="44"/>
  <c r="AP301" i="44"/>
  <c r="AW301" i="44" s="1"/>
  <c r="BC442" i="44"/>
  <c r="AZ442" i="44"/>
  <c r="BC420" i="44"/>
  <c r="AZ420" i="44"/>
  <c r="AR424" i="44"/>
  <c r="AS424" i="44" s="1"/>
  <c r="AZ424" i="44"/>
  <c r="BC432" i="44"/>
  <c r="AZ432" i="44"/>
  <c r="BC423" i="44"/>
  <c r="AZ423" i="44"/>
  <c r="BC422" i="44"/>
  <c r="AZ422" i="44"/>
  <c r="BC438" i="44"/>
  <c r="AZ438" i="44"/>
  <c r="BC421" i="44"/>
  <c r="AZ421" i="44"/>
  <c r="BC436" i="44"/>
  <c r="AZ436" i="44"/>
  <c r="BC428" i="44"/>
  <c r="AZ428" i="44"/>
  <c r="BC440" i="44"/>
  <c r="AZ440" i="44"/>
  <c r="BC418" i="44"/>
  <c r="AZ418" i="44"/>
  <c r="BC435" i="44"/>
  <c r="AZ435" i="44"/>
  <c r="BC430" i="44"/>
  <c r="AZ430" i="44"/>
  <c r="BC439" i="44"/>
  <c r="AZ439" i="44"/>
  <c r="BC434" i="44"/>
  <c r="AZ434" i="44"/>
  <c r="BC431" i="44"/>
  <c r="AZ431" i="44"/>
  <c r="BC425" i="44"/>
  <c r="AZ425" i="44"/>
  <c r="BC433" i="44"/>
  <c r="AZ433" i="44"/>
  <c r="BC426" i="44"/>
  <c r="AZ426" i="44"/>
  <c r="BC419" i="44"/>
  <c r="AZ419" i="44"/>
  <c r="AR199" i="44"/>
  <c r="AS199" i="44" s="1"/>
  <c r="AQ199" i="44"/>
  <c r="AR420" i="44"/>
  <c r="AS420" i="44" s="1"/>
  <c r="AX420" i="44"/>
  <c r="AV420" i="44"/>
  <c r="AQ420" i="44"/>
  <c r="AU423" i="44"/>
  <c r="AU422" i="44"/>
  <c r="AU259" i="44"/>
  <c r="AQ259" i="44"/>
  <c r="AR259" i="44"/>
  <c r="AS259" i="44" s="1"/>
  <c r="AX424" i="44"/>
  <c r="BC424" i="44"/>
  <c r="AV424" i="44"/>
  <c r="AQ424" i="44"/>
  <c r="AV432" i="44"/>
  <c r="AX432" i="44"/>
  <c r="AQ428" i="44"/>
  <c r="AV428" i="44"/>
  <c r="AX428" i="44"/>
  <c r="AQ437" i="44"/>
  <c r="AV437" i="44"/>
  <c r="AV418" i="44"/>
  <c r="AX418" i="44"/>
  <c r="AV434" i="44"/>
  <c r="AX434" i="44"/>
  <c r="AV430" i="44"/>
  <c r="AX430" i="44"/>
  <c r="AV436" i="44"/>
  <c r="AX436" i="44"/>
  <c r="AR431" i="44"/>
  <c r="AS431" i="44" s="1"/>
  <c r="AV431" i="44"/>
  <c r="AX431" i="44"/>
  <c r="AV419" i="44"/>
  <c r="AX419" i="44"/>
  <c r="AV440" i="44"/>
  <c r="AX440" i="44"/>
  <c r="AR426" i="44"/>
  <c r="AS426" i="44" s="1"/>
  <c r="AV426" i="44"/>
  <c r="AX426" i="44"/>
  <c r="AQ439" i="44"/>
  <c r="AV439" i="44"/>
  <c r="AX439" i="44"/>
  <c r="AR435" i="44"/>
  <c r="AS435" i="44" s="1"/>
  <c r="AV435" i="44"/>
  <c r="AX435" i="44"/>
  <c r="AQ433" i="44"/>
  <c r="AV433" i="44"/>
  <c r="AX433" i="44"/>
  <c r="AR423" i="44"/>
  <c r="AS423" i="44" s="1"/>
  <c r="AV423" i="44"/>
  <c r="AX423" i="44"/>
  <c r="AV422" i="44"/>
  <c r="AX422" i="44"/>
  <c r="AV438" i="44"/>
  <c r="AX438" i="44"/>
  <c r="AR419" i="44"/>
  <c r="AS419" i="44" s="1"/>
  <c r="AR425" i="44"/>
  <c r="AS425" i="44" s="1"/>
  <c r="AV425" i="44"/>
  <c r="AX425" i="44"/>
  <c r="AV442" i="44"/>
  <c r="AX442" i="44"/>
  <c r="AV421" i="44"/>
  <c r="AX421" i="44"/>
  <c r="AQ419" i="44"/>
  <c r="AQ426" i="44"/>
  <c r="AQ425" i="44"/>
  <c r="AQ431" i="44"/>
  <c r="AQ435" i="44"/>
  <c r="AR430" i="44"/>
  <c r="AS430" i="44" s="1"/>
  <c r="AR438" i="44"/>
  <c r="AS438" i="44" s="1"/>
  <c r="AQ438" i="44"/>
  <c r="AQ423" i="44"/>
  <c r="AQ430" i="44"/>
  <c r="AQ440" i="44"/>
  <c r="AQ442" i="44"/>
  <c r="AR440" i="44"/>
  <c r="AS440" i="44" s="1"/>
  <c r="AR422" i="44"/>
  <c r="AS422" i="44" s="1"/>
  <c r="AR436" i="44"/>
  <c r="AS436" i="44" s="1"/>
  <c r="AR421" i="44"/>
  <c r="AS421" i="44" s="1"/>
  <c r="AQ436" i="44"/>
  <c r="AQ421" i="44"/>
  <c r="AQ434" i="44"/>
  <c r="AR437" i="44"/>
  <c r="AS437" i="44" s="1"/>
  <c r="AR442" i="44"/>
  <c r="AS442" i="44" s="1"/>
  <c r="AR434" i="44"/>
  <c r="AS434" i="44" s="1"/>
  <c r="AR418" i="44"/>
  <c r="AS418" i="44" s="1"/>
  <c r="AR439" i="44"/>
  <c r="AS439" i="44" s="1"/>
  <c r="AQ418" i="44"/>
  <c r="AR428" i="44"/>
  <c r="AS428" i="44" s="1"/>
  <c r="AQ422" i="44"/>
  <c r="AR432" i="44"/>
  <c r="AS432" i="44" s="1"/>
  <c r="AR433" i="44"/>
  <c r="AS433" i="44" s="1"/>
  <c r="AQ432" i="44"/>
  <c r="AV260" i="44" l="1"/>
  <c r="AW260" i="44"/>
  <c r="AV247" i="44"/>
  <c r="AW247" i="44"/>
  <c r="AV220" i="44"/>
  <c r="AW220" i="44"/>
  <c r="AV228" i="44"/>
  <c r="AW228" i="44"/>
  <c r="AV209" i="44"/>
  <c r="AW209" i="44"/>
  <c r="AV235" i="44"/>
  <c r="AW235" i="44"/>
  <c r="AV225" i="44"/>
  <c r="AW225" i="44"/>
  <c r="AV227" i="44"/>
  <c r="AW227" i="44"/>
  <c r="AV280" i="44"/>
  <c r="AW280" i="44"/>
  <c r="AV229" i="44"/>
  <c r="AW229" i="44"/>
  <c r="AV217" i="44"/>
  <c r="AW217" i="44"/>
  <c r="AV233" i="44"/>
  <c r="AW233" i="44"/>
  <c r="AV189" i="44"/>
  <c r="AW189" i="44"/>
  <c r="AV258" i="44"/>
  <c r="AW258" i="44"/>
  <c r="AV210" i="44"/>
  <c r="AW210" i="44"/>
  <c r="AV283" i="44"/>
  <c r="AW283" i="44"/>
  <c r="AV285" i="44"/>
  <c r="AW285" i="44"/>
  <c r="AV262" i="44"/>
  <c r="AW262" i="44"/>
  <c r="AV251" i="44"/>
  <c r="AW251" i="44"/>
  <c r="AV231" i="44"/>
  <c r="AW231" i="44"/>
  <c r="AV221" i="44"/>
  <c r="AW221" i="44"/>
  <c r="AV218" i="44"/>
  <c r="AW218" i="44"/>
  <c r="AV288" i="44"/>
  <c r="AW288" i="44"/>
  <c r="AV224" i="44"/>
  <c r="AW224" i="44"/>
  <c r="AV196" i="44"/>
  <c r="AW196" i="44"/>
  <c r="AV197" i="44"/>
  <c r="AW197" i="44"/>
  <c r="AV198" i="44"/>
  <c r="AW198" i="44"/>
  <c r="AV282" i="44"/>
  <c r="AW282" i="44"/>
  <c r="AV226" i="44"/>
  <c r="AW226" i="44"/>
  <c r="AV214" i="44"/>
  <c r="AW214" i="44"/>
  <c r="AV188" i="44"/>
  <c r="AW188" i="44"/>
  <c r="AV222" i="44"/>
  <c r="AW222" i="44"/>
  <c r="AV248" i="44"/>
  <c r="AW248" i="44"/>
  <c r="AV232" i="44"/>
  <c r="AW232" i="44"/>
  <c r="AV281" i="44"/>
  <c r="AW281" i="44"/>
  <c r="AV236" i="44"/>
  <c r="AW236" i="44"/>
  <c r="AV219" i="44"/>
  <c r="AW219" i="44"/>
  <c r="AV208" i="44"/>
  <c r="AW208" i="44"/>
  <c r="AV212" i="44"/>
  <c r="AW212" i="44"/>
  <c r="AV195" i="44"/>
  <c r="AW195" i="44"/>
  <c r="AV264" i="44"/>
  <c r="AW264" i="44"/>
  <c r="AV257" i="44"/>
  <c r="AW257" i="44"/>
  <c r="AV255" i="44"/>
  <c r="AW255" i="44"/>
  <c r="AZ441" i="44"/>
  <c r="AW441" i="44"/>
  <c r="AV230" i="44"/>
  <c r="AW230" i="44"/>
  <c r="AV261" i="44"/>
  <c r="AW261" i="44"/>
  <c r="AV216" i="44"/>
  <c r="AW216" i="44"/>
  <c r="AV234" i="44"/>
  <c r="AW234" i="44"/>
  <c r="AV213" i="44"/>
  <c r="AW213" i="44"/>
  <c r="AV253" i="44"/>
  <c r="AW253" i="44"/>
  <c r="AV211" i="44"/>
  <c r="AW211" i="44"/>
  <c r="AV286" i="44"/>
  <c r="AW286" i="44"/>
  <c r="AV284" i="44"/>
  <c r="AW284" i="44"/>
  <c r="AV254" i="44"/>
  <c r="AW254" i="44"/>
  <c r="AV249" i="44"/>
  <c r="AW249" i="44"/>
  <c r="AV287" i="44"/>
  <c r="AW287" i="44"/>
  <c r="AR263" i="44"/>
  <c r="AS263" i="44" s="1"/>
  <c r="AV263" i="44"/>
  <c r="AV237" i="44"/>
  <c r="AV256" i="44"/>
  <c r="AV223" i="44"/>
  <c r="AR200" i="44"/>
  <c r="AS200" i="44" s="1"/>
  <c r="AV200" i="44"/>
  <c r="AQ362" i="44"/>
  <c r="AX297" i="44"/>
  <c r="AX367" i="44"/>
  <c r="AQ365" i="44"/>
  <c r="AX284" i="44"/>
  <c r="AX287" i="44"/>
  <c r="AZ307" i="44"/>
  <c r="AQ310" i="44"/>
  <c r="AX301" i="44"/>
  <c r="AR361" i="44"/>
  <c r="AS361" i="44" s="1"/>
  <c r="AR348" i="44"/>
  <c r="AS348" i="44" s="1"/>
  <c r="AX358" i="44"/>
  <c r="BC364" i="44"/>
  <c r="AX363" i="44"/>
  <c r="AX354" i="44"/>
  <c r="AZ280" i="44"/>
  <c r="AX224" i="44"/>
  <c r="AX302" i="44"/>
  <c r="BC360" i="44"/>
  <c r="AX283" i="44"/>
  <c r="AX285" i="44"/>
  <c r="BC359" i="44"/>
  <c r="AT251" i="44"/>
  <c r="AU251" i="44" s="1"/>
  <c r="AX357" i="44"/>
  <c r="BC347" i="44"/>
  <c r="AV355" i="44"/>
  <c r="BC288" i="44"/>
  <c r="EQ288" i="44" s="1"/>
  <c r="EQ448" i="44" s="1"/>
  <c r="AX282" i="44"/>
  <c r="AZ429" i="44"/>
  <c r="AR353" i="44"/>
  <c r="AS353" i="44" s="1"/>
  <c r="BC366" i="44"/>
  <c r="AX235" i="44"/>
  <c r="AZ352" i="44"/>
  <c r="AX356" i="44"/>
  <c r="AX298" i="44"/>
  <c r="AV315" i="44"/>
  <c r="AQ247" i="44"/>
  <c r="AT247" i="44"/>
  <c r="AU247" i="44" s="1"/>
  <c r="EF195" i="44"/>
  <c r="AT195" i="44"/>
  <c r="AU195" i="44" s="1"/>
  <c r="AT198" i="44"/>
  <c r="AU198" i="44" s="1"/>
  <c r="AX257" i="44"/>
  <c r="AT257" i="44"/>
  <c r="AU257" i="44" s="1"/>
  <c r="AX228" i="44"/>
  <c r="AT228" i="44"/>
  <c r="AU228" i="44" s="1"/>
  <c r="AT230" i="44"/>
  <c r="AU230" i="44" s="1"/>
  <c r="AX261" i="44"/>
  <c r="AT261" i="44"/>
  <c r="AU261" i="44" s="1"/>
  <c r="AQ229" i="44"/>
  <c r="AT229" i="44"/>
  <c r="AU229" i="44" s="1"/>
  <c r="AT209" i="44"/>
  <c r="AU209" i="44" s="1"/>
  <c r="AT216" i="44"/>
  <c r="AU216" i="44" s="1"/>
  <c r="AX295" i="44"/>
  <c r="AT295" i="44"/>
  <c r="AU295" i="44" s="1"/>
  <c r="AT197" i="44"/>
  <c r="AU197" i="44" s="1"/>
  <c r="AQ249" i="44"/>
  <c r="AT249" i="44"/>
  <c r="AU249" i="44" s="1"/>
  <c r="AT211" i="44"/>
  <c r="AU211" i="44" s="1"/>
  <c r="BC220" i="44"/>
  <c r="AT220" i="44"/>
  <c r="AU220" i="44" s="1"/>
  <c r="BC299" i="44"/>
  <c r="DY299" i="44" s="1"/>
  <c r="AT299" i="44"/>
  <c r="AU299" i="44" s="1"/>
  <c r="AT258" i="44"/>
  <c r="AU258" i="44" s="1"/>
  <c r="AQ208" i="44"/>
  <c r="AT208" i="44"/>
  <c r="AU208" i="44" s="1"/>
  <c r="EF260" i="44"/>
  <c r="AT260" i="44"/>
  <c r="AU260" i="44" s="1"/>
  <c r="AT218" i="44"/>
  <c r="AU218" i="44" s="1"/>
  <c r="AT217" i="44"/>
  <c r="AU217" i="44" s="1"/>
  <c r="AX253" i="44"/>
  <c r="AT253" i="44"/>
  <c r="AU253" i="44" s="1"/>
  <c r="AT188" i="44"/>
  <c r="AU188" i="44" s="1"/>
  <c r="AT227" i="44"/>
  <c r="AU227" i="44" s="1"/>
  <c r="AT196" i="44"/>
  <c r="AU196" i="44" s="1"/>
  <c r="AT210" i="44"/>
  <c r="AU210" i="44" s="1"/>
  <c r="AT248" i="44"/>
  <c r="AU248" i="44" s="1"/>
  <c r="AV308" i="44"/>
  <c r="AT308" i="44"/>
  <c r="AU308" i="44" s="1"/>
  <c r="AX231" i="44"/>
  <c r="AT231" i="44"/>
  <c r="AU231" i="44" s="1"/>
  <c r="AT312" i="44"/>
  <c r="AU312" i="44" s="1"/>
  <c r="AR219" i="44"/>
  <c r="AS219" i="44" s="1"/>
  <c r="AT219" i="44"/>
  <c r="AU219" i="44" s="1"/>
  <c r="DX254" i="44"/>
  <c r="EH254" i="44"/>
  <c r="EF254" i="44"/>
  <c r="EB254" i="44"/>
  <c r="EA254" i="44"/>
  <c r="EB195" i="44"/>
  <c r="EA195" i="44"/>
  <c r="DX195" i="44"/>
  <c r="EI199" i="44"/>
  <c r="EH199" i="44"/>
  <c r="EF199" i="44"/>
  <c r="EB199" i="44"/>
  <c r="EK199" i="44"/>
  <c r="EL199" i="44"/>
  <c r="EJ199" i="44"/>
  <c r="EA199" i="44"/>
  <c r="DX199" i="44"/>
  <c r="EB191" i="44"/>
  <c r="EA191" i="44"/>
  <c r="EK191" i="44"/>
  <c r="EJ191" i="44"/>
  <c r="DX191" i="44"/>
  <c r="EH191" i="44"/>
  <c r="EF191" i="44"/>
  <c r="EI191" i="44"/>
  <c r="EF214" i="44"/>
  <c r="EB214" i="44"/>
  <c r="EA214" i="44"/>
  <c r="EH214" i="44"/>
  <c r="EJ214" i="44"/>
  <c r="EI214" i="44"/>
  <c r="DX214" i="44"/>
  <c r="EH255" i="44"/>
  <c r="EF255" i="44"/>
  <c r="EB255" i="44"/>
  <c r="EA255" i="44"/>
  <c r="DX255" i="44"/>
  <c r="EH225" i="44"/>
  <c r="EF225" i="44"/>
  <c r="EB225" i="44"/>
  <c r="DX225" i="44"/>
  <c r="EA225" i="44"/>
  <c r="DX236" i="44"/>
  <c r="EI236" i="44"/>
  <c r="EH236" i="44"/>
  <c r="EF236" i="44"/>
  <c r="EB236" i="44"/>
  <c r="EA236" i="44"/>
  <c r="EI259" i="44"/>
  <c r="EH259" i="44"/>
  <c r="EF259" i="44"/>
  <c r="EB259" i="44"/>
  <c r="EA259" i="44"/>
  <c r="DX259" i="44"/>
  <c r="AV307" i="44"/>
  <c r="AR315" i="44"/>
  <c r="AS315" i="44" s="1"/>
  <c r="AR307" i="44"/>
  <c r="AS307" i="44" s="1"/>
  <c r="AR357" i="44"/>
  <c r="AS357" i="44" s="1"/>
  <c r="AQ357" i="44"/>
  <c r="AQ307" i="44"/>
  <c r="AV357" i="44"/>
  <c r="AQ315" i="44"/>
  <c r="AQ222" i="44"/>
  <c r="AR222" i="44"/>
  <c r="AS222" i="44" s="1"/>
  <c r="BC307" i="44"/>
  <c r="AQ298" i="44"/>
  <c r="AQ231" i="44"/>
  <c r="AQ353" i="44"/>
  <c r="AQ297" i="44"/>
  <c r="AQ282" i="44"/>
  <c r="AZ357" i="44"/>
  <c r="BC357" i="44"/>
  <c r="AZ298" i="44"/>
  <c r="BC298" i="44"/>
  <c r="AR298" i="44"/>
  <c r="AS298" i="44" s="1"/>
  <c r="AV298" i="44"/>
  <c r="AR231" i="44"/>
  <c r="AS231" i="44" s="1"/>
  <c r="AR196" i="44"/>
  <c r="AS196" i="44" s="1"/>
  <c r="AQ358" i="44"/>
  <c r="AR358" i="44"/>
  <c r="AS358" i="44" s="1"/>
  <c r="AQ288" i="44"/>
  <c r="AR227" i="44"/>
  <c r="AS227" i="44" s="1"/>
  <c r="AQ262" i="44"/>
  <c r="AQ189" i="44"/>
  <c r="AR287" i="44"/>
  <c r="AS287" i="44" s="1"/>
  <c r="AR234" i="44"/>
  <c r="AS234" i="44" s="1"/>
  <c r="AQ191" i="44"/>
  <c r="AQ287" i="44"/>
  <c r="AR352" i="44"/>
  <c r="AS352" i="44" s="1"/>
  <c r="AU191" i="44"/>
  <c r="AR354" i="44"/>
  <c r="AS354" i="44" s="1"/>
  <c r="AQ227" i="44"/>
  <c r="AR188" i="44"/>
  <c r="AS188" i="44" s="1"/>
  <c r="AZ282" i="44"/>
  <c r="BC297" i="44"/>
  <c r="BC302" i="44"/>
  <c r="AQ302" i="44"/>
  <c r="AR297" i="44"/>
  <c r="AS297" i="44" s="1"/>
  <c r="AV358" i="44"/>
  <c r="AV297" i="44"/>
  <c r="AR288" i="44"/>
  <c r="AS288" i="44" s="1"/>
  <c r="AV363" i="44"/>
  <c r="AV302" i="44"/>
  <c r="AR302" i="44"/>
  <c r="AS302" i="44" s="1"/>
  <c r="AZ365" i="44"/>
  <c r="AQ196" i="44"/>
  <c r="AR282" i="44"/>
  <c r="AS282" i="44" s="1"/>
  <c r="AZ297" i="44"/>
  <c r="AZ302" i="44"/>
  <c r="AZ231" i="44"/>
  <c r="AZ363" i="44"/>
  <c r="AQ188" i="44"/>
  <c r="AR262" i="44"/>
  <c r="AS262" i="44" s="1"/>
  <c r="AQ234" i="44"/>
  <c r="AV352" i="44"/>
  <c r="BC354" i="44"/>
  <c r="AR189" i="44"/>
  <c r="AS189" i="44" s="1"/>
  <c r="AV441" i="44"/>
  <c r="AQ253" i="44"/>
  <c r="AR191" i="44"/>
  <c r="AS191" i="44" s="1"/>
  <c r="AR213" i="44"/>
  <c r="AS213" i="44" s="1"/>
  <c r="AR363" i="44"/>
  <c r="AS363" i="44" s="1"/>
  <c r="AQ210" i="44"/>
  <c r="AR220" i="44"/>
  <c r="AS220" i="44" s="1"/>
  <c r="AQ363" i="44"/>
  <c r="BC363" i="44"/>
  <c r="AR210" i="44"/>
  <c r="AS210" i="44" s="1"/>
  <c r="AV314" i="44"/>
  <c r="AQ314" i="44"/>
  <c r="BC235" i="44"/>
  <c r="DY235" i="44" s="1"/>
  <c r="AR314" i="44"/>
  <c r="AS314" i="44" s="1"/>
  <c r="AZ358" i="44"/>
  <c r="AR214" i="44"/>
  <c r="AS214" i="44" s="1"/>
  <c r="AQ214" i="44"/>
  <c r="AQ213" i="44"/>
  <c r="BC356" i="44"/>
  <c r="AQ230" i="44"/>
  <c r="AQ261" i="44"/>
  <c r="AR230" i="44"/>
  <c r="AS230" i="44" s="1"/>
  <c r="AR261" i="44"/>
  <c r="AS261" i="44" s="1"/>
  <c r="AR228" i="44"/>
  <c r="AS228" i="44" s="1"/>
  <c r="AQ356" i="44"/>
  <c r="AV356" i="44"/>
  <c r="AR356" i="44"/>
  <c r="AS356" i="44" s="1"/>
  <c r="AR209" i="44"/>
  <c r="AS209" i="44" s="1"/>
  <c r="BC285" i="44"/>
  <c r="AR280" i="44"/>
  <c r="AS280" i="44" s="1"/>
  <c r="AQ283" i="44"/>
  <c r="AV364" i="44"/>
  <c r="AZ287" i="44"/>
  <c r="BC287" i="44"/>
  <c r="AR283" i="44"/>
  <c r="AS283" i="44" s="1"/>
  <c r="AZ261" i="44"/>
  <c r="AQ352" i="44"/>
  <c r="AQ263" i="44"/>
  <c r="AV347" i="44"/>
  <c r="AQ257" i="44"/>
  <c r="AR258" i="44"/>
  <c r="AS258" i="44" s="1"/>
  <c r="AQ218" i="44"/>
  <c r="AR198" i="44"/>
  <c r="AS198" i="44" s="1"/>
  <c r="BC257" i="44"/>
  <c r="AQ258" i="44"/>
  <c r="AQ198" i="44"/>
  <c r="AV299" i="44"/>
  <c r="BC261" i="44"/>
  <c r="AQ225" i="44"/>
  <c r="AQ285" i="44"/>
  <c r="AZ285" i="44"/>
  <c r="AR285" i="44"/>
  <c r="AS285" i="44" s="1"/>
  <c r="AR257" i="44"/>
  <c r="AS257" i="44" s="1"/>
  <c r="AR367" i="44"/>
  <c r="AS367" i="44" s="1"/>
  <c r="AZ224" i="44"/>
  <c r="AV367" i="44"/>
  <c r="AZ208" i="44"/>
  <c r="AX208" i="44"/>
  <c r="AR362" i="44"/>
  <c r="AS362" i="44" s="1"/>
  <c r="BC208" i="44"/>
  <c r="EK208" i="44" s="1"/>
  <c r="AQ216" i="44"/>
  <c r="AQ220" i="44"/>
  <c r="AQ228" i="44"/>
  <c r="AR264" i="44"/>
  <c r="AS264" i="44" s="1"/>
  <c r="AQ224" i="44"/>
  <c r="AQ197" i="44"/>
  <c r="AQ209" i="44"/>
  <c r="AR254" i="44"/>
  <c r="AS254" i="44" s="1"/>
  <c r="AR216" i="44"/>
  <c r="AS216" i="44" s="1"/>
  <c r="AR224" i="44"/>
  <c r="AS224" i="44" s="1"/>
  <c r="AQ367" i="44"/>
  <c r="AR208" i="44"/>
  <c r="AS208" i="44" s="1"/>
  <c r="BC253" i="44"/>
  <c r="EI253" i="44" s="1"/>
  <c r="AZ295" i="44"/>
  <c r="AX359" i="44"/>
  <c r="AQ281" i="44"/>
  <c r="AR253" i="44"/>
  <c r="AS253" i="44" s="1"/>
  <c r="BC295" i="44"/>
  <c r="AR193" i="44"/>
  <c r="AS193" i="44" s="1"/>
  <c r="AQ295" i="44"/>
  <c r="BC231" i="44"/>
  <c r="AZ359" i="44"/>
  <c r="AX281" i="44"/>
  <c r="AR281" i="44"/>
  <c r="AS281" i="44" s="1"/>
  <c r="AR299" i="44"/>
  <c r="AS299" i="44" s="1"/>
  <c r="AV295" i="44"/>
  <c r="AR295" i="44"/>
  <c r="AS295" i="44" s="1"/>
  <c r="BC348" i="44"/>
  <c r="BC224" i="44"/>
  <c r="DY224" i="44" s="1"/>
  <c r="AQ284" i="44"/>
  <c r="AQ359" i="44"/>
  <c r="AZ281" i="44"/>
  <c r="AZ284" i="44"/>
  <c r="BC367" i="44"/>
  <c r="BC352" i="44"/>
  <c r="AR284" i="44"/>
  <c r="AS284" i="44" s="1"/>
  <c r="AV359" i="44"/>
  <c r="BC281" i="44"/>
  <c r="DW281" i="44" s="1"/>
  <c r="BC284" i="44"/>
  <c r="AQ348" i="44"/>
  <c r="AR225" i="44"/>
  <c r="AS225" i="44" s="1"/>
  <c r="AR359" i="44"/>
  <c r="AS359" i="44" s="1"/>
  <c r="AZ356" i="44"/>
  <c r="AR347" i="44"/>
  <c r="AS347" i="44" s="1"/>
  <c r="AR310" i="44"/>
  <c r="AS310" i="44" s="1"/>
  <c r="AQ347" i="44"/>
  <c r="BC365" i="44"/>
  <c r="AZ299" i="44"/>
  <c r="AX347" i="44"/>
  <c r="AR236" i="44"/>
  <c r="AS236" i="44" s="1"/>
  <c r="AR223" i="44"/>
  <c r="AS223" i="44" s="1"/>
  <c r="AQ260" i="44"/>
  <c r="AQ211" i="44"/>
  <c r="AR211" i="44"/>
  <c r="AS211" i="44" s="1"/>
  <c r="AZ347" i="44"/>
  <c r="AR237" i="44"/>
  <c r="AS237" i="44" s="1"/>
  <c r="AQ237" i="44"/>
  <c r="AV365" i="44"/>
  <c r="AU193" i="44"/>
  <c r="AZ283" i="44"/>
  <c r="BC193" i="44"/>
  <c r="AX365" i="44"/>
  <c r="AX299" i="44"/>
  <c r="AQ223" i="44"/>
  <c r="AR212" i="44"/>
  <c r="AS212" i="44" s="1"/>
  <c r="AZ257" i="44"/>
  <c r="BC283" i="44"/>
  <c r="AR221" i="44"/>
  <c r="AS221" i="44" s="1"/>
  <c r="AV310" i="44"/>
  <c r="AR248" i="44"/>
  <c r="AS248" i="44" s="1"/>
  <c r="AQ235" i="44"/>
  <c r="AR197" i="44"/>
  <c r="AS197" i="44" s="1"/>
  <c r="AR365" i="44"/>
  <c r="AS365" i="44" s="1"/>
  <c r="AR235" i="44"/>
  <c r="AS235" i="44" s="1"/>
  <c r="AQ221" i="44"/>
  <c r="AZ288" i="44"/>
  <c r="AZ367" i="44"/>
  <c r="AQ212" i="44"/>
  <c r="AQ236" i="44"/>
  <c r="AQ299" i="44"/>
  <c r="AZ235" i="44"/>
  <c r="AZ253" i="44"/>
  <c r="AX220" i="44"/>
  <c r="AQ280" i="44"/>
  <c r="AR226" i="44"/>
  <c r="AS226" i="44" s="1"/>
  <c r="AQ366" i="44"/>
  <c r="AQ301" i="44"/>
  <c r="AQ226" i="44"/>
  <c r="AR355" i="44"/>
  <c r="AS355" i="44" s="1"/>
  <c r="AV366" i="44"/>
  <c r="BC353" i="44"/>
  <c r="AQ354" i="44"/>
  <c r="AV362" i="44"/>
  <c r="AQ219" i="44"/>
  <c r="BC429" i="44"/>
  <c r="AZ348" i="44"/>
  <c r="AZ362" i="44"/>
  <c r="AZ355" i="44"/>
  <c r="AZ354" i="44"/>
  <c r="BC362" i="44"/>
  <c r="BC355" i="44"/>
  <c r="AQ312" i="44"/>
  <c r="AV429" i="44"/>
  <c r="AR429" i="44"/>
  <c r="AS429" i="44" s="1"/>
  <c r="AX441" i="44"/>
  <c r="AX361" i="44"/>
  <c r="AX366" i="44"/>
  <c r="AX355" i="44"/>
  <c r="AX362" i="44"/>
  <c r="AX353" i="44"/>
  <c r="AR366" i="44"/>
  <c r="AS366" i="44" s="1"/>
  <c r="AV353" i="44"/>
  <c r="AQ441" i="44"/>
  <c r="AX348" i="44"/>
  <c r="AQ248" i="44"/>
  <c r="AR441" i="44"/>
  <c r="AS441" i="44" s="1"/>
  <c r="AZ361" i="44"/>
  <c r="AZ353" i="44"/>
  <c r="BC280" i="44"/>
  <c r="DW280" i="44" s="1"/>
  <c r="AQ232" i="44"/>
  <c r="AV361" i="44"/>
  <c r="BC441" i="44"/>
  <c r="BC361" i="44"/>
  <c r="BC358" i="44"/>
  <c r="BC282" i="44"/>
  <c r="DW282" i="44" s="1"/>
  <c r="AZ228" i="44"/>
  <c r="AZ220" i="44"/>
  <c r="AR229" i="44"/>
  <c r="AS229" i="44" s="1"/>
  <c r="AR312" i="44"/>
  <c r="AS312" i="44" s="1"/>
  <c r="AQ361" i="44"/>
  <c r="AQ308" i="44"/>
  <c r="AR308" i="44"/>
  <c r="AS308" i="44" s="1"/>
  <c r="BC228" i="44"/>
  <c r="AZ301" i="44"/>
  <c r="AQ355" i="44"/>
  <c r="AV348" i="44"/>
  <c r="BC301" i="44"/>
  <c r="AR249" i="44"/>
  <c r="AS249" i="44" s="1"/>
  <c r="AR301" i="44"/>
  <c r="AS301" i="44" s="1"/>
  <c r="AV354" i="44"/>
  <c r="AV312" i="44"/>
  <c r="AQ429" i="44"/>
  <c r="AQ233" i="44"/>
  <c r="AZ366" i="44"/>
  <c r="AR232" i="44"/>
  <c r="AS232" i="44" s="1"/>
  <c r="AV301" i="44"/>
  <c r="AX429" i="44"/>
  <c r="AR233" i="44"/>
  <c r="AS233" i="44" s="1"/>
  <c r="AR247" i="44"/>
  <c r="AS247" i="44" s="1"/>
  <c r="AQ364" i="44"/>
  <c r="AQ254" i="44"/>
  <c r="AR256" i="44"/>
  <c r="AS256" i="44" s="1"/>
  <c r="AX286" i="44"/>
  <c r="AX364" i="44"/>
  <c r="AX360" i="44"/>
  <c r="AX247" i="44"/>
  <c r="BC251" i="44"/>
  <c r="EI251" i="44" s="1"/>
  <c r="AX217" i="44"/>
  <c r="AR251" i="44"/>
  <c r="AS251" i="44" s="1"/>
  <c r="AQ195" i="44"/>
  <c r="AR195" i="44"/>
  <c r="AS195" i="44" s="1"/>
  <c r="AV360" i="44"/>
  <c r="AZ217" i="44"/>
  <c r="AZ286" i="44"/>
  <c r="AQ251" i="44"/>
  <c r="AR260" i="44"/>
  <c r="AS260" i="44" s="1"/>
  <c r="AR364" i="44"/>
  <c r="AS364" i="44" s="1"/>
  <c r="AR360" i="44"/>
  <c r="AS360" i="44" s="1"/>
  <c r="AQ200" i="44"/>
  <c r="BC217" i="44"/>
  <c r="EI217" i="44" s="1"/>
  <c r="BC286" i="44"/>
  <c r="AX280" i="44"/>
  <c r="AZ193" i="44"/>
  <c r="AX193" i="44"/>
  <c r="AZ251" i="44"/>
  <c r="AX251" i="44"/>
  <c r="AQ360" i="44"/>
  <c r="AR218" i="44"/>
  <c r="AS218" i="44" s="1"/>
  <c r="AQ255" i="44"/>
  <c r="AR255" i="44"/>
  <c r="AS255" i="44" s="1"/>
  <c r="AQ286" i="44"/>
  <c r="AQ264" i="44"/>
  <c r="AQ256" i="44"/>
  <c r="AZ247" i="44"/>
  <c r="AZ249" i="44"/>
  <c r="AX249" i="44"/>
  <c r="AR286" i="44"/>
  <c r="AS286" i="44" s="1"/>
  <c r="AR217" i="44"/>
  <c r="AS217" i="44" s="1"/>
  <c r="BC247" i="44"/>
  <c r="EI247" i="44" s="1"/>
  <c r="AX288" i="44"/>
  <c r="AX307" i="44"/>
  <c r="AX352" i="44"/>
  <c r="BC249" i="44"/>
  <c r="EI249" i="44" s="1"/>
  <c r="AZ191" i="44"/>
  <c r="AX191" i="44"/>
  <c r="AZ364" i="44"/>
  <c r="AQ217" i="44"/>
  <c r="AZ360" i="44"/>
  <c r="BC427" i="44"/>
  <c r="AZ427" i="44"/>
  <c r="AP36" i="50"/>
  <c r="AP48" i="50" s="1"/>
  <c r="AP50" i="50" s="1"/>
  <c r="AP52" i="50" s="1"/>
  <c r="AP58" i="50" s="1"/>
  <c r="AP64" i="50" s="1"/>
  <c r="FD456" i="44"/>
  <c r="AU36" i="50"/>
  <c r="AU48" i="50" s="1"/>
  <c r="AU50" i="50" s="1"/>
  <c r="AU52" i="50" s="1"/>
  <c r="AW36" i="50"/>
  <c r="AW48" i="50" s="1"/>
  <c r="AW50" i="50" s="1"/>
  <c r="AW52" i="50" s="1"/>
  <c r="AZ36" i="50"/>
  <c r="AZ48" i="50" s="1"/>
  <c r="AZ50" i="50" s="1"/>
  <c r="AZ52" i="50" s="1"/>
  <c r="AQ427" i="44"/>
  <c r="AV427" i="44"/>
  <c r="AX427" i="44"/>
  <c r="AV311" i="44"/>
  <c r="AR427" i="44"/>
  <c r="AS427" i="44" s="1"/>
  <c r="AR311" i="44"/>
  <c r="AS311" i="44" s="1"/>
  <c r="AQ311" i="44"/>
  <c r="EH220" i="44" l="1"/>
  <c r="EI220" i="44"/>
  <c r="DX288" i="44"/>
  <c r="EP288" i="44"/>
  <c r="EP448" i="44" s="1"/>
  <c r="AB36" i="50" s="1"/>
  <c r="AB48" i="50" s="1"/>
  <c r="AB50" i="50" s="1"/>
  <c r="AB52" i="50" s="1"/>
  <c r="EF288" i="44"/>
  <c r="EA288" i="44"/>
  <c r="EB288" i="44"/>
  <c r="EN288" i="44"/>
  <c r="EO288" i="44"/>
  <c r="EI260" i="44"/>
  <c r="DX260" i="44"/>
  <c r="EH260" i="44"/>
  <c r="EA260" i="44"/>
  <c r="EB260" i="44"/>
  <c r="EJ195" i="44"/>
  <c r="EK195" i="44"/>
  <c r="EH195" i="44"/>
  <c r="EI195" i="44"/>
  <c r="DX220" i="44"/>
  <c r="DZ299" i="44"/>
  <c r="EA220" i="44"/>
  <c r="EB220" i="44"/>
  <c r="EF220" i="44"/>
  <c r="DX299" i="44"/>
  <c r="EF218" i="44"/>
  <c r="EB218" i="44"/>
  <c r="EA218" i="44"/>
  <c r="EH218" i="44"/>
  <c r="DX218" i="44"/>
  <c r="EF226" i="44"/>
  <c r="EB226" i="44"/>
  <c r="EA226" i="44"/>
  <c r="EH226" i="44"/>
  <c r="DX226" i="44"/>
  <c r="DX224" i="44"/>
  <c r="EH224" i="44"/>
  <c r="EF224" i="44"/>
  <c r="EB224" i="44"/>
  <c r="EA224" i="44"/>
  <c r="DZ297" i="44"/>
  <c r="DY297" i="44"/>
  <c r="DX297" i="44"/>
  <c r="EH217" i="44"/>
  <c r="EF217" i="44"/>
  <c r="EB217" i="44"/>
  <c r="EA217" i="44"/>
  <c r="DX217" i="44"/>
  <c r="EF251" i="44"/>
  <c r="EB251" i="44"/>
  <c r="EA251" i="44"/>
  <c r="EH251" i="44"/>
  <c r="DX251" i="44"/>
  <c r="DX188" i="44"/>
  <c r="EC188" i="44"/>
  <c r="EA188" i="44"/>
  <c r="EB257" i="44"/>
  <c r="EA257" i="44"/>
  <c r="DX257" i="44"/>
  <c r="EI257" i="44"/>
  <c r="EH257" i="44"/>
  <c r="EF257" i="44"/>
  <c r="ER287" i="44"/>
  <c r="ER448" i="44" s="1"/>
  <c r="AC36" i="50" s="1"/>
  <c r="AC48" i="50" s="1"/>
  <c r="AC50" i="50" s="1"/>
  <c r="AC52" i="50" s="1"/>
  <c r="AC54" i="50" s="1"/>
  <c r="EF287" i="44"/>
  <c r="EO287" i="44"/>
  <c r="EN287" i="44"/>
  <c r="EB287" i="44"/>
  <c r="EA287" i="44"/>
  <c r="EV287" i="44"/>
  <c r="EV448" i="44" s="1"/>
  <c r="DX287" i="44"/>
  <c r="EB235" i="44"/>
  <c r="EA235" i="44"/>
  <c r="DX235" i="44"/>
  <c r="EI235" i="44"/>
  <c r="EH235" i="44"/>
  <c r="EF235" i="44"/>
  <c r="DZ298" i="44"/>
  <c r="DY298" i="44"/>
  <c r="DX298" i="44"/>
  <c r="EI229" i="44"/>
  <c r="EH229" i="44"/>
  <c r="EF229" i="44"/>
  <c r="EB229" i="44"/>
  <c r="EA229" i="44"/>
  <c r="DX229" i="44"/>
  <c r="EI213" i="44"/>
  <c r="EH213" i="44"/>
  <c r="EF213" i="44"/>
  <c r="EB213" i="44"/>
  <c r="EJ213" i="44"/>
  <c r="EA213" i="44"/>
  <c r="DX213" i="44"/>
  <c r="DX258" i="44"/>
  <c r="EI258" i="44"/>
  <c r="EH258" i="44"/>
  <c r="EF258" i="44"/>
  <c r="EB258" i="44"/>
  <c r="EA258" i="44"/>
  <c r="EF210" i="44"/>
  <c r="EB210" i="44"/>
  <c r="EA210" i="44"/>
  <c r="EH210" i="44"/>
  <c r="DX210" i="44"/>
  <c r="EJ210" i="44"/>
  <c r="EI210" i="44"/>
  <c r="EH221" i="44"/>
  <c r="EF221" i="44"/>
  <c r="EB221" i="44"/>
  <c r="EA221" i="44"/>
  <c r="DX221" i="44"/>
  <c r="EF200" i="44"/>
  <c r="EB200" i="44"/>
  <c r="EA200" i="44"/>
  <c r="EK200" i="44"/>
  <c r="EH200" i="44"/>
  <c r="EJ200" i="44"/>
  <c r="DX200" i="44"/>
  <c r="EL200" i="44"/>
  <c r="EI200" i="44"/>
  <c r="EB253" i="44"/>
  <c r="EA253" i="44"/>
  <c r="DX253" i="44"/>
  <c r="EH253" i="44"/>
  <c r="EF253" i="44"/>
  <c r="ED189" i="44"/>
  <c r="EC189" i="44"/>
  <c r="EA189" i="44"/>
  <c r="DX189" i="44"/>
  <c r="EF222" i="44"/>
  <c r="EB222" i="44"/>
  <c r="EA222" i="44"/>
  <c r="EH222" i="44"/>
  <c r="DX222" i="44"/>
  <c r="EB247" i="44"/>
  <c r="EA247" i="44"/>
  <c r="DX247" i="44"/>
  <c r="EH247" i="44"/>
  <c r="EF247" i="44"/>
  <c r="DX228" i="44"/>
  <c r="EI228" i="44"/>
  <c r="EH228" i="44"/>
  <c r="EF228" i="44"/>
  <c r="EB228" i="44"/>
  <c r="EA228" i="44"/>
  <c r="EJ208" i="44"/>
  <c r="DX208" i="44"/>
  <c r="EI208" i="44"/>
  <c r="EH208" i="44"/>
  <c r="EB208" i="44"/>
  <c r="EF208" i="44"/>
  <c r="EA208" i="44"/>
  <c r="EB261" i="44"/>
  <c r="EA261" i="44"/>
  <c r="DX261" i="44"/>
  <c r="EI261" i="44"/>
  <c r="EH261" i="44"/>
  <c r="EF261" i="44"/>
  <c r="EB231" i="44"/>
  <c r="EA231" i="44"/>
  <c r="DX231" i="44"/>
  <c r="EI231" i="44"/>
  <c r="EH231" i="44"/>
  <c r="EF231" i="44"/>
  <c r="EF256" i="44"/>
  <c r="EB256" i="44"/>
  <c r="EA256" i="44"/>
  <c r="EH256" i="44"/>
  <c r="DX256" i="44"/>
  <c r="DZ301" i="44"/>
  <c r="DY301" i="44"/>
  <c r="DX301" i="44"/>
  <c r="EB211" i="44"/>
  <c r="EA211" i="44"/>
  <c r="EJ211" i="44"/>
  <c r="DX211" i="44"/>
  <c r="EH211" i="44"/>
  <c r="EI211" i="44"/>
  <c r="EF211" i="44"/>
  <c r="EL198" i="44"/>
  <c r="EK198" i="44"/>
  <c r="EJ198" i="44"/>
  <c r="DX198" i="44"/>
  <c r="EI198" i="44"/>
  <c r="EH198" i="44"/>
  <c r="EB198" i="44"/>
  <c r="EF198" i="44"/>
  <c r="EA198" i="44"/>
  <c r="EI209" i="44"/>
  <c r="EH209" i="44"/>
  <c r="EF209" i="44"/>
  <c r="EB209" i="44"/>
  <c r="DX209" i="44"/>
  <c r="EJ209" i="44"/>
  <c r="EA209" i="44"/>
  <c r="AT36" i="50"/>
  <c r="AT48" i="50" s="1"/>
  <c r="AT50" i="50" s="1"/>
  <c r="AT52" i="50" s="1"/>
  <c r="AT58" i="50" s="1"/>
  <c r="AT64" i="50" s="1"/>
  <c r="FQ286" i="44"/>
  <c r="FQ448" i="44" s="1"/>
  <c r="FP286" i="44"/>
  <c r="FP448" i="44" s="1"/>
  <c r="DX286" i="44"/>
  <c r="EB219" i="44"/>
  <c r="EA219" i="44"/>
  <c r="DX219" i="44"/>
  <c r="EH219" i="44"/>
  <c r="EF219" i="44"/>
  <c r="EK193" i="44"/>
  <c r="EJ193" i="44"/>
  <c r="DX193" i="44"/>
  <c r="EI193" i="44"/>
  <c r="EH193" i="44"/>
  <c r="EB193" i="44"/>
  <c r="EF193" i="44"/>
  <c r="EA193" i="44"/>
  <c r="EF196" i="44"/>
  <c r="EB196" i="44"/>
  <c r="EA196" i="44"/>
  <c r="EK196" i="44"/>
  <c r="EH196" i="44"/>
  <c r="EJ196" i="44"/>
  <c r="DX196" i="44"/>
  <c r="EL196" i="44"/>
  <c r="EI196" i="44"/>
  <c r="EB227" i="44"/>
  <c r="EA227" i="44"/>
  <c r="DX227" i="44"/>
  <c r="EI227" i="44"/>
  <c r="EH227" i="44"/>
  <c r="EF227" i="44"/>
  <c r="EI263" i="44"/>
  <c r="EH263" i="44"/>
  <c r="EF263" i="44"/>
  <c r="EB263" i="44"/>
  <c r="EA263" i="44"/>
  <c r="DX263" i="44"/>
  <c r="DX262" i="44"/>
  <c r="EI262" i="44"/>
  <c r="EH262" i="44"/>
  <c r="EF262" i="44"/>
  <c r="EB262" i="44"/>
  <c r="EA262" i="44"/>
  <c r="EH249" i="44"/>
  <c r="EF249" i="44"/>
  <c r="EB249" i="44"/>
  <c r="EA249" i="44"/>
  <c r="DX249" i="44"/>
  <c r="EI233" i="44"/>
  <c r="EH233" i="44"/>
  <c r="EF233" i="44"/>
  <c r="EB233" i="44"/>
  <c r="DX233" i="44"/>
  <c r="EA233" i="44"/>
  <c r="EI237" i="44"/>
  <c r="EH237" i="44"/>
  <c r="EF237" i="44"/>
  <c r="EB237" i="44"/>
  <c r="EA237" i="44"/>
  <c r="DX237" i="44"/>
  <c r="DX216" i="44"/>
  <c r="EH216" i="44"/>
  <c r="EF216" i="44"/>
  <c r="EB216" i="44"/>
  <c r="EA216" i="44"/>
  <c r="EJ212" i="44"/>
  <c r="DX212" i="44"/>
  <c r="EI212" i="44"/>
  <c r="EH212" i="44"/>
  <c r="EB212" i="44"/>
  <c r="EF212" i="44"/>
  <c r="EA212" i="44"/>
  <c r="DY307" i="44"/>
  <c r="DZ307" i="44"/>
  <c r="DX307" i="44"/>
  <c r="EF230" i="44"/>
  <c r="EB230" i="44"/>
  <c r="EA230" i="44"/>
  <c r="EH230" i="44"/>
  <c r="EI230" i="44"/>
  <c r="DX230" i="44"/>
  <c r="EB223" i="44"/>
  <c r="EA223" i="44"/>
  <c r="DX223" i="44"/>
  <c r="EH223" i="44"/>
  <c r="EF223" i="44"/>
  <c r="EF264" i="44"/>
  <c r="EB264" i="44"/>
  <c r="EA264" i="44"/>
  <c r="EH264" i="44"/>
  <c r="EI264" i="44"/>
  <c r="DX264" i="44"/>
  <c r="DX232" i="44"/>
  <c r="EI232" i="44"/>
  <c r="EH232" i="44"/>
  <c r="EF232" i="44"/>
  <c r="EB232" i="44"/>
  <c r="EA232" i="44"/>
  <c r="DX248" i="44"/>
  <c r="EH248" i="44"/>
  <c r="EF248" i="44"/>
  <c r="EB248" i="44"/>
  <c r="EA248" i="44"/>
  <c r="EB197" i="44"/>
  <c r="EA197" i="44"/>
  <c r="EL197" i="44"/>
  <c r="EK197" i="44"/>
  <c r="EJ197" i="44"/>
  <c r="DX197" i="44"/>
  <c r="EH197" i="44"/>
  <c r="EI197" i="44"/>
  <c r="EF197" i="44"/>
  <c r="DZ295" i="44"/>
  <c r="DY295" i="44"/>
  <c r="DX295" i="44"/>
  <c r="EF234" i="44"/>
  <c r="EB234" i="44"/>
  <c r="EA234" i="44"/>
  <c r="EH234" i="44"/>
  <c r="DX234" i="44"/>
  <c r="EI234" i="44"/>
  <c r="DZ302" i="44"/>
  <c r="DY302" i="44"/>
  <c r="DX302" i="44"/>
  <c r="AO36" i="50"/>
  <c r="AO48" i="50" s="1"/>
  <c r="AO50" i="50" s="1"/>
  <c r="AO52" i="50" s="1"/>
  <c r="AO58" i="50" s="1"/>
  <c r="AM36" i="50"/>
  <c r="AM48" i="50" s="1"/>
  <c r="AM50" i="50" s="1"/>
  <c r="AM52" i="50" s="1"/>
  <c r="AM54" i="50" s="1"/>
  <c r="AG36" i="50"/>
  <c r="AG48" i="50" s="1"/>
  <c r="AG50" i="50" s="1"/>
  <c r="AG52" i="50" s="1"/>
  <c r="AG58" i="50" s="1"/>
  <c r="AG64" i="50" s="1"/>
  <c r="AS36" i="50"/>
  <c r="AS48" i="50" s="1"/>
  <c r="AS50" i="50" s="1"/>
  <c r="AS52" i="50" s="1"/>
  <c r="AS56" i="50" s="1"/>
  <c r="DW448" i="44"/>
  <c r="E36" i="50" s="1"/>
  <c r="E48" i="50" s="1"/>
  <c r="E50" i="50" s="1"/>
  <c r="E52" i="50" s="1"/>
  <c r="E54" i="50" s="1"/>
  <c r="AD64" i="50"/>
  <c r="FC453" i="44"/>
  <c r="FC450" i="44"/>
  <c r="FC451" i="44" s="1"/>
  <c r="FD450" i="44"/>
  <c r="FD451" i="44" s="1"/>
  <c r="FD457" i="44" s="1"/>
  <c r="FC454" i="44"/>
  <c r="FC456" i="44"/>
  <c r="FD453" i="44"/>
  <c r="FD454" i="44" s="1"/>
  <c r="AQ36" i="50"/>
  <c r="AQ48" i="50" s="1"/>
  <c r="AQ50" i="50" s="1"/>
  <c r="AQ52" i="50" s="1"/>
  <c r="AQ58" i="50" s="1"/>
  <c r="AQ64" i="50" s="1"/>
  <c r="FM456" i="44"/>
  <c r="FJ450" i="44"/>
  <c r="FJ451" i="44" s="1"/>
  <c r="FJ453" i="44"/>
  <c r="FJ454" i="44" s="1"/>
  <c r="FJ456" i="44"/>
  <c r="FG450" i="44"/>
  <c r="FG451" i="44" s="1"/>
  <c r="FG453" i="44"/>
  <c r="FG454" i="44" s="1"/>
  <c r="FG456" i="44"/>
  <c r="FB453" i="44"/>
  <c r="FB454" i="44" s="1"/>
  <c r="FB456" i="44"/>
  <c r="FB450" i="44"/>
  <c r="FB451" i="44" s="1"/>
  <c r="AM187" i="44"/>
  <c r="AL187" i="44"/>
  <c r="AK187" i="44"/>
  <c r="AJ187" i="44"/>
  <c r="AI187" i="44"/>
  <c r="W187" i="44"/>
  <c r="X187" i="44" s="1"/>
  <c r="S187" i="44"/>
  <c r="P187" i="44"/>
  <c r="N187" i="44"/>
  <c r="AM169" i="44"/>
  <c r="AL169" i="44"/>
  <c r="AK169" i="44"/>
  <c r="AJ169" i="44"/>
  <c r="AI169" i="44"/>
  <c r="W169" i="44"/>
  <c r="X169" i="44" s="1"/>
  <c r="S169" i="44"/>
  <c r="P169" i="44"/>
  <c r="N169" i="44"/>
  <c r="AM167" i="44"/>
  <c r="AL167" i="44"/>
  <c r="AK167" i="44"/>
  <c r="AJ167" i="44"/>
  <c r="AI167" i="44"/>
  <c r="W167" i="44"/>
  <c r="X167" i="44" s="1"/>
  <c r="S167" i="44"/>
  <c r="P167" i="44"/>
  <c r="N167" i="44"/>
  <c r="AM166" i="44"/>
  <c r="AL166" i="44"/>
  <c r="AK166" i="44"/>
  <c r="AJ166" i="44"/>
  <c r="AI166" i="44"/>
  <c r="W166" i="44"/>
  <c r="X166" i="44" s="1"/>
  <c r="S166" i="44"/>
  <c r="P166" i="44"/>
  <c r="N166" i="44"/>
  <c r="AM165" i="44"/>
  <c r="AL165" i="44"/>
  <c r="AK165" i="44"/>
  <c r="AJ165" i="44"/>
  <c r="AI165" i="44"/>
  <c r="W165" i="44"/>
  <c r="X165" i="44" s="1"/>
  <c r="S165" i="44"/>
  <c r="P165" i="44"/>
  <c r="N165" i="44"/>
  <c r="N160" i="44"/>
  <c r="N159" i="44"/>
  <c r="AM148" i="44"/>
  <c r="AL148" i="44"/>
  <c r="AK148" i="44"/>
  <c r="AJ148" i="44"/>
  <c r="AI148" i="44"/>
  <c r="W148" i="44"/>
  <c r="S148" i="44"/>
  <c r="P148" i="44"/>
  <c r="N148" i="44"/>
  <c r="AM146" i="44"/>
  <c r="AL146" i="44"/>
  <c r="AK146" i="44"/>
  <c r="AJ146" i="44"/>
  <c r="AI146" i="44"/>
  <c r="W146" i="44"/>
  <c r="X146" i="44" s="1"/>
  <c r="S146" i="44"/>
  <c r="P146" i="44"/>
  <c r="N146" i="44"/>
  <c r="AM145" i="44"/>
  <c r="AL145" i="44"/>
  <c r="AK145" i="44"/>
  <c r="AJ145" i="44"/>
  <c r="AI145" i="44"/>
  <c r="W145" i="44"/>
  <c r="X145" i="44" s="1"/>
  <c r="S145" i="44"/>
  <c r="P145" i="44"/>
  <c r="N145" i="44"/>
  <c r="AM144" i="44"/>
  <c r="AL144" i="44"/>
  <c r="AK144" i="44"/>
  <c r="AJ144" i="44"/>
  <c r="AI144" i="44"/>
  <c r="W144" i="44"/>
  <c r="X144" i="44" s="1"/>
  <c r="S144" i="44"/>
  <c r="P144" i="44"/>
  <c r="N144" i="44"/>
  <c r="AM143" i="44"/>
  <c r="AL143" i="44"/>
  <c r="AK143" i="44"/>
  <c r="AJ143" i="44"/>
  <c r="AI143" i="44"/>
  <c r="W143" i="44"/>
  <c r="X143" i="44" s="1"/>
  <c r="S143" i="44"/>
  <c r="P143" i="44"/>
  <c r="N143" i="44"/>
  <c r="AM142" i="44"/>
  <c r="AL142" i="44"/>
  <c r="AK142" i="44"/>
  <c r="AJ142" i="44"/>
  <c r="AI142" i="44"/>
  <c r="W142" i="44"/>
  <c r="X142" i="44" s="1"/>
  <c r="S142" i="44"/>
  <c r="P142" i="44"/>
  <c r="N142" i="44"/>
  <c r="AM141" i="44"/>
  <c r="AL141" i="44"/>
  <c r="AK141" i="44"/>
  <c r="AJ141" i="44"/>
  <c r="AI141" i="44"/>
  <c r="W141" i="44"/>
  <c r="X141" i="44" s="1"/>
  <c r="S141" i="44"/>
  <c r="P141" i="44"/>
  <c r="N141" i="44"/>
  <c r="AT113" i="44"/>
  <c r="AM113" i="44"/>
  <c r="AL113" i="44"/>
  <c r="AK113" i="44"/>
  <c r="AJ113" i="44"/>
  <c r="AI113" i="44"/>
  <c r="W113" i="44"/>
  <c r="X113" i="44" s="1"/>
  <c r="S113" i="44"/>
  <c r="P113" i="44"/>
  <c r="N113" i="44"/>
  <c r="AM112" i="44"/>
  <c r="AL112" i="44"/>
  <c r="AK112" i="44"/>
  <c r="AJ112" i="44"/>
  <c r="AI112" i="44"/>
  <c r="W112" i="44"/>
  <c r="X112" i="44" s="1"/>
  <c r="S112" i="44"/>
  <c r="P112" i="44"/>
  <c r="N112" i="44"/>
  <c r="AT111" i="44"/>
  <c r="AM111" i="44"/>
  <c r="AL111" i="44"/>
  <c r="AK111" i="44"/>
  <c r="AJ111" i="44"/>
  <c r="AI111" i="44"/>
  <c r="W111" i="44"/>
  <c r="X111" i="44" s="1"/>
  <c r="S111" i="44"/>
  <c r="P111" i="44"/>
  <c r="N111" i="44"/>
  <c r="AM110" i="44"/>
  <c r="AL110" i="44"/>
  <c r="AK110" i="44"/>
  <c r="AJ110" i="44"/>
  <c r="AI110" i="44"/>
  <c r="S110" i="44"/>
  <c r="P110" i="44"/>
  <c r="N110" i="44"/>
  <c r="AM109" i="44"/>
  <c r="AL109" i="44"/>
  <c r="AK109" i="44"/>
  <c r="AJ109" i="44"/>
  <c r="AI109" i="44"/>
  <c r="W109" i="44"/>
  <c r="X109" i="44" s="1"/>
  <c r="S109" i="44"/>
  <c r="P109" i="44"/>
  <c r="N109" i="44"/>
  <c r="AM108" i="44"/>
  <c r="AL108" i="44"/>
  <c r="AK108" i="44"/>
  <c r="AJ108" i="44"/>
  <c r="AI108" i="44"/>
  <c r="W108" i="44"/>
  <c r="X108" i="44" s="1"/>
  <c r="S108" i="44"/>
  <c r="P108" i="44"/>
  <c r="N108" i="44"/>
  <c r="AM95" i="44"/>
  <c r="AL95" i="44"/>
  <c r="AK95" i="44"/>
  <c r="AJ95" i="44"/>
  <c r="AI95" i="44"/>
  <c r="W95" i="44"/>
  <c r="X95" i="44" s="1"/>
  <c r="S95" i="44"/>
  <c r="P95" i="44"/>
  <c r="N95" i="44"/>
  <c r="AT66" i="44"/>
  <c r="AM66" i="44"/>
  <c r="AL66" i="44"/>
  <c r="AK66" i="44"/>
  <c r="AJ66" i="44"/>
  <c r="AI66" i="44"/>
  <c r="W66" i="44"/>
  <c r="X66" i="44" s="1"/>
  <c r="S66" i="44"/>
  <c r="P66" i="44"/>
  <c r="N66" i="44"/>
  <c r="AT65" i="44"/>
  <c r="AM65" i="44"/>
  <c r="AL65" i="44"/>
  <c r="AK65" i="44"/>
  <c r="AJ65" i="44"/>
  <c r="AI65" i="44"/>
  <c r="W65" i="44"/>
  <c r="X65" i="44" s="1"/>
  <c r="S65" i="44"/>
  <c r="P65" i="44"/>
  <c r="N65" i="44"/>
  <c r="AM64" i="44"/>
  <c r="AL64" i="44"/>
  <c r="AK64" i="44"/>
  <c r="AJ64" i="44"/>
  <c r="AI64" i="44"/>
  <c r="W64" i="44"/>
  <c r="X64" i="44" s="1"/>
  <c r="S64" i="44"/>
  <c r="P64" i="44"/>
  <c r="N64" i="44"/>
  <c r="AM63" i="44"/>
  <c r="AL63" i="44"/>
  <c r="AK63" i="44"/>
  <c r="AJ63" i="44"/>
  <c r="AI63" i="44"/>
  <c r="W63" i="44"/>
  <c r="X63" i="44" s="1"/>
  <c r="S63" i="44"/>
  <c r="P63" i="44"/>
  <c r="N63" i="44"/>
  <c r="AM62" i="44"/>
  <c r="AL62" i="44"/>
  <c r="AK62" i="44"/>
  <c r="AJ62" i="44"/>
  <c r="AI62" i="44"/>
  <c r="W62" i="44"/>
  <c r="X62" i="44" s="1"/>
  <c r="S62" i="44"/>
  <c r="P62" i="44"/>
  <c r="N62" i="44"/>
  <c r="AM60" i="44"/>
  <c r="AL60" i="44"/>
  <c r="AK60" i="44"/>
  <c r="AJ60" i="44"/>
  <c r="AI60" i="44"/>
  <c r="W60" i="44"/>
  <c r="X60" i="44" s="1"/>
  <c r="S60" i="44"/>
  <c r="P60" i="44"/>
  <c r="N60" i="44"/>
  <c r="AM59" i="44"/>
  <c r="AL59" i="44"/>
  <c r="AK59" i="44"/>
  <c r="AJ59" i="44"/>
  <c r="AI59" i="44"/>
  <c r="W59" i="44"/>
  <c r="X59" i="44" s="1"/>
  <c r="S59" i="44"/>
  <c r="P59" i="44"/>
  <c r="N59" i="44"/>
  <c r="AM45" i="44"/>
  <c r="AL45" i="44"/>
  <c r="AK45" i="44"/>
  <c r="AJ45" i="44"/>
  <c r="AI45" i="44"/>
  <c r="W45" i="44"/>
  <c r="X45" i="44" s="1"/>
  <c r="S45" i="44"/>
  <c r="P45" i="44"/>
  <c r="N45" i="44"/>
  <c r="AM44" i="44"/>
  <c r="AL44" i="44"/>
  <c r="AK44" i="44"/>
  <c r="AJ44" i="44"/>
  <c r="AI44" i="44"/>
  <c r="W44" i="44"/>
  <c r="X44" i="44" s="1"/>
  <c r="S44" i="44"/>
  <c r="P44" i="44"/>
  <c r="N44" i="44"/>
  <c r="AT42" i="44"/>
  <c r="AM42" i="44"/>
  <c r="AL42" i="44"/>
  <c r="AK42" i="44"/>
  <c r="AJ42" i="44"/>
  <c r="AI42" i="44"/>
  <c r="W42" i="44"/>
  <c r="X42" i="44" s="1"/>
  <c r="S42" i="44"/>
  <c r="P42" i="44"/>
  <c r="N42" i="44"/>
  <c r="AM41" i="44"/>
  <c r="AL41" i="44"/>
  <c r="AK41" i="44"/>
  <c r="AJ41" i="44"/>
  <c r="AI41" i="44"/>
  <c r="W41" i="44"/>
  <c r="X41" i="44" s="1"/>
  <c r="S41" i="44"/>
  <c r="P41" i="44"/>
  <c r="N41" i="44"/>
  <c r="AM40" i="44"/>
  <c r="AL40" i="44"/>
  <c r="AK40" i="44"/>
  <c r="AJ40" i="44"/>
  <c r="AI40" i="44"/>
  <c r="W40" i="44"/>
  <c r="X40" i="44" s="1"/>
  <c r="S40" i="44"/>
  <c r="P40" i="44"/>
  <c r="N40" i="44"/>
  <c r="AM39" i="44"/>
  <c r="AL39" i="44"/>
  <c r="AK39" i="44"/>
  <c r="AJ39" i="44"/>
  <c r="AI39" i="44"/>
  <c r="W39" i="44"/>
  <c r="X39" i="44" s="1"/>
  <c r="S39" i="44"/>
  <c r="P39" i="44"/>
  <c r="N39" i="44"/>
  <c r="AM38" i="44"/>
  <c r="AL38" i="44"/>
  <c r="AK38" i="44"/>
  <c r="AJ38" i="44"/>
  <c r="AI38" i="44"/>
  <c r="W38" i="44"/>
  <c r="X38" i="44" s="1"/>
  <c r="S38" i="44"/>
  <c r="P38" i="44"/>
  <c r="N38" i="44"/>
  <c r="AM30" i="44"/>
  <c r="AL30" i="44"/>
  <c r="AK30" i="44"/>
  <c r="AJ30" i="44"/>
  <c r="AI30" i="44"/>
  <c r="W30" i="44"/>
  <c r="X30" i="44" s="1"/>
  <c r="S30" i="44"/>
  <c r="P30" i="44"/>
  <c r="N30" i="44"/>
  <c r="AM29" i="44"/>
  <c r="AL29" i="44"/>
  <c r="AK29" i="44"/>
  <c r="AJ29" i="44"/>
  <c r="AI29" i="44"/>
  <c r="W29" i="44"/>
  <c r="X29" i="44" s="1"/>
  <c r="S29" i="44"/>
  <c r="P29" i="44"/>
  <c r="N29" i="44"/>
  <c r="AM27" i="44"/>
  <c r="AL27" i="44"/>
  <c r="AK27" i="44"/>
  <c r="AJ27" i="44"/>
  <c r="AI27" i="44"/>
  <c r="Z27" i="44"/>
  <c r="S27" i="44"/>
  <c r="P27" i="44"/>
  <c r="N27" i="44"/>
  <c r="AM25" i="44"/>
  <c r="AL25" i="44"/>
  <c r="AK25" i="44"/>
  <c r="AJ25" i="44"/>
  <c r="AI25" i="44"/>
  <c r="AA25" i="44"/>
  <c r="S25" i="44"/>
  <c r="P25" i="44"/>
  <c r="N25" i="44"/>
  <c r="AM23" i="44"/>
  <c r="AL23" i="44"/>
  <c r="AK23" i="44"/>
  <c r="AJ23" i="44"/>
  <c r="AI23" i="44"/>
  <c r="AB23" i="44"/>
  <c r="S23" i="44"/>
  <c r="P23" i="44"/>
  <c r="N23" i="44"/>
  <c r="AM20" i="44"/>
  <c r="AL20" i="44"/>
  <c r="AK20" i="44"/>
  <c r="AJ20" i="44"/>
  <c r="AI20" i="44"/>
  <c r="W20" i="44"/>
  <c r="X20" i="44" s="1"/>
  <c r="S20" i="44"/>
  <c r="P20" i="44"/>
  <c r="N20" i="44"/>
  <c r="AM19" i="44"/>
  <c r="AL19" i="44"/>
  <c r="AK19" i="44"/>
  <c r="AJ19" i="44"/>
  <c r="AI19" i="44"/>
  <c r="W19" i="44"/>
  <c r="X19" i="44" s="1"/>
  <c r="S19" i="44"/>
  <c r="P19" i="44"/>
  <c r="N19" i="44"/>
  <c r="AM18" i="44"/>
  <c r="AL18" i="44"/>
  <c r="AK18" i="44"/>
  <c r="AJ18" i="44"/>
  <c r="AI18" i="44"/>
  <c r="W18" i="44"/>
  <c r="X18" i="44" s="1"/>
  <c r="S18" i="44"/>
  <c r="P18" i="44"/>
  <c r="N18" i="44"/>
  <c r="AM17" i="44"/>
  <c r="AL17" i="44"/>
  <c r="AK17" i="44"/>
  <c r="AJ17" i="44"/>
  <c r="AI17" i="44"/>
  <c r="W17" i="44"/>
  <c r="X17" i="44" s="1"/>
  <c r="S17" i="44"/>
  <c r="P17" i="44"/>
  <c r="N17" i="44"/>
  <c r="AM16" i="44"/>
  <c r="AL16" i="44"/>
  <c r="AK16" i="44"/>
  <c r="AJ16" i="44"/>
  <c r="AI16" i="44"/>
  <c r="W16" i="44"/>
  <c r="X16" i="44" s="1"/>
  <c r="S16" i="44"/>
  <c r="P16" i="44"/>
  <c r="N16" i="44"/>
  <c r="AM15" i="44"/>
  <c r="AL15" i="44"/>
  <c r="AK15" i="44"/>
  <c r="AJ15" i="44"/>
  <c r="AI15" i="44"/>
  <c r="W15" i="44"/>
  <c r="X15" i="44" s="1"/>
  <c r="S15" i="44"/>
  <c r="P15" i="44"/>
  <c r="N15" i="44"/>
  <c r="AM14" i="44"/>
  <c r="AL14" i="44"/>
  <c r="AK14" i="44"/>
  <c r="AJ14" i="44"/>
  <c r="AI14" i="44"/>
  <c r="W14" i="44"/>
  <c r="X14" i="44" s="1"/>
  <c r="S14" i="44"/>
  <c r="P14" i="44"/>
  <c r="N14" i="44"/>
  <c r="AM13" i="44"/>
  <c r="AL13" i="44"/>
  <c r="AK13" i="44"/>
  <c r="AJ13" i="44"/>
  <c r="AI13" i="44"/>
  <c r="W13" i="44"/>
  <c r="X13" i="44" s="1"/>
  <c r="S13" i="44"/>
  <c r="P13" i="44"/>
  <c r="N13" i="44"/>
  <c r="O13" i="44" s="1"/>
  <c r="AM12" i="44"/>
  <c r="AL12" i="44"/>
  <c r="AK12" i="44"/>
  <c r="AJ12" i="44"/>
  <c r="AI12" i="44"/>
  <c r="W12" i="44"/>
  <c r="X12" i="44" s="1"/>
  <c r="S12" i="44"/>
  <c r="P12" i="44"/>
  <c r="N12" i="44"/>
  <c r="AM11" i="44"/>
  <c r="AL11" i="44"/>
  <c r="AK11" i="44"/>
  <c r="AJ11" i="44"/>
  <c r="AI11" i="44"/>
  <c r="W11" i="44"/>
  <c r="X11" i="44" s="1"/>
  <c r="M61" i="9" s="1"/>
  <c r="S11" i="44"/>
  <c r="P11" i="44"/>
  <c r="N11" i="44"/>
  <c r="AM10" i="44"/>
  <c r="AL10" i="44"/>
  <c r="AK10" i="44"/>
  <c r="AJ10" i="44"/>
  <c r="AI10" i="44"/>
  <c r="S10" i="44"/>
  <c r="P10" i="44"/>
  <c r="N10" i="44"/>
  <c r="AM9" i="44"/>
  <c r="AL9" i="44"/>
  <c r="AK9" i="44"/>
  <c r="AJ9" i="44"/>
  <c r="AI9" i="44"/>
  <c r="S9" i="44"/>
  <c r="P9" i="44"/>
  <c r="N9" i="44"/>
  <c r="AM8" i="44"/>
  <c r="AL8" i="44"/>
  <c r="AK8" i="44"/>
  <c r="AJ8" i="44"/>
  <c r="AI8" i="44"/>
  <c r="S8" i="44"/>
  <c r="P8" i="44"/>
  <c r="N8" i="44"/>
  <c r="AM7" i="44"/>
  <c r="AL7" i="44"/>
  <c r="AK7" i="44"/>
  <c r="AJ7" i="44"/>
  <c r="AI7" i="44"/>
  <c r="AA7" i="44"/>
  <c r="S7" i="44"/>
  <c r="P7" i="44"/>
  <c r="N7" i="44"/>
  <c r="EP456" i="44" l="1"/>
  <c r="EP450" i="44"/>
  <c r="EP451" i="44" s="1"/>
  <c r="EP453" i="44"/>
  <c r="EP454" i="44" s="1"/>
  <c r="EN448" i="44"/>
  <c r="V36" i="50" s="1"/>
  <c r="V48" i="50" s="1"/>
  <c r="V50" i="50" s="1"/>
  <c r="V52" i="50" s="1"/>
  <c r="V54" i="50" s="1"/>
  <c r="V64" i="50" s="1"/>
  <c r="EO448" i="44"/>
  <c r="W36" i="50" s="1"/>
  <c r="W48" i="50" s="1"/>
  <c r="W50" i="50" s="1"/>
  <c r="W52" i="50" s="1"/>
  <c r="W54" i="50" s="1"/>
  <c r="DZ448" i="44"/>
  <c r="H36" i="50" s="1"/>
  <c r="H48" i="50" s="1"/>
  <c r="H50" i="50" s="1"/>
  <c r="H52" i="50" s="1"/>
  <c r="H54" i="50" s="1"/>
  <c r="DY448" i="44"/>
  <c r="FP453" i="44"/>
  <c r="FP454" i="44" s="1"/>
  <c r="FP450" i="44"/>
  <c r="FP451" i="44" s="1"/>
  <c r="FP456" i="44" s="1"/>
  <c r="FP457" i="44" s="1"/>
  <c r="FQ453" i="44"/>
  <c r="FQ454" i="44" s="1"/>
  <c r="FQ450" i="44"/>
  <c r="FQ451" i="44" s="1"/>
  <c r="ER456" i="44"/>
  <c r="ER453" i="44"/>
  <c r="ER454" i="44" s="1"/>
  <c r="ER450" i="44"/>
  <c r="ER451" i="44" s="1"/>
  <c r="X148" i="44"/>
  <c r="BB148" i="44"/>
  <c r="ES450" i="44"/>
  <c r="ES451" i="44" s="1"/>
  <c r="ES453" i="44"/>
  <c r="ES454" i="44" s="1"/>
  <c r="ES456" i="44"/>
  <c r="DW453" i="44"/>
  <c r="DW454" i="44" s="1"/>
  <c r="DW456" i="44"/>
  <c r="FF450" i="44"/>
  <c r="FF451" i="44" s="1"/>
  <c r="DW450" i="44"/>
  <c r="DW451" i="44" s="1"/>
  <c r="FF456" i="44"/>
  <c r="FF453" i="44"/>
  <c r="FF454" i="44" s="1"/>
  <c r="O18" i="44"/>
  <c r="O10" i="44"/>
  <c r="O109" i="44"/>
  <c r="O14" i="44"/>
  <c r="O38" i="44"/>
  <c r="O169" i="44"/>
  <c r="O17" i="44"/>
  <c r="O23" i="44"/>
  <c r="O108" i="44"/>
  <c r="O112" i="44"/>
  <c r="O41" i="44"/>
  <c r="O167" i="44"/>
  <c r="O166" i="44"/>
  <c r="O16" i="44"/>
  <c r="O20" i="44"/>
  <c r="O9" i="44"/>
  <c r="O12" i="44"/>
  <c r="O40" i="44"/>
  <c r="O15" i="44"/>
  <c r="O19" i="44"/>
  <c r="O27" i="44"/>
  <c r="O8" i="44"/>
  <c r="O11" i="44"/>
  <c r="O39" i="44"/>
  <c r="O165" i="44"/>
  <c r="O187" i="44"/>
  <c r="O7" i="44"/>
  <c r="O25" i="44"/>
  <c r="BB15" i="44"/>
  <c r="BB63" i="44"/>
  <c r="FC457" i="44"/>
  <c r="FJ457" i="44"/>
  <c r="FM457" i="44"/>
  <c r="FG457" i="44"/>
  <c r="FB457" i="44"/>
  <c r="AA39" i="44"/>
  <c r="AA166" i="44"/>
  <c r="BB166" i="44"/>
  <c r="AB167" i="44"/>
  <c r="BB167" i="44"/>
  <c r="AA59" i="44"/>
  <c r="BB59" i="44"/>
  <c r="AA64" i="44"/>
  <c r="BB64" i="44"/>
  <c r="Z165" i="44"/>
  <c r="BB165" i="44"/>
  <c r="AB187" i="44"/>
  <c r="AA111" i="44"/>
  <c r="Z141" i="44"/>
  <c r="BB141" i="44"/>
  <c r="BB142" i="44"/>
  <c r="AB143" i="44"/>
  <c r="BB143" i="44"/>
  <c r="Z144" i="44"/>
  <c r="BB144" i="44"/>
  <c r="AB145" i="44"/>
  <c r="BB145" i="44"/>
  <c r="AA146" i="44"/>
  <c r="BB146" i="44"/>
  <c r="Z148" i="44"/>
  <c r="AA45" i="44"/>
  <c r="BB45" i="44"/>
  <c r="Z65" i="44"/>
  <c r="AB42" i="44"/>
  <c r="AB60" i="44"/>
  <c r="BB60" i="44"/>
  <c r="AB95" i="44"/>
  <c r="BB95" i="44"/>
  <c r="Z40" i="44"/>
  <c r="AA110" i="44"/>
  <c r="AB169" i="44"/>
  <c r="BB169" i="44"/>
  <c r="Z109" i="44"/>
  <c r="BB62" i="44"/>
  <c r="AB44" i="44"/>
  <c r="BB44" i="44"/>
  <c r="AB13" i="44"/>
  <c r="BB13" i="44"/>
  <c r="Z17" i="44"/>
  <c r="BB17" i="44"/>
  <c r="Z30" i="44"/>
  <c r="BB30" i="44"/>
  <c r="AA16" i="44"/>
  <c r="BB16" i="44"/>
  <c r="AA29" i="44"/>
  <c r="BB29" i="44"/>
  <c r="Z11" i="44"/>
  <c r="BB11" i="44"/>
  <c r="AA19" i="44"/>
  <c r="BB19" i="44"/>
  <c r="AA12" i="44"/>
  <c r="BB12" i="44"/>
  <c r="Z20" i="44"/>
  <c r="BB20" i="44"/>
  <c r="BB14" i="44"/>
  <c r="BB18" i="44"/>
  <c r="AN112" i="44"/>
  <c r="AN166" i="44"/>
  <c r="AN40" i="44"/>
  <c r="Z44" i="44"/>
  <c r="AN29" i="44"/>
  <c r="AN44" i="44"/>
  <c r="AN113" i="44"/>
  <c r="AN145" i="44"/>
  <c r="AN109" i="44"/>
  <c r="AN39" i="44"/>
  <c r="AN111" i="44"/>
  <c r="Z13" i="44"/>
  <c r="AN14" i="44"/>
  <c r="AN20" i="44"/>
  <c r="AN30" i="44"/>
  <c r="AN64" i="44"/>
  <c r="AA66" i="44"/>
  <c r="AN148" i="44"/>
  <c r="Z19" i="44"/>
  <c r="AN45" i="44"/>
  <c r="AA109" i="44"/>
  <c r="AA165" i="44"/>
  <c r="AN12" i="44"/>
  <c r="AN187" i="44"/>
  <c r="AN60" i="44"/>
  <c r="AA30" i="44"/>
  <c r="AN9" i="44"/>
  <c r="AN25" i="44"/>
  <c r="AB30" i="44"/>
  <c r="Z166" i="44"/>
  <c r="AN8" i="44"/>
  <c r="AN15" i="44"/>
  <c r="AN23" i="44"/>
  <c r="AB144" i="44"/>
  <c r="AN10" i="44"/>
  <c r="AN144" i="44"/>
  <c r="AN11" i="44"/>
  <c r="AB17" i="44"/>
  <c r="AN63" i="44"/>
  <c r="AN95" i="44"/>
  <c r="AN110" i="44"/>
  <c r="Z7" i="44"/>
  <c r="Z25" i="44"/>
  <c r="Z167" i="44"/>
  <c r="AN41" i="44"/>
  <c r="AN146" i="44"/>
  <c r="AA167" i="44"/>
  <c r="Z143" i="44"/>
  <c r="AN18" i="44"/>
  <c r="Z59" i="44"/>
  <c r="AN65" i="44"/>
  <c r="AN108" i="44"/>
  <c r="AN13" i="44"/>
  <c r="AB19" i="44"/>
  <c r="AN27" i="44"/>
  <c r="AO27" i="44" s="1"/>
  <c r="AN59" i="44"/>
  <c r="AB66" i="44"/>
  <c r="AB109" i="44"/>
  <c r="AA144" i="44"/>
  <c r="AB165" i="44"/>
  <c r="AB39" i="44"/>
  <c r="AN66" i="44"/>
  <c r="AN165" i="44"/>
  <c r="Z42" i="44"/>
  <c r="AN19" i="44"/>
  <c r="AA40" i="44"/>
  <c r="AA42" i="44"/>
  <c r="Z45" i="44"/>
  <c r="AB64" i="44"/>
  <c r="Z18" i="44"/>
  <c r="AB20" i="44"/>
  <c r="AB40" i="44"/>
  <c r="Z60" i="44"/>
  <c r="AA18" i="44"/>
  <c r="AA60" i="44"/>
  <c r="Z111" i="44"/>
  <c r="AN142" i="44"/>
  <c r="Z145" i="44"/>
  <c r="AN167" i="44"/>
  <c r="AA20" i="44"/>
  <c r="AB111" i="44"/>
  <c r="AB7" i="44"/>
  <c r="AA11" i="44"/>
  <c r="AA13" i="44"/>
  <c r="AB16" i="44"/>
  <c r="Z23" i="44"/>
  <c r="Z41" i="44"/>
  <c r="AB65" i="44"/>
  <c r="AA141" i="44"/>
  <c r="AA143" i="44"/>
  <c r="AB166" i="44"/>
  <c r="AB18" i="44"/>
  <c r="AB11" i="44"/>
  <c r="AA41" i="44"/>
  <c r="AB141" i="44"/>
  <c r="Z146" i="44"/>
  <c r="AA142" i="44"/>
  <c r="AB142" i="44"/>
  <c r="AB41" i="44"/>
  <c r="Z142" i="44"/>
  <c r="AN42" i="44"/>
  <c r="AA65" i="44"/>
  <c r="AN7" i="44"/>
  <c r="AN16" i="44"/>
  <c r="AA17" i="44"/>
  <c r="AN38" i="44"/>
  <c r="AN62" i="44"/>
  <c r="Z66" i="44"/>
  <c r="AN143" i="44"/>
  <c r="AB14" i="44"/>
  <c r="AA14" i="44"/>
  <c r="Z14" i="44"/>
  <c r="AB112" i="44"/>
  <c r="AA112" i="44"/>
  <c r="Z112" i="44"/>
  <c r="AA10" i="44"/>
  <c r="Z10" i="44"/>
  <c r="AB10" i="44"/>
  <c r="AA108" i="44"/>
  <c r="Z108" i="44"/>
  <c r="AB108" i="44"/>
  <c r="AB8" i="44"/>
  <c r="AA8" i="44"/>
  <c r="Z8" i="44"/>
  <c r="AB9" i="44"/>
  <c r="Z9" i="44"/>
  <c r="AA9" i="44"/>
  <c r="AB29" i="44"/>
  <c r="Z95" i="44"/>
  <c r="Z29" i="44"/>
  <c r="AB62" i="44"/>
  <c r="AA62" i="44"/>
  <c r="Z62" i="44"/>
  <c r="AA95" i="44"/>
  <c r="AB15" i="44"/>
  <c r="AA15" i="44"/>
  <c r="Z15" i="44"/>
  <c r="AB113" i="44"/>
  <c r="AA113" i="44"/>
  <c r="Z113" i="44"/>
  <c r="AB12" i="44"/>
  <c r="AA44" i="44"/>
  <c r="AB45" i="44"/>
  <c r="AB110" i="44"/>
  <c r="AA187" i="44"/>
  <c r="Z187" i="44"/>
  <c r="Z12" i="44"/>
  <c r="AA27" i="44"/>
  <c r="Z110" i="44"/>
  <c r="AA148" i="44"/>
  <c r="Z169" i="44"/>
  <c r="AB38" i="44"/>
  <c r="AA38" i="44"/>
  <c r="Z38" i="44"/>
  <c r="AB27" i="44"/>
  <c r="AB148" i="44"/>
  <c r="AA169" i="44"/>
  <c r="AB63" i="44"/>
  <c r="AA63" i="44"/>
  <c r="Z63" i="44"/>
  <c r="AN17" i="44"/>
  <c r="AA23" i="44"/>
  <c r="AB25" i="44"/>
  <c r="AB59" i="44"/>
  <c r="AN141" i="44"/>
  <c r="AA145" i="44"/>
  <c r="AB146" i="44"/>
  <c r="AN169" i="44"/>
  <c r="Z16" i="44"/>
  <c r="Z39" i="44"/>
  <c r="Z64" i="44"/>
  <c r="EP457" i="44" l="1"/>
  <c r="EO456" i="44"/>
  <c r="EO453" i="44"/>
  <c r="EO454" i="44" s="1"/>
  <c r="EN456" i="44"/>
  <c r="EN450" i="44"/>
  <c r="EN451" i="44" s="1"/>
  <c r="EN453" i="44"/>
  <c r="EN454" i="44" s="1"/>
  <c r="EO450" i="44"/>
  <c r="EO451" i="44" s="1"/>
  <c r="AT23" i="44"/>
  <c r="AT27" i="44"/>
  <c r="AU27" i="44" s="1"/>
  <c r="ER457" i="44"/>
  <c r="AT25" i="44"/>
  <c r="FQ456" i="44"/>
  <c r="FQ457" i="44" s="1"/>
  <c r="ES457" i="44"/>
  <c r="FF457" i="44"/>
  <c r="DW457" i="44"/>
  <c r="DZ450" i="44"/>
  <c r="DZ451" i="44" s="1"/>
  <c r="DZ453" i="44"/>
  <c r="DZ454" i="44" s="1"/>
  <c r="DZ456" i="44"/>
  <c r="AZ27" i="44"/>
  <c r="AX27" i="44"/>
  <c r="BC27" i="44"/>
  <c r="FI27" i="44" s="1"/>
  <c r="W10" i="9"/>
  <c r="W69" i="9"/>
  <c r="AC69" i="9" s="1"/>
  <c r="AD69" i="9" s="1"/>
  <c r="AE69" i="9" s="1"/>
  <c r="W78" i="9"/>
  <c r="AC78" i="9" s="1"/>
  <c r="AD78" i="9" s="1"/>
  <c r="AE78" i="9" s="1"/>
  <c r="W71" i="9"/>
  <c r="AC71" i="9" s="1"/>
  <c r="AD71" i="9" s="1"/>
  <c r="AE71" i="9" s="1"/>
  <c r="M64" i="9"/>
  <c r="S64" i="9" s="1"/>
  <c r="W66" i="9"/>
  <c r="AC66" i="9" s="1"/>
  <c r="AD66" i="9" s="1"/>
  <c r="AE66" i="9" s="1"/>
  <c r="M80" i="9"/>
  <c r="S80" i="9" s="1"/>
  <c r="W56" i="9"/>
  <c r="AC56" i="9" s="1"/>
  <c r="AD56" i="9" s="1"/>
  <c r="AE56" i="9" s="1"/>
  <c r="W86" i="9"/>
  <c r="AC86" i="9" s="1"/>
  <c r="AD86" i="9" s="1"/>
  <c r="AE86" i="9" s="1"/>
  <c r="M79" i="9"/>
  <c r="S79" i="9" s="1"/>
  <c r="M10" i="9"/>
  <c r="M8" i="9"/>
  <c r="W79" i="9"/>
  <c r="AC79" i="9" s="1"/>
  <c r="AD79" i="9" s="1"/>
  <c r="AE79" i="9" s="1"/>
  <c r="M67" i="9"/>
  <c r="S67" i="9" s="1"/>
  <c r="W73" i="9"/>
  <c r="AC73" i="9" s="1"/>
  <c r="AD73" i="9" s="1"/>
  <c r="AE73" i="9" s="1"/>
  <c r="W20" i="9"/>
  <c r="AC20" i="9" s="1"/>
  <c r="AD20" i="9" s="1"/>
  <c r="AE20" i="9" s="1"/>
  <c r="M78" i="9"/>
  <c r="S78" i="9" s="1"/>
  <c r="M25" i="9"/>
  <c r="S25" i="9" s="1"/>
  <c r="W70" i="9"/>
  <c r="AC70" i="9" s="1"/>
  <c r="AD70" i="9" s="1"/>
  <c r="AE70" i="9" s="1"/>
  <c r="W7" i="9"/>
  <c r="AC7" i="9" s="1"/>
  <c r="AD7" i="9" s="1"/>
  <c r="AE7" i="9" s="1"/>
  <c r="M77" i="9"/>
  <c r="S77" i="9" s="1"/>
  <c r="W67" i="9"/>
  <c r="AC67" i="9" s="1"/>
  <c r="AD67" i="9" s="1"/>
  <c r="AE67" i="9" s="1"/>
  <c r="M70" i="9"/>
  <c r="S70" i="9" s="1"/>
  <c r="W55" i="9"/>
  <c r="AC55" i="9" s="1"/>
  <c r="AD55" i="9" s="1"/>
  <c r="AE55" i="9" s="1"/>
  <c r="W81" i="9"/>
  <c r="AC81" i="9" s="1"/>
  <c r="AD81" i="9" s="1"/>
  <c r="AE81" i="9" s="1"/>
  <c r="W76" i="9"/>
  <c r="AC76" i="9" s="1"/>
  <c r="AD76" i="9" s="1"/>
  <c r="AE76" i="9" s="1"/>
  <c r="M74" i="9"/>
  <c r="S74" i="9" s="1"/>
  <c r="W75" i="9"/>
  <c r="AC75" i="9" s="1"/>
  <c r="AD75" i="9" s="1"/>
  <c r="AE75" i="9" s="1"/>
  <c r="M76" i="9"/>
  <c r="S76" i="9" s="1"/>
  <c r="M82" i="9"/>
  <c r="S82" i="9" s="1"/>
  <c r="M71" i="9"/>
  <c r="S71" i="9" s="1"/>
  <c r="M20" i="9"/>
  <c r="W25" i="9"/>
  <c r="AC25" i="9" s="1"/>
  <c r="AD25" i="9" s="1"/>
  <c r="AE25" i="9" s="1"/>
  <c r="W82" i="9"/>
  <c r="AC82" i="9" s="1"/>
  <c r="AD82" i="9" s="1"/>
  <c r="AE82" i="9" s="1"/>
  <c r="M55" i="9"/>
  <c r="S55" i="9" s="1"/>
  <c r="W74" i="9"/>
  <c r="AC74" i="9" s="1"/>
  <c r="AD74" i="9" s="1"/>
  <c r="AE74" i="9" s="1"/>
  <c r="W64" i="9"/>
  <c r="AC64" i="9" s="1"/>
  <c r="AD64" i="9" s="1"/>
  <c r="AE64" i="9" s="1"/>
  <c r="M17" i="9"/>
  <c r="M56" i="9"/>
  <c r="S56" i="9" s="1"/>
  <c r="M75" i="9"/>
  <c r="S75" i="9" s="1"/>
  <c r="M73" i="9"/>
  <c r="S73" i="9" s="1"/>
  <c r="W8" i="9"/>
  <c r="W77" i="9"/>
  <c r="AC77" i="9" s="1"/>
  <c r="AD77" i="9" s="1"/>
  <c r="AE77" i="9" s="1"/>
  <c r="W85" i="9"/>
  <c r="AC85" i="9" s="1"/>
  <c r="AD85" i="9" s="1"/>
  <c r="AE85" i="9" s="1"/>
  <c r="M69" i="9"/>
  <c r="S69" i="9" s="1"/>
  <c r="W80" i="9"/>
  <c r="AC80" i="9" s="1"/>
  <c r="AD80" i="9" s="1"/>
  <c r="AE80" i="9" s="1"/>
  <c r="M66" i="9"/>
  <c r="S66" i="9" s="1"/>
  <c r="M81" i="9"/>
  <c r="S81" i="9" s="1"/>
  <c r="W17" i="9"/>
  <c r="M7" i="9"/>
  <c r="AO165" i="44"/>
  <c r="AP165" i="44" s="1"/>
  <c r="AO15" i="44"/>
  <c r="AO166" i="44"/>
  <c r="AO40" i="44"/>
  <c r="AO17" i="44"/>
  <c r="AO141" i="44"/>
  <c r="AP141" i="44" s="1"/>
  <c r="AO148" i="44"/>
  <c r="AP148" i="44" s="1"/>
  <c r="AO144" i="44"/>
  <c r="AO65" i="44"/>
  <c r="AO109" i="44"/>
  <c r="AO112" i="44"/>
  <c r="AP112" i="44" s="1"/>
  <c r="AW112" i="44" s="1"/>
  <c r="AO11" i="44"/>
  <c r="AO30" i="44"/>
  <c r="AO20" i="44"/>
  <c r="AO29" i="44"/>
  <c r="AO44" i="44"/>
  <c r="AO145" i="44"/>
  <c r="AO113" i="44"/>
  <c r="AO8" i="44"/>
  <c r="AP8" i="44" s="1"/>
  <c r="AW8" i="44" s="1"/>
  <c r="AO111" i="44"/>
  <c r="AO39" i="44"/>
  <c r="AO25" i="44"/>
  <c r="AO10" i="44"/>
  <c r="AO110" i="44"/>
  <c r="AO13" i="44"/>
  <c r="AP13" i="44" s="1"/>
  <c r="AO63" i="44"/>
  <c r="AO167" i="44"/>
  <c r="AP167" i="44" s="1"/>
  <c r="AO14" i="44"/>
  <c r="AO42" i="44"/>
  <c r="AO64" i="44"/>
  <c r="AO60" i="44"/>
  <c r="AO95" i="44"/>
  <c r="AO41" i="44"/>
  <c r="AO187" i="44"/>
  <c r="AO12" i="44"/>
  <c r="AO19" i="44"/>
  <c r="AO9" i="44"/>
  <c r="AO142" i="44"/>
  <c r="AP142" i="44" s="1"/>
  <c r="AO59" i="44"/>
  <c r="AO7" i="44"/>
  <c r="AO45" i="44"/>
  <c r="AO108" i="44"/>
  <c r="AO23" i="44"/>
  <c r="AO146" i="44"/>
  <c r="AO66" i="44"/>
  <c r="AO18" i="44"/>
  <c r="AO143" i="44"/>
  <c r="AO38" i="44"/>
  <c r="AQ27" i="44"/>
  <c r="AO16" i="44"/>
  <c r="AO169" i="44"/>
  <c r="AP169" i="44" s="1"/>
  <c r="AO62" i="44"/>
  <c r="AR27" i="44"/>
  <c r="AS27" i="44" s="1"/>
  <c r="EO457" i="44" l="1"/>
  <c r="EN457" i="44"/>
  <c r="AV148" i="44"/>
  <c r="AW148" i="44"/>
  <c r="AV146" i="44"/>
  <c r="AW146" i="44"/>
  <c r="AV142" i="44"/>
  <c r="AW142" i="44"/>
  <c r="AV141" i="44"/>
  <c r="AW141" i="44"/>
  <c r="AV165" i="44"/>
  <c r="AW165" i="44"/>
  <c r="AV13" i="44"/>
  <c r="AW13" i="44"/>
  <c r="AT112" i="44"/>
  <c r="AU112" i="44" s="1"/>
  <c r="AV112" i="44"/>
  <c r="AT8" i="44"/>
  <c r="AU8" i="44" s="1"/>
  <c r="AV8" i="44"/>
  <c r="S7" i="9"/>
  <c r="AX13" i="44"/>
  <c r="AT165" i="44"/>
  <c r="AU165" i="44" s="1"/>
  <c r="AC8" i="9"/>
  <c r="AD8" i="9" s="1"/>
  <c r="AE8" i="9" s="1"/>
  <c r="AT13" i="44"/>
  <c r="AU13" i="44" s="1"/>
  <c r="EX27" i="44"/>
  <c r="FH27" i="44"/>
  <c r="EE27" i="44"/>
  <c r="AZ146" i="44"/>
  <c r="BC146" i="44"/>
  <c r="AX146" i="44"/>
  <c r="AZ148" i="44"/>
  <c r="AX148" i="44"/>
  <c r="BC148" i="44"/>
  <c r="DZ457" i="44"/>
  <c r="AP143" i="44"/>
  <c r="AP113" i="44"/>
  <c r="AP30" i="44"/>
  <c r="AP18" i="44"/>
  <c r="BC45" i="44"/>
  <c r="AP41" i="44"/>
  <c r="AP65" i="44"/>
  <c r="AW65" i="44" s="1"/>
  <c r="AP17" i="44"/>
  <c r="AP9" i="44"/>
  <c r="AP111" i="44"/>
  <c r="AP11" i="44"/>
  <c r="AP144" i="44"/>
  <c r="AX144" i="44" s="1"/>
  <c r="AP16" i="44"/>
  <c r="AP42" i="44"/>
  <c r="AP39" i="44"/>
  <c r="AP14" i="44"/>
  <c r="AP38" i="44"/>
  <c r="AP19" i="44"/>
  <c r="AP109" i="44"/>
  <c r="AP40" i="44"/>
  <c r="AP12" i="44"/>
  <c r="AP145" i="44"/>
  <c r="AP166" i="44"/>
  <c r="AP187" i="44"/>
  <c r="AP63" i="44"/>
  <c r="AP62" i="44"/>
  <c r="AP66" i="44"/>
  <c r="AP7" i="44"/>
  <c r="AP29" i="44"/>
  <c r="AP15" i="44"/>
  <c r="AP95" i="44"/>
  <c r="AP110" i="44"/>
  <c r="AP59" i="44"/>
  <c r="AP10" i="44"/>
  <c r="AP108" i="44"/>
  <c r="AR64" i="44"/>
  <c r="AS64" i="44" s="1"/>
  <c r="AP20" i="44"/>
  <c r="AR148" i="44"/>
  <c r="AS148" i="44" s="1"/>
  <c r="AZ141" i="44"/>
  <c r="AX141" i="44"/>
  <c r="AZ165" i="44"/>
  <c r="AX165" i="44"/>
  <c r="S8" i="9"/>
  <c r="BC13" i="44"/>
  <c r="AZ13" i="44"/>
  <c r="BC165" i="44"/>
  <c r="AR165" i="44"/>
  <c r="AS165" i="44" s="1"/>
  <c r="AQ165" i="44"/>
  <c r="AX142" i="44"/>
  <c r="BC141" i="44"/>
  <c r="AQ148" i="44"/>
  <c r="AQ112" i="44"/>
  <c r="AQ13" i="44"/>
  <c r="AT110" i="44"/>
  <c r="AQ8" i="44"/>
  <c r="AR112" i="44"/>
  <c r="AS112" i="44" s="1"/>
  <c r="AR13" i="44"/>
  <c r="AS13" i="44" s="1"/>
  <c r="AR8" i="44"/>
  <c r="AS8" i="44" s="1"/>
  <c r="EF165" i="44" l="1"/>
  <c r="EH165" i="44"/>
  <c r="EB165" i="44"/>
  <c r="EA165" i="44"/>
  <c r="DX165" i="44"/>
  <c r="EI165" i="44"/>
  <c r="AV7" i="44"/>
  <c r="AW7" i="44"/>
  <c r="AV10" i="44"/>
  <c r="AW10" i="44"/>
  <c r="AV9" i="44"/>
  <c r="AW9" i="44"/>
  <c r="AV18" i="44"/>
  <c r="AW18" i="44"/>
  <c r="AV42" i="44"/>
  <c r="AW42" i="44"/>
  <c r="AV16" i="44"/>
  <c r="AW16" i="44"/>
  <c r="AV38" i="44"/>
  <c r="AW38" i="44"/>
  <c r="AV20" i="44"/>
  <c r="AW20" i="44"/>
  <c r="AV108" i="44"/>
  <c r="AW108" i="44"/>
  <c r="AV166" i="44"/>
  <c r="AW166" i="44"/>
  <c r="AV39" i="44"/>
  <c r="AW39" i="44"/>
  <c r="AV143" i="44"/>
  <c r="AW143" i="44"/>
  <c r="AV169" i="44"/>
  <c r="AW169" i="44"/>
  <c r="AV11" i="44"/>
  <c r="AW11" i="44"/>
  <c r="AV59" i="44"/>
  <c r="AW59" i="44"/>
  <c r="AV111" i="44"/>
  <c r="AW111" i="44"/>
  <c r="AV30" i="44"/>
  <c r="AW30" i="44"/>
  <c r="AV144" i="44"/>
  <c r="AW144" i="44"/>
  <c r="AV145" i="44"/>
  <c r="AW145" i="44"/>
  <c r="AV40" i="44"/>
  <c r="AW40" i="44"/>
  <c r="AV109" i="44"/>
  <c r="AW109" i="44"/>
  <c r="AV17" i="44"/>
  <c r="AW17" i="44"/>
  <c r="AV14" i="44"/>
  <c r="AW14" i="44"/>
  <c r="AV62" i="44"/>
  <c r="AW62" i="44"/>
  <c r="AV12" i="44"/>
  <c r="AW12" i="44"/>
  <c r="AV110" i="44"/>
  <c r="AW110" i="44"/>
  <c r="AV15" i="44"/>
  <c r="AW15" i="44"/>
  <c r="AV167" i="44"/>
  <c r="AW167" i="44"/>
  <c r="AV66" i="44"/>
  <c r="AW66" i="44"/>
  <c r="AV63" i="44"/>
  <c r="AW63" i="44"/>
  <c r="AV113" i="44"/>
  <c r="AW113" i="44"/>
  <c r="AV187" i="44"/>
  <c r="AW187" i="44"/>
  <c r="AV95" i="44"/>
  <c r="AW95" i="44"/>
  <c r="AV29" i="44"/>
  <c r="AW29" i="44"/>
  <c r="AV19" i="44"/>
  <c r="AW19" i="44"/>
  <c r="AV41" i="44"/>
  <c r="AW41" i="44"/>
  <c r="AQ65" i="44"/>
  <c r="AV65" i="44"/>
  <c r="AR30" i="44"/>
  <c r="AS30" i="44" s="1"/>
  <c r="AX143" i="44"/>
  <c r="AR29" i="44"/>
  <c r="AS29" i="44" s="1"/>
  <c r="AQ63" i="44"/>
  <c r="AZ62" i="44"/>
  <c r="BC59" i="44"/>
  <c r="EH59" i="44" s="1"/>
  <c r="AR95" i="44"/>
  <c r="AS95" i="44" s="1"/>
  <c r="AT11" i="44"/>
  <c r="AU11" i="44" s="1"/>
  <c r="AT7" i="44"/>
  <c r="AU7" i="44" s="1"/>
  <c r="AX167" i="44"/>
  <c r="AT167" i="44"/>
  <c r="AU167" i="44" s="1"/>
  <c r="AX15" i="44"/>
  <c r="AT15" i="44"/>
  <c r="AU15" i="44" s="1"/>
  <c r="EB108" i="44"/>
  <c r="AT108" i="44"/>
  <c r="AU108" i="44" s="1"/>
  <c r="AX19" i="44"/>
  <c r="AT19" i="44"/>
  <c r="AU19" i="44" s="1"/>
  <c r="AT10" i="44"/>
  <c r="AU10" i="44" s="1"/>
  <c r="AT187" i="44"/>
  <c r="AU187" i="44" s="1"/>
  <c r="BC14" i="44"/>
  <c r="EF14" i="44" s="1"/>
  <c r="AT14" i="44"/>
  <c r="AU14" i="44" s="1"/>
  <c r="AT38" i="44"/>
  <c r="AU38" i="44" s="1"/>
  <c r="AT166" i="44"/>
  <c r="AU166" i="44" s="1"/>
  <c r="EC39" i="44"/>
  <c r="AT39" i="44"/>
  <c r="AU39" i="44" s="1"/>
  <c r="AZ18" i="44"/>
  <c r="AT18" i="44"/>
  <c r="AU18" i="44" s="1"/>
  <c r="AQ40" i="44"/>
  <c r="AT40" i="44"/>
  <c r="AU40" i="44" s="1"/>
  <c r="AR109" i="44"/>
  <c r="AS109" i="44" s="1"/>
  <c r="AT109" i="44"/>
  <c r="AU109" i="44" s="1"/>
  <c r="AT20" i="44"/>
  <c r="AU20" i="44" s="1"/>
  <c r="EL9" i="44"/>
  <c r="AT9" i="44"/>
  <c r="AU9" i="44" s="1"/>
  <c r="AT17" i="44"/>
  <c r="AU17" i="44" s="1"/>
  <c r="AZ169" i="44"/>
  <c r="AT169" i="44"/>
  <c r="AU169" i="44" s="1"/>
  <c r="EC41" i="44"/>
  <c r="AT41" i="44"/>
  <c r="AU41" i="44" s="1"/>
  <c r="AX12" i="44"/>
  <c r="AT12" i="44"/>
  <c r="AU12" i="44" s="1"/>
  <c r="AX16" i="44"/>
  <c r="AT16" i="44"/>
  <c r="AU16" i="44" s="1"/>
  <c r="EF111" i="44"/>
  <c r="EB111" i="44"/>
  <c r="EA111" i="44"/>
  <c r="DX111" i="44"/>
  <c r="EI111" i="44"/>
  <c r="EH111" i="44"/>
  <c r="EI8" i="44"/>
  <c r="EH8" i="44"/>
  <c r="EF8" i="44"/>
  <c r="DX8" i="44"/>
  <c r="EB8" i="44"/>
  <c r="EA8" i="44"/>
  <c r="EJ8" i="44"/>
  <c r="EB112" i="44"/>
  <c r="EA112" i="44"/>
  <c r="EH112" i="44"/>
  <c r="EF112" i="44"/>
  <c r="DX112" i="44"/>
  <c r="EI112" i="44"/>
  <c r="DX41" i="44"/>
  <c r="EF13" i="44"/>
  <c r="EB13" i="44"/>
  <c r="EA13" i="44"/>
  <c r="DX13" i="44"/>
  <c r="EJ13" i="44"/>
  <c r="EH13" i="44"/>
  <c r="EC187" i="44"/>
  <c r="EA187" i="44"/>
  <c r="DX187" i="44"/>
  <c r="EF45" i="44"/>
  <c r="EB45" i="44"/>
  <c r="EK45" i="44"/>
  <c r="EI45" i="44"/>
  <c r="EH45" i="44"/>
  <c r="EM45" i="44"/>
  <c r="DX45" i="44"/>
  <c r="EL45" i="44"/>
  <c r="EJ45" i="44"/>
  <c r="EA45" i="44"/>
  <c r="M68" i="9"/>
  <c r="S68" i="9" s="1"/>
  <c r="AQ145" i="44"/>
  <c r="AZ145" i="44"/>
  <c r="AX145" i="44"/>
  <c r="M84" i="9" s="1"/>
  <c r="S84" i="9" s="1"/>
  <c r="AZ143" i="44"/>
  <c r="BC143" i="44"/>
  <c r="AQ143" i="44"/>
  <c r="AR143" i="44"/>
  <c r="AS143" i="44" s="1"/>
  <c r="AQ16" i="44"/>
  <c r="BC16" i="44"/>
  <c r="AZ12" i="44"/>
  <c r="AR113" i="44"/>
  <c r="AS113" i="44" s="1"/>
  <c r="AZ16" i="44"/>
  <c r="AR16" i="44"/>
  <c r="AS16" i="44" s="1"/>
  <c r="AR12" i="44"/>
  <c r="AS12" i="44" s="1"/>
  <c r="AQ12" i="44"/>
  <c r="AU23" i="44"/>
  <c r="AQ42" i="44"/>
  <c r="AQ113" i="44"/>
  <c r="AQ39" i="44"/>
  <c r="AR145" i="44"/>
  <c r="AS145" i="44" s="1"/>
  <c r="AQ23" i="44"/>
  <c r="AR65" i="44"/>
  <c r="AS65" i="44" s="1"/>
  <c r="AR10" i="44"/>
  <c r="AS10" i="44" s="1"/>
  <c r="AR39" i="44"/>
  <c r="AS39" i="44" s="1"/>
  <c r="AQ18" i="44"/>
  <c r="AR14" i="44"/>
  <c r="AS14" i="44" s="1"/>
  <c r="AR42" i="44"/>
  <c r="AS42" i="44" s="1"/>
  <c r="AQ167" i="44"/>
  <c r="AQ14" i="44"/>
  <c r="AQ187" i="44"/>
  <c r="AR62" i="44"/>
  <c r="AS62" i="44" s="1"/>
  <c r="AQ17" i="44"/>
  <c r="AQ108" i="44"/>
  <c r="AR19" i="44"/>
  <c r="AS19" i="44" s="1"/>
  <c r="AR108" i="44"/>
  <c r="AS108" i="44" s="1"/>
  <c r="AR25" i="44"/>
  <c r="AS25" i="44" s="1"/>
  <c r="BC145" i="44"/>
  <c r="BC62" i="44"/>
  <c r="AQ62" i="44"/>
  <c r="AR110" i="44"/>
  <c r="AS110" i="44" s="1"/>
  <c r="AR38" i="44"/>
  <c r="AS38" i="44" s="1"/>
  <c r="AR9" i="44"/>
  <c r="AS9" i="44" s="1"/>
  <c r="AQ10" i="44"/>
  <c r="AR45" i="44"/>
  <c r="AS45" i="44" s="1"/>
  <c r="AQ45" i="44"/>
  <c r="AQ19" i="44"/>
  <c r="AQ38" i="44"/>
  <c r="AQ9" i="44"/>
  <c r="AR41" i="44"/>
  <c r="AS41" i="44" s="1"/>
  <c r="BC15" i="44"/>
  <c r="AX62" i="44"/>
  <c r="AQ144" i="44"/>
  <c r="AR169" i="44"/>
  <c r="AS169" i="44" s="1"/>
  <c r="AR144" i="44"/>
  <c r="AS144" i="44" s="1"/>
  <c r="AR7" i="44"/>
  <c r="AS7" i="44" s="1"/>
  <c r="AR66" i="44"/>
  <c r="AS66" i="44" s="1"/>
  <c r="AZ144" i="44"/>
  <c r="BC19" i="44"/>
  <c r="AX14" i="44"/>
  <c r="AU25" i="44"/>
  <c r="AQ66" i="44"/>
  <c r="AQ64" i="44"/>
  <c r="AQ7" i="44"/>
  <c r="AX17" i="44"/>
  <c r="AZ19" i="44"/>
  <c r="AQ25" i="44"/>
  <c r="BC25" i="44"/>
  <c r="FI25" i="44" s="1"/>
  <c r="AQ110" i="44"/>
  <c r="AR15" i="44"/>
  <c r="AS15" i="44" s="1"/>
  <c r="AQ44" i="44"/>
  <c r="BC95" i="44"/>
  <c r="AQ111" i="44"/>
  <c r="AQ41" i="44"/>
  <c r="AR44" i="44"/>
  <c r="AS44" i="44" s="1"/>
  <c r="AR23" i="44"/>
  <c r="AS23" i="44" s="1"/>
  <c r="AR111" i="44"/>
  <c r="AS111" i="44" s="1"/>
  <c r="AQ20" i="44"/>
  <c r="BC167" i="44"/>
  <c r="AQ59" i="44"/>
  <c r="AQ11" i="44"/>
  <c r="BC12" i="44"/>
  <c r="BC11" i="44"/>
  <c r="AR17" i="44"/>
  <c r="AS17" i="44" s="1"/>
  <c r="AR18" i="44"/>
  <c r="AS18" i="44" s="1"/>
  <c r="AR59" i="44"/>
  <c r="AS59" i="44" s="1"/>
  <c r="AZ17" i="44"/>
  <c r="AR11" i="44"/>
  <c r="AS11" i="44" s="1"/>
  <c r="BC17" i="44"/>
  <c r="AX59" i="44"/>
  <c r="M65" i="9" s="1"/>
  <c r="S65" i="9" s="1"/>
  <c r="AX11" i="44"/>
  <c r="AR167" i="44"/>
  <c r="AS167" i="44" s="1"/>
  <c r="AQ15" i="44"/>
  <c r="AR187" i="44"/>
  <c r="AS187" i="44" s="1"/>
  <c r="AZ11" i="44"/>
  <c r="AZ15" i="44"/>
  <c r="AZ59" i="44"/>
  <c r="W65" i="9" s="1"/>
  <c r="AC65" i="9" s="1"/>
  <c r="AD65" i="9" s="1"/>
  <c r="AE65" i="9" s="1"/>
  <c r="BC18" i="44"/>
  <c r="AZ167" i="44"/>
  <c r="AQ60" i="44"/>
  <c r="BC169" i="44"/>
  <c r="AR40" i="44"/>
  <c r="AS40" i="44" s="1"/>
  <c r="AZ30" i="44"/>
  <c r="AZ95" i="44"/>
  <c r="AZ166" i="44"/>
  <c r="AC10" i="9" s="1"/>
  <c r="AD10" i="9" s="1"/>
  <c r="AE10" i="9" s="1"/>
  <c r="AZ45" i="44"/>
  <c r="AX45" i="44"/>
  <c r="AQ29" i="44"/>
  <c r="BC166" i="44"/>
  <c r="AZ14" i="44"/>
  <c r="AZ29" i="44"/>
  <c r="AX169" i="44"/>
  <c r="AX95" i="44"/>
  <c r="AX63" i="44"/>
  <c r="M9" i="9" s="1"/>
  <c r="BC30" i="44"/>
  <c r="FI30" i="44" s="1"/>
  <c r="AR63" i="44"/>
  <c r="AS63" i="44" s="1"/>
  <c r="BC20" i="44"/>
  <c r="BC29" i="44"/>
  <c r="FI29" i="44" s="1"/>
  <c r="AX18" i="44"/>
  <c r="AR60" i="44"/>
  <c r="AS60" i="44" s="1"/>
  <c r="AQ95" i="44"/>
  <c r="AQ109" i="44"/>
  <c r="AR166" i="44"/>
  <c r="AS166" i="44" s="1"/>
  <c r="AZ20" i="44"/>
  <c r="AX20" i="44"/>
  <c r="AX60" i="44"/>
  <c r="AX29" i="44"/>
  <c r="AX166" i="44"/>
  <c r="M32" i="9" s="1"/>
  <c r="S32" i="9" s="1"/>
  <c r="AX30" i="44"/>
  <c r="AZ63" i="44"/>
  <c r="W9" i="9" s="1"/>
  <c r="AZ60" i="44"/>
  <c r="AQ169" i="44"/>
  <c r="AR20" i="44"/>
  <c r="AS20" i="44" s="1"/>
  <c r="AQ166" i="44"/>
  <c r="BC63" i="44"/>
  <c r="BC60" i="44"/>
  <c r="AZ25" i="44"/>
  <c r="AX25" i="44"/>
  <c r="AZ44" i="44"/>
  <c r="AX44" i="44"/>
  <c r="AQ30" i="44"/>
  <c r="BC144" i="44"/>
  <c r="AZ64" i="44"/>
  <c r="AX64" i="44"/>
  <c r="AZ23" i="44"/>
  <c r="AX23" i="44"/>
  <c r="M85" i="9" s="1"/>
  <c r="S85" i="9" s="1"/>
  <c r="BC44" i="44"/>
  <c r="BC64" i="44"/>
  <c r="BC23" i="44"/>
  <c r="FI23" i="44" s="1"/>
  <c r="M29" i="9"/>
  <c r="S29" i="9" s="1"/>
  <c r="AR146" i="44"/>
  <c r="AS146" i="44" s="1"/>
  <c r="AQ146" i="44"/>
  <c r="W28" i="9"/>
  <c r="AC28" i="9" s="1"/>
  <c r="AD28" i="9" s="1"/>
  <c r="AE28" i="9" s="1"/>
  <c r="M86" i="9"/>
  <c r="S86" i="9" s="1"/>
  <c r="AC17" i="9"/>
  <c r="AD17" i="9" s="1"/>
  <c r="AE17" i="9" s="1"/>
  <c r="S20" i="9"/>
  <c r="S17" i="9"/>
  <c r="S10" i="9"/>
  <c r="BC142" i="44"/>
  <c r="AZ142" i="44"/>
  <c r="W60" i="9" s="1"/>
  <c r="AC60" i="9" s="1"/>
  <c r="AD60" i="9" s="1"/>
  <c r="AE60" i="9" s="1"/>
  <c r="AR141" i="44"/>
  <c r="AS141" i="44" s="1"/>
  <c r="AR142" i="44"/>
  <c r="AS142" i="44" s="1"/>
  <c r="AQ141" i="44"/>
  <c r="AQ142" i="44"/>
  <c r="FI448" i="44" l="1"/>
  <c r="FI453" i="44" s="1"/>
  <c r="FI454" i="44" s="1"/>
  <c r="W18" i="9"/>
  <c r="AC18" i="9" s="1"/>
  <c r="AD18" i="9" s="1"/>
  <c r="AE18" i="9" s="1"/>
  <c r="W16" i="9"/>
  <c r="AC16" i="9" s="1"/>
  <c r="AD16" i="9" s="1"/>
  <c r="AE16" i="9" s="1"/>
  <c r="M18" i="9"/>
  <c r="S18" i="9" s="1"/>
  <c r="M16" i="9"/>
  <c r="S16" i="9" s="1"/>
  <c r="EB166" i="44"/>
  <c r="EA166" i="44"/>
  <c r="DX166" i="44"/>
  <c r="EI166" i="44"/>
  <c r="EH166" i="44"/>
  <c r="EF166" i="44"/>
  <c r="EK59" i="44"/>
  <c r="DX59" i="44"/>
  <c r="EA59" i="44"/>
  <c r="EB59" i="44"/>
  <c r="EJ59" i="44"/>
  <c r="EI59" i="44"/>
  <c r="EF59" i="44"/>
  <c r="EJ14" i="44"/>
  <c r="W26" i="9"/>
  <c r="AC26" i="9" s="1"/>
  <c r="AD26" i="9" s="1"/>
  <c r="AE26" i="9" s="1"/>
  <c r="W34" i="9"/>
  <c r="AC34" i="9" s="1"/>
  <c r="AD34" i="9" s="1"/>
  <c r="AE34" i="9" s="1"/>
  <c r="W29" i="9"/>
  <c r="AC29" i="9" s="1"/>
  <c r="AD29" i="9" s="1"/>
  <c r="AE29" i="9" s="1"/>
  <c r="M28" i="9"/>
  <c r="S28" i="9" s="1"/>
  <c r="M26" i="9"/>
  <c r="S26" i="9" s="1"/>
  <c r="AZ448" i="44"/>
  <c r="W13" i="9"/>
  <c r="AC13" i="9" s="1"/>
  <c r="AD13" i="9" s="1"/>
  <c r="AE13" i="9" s="1"/>
  <c r="M13" i="9"/>
  <c r="S13" i="9" s="1"/>
  <c r="M46" i="9"/>
  <c r="S46" i="9" s="1"/>
  <c r="EA41" i="44"/>
  <c r="M35" i="9"/>
  <c r="S35" i="9" s="1"/>
  <c r="M34" i="9"/>
  <c r="S34" i="9" s="1"/>
  <c r="EM9" i="44"/>
  <c r="M33" i="9"/>
  <c r="S33" i="9" s="1"/>
  <c r="EK9" i="44"/>
  <c r="EB9" i="44"/>
  <c r="EF9" i="44"/>
  <c r="DX39" i="44"/>
  <c r="DX9" i="44"/>
  <c r="DX108" i="44"/>
  <c r="EA39" i="44"/>
  <c r="EH14" i="44"/>
  <c r="EF108" i="44"/>
  <c r="EH108" i="44"/>
  <c r="DX14" i="44"/>
  <c r="EA108" i="44"/>
  <c r="EA14" i="44"/>
  <c r="EI14" i="44"/>
  <c r="EJ9" i="44"/>
  <c r="EB14" i="44"/>
  <c r="EH9" i="44"/>
  <c r="EI9" i="44"/>
  <c r="EA9" i="44"/>
  <c r="EF60" i="44"/>
  <c r="EB60" i="44"/>
  <c r="EK60" i="44"/>
  <c r="EI60" i="44"/>
  <c r="EH60" i="44"/>
  <c r="EA60" i="44"/>
  <c r="EJ60" i="44"/>
  <c r="DX60" i="44"/>
  <c r="EB167" i="44"/>
  <c r="EA167" i="44"/>
  <c r="EL167" i="44"/>
  <c r="EK167" i="44"/>
  <c r="EH167" i="44"/>
  <c r="DX167" i="44"/>
  <c r="EJ167" i="44"/>
  <c r="EI167" i="44"/>
  <c r="EF167" i="44"/>
  <c r="EJ19" i="44"/>
  <c r="DX19" i="44"/>
  <c r="EI19" i="44"/>
  <c r="EH19" i="44"/>
  <c r="EB19" i="44"/>
  <c r="EA19" i="44"/>
  <c r="EF19" i="44"/>
  <c r="EB10" i="44"/>
  <c r="EL10" i="44"/>
  <c r="EK10" i="44"/>
  <c r="EJ10" i="44"/>
  <c r="EA10" i="44"/>
  <c r="EI10" i="44"/>
  <c r="EM10" i="44"/>
  <c r="DX10" i="44"/>
  <c r="EH10" i="44"/>
  <c r="EF10" i="44"/>
  <c r="EB18" i="44"/>
  <c r="EA18" i="44"/>
  <c r="EH18" i="44"/>
  <c r="DX18" i="44"/>
  <c r="EJ18" i="44"/>
  <c r="EI18" i="44"/>
  <c r="EF18" i="44"/>
  <c r="EB66" i="44"/>
  <c r="EA66" i="44"/>
  <c r="EL66" i="44"/>
  <c r="EK66" i="44"/>
  <c r="EH66" i="44"/>
  <c r="EI66" i="44"/>
  <c r="DX66" i="44"/>
  <c r="EJ66" i="44"/>
  <c r="EF66" i="44"/>
  <c r="EJ63" i="44"/>
  <c r="EK63" i="44"/>
  <c r="DX63" i="44"/>
  <c r="EI63" i="44"/>
  <c r="EH63" i="44"/>
  <c r="EF63" i="44"/>
  <c r="EB63" i="44"/>
  <c r="EA63" i="44"/>
  <c r="EF17" i="44"/>
  <c r="EB17" i="44"/>
  <c r="DX17" i="44"/>
  <c r="EA17" i="44"/>
  <c r="EJ17" i="44"/>
  <c r="EI17" i="44"/>
  <c r="EH17" i="44"/>
  <c r="EE23" i="44"/>
  <c r="EX23" i="44"/>
  <c r="FH23" i="44"/>
  <c r="EI20" i="44"/>
  <c r="EH20" i="44"/>
  <c r="EF20" i="44"/>
  <c r="EB20" i="44"/>
  <c r="DX20" i="44"/>
  <c r="EA20" i="44"/>
  <c r="EJ20" i="44"/>
  <c r="EF95" i="44"/>
  <c r="EB95" i="44"/>
  <c r="EI95" i="44"/>
  <c r="EA95" i="44"/>
  <c r="EH95" i="44"/>
  <c r="EJ95" i="44"/>
  <c r="DX95" i="44"/>
  <c r="EI64" i="44"/>
  <c r="EH64" i="44"/>
  <c r="EF64" i="44"/>
  <c r="EB64" i="44"/>
  <c r="DX64" i="44"/>
  <c r="EK64" i="44"/>
  <c r="EJ64" i="44"/>
  <c r="EA64" i="44"/>
  <c r="EF65" i="44"/>
  <c r="EB65" i="44"/>
  <c r="EK65" i="44"/>
  <c r="EH65" i="44"/>
  <c r="DX65" i="44"/>
  <c r="EL65" i="44"/>
  <c r="EJ65" i="44"/>
  <c r="EI65" i="44"/>
  <c r="EA65" i="44"/>
  <c r="EH110" i="44"/>
  <c r="EF110" i="44"/>
  <c r="EB110" i="44"/>
  <c r="EA110" i="44"/>
  <c r="DX110" i="44"/>
  <c r="EL15" i="44"/>
  <c r="EK15" i="44"/>
  <c r="DX15" i="44"/>
  <c r="EJ15" i="44"/>
  <c r="EI15" i="44"/>
  <c r="EH15" i="44"/>
  <c r="EA15" i="44"/>
  <c r="EF15" i="44"/>
  <c r="EB15" i="44"/>
  <c r="EC42" i="44"/>
  <c r="EA42" i="44"/>
  <c r="ED42" i="44"/>
  <c r="ED448" i="44" s="1"/>
  <c r="L36" i="50" s="1"/>
  <c r="L48" i="50" s="1"/>
  <c r="L50" i="50" s="1"/>
  <c r="L52" i="50" s="1"/>
  <c r="L58" i="50" s="1"/>
  <c r="DX42" i="44"/>
  <c r="EI7" i="44"/>
  <c r="EH7" i="44"/>
  <c r="DX7" i="44"/>
  <c r="EB7" i="44"/>
  <c r="EA7" i="44"/>
  <c r="EJ7" i="44"/>
  <c r="EF7" i="44"/>
  <c r="EB62" i="44"/>
  <c r="EA62" i="44"/>
  <c r="EK62" i="44"/>
  <c r="EH62" i="44"/>
  <c r="EJ62" i="44"/>
  <c r="EI62" i="44"/>
  <c r="EF62" i="44"/>
  <c r="DX62" i="44"/>
  <c r="EI16" i="44"/>
  <c r="EH16" i="44"/>
  <c r="EF16" i="44"/>
  <c r="EB16" i="44"/>
  <c r="DX16" i="44"/>
  <c r="EA16" i="44"/>
  <c r="EJ16" i="44"/>
  <c r="EL11" i="44"/>
  <c r="EK11" i="44"/>
  <c r="EI11" i="44"/>
  <c r="EH11" i="44"/>
  <c r="EB11" i="44"/>
  <c r="EJ11" i="44"/>
  <c r="EA11" i="44"/>
  <c r="DX11" i="44"/>
  <c r="EF11" i="44"/>
  <c r="EE30" i="44"/>
  <c r="EX30" i="44"/>
  <c r="FH30" i="44"/>
  <c r="EL169" i="44"/>
  <c r="EK169" i="44"/>
  <c r="EJ169" i="44"/>
  <c r="DX169" i="44"/>
  <c r="EI169" i="44"/>
  <c r="EH169" i="44"/>
  <c r="EB169" i="44"/>
  <c r="EA169" i="44"/>
  <c r="EF169" i="44"/>
  <c r="EI12" i="44"/>
  <c r="EH12" i="44"/>
  <c r="EF12" i="44"/>
  <c r="EB12" i="44"/>
  <c r="EA12" i="44"/>
  <c r="DX12" i="44"/>
  <c r="EJ12" i="44"/>
  <c r="EX25" i="44"/>
  <c r="FH25" i="44"/>
  <c r="EE25" i="44"/>
  <c r="EC38" i="44"/>
  <c r="EA38" i="44"/>
  <c r="DX38" i="44"/>
  <c r="FH29" i="44"/>
  <c r="EE29" i="44"/>
  <c r="EX29" i="44"/>
  <c r="EC40" i="44"/>
  <c r="EA40" i="44"/>
  <c r="DX40" i="44"/>
  <c r="EI44" i="44"/>
  <c r="EH44" i="44"/>
  <c r="EF44" i="44"/>
  <c r="EB44" i="44"/>
  <c r="EJ44" i="44"/>
  <c r="DX44" i="44"/>
  <c r="EM44" i="44"/>
  <c r="EL44" i="44"/>
  <c r="EK44" i="44"/>
  <c r="EA44" i="44"/>
  <c r="DX109" i="44"/>
  <c r="EH109" i="44"/>
  <c r="EF109" i="44"/>
  <c r="EA109" i="44"/>
  <c r="EB109" i="44"/>
  <c r="DX113" i="44"/>
  <c r="EI113" i="44"/>
  <c r="EH113" i="44"/>
  <c r="EB113" i="44"/>
  <c r="EA113" i="44"/>
  <c r="EF113" i="44"/>
  <c r="W68" i="9"/>
  <c r="AC68" i="9" s="1"/>
  <c r="AD68" i="9" s="1"/>
  <c r="AE68" i="9" s="1"/>
  <c r="W84" i="9"/>
  <c r="AC84" i="9" s="1"/>
  <c r="AD84" i="9" s="1"/>
  <c r="AE84" i="9" s="1"/>
  <c r="W39" i="9"/>
  <c r="AC39" i="9" s="1"/>
  <c r="AD39" i="9" s="1"/>
  <c r="AE39" i="9" s="1"/>
  <c r="W38" i="9"/>
  <c r="AC38" i="9" s="1"/>
  <c r="AD38" i="9" s="1"/>
  <c r="AE38" i="9" s="1"/>
  <c r="M88" i="9"/>
  <c r="S88" i="9" s="1"/>
  <c r="W88" i="9"/>
  <c r="AC88" i="9" s="1"/>
  <c r="AD88" i="9" s="1"/>
  <c r="AE88" i="9" s="1"/>
  <c r="M41" i="9"/>
  <c r="S41" i="9" s="1"/>
  <c r="M39" i="9"/>
  <c r="S39" i="9" s="1"/>
  <c r="W58" i="9"/>
  <c r="AC58" i="9" s="1"/>
  <c r="AD58" i="9" s="1"/>
  <c r="AE58" i="9" s="1"/>
  <c r="M50" i="9"/>
  <c r="S50" i="9" s="1"/>
  <c r="M49" i="9"/>
  <c r="S49" i="9" s="1"/>
  <c r="M51" i="9"/>
  <c r="S51" i="9" s="1"/>
  <c r="W49" i="9"/>
  <c r="AC49" i="9" s="1"/>
  <c r="AD49" i="9" s="1"/>
  <c r="AE49" i="9" s="1"/>
  <c r="W51" i="9"/>
  <c r="AC51" i="9" s="1"/>
  <c r="AD51" i="9" s="1"/>
  <c r="AE51" i="9" s="1"/>
  <c r="W46" i="9"/>
  <c r="AC46" i="9" s="1"/>
  <c r="AD46" i="9" s="1"/>
  <c r="AE46" i="9" s="1"/>
  <c r="W31" i="9"/>
  <c r="AC31" i="9" s="1"/>
  <c r="AD31" i="9" s="1"/>
  <c r="AE31" i="9" s="1"/>
  <c r="M31" i="9"/>
  <c r="S31" i="9" s="1"/>
  <c r="M53" i="9"/>
  <c r="S53" i="9" s="1"/>
  <c r="M48" i="9"/>
  <c r="S48" i="9" s="1"/>
  <c r="W53" i="9"/>
  <c r="AC53" i="9" s="1"/>
  <c r="AD53" i="9" s="1"/>
  <c r="AE53" i="9" s="1"/>
  <c r="W48" i="9"/>
  <c r="AC48" i="9" s="1"/>
  <c r="AD48" i="9" s="1"/>
  <c r="AE48" i="9" s="1"/>
  <c r="M19" i="9"/>
  <c r="S19" i="9" s="1"/>
  <c r="M21" i="9"/>
  <c r="S21" i="9" s="1"/>
  <c r="W19" i="9"/>
  <c r="AC19" i="9" s="1"/>
  <c r="AD19" i="9" s="1"/>
  <c r="AE19" i="9" s="1"/>
  <c r="W21" i="9"/>
  <c r="AC21" i="9" s="1"/>
  <c r="AD21" i="9" s="1"/>
  <c r="AE21" i="9" s="1"/>
  <c r="W61" i="9"/>
  <c r="AC61" i="9" s="1"/>
  <c r="AD61" i="9" s="1"/>
  <c r="AE61" i="9" s="1"/>
  <c r="W45" i="9"/>
  <c r="AC45" i="9" s="1"/>
  <c r="AD45" i="9" s="1"/>
  <c r="AE45" i="9" s="1"/>
  <c r="S61" i="9"/>
  <c r="M45" i="9"/>
  <c r="S45" i="9" s="1"/>
  <c r="W44" i="9"/>
  <c r="AC44" i="9" s="1"/>
  <c r="AD44" i="9" s="1"/>
  <c r="AE44" i="9" s="1"/>
  <c r="W62" i="9"/>
  <c r="AC62" i="9" s="1"/>
  <c r="AD62" i="9" s="1"/>
  <c r="AE62" i="9" s="1"/>
  <c r="M12" i="9"/>
  <c r="S12" i="9" s="1"/>
  <c r="M62" i="9"/>
  <c r="S62" i="9" s="1"/>
  <c r="M44" i="9"/>
  <c r="S44" i="9" s="1"/>
  <c r="W43" i="9"/>
  <c r="AC43" i="9" s="1"/>
  <c r="AD43" i="9" s="1"/>
  <c r="AE43" i="9" s="1"/>
  <c r="M43" i="9"/>
  <c r="S43" i="9" s="1"/>
  <c r="W63" i="9"/>
  <c r="AC63" i="9" s="1"/>
  <c r="AD63" i="9" s="1"/>
  <c r="AE63" i="9" s="1"/>
  <c r="W12" i="9"/>
  <c r="AC12" i="9" s="1"/>
  <c r="AD12" i="9" s="1"/>
  <c r="AE12" i="9" s="1"/>
  <c r="M58" i="9"/>
  <c r="S58" i="9" s="1"/>
  <c r="M15" i="9"/>
  <c r="S15" i="9" s="1"/>
  <c r="M63" i="9"/>
  <c r="S63" i="9" s="1"/>
  <c r="W41" i="9"/>
  <c r="AC41" i="9" s="1"/>
  <c r="AD41" i="9" s="1"/>
  <c r="AE41" i="9" s="1"/>
  <c r="M38" i="9"/>
  <c r="S38" i="9" s="1"/>
  <c r="M22" i="9"/>
  <c r="S22" i="9" s="1"/>
  <c r="M23" i="9"/>
  <c r="S23" i="9" s="1"/>
  <c r="W22" i="9"/>
  <c r="AC22" i="9" s="1"/>
  <c r="AD22" i="9" s="1"/>
  <c r="AE22" i="9" s="1"/>
  <c r="W23" i="9"/>
  <c r="AC23" i="9" s="1"/>
  <c r="AD23" i="9" s="1"/>
  <c r="AE23" i="9" s="1"/>
  <c r="W35" i="9"/>
  <c r="AC35" i="9" s="1"/>
  <c r="AD35" i="9" s="1"/>
  <c r="AE35" i="9" s="1"/>
  <c r="W36" i="9"/>
  <c r="AC36" i="9" s="1"/>
  <c r="AD36" i="9" s="1"/>
  <c r="AE36" i="9" s="1"/>
  <c r="M36" i="9"/>
  <c r="S36" i="9" s="1"/>
  <c r="W50" i="9"/>
  <c r="AC50" i="9" s="1"/>
  <c r="AD50" i="9" s="1"/>
  <c r="AE50" i="9" s="1"/>
  <c r="W33" i="9"/>
  <c r="AC33" i="9" s="1"/>
  <c r="AD33" i="9" s="1"/>
  <c r="AE33" i="9" s="1"/>
  <c r="W32" i="9"/>
  <c r="AC32" i="9" s="1"/>
  <c r="AD32" i="9" s="1"/>
  <c r="AE32" i="9" s="1"/>
  <c r="W14" i="9"/>
  <c r="AC14" i="9" s="1"/>
  <c r="AD14" i="9" s="1"/>
  <c r="AE14" i="9" s="1"/>
  <c r="W15" i="9"/>
  <c r="AC15" i="9" s="1"/>
  <c r="AD15" i="9" s="1"/>
  <c r="AE15" i="9" s="1"/>
  <c r="M11" i="9"/>
  <c r="M14" i="9"/>
  <c r="S14" i="9" s="1"/>
  <c r="W59" i="9"/>
  <c r="AC59" i="9" s="1"/>
  <c r="AD59" i="9" s="1"/>
  <c r="AE59" i="9" s="1"/>
  <c r="W11" i="9"/>
  <c r="M60" i="9"/>
  <c r="M59" i="9"/>
  <c r="S59" i="9" s="1"/>
  <c r="W47" i="9"/>
  <c r="AC47" i="9" s="1"/>
  <c r="AD47" i="9" s="1"/>
  <c r="AE47" i="9" s="1"/>
  <c r="M27" i="9"/>
  <c r="S27" i="9" s="1"/>
  <c r="M57" i="9"/>
  <c r="W57" i="9"/>
  <c r="M40" i="9"/>
  <c r="S40" i="9" s="1"/>
  <c r="W30" i="9"/>
  <c r="AC30" i="9" s="1"/>
  <c r="AD30" i="9" s="1"/>
  <c r="AE30" i="9" s="1"/>
  <c r="W27" i="9"/>
  <c r="AC27" i="9" s="1"/>
  <c r="AD27" i="9" s="1"/>
  <c r="AE27" i="9" s="1"/>
  <c r="W40" i="9"/>
  <c r="AC40" i="9" s="1"/>
  <c r="AD40" i="9" s="1"/>
  <c r="AE40" i="9" s="1"/>
  <c r="M52" i="9"/>
  <c r="S52" i="9" s="1"/>
  <c r="M30" i="9"/>
  <c r="S30" i="9" s="1"/>
  <c r="W37" i="9"/>
  <c r="AC37" i="9" s="1"/>
  <c r="AD37" i="9" s="1"/>
  <c r="AE37" i="9" s="1"/>
  <c r="W52" i="9"/>
  <c r="AC52" i="9" s="1"/>
  <c r="AD52" i="9" s="1"/>
  <c r="AE52" i="9" s="1"/>
  <c r="W89" i="9"/>
  <c r="AC89" i="9" s="1"/>
  <c r="AD89" i="9" s="1"/>
  <c r="AE89" i="9" s="1"/>
  <c r="M87" i="9"/>
  <c r="S87" i="9" s="1"/>
  <c r="M89" i="9"/>
  <c r="S89" i="9" s="1"/>
  <c r="W87" i="9"/>
  <c r="AC87" i="9" s="1"/>
  <c r="AD87" i="9" s="1"/>
  <c r="AE87" i="9" s="1"/>
  <c r="G36" i="50"/>
  <c r="G48" i="50" s="1"/>
  <c r="G50" i="50" s="1"/>
  <c r="G52" i="50" s="1"/>
  <c r="G54" i="50" s="1"/>
  <c r="AX448" i="44"/>
  <c r="FI456" i="44" l="1"/>
  <c r="FI450" i="44"/>
  <c r="FI451" i="44" s="1"/>
  <c r="AC11" i="9"/>
  <c r="AD11" i="9" s="1"/>
  <c r="AE11" i="9" s="1"/>
  <c r="W141" i="9"/>
  <c r="S11" i="9"/>
  <c r="ED450" i="44"/>
  <c r="ED451" i="44" s="1"/>
  <c r="EE448" i="44"/>
  <c r="M36" i="50" s="1"/>
  <c r="M48" i="50" s="1"/>
  <c r="M50" i="50" s="1"/>
  <c r="M52" i="50" s="1"/>
  <c r="M54" i="50" s="1"/>
  <c r="EK448" i="44"/>
  <c r="S36" i="50" s="1"/>
  <c r="S48" i="50" s="1"/>
  <c r="S50" i="50" s="1"/>
  <c r="S52" i="50" s="1"/>
  <c r="EL448" i="44"/>
  <c r="T36" i="50" s="1"/>
  <c r="EM448" i="44"/>
  <c r="U36" i="50" s="1"/>
  <c r="U48" i="50" s="1"/>
  <c r="U50" i="50" s="1"/>
  <c r="U52" i="50" s="1"/>
  <c r="U56" i="50" s="1"/>
  <c r="EC448" i="44"/>
  <c r="K36" i="50" s="1"/>
  <c r="K48" i="50" s="1"/>
  <c r="K50" i="50" s="1"/>
  <c r="K52" i="50" s="1"/>
  <c r="K54" i="50" s="1"/>
  <c r="EJ448" i="44"/>
  <c r="R36" i="50" s="1"/>
  <c r="R48" i="50" s="1"/>
  <c r="R50" i="50" s="1"/>
  <c r="R52" i="50" s="1"/>
  <c r="ED456" i="44"/>
  <c r="ED453" i="44"/>
  <c r="ED454" i="44" s="1"/>
  <c r="FH448" i="44"/>
  <c r="EF448" i="44"/>
  <c r="N36" i="50" s="1"/>
  <c r="N48" i="50" s="1"/>
  <c r="N50" i="50" s="1"/>
  <c r="N52" i="50" s="1"/>
  <c r="N54" i="50" s="1"/>
  <c r="EX448" i="44"/>
  <c r="EA448" i="44"/>
  <c r="EA456" i="44" s="1"/>
  <c r="EB448" i="44"/>
  <c r="EB456" i="44" s="1"/>
  <c r="DX448" i="44"/>
  <c r="F36" i="50" s="1"/>
  <c r="F48" i="50" s="1"/>
  <c r="F50" i="50" s="1"/>
  <c r="F52" i="50" s="1"/>
  <c r="EH448" i="44"/>
  <c r="P36" i="50" s="1"/>
  <c r="P48" i="50" s="1"/>
  <c r="P50" i="50" s="1"/>
  <c r="P52" i="50" s="1"/>
  <c r="EI448" i="44"/>
  <c r="Q36" i="50" s="1"/>
  <c r="Q48" i="50" s="1"/>
  <c r="Q50" i="50" s="1"/>
  <c r="Q52" i="50" s="1"/>
  <c r="M47" i="9"/>
  <c r="S47" i="9" s="1"/>
  <c r="M37" i="9"/>
  <c r="DY453" i="44"/>
  <c r="DY454" i="44" s="1"/>
  <c r="DY450" i="44"/>
  <c r="DY451" i="44" s="1"/>
  <c r="DY456" i="44"/>
  <c r="AW24" i="21"/>
  <c r="AW23" i="21"/>
  <c r="AW14" i="21"/>
  <c r="AW13" i="21"/>
  <c r="AW12" i="21"/>
  <c r="AW11" i="21"/>
  <c r="AU24" i="21"/>
  <c r="AU23" i="21"/>
  <c r="AU14" i="21"/>
  <c r="AU13" i="21"/>
  <c r="AU12" i="21"/>
  <c r="AU11" i="21"/>
  <c r="AC30" i="21"/>
  <c r="AC29" i="21"/>
  <c r="AB30" i="21"/>
  <c r="AB29" i="21"/>
  <c r="AB28" i="21"/>
  <c r="AC28" i="21"/>
  <c r="AC27" i="21"/>
  <c r="AC26" i="21"/>
  <c r="AC25" i="21"/>
  <c r="AC14" i="21"/>
  <c r="AC13" i="21"/>
  <c r="AC12" i="21"/>
  <c r="AC11" i="21"/>
  <c r="AC9" i="21"/>
  <c r="AC7" i="21"/>
  <c r="M63" i="26"/>
  <c r="L63" i="26"/>
  <c r="FI457" i="44" l="1"/>
  <c r="M141" i="9"/>
  <c r="ED457" i="44"/>
  <c r="EX450" i="44"/>
  <c r="EX451" i="44" s="1"/>
  <c r="EX456" i="44"/>
  <c r="EX453" i="44"/>
  <c r="EX454" i="44" s="1"/>
  <c r="FH450" i="44"/>
  <c r="FH451" i="44" s="1"/>
  <c r="FH456" i="44"/>
  <c r="FH453" i="44"/>
  <c r="FH454" i="44" s="1"/>
  <c r="AI36" i="50"/>
  <c r="AI48" i="50" s="1"/>
  <c r="AI50" i="50" s="1"/>
  <c r="AI52" i="50" s="1"/>
  <c r="AI54" i="50" s="1"/>
  <c r="AD36" i="50"/>
  <c r="AD48" i="50" s="1"/>
  <c r="AD50" i="50" s="1"/>
  <c r="AD52" i="50" s="1"/>
  <c r="AD54" i="50" s="1"/>
  <c r="AN36" i="50"/>
  <c r="AN48" i="50" s="1"/>
  <c r="AN50" i="50" s="1"/>
  <c r="AN52" i="50" s="1"/>
  <c r="AN54" i="50" s="1"/>
  <c r="AL36" i="50"/>
  <c r="AL48" i="50" s="1"/>
  <c r="AL50" i="50" s="1"/>
  <c r="AL52" i="50" s="1"/>
  <c r="AL54" i="50" s="1"/>
  <c r="EM456" i="44"/>
  <c r="EM450" i="44"/>
  <c r="EM451" i="44" s="1"/>
  <c r="EM453" i="44"/>
  <c r="EM454" i="44" s="1"/>
  <c r="FA453" i="44"/>
  <c r="FA454" i="44" s="1"/>
  <c r="EC450" i="44"/>
  <c r="EC451" i="44" s="1"/>
  <c r="EC456" i="44"/>
  <c r="FA456" i="44"/>
  <c r="FA450" i="44"/>
  <c r="FA451" i="44" s="1"/>
  <c r="EL450" i="44"/>
  <c r="EL451" i="44" s="1"/>
  <c r="EC453" i="44"/>
  <c r="EC454" i="44" s="1"/>
  <c r="EL453" i="44"/>
  <c r="EL454" i="44" s="1"/>
  <c r="EF453" i="44"/>
  <c r="EF454" i="44" s="1"/>
  <c r="EL456" i="44"/>
  <c r="EA450" i="44"/>
  <c r="EA451" i="44" s="1"/>
  <c r="EA457" i="44" s="1"/>
  <c r="EH453" i="44"/>
  <c r="EH454" i="44" s="1"/>
  <c r="EA453" i="44"/>
  <c r="EA454" i="44" s="1"/>
  <c r="EH450" i="44"/>
  <c r="EH451" i="44" s="1"/>
  <c r="EH456" i="44"/>
  <c r="EF456" i="44"/>
  <c r="EV450" i="44"/>
  <c r="EV451" i="44" s="1"/>
  <c r="EF450" i="44"/>
  <c r="EF451" i="44" s="1"/>
  <c r="EV453" i="44"/>
  <c r="EV454" i="44" s="1"/>
  <c r="I36" i="50"/>
  <c r="I48" i="50" s="1"/>
  <c r="I50" i="50" s="1"/>
  <c r="I52" i="50" s="1"/>
  <c r="I54" i="50" s="1"/>
  <c r="EJ453" i="44"/>
  <c r="EJ454" i="44" s="1"/>
  <c r="EJ456" i="44"/>
  <c r="EK450" i="44"/>
  <c r="EK451" i="44" s="1"/>
  <c r="EJ450" i="44"/>
  <c r="EJ451" i="44" s="1"/>
  <c r="EK453" i="44"/>
  <c r="EK454" i="44" s="1"/>
  <c r="EV456" i="44"/>
  <c r="DX456" i="44"/>
  <c r="DX450" i="44"/>
  <c r="DX451" i="44" s="1"/>
  <c r="EE456" i="44"/>
  <c r="DX453" i="44"/>
  <c r="DX454" i="44" s="1"/>
  <c r="EK456" i="44"/>
  <c r="EE450" i="44"/>
  <c r="EE451" i="44" s="1"/>
  <c r="EE453" i="44"/>
  <c r="EE454" i="44" s="1"/>
  <c r="EI453" i="44"/>
  <c r="EI454" i="44" s="1"/>
  <c r="J36" i="50"/>
  <c r="J48" i="50" s="1"/>
  <c r="J50" i="50" s="1"/>
  <c r="J52" i="50" s="1"/>
  <c r="J54" i="50" s="1"/>
  <c r="EI456" i="44"/>
  <c r="EB450" i="44"/>
  <c r="EB451" i="44" s="1"/>
  <c r="EB457" i="44" s="1"/>
  <c r="EB453" i="44"/>
  <c r="EB454" i="44" s="1"/>
  <c r="EI450" i="44"/>
  <c r="EI451" i="44" s="1"/>
  <c r="S37" i="9"/>
  <c r="DY457" i="44"/>
  <c r="Z53" i="26"/>
  <c r="X53" i="26"/>
  <c r="N53" i="26"/>
  <c r="AL51" i="26"/>
  <c r="AK51" i="26"/>
  <c r="AI51" i="26"/>
  <c r="AH51" i="26"/>
  <c r="AG51" i="26"/>
  <c r="AF51" i="26"/>
  <c r="AD51" i="26"/>
  <c r="R11" i="26"/>
  <c r="R10" i="26"/>
  <c r="R35" i="26"/>
  <c r="R44" i="26"/>
  <c r="R43" i="26"/>
  <c r="R42" i="26"/>
  <c r="R51" i="26"/>
  <c r="FH457" i="44" l="1"/>
  <c r="EX457" i="44"/>
  <c r="EM457" i="44"/>
  <c r="FA457" i="44"/>
  <c r="EC457" i="44"/>
  <c r="EL457" i="44"/>
  <c r="EH457" i="44"/>
  <c r="EF457" i="44"/>
  <c r="EV457" i="44"/>
  <c r="EJ457" i="44"/>
  <c r="DX457" i="44"/>
  <c r="EK457" i="44"/>
  <c r="EE457" i="44"/>
  <c r="EI457" i="44"/>
  <c r="K51" i="26"/>
  <c r="M51" i="26"/>
  <c r="N51" i="26"/>
  <c r="N7" i="26"/>
  <c r="F46" i="26"/>
  <c r="AN46" i="26" s="1"/>
  <c r="AP46" i="26" s="1"/>
  <c r="AB51" i="26"/>
  <c r="AA51" i="26"/>
  <c r="Z51" i="26"/>
  <c r="X51" i="26"/>
  <c r="AE50" i="26"/>
  <c r="Z50" i="26"/>
  <c r="Y50" i="26"/>
  <c r="W50" i="26"/>
  <c r="V50" i="26"/>
  <c r="U50" i="26"/>
  <c r="T50" i="26"/>
  <c r="S50" i="26"/>
  <c r="R50" i="26"/>
  <c r="Q50" i="26"/>
  <c r="P50" i="26"/>
  <c r="O50" i="26"/>
  <c r="M50" i="26"/>
  <c r="L50" i="26"/>
  <c r="K50" i="26"/>
  <c r="J50" i="26"/>
  <c r="I50" i="26"/>
  <c r="H50" i="26"/>
  <c r="AB44" i="26"/>
  <c r="AA44" i="26"/>
  <c r="AN42" i="26"/>
  <c r="AE42" i="26"/>
  <c r="V42" i="26"/>
  <c r="U42" i="26"/>
  <c r="T42" i="26"/>
  <c r="S42" i="26"/>
  <c r="AB43" i="26"/>
  <c r="AA43" i="26"/>
  <c r="AB7" i="26"/>
  <c r="AA7" i="26"/>
  <c r="I41" i="26"/>
  <c r="AE7" i="26"/>
  <c r="X35" i="26"/>
  <c r="Z35" i="26"/>
  <c r="Y35" i="26"/>
  <c r="W34" i="26"/>
  <c r="V34" i="26"/>
  <c r="U34" i="26"/>
  <c r="T34" i="26"/>
  <c r="R34" i="26"/>
  <c r="H34" i="26"/>
  <c r="M17" i="26"/>
  <c r="L17" i="26"/>
  <c r="AN18" i="26"/>
  <c r="AP18" i="26" s="1"/>
  <c r="AN17" i="26"/>
  <c r="AN16" i="26"/>
  <c r="AP16" i="26" s="1"/>
  <c r="AN15" i="26"/>
  <c r="AP15" i="26" s="1"/>
  <c r="AN14" i="26"/>
  <c r="AP14" i="26" s="1"/>
  <c r="AN13" i="26"/>
  <c r="AP13" i="26" s="1"/>
  <c r="AN12" i="26"/>
  <c r="AP12" i="26" s="1"/>
  <c r="AN11" i="26"/>
  <c r="AN10" i="26"/>
  <c r="AN9" i="26"/>
  <c r="AP9" i="26" s="1"/>
  <c r="AN54" i="26"/>
  <c r="AP54" i="26" s="1"/>
  <c r="AN53" i="26"/>
  <c r="AP53" i="26" s="1"/>
  <c r="E69" i="26" s="1"/>
  <c r="I69" i="26" s="1"/>
  <c r="AN52" i="26"/>
  <c r="AP52" i="26" s="1"/>
  <c r="AN51" i="26"/>
  <c r="AN50" i="26"/>
  <c r="AN48" i="26"/>
  <c r="AP48" i="26" s="1"/>
  <c r="AN47" i="26"/>
  <c r="AP47" i="26" s="1"/>
  <c r="AN45" i="26"/>
  <c r="AP45" i="26" s="1"/>
  <c r="AN44" i="26"/>
  <c r="AN43" i="26"/>
  <c r="AN41" i="26"/>
  <c r="AN40" i="26"/>
  <c r="AP40" i="26" s="1"/>
  <c r="AN39" i="26"/>
  <c r="AP39" i="26" s="1"/>
  <c r="AN38" i="26"/>
  <c r="AP38" i="26" s="1"/>
  <c r="AN37" i="26"/>
  <c r="AP37" i="26" s="1"/>
  <c r="AN36" i="26"/>
  <c r="AP36" i="26" s="1"/>
  <c r="AN35" i="26"/>
  <c r="AN34" i="26"/>
  <c r="AN33" i="26"/>
  <c r="AP33" i="26" s="1"/>
  <c r="AN32" i="26"/>
  <c r="AP32" i="26" s="1"/>
  <c r="AN31" i="26"/>
  <c r="AP31" i="26" s="1"/>
  <c r="AN30" i="26"/>
  <c r="AN29" i="26"/>
  <c r="AP29" i="26" s="1"/>
  <c r="AN28" i="26"/>
  <c r="AN27" i="26"/>
  <c r="AN26" i="26"/>
  <c r="AP26" i="26" s="1"/>
  <c r="AN25" i="26"/>
  <c r="AP25" i="26" s="1"/>
  <c r="AN24" i="26"/>
  <c r="AP24" i="26" s="1"/>
  <c r="AN23" i="26"/>
  <c r="AP23" i="26" s="1"/>
  <c r="AN22" i="26"/>
  <c r="AP22" i="26" s="1"/>
  <c r="AN21" i="26"/>
  <c r="AP21" i="26" s="1"/>
  <c r="AN20" i="26"/>
  <c r="AP20" i="26" s="1"/>
  <c r="AN19" i="26"/>
  <c r="AP19" i="26" s="1"/>
  <c r="AN7" i="26"/>
  <c r="AL7" i="26"/>
  <c r="AK7" i="26"/>
  <c r="R30" i="26"/>
  <c r="R28" i="26"/>
  <c r="R27" i="26"/>
  <c r="K28" i="26"/>
  <c r="J28" i="26"/>
  <c r="K27" i="26"/>
  <c r="J27" i="26"/>
  <c r="X30" i="26"/>
  <c r="X11" i="26"/>
  <c r="X7" i="26"/>
  <c r="Z30" i="26"/>
  <c r="V28" i="26"/>
  <c r="U28" i="26"/>
  <c r="T28" i="26"/>
  <c r="S28" i="26"/>
  <c r="V27" i="26"/>
  <c r="U27" i="26"/>
  <c r="T27" i="26"/>
  <c r="S27" i="26"/>
  <c r="AL27" i="26"/>
  <c r="AK27" i="26"/>
  <c r="Z11" i="26"/>
  <c r="Y10" i="26"/>
  <c r="W10" i="26"/>
  <c r="V10" i="26"/>
  <c r="U10" i="26"/>
  <c r="O10" i="26"/>
  <c r="O7" i="26"/>
  <c r="P10" i="26"/>
  <c r="AI7" i="26"/>
  <c r="AH7" i="26"/>
  <c r="AG7" i="26"/>
  <c r="AF7" i="26"/>
  <c r="AD7" i="26"/>
  <c r="Z7" i="26"/>
  <c r="Y7" i="26"/>
  <c r="W7" i="26"/>
  <c r="V7" i="26"/>
  <c r="U7" i="26"/>
  <c r="T7" i="26"/>
  <c r="S7" i="26"/>
  <c r="R7" i="26"/>
  <c r="Q7" i="26"/>
  <c r="P7" i="26"/>
  <c r="M7" i="26"/>
  <c r="L7" i="26"/>
  <c r="K7" i="26"/>
  <c r="J7" i="26"/>
  <c r="H7" i="26"/>
  <c r="I7" i="26"/>
  <c r="AZ12" i="21"/>
  <c r="AZ13" i="21"/>
  <c r="AZ14" i="21"/>
  <c r="AZ11" i="21"/>
  <c r="AZ23" i="21"/>
  <c r="AZ24" i="21"/>
  <c r="E65" i="26" l="1"/>
  <c r="I65" i="26" s="1"/>
  <c r="E72" i="26"/>
  <c r="H65" i="26"/>
  <c r="F69" i="26"/>
  <c r="G69" i="26"/>
  <c r="H69" i="26"/>
  <c r="AP51" i="26"/>
  <c r="E68" i="26" s="1"/>
  <c r="AP34" i="26"/>
  <c r="AP44" i="26"/>
  <c r="AP42" i="26"/>
  <c r="AP50" i="26"/>
  <c r="E67" i="26" s="1"/>
  <c r="AP11" i="26"/>
  <c r="AP41" i="26"/>
  <c r="AP28" i="26"/>
  <c r="AP35" i="26"/>
  <c r="AP17" i="26"/>
  <c r="AP43" i="26"/>
  <c r="AP27" i="26"/>
  <c r="AP30" i="26"/>
  <c r="AP10" i="26"/>
  <c r="AT22" i="21"/>
  <c r="AS22" i="21"/>
  <c r="AJ22" i="21"/>
  <c r="AI22" i="21"/>
  <c r="AH22" i="21"/>
  <c r="AG22" i="21"/>
  <c r="AF22" i="21"/>
  <c r="AE22" i="21"/>
  <c r="V22" i="21"/>
  <c r="AA22" i="21" s="1"/>
  <c r="R22" i="21"/>
  <c r="O22" i="21"/>
  <c r="N22" i="21"/>
  <c r="M22" i="21"/>
  <c r="AT21" i="21"/>
  <c r="AS21" i="21"/>
  <c r="AJ21" i="21"/>
  <c r="AI21" i="21"/>
  <c r="AH21" i="21"/>
  <c r="AG21" i="21"/>
  <c r="AF21" i="21"/>
  <c r="AE21" i="21"/>
  <c r="V21" i="21"/>
  <c r="AA21" i="21" s="1"/>
  <c r="R21" i="21"/>
  <c r="O21" i="21"/>
  <c r="N21" i="21"/>
  <c r="M21" i="21"/>
  <c r="AT20" i="21"/>
  <c r="AS20" i="21"/>
  <c r="AJ20" i="21"/>
  <c r="AI20" i="21"/>
  <c r="AH20" i="21"/>
  <c r="AG20" i="21"/>
  <c r="AF20" i="21"/>
  <c r="AE20" i="21"/>
  <c r="V20" i="21"/>
  <c r="Y20" i="21" s="1"/>
  <c r="R20" i="21"/>
  <c r="O20" i="21"/>
  <c r="N20" i="21"/>
  <c r="M20" i="21"/>
  <c r="AT19" i="21"/>
  <c r="AS19" i="21"/>
  <c r="AJ19" i="21"/>
  <c r="AI19" i="21"/>
  <c r="AH19" i="21"/>
  <c r="AG19" i="21"/>
  <c r="AF19" i="21"/>
  <c r="V19" i="21"/>
  <c r="O19" i="21"/>
  <c r="N19" i="21"/>
  <c r="AT10" i="21"/>
  <c r="AS10" i="21"/>
  <c r="AJ10" i="21"/>
  <c r="AI10" i="21"/>
  <c r="AH10" i="21"/>
  <c r="AG10" i="21"/>
  <c r="AF10" i="21"/>
  <c r="AE10" i="21"/>
  <c r="V10" i="21"/>
  <c r="AA10" i="21" s="1"/>
  <c r="R10" i="21"/>
  <c r="O10" i="21"/>
  <c r="N10" i="21"/>
  <c r="AT8" i="21"/>
  <c r="AS8" i="21"/>
  <c r="AJ8" i="21"/>
  <c r="AI8" i="21"/>
  <c r="AH8" i="21"/>
  <c r="AG8" i="21"/>
  <c r="AF8" i="21"/>
  <c r="AE8" i="21"/>
  <c r="V8" i="21"/>
  <c r="Z8" i="21" s="1"/>
  <c r="R8" i="21"/>
  <c r="O8" i="21"/>
  <c r="N8" i="21"/>
  <c r="Y19" i="21" l="1"/>
  <c r="AX85" i="31"/>
  <c r="J68" i="26"/>
  <c r="I68" i="26"/>
  <c r="G65" i="26"/>
  <c r="F65" i="26"/>
  <c r="J72" i="26"/>
  <c r="F72" i="26"/>
  <c r="J67" i="26"/>
  <c r="E71" i="26"/>
  <c r="I67" i="26"/>
  <c r="E63" i="26"/>
  <c r="E64" i="26"/>
  <c r="F67" i="26"/>
  <c r="G67" i="26"/>
  <c r="H67" i="26"/>
  <c r="F68" i="26"/>
  <c r="H68" i="26"/>
  <c r="G68" i="26"/>
  <c r="AP60" i="26"/>
  <c r="AK21" i="21"/>
  <c r="AK22" i="21"/>
  <c r="AK19" i="21"/>
  <c r="AK20" i="21"/>
  <c r="AL20" i="21" s="1"/>
  <c r="AM20" i="21" s="1"/>
  <c r="AK8" i="21"/>
  <c r="Y21" i="21"/>
  <c r="Z20" i="21"/>
  <c r="Z21" i="21"/>
  <c r="AA20" i="21"/>
  <c r="Y22" i="21"/>
  <c r="Z22" i="21"/>
  <c r="AK10" i="21"/>
  <c r="Y8" i="21"/>
  <c r="Y10" i="21"/>
  <c r="Z10" i="21"/>
  <c r="AQ10" i="21" s="1"/>
  <c r="AA8" i="21"/>
  <c r="AU20" i="21" l="1"/>
  <c r="AW20" i="21"/>
  <c r="AL21" i="21"/>
  <c r="AM21" i="21" s="1"/>
  <c r="AZ21" i="21" s="1"/>
  <c r="AL22" i="21"/>
  <c r="AM22" i="21" s="1"/>
  <c r="H63" i="26"/>
  <c r="I63" i="26"/>
  <c r="J63" i="26"/>
  <c r="H64" i="26"/>
  <c r="I64" i="26"/>
  <c r="J64" i="26"/>
  <c r="J71" i="26"/>
  <c r="F71" i="26"/>
  <c r="G63" i="26"/>
  <c r="F63" i="26"/>
  <c r="F64" i="26"/>
  <c r="G64" i="26"/>
  <c r="AQ20" i="21"/>
  <c r="AR20" i="21" s="1"/>
  <c r="AV21" i="21"/>
  <c r="AV20" i="21"/>
  <c r="AZ20" i="21"/>
  <c r="AL8" i="21"/>
  <c r="AM8" i="21" s="1"/>
  <c r="AW8" i="21" s="1"/>
  <c r="AM19" i="21"/>
  <c r="AO19" i="21" s="1"/>
  <c r="AQ21" i="21"/>
  <c r="AL10" i="21"/>
  <c r="AM10" i="21" s="1"/>
  <c r="AW10" i="21" s="1"/>
  <c r="AQ19" i="21"/>
  <c r="AN20" i="21"/>
  <c r="AQ22" i="21"/>
  <c r="AO20" i="21"/>
  <c r="AP20" i="21" s="1"/>
  <c r="AQ8" i="21"/>
  <c r="A8" i="9"/>
  <c r="AT24" i="21"/>
  <c r="AS24" i="21"/>
  <c r="AT23" i="21"/>
  <c r="AS23" i="21"/>
  <c r="AT18" i="21"/>
  <c r="AS18" i="21"/>
  <c r="AT17" i="21"/>
  <c r="AS17" i="21"/>
  <c r="AT16" i="21"/>
  <c r="AS16" i="21"/>
  <c r="AT15" i="21"/>
  <c r="AS15" i="21"/>
  <c r="AT14" i="21"/>
  <c r="AS14" i="21"/>
  <c r="AT13" i="21"/>
  <c r="AS13" i="21"/>
  <c r="AT12" i="21"/>
  <c r="AS12" i="21"/>
  <c r="AT11" i="21"/>
  <c r="AS11" i="21"/>
  <c r="AT9" i="21"/>
  <c r="AS9" i="21"/>
  <c r="AT7" i="21"/>
  <c r="AS7" i="21"/>
  <c r="A9" i="9" l="1"/>
  <c r="A10" i="9" s="1"/>
  <c r="A11" i="9" s="1"/>
  <c r="A12" i="9" s="1"/>
  <c r="A13" i="9" s="1"/>
  <c r="A14" i="9" s="1"/>
  <c r="A15" i="9" s="1"/>
  <c r="A16" i="9" s="1"/>
  <c r="A17" i="9" s="1"/>
  <c r="A18" i="9" s="1"/>
  <c r="A19" i="9" s="1"/>
  <c r="A20" i="9" s="1"/>
  <c r="A21" i="9" s="1"/>
  <c r="A22" i="9" s="1"/>
  <c r="A23" i="9" s="1"/>
  <c r="A25" i="9" s="1"/>
  <c r="A127" i="9"/>
  <c r="A128" i="9" s="1"/>
  <c r="A129" i="9" s="1"/>
  <c r="A130" i="9" s="1"/>
  <c r="A131" i="9" s="1"/>
  <c r="A132" i="9" s="1"/>
  <c r="A133" i="9" s="1"/>
  <c r="AR21" i="21"/>
  <c r="AU22" i="21"/>
  <c r="AW22" i="21"/>
  <c r="AU19" i="21"/>
  <c r="AW19" i="21"/>
  <c r="AU21" i="21"/>
  <c r="AW21" i="21"/>
  <c r="AN21" i="21"/>
  <c r="AO21" i="21"/>
  <c r="AP21" i="21" s="1"/>
  <c r="AN19" i="21"/>
  <c r="AZ8" i="21"/>
  <c r="AU8" i="21"/>
  <c r="AZ10" i="21"/>
  <c r="AU10" i="21"/>
  <c r="AV19" i="21"/>
  <c r="AZ19" i="21"/>
  <c r="AO22" i="21"/>
  <c r="AP22" i="21" s="1"/>
  <c r="AZ22" i="21"/>
  <c r="AN22" i="21"/>
  <c r="AR19" i="21"/>
  <c r="AP19" i="21"/>
  <c r="AR22" i="21"/>
  <c r="AV22" i="21"/>
  <c r="AV8" i="21"/>
  <c r="AN10" i="21"/>
  <c r="AV10" i="21"/>
  <c r="AR10" i="21"/>
  <c r="AO10" i="21"/>
  <c r="AP10" i="21" s="1"/>
  <c r="AR8" i="21"/>
  <c r="AN8" i="21"/>
  <c r="AO8" i="21"/>
  <c r="AP8" i="21" s="1"/>
  <c r="A26" i="9" l="1"/>
  <c r="A27" i="9" s="1"/>
  <c r="A28" i="9" s="1"/>
  <c r="A29" i="9" s="1"/>
  <c r="A30" i="9" s="1"/>
  <c r="A31" i="9" s="1"/>
  <c r="A32" i="9" s="1"/>
  <c r="A33" i="9" s="1"/>
  <c r="A34" i="9" s="1"/>
  <c r="A35" i="9" s="1"/>
  <c r="A36" i="9" s="1"/>
  <c r="A37" i="9" s="1"/>
  <c r="A38" i="9" s="1"/>
  <c r="A39" i="9" s="1"/>
  <c r="A40" i="9" s="1"/>
  <c r="A41" i="9" s="1"/>
  <c r="A43" i="9" s="1"/>
  <c r="A44" i="9" s="1"/>
  <c r="A45" i="9" s="1"/>
  <c r="A46" i="9" s="1"/>
  <c r="A47" i="9" s="1"/>
  <c r="A48" i="9" s="1"/>
  <c r="A49" i="9" s="1"/>
  <c r="A50" i="9" s="1"/>
  <c r="A51" i="9" s="1"/>
  <c r="A52" i="9" s="1"/>
  <c r="A53" i="9" s="1"/>
  <c r="A55" i="9" s="1"/>
  <c r="A56" i="9" s="1"/>
  <c r="A57" i="9" s="1"/>
  <c r="A58" i="9" s="1"/>
  <c r="A59" i="9" s="1"/>
  <c r="A60" i="9" s="1"/>
  <c r="A61" i="9" s="1"/>
  <c r="A62" i="9" s="1"/>
  <c r="A63" i="9" s="1"/>
  <c r="A64" i="9" s="1"/>
  <c r="A65" i="9" s="1"/>
  <c r="A66" i="9" s="1"/>
  <c r="A67" i="9" s="1"/>
  <c r="A68" i="9" s="1"/>
  <c r="A69" i="9" s="1"/>
  <c r="A70" i="9" s="1"/>
  <c r="A71" i="9" s="1"/>
  <c r="A73" i="9" s="1"/>
  <c r="A74" i="9" s="1"/>
  <c r="A75" i="9" s="1"/>
  <c r="A76" i="9" s="1"/>
  <c r="A77" i="9" s="1"/>
  <c r="A78" i="9" s="1"/>
  <c r="A79" i="9" s="1"/>
  <c r="A80" i="9" s="1"/>
  <c r="A81" i="9" s="1"/>
  <c r="A82" i="9" s="1"/>
  <c r="AE31" i="21"/>
  <c r="AE24" i="21"/>
  <c r="AV24" i="21" s="1"/>
  <c r="AE23" i="21"/>
  <c r="AV23" i="21" s="1"/>
  <c r="AE30" i="21"/>
  <c r="AE29" i="21"/>
  <c r="AE28" i="21"/>
  <c r="AB27" i="21"/>
  <c r="AB26" i="21"/>
  <c r="AB25" i="21"/>
  <c r="AE18" i="21"/>
  <c r="AE17" i="21"/>
  <c r="AE16" i="21"/>
  <c r="AE15" i="21"/>
  <c r="AB14" i="21"/>
  <c r="AB13" i="21"/>
  <c r="AE13" i="21" s="1"/>
  <c r="AB12" i="21"/>
  <c r="AB11" i="21"/>
  <c r="AB9" i="21"/>
  <c r="AB7" i="21"/>
  <c r="A84" i="9" l="1"/>
  <c r="A85" i="9" s="1"/>
  <c r="A86" i="9" s="1"/>
  <c r="A87" i="9" s="1"/>
  <c r="A88" i="9" s="1"/>
  <c r="A89" i="9" s="1"/>
  <c r="AE27" i="21"/>
  <c r="AE25" i="21"/>
  <c r="AV13" i="21"/>
  <c r="AE26" i="21"/>
  <c r="AE14" i="21"/>
  <c r="AE7" i="21"/>
  <c r="AE12" i="21"/>
  <c r="AV12" i="21" s="1"/>
  <c r="AE9" i="21"/>
  <c r="AE11" i="21"/>
  <c r="AV14" i="21" l="1"/>
  <c r="AJ16" i="21"/>
  <c r="AI16" i="21"/>
  <c r="AH16" i="21"/>
  <c r="AG16" i="21"/>
  <c r="AF16" i="21"/>
  <c r="V16" i="21"/>
  <c r="Z16" i="21" s="1"/>
  <c r="R16" i="21"/>
  <c r="O16" i="21"/>
  <c r="N16" i="21"/>
  <c r="M16" i="21"/>
  <c r="A7" i="21"/>
  <c r="AJ30" i="21"/>
  <c r="AI30" i="21"/>
  <c r="AH30" i="21"/>
  <c r="AG30" i="21"/>
  <c r="AF30" i="21"/>
  <c r="V30" i="21"/>
  <c r="AA30" i="21" s="1"/>
  <c r="R30" i="21"/>
  <c r="O30" i="21"/>
  <c r="M30" i="21"/>
  <c r="AJ29" i="21"/>
  <c r="AI29" i="21"/>
  <c r="AH29" i="21"/>
  <c r="AG29" i="21"/>
  <c r="AF29" i="21"/>
  <c r="V29" i="21"/>
  <c r="Y29" i="21" s="1"/>
  <c r="R29" i="21"/>
  <c r="O29" i="21"/>
  <c r="M29" i="21"/>
  <c r="AJ28" i="21"/>
  <c r="AI28" i="21"/>
  <c r="AH28" i="21"/>
  <c r="AG28" i="21"/>
  <c r="AF28" i="21"/>
  <c r="V28" i="21"/>
  <c r="AA28" i="21" s="1"/>
  <c r="R28" i="21"/>
  <c r="O28" i="21"/>
  <c r="M28" i="21"/>
  <c r="N24" i="21"/>
  <c r="M24" i="21"/>
  <c r="N23" i="21"/>
  <c r="M23" i="21"/>
  <c r="M27" i="21"/>
  <c r="M26" i="21"/>
  <c r="M25" i="21"/>
  <c r="N18" i="21"/>
  <c r="M18" i="21"/>
  <c r="N17" i="21"/>
  <c r="M17" i="21"/>
  <c r="N15" i="21"/>
  <c r="M15" i="21"/>
  <c r="N14" i="21"/>
  <c r="M14" i="21"/>
  <c r="AQ14" i="21" s="1"/>
  <c r="AR14" i="21" s="1"/>
  <c r="N13" i="21"/>
  <c r="M13" i="21"/>
  <c r="N12" i="21"/>
  <c r="M12" i="21"/>
  <c r="N11" i="21"/>
  <c r="M11" i="21"/>
  <c r="N9" i="21"/>
  <c r="M9" i="21"/>
  <c r="N7" i="21"/>
  <c r="M7" i="21"/>
  <c r="AJ27" i="21"/>
  <c r="AI27" i="21"/>
  <c r="AH27" i="21"/>
  <c r="AG27" i="21"/>
  <c r="AF27" i="21"/>
  <c r="V27" i="21"/>
  <c r="AA27" i="21" s="1"/>
  <c r="R27" i="21"/>
  <c r="O27" i="21"/>
  <c r="AJ26" i="21"/>
  <c r="AI26" i="21"/>
  <c r="AH26" i="21"/>
  <c r="AG26" i="21"/>
  <c r="AF26" i="21"/>
  <c r="V26" i="21"/>
  <c r="Y26" i="21" s="1"/>
  <c r="R26" i="21"/>
  <c r="O26" i="21"/>
  <c r="AJ18" i="21"/>
  <c r="AI18" i="21"/>
  <c r="AH18" i="21"/>
  <c r="AG18" i="21"/>
  <c r="AF18" i="21"/>
  <c r="V18" i="21"/>
  <c r="Y18" i="21" s="1"/>
  <c r="R18" i="21"/>
  <c r="O18" i="21"/>
  <c r="AJ12" i="21"/>
  <c r="AI12" i="21"/>
  <c r="AH12" i="21"/>
  <c r="AG12" i="21"/>
  <c r="AF12" i="21"/>
  <c r="V12" i="21"/>
  <c r="Y12" i="21" s="1"/>
  <c r="R12" i="21"/>
  <c r="O12" i="21"/>
  <c r="AJ11" i="21"/>
  <c r="AI11" i="21"/>
  <c r="AH11" i="21"/>
  <c r="AG11" i="21"/>
  <c r="AF11" i="21"/>
  <c r="V11" i="21"/>
  <c r="Y11" i="21" s="1"/>
  <c r="R11" i="21"/>
  <c r="O11" i="21"/>
  <c r="AJ9" i="21"/>
  <c r="AI9" i="21"/>
  <c r="AH9" i="21"/>
  <c r="AG9" i="21"/>
  <c r="AF9" i="21"/>
  <c r="V9" i="21"/>
  <c r="Z9" i="21" s="1"/>
  <c r="R9" i="21"/>
  <c r="O9" i="21"/>
  <c r="AJ7" i="21"/>
  <c r="AI7" i="21"/>
  <c r="AH7" i="21"/>
  <c r="AG7" i="21"/>
  <c r="AF7" i="21"/>
  <c r="V7" i="21"/>
  <c r="R7" i="21"/>
  <c r="O7" i="21"/>
  <c r="AJ24" i="21"/>
  <c r="AI24" i="21"/>
  <c r="AH24" i="21"/>
  <c r="AG24" i="21"/>
  <c r="AF24" i="21"/>
  <c r="V24" i="21"/>
  <c r="Y24" i="21" s="1"/>
  <c r="R24" i="21"/>
  <c r="O24" i="21"/>
  <c r="AJ23" i="21"/>
  <c r="AI23" i="21"/>
  <c r="AH23" i="21"/>
  <c r="AG23" i="21"/>
  <c r="AF23" i="21"/>
  <c r="V23" i="21"/>
  <c r="Y23" i="21" s="1"/>
  <c r="R23" i="21"/>
  <c r="O23" i="21"/>
  <c r="AJ25" i="21"/>
  <c r="AI25" i="21"/>
  <c r="AH25" i="21"/>
  <c r="AG25" i="21"/>
  <c r="AF25" i="21"/>
  <c r="V25" i="21"/>
  <c r="Y25" i="21" s="1"/>
  <c r="R25" i="21"/>
  <c r="O25" i="21"/>
  <c r="AJ17" i="21"/>
  <c r="AI17" i="21"/>
  <c r="AH17" i="21"/>
  <c r="AG17" i="21"/>
  <c r="AF17" i="21"/>
  <c r="V17" i="21"/>
  <c r="Y17" i="21" s="1"/>
  <c r="R17" i="21"/>
  <c r="O17" i="21"/>
  <c r="AJ15" i="21"/>
  <c r="AI15" i="21"/>
  <c r="AH15" i="21"/>
  <c r="AG15" i="21"/>
  <c r="AF15" i="21"/>
  <c r="V15" i="21"/>
  <c r="Z15" i="21" s="1"/>
  <c r="R15" i="21"/>
  <c r="O15" i="21"/>
  <c r="A9" i="21" l="1"/>
  <c r="A11" i="21" s="1"/>
  <c r="A12" i="21" s="1"/>
  <c r="A13" i="21" s="1"/>
  <c r="A14" i="21" s="1"/>
  <c r="A15" i="21" s="1"/>
  <c r="A16" i="21" s="1"/>
  <c r="A17" i="21" s="1"/>
  <c r="A18" i="21" s="1"/>
  <c r="Y7" i="21"/>
  <c r="AQ13" i="21"/>
  <c r="AR13" i="21" s="1"/>
  <c r="AO13" i="21"/>
  <c r="AP13" i="21" s="1"/>
  <c r="AO14" i="21"/>
  <c r="AP14" i="21" s="1"/>
  <c r="N30" i="21"/>
  <c r="N28" i="21"/>
  <c r="AK16" i="21"/>
  <c r="N25" i="21"/>
  <c r="N26" i="21"/>
  <c r="N27" i="21"/>
  <c r="AA16" i="21"/>
  <c r="Y16" i="21"/>
  <c r="AK29" i="21"/>
  <c r="AL29" i="21" s="1"/>
  <c r="AM29" i="21" s="1"/>
  <c r="AW29" i="21" s="1"/>
  <c r="AK26" i="21"/>
  <c r="AL26" i="21" s="1"/>
  <c r="AM26" i="21" s="1"/>
  <c r="AW26" i="21" s="1"/>
  <c r="Z29" i="21"/>
  <c r="AK28" i="21"/>
  <c r="AA29" i="21"/>
  <c r="AK30" i="21"/>
  <c r="Y30" i="21"/>
  <c r="Z30" i="21"/>
  <c r="N29" i="21"/>
  <c r="Y28" i="21"/>
  <c r="Z28" i="21"/>
  <c r="AA26" i="21"/>
  <c r="AK27" i="21"/>
  <c r="Z26" i="21"/>
  <c r="Y27" i="21"/>
  <c r="AK12" i="21"/>
  <c r="AL12" i="21" s="1"/>
  <c r="AN12" i="21" s="1"/>
  <c r="Z27" i="21"/>
  <c r="AK18" i="21"/>
  <c r="AL18" i="21" s="1"/>
  <c r="AM18" i="21" s="1"/>
  <c r="AW18" i="21" s="1"/>
  <c r="AK17" i="21"/>
  <c r="AL17" i="21" s="1"/>
  <c r="AM17" i="21" s="1"/>
  <c r="AW17" i="21" s="1"/>
  <c r="AK25" i="21"/>
  <c r="AL25" i="21" s="1"/>
  <c r="AM25" i="21" s="1"/>
  <c r="AW25" i="21" s="1"/>
  <c r="AK23" i="21"/>
  <c r="AL23" i="21" s="1"/>
  <c r="AN23" i="21" s="1"/>
  <c r="AK24" i="21"/>
  <c r="AL24" i="21" s="1"/>
  <c r="AN24" i="21" s="1"/>
  <c r="AA11" i="21"/>
  <c r="AA18" i="21"/>
  <c r="Z18" i="21"/>
  <c r="Z11" i="21"/>
  <c r="AK11" i="21"/>
  <c r="AL11" i="21" s="1"/>
  <c r="Z12" i="21"/>
  <c r="AA12" i="21"/>
  <c r="AK9" i="21"/>
  <c r="Z7" i="21"/>
  <c r="AA7" i="21"/>
  <c r="AK7" i="21"/>
  <c r="AA9" i="21"/>
  <c r="AQ9" i="21" s="1"/>
  <c r="Y9" i="21"/>
  <c r="AA23" i="21"/>
  <c r="AA17" i="21"/>
  <c r="Z17" i="21"/>
  <c r="Z23" i="21"/>
  <c r="AK15" i="21"/>
  <c r="Z25" i="21"/>
  <c r="Z24" i="21"/>
  <c r="AA15" i="21"/>
  <c r="AA25" i="21"/>
  <c r="AA24" i="21"/>
  <c r="Y15" i="21"/>
  <c r="AZ18" i="21" l="1"/>
  <c r="AU18" i="21"/>
  <c r="AZ25" i="21"/>
  <c r="AU25" i="21"/>
  <c r="AZ17" i="21"/>
  <c r="AU17" i="21"/>
  <c r="AZ26" i="21"/>
  <c r="AU26" i="21"/>
  <c r="AZ29" i="21"/>
  <c r="AU29" i="21"/>
  <c r="A25" i="21"/>
  <c r="A26" i="21" s="1"/>
  <c r="A27" i="21" s="1"/>
  <c r="A28" i="21" s="1"/>
  <c r="A29" i="21" s="1"/>
  <c r="A30" i="21" s="1"/>
  <c r="A23" i="21" s="1"/>
  <c r="A24" i="21" s="1"/>
  <c r="A31" i="21" s="1"/>
  <c r="A19" i="21"/>
  <c r="A20" i="21" s="1"/>
  <c r="A21" i="21" s="1"/>
  <c r="A22" i="21" s="1"/>
  <c r="AL7" i="21"/>
  <c r="AM7" i="21" s="1"/>
  <c r="AW7" i="21" s="1"/>
  <c r="AL16" i="21"/>
  <c r="AM16" i="21" s="1"/>
  <c r="AW16" i="21" s="1"/>
  <c r="AQ12" i="21"/>
  <c r="AR12" i="21" s="1"/>
  <c r="AO12" i="21"/>
  <c r="AP12" i="21" s="1"/>
  <c r="AQ11" i="21"/>
  <c r="AO11" i="21"/>
  <c r="AP11" i="21" s="1"/>
  <c r="AO17" i="21"/>
  <c r="AP17" i="21" s="1"/>
  <c r="AQ17" i="21"/>
  <c r="AO18" i="21"/>
  <c r="AP18" i="21" s="1"/>
  <c r="AQ16" i="21"/>
  <c r="AQ18" i="21"/>
  <c r="AQ15" i="21"/>
  <c r="AQ23" i="21"/>
  <c r="AR23" i="21" s="1"/>
  <c r="AO23" i="21"/>
  <c r="AP23" i="21" s="1"/>
  <c r="AQ28" i="21"/>
  <c r="AQ26" i="21"/>
  <c r="AS26" i="21"/>
  <c r="AT26" i="21" s="1"/>
  <c r="AO24" i="21"/>
  <c r="AP24" i="21" s="1"/>
  <c r="AQ24" i="21"/>
  <c r="AR24" i="21" s="1"/>
  <c r="AQ27" i="21"/>
  <c r="AQ29" i="21"/>
  <c r="AO29" i="21"/>
  <c r="AP29" i="21" s="1"/>
  <c r="AQ30" i="21"/>
  <c r="AQ25" i="21"/>
  <c r="AQ7" i="21"/>
  <c r="AL30" i="21"/>
  <c r="AM30" i="21" s="1"/>
  <c r="AW30" i="21" s="1"/>
  <c r="AL28" i="21"/>
  <c r="AM28" i="21" s="1"/>
  <c r="AW28" i="21" s="1"/>
  <c r="AL27" i="21"/>
  <c r="AM27" i="21" s="1"/>
  <c r="AW27" i="21" s="1"/>
  <c r="AL9" i="21"/>
  <c r="AM9" i="21" s="1"/>
  <c r="AW9" i="21" s="1"/>
  <c r="AL15" i="21"/>
  <c r="AM15" i="21" s="1"/>
  <c r="AW15" i="21" s="1"/>
  <c r="G31" i="21"/>
  <c r="AU7" i="21" l="1"/>
  <c r="AZ7" i="21"/>
  <c r="AZ9" i="21"/>
  <c r="AU9" i="21"/>
  <c r="AZ15" i="21"/>
  <c r="AU15" i="21"/>
  <c r="AV15" i="21"/>
  <c r="AZ28" i="21"/>
  <c r="AU28" i="21"/>
  <c r="AZ16" i="21"/>
  <c r="AU16" i="21"/>
  <c r="AZ27" i="21"/>
  <c r="AU27" i="21"/>
  <c r="AZ30" i="21"/>
  <c r="AU30" i="21"/>
  <c r="AN7" i="21"/>
  <c r="AO7" i="21"/>
  <c r="AP7" i="21" s="1"/>
  <c r="AR17" i="21"/>
  <c r="AR18" i="21"/>
  <c r="AR16" i="21"/>
  <c r="AR11" i="21"/>
  <c r="AV11" i="21"/>
  <c r="AN11" i="21"/>
  <c r="AV18" i="21"/>
  <c r="AV17" i="21"/>
  <c r="AN17" i="21"/>
  <c r="AN18" i="21"/>
  <c r="AV16" i="21"/>
  <c r="AN16" i="21"/>
  <c r="AO16" i="21"/>
  <c r="AP16" i="21" s="1"/>
  <c r="AN15" i="21"/>
  <c r="AR26" i="21"/>
  <c r="AN29" i="21"/>
  <c r="AR29" i="21"/>
  <c r="AR30" i="21"/>
  <c r="AS29" i="21"/>
  <c r="AT29" i="21" s="1"/>
  <c r="AO26" i="21"/>
  <c r="AP26" i="21" s="1"/>
  <c r="AV29" i="21"/>
  <c r="AV26" i="21"/>
  <c r="AN26" i="21"/>
  <c r="AR27" i="21"/>
  <c r="AO25" i="21"/>
  <c r="AP25" i="21" s="1"/>
  <c r="AV25" i="21"/>
  <c r="AN25" i="21"/>
  <c r="AR25" i="21"/>
  <c r="AS25" i="21"/>
  <c r="AT25" i="21" s="1"/>
  <c r="AR7" i="21"/>
  <c r="AV7" i="21"/>
  <c r="M31" i="21"/>
  <c r="BA7" i="21" l="1"/>
  <c r="BA25" i="21"/>
  <c r="AO15" i="21"/>
  <c r="AP15" i="21" s="1"/>
  <c r="AR15" i="21"/>
  <c r="AV28" i="21"/>
  <c r="AS28" i="21"/>
  <c r="AT28" i="21" s="1"/>
  <c r="AO28" i="21"/>
  <c r="AP28" i="21" s="1"/>
  <c r="AN27" i="21"/>
  <c r="AN28" i="21"/>
  <c r="AV27" i="21"/>
  <c r="AS27" i="21"/>
  <c r="AT27" i="21" s="1"/>
  <c r="AO27" i="21"/>
  <c r="AP27" i="21" s="1"/>
  <c r="AR28" i="21"/>
  <c r="AV30" i="21"/>
  <c r="AO30" i="21"/>
  <c r="AP30" i="21" s="1"/>
  <c r="AS30" i="21"/>
  <c r="AT30" i="21" s="1"/>
  <c r="AN30" i="21"/>
  <c r="AO9" i="21"/>
  <c r="AP9" i="21" s="1"/>
  <c r="AV9" i="21"/>
  <c r="AR9" i="21"/>
  <c r="AN9" i="21"/>
  <c r="N31" i="21"/>
  <c r="AJ31" i="21" l="1"/>
  <c r="AI31" i="21"/>
  <c r="AH31" i="21"/>
  <c r="AG31" i="21"/>
  <c r="AF31" i="21"/>
  <c r="AK31" i="21" l="1"/>
  <c r="V31" i="21" l="1"/>
  <c r="AA31" i="21" l="1"/>
  <c r="Z31" i="21"/>
  <c r="Y31" i="21"/>
  <c r="AQ31" i="21" l="1"/>
  <c r="R31" i="21" l="1"/>
  <c r="O31" i="21"/>
  <c r="AL31" i="21" l="1"/>
  <c r="AM31" i="21" s="1"/>
  <c r="AW31" i="21" s="1"/>
  <c r="AZ31" i="21" l="1"/>
  <c r="AU31" i="21"/>
  <c r="AV31" i="21" l="1"/>
  <c r="AS31" i="21"/>
  <c r="AT31" i="21" s="1"/>
  <c r="AO31" i="21"/>
  <c r="AP31" i="21" s="1"/>
  <c r="AR31" i="21"/>
  <c r="AN31" i="21"/>
  <c r="AV33" i="21" l="1"/>
  <c r="AP206" i="39" l="1"/>
  <c r="AZ206" i="39" s="1"/>
  <c r="AR206" i="39" l="1"/>
  <c r="AS206" i="39" s="1"/>
  <c r="AX206" i="39"/>
  <c r="BC206" i="39"/>
  <c r="AQ206" i="39"/>
  <c r="AW206" i="39"/>
  <c r="AV206" i="39"/>
  <c r="N198" i="39"/>
  <c r="AP198" i="39" l="1"/>
  <c r="AZ198" i="39" s="1"/>
  <c r="AP199" i="39"/>
  <c r="AZ199" i="39" s="1"/>
  <c r="AV198" i="39" l="1"/>
  <c r="AR199" i="39"/>
  <c r="AS199" i="39" s="1"/>
  <c r="AX198" i="39"/>
  <c r="AW198" i="39"/>
  <c r="BC198" i="39"/>
  <c r="AQ198" i="39"/>
  <c r="AR198" i="39"/>
  <c r="AS198" i="39" s="1"/>
  <c r="AX199" i="39"/>
  <c r="AQ199" i="39"/>
  <c r="BC199" i="39"/>
  <c r="AV199" i="39"/>
  <c r="AW199" i="39"/>
  <c r="AP201" i="39"/>
  <c r="AZ201" i="39" s="1"/>
  <c r="AP202" i="39"/>
  <c r="AV202" i="39" s="1"/>
  <c r="AP200" i="39"/>
  <c r="AW200" i="39" s="1"/>
  <c r="AV201" i="39" l="1"/>
  <c r="AR201" i="39"/>
  <c r="AS201" i="39" s="1"/>
  <c r="AW201" i="39"/>
  <c r="AX202" i="39"/>
  <c r="AQ201" i="39"/>
  <c r="AX201" i="39"/>
  <c r="AX200" i="39"/>
  <c r="AV200" i="39"/>
  <c r="AR200" i="39"/>
  <c r="AS200" i="39" s="1"/>
  <c r="AR202" i="39"/>
  <c r="AS202" i="39" s="1"/>
  <c r="AZ202" i="39"/>
  <c r="BC200" i="39"/>
  <c r="AQ200" i="39"/>
  <c r="BC202" i="39"/>
  <c r="AZ200" i="39"/>
  <c r="AW202" i="39"/>
  <c r="AQ202" i="39"/>
  <c r="BC201" i="39"/>
  <c r="AP209" i="39"/>
  <c r="AW209" i="39" s="1"/>
  <c r="AP207" i="39"/>
  <c r="AV207" i="39" s="1"/>
  <c r="AP210" i="39"/>
  <c r="AQ210" i="39" s="1"/>
  <c r="AP208" i="39"/>
  <c r="AR208" i="39" s="1"/>
  <c r="AS208" i="39" s="1"/>
  <c r="AZ207" i="39" l="1"/>
  <c r="AX208" i="39"/>
  <c r="AR210" i="39"/>
  <c r="AS210" i="39" s="1"/>
  <c r="AQ208" i="39"/>
  <c r="BC210" i="39"/>
  <c r="AX209" i="39"/>
  <c r="AZ210" i="39"/>
  <c r="AV210" i="39"/>
  <c r="AX210" i="39"/>
  <c r="AW210" i="39"/>
  <c r="AR207" i="39"/>
  <c r="AS207" i="39" s="1"/>
  <c r="AW207" i="39"/>
  <c r="BC208" i="39"/>
  <c r="AW208" i="39"/>
  <c r="AZ208" i="39"/>
  <c r="AX207" i="39"/>
  <c r="AZ209" i="39"/>
  <c r="AQ209" i="39"/>
  <c r="AR209" i="39"/>
  <c r="AS209" i="39" s="1"/>
  <c r="AV209" i="39"/>
  <c r="AV208" i="39"/>
  <c r="BC207" i="39"/>
  <c r="AQ207" i="39"/>
  <c r="BC209" i="39"/>
  <c r="AP204" i="39"/>
  <c r="AQ204" i="39" s="1"/>
  <c r="AP203" i="39"/>
  <c r="AR203" i="39" s="1"/>
  <c r="AS203" i="39" s="1"/>
  <c r="AP205" i="39"/>
  <c r="AR205" i="39" s="1"/>
  <c r="AS205" i="39" s="1"/>
  <c r="AQ203" i="39" l="1"/>
  <c r="AZ204" i="39"/>
  <c r="BC205" i="39"/>
  <c r="AV205" i="39"/>
  <c r="AX205" i="39"/>
  <c r="N57" i="9" s="1"/>
  <c r="S57" i="9" s="1"/>
  <c r="AW203" i="39"/>
  <c r="AW204" i="39"/>
  <c r="AX203" i="39"/>
  <c r="AX204" i="39"/>
  <c r="AZ203" i="39"/>
  <c r="BC203" i="39"/>
  <c r="AV203" i="39"/>
  <c r="AV204" i="39"/>
  <c r="AZ205" i="39"/>
  <c r="X57" i="9" s="1"/>
  <c r="AC57" i="9" s="1"/>
  <c r="BC204" i="39"/>
  <c r="AQ205" i="39"/>
  <c r="AR204" i="39"/>
  <c r="AS204" i="39" s="1"/>
  <c r="AW205" i="39"/>
  <c r="AD57" i="9" l="1"/>
  <c r="AE57" i="9" s="1"/>
  <c r="AP212" i="39"/>
  <c r="BC212" i="39" s="1"/>
  <c r="AP211" i="39"/>
  <c r="BC211" i="39" s="1"/>
  <c r="AX211" i="39" l="1"/>
  <c r="AV211" i="39"/>
  <c r="AZ211" i="39"/>
  <c r="AV212" i="39"/>
  <c r="AQ212" i="39"/>
  <c r="AZ212" i="39"/>
  <c r="AX212" i="39"/>
  <c r="AR211" i="39"/>
  <c r="AS211" i="39" s="1"/>
  <c r="AQ211" i="39"/>
  <c r="AW211" i="39"/>
  <c r="AW212" i="39"/>
  <c r="AR212" i="39"/>
  <c r="AS212" i="39" s="1"/>
  <c r="X9" i="9" l="1"/>
  <c r="AC9" i="9" s="1"/>
  <c r="AD9" i="9" s="1"/>
  <c r="AZ283" i="39"/>
  <c r="N9" i="9"/>
  <c r="AX283" i="39"/>
  <c r="N60" i="9" s="1"/>
  <c r="S60" i="9" s="1"/>
  <c r="N141" i="9" l="1"/>
  <c r="S9" i="9"/>
  <c r="X141" i="9"/>
  <c r="AE9" i="9"/>
  <c r="T42" i="50"/>
  <c r="T48" i="50" s="1"/>
  <c r="T50" i="50" s="1"/>
  <c r="T52" i="50" s="1"/>
</calcChain>
</file>

<file path=xl/sharedStrings.xml><?xml version="1.0" encoding="utf-8"?>
<sst xmlns="http://schemas.openxmlformats.org/spreadsheetml/2006/main" count="11572" uniqueCount="1752">
  <si>
    <t xml:space="preserve">Assumptions and Inputs considered for MV &amp; LV cable sizing </t>
  </si>
  <si>
    <t xml:space="preserve">1) </t>
  </si>
  <si>
    <t>All MV &amp; LV cables are considered to be laid in Air / Trench with cover Cable Tray and de-rated accordingly.</t>
  </si>
  <si>
    <t xml:space="preserve">2) </t>
  </si>
  <si>
    <t>All MV &amp; LV multi-core cables are considered to be laid on touching formation and de-rated accordingly.</t>
  </si>
  <si>
    <t xml:space="preserve">3) </t>
  </si>
  <si>
    <t>All MV single core cables are considered to be laid in Trefoil Formation with 150mm spacing and de-rated accordingly.</t>
  </si>
  <si>
    <t xml:space="preserve">4) </t>
  </si>
  <si>
    <t>All LV single core cables are considered to be laid in Trefoil Formation and de-rated accordingly.</t>
  </si>
  <si>
    <t xml:space="preserve">5) </t>
  </si>
  <si>
    <t xml:space="preserve">Over all de-rating factor considered as mentioned below based on laying condition &amp; method of installation:
LV Multi core cable - 0.66
LV Single core cable - 0.9
MV Multi core cable - 0.664
MV Single core cable - 0.819
 </t>
  </si>
  <si>
    <t xml:space="preserve">6) </t>
  </si>
  <si>
    <t>The % voltage drop is limited to 3% for outgoing motor feeders , 2.5% for outgoing Power feeders and 2% to incoming feeders.</t>
  </si>
  <si>
    <t xml:space="preserve">7) </t>
  </si>
  <si>
    <t>The % voltage drop is limited to 15% for motor feeders during starting.</t>
  </si>
  <si>
    <t xml:space="preserve">8) </t>
  </si>
  <si>
    <t>For both MV &amp; LV Cable sizing all required datas are taken from reference Catalogue (KEC/RPG Make Catalogue). Further final Cable sizing/BOQ shall be updated based on final vendor data during Detail Engg. Stage.</t>
  </si>
  <si>
    <t xml:space="preserve">9) </t>
  </si>
  <si>
    <t>Desalination package both MV &amp; LV power cable has kept under hold &amp; same shall be revised after the finaliziation of scope.</t>
  </si>
  <si>
    <t xml:space="preserve">10) </t>
  </si>
  <si>
    <t xml:space="preserve">Wherever the location of load is unknown, an approximate location is assumed and % voltage drop is calculated. </t>
  </si>
  <si>
    <t xml:space="preserve">11) </t>
  </si>
  <si>
    <t>This cable sizing is done based on the "Electrical Load List, Rev-1". And same will be revised after finalization of final Loas list.</t>
  </si>
  <si>
    <t xml:space="preserve">12) </t>
  </si>
  <si>
    <t>The below mentioned pachages are part of Vendor scope, henece respective package Cable sizing / cable boq has not included.
1. Ammonia Storage area, 
2. ASU Package, 
3. Nitrogen Package, 
4. Flare area Package, 
5. Cooling tower Package.
6. ETP Package.
7. Desalination Sea Water Treatment Package.
8. Sea Water Intake system.
9. Electrolyzer Area Package.</t>
  </si>
  <si>
    <t>from ups sub db to I&amp;C instrument cable lnot considered</t>
  </si>
  <si>
    <t>Cable Tray Sections</t>
  </si>
  <si>
    <t>A1</t>
  </si>
  <si>
    <t>A</t>
  </si>
  <si>
    <t>B</t>
  </si>
  <si>
    <t>B1</t>
  </si>
  <si>
    <t>C</t>
  </si>
  <si>
    <t>D</t>
  </si>
  <si>
    <t>D1</t>
  </si>
  <si>
    <t>D2</t>
  </si>
  <si>
    <t>D3</t>
  </si>
  <si>
    <t>E</t>
  </si>
  <si>
    <t>E0</t>
  </si>
  <si>
    <t>E1</t>
  </si>
  <si>
    <t>E2</t>
  </si>
  <si>
    <t>E3</t>
  </si>
  <si>
    <t>E4</t>
  </si>
  <si>
    <t>E5</t>
  </si>
  <si>
    <t>E6</t>
  </si>
  <si>
    <t>F</t>
  </si>
  <si>
    <t>G</t>
  </si>
  <si>
    <t>G1</t>
  </si>
  <si>
    <t>G2</t>
  </si>
  <si>
    <t>G3</t>
  </si>
  <si>
    <t>G4</t>
  </si>
  <si>
    <t>H</t>
  </si>
  <si>
    <t>I</t>
  </si>
  <si>
    <t>J</t>
  </si>
  <si>
    <t>J1</t>
  </si>
  <si>
    <t>J2</t>
  </si>
  <si>
    <t>J3</t>
  </si>
  <si>
    <t>K</t>
  </si>
  <si>
    <t>L</t>
  </si>
  <si>
    <t>L1</t>
  </si>
  <si>
    <t>L2</t>
  </si>
  <si>
    <t>L3</t>
  </si>
  <si>
    <t>L4</t>
  </si>
  <si>
    <t>M</t>
  </si>
  <si>
    <t>N</t>
  </si>
  <si>
    <t>O</t>
  </si>
  <si>
    <t>O1</t>
  </si>
  <si>
    <t>P</t>
  </si>
  <si>
    <t>Q</t>
  </si>
  <si>
    <t>Q1</t>
  </si>
  <si>
    <t>Q2</t>
  </si>
  <si>
    <t>Q3</t>
  </si>
  <si>
    <t>R</t>
  </si>
  <si>
    <t>R1</t>
  </si>
  <si>
    <t>R2</t>
  </si>
  <si>
    <t>S</t>
  </si>
  <si>
    <t>T</t>
  </si>
  <si>
    <t>33kV MV Power Cable Trays</t>
  </si>
  <si>
    <t>MV Cable sizing-33kV</t>
  </si>
  <si>
    <t>Total Cable Dia</t>
  </si>
  <si>
    <t>Total Cable Tray Dia required with 20% Margin</t>
  </si>
  <si>
    <t>with 20% marging</t>
  </si>
  <si>
    <t>11kV MV Power Cable Trays</t>
  </si>
  <si>
    <t>MV Cable sizing-11kV</t>
  </si>
  <si>
    <t>11kV Power Cables - Ladder Type Tray</t>
  </si>
  <si>
    <t>LV Power Cable Trays</t>
  </si>
  <si>
    <t>LV Cable sizing_SS-1_Power Cables</t>
  </si>
  <si>
    <t>LV Cable sizing_SS-2_Power Cables</t>
  </si>
  <si>
    <t>LV Cable sizing_SS-3_Power Cables</t>
  </si>
  <si>
    <t>LV Cable sizing_SS-4_Power Cables</t>
  </si>
  <si>
    <t>LV Cable sizing_SS-5_Power Cables</t>
  </si>
  <si>
    <t>LV Cable sizing_SS-6_Power Cables</t>
  </si>
  <si>
    <t>Total Cable Tray Dia required for LV power Cable</t>
  </si>
  <si>
    <t>LV Power Cables - Ladder Type Tray</t>
  </si>
  <si>
    <t>LV Control Cables - Ladder Type Tray</t>
  </si>
  <si>
    <t>Instrumentation Cable Trays</t>
  </si>
  <si>
    <t>IS Cable Tray</t>
  </si>
  <si>
    <t>Non IS Cable Tray</t>
  </si>
  <si>
    <t>F&amp;G Cable Tray</t>
  </si>
  <si>
    <t>FOC &amp; Telecom Cable Tray</t>
  </si>
  <si>
    <t>SS-2 to Admin</t>
  </si>
  <si>
    <t>SS-2 to Canteen</t>
  </si>
  <si>
    <t>SS-2 to Fire room</t>
  </si>
  <si>
    <t>SS-2 to Store</t>
  </si>
  <si>
    <t>SS-2 to OHC</t>
  </si>
  <si>
    <t>SS-2 to Whorehouse</t>
  </si>
  <si>
    <t>LV  Cable Catalogue (KEC/RPG Make Catalogue Attached)</t>
  </si>
  <si>
    <t>DERATING FACTORS</t>
  </si>
  <si>
    <t>1-core cable</t>
  </si>
  <si>
    <t>0.6/1.0 kV (E)</t>
  </si>
  <si>
    <r>
      <t>Size in mm</t>
    </r>
    <r>
      <rPr>
        <b/>
        <vertAlign val="superscript"/>
        <sz val="11"/>
        <rFont val="Calibri"/>
        <family val="2"/>
        <scheme val="minor"/>
      </rPr>
      <t>2</t>
    </r>
  </si>
  <si>
    <t>Current carrying capacity</t>
  </si>
  <si>
    <t>AC Resistance Ohm/km 90°C</t>
  </si>
  <si>
    <t>Reactance Ohm/km</t>
  </si>
  <si>
    <t>Cable Dia</t>
  </si>
  <si>
    <t>LV</t>
  </si>
  <si>
    <t>XLPE</t>
  </si>
  <si>
    <t>Ambient temperature (50°C) (K1)</t>
  </si>
  <si>
    <t>Grouping factor (K2) 
4 trafoil groups,
6 tier trays with Touching</t>
  </si>
  <si>
    <t>Ground temperature (35°C) (K3)</t>
  </si>
  <si>
    <t>Depth of laying (900 mm) (K4)</t>
  </si>
  <si>
    <t>Thermal resistivity of ground (1.2 K.m/W) (K5)</t>
  </si>
  <si>
    <t xml:space="preserve">Air </t>
  </si>
  <si>
    <t>Ground</t>
  </si>
  <si>
    <t>Duct</t>
  </si>
  <si>
    <t>Single core (Trefoil Formation with Touching)</t>
  </si>
  <si>
    <t>Multi core             (Touching)</t>
  </si>
  <si>
    <t>Single core</t>
  </si>
  <si>
    <t>Multi core</t>
  </si>
  <si>
    <t>Cable Size</t>
  </si>
  <si>
    <t>1C X 185</t>
  </si>
  <si>
    <t>690/400V</t>
  </si>
  <si>
    <t>AIR</t>
  </si>
  <si>
    <t>NA</t>
  </si>
  <si>
    <t>1C X 240</t>
  </si>
  <si>
    <t>1C X 300</t>
  </si>
  <si>
    <t>1C X 400</t>
  </si>
  <si>
    <t>Trench with cover</t>
  </si>
  <si>
    <t>1C X 500</t>
  </si>
  <si>
    <t>1C X 630</t>
  </si>
  <si>
    <t>2-core cable</t>
  </si>
  <si>
    <t>2C X 1.5</t>
  </si>
  <si>
    <t>2C X 2.5</t>
  </si>
  <si>
    <t>2C X 4</t>
  </si>
  <si>
    <t>2C X 6</t>
  </si>
  <si>
    <t>2C X 10</t>
  </si>
  <si>
    <t>2C X 16</t>
  </si>
  <si>
    <t>2C X 25</t>
  </si>
  <si>
    <t>2C X 35</t>
  </si>
  <si>
    <t>2C X 50</t>
  </si>
  <si>
    <t>2C X 70</t>
  </si>
  <si>
    <t>2C X 95</t>
  </si>
  <si>
    <t>2C X 120</t>
  </si>
  <si>
    <t>2C X 150</t>
  </si>
  <si>
    <t>2C X 185</t>
  </si>
  <si>
    <t>2C X 240</t>
  </si>
  <si>
    <t>2C X 300</t>
  </si>
  <si>
    <t>2C X 400</t>
  </si>
  <si>
    <t>3-core cable</t>
  </si>
  <si>
    <t>3C X 1.5</t>
  </si>
  <si>
    <t>3C X 2.5</t>
  </si>
  <si>
    <t>3C X 4</t>
  </si>
  <si>
    <t>3C X 6</t>
  </si>
  <si>
    <t>3C X 10</t>
  </si>
  <si>
    <t>3C X 16</t>
  </si>
  <si>
    <t>3C X 25</t>
  </si>
  <si>
    <t>3C X 35</t>
  </si>
  <si>
    <t>3C X 50</t>
  </si>
  <si>
    <t>3C X 70</t>
  </si>
  <si>
    <t>3C X 95</t>
  </si>
  <si>
    <t>3C X 120</t>
  </si>
  <si>
    <t>3C X 150</t>
  </si>
  <si>
    <t>3C X 185</t>
  </si>
  <si>
    <t>3C X 240</t>
  </si>
  <si>
    <t>3C X 300</t>
  </si>
  <si>
    <t>3C X 400</t>
  </si>
  <si>
    <t>4-core cable</t>
  </si>
  <si>
    <t>4C X 1.5</t>
  </si>
  <si>
    <t>4C X 2.5</t>
  </si>
  <si>
    <t>4C X 4</t>
  </si>
  <si>
    <t>4C X 6</t>
  </si>
  <si>
    <t>4C X 10</t>
  </si>
  <si>
    <t>4C X 16</t>
  </si>
  <si>
    <t>3.5C X 25</t>
  </si>
  <si>
    <t>3.5C X 35</t>
  </si>
  <si>
    <t>3.5C X 50</t>
  </si>
  <si>
    <t>3.5C X 70</t>
  </si>
  <si>
    <t>3.5C X 95</t>
  </si>
  <si>
    <t>3.5C X 120</t>
  </si>
  <si>
    <t>3.5C X 150</t>
  </si>
  <si>
    <t>3.5C X 185</t>
  </si>
  <si>
    <t>3.5C X 240</t>
  </si>
  <si>
    <t>3.5C X 300</t>
  </si>
  <si>
    <t>3.5C X 400</t>
  </si>
  <si>
    <t xml:space="preserve">5-Core Cable </t>
  </si>
  <si>
    <r>
      <t>Size in mm</t>
    </r>
    <r>
      <rPr>
        <b/>
        <vertAlign val="superscript"/>
        <sz val="11"/>
        <color indexed="8"/>
        <rFont val="Calibri"/>
        <family val="2"/>
        <scheme val="minor"/>
      </rPr>
      <t>2</t>
    </r>
  </si>
  <si>
    <t>5C X 1.5</t>
  </si>
  <si>
    <t>5C X 2.5</t>
  </si>
  <si>
    <t>5C X 4</t>
  </si>
  <si>
    <t>5C X 6</t>
  </si>
  <si>
    <t>5C X 10</t>
  </si>
  <si>
    <t>5C X 16</t>
  </si>
  <si>
    <t>5C X 25</t>
  </si>
  <si>
    <t>5C X 35</t>
  </si>
  <si>
    <t>5C X 50</t>
  </si>
  <si>
    <t>5C X 70</t>
  </si>
  <si>
    <t>MV Cable Catalogue (KEC/RPG Make Catalogue Attached)</t>
  </si>
  <si>
    <t>Single core cable</t>
  </si>
  <si>
    <t>3.8/6.6 kV</t>
  </si>
  <si>
    <t>Approx. A.C. Resistance at 90°C Ohm/km</t>
  </si>
  <si>
    <t>Approx. Reactance Ohm/km</t>
  </si>
  <si>
    <t>Nominal Dia</t>
  </si>
  <si>
    <t>MV</t>
  </si>
  <si>
    <t xml:space="preserve">Grouping factor (K2) Duct Spacing (3 cables) 200mm
Centre to Centre &amp; 3 tier trays with spacing
</t>
  </si>
  <si>
    <t>Depth of laying (1200 mm) (K4)</t>
  </si>
  <si>
    <t>Thermal resistivity of ground buried in Duct (1.2 K.m/W) (K5)</t>
  </si>
  <si>
    <t>Air 
(Trefoil)</t>
  </si>
  <si>
    <t>Ground
(Trefoil)</t>
  </si>
  <si>
    <t>Duct
(Trefoil)</t>
  </si>
  <si>
    <t>Single core (Trefoil Formation with 150mm spacing)</t>
  </si>
  <si>
    <t>1C X 70</t>
  </si>
  <si>
    <t>6600V</t>
  </si>
  <si>
    <t>1C X 95</t>
  </si>
  <si>
    <t>1C X 120</t>
  </si>
  <si>
    <t>1C X 150</t>
  </si>
  <si>
    <t>1C X 800</t>
  </si>
  <si>
    <t>1C X 1000</t>
  </si>
  <si>
    <t>Three core cable</t>
  </si>
  <si>
    <r>
      <t>Size in mm</t>
    </r>
    <r>
      <rPr>
        <b/>
        <strike/>
        <vertAlign val="superscript"/>
        <sz val="11"/>
        <color rgb="FFFF0000"/>
        <rFont val="Calibri"/>
        <family val="2"/>
        <scheme val="minor"/>
      </rPr>
      <t>2</t>
    </r>
  </si>
  <si>
    <t>6/10 (12)kV</t>
  </si>
  <si>
    <t>Grouping factor (K2) Duct Spacing (3 cables) 200mm
Centre to Centre &amp; 3 tier trays with spacing</t>
  </si>
  <si>
    <t>(LV Cable)</t>
  </si>
  <si>
    <t>HV Cable Catalogue (KEC/RPG Make Catalogue Attached)</t>
  </si>
  <si>
    <t>18/30 (36) kV</t>
  </si>
  <si>
    <t>Grouping factor (K2) 
Duct Spacing (3 cables) 150mm
Centre to Centre &amp; 3 tier trays with spacing</t>
  </si>
  <si>
    <t>Depth of laying (1500 mm) (K4)</t>
  </si>
  <si>
    <t>Thermal resistivity of ground buried in Duct (1.5 K.m/W) (K5)</t>
  </si>
  <si>
    <t>Thermal resistivity of ground buried in Duct (1.0 K.m/W) (K5)</t>
  </si>
  <si>
    <t>Thermal resistivity of ground buried in Duct (2.0 K.m/W) (K5)</t>
  </si>
  <si>
    <t>Air
(Trefoil)</t>
  </si>
  <si>
    <t>33000V</t>
  </si>
  <si>
    <t>Sl. No</t>
  </si>
  <si>
    <t>LOAD</t>
  </si>
  <si>
    <t>SHORT CIRCUIT CURRENT WITHSTAND CAPABILITY</t>
  </si>
  <si>
    <t>CABLE DATA</t>
  </si>
  <si>
    <t>DERATING FACTOR</t>
  </si>
  <si>
    <t>CURRENT CARRYING CAPACITY</t>
  </si>
  <si>
    <t xml:space="preserve"> RUNNING CONDITION VOLTAGE DROP</t>
  </si>
  <si>
    <t>MOTOR STARTING VOLTAGE DROP</t>
  </si>
  <si>
    <t>Selected Cable Size</t>
  </si>
  <si>
    <t>Tag No.</t>
  </si>
  <si>
    <t>From</t>
  </si>
  <si>
    <t>Description</t>
  </si>
  <si>
    <t>Equipment Location</t>
  </si>
  <si>
    <t>BUS</t>
  </si>
  <si>
    <t>Type of feeder</t>
  </si>
  <si>
    <t>Rated power</t>
  </si>
  <si>
    <t>UNIT 
(kW / kVA)</t>
  </si>
  <si>
    <t>3Phase / 1Phase</t>
  </si>
  <si>
    <t>Rated Voltage
(V)</t>
  </si>
  <si>
    <t>Power factor</t>
  </si>
  <si>
    <t>Efficiency</t>
  </si>
  <si>
    <t>Rated full load current</t>
  </si>
  <si>
    <t>Motor starting current</t>
  </si>
  <si>
    <t>Motor starting power factor</t>
  </si>
  <si>
    <t>Short circuit current of switchboard
(kA)</t>
  </si>
  <si>
    <t>Short circuit current withstand duration
(sec)</t>
  </si>
  <si>
    <t>Minimum size required for Short circuit withstand capacity (Sq.mm)</t>
  </si>
  <si>
    <t>Installation</t>
  </si>
  <si>
    <t>No. of Cores</t>
  </si>
  <si>
    <t>Size in (Sq.mm)</t>
  </si>
  <si>
    <t>Cable size</t>
  </si>
  <si>
    <t>Cable size With (PE) Core</t>
  </si>
  <si>
    <t>Cable Voltage
(kV)</t>
  </si>
  <si>
    <t>Current Rating of the Cable (A)</t>
  </si>
  <si>
    <t>Cable resistance at 90°C
(Ohm / Ph / km)</t>
  </si>
  <si>
    <t>Cable reactance at 50Hz
(Ohm / Ph / km)</t>
  </si>
  <si>
    <t>Cable Length with in Electrical Building
(m)</t>
  </si>
  <si>
    <t>Cable Length from Electrical Building to Equipment
(m)</t>
  </si>
  <si>
    <t>Cable length Riser &amp; Dropper
(m)</t>
  </si>
  <si>
    <t>Cable length both side dropping &amp; Termination
(m)</t>
  </si>
  <si>
    <t>Spare 10%</t>
  </si>
  <si>
    <t>Ambient temperature (K1)</t>
  </si>
  <si>
    <t>Grouping factor (K2)</t>
  </si>
  <si>
    <t>Ground temperature (K3)</t>
  </si>
  <si>
    <t>Depth of laying (K4)</t>
  </si>
  <si>
    <t>Thermal resistivity of ground (K5)</t>
  </si>
  <si>
    <t>Overall derating factor</t>
  </si>
  <si>
    <t>Derated current carrying capacity (A)</t>
  </si>
  <si>
    <t>No. of Runs</t>
  </si>
  <si>
    <t>Derated current &gt; Rated current</t>
  </si>
  <si>
    <t xml:space="preserve">  % VOLTAGE DROP DURING RUNNING CONDITION </t>
  </si>
  <si>
    <t>% VOLTAGE DROP WITHIN PERMISSIBLE LIMIT
(YES/NO)</t>
  </si>
  <si>
    <t>(HIDE)</t>
  </si>
  <si>
    <t>Maximum length under Allowable voltage drop</t>
  </si>
  <si>
    <t xml:space="preserve">  % VOLTAGE DROP DURING STARTING CONDITION </t>
  </si>
  <si>
    <t>% VOLTAGE DROP WITHIN PERMISSIBLE LIMIT DURING STARTING CONDITION
(YES/NO)</t>
  </si>
  <si>
    <t>Selected
cable size</t>
  </si>
  <si>
    <t>Remarks</t>
  </si>
  <si>
    <t>Total Length in meters</t>
  </si>
  <si>
    <t>No. of End Termination</t>
  </si>
  <si>
    <t>Cable Route(Sections)</t>
  </si>
  <si>
    <t>Dia of the conductor (mm)</t>
  </si>
  <si>
    <t xml:space="preserve">Total Dia of the conductor (mm) </t>
  </si>
  <si>
    <t>H1</t>
  </si>
  <si>
    <t>I1</t>
  </si>
  <si>
    <t>IA</t>
  </si>
  <si>
    <t>L5</t>
  </si>
  <si>
    <t>L6</t>
  </si>
  <si>
    <t>L7</t>
  </si>
  <si>
    <t>L8</t>
  </si>
  <si>
    <t>L9</t>
  </si>
  <si>
    <t>M1</t>
  </si>
  <si>
    <t>N1</t>
  </si>
  <si>
    <t>N2</t>
  </si>
  <si>
    <t>Q4</t>
  </si>
  <si>
    <t>Q5</t>
  </si>
  <si>
    <t>R1.A</t>
  </si>
  <si>
    <t>R2.A</t>
  </si>
  <si>
    <t>S.A</t>
  </si>
  <si>
    <t>S.B</t>
  </si>
  <si>
    <t>S1</t>
  </si>
  <si>
    <t>S1.A</t>
  </si>
  <si>
    <t>T.A</t>
  </si>
  <si>
    <t>T1</t>
  </si>
  <si>
    <t>T1.A</t>
  </si>
  <si>
    <t>U</t>
  </si>
  <si>
    <t>MAIN SUBSTATION</t>
  </si>
  <si>
    <t>Meters</t>
  </si>
  <si>
    <t>LATER</t>
  </si>
  <si>
    <t>POWER</t>
  </si>
  <si>
    <t>kW</t>
  </si>
  <si>
    <t>3Ph</t>
  </si>
  <si>
    <t>TRENCH</t>
  </si>
  <si>
    <t>3C</t>
  </si>
  <si>
    <t>X</t>
  </si>
  <si>
    <t>MAIN SUBSTATION BUILDING</t>
  </si>
  <si>
    <t>1C</t>
  </si>
  <si>
    <t>INCOMER</t>
  </si>
  <si>
    <t>1421-SWG-1-0001</t>
  </si>
  <si>
    <t>MV (6.6kV) CABLE SIZING</t>
  </si>
  <si>
    <t>Cable length
(m)</t>
  </si>
  <si>
    <t>TA</t>
  </si>
  <si>
    <t>VFD</t>
  </si>
  <si>
    <t>11kV MV Switchgear-1</t>
  </si>
  <si>
    <t>1401-B102</t>
  </si>
  <si>
    <t>AMMONIA PLANT</t>
  </si>
  <si>
    <t>6/10(12)</t>
  </si>
  <si>
    <t>1418-P003A</t>
  </si>
  <si>
    <t>MAIN FIRE PUMP-1</t>
  </si>
  <si>
    <t>FIRE WATER PUMP HOUSE</t>
  </si>
  <si>
    <t>MOTOR</t>
  </si>
  <si>
    <t>1418-P003B</t>
  </si>
  <si>
    <t>MAIN FIRE PUMP-2</t>
  </si>
  <si>
    <t>1402-P002A</t>
  </si>
  <si>
    <t>AMMONIA TRANSFER PUMP</t>
  </si>
  <si>
    <t>AMMONIA STORAGE AREA</t>
  </si>
  <si>
    <t>AMMONIA TRANSFER PUMP-SPACE HEATER</t>
  </si>
  <si>
    <t>1Ph</t>
  </si>
  <si>
    <t>0.6/1.0</t>
  </si>
  <si>
    <t>1402-P002B</t>
  </si>
  <si>
    <t>1402-PK003A</t>
  </si>
  <si>
    <t>AMMONIA HOLDING COMPRESSOR</t>
  </si>
  <si>
    <t>AMMONIA HOLDING COMPRESSOR-SPACE HEATER</t>
  </si>
  <si>
    <t>1402-PK003B</t>
  </si>
  <si>
    <t>1401-JT301</t>
  </si>
  <si>
    <t>STEAM TURBINE GENERATOR</t>
  </si>
  <si>
    <t>STEAM TURBINE GENERATOR-SPACE HEATER</t>
  </si>
  <si>
    <t>1401-CM103</t>
  </si>
  <si>
    <t>MAIN MOTOR</t>
  </si>
  <si>
    <t>1401-CM105</t>
  </si>
  <si>
    <t>1401-CM201</t>
  </si>
  <si>
    <t>NITROGEN GAS COMPRESSOR MAIN MOTOR FOR 1401-J-201</t>
  </si>
  <si>
    <t>NITROGEN GAS COMPRESSOR MAIN MOTOR FOR 1401-J-201-SPACE HEATER</t>
  </si>
  <si>
    <t>1401-CM202A</t>
  </si>
  <si>
    <t>AUX. HYDROGEN COMPRESSOR MAIN MOTOR 1401-J-202B</t>
  </si>
  <si>
    <t>AUX. HYDROGEN COMPRESSOR MAIN MOTOR 1401-J-202B-SPACE HEATER</t>
  </si>
  <si>
    <t>1401-CM202B</t>
  </si>
  <si>
    <t>AUX.  HYDROGEN COMPRESSOR MAIN MOTOR 1401-J-202B</t>
  </si>
  <si>
    <t>AUX.  HYDROGEN -SPACE HEATERCOMPRESSOR MAIN MOTOR 1401-J-202B</t>
  </si>
  <si>
    <t>1401-CM203A</t>
  </si>
  <si>
    <t>AUX. HYDROGEN COMPRESSOR MAIN MOTOR 1401-J-203A</t>
  </si>
  <si>
    <t>AUX. HYDROGEN COMPRESSOR MAIN MOTOR 1401-J-203A-SPACE HEATER</t>
  </si>
  <si>
    <t>1401-CM203B</t>
  </si>
  <si>
    <t>AUX.  HYDROGEN COMPRESSOR MAIN MOTOR 1401-J-203B</t>
  </si>
  <si>
    <t>AUX.  HYDROGEN COMPRESSOR MAIN MOTOR 1401-J-203B-SPACE HEATER</t>
  </si>
  <si>
    <t>1407-PM001A</t>
  </si>
  <si>
    <t>COOLING WATER PUMP - A</t>
  </si>
  <si>
    <t>COOLING TOWER AREA</t>
  </si>
  <si>
    <t>COOLING WATER PUMP - A-SPACE HEATER</t>
  </si>
  <si>
    <t>1407-PM001B</t>
  </si>
  <si>
    <t>COOLING WATER PUMP - B</t>
  </si>
  <si>
    <t>COOLING WATER PUMP - B-SPACE HEATER</t>
  </si>
  <si>
    <t>1407-PM001C</t>
  </si>
  <si>
    <t>COOLING WATER PUMP - C</t>
  </si>
  <si>
    <t>COOLING WATER PUMP - C-SPACE HEATER</t>
  </si>
  <si>
    <t>1407-PM001D</t>
  </si>
  <si>
    <t>COOLING WATER PUMP - D</t>
  </si>
  <si>
    <t>COOLING WATER PUMP - D-SPACE HEATER</t>
  </si>
  <si>
    <t>ASU PACKAGE (1404-PK001)</t>
  </si>
  <si>
    <t>1404-J110A</t>
  </si>
  <si>
    <t>CENTRIFUGAL AIR COMPRESSOR-A</t>
  </si>
  <si>
    <t>AIR SEPARATION UNIT</t>
  </si>
  <si>
    <t>CENTRIFUGAL AIR COMPRESSOR-A-SPACE HEATER</t>
  </si>
  <si>
    <t>1404-J110B</t>
  </si>
  <si>
    <t>CENTRIFUGAL AIR COMPRESSOR-B</t>
  </si>
  <si>
    <t>CENTRIFUGAL AIR COMPRESSOR-B-SPACE HEATER</t>
  </si>
  <si>
    <t xml:space="preserve">PURIFICATION ELECTRIC HEATER </t>
  </si>
  <si>
    <t>SEA WATER TREATMENT &amp; SEA WATER INTAKE FACILITY.</t>
  </si>
  <si>
    <t>1409-SWG-2-0003</t>
  </si>
  <si>
    <t>OUTGOING FEEDER FOR 11KV SWITCHGEAR-3
(SEA WATER TREATMENT)</t>
  </si>
  <si>
    <t>SEA WATER TREATMENT ELECTRICAL BUILDING</t>
  </si>
  <si>
    <t>DISTRIBTION TRANSFORMER LOADS</t>
  </si>
  <si>
    <t>1421-TFD-2-0001
(1421-SWG-4-0001)</t>
  </si>
  <si>
    <t>OUTGOING FEEDER FOR 11/0.42kV TRANSFORMER - 1
(LV SWITCHGEAR-1 FOR MAIN SUBSTATION)</t>
  </si>
  <si>
    <t>kVA</t>
  </si>
  <si>
    <t>1421-TFD-2-0002
(1421-SWG-4-0001)</t>
  </si>
  <si>
    <t>OUTGOING FEEDER FOR 11/0.42kV TRANSFORMER - 2
(LV SWITCHGEAR-1 FOR MAIN SUBSTATION)</t>
  </si>
  <si>
    <t>1420-TFD-2-0003
(1420-SWG-4-0002)</t>
  </si>
  <si>
    <t>OUTGOING FEEDER FOR 11/0.42kV TRANSFORMER - 3
(LV SWITCHGEAR-2 FOR COOLING TOWER AREA)</t>
  </si>
  <si>
    <t>COOLING TOWER SUBSTATION</t>
  </si>
  <si>
    <t>1420-TFD-2-0004
(1420-SWG-4-0002)</t>
  </si>
  <si>
    <t>OUTGOING FEEDER FOR 11/0.42kV TRANSFORMER - 4
(LV SWITCHGEAR-2 FOR COOLING TOWER AREA)</t>
  </si>
  <si>
    <t>1402-TFD-2-0005
(1402-SWG-4-0003)</t>
  </si>
  <si>
    <t>OUTGOING FEEDER FOR 11/0.42kV TRANSFORMER - 5
(LV SWITCHGEAR-3 FOR NH3 STORAGE)</t>
  </si>
  <si>
    <t>NH3 STORAGE AREA ELECTRICAL BUILDING</t>
  </si>
  <si>
    <t>1402-TFD-2-0006
(1402-SWG-4-0003)</t>
  </si>
  <si>
    <t>OUTGOING FEEDER FOR 11/0.42kV TRANSFORMER - 6
(LV SWITCHGEAR-3 FOR NH3 STORAGE)</t>
  </si>
  <si>
    <t>NH3 STORAGE SUBSTATION</t>
  </si>
  <si>
    <t>1404-TFD-2-0009
(1404-SWG-4-0005)</t>
  </si>
  <si>
    <t>OUTGOING FEEDER FOR 11/0.42kV TRANSFORMER - 9
(ASU MCC PANEL)</t>
  </si>
  <si>
    <t>ASU Package Electrical Building</t>
  </si>
  <si>
    <t xml:space="preserve">1421-SWG-2-0001 </t>
  </si>
  <si>
    <t>11kV SWITCHGEAR INCOMER 1</t>
  </si>
  <si>
    <t>Power Transformer (33/11.5kV) -1 NGR</t>
  </si>
  <si>
    <t>11kV SWITCHGEAR INCOMER 2</t>
  </si>
  <si>
    <t>Power Transformer (33/11.5kV) -2 NGR</t>
  </si>
  <si>
    <t>1421-SWG-2-0002</t>
  </si>
  <si>
    <t>11kV SWITCHGEAR - APFC FEEDER</t>
  </si>
  <si>
    <t>11kV MV Switchgear-3</t>
  </si>
  <si>
    <t>SEA WATER TREATMENT FACILITY MV MOTORS LOADS</t>
  </si>
  <si>
    <t>SWRO HP PUMP - A (VFD)</t>
  </si>
  <si>
    <t>SEA WATER TREATMENT PLANT (DESAL)</t>
  </si>
  <si>
    <t>SWRO HP PUMP - A (VFD)-SPACE HEATER</t>
  </si>
  <si>
    <t>SWRO HP PUMP - B (VFD)</t>
  </si>
  <si>
    <t>SWRO HP PUMP - B (VFD)-SPACE HEATER</t>
  </si>
  <si>
    <t>SWRO HP PUMP - C (VFD)</t>
  </si>
  <si>
    <t>SWRO HP PUMP - C (VFD)-SPACE HEATER</t>
  </si>
  <si>
    <t>SEA WATER INTAKE AND OUT FALLMV MOTORS LOADS</t>
  </si>
  <si>
    <t>1406-PM-001A</t>
  </si>
  <si>
    <t>SEA WATER LIFTING PUMP-A</t>
  </si>
  <si>
    <t>SEA WATER INTAKE FACILITY</t>
  </si>
  <si>
    <t>SEA WATER LIFTING PUMP-A-SPACE HEATER</t>
  </si>
  <si>
    <t>1406-PM-001B</t>
  </si>
  <si>
    <t>SEA WATER LIFTING PUMP-B</t>
  </si>
  <si>
    <t>SEA WATER LIFTING PUMP-B-SPACE HEATER</t>
  </si>
  <si>
    <t>1406-PM-001C</t>
  </si>
  <si>
    <t>SEA WATER LIFTING PUMP-C</t>
  </si>
  <si>
    <t>SEA WATER LIFTING PUMP-C-SPACE HEATER</t>
  </si>
  <si>
    <t>LV LOADS</t>
  </si>
  <si>
    <t xml:space="preserve">1409-TFD-2-0007
(1409-SWG-4-0004) </t>
  </si>
  <si>
    <t>OUTGOING FEEDER FOR 11/0.42kV TRANSFORMER - 7
(LV SWITCHGEAR-4 FOR SEA WATER TREATMENT)</t>
  </si>
  <si>
    <t>SEA WATER TREATMENT BUILDING</t>
  </si>
  <si>
    <t xml:space="preserve">1409-TFD-2-0008
(1409-SWG-4-0004) </t>
  </si>
  <si>
    <t>OUTGOING FEEDER FOR 11/0.42kV TRANSFORMER - 8
(LV SWITCHGEAR-4 FOR SEA WATER TREATMENT)</t>
  </si>
  <si>
    <t>11kV SWITCHGEAR-3 INCOMER 1</t>
  </si>
  <si>
    <t>11kV SWITCHGEAR-3 INCOMER 2</t>
  </si>
  <si>
    <t>24 nos</t>
  </si>
  <si>
    <t>2 nos</t>
  </si>
  <si>
    <t>7 nos</t>
  </si>
  <si>
    <t>8 nos</t>
  </si>
  <si>
    <t>Electrolyzer Area Cable Tray requirement</t>
  </si>
  <si>
    <t>Main entry</t>
  </si>
  <si>
    <t>33kV</t>
  </si>
  <si>
    <t>Cable Trench</t>
  </si>
  <si>
    <t>Ladded</t>
  </si>
  <si>
    <t>600mm</t>
  </si>
  <si>
    <t>Control</t>
  </si>
  <si>
    <t>Perforated</t>
  </si>
  <si>
    <t>I&amp;C</t>
  </si>
  <si>
    <t>Package-1 &amp; Electrolyzer building</t>
  </si>
  <si>
    <t>Package-2 &amp; 3</t>
  </si>
  <si>
    <t>Package- 3</t>
  </si>
  <si>
    <t>Pipe Rack &amp; Cable Trench</t>
  </si>
  <si>
    <t>Bus</t>
  </si>
  <si>
    <t>UNIT 
(kW / kVa)</t>
  </si>
  <si>
    <t>Cable length for each run
(m)</t>
  </si>
  <si>
    <t>Dia of the conductor(mm)</t>
  </si>
  <si>
    <t xml:space="preserve">Total Dia of the conductor(mm) </t>
  </si>
  <si>
    <t>I.A</t>
  </si>
  <si>
    <t>PMCC-1</t>
  </si>
  <si>
    <t>1401-PM104A</t>
  </si>
  <si>
    <t>BFW PUMP</t>
  </si>
  <si>
    <t>1401-PM104B</t>
  </si>
  <si>
    <t>SPARE BFW PUMP</t>
  </si>
  <si>
    <t>1401-PM112A</t>
  </si>
  <si>
    <t>CONDENSATE PUMP FOR 1401-C-301</t>
  </si>
  <si>
    <t>1401-PM112B</t>
  </si>
  <si>
    <t>1401-PM116A</t>
  </si>
  <si>
    <t>CONDENSATE INJECTION SYSTEM PUMP</t>
  </si>
  <si>
    <t>1401-PM107A</t>
  </si>
  <si>
    <t>PH CONTROL  INJECTION SYSTEM PUMP</t>
  </si>
  <si>
    <t>1401-PM108A</t>
  </si>
  <si>
    <t>PHOSPHATE INJECTION SYSTEM PUMP</t>
  </si>
  <si>
    <t>1401-PM106A</t>
  </si>
  <si>
    <t>OXYGEN SCAVENGER SYSTEM PUMP</t>
  </si>
  <si>
    <t>1401-PM116B</t>
  </si>
  <si>
    <t>1401-PM107B</t>
  </si>
  <si>
    <t>1401-PM108B</t>
  </si>
  <si>
    <t>1401-PM106B</t>
  </si>
  <si>
    <t>1401-LFA108</t>
  </si>
  <si>
    <t>1401-LFA106</t>
  </si>
  <si>
    <t>1411-JM001A</t>
  </si>
  <si>
    <t>INSTRUMENT AIR COMPRESSOR -A</t>
  </si>
  <si>
    <t>INSTRUMENT AIR COMPRESSOR AREA</t>
  </si>
  <si>
    <t>INSTRUMENT AIR COMPRESSOR -A-SPACE HEATER</t>
  </si>
  <si>
    <t>1411-JM001B</t>
  </si>
  <si>
    <t>INSTRUMENT AIR COMPRESSOR- B</t>
  </si>
  <si>
    <t>INSTRUMENT AIR COMPRESSOR- B-SPACE HEATER</t>
  </si>
  <si>
    <t>1411-JM001C</t>
  </si>
  <si>
    <t>INSTRUMENT AIR COMPRESSOR- C</t>
  </si>
  <si>
    <t>INSTRUMENT AIR COMPRESSOR- C-SPACE HEATER</t>
  </si>
  <si>
    <t>1411-D001A</t>
  </si>
  <si>
    <t>4C</t>
  </si>
  <si>
    <t>1411-D001B</t>
  </si>
  <si>
    <t>1417-P-001A</t>
  </si>
  <si>
    <t>Electrolyte (KOH) Drain pump</t>
  </si>
  <si>
    <t>1417-P-001B</t>
  </si>
  <si>
    <t>-</t>
  </si>
  <si>
    <t xml:space="preserve">MASTER  PLC </t>
  </si>
  <si>
    <t>ASU-SELF CLEANING FILTER A</t>
  </si>
  <si>
    <t>ASU-SELF CLEANING FILTER B</t>
  </si>
  <si>
    <t>ASU-PRECOOLING SYSTEM A</t>
  </si>
  <si>
    <t>ASU-PRECOOLING SYSTEM B</t>
  </si>
  <si>
    <t>EXPANDER ELECTRIC HEATER</t>
  </si>
  <si>
    <t>STG 1401-JT/JC301 - FEEDER (SPARE)</t>
  </si>
  <si>
    <t>3.5C</t>
  </si>
  <si>
    <t>Lubricating oil pump 1</t>
  </si>
  <si>
    <t>Lubricating oil pump 1-Space Heater</t>
  </si>
  <si>
    <t>Lubricating oil pump 2</t>
  </si>
  <si>
    <t>Lubricating oil pump 2-Space Heater</t>
  </si>
  <si>
    <t>Generator heater</t>
  </si>
  <si>
    <t>GSC Blower</t>
  </si>
  <si>
    <t>Condensate Extraction Pump 1</t>
  </si>
  <si>
    <t>Condensate Extraction Pump 2</t>
  </si>
  <si>
    <t xml:space="preserve">Synthesis Gas compressor 1401-J-103 </t>
  </si>
  <si>
    <t>LUBE OIL ELECTRIC HEATER A for 1401-J103</t>
  </si>
  <si>
    <t>LUBE OIL ELECTRIC HEATER B for 1401-J103</t>
  </si>
  <si>
    <t>MOTOR SPACE HEATER FOR 1401-J103(230V)</t>
  </si>
  <si>
    <t>MISCLENEOUS LOADS FOR SPARES</t>
  </si>
  <si>
    <t>LUBE OIL ELECTRIC HEATER B for 1401-J105</t>
  </si>
  <si>
    <t>MOTOR SPACE HEATER FOR 1401-J105</t>
  </si>
  <si>
    <t>SPACE HEATER FOR SPARE LUBE OIL PUMP FOR 1401-J103 (230 V)</t>
  </si>
  <si>
    <t>SPACE HEATER FOR MAIN LUBE OIL PUMP FOR1401-J103
(230 V)</t>
  </si>
  <si>
    <t>OIL DEMISTER FAN MOTOR FOR 1401-J103</t>
  </si>
  <si>
    <t>UCP LIGHTNING FOR 1401-J103 (NON-UPS 230 V)</t>
  </si>
  <si>
    <t xml:space="preserve">CENTRAL CONTROL BUILDING </t>
  </si>
  <si>
    <t>TURNING GEAR MOTOR FOR GEAR BOX</t>
  </si>
  <si>
    <t>PRIMARY SEAL GAS HEATER (LP)</t>
  </si>
  <si>
    <t>PRIMARY SEAL GAS HEATER (MP)</t>
  </si>
  <si>
    <t>PRIMARY SEAL GAS HEATER (HP)</t>
  </si>
  <si>
    <t>MAIN VFD AUX. POWER SUPPLY</t>
  </si>
  <si>
    <t>LUBE OIL PURIFIER - SEPARATION CYLINDER MOTOR</t>
  </si>
  <si>
    <t>LUBE OIL PURIFIER - BOOSTER WATER PUMP</t>
  </si>
  <si>
    <t>LUBE OIL PURIFIER - OIL SUPPLY PUMP</t>
  </si>
  <si>
    <t>LUBE OIL PURIFIER - SLAG DISCHARGE PUMP</t>
  </si>
  <si>
    <t>LUBE OIL PURIFIER - ELECTRICAL PANEL</t>
  </si>
  <si>
    <t>LUBE OIL PURIFIER - PLC PANEL</t>
  </si>
  <si>
    <t>Synthesis Gas compressor 1401-J-105</t>
  </si>
  <si>
    <t>LUBE OIL ELECTRIC HEATER A for 1401-J105</t>
  </si>
  <si>
    <t>UCP LIGHTNING FOR 1401-J105 (NON-UPS 230 V)</t>
  </si>
  <si>
    <t>MOTOR SPACE HEATER FOR 1401-J105 (230 V)</t>
  </si>
  <si>
    <t>N2 Compressor</t>
  </si>
  <si>
    <t>SPACE HEATER FOR 1401-CM201 (230V)</t>
  </si>
  <si>
    <t>1401-DM210</t>
  </si>
  <si>
    <t>OIL MIST ELIMINATOR MOTOR FOR 1401-J201</t>
  </si>
  <si>
    <t xml:space="preserve">NOISE ENCLOSURE FANS MOTOR FOR 1401-J201 </t>
  </si>
  <si>
    <t>1401-B210</t>
  </si>
  <si>
    <t xml:space="preserve">LUBE OIL ELECTRIC HEATER A for 1401-J201 </t>
  </si>
  <si>
    <t>1401-B211</t>
  </si>
  <si>
    <t>401-PJB-1401</t>
  </si>
  <si>
    <t>401-PLC-1401</t>
  </si>
  <si>
    <t>401-MMS-1401</t>
  </si>
  <si>
    <t>Package PLC Panel (UPS supply) (230V)</t>
  </si>
  <si>
    <t>MMS Panel (UPS supply) (230V)</t>
  </si>
  <si>
    <t>Laptop (UPS supply) (230V)</t>
  </si>
  <si>
    <t>Auxiliary  H2 Compressor (1401-J-202A/B)</t>
  </si>
  <si>
    <t>UCP CABINET FOR 1401-J203A</t>
  </si>
  <si>
    <t>REMOTE I/O CABINET FOR 1401-J203A</t>
  </si>
  <si>
    <t>MMS CABINET FOR 1401-J203A</t>
  </si>
  <si>
    <t>UCP CABINET FOR 1401-J203B</t>
  </si>
  <si>
    <t>REMOTE I/O CABINET FOR1401-J203B</t>
  </si>
  <si>
    <t>MMS CABINET FOR 1401-J203B</t>
  </si>
  <si>
    <t>FRAME OIL HEATER FOR 1401-J202A</t>
  </si>
  <si>
    <t>MAIN MOTOR SPACE HEATER FOR 1401-J202A (240 V)</t>
  </si>
  <si>
    <t>Excitation Panel Main supply</t>
  </si>
  <si>
    <t>Excitation Panel Aux supply (240 V)</t>
  </si>
  <si>
    <t>Excitation Panel Aux supply (UPS) (240 V)</t>
  </si>
  <si>
    <t>Excitation Panel control supply (24 VDC / 110 VDC)</t>
  </si>
  <si>
    <t>FRAME OIL HEATER FOR 1401-J202B</t>
  </si>
  <si>
    <t>MAIN MOTOR SPACE HEATER FOR 1401-J202B (240 V)</t>
  </si>
  <si>
    <t>Auxiliary H2 Compressor (1401-J-203A/B)</t>
  </si>
  <si>
    <t>FRAME OIL HEATER FOR 1401-J203A</t>
  </si>
  <si>
    <t>MAIN MOTOR SPACE HEATER FOR  1401-J203A (240 V)</t>
  </si>
  <si>
    <t>WATER TANK HEATER FOR 1401-J203A/B &amp; 1401-J202A/B</t>
  </si>
  <si>
    <t>MAIN MOTOR SPACE HEATER FOR 1401-J203 B (240 V)</t>
  </si>
  <si>
    <t>Other Load</t>
  </si>
  <si>
    <t>1421-MLDB-4-0001</t>
  </si>
  <si>
    <t>OUTGOING FEEDER FOR MLDB-1 / FEEDER-1</t>
  </si>
  <si>
    <t xml:space="preserve">MAIN SUBSTATION BUILDING </t>
  </si>
  <si>
    <t>OUTGOING FEEDER FOR MLDB-1 / FEEDER-2</t>
  </si>
  <si>
    <t>1421-WDB-4-0001</t>
  </si>
  <si>
    <t>OUTGOING FEEDER FOR WDB-1 / FEEDER-1</t>
  </si>
  <si>
    <t>1421-PDB-4-0001</t>
  </si>
  <si>
    <t>OUTGOING FEEDER FOR PDB-1 / FEEDER-1</t>
  </si>
  <si>
    <t>OUTGOING FEEDER FOR PDB-1 / FEEDER-2</t>
  </si>
  <si>
    <t>1421-ESWG-4-0001</t>
  </si>
  <si>
    <t>OUTGOING FEEDER FOR EPMCC - 1 / FEEDER-1</t>
  </si>
  <si>
    <t>OUTGOING FEEDER FOR EPMCC - 1 / FEEDER-1 (Neutral)</t>
  </si>
  <si>
    <t>2R x 0.6/1.0kV x 1C x 630 Sqmm</t>
  </si>
  <si>
    <t>OUTGOING FEEDER FOR EPMCC - 1 / FEEDER-2</t>
  </si>
  <si>
    <t>OUTGOING FEEDER FOR EPMCC - 1 / FEEDER-2  (Neutral)</t>
  </si>
  <si>
    <t>EDG</t>
  </si>
  <si>
    <t>EPMCC-1
(INCOMER-3 - DG)</t>
  </si>
  <si>
    <t>EPMCC-1
(INCOMER-3 - DG Neutral)</t>
  </si>
  <si>
    <t>Ammonia plant (Hydrogen Compressor: 1401- J202A, shed)</t>
  </si>
  <si>
    <t>Ammonia plant (Hydrogen Compressor: 1401- J203A, shed)</t>
  </si>
  <si>
    <t>Main Sub station building Switch gear Room</t>
  </si>
  <si>
    <t>Instrument air compressor building)</t>
  </si>
  <si>
    <t>1421-SWG-4-0001</t>
  </si>
  <si>
    <t>PMCC-1(INCOMER 1)</t>
  </si>
  <si>
    <t>LV BUSDUCT-400V</t>
  </si>
  <si>
    <t>PMCC-1 (INCOMER 2)</t>
  </si>
  <si>
    <t>ASU PACKAGE DISTRIBUTION TRANSFORMER TO MCC PANEL</t>
  </si>
  <si>
    <t xml:space="preserve">ASU package Transformer </t>
  </si>
  <si>
    <t>ASU MCC Panel</t>
  </si>
  <si>
    <t>ASU MCC Panel  Neutral</t>
  </si>
  <si>
    <t>EPMCC-1</t>
  </si>
  <si>
    <t>1400-P001A</t>
  </si>
  <si>
    <t>1400-P001B</t>
  </si>
  <si>
    <t>1401-PM124A</t>
  </si>
  <si>
    <t>COLD AMMONIA PRODUCT PUMP</t>
  </si>
  <si>
    <t>1401-PM124B</t>
  </si>
  <si>
    <t>SPARE COLD AMMONIA PRODUCT PUMP</t>
  </si>
  <si>
    <t>Ammonia Storage</t>
  </si>
  <si>
    <t>1402-PK007</t>
  </si>
  <si>
    <t>1402-B001-TCP01</t>
  </si>
  <si>
    <t>HEATER CONTROL PANEL (400V/230V)</t>
  </si>
  <si>
    <t>1402-PK007 -CP01</t>
  </si>
  <si>
    <t>IGNITION PANEL (400V/230V)</t>
  </si>
  <si>
    <t>1402-PK007 -CP02</t>
  </si>
  <si>
    <t>WINCH CONTROL PANEL (400V/230V)</t>
  </si>
  <si>
    <t>1402-PK007 -CP03</t>
  </si>
  <si>
    <t>AVIATION CONTROL PANEL (400V/230V)</t>
  </si>
  <si>
    <t>1402-PK006</t>
  </si>
  <si>
    <t>HP FLARE PACKAGE</t>
  </si>
  <si>
    <t>Emergency oil pump (110V)</t>
  </si>
  <si>
    <t>Monitoring cabinets (230V/110V)</t>
  </si>
  <si>
    <t>ASU PACKAGE</t>
  </si>
  <si>
    <t>ASU-EXPANDER OIL SUPPLY PUMP A</t>
  </si>
  <si>
    <t>ASU-EXPANDER OIL SUPPLY PUMP B</t>
  </si>
  <si>
    <t>ASU-CONTROL SYSTEM</t>
  </si>
  <si>
    <t>SPARE LUBE OIL PUMP FOR 1401-J103</t>
  </si>
  <si>
    <t>SPARE LUBE OIL PUMP FOR 1401-J103-SPACE HEATER</t>
  </si>
  <si>
    <t>MAIN LUBE OIL PUMP FOR 1401-J103</t>
  </si>
  <si>
    <t>MAIN LUBE OIL PUMP FOR 1401-J103-SPACE HEATER</t>
  </si>
  <si>
    <t>MAIN LUBE OIL PUMP FOR 1401-J105</t>
  </si>
  <si>
    <t>SPARE LUBE OIL PUMP FOR 1401-J105</t>
  </si>
  <si>
    <t>OIL DEMISTER FAN MOTOR FOR 1401-J105</t>
  </si>
  <si>
    <t>UCP FANS &amp; LIGHTNING FOR  1401-J105</t>
  </si>
  <si>
    <t>AUXILIARY LUBE OIL PUMP FOR 1401-J201</t>
  </si>
  <si>
    <t>MIST ELIMINATOR MOTOR FOR 1401-J201</t>
  </si>
  <si>
    <t>PLC PANEL (01 Qty),PLC PANEL UTILITIES (FANS,LIGHTS,SOCKETS-01Qty),LOCAL CONTROL PANEL (01 Qty) FOR 1401-J201</t>
  </si>
  <si>
    <t>Auxiliary H2 Compressor (1401-J-202A/B)</t>
  </si>
  <si>
    <t>MAIN LUBE OIL PUMP FOR 1401-J202A</t>
  </si>
  <si>
    <t>AUX. LUBE OIL PUMP FOR 1401-J202A</t>
  </si>
  <si>
    <t>MAIN COOLENT PUMP FOR 1401-J202A</t>
  </si>
  <si>
    <t>AUX. COOLENT PUMP FOR 1401-J202A</t>
  </si>
  <si>
    <t>BARRING DEVICE MOTOTR FOR 1401-J202A</t>
  </si>
  <si>
    <t>MAIN MOTOR SPACE HEATER FOR 1401-J202A</t>
  </si>
  <si>
    <t>WATER TANK HEATER FOR 1401-J202A</t>
  </si>
  <si>
    <t>UCP CABINET (NON-UPS) FOR 1401-J202A (230 V)</t>
  </si>
  <si>
    <t>REMOTE I/O CABINET FOR 1401-J202A</t>
  </si>
  <si>
    <t>MMS CABINET FOR1401-J202A</t>
  </si>
  <si>
    <t>MAIN LUBE OIL PUMP FOR 1401-J202B</t>
  </si>
  <si>
    <t>AUX. LUBE OIL PUMP FOR 1401-J202B</t>
  </si>
  <si>
    <t>MAIN COOLENT PUMP FOR 1401-J202B</t>
  </si>
  <si>
    <t>AUX. COOLENT PUMP FOR 1401-J202B</t>
  </si>
  <si>
    <t>BARRING DEVICE MOTOTR FOR 1401-J202B</t>
  </si>
  <si>
    <t>MAIN MOTOR SPACE HEATER FOR 1401-J202B</t>
  </si>
  <si>
    <t>WATER TANK HEATER FOR 1401-J202B</t>
  </si>
  <si>
    <t>REMOTE I/O CABINET FOR 1401-J202B</t>
  </si>
  <si>
    <t>MMS CABINET FOR 1401-J202B</t>
  </si>
  <si>
    <t>HPU system motor</t>
  </si>
  <si>
    <t>ISC PANEL (NON-UPS) FOR 1401-J202A (230 V)</t>
  </si>
  <si>
    <t>ISC PANEL (NON-UPS) (230 V)</t>
  </si>
  <si>
    <t>Auxiliary  H2 Compressor (1401-J-203B)</t>
  </si>
  <si>
    <t>AUX. LUBE OIL PUMP FOR 1401-J203A</t>
  </si>
  <si>
    <t>MAIN LUBE OIL PUMP FOR 1401-J203A</t>
  </si>
  <si>
    <t>MAIN COOLENT PUMP FOR 1401-J203A/B &amp; 1401-J202A/B</t>
  </si>
  <si>
    <t>MAIN COOLENT PUMP FOR 1401-J203A/B &amp; 1401-J202A/B-SPACE HEATER</t>
  </si>
  <si>
    <t>AUX. COOLENT PUMP FOR 1401-J203A/B &amp; 1401-J202A/B</t>
  </si>
  <si>
    <t>AUX. COOLENT PUMP FOR 1401-J203A/B &amp; 1401-J202A/B-SPACE HEATER</t>
  </si>
  <si>
    <t>BARRING DEVICE MOTOTR FOR 1401-J203A</t>
  </si>
  <si>
    <t>MAIN MOTOR SPACE HEATER FOR  1401-J203A</t>
  </si>
  <si>
    <t>WATER TANK HEATER FOR 1401-J203A</t>
  </si>
  <si>
    <t>AUX. LUBE OIL PUMP FOR 1401-J203B</t>
  </si>
  <si>
    <t>MAIN LUBE OIL PUMP FOR1401-J203B</t>
  </si>
  <si>
    <t>MAIN COOLENT PUMP FOR 1401-J203B</t>
  </si>
  <si>
    <t>AUX. COOLENT PUMP FOR 1401-J203B</t>
  </si>
  <si>
    <t>BARRING DEVICE MOTOTR FOR 1401-J203B</t>
  </si>
  <si>
    <t>FRAME OIL HEATER FOR 1401-J203</t>
  </si>
  <si>
    <t>MAIN MOTOR SPACE HEATER FOR 1401-J203 B</t>
  </si>
  <si>
    <t>WATER TANK HEATER FOR  1401-J203B</t>
  </si>
  <si>
    <t>UCP CABINET (NON-UPS) FOR 1401-J203A (230 V)</t>
  </si>
  <si>
    <t>Sea water intake outfall package _ Intake   facilities/Intake  Structure package (connected load)</t>
  </si>
  <si>
    <t>MOV ON Screen Backwash pump</t>
  </si>
  <si>
    <t>Cooling Tower package</t>
  </si>
  <si>
    <t>MOV ON COOLING WATER BYPASS LINE</t>
  </si>
  <si>
    <t>1421-UPS-5-0001</t>
  </si>
  <si>
    <t>OUTGOING FEEDER FOR UPS -1 / MAIN SUBSTATION - FEEDER-1</t>
  </si>
  <si>
    <t>OUTGOING FEEDER FOR UPS -1 / MAIN SUBSTATION - FEEDER-2</t>
  </si>
  <si>
    <t>OUTGOING FEEDER FOR UPS -1 / MAIN SUBSTATION - FEEDER-3</t>
  </si>
  <si>
    <t>1421-BC-6-0001</t>
  </si>
  <si>
    <t>OUTGOING FEEDER FOR  BATTERY CHARGER - MAIN SUBSTATION  - FEEDER-1</t>
  </si>
  <si>
    <t>1421-BC-6-0002</t>
  </si>
  <si>
    <t>OUTGOING FEEDER FOR  BATTERY CHARGER - MAIN SUBSTATION  - FEEDER-2</t>
  </si>
  <si>
    <t>1421-EMLDB-4-0001</t>
  </si>
  <si>
    <t>OUTGOING FEEDER FOR EMERGENCY MAIN LIGHTING DB-1 
(MAIN SUBSTATION BUILDING)</t>
  </si>
  <si>
    <t>1420-EMLDB-4-0002</t>
  </si>
  <si>
    <t>OUTGOING FEEDER FOR EMERGENCY MAIN LIGHTING DB-2
(COOLING TOWER SUBSTATION)</t>
  </si>
  <si>
    <t>1402-EMLDB-4-0003</t>
  </si>
  <si>
    <t>OUTGOING FEEDER FOR EMERGENCY MAIN LIGHTING DB-3
(NH3 STORAGE SUBSTATION)</t>
  </si>
  <si>
    <t>AMMONIA STORAGE SUBSTATION</t>
  </si>
  <si>
    <t>1409-EMLDB-4-0004</t>
  </si>
  <si>
    <t>OUTGOING FEEDER FOR EMERGENCY MAIN LIGHTING DB-4
(SEA WATER TREATMENT SUBSTATION)</t>
  </si>
  <si>
    <t>SEA WATER TREATMENT SUBSTATION</t>
  </si>
  <si>
    <t>1409-EMLDB-4-0005</t>
  </si>
  <si>
    <t>OUTGOING FEEDER FOR EMERGENCY MAIN LIGHTING DB-5
(ELECTROLYZER SUBSTATION)</t>
  </si>
  <si>
    <t>ELECTROLYZER SUBSTATION</t>
  </si>
  <si>
    <t>EPMCC-1
(INCOMER-1)</t>
  </si>
  <si>
    <t>EPMCC-1
(INCOMER-2)</t>
  </si>
  <si>
    <t>PDB-1</t>
  </si>
  <si>
    <t>HVAC SYSTEM</t>
  </si>
  <si>
    <t>ROOFTOP UNIT-1</t>
  </si>
  <si>
    <t>ROOFTOP UNIT-1-SPACE HEATER</t>
  </si>
  <si>
    <t>HEATER-1</t>
  </si>
  <si>
    <t>HUMIDIFIER-1</t>
  </si>
  <si>
    <t>ROOFTOP UNIT-2</t>
  </si>
  <si>
    <t>ROOFTOP UNIT-2-SPACE HEATER</t>
  </si>
  <si>
    <t>HEATER-2</t>
  </si>
  <si>
    <t>HUMIDIFIER-2</t>
  </si>
  <si>
    <t>HVAC DB-001</t>
  </si>
  <si>
    <t>1422-ACDB-4-0002</t>
  </si>
  <si>
    <t>ROOFTOP UNIT1</t>
  </si>
  <si>
    <t>ROOFTOP UNIT1-SPACE HEATER</t>
  </si>
  <si>
    <t>ROOFTOP UNIT2</t>
  </si>
  <si>
    <t>ROOFTOP UNIT2-SPACE HEATER</t>
  </si>
  <si>
    <t>BATTERY ROOM-VENTILATION FAN 1</t>
  </si>
  <si>
    <t>BATTERY ROOM-VENTILATION FAN 2</t>
  </si>
  <si>
    <t>LV SWITCHGEAR ROOM  VENTILATION FAN 1</t>
  </si>
  <si>
    <t>LV SWITCHGEAR ROOM  VENTILATION FAN 2</t>
  </si>
  <si>
    <t>LV SWITCHGEAR ROOM  VENTILATION FAN 3</t>
  </si>
  <si>
    <t>MV SWITCHGEAR ROOM  VENTILATION FAN 1</t>
  </si>
  <si>
    <t>MV SWITCHGEAR ROOM  VENTILATION FAN 2</t>
  </si>
  <si>
    <t>MV SWITCHGEAR ROOM  VENTILATION FAN 3</t>
  </si>
  <si>
    <t>ELECTRICAL SHIFT INCHARGE RM - SPLIT AC 1</t>
  </si>
  <si>
    <t>BATTERY ROOM - SPLIT AC 1</t>
  </si>
  <si>
    <t>BATTERY ROOM - SPLIT AC 2</t>
  </si>
  <si>
    <t>BATTERY ROOM - SPLIT AC 3</t>
  </si>
  <si>
    <t>BATTERY ROOM - SPLIT AC 4</t>
  </si>
  <si>
    <t>1421-ACDB-4-0001</t>
  </si>
  <si>
    <t>OUTGOING FEEDER FOR 400V ACDB-1 / FEEDER-1</t>
  </si>
  <si>
    <t>OUTGOING FEEDER FOR 400V ACDB-1 / FEEDER-2</t>
  </si>
  <si>
    <t>PDB - 1
(INCOMER 1)</t>
  </si>
  <si>
    <t>PDB - 1
(INCOMER 2)</t>
  </si>
  <si>
    <t>ACDB-1</t>
  </si>
  <si>
    <t>AUX POWER SUPPLY - 33kV SWITCHGEAR - 1</t>
  </si>
  <si>
    <t>AUX POWER SUPPLY - 33kV SWITCHGEAR - 2</t>
  </si>
  <si>
    <t>1421-SWG-2-0001</t>
  </si>
  <si>
    <t>AUX POWER SUPPLY - 11kV SWITCHGEAR - 1</t>
  </si>
  <si>
    <t>AUX POWER SUPPLY - 11kV SWITCHGEAR - 2</t>
  </si>
  <si>
    <t>AUX POWER SUPPLY - PMCC-1 (BUS-A)</t>
  </si>
  <si>
    <t>AUX POWER SUPPLY - PMCC-1 (BUS-B)</t>
  </si>
  <si>
    <t>1421-TFP-1-0001</t>
  </si>
  <si>
    <t>AUX POWER SUPPLY - POWER TRANSFORMER - 1</t>
  </si>
  <si>
    <t>1421-TFP-1-0002</t>
  </si>
  <si>
    <t>AUX POWER SUPPLY - POWER TRANSFORMER - 2</t>
  </si>
  <si>
    <t>AUX POWER SUPPLY SEGREGATED PHASE BUSDUCT SYSTEM-1A</t>
  </si>
  <si>
    <t>AUX POWER SUPPLY SEGREGATED PHASE BUSDUCT SYSTEM-1B</t>
  </si>
  <si>
    <t>AUX POWER SUPPLY NSPBD SYSTEM-1A</t>
  </si>
  <si>
    <t>AUX POWER SUPPLY NSPBD SYSTEM-1B</t>
  </si>
  <si>
    <t>1421-TFD-2-0001</t>
  </si>
  <si>
    <t>AUX POWER SUPPLY DISTRIBUTION TRANSFORMER-1</t>
  </si>
  <si>
    <t>1421-TFD-2-0002</t>
  </si>
  <si>
    <t>AUX POWER SUPPLY DISTRIBUTION TRANSFORMER-2</t>
  </si>
  <si>
    <t>POWER TRANSFORMER OLTC-1</t>
  </si>
  <si>
    <t>POWER TRANSFORMER OLTC-2</t>
  </si>
  <si>
    <t>ACDB-1
(INCOMER 1)</t>
  </si>
  <si>
    <t>ACDB-1
(INCOMER 2)</t>
  </si>
  <si>
    <t>MLDB-1</t>
  </si>
  <si>
    <t>NLP-001</t>
  </si>
  <si>
    <t>MLDB-01</t>
  </si>
  <si>
    <t>LIGHTING DB-001</t>
  </si>
  <si>
    <t>NLP-002</t>
  </si>
  <si>
    <t>LIGHTING DB-002</t>
  </si>
  <si>
    <t>NLP-003</t>
  </si>
  <si>
    <t>LIGHTING DB-003</t>
  </si>
  <si>
    <t>ASU PACKAGE (VENDOR PACKAGE)</t>
  </si>
  <si>
    <t>NLP-004</t>
  </si>
  <si>
    <t>LIGHTING DB-004</t>
  </si>
  <si>
    <t>NLP-005</t>
  </si>
  <si>
    <t>LIGHTING DB-005</t>
  </si>
  <si>
    <t>INSTRUMENT AIR PACKAGE (VENDOR PACKAGE)</t>
  </si>
  <si>
    <t>NLP-006</t>
  </si>
  <si>
    <t>LIGHTING DB-006</t>
  </si>
  <si>
    <t>HYDROGEN STORAGE AREA</t>
  </si>
  <si>
    <t>NLP-007</t>
  </si>
  <si>
    <t>STREET LIGHTING DB- 01</t>
  </si>
  <si>
    <t>HM-001</t>
  </si>
  <si>
    <t>HIGH MAST-001</t>
  </si>
  <si>
    <t>NEAR HYDROGEN STORAGE AREA</t>
  </si>
  <si>
    <t>HM-002</t>
  </si>
  <si>
    <t>HIGH MAST-002</t>
  </si>
  <si>
    <t>HM-003</t>
  </si>
  <si>
    <t>HIGH MAST-003</t>
  </si>
  <si>
    <t>HM-004</t>
  </si>
  <si>
    <t>HIGH MAST-004</t>
  </si>
  <si>
    <t>HM-005</t>
  </si>
  <si>
    <t>HIGH MAST-005</t>
  </si>
  <si>
    <t>NEAR MAIN SUBSTATION AREA FIRE DRILL POINT</t>
  </si>
  <si>
    <t>MAIN LIGHTING DB-001 (INCOMER-1)</t>
  </si>
  <si>
    <t>MAIN LIGHTING DB-001 (INCOMER-2)</t>
  </si>
  <si>
    <t>EMLDB-1</t>
  </si>
  <si>
    <t>ELP-001</t>
  </si>
  <si>
    <t>EMERGENCY LIGHTING DB-001</t>
  </si>
  <si>
    <t>ELP-002</t>
  </si>
  <si>
    <t>EMERGENCY LIGHTING DB-002</t>
  </si>
  <si>
    <t>ELP-003</t>
  </si>
  <si>
    <t>EMLDB-01</t>
  </si>
  <si>
    <t>EMERGENCY LIGHTING DB-003</t>
  </si>
  <si>
    <t>ELP-004</t>
  </si>
  <si>
    <t>EMERGENCY LIGHTING DB-004</t>
  </si>
  <si>
    <t>ELP-005</t>
  </si>
  <si>
    <t>EMERGENCY LIGHTING DB-005</t>
  </si>
  <si>
    <t>ELP-006</t>
  </si>
  <si>
    <t>EMERGENCY LIGHTING DB-006</t>
  </si>
  <si>
    <t>ELP-007</t>
  </si>
  <si>
    <t>EMERGENCY STREET LIGHTING DB- 01</t>
  </si>
  <si>
    <t>EMERGENCY MAIN LIGHTING DB-001 (INCOMER)</t>
  </si>
  <si>
    <t>WDB-1</t>
  </si>
  <si>
    <t>WSDB-001</t>
  </si>
  <si>
    <t>WDB-01</t>
  </si>
  <si>
    <t>POWER RECEPTACLE DB-001</t>
  </si>
  <si>
    <t>WSDB-002</t>
  </si>
  <si>
    <t>POWER RECEPTACLE DB-002</t>
  </si>
  <si>
    <t>WSDB-003</t>
  </si>
  <si>
    <t>POWER RECEPTACLE DB-003</t>
  </si>
  <si>
    <t>WSDB-004</t>
  </si>
  <si>
    <t>POWER RECEPTACLE DB-004</t>
  </si>
  <si>
    <t>WSDB-005</t>
  </si>
  <si>
    <t>POWER RECEPTACLE DB-005</t>
  </si>
  <si>
    <t xml:space="preserve"> INSTRUMENT AIR PACKAGE (VENDOR PACKAGE)</t>
  </si>
  <si>
    <t>WSDB-006</t>
  </si>
  <si>
    <t>POWER RECEPTACLE DB-006</t>
  </si>
  <si>
    <t>WS-001 &amp; 002</t>
  </si>
  <si>
    <t>WELDING SOCKET -001 &amp; 002</t>
  </si>
  <si>
    <t>WS-003</t>
  </si>
  <si>
    <t>WELDING SOCKET -003</t>
  </si>
  <si>
    <t>WS-004 &amp; 005</t>
  </si>
  <si>
    <t>WELDING SOCKET -004 &amp; 005</t>
  </si>
  <si>
    <t>ASU/ INSTRUMENT AIR PACKAGE</t>
  </si>
  <si>
    <t>WS-006 &amp; 007</t>
  </si>
  <si>
    <t>WELDING SOCKET -006 &amp; 007</t>
  </si>
  <si>
    <t>WELDING &amp; RECEPTACLE DB-001 (INCOMER)</t>
  </si>
  <si>
    <t>MAIN UPS DB-1</t>
  </si>
  <si>
    <t>1422-UPS-SDB-4-0001</t>
  </si>
  <si>
    <t>AC UPS SUB DB-1_FEEDER-1</t>
  </si>
  <si>
    <t>AC UPS SUB DB-1_FEEDER-2</t>
  </si>
  <si>
    <t>1417-UPS-SDB-4-0002</t>
  </si>
  <si>
    <t>AC UPS SUB DB-2_FEEDER</t>
  </si>
  <si>
    <t>Electrolyzer Electrical Building</t>
  </si>
  <si>
    <t>1417-UPS-SDB-4-0003</t>
  </si>
  <si>
    <t>AC UPS SUB DB-3_FEEDER</t>
  </si>
  <si>
    <t>1402-UPS-SDB-4-0004</t>
  </si>
  <si>
    <t>AC UPS SUB DB-4_FEEDER-1</t>
  </si>
  <si>
    <t>Ammonia Storage Substation</t>
  </si>
  <si>
    <t>AC UPS SUB DB-4_FEEDER-2</t>
  </si>
  <si>
    <t>1409-UPS-SDB-4-0005</t>
  </si>
  <si>
    <t>AC UPS SUB DB-5_FEEDER-1</t>
  </si>
  <si>
    <t>Sea Water Treatment Substation</t>
  </si>
  <si>
    <t>AC UPS SUB DB-5_FEEDER-2</t>
  </si>
  <si>
    <t>1422-UPSDB-4-0001</t>
  </si>
  <si>
    <t>UPS-1</t>
  </si>
  <si>
    <t>AC UPSDB-1 (INCOMER-1)</t>
  </si>
  <si>
    <t>AC UPSDB-1 (INCOMER-2)</t>
  </si>
  <si>
    <t>CENTRAL CONTROL BUILDING HVAC DB</t>
  </si>
  <si>
    <t>BATTERY ROOM - VENTILATION FAN 1</t>
  </si>
  <si>
    <t>BATTERY ROOM 2 - VENTILATION FAN 2</t>
  </si>
  <si>
    <t>LADIES &amp; GENTS TOILET - VENTILATION FAN</t>
  </si>
  <si>
    <t>CLEAN AGENT ROOM</t>
  </si>
  <si>
    <t>UPS ROOM - SPLIT AC 1</t>
  </si>
  <si>
    <t>UPS ROOM - SPLIT AC 2</t>
  </si>
  <si>
    <t>UPS ROOM - SPLIT AC 3</t>
  </si>
  <si>
    <t>UPS ROOM - SPLIT AC 4</t>
  </si>
  <si>
    <t xml:space="preserve">INSTRUMENTATION MANAGER - SPLIT AC </t>
  </si>
  <si>
    <t xml:space="preserve">APC/MES MANAGER ROOM - SPLIT AC </t>
  </si>
  <si>
    <t xml:space="preserve">GENTS PRAYER ROOM - SPLIT AC </t>
  </si>
  <si>
    <t xml:space="preserve">LADIES PRAYER ROOM - SPLIT AC </t>
  </si>
  <si>
    <t xml:space="preserve">SHIFT INCHARGE ROOM - SPLIT AC </t>
  </si>
  <si>
    <t xml:space="preserve">NH3 PLANT MANAGER ROOM - SPLIT AC </t>
  </si>
  <si>
    <t xml:space="preserve">PRODUCTION SR MANAGER ROOM - SPLIT AC </t>
  </si>
  <si>
    <t>CONFERENCE ROOM - SPLIT AC 1</t>
  </si>
  <si>
    <t>CONFERENCE ROOM - SPLIT AC 2</t>
  </si>
  <si>
    <t xml:space="preserve">DINING ROOM - SPLIT AC </t>
  </si>
  <si>
    <t>SHIFT IN-CHARGE ROOM-SPLIT AC</t>
  </si>
  <si>
    <t>WAITING HALL - SPLIT AC</t>
  </si>
  <si>
    <t>HVAC DB-2 INCOMER</t>
  </si>
  <si>
    <t>Unit</t>
  </si>
  <si>
    <t>Location As per Plot Plan</t>
  </si>
  <si>
    <t>6.6kV MV Switchgear</t>
  </si>
  <si>
    <t>Incomer-1 from Unit Auxiliary Transformer (11/6.9kV)-1</t>
  </si>
  <si>
    <t>COMMON</t>
  </si>
  <si>
    <t>3Phase</t>
  </si>
  <si>
    <t>3.8/6.6</t>
  </si>
  <si>
    <t>1a</t>
  </si>
  <si>
    <t>Unit Auxiliary Transformer (11/6.9kV)-1 NGR</t>
  </si>
  <si>
    <t>1Phase</t>
  </si>
  <si>
    <t>Incomer-2 from Unit Auxiliary Transformer (11/6.9kV)-2</t>
  </si>
  <si>
    <t>2a</t>
  </si>
  <si>
    <t>Unit Auxiliary Transformer (11/6.9kV)-2 NGR</t>
  </si>
  <si>
    <t xml:space="preserve">Incomer from BSDG 6.6kV Switchgear incomer-1 </t>
  </si>
  <si>
    <t>Incomer from BSDG 6.6kV Switchgear incomer-2</t>
  </si>
  <si>
    <t>Incomer from BSDG 6.6kV Switchgear incomer-3</t>
  </si>
  <si>
    <t>0.00</t>
  </si>
  <si>
    <t>YES</t>
  </si>
  <si>
    <t>Incomer from BSDG 6.6kV Switchgear incomer-4</t>
  </si>
  <si>
    <t>CPP-Distribution Transformer-1 (6.6/0.72kV) (GTG PMCC-690V)</t>
  </si>
  <si>
    <t>CPP-Distribution Transformer-2 (6.6/0.72kV) (GTG PMCC-690V)</t>
  </si>
  <si>
    <t>CPP-Distribution Transformer-3 (6.6/0.42kV) (STG PMCC-400V)</t>
  </si>
  <si>
    <t>CPP-Distribution Transformer-4 (6.6/0.422kV) (STG PMCC-400V)</t>
  </si>
  <si>
    <t>CPP-Distribution Transformer-4 (6.6/0.42kV) (STG PMCC-400V)</t>
  </si>
  <si>
    <t>CAPACITOR BANK FEEDER-1</t>
  </si>
  <si>
    <t>CAPACITOR BANK FEEDER-2</t>
  </si>
  <si>
    <t>GT FUEL COMPRESSOR MOTOR-1</t>
  </si>
  <si>
    <t>Fuel Gas receiving &amp; metering station</t>
  </si>
  <si>
    <t>GT FUEL COMPRESSOR MOTOR-2</t>
  </si>
  <si>
    <t>GT FUEL COMPRESSOR MOTOR-3 (STANDBY)</t>
  </si>
  <si>
    <t>HRSG FEED WATER PUMP-1</t>
  </si>
  <si>
    <t>STG Building</t>
  </si>
  <si>
    <t>HRSG FEED WATER PUMP-2</t>
  </si>
  <si>
    <t>HRSG WATER PUMP-3 (STANDBY)</t>
  </si>
  <si>
    <t>Load commutating invertor (SFC)</t>
  </si>
  <si>
    <t>Ambient temperature (40°C) (K1)</t>
  </si>
  <si>
    <t xml:space="preserve">Grouping factor (K2) 
4 trafoil groups,
6 tier trays with Touching
</t>
  </si>
  <si>
    <t xml:space="preserve">Grouping factor (K2) 
Duct Spacing (3 cables) 150mm
Centre to Centre &amp; 3 tier trays with spacing
</t>
  </si>
  <si>
    <t>4C X 25</t>
  </si>
  <si>
    <t>4C X 35</t>
  </si>
  <si>
    <t>4C X 50</t>
  </si>
  <si>
    <t>4C X 70</t>
  </si>
  <si>
    <t>4C X 95</t>
  </si>
  <si>
    <t>4C X 120</t>
  </si>
  <si>
    <t>4C X 150</t>
  </si>
  <si>
    <t>4C X 185</t>
  </si>
  <si>
    <t>4C X 240</t>
  </si>
  <si>
    <t>4C X 300</t>
  </si>
  <si>
    <t>4C X 400</t>
  </si>
  <si>
    <t>APCh-CPP-CABLE TRAY BOQ</t>
  </si>
  <si>
    <t>Inside Electrical room-Cable celler (GF)</t>
  </si>
  <si>
    <t>Inside Electrical room-Cable celler (SF)</t>
  </si>
  <si>
    <t xml:space="preserve">For outside rack upto electrical room - north side </t>
  </si>
  <si>
    <t xml:space="preserve">For outside rack upto electrical room - north side to south side rack upto HRSG </t>
  </si>
  <si>
    <t>from Rack to BSDG Building</t>
  </si>
  <si>
    <t>Voltage</t>
  </si>
  <si>
    <t>Tray Type</t>
  </si>
  <si>
    <t>Tray size</t>
  </si>
  <si>
    <t>NOS</t>
  </si>
  <si>
    <t>no. of motors</t>
  </si>
  <si>
    <t>Purpose</t>
  </si>
  <si>
    <t>Inside electrical room cable cellar (below GTG Panel)</t>
  </si>
  <si>
    <t>Inside electrical room cable cellar (below STG Panel)</t>
  </si>
  <si>
    <t>Inside electrical room cable cellar (below 6.6kv Panel)</t>
  </si>
  <si>
    <t>Inside electrical room cable cellar CROSSING (below 6.6kv Panel)</t>
  </si>
  <si>
    <t>Inside electrical room cable cellar (below 33kv Panel)</t>
  </si>
  <si>
    <t>Inside electrical room cable cellar Crossing (below 33kv Panel)</t>
  </si>
  <si>
    <t>Battery room side</t>
  </si>
  <si>
    <t>Inside electrical room 2nd floor cable cellar (below 150kv Panel)</t>
  </si>
  <si>
    <t>Inside electrical room dropper (below 150kv Panel)</t>
  </si>
  <si>
    <t>Inside electrical room 2nd floor cable cellar (150kv Control)</t>
  </si>
  <si>
    <t>raiser &amp; droppers</t>
  </si>
  <si>
    <t>from electrical building edge to north side pipe rack connecting</t>
  </si>
  <si>
    <t>Rack on front side  Electrical building</t>
  </si>
  <si>
    <t>from north side pipe rack to north &amp; south side pipe rack connectivity</t>
  </si>
  <si>
    <t>from north &amp; south side pipe rack to GTG -1 Electrical room crossing</t>
  </si>
  <si>
    <t>from north side pipe to crossing towards GTG -1 side to Electrical room (GTG-1)</t>
  </si>
  <si>
    <t>from pipe rack crossing GTG -1 side to GTG-2 crossing pipe rack</t>
  </si>
  <si>
    <t>from crossing pipe rack towards GTG -2 side to Electrical room (GTG-2)</t>
  </si>
  <si>
    <t>crossing from celler to STG</t>
  </si>
  <si>
    <t>Crossing from rack to STG package</t>
  </si>
  <si>
    <t>from north side pipe rack to south side side pipe rack connectivity towards HRSG-1 side</t>
  </si>
  <si>
    <t>from north side pipe rack to STG Pckage</t>
  </si>
  <si>
    <t>from south side side pipe rack connectivity towards HRSG-1</t>
  </si>
  <si>
    <t>from south side side pipe rack crossing to HRSG-1 area</t>
  </si>
  <si>
    <t>From South side HRSG - to HRSG-2 crossing</t>
  </si>
  <si>
    <t>from south side side pipe rack crossing HRSG-2 to HRSG area</t>
  </si>
  <si>
    <t>from north side pipe rack to BSDG Building</t>
  </si>
  <si>
    <t>from Rack to inside building</t>
  </si>
  <si>
    <t>dropping near equipment</t>
  </si>
  <si>
    <t>Total Quantity</t>
  </si>
  <si>
    <t>Route no.</t>
  </si>
  <si>
    <t>EB-1</t>
  </si>
  <si>
    <t>EB-2</t>
  </si>
  <si>
    <t>EB-3</t>
  </si>
  <si>
    <t>EB-3A</t>
  </si>
  <si>
    <t>EB-4</t>
  </si>
  <si>
    <t>EB-4A</t>
  </si>
  <si>
    <t>EB-4B+C</t>
  </si>
  <si>
    <t>EB-5</t>
  </si>
  <si>
    <t>EB-5A</t>
  </si>
  <si>
    <t>EB-5B</t>
  </si>
  <si>
    <t>OSN-1</t>
  </si>
  <si>
    <t>OSN-2</t>
  </si>
  <si>
    <t>OSN-3</t>
  </si>
  <si>
    <t>OSN-4</t>
  </si>
  <si>
    <t>OSN-5</t>
  </si>
  <si>
    <t>OSN-6</t>
  </si>
  <si>
    <t>OSN-7</t>
  </si>
  <si>
    <t>OSN-8</t>
  </si>
  <si>
    <t>OSN-8A</t>
  </si>
  <si>
    <t>OSN-8B</t>
  </si>
  <si>
    <t>OSS-1</t>
  </si>
  <si>
    <t>OSS-1A</t>
  </si>
  <si>
    <t>OSS-2</t>
  </si>
  <si>
    <t>OSS-3</t>
  </si>
  <si>
    <t>OSS-4</t>
  </si>
  <si>
    <t>OSS-5</t>
  </si>
  <si>
    <t>OSB-1</t>
  </si>
  <si>
    <t>OSB-2</t>
  </si>
  <si>
    <t>Length</t>
  </si>
  <si>
    <t>Cable Trays for Electrical Power Cable</t>
  </si>
  <si>
    <t>150kV-P</t>
  </si>
  <si>
    <t>Ladder</t>
  </si>
  <si>
    <t>L-600</t>
  </si>
  <si>
    <t>GSUT</t>
  </si>
  <si>
    <t>L-300</t>
  </si>
  <si>
    <t>L-150</t>
  </si>
  <si>
    <t>33kV-P</t>
  </si>
  <si>
    <t>6.6kV-P</t>
  </si>
  <si>
    <t>6.6kv Incoming-BSDG</t>
  </si>
  <si>
    <t xml:space="preserve">6.6kv motors </t>
  </si>
  <si>
    <t>LV GTG-P</t>
  </si>
  <si>
    <t>GTG Panels</t>
  </si>
  <si>
    <t>LV STG-P</t>
  </si>
  <si>
    <t>STG Motors</t>
  </si>
  <si>
    <t>Droppets</t>
  </si>
  <si>
    <t>Cable Trays for Electrical control Cable</t>
  </si>
  <si>
    <t>LV -C</t>
  </si>
  <si>
    <t>P-600</t>
  </si>
  <si>
    <t>P-300</t>
  </si>
  <si>
    <t>P-150</t>
  </si>
  <si>
    <t>Size</t>
  </si>
  <si>
    <t>Quantity in Mtrs</t>
  </si>
  <si>
    <t>Quantity with 5% margin in Mtrs</t>
  </si>
  <si>
    <t>Horizontal Bends (Nos)</t>
  </si>
  <si>
    <t>Vertical Bends
(Nos)</t>
  </si>
  <si>
    <t>Tee Bends
(Nos)</t>
  </si>
  <si>
    <t>Reducer
(Nos)</t>
  </si>
  <si>
    <t>Tray Support
C-CHANNEL:
(75*40*40*6)mm
Mtrs</t>
  </si>
  <si>
    <t>Tray Support 
ANGLE: (50*50*6)mm
mtrs</t>
  </si>
  <si>
    <t>Ladder Type Cable Tray</t>
  </si>
  <si>
    <t>Perforated Type Cable Tray</t>
  </si>
  <si>
    <t>Perforated Type Cable Tray -Cover</t>
  </si>
  <si>
    <t>BSDG</t>
  </si>
  <si>
    <t>inside</t>
  </si>
  <si>
    <t>outside</t>
  </si>
  <si>
    <t>GTG requred</t>
  </si>
  <si>
    <t>1200mm</t>
  </si>
  <si>
    <t>STG requred</t>
  </si>
  <si>
    <t>1800mm</t>
  </si>
  <si>
    <t>6.6kv</t>
  </si>
  <si>
    <t>150kV</t>
  </si>
  <si>
    <t>LV POWER CABLE SIZING</t>
  </si>
  <si>
    <t>Short circuit current of switchboard
(ka)</t>
  </si>
  <si>
    <t>Current Rating of the Cable (a)</t>
  </si>
  <si>
    <t>ambient temperature (K1)</t>
  </si>
  <si>
    <t>Derated current carrying capacity (a)</t>
  </si>
  <si>
    <t xml:space="preserve">  % VOLTaGE DROP DURING RUNNING CONDITION </t>
  </si>
  <si>
    <t>% VOLTaGE DROP WITHIN PERMISSIBLE LIMIT
(YES/NO)</t>
  </si>
  <si>
    <t xml:space="preserve">  % VOLTAGE DROP DURING STaRTING CONDITION </t>
  </si>
  <si>
    <t>% VOLTaGE DROP WITHIN PERMISSIBLE LIMIT DURING STaRTING CONDITION
(YES/NO)</t>
  </si>
  <si>
    <t>PMCC-2</t>
  </si>
  <si>
    <t>FIRE SYSTEM</t>
  </si>
  <si>
    <t>1418-P1001A</t>
  </si>
  <si>
    <t>JOCKEY PUMP-1</t>
  </si>
  <si>
    <t>JOCKEY PUMP-1-SPACE HEATER</t>
  </si>
  <si>
    <t>1418-P002A</t>
  </si>
  <si>
    <t>JOCKEY PUMP-2</t>
  </si>
  <si>
    <t>JOCKEY PUMP-2-SPACE HEATER</t>
  </si>
  <si>
    <t>MAIN FIRE PUMP - 1 (230V)</t>
  </si>
  <si>
    <t>1418-P004A</t>
  </si>
  <si>
    <t>MAIN FIRE PUMP - 2 (230V)</t>
  </si>
  <si>
    <t>1418-P005A</t>
  </si>
  <si>
    <t>STANDBY FIRE PUMP - 1 (230V)</t>
  </si>
  <si>
    <t>1418-P006A</t>
  </si>
  <si>
    <t>STANDBY FIRE PUMP - 2 (230V)</t>
  </si>
  <si>
    <t> </t>
  </si>
  <si>
    <t>1407-PK-001A</t>
  </si>
  <si>
    <t>COOLING TOWER FAN - A</t>
  </si>
  <si>
    <t xml:space="preserve">COOLING TOWER FAN - A-SPACE HEATER </t>
  </si>
  <si>
    <t>1407-PK-001B</t>
  </si>
  <si>
    <t>COOLING TOWER FAN - B</t>
  </si>
  <si>
    <t xml:space="preserve">COOLING TOWER FAN - B-SPACE HEATER </t>
  </si>
  <si>
    <t>1407-PK-001C</t>
  </si>
  <si>
    <t>COOLING TOWER FAN - C</t>
  </si>
  <si>
    <t xml:space="preserve">COOLING TOWER FAN - C-SPACE HEATER </t>
  </si>
  <si>
    <t>1407-PK-001D</t>
  </si>
  <si>
    <t>COOLING TOWER FAN - D</t>
  </si>
  <si>
    <t xml:space="preserve">COOLING TOWER FAN - D-SPACE HEATER </t>
  </si>
  <si>
    <t>1407-PK-001E</t>
  </si>
  <si>
    <t>COOLING TOWER FAN - E</t>
  </si>
  <si>
    <t xml:space="preserve">COOLING TOWER FAN - E-SPACE HEATER </t>
  </si>
  <si>
    <t>1407-PK-001F</t>
  </si>
  <si>
    <t>COOLING TOWER FAN - F</t>
  </si>
  <si>
    <t xml:space="preserve">COOLING TOWER FAN - F-SPACE HEATER </t>
  </si>
  <si>
    <t>1407-PK-001G</t>
  </si>
  <si>
    <t>COOLING TOWER FAN - G</t>
  </si>
  <si>
    <t xml:space="preserve">COOLING TOWER FAN - G-SPACE HEATER </t>
  </si>
  <si>
    <t>SSF FEED PUMP- A</t>
  </si>
  <si>
    <t>SSF FEED PUMP- A-SPACE HEATER</t>
  </si>
  <si>
    <t>SSF FEED PUMP- B</t>
  </si>
  <si>
    <t>SSF FEED PUMP- B-SPACE HEATER</t>
  </si>
  <si>
    <t>SSF FEED PUMP- C</t>
  </si>
  <si>
    <t>SSF FEED PUMP- C-SPACE HEATER</t>
  </si>
  <si>
    <t>SSF BACKWASH PUMP- A</t>
  </si>
  <si>
    <t>SSF BACKWASH PUMP- A-SPACE HEATER</t>
  </si>
  <si>
    <t>SSF BACKWASH PUMP- B</t>
  </si>
  <si>
    <t>SSF BACKWASH PUMP- B-SPACE HEATER</t>
  </si>
  <si>
    <t xml:space="preserve">Chemical dosing for CT package </t>
  </si>
  <si>
    <t>ANTISCALANT DOING PUMP A</t>
  </si>
  <si>
    <t>ANTISCALANT DSING PUMP B</t>
  </si>
  <si>
    <t>ANTI SCALANT AGITATOR</t>
  </si>
  <si>
    <t>COROSSION INHIBITOR DOSING PUMP -A</t>
  </si>
  <si>
    <t>COROSSION INHIBITOR DOSING PUMP -B</t>
  </si>
  <si>
    <t>COROSSION INHIBITOR AGITATOR</t>
  </si>
  <si>
    <t>BIOCIDE DOSING PUMP -A</t>
  </si>
  <si>
    <t>BIOCIDE DOSING PUMP -B</t>
  </si>
  <si>
    <t>BIOCIDE AGITATOR</t>
  </si>
  <si>
    <t>H2SO4 DOSING PUMP -A</t>
  </si>
  <si>
    <t>H2SO4 DOSING PUMP -B</t>
  </si>
  <si>
    <t>H2SO4 AGITATOR</t>
  </si>
  <si>
    <t xml:space="preserve">General Service Pumps Package </t>
  </si>
  <si>
    <t>1409-PM-002A</t>
  </si>
  <si>
    <t>SERVICE WATER PUMPS - A</t>
  </si>
  <si>
    <t>NEAR FIRE WATER PUMP HOUSE</t>
  </si>
  <si>
    <t>1409-PM-002B</t>
  </si>
  <si>
    <t>SERVICE WATER PUMPS - B</t>
  </si>
  <si>
    <t>1409-PM-001A</t>
  </si>
  <si>
    <t>CT MAKE UP WATER TRANSFER PUMPS - A</t>
  </si>
  <si>
    <t>1409-PM-001B</t>
  </si>
  <si>
    <t>CT MAKE UP WATER TRANSFER PUMPS - B</t>
  </si>
  <si>
    <t>1409-PM-001C</t>
  </si>
  <si>
    <t xml:space="preserve">CT MAKE UP WATER TRANSFER PUMPS - C </t>
  </si>
  <si>
    <t>1409-PM-001D</t>
  </si>
  <si>
    <t>CT MAKE UP WATER TRANSFER PUMPS - D</t>
  </si>
  <si>
    <t>1420-MLDB-4-0002</t>
  </si>
  <si>
    <t>OUTGOING FEEDER FOR MLDB-2 / FEEDER</t>
  </si>
  <si>
    <t>1420-WDB-4-0002</t>
  </si>
  <si>
    <t>OUTGOING FEEDER FOR WDB-2 / FEEDER</t>
  </si>
  <si>
    <t>1420-PDB-4-0002</t>
  </si>
  <si>
    <t>OUTGOING FEEDER FOR PDB-2 / FEEDER-1</t>
  </si>
  <si>
    <t>OUTGOING FEEDER FOR PDB-2 / FEEDER-2</t>
  </si>
  <si>
    <t>1420-SWG-4-0002</t>
  </si>
  <si>
    <t>PMCC - 2 (INCOMER 1)</t>
  </si>
  <si>
    <t>PMCC - 2 (INCOMER 2)</t>
  </si>
  <si>
    <t>PDB-2</t>
  </si>
  <si>
    <t>1420-ACDB-4-0201</t>
  </si>
  <si>
    <t>COOLING TOWER SUBSTATION HVAC DB-201</t>
  </si>
  <si>
    <t>1420-ACDB-4-0202</t>
  </si>
  <si>
    <t>WORKSHOP HVAC DB-202</t>
  </si>
  <si>
    <t>WORKSHOP</t>
  </si>
  <si>
    <t>1420-ACDB-4-0203</t>
  </si>
  <si>
    <t>ADMIN BUILDING HVAC DB-203</t>
  </si>
  <si>
    <t>ADMIN BULDING-GROUND FLOOR</t>
  </si>
  <si>
    <t>ADMIN BUILDING ROOF</t>
  </si>
  <si>
    <t>1420-ACDB-4-0204</t>
  </si>
  <si>
    <t>FIRE STATION BUILDING HVAC DB -204</t>
  </si>
  <si>
    <t xml:space="preserve">FIRE STATION BUILDING </t>
  </si>
  <si>
    <t>1420-ACDB-4-0205</t>
  </si>
  <si>
    <t>STORES HVAC DB -205</t>
  </si>
  <si>
    <t>STORES</t>
  </si>
  <si>
    <t>1420-ACDB-4-0206</t>
  </si>
  <si>
    <t>CANTEEN BUILDING HVAC DB-206</t>
  </si>
  <si>
    <t xml:space="preserve">CANTEEN BUILDING </t>
  </si>
  <si>
    <t>1420-ACDB-4-0207</t>
  </si>
  <si>
    <t>OCCUPATIONAL HEALTH CENTER HVAC DB -207</t>
  </si>
  <si>
    <t>OCCUPATIONAL HEALTH CENTER / DISPENSARY</t>
  </si>
  <si>
    <t>AUX POWER SUPPLY - PMCC-2 (BUS-A)</t>
  </si>
  <si>
    <t>AUX POWER SUPPLY - PMCC-2 (BUS-B)</t>
  </si>
  <si>
    <t>AUX POWER SUPPLY NSPBD SYSTEM-2A</t>
  </si>
  <si>
    <t>AUX POWER SUPPLY NSPBD SYSTEM-2B</t>
  </si>
  <si>
    <t>1420-TFD-2-0003</t>
  </si>
  <si>
    <t>AUX POWER SUPPLY DISTRIBUTION TRANSFORMER-3</t>
  </si>
  <si>
    <t>1420-TFD-2-0004</t>
  </si>
  <si>
    <t>AUX POWER SUPPLY DISTRIBUTION TRANSFORMER-4</t>
  </si>
  <si>
    <t>WORKSHOP BUILDING</t>
  </si>
  <si>
    <t>Fire water pump house</t>
  </si>
  <si>
    <t>PDB-2 (INCOMER 1)</t>
  </si>
  <si>
    <t>PDB-2 (INCOMER 2)</t>
  </si>
  <si>
    <t>MLDB-2</t>
  </si>
  <si>
    <t>NLP-101</t>
  </si>
  <si>
    <t>MLDB-02</t>
  </si>
  <si>
    <t>LIGHTING DB-101</t>
  </si>
  <si>
    <t>WORKSHOP &amp; MAINTENANCE BULDING (GROUND FLOOR)</t>
  </si>
  <si>
    <t>NLP-102</t>
  </si>
  <si>
    <t>LIGHTING DB-102</t>
  </si>
  <si>
    <t>WORKSHOP&amp;MAINTENANCE BULDING (FIRST FLOOR)</t>
  </si>
  <si>
    <t>NLP-103</t>
  </si>
  <si>
    <t>LIGHTING DB-103</t>
  </si>
  <si>
    <t>NLP-104</t>
  </si>
  <si>
    <t>LIGHTING DB-104</t>
  </si>
  <si>
    <t>ADMIN BULDING-FIRST FLOOR</t>
  </si>
  <si>
    <t>NLP-105</t>
  </si>
  <si>
    <t>LIGHTING DB-105</t>
  </si>
  <si>
    <t>COOLING TOWER PACKAGE (VENDOR PACKAGE)</t>
  </si>
  <si>
    <t>NLP-106</t>
  </si>
  <si>
    <t>LIGHTING DB-106</t>
  </si>
  <si>
    <t>NLP-107</t>
  </si>
  <si>
    <t>LIGHTING DB-107</t>
  </si>
  <si>
    <t>NLP-108</t>
  </si>
  <si>
    <t>LIGHTING DB-108</t>
  </si>
  <si>
    <t>STORE</t>
  </si>
  <si>
    <t>NLP-109</t>
  </si>
  <si>
    <t>LIGHTING DB-109</t>
  </si>
  <si>
    <t>NLP-110</t>
  </si>
  <si>
    <t>LIGHTING DB-110</t>
  </si>
  <si>
    <t>NLP-111</t>
  </si>
  <si>
    <t>STREET LIGHTING DB- 02</t>
  </si>
  <si>
    <t>ROAD AND EXTERNAL AREA (INCLUDING COOLING WATER PUMP &amp; FIRE WATER PUMP AREA)</t>
  </si>
  <si>
    <t>NLP-112</t>
  </si>
  <si>
    <t>MLDB-02 / NLP-107</t>
  </si>
  <si>
    <t>LIGHTING &amp; POWER DB-113</t>
  </si>
  <si>
    <t>SECURITY ROOM-1</t>
  </si>
  <si>
    <t>NLP-113</t>
  </si>
  <si>
    <t>LIGHTING &amp; POWER DB-114</t>
  </si>
  <si>
    <t>SECURITY ROOM-3</t>
  </si>
  <si>
    <t>HM-101</t>
  </si>
  <si>
    <t>HIGH MAST-101</t>
  </si>
  <si>
    <t>NEAR WAREHOUSE AREA</t>
  </si>
  <si>
    <t>HM-102</t>
  </si>
  <si>
    <t>HIGH MAST-102</t>
  </si>
  <si>
    <t>HM-103</t>
  </si>
  <si>
    <t>HIGH MAST-103</t>
  </si>
  <si>
    <t>NEAR WORKSHOP &amp; MAINTENACE AREA</t>
  </si>
  <si>
    <t>MAIN LIGHTING DB-002 (INCOMER)</t>
  </si>
  <si>
    <t>EMLDB-2</t>
  </si>
  <si>
    <t>ELP-101</t>
  </si>
  <si>
    <t>EMERGENCY LIGHTING DB-101</t>
  </si>
  <si>
    <t>ELP-102</t>
  </si>
  <si>
    <t>EMERGENCY LIGHTING DB-102</t>
  </si>
  <si>
    <t>ELP-103</t>
  </si>
  <si>
    <t>EMERGENCY LIGHTING DB-103</t>
  </si>
  <si>
    <t>ELP-104</t>
  </si>
  <si>
    <t>EMERGENCY LIGHTING DB-104</t>
  </si>
  <si>
    <t>ELP-105</t>
  </si>
  <si>
    <t>EMLDB-02</t>
  </si>
  <si>
    <t>EMERGENCY LIGHTING DB-105</t>
  </si>
  <si>
    <t>ELP-106</t>
  </si>
  <si>
    <t>EMERGENCY LIGHTING DB-106</t>
  </si>
  <si>
    <t>ELP-107</t>
  </si>
  <si>
    <t>EMERGENCY LIGHTING DB-107</t>
  </si>
  <si>
    <t>ELP-108</t>
  </si>
  <si>
    <t>EMERGENCY LIGHTING DB-108</t>
  </si>
  <si>
    <t>ELP-109</t>
  </si>
  <si>
    <t>EMERGENCY LIGHTING DB-109</t>
  </si>
  <si>
    <t>ELP-110</t>
  </si>
  <si>
    <t>EMERGENCY LIGHTING DB-110</t>
  </si>
  <si>
    <t>EMERGENCY MAIN LIGHTING DB-002 (INCOMER)</t>
  </si>
  <si>
    <t>WDB-2</t>
  </si>
  <si>
    <t>WSDB-101</t>
  </si>
  <si>
    <t>WDB-02</t>
  </si>
  <si>
    <t>POWER RECEPTACLE DB-101</t>
  </si>
  <si>
    <t>WSDB-102</t>
  </si>
  <si>
    <t>POWER RECEPTACLE DB-102</t>
  </si>
  <si>
    <t>WSDB-103</t>
  </si>
  <si>
    <t>POWER RECEPTACLE DB-103</t>
  </si>
  <si>
    <t>WSDB-104</t>
  </si>
  <si>
    <t>POWER RECEPTACLE DB-104</t>
  </si>
  <si>
    <t>WSDB-105</t>
  </si>
  <si>
    <t>POWER RECEPTACLE DB-105</t>
  </si>
  <si>
    <t>WSDB-106</t>
  </si>
  <si>
    <t>POWER RECEPTACLE DB-106</t>
  </si>
  <si>
    <t>WSDB-107</t>
  </si>
  <si>
    <t>POWER RECEPTACLE DB-107</t>
  </si>
  <si>
    <t>WSDB-108</t>
  </si>
  <si>
    <t>POWER RECEPTACLE DB-108</t>
  </si>
  <si>
    <t>WSDB-109</t>
  </si>
  <si>
    <t>POWER RECEPTACLE DB-109</t>
  </si>
  <si>
    <t>WSDB-110</t>
  </si>
  <si>
    <t>POWER RECEPTACLE DB-110</t>
  </si>
  <si>
    <t>WS-101 &amp; 102</t>
  </si>
  <si>
    <t>WELDING SOCKET -101 &amp; 102</t>
  </si>
  <si>
    <t>COOLING TOWER SUBSTATION &amp; PACKAGE</t>
  </si>
  <si>
    <t>WS-103 &amp; 104</t>
  </si>
  <si>
    <t>WELDING SOCKET -103 &amp; 104</t>
  </si>
  <si>
    <t>WS-105 &amp; 106</t>
  </si>
  <si>
    <t>WELDING SOCKET -105 &amp; 106</t>
  </si>
  <si>
    <t>WORKSHOP &amp; MAINTENANCE BULDING</t>
  </si>
  <si>
    <t>WELDING &amp; RECEPTACLE DB-002 (INCOMER)</t>
  </si>
  <si>
    <t>COOLING TOWER SUBSTATION HVAC DB</t>
  </si>
  <si>
    <t>CONTROL ROOM-SPLIT AC-1</t>
  </si>
  <si>
    <t>CONTROL ROOM-SPLIT AC-2</t>
  </si>
  <si>
    <t>CONTROL ROOM-SPLIT AC-3</t>
  </si>
  <si>
    <t>LV SWGR VENTILATION FAN 1</t>
  </si>
  <si>
    <t>LV SWGR VENTILATION FAN 2</t>
  </si>
  <si>
    <t>LV SWGR VENTILATION FAN 3</t>
  </si>
  <si>
    <t>COOLING TOWER SUBSTATION HVAC DB-201 INCOMER</t>
  </si>
  <si>
    <t>WORKSHOP HVAC DB</t>
  </si>
  <si>
    <t>WORKSHOP FAN 1-VENTILATION FAN</t>
  </si>
  <si>
    <t>WORKSHOP FAN 2-VENTILATION FAN</t>
  </si>
  <si>
    <t>WORKSHOP FAN 3-VENTILATION FAN</t>
  </si>
  <si>
    <t>WORKSHOP FAN 4-VENTILATION FAN</t>
  </si>
  <si>
    <t>WORKSHOP FAN 5-VENTILATION FAN</t>
  </si>
  <si>
    <t>WORKSHOP FAN 6-VENTILATION FAN</t>
  </si>
  <si>
    <t>GF - TOILET - VENTILATION FAN</t>
  </si>
  <si>
    <t>ELECTRICAL ROOM - VENTILATION FAN 1</t>
  </si>
  <si>
    <t>ELECTRICAL ROOM - VENTILATION FAN 2 (S/B)</t>
  </si>
  <si>
    <t xml:space="preserve">SPARE PARTS ROOM - VENTILATION FAN </t>
  </si>
  <si>
    <t xml:space="preserve">WELDING ROOM - VENTILATION FAN </t>
  </si>
  <si>
    <t>1F - LADIES &amp; GENTS TOILET</t>
  </si>
  <si>
    <t>1F - PANTRY AND MESS ROOM</t>
  </si>
  <si>
    <t>ELECTRICAL WORKSHOP - SPLIT AC 1</t>
  </si>
  <si>
    <t>I &amp; C WORKSHOP - SPLIT AC</t>
  </si>
  <si>
    <t>TECHNICIAN ROOM - SPLIT AC 1</t>
  </si>
  <si>
    <t>TECHNICIAN ROOM - SPLIT AC 2</t>
  </si>
  <si>
    <t>1F - TESTING ROOM &amp; LABORATORY - SPLIT AC 1</t>
  </si>
  <si>
    <t>1F - TRAINING ROOM - SPLIT AC 1</t>
  </si>
  <si>
    <t>1F - TRAINING ROOM - SPLIT AC 2</t>
  </si>
  <si>
    <t>1F - OFFICE ROOM - SPLIT AC 1</t>
  </si>
  <si>
    <t>1F - OFFICE ROOM - SPLIT AC 2</t>
  </si>
  <si>
    <t>1F - MEETING ROOM - SPLIT AC 1</t>
  </si>
  <si>
    <t>1F - MEETING ROOM - SPLIT AC 2</t>
  </si>
  <si>
    <t>1F - MEETING ROOM - SPLIT AC 3</t>
  </si>
  <si>
    <t>ELECTRICAL WORKSHOP - SPLIT AC 2</t>
  </si>
  <si>
    <t xml:space="preserve">ADMIN BUILDING </t>
  </si>
  <si>
    <t>1F - TESTING ROOM &amp; LABORATORY - SPLIT AC 2</t>
  </si>
  <si>
    <t>WORKSHOP HVAC DB-202 INCOMER</t>
  </si>
  <si>
    <t>ADMIN BUILDING HVAC DB</t>
  </si>
  <si>
    <t>CMD CABIN - SPLIT AC</t>
  </si>
  <si>
    <t>MEN'S PRAYER ROOM-1</t>
  </si>
  <si>
    <t>MEN'S PRAYER ROOM-2</t>
  </si>
  <si>
    <t>CMD TOILET - VENTILATION</t>
  </si>
  <si>
    <t>ELECTRICAL ROOM - VENTILATION FAN 2</t>
  </si>
  <si>
    <t>GF-MAIN TOILET - VENTILATION FAN</t>
  </si>
  <si>
    <t>1F-MAIN TOILET - VENTILATION FAN</t>
  </si>
  <si>
    <t>1F - RECORD ROOM - VENTILATION FAN</t>
  </si>
  <si>
    <t>1F - PANTRY - VENTILATION FAN</t>
  </si>
  <si>
    <t>1F - FINANCE &amp; ACCOUNT STORE - VENTILATION FAN</t>
  </si>
  <si>
    <t>1F - PROCUREMENT STORE - VENTILATION FAN 1</t>
  </si>
  <si>
    <t>1F - PROCUREMENT STORE - VENTILATION FAN 2 (S/B)</t>
  </si>
  <si>
    <t>GF - PANTRY - VENTILATION FAN</t>
  </si>
  <si>
    <t>ADMIN BUILDING HVAC DB-203 INCOMER</t>
  </si>
  <si>
    <t>FIRE STATION BUILDING HVAC DB</t>
  </si>
  <si>
    <t>SAFETY TRAINING ROOM - SPLIT AC 1</t>
  </si>
  <si>
    <t>SAFETY TRAINING ROOM - SPLIT AC 2</t>
  </si>
  <si>
    <t>SAFETY TRAINING ROOM - SPLIT AC 3</t>
  </si>
  <si>
    <t xml:space="preserve">CFO CABIN - SPLIT AC </t>
  </si>
  <si>
    <t>FIRE PERSONNEL ROOM - SPLIT AC 1</t>
  </si>
  <si>
    <t>FIRE PERSONNEL ROOM - SPLIT AC 2</t>
  </si>
  <si>
    <t>FIRE PERSONNEL ROOM - SPLIT AC 3</t>
  </si>
  <si>
    <t>FITNESS AREA - SPLIT AC 1</t>
  </si>
  <si>
    <t>FITNESS AREA - SPLIT AC 2</t>
  </si>
  <si>
    <t>TOILET 1 - VENTILATION FAN</t>
  </si>
  <si>
    <t>TOILET 2 - VENTILATION FAN</t>
  </si>
  <si>
    <t>RECORD ROOM - VENTILATION FAN</t>
  </si>
  <si>
    <t>SECURITY ROOM - TYPE 1 - SPLIT AC 1</t>
  </si>
  <si>
    <t>SECURITY ROOM</t>
  </si>
  <si>
    <t>SECURITY ROOM - TYPE 1 - SPLIT AC 2</t>
  </si>
  <si>
    <t>SECURITY ROOM - TYPE 2</t>
  </si>
  <si>
    <t>TOILET - VENTILATION FAN</t>
  </si>
  <si>
    <t>CHANGE ROOM - VENTILATION FAN</t>
  </si>
  <si>
    <t>FIRE STATION BUILDING HVAC DB -204 INCOMER</t>
  </si>
  <si>
    <t xml:space="preserve">STORES HVAC DB </t>
  </si>
  <si>
    <t>OFFICE-SPLIT AC-1</t>
  </si>
  <si>
    <t>OFFICE-SPLIT AC-2</t>
  </si>
  <si>
    <t>OFFICE-SPLIT AC-3</t>
  </si>
  <si>
    <t>OFFICE-SPLIT AC-4</t>
  </si>
  <si>
    <t>STORE MANAGER ROOM-SPLIT AC</t>
  </si>
  <si>
    <t>VENTILATION FAN (ROOF EXTRACTOR) 1</t>
  </si>
  <si>
    <t>VENTILATION FAN (ROOF EXTRACTOR) 2</t>
  </si>
  <si>
    <t>VENTILATION FAN (ROOF EXTRACTOR) 3</t>
  </si>
  <si>
    <t>VENTILATION FAN (ROOF EXTRACTOR) 4</t>
  </si>
  <si>
    <t>VENTILATION FAN (ROOF EXTRACTOR) 5</t>
  </si>
  <si>
    <t>VENTILATION FAN (ROOF EXTRACTOR) 6</t>
  </si>
  <si>
    <t>VENTILATION FAN (ROOF EXTRACTOR) 7</t>
  </si>
  <si>
    <t>VENTILATION FAN (ROOF EXTRACTOR) 8</t>
  </si>
  <si>
    <t>VENTILATION FAN (ROOF EXTRACTOR) 9</t>
  </si>
  <si>
    <t>CHEMICAL STORAGE</t>
  </si>
  <si>
    <t>STORES HVAC DB -205 INCOMER</t>
  </si>
  <si>
    <t>CANTEEN BUILDING HVAC DB</t>
  </si>
  <si>
    <t>36 PERSON DINING UNIT 1-SPLIT AC</t>
  </si>
  <si>
    <t>36 PERSON DINING UNIT 2-SPLIT AC</t>
  </si>
  <si>
    <t>36 PERSON DINING UNIT 3-SPLIT AC</t>
  </si>
  <si>
    <t>36 PERSON DINING UNIT 4-SPLIT AC</t>
  </si>
  <si>
    <t>24 PERSON DINING UNIT 1-SPLIT AC</t>
  </si>
  <si>
    <t>24 PERSON DINING UNIT 2-SPLIT AC</t>
  </si>
  <si>
    <t>24 PERSON DINING UNIT 3-SPLIT AC</t>
  </si>
  <si>
    <t>SERVING COUNTER UNIT 1-SPLIT AC</t>
  </si>
  <si>
    <t>SERVING COUNTER UNIT 2-SPLIT AC</t>
  </si>
  <si>
    <t>STAFF--SPLIT AC-1</t>
  </si>
  <si>
    <t>STAFF--SPLIT AC-2</t>
  </si>
  <si>
    <t>LADIES TOILET -VENTILATION FAN</t>
  </si>
  <si>
    <t>GENTS TOILET-VENTILATION FAN</t>
  </si>
  <si>
    <t>STAFF TOILET-VENTILATION FAN</t>
  </si>
  <si>
    <t>WEIGHING AREA-VENTILATION FAN</t>
  </si>
  <si>
    <t>CANTEEN BUILDING</t>
  </si>
  <si>
    <t>KITCHEN-VENTILATION FAN</t>
  </si>
  <si>
    <t>POT WASH-VENTILATION FAN</t>
  </si>
  <si>
    <t>WASH AREA-VENTILATION FAN</t>
  </si>
  <si>
    <t>CANTEEN BUILDING HVAC DB-206 INCOMER</t>
  </si>
  <si>
    <t>OCCUPATIONAL HEALTH CENTER HVAC DB</t>
  </si>
  <si>
    <t xml:space="preserve">DOCTOR ROOM - SPLIT AC </t>
  </si>
  <si>
    <t xml:space="preserve">FIRST AID ROOM - SPLIT AC </t>
  </si>
  <si>
    <t xml:space="preserve">LAB AREA - SPLIT AC </t>
  </si>
  <si>
    <t xml:space="preserve">PATIENT WARD - SPLIT AC </t>
  </si>
  <si>
    <t>WAITING AREA - SPLIT AC 1</t>
  </si>
  <si>
    <t>WAITING AREA - SPLIT AC 2</t>
  </si>
  <si>
    <t>GENTS TOILET - VENTILATION</t>
  </si>
  <si>
    <t>LADIES TOILET - VENTILATION</t>
  </si>
  <si>
    <t>WAITING AREA 2 - SPLIT AC 1</t>
  </si>
  <si>
    <t>OCCUPATIONAL HEALTH CENTER</t>
  </si>
  <si>
    <t>OCCUPATIONAL HEALTH CENTER HVAC DB -207 INCOMER</t>
  </si>
  <si>
    <t>PMCC-3</t>
  </si>
  <si>
    <t>1402-AN001A
1402-AN001B</t>
  </si>
  <si>
    <t xml:space="preserve">EXHUAST FAN FOR AMMONIA TANK HOLDING COMPRESSOR NOISE HOOD </t>
  </si>
  <si>
    <t>1402-B003A</t>
  </si>
  <si>
    <t>HEATER FOR OIL SEPARATOR(1402-PK003B) (230V)</t>
  </si>
  <si>
    <t>1402-B003B</t>
  </si>
  <si>
    <t>1402-P003A</t>
  </si>
  <si>
    <t>LUBE OIL PUMP FOR (1402-PK003A)</t>
  </si>
  <si>
    <t>1402-P003B</t>
  </si>
  <si>
    <t>LUBE OIL PUMP FOR (1402-PK003B)</t>
  </si>
  <si>
    <t>1402-P004A</t>
  </si>
  <si>
    <t>1402-P004B</t>
  </si>
  <si>
    <t>1402-B002A</t>
  </si>
  <si>
    <t>HEATER FOR OIL SEPARATOR(1402-PK003A) (230V)</t>
  </si>
  <si>
    <t>1402-B002B</t>
  </si>
  <si>
    <t>OIL PUMP FOR OIL CHARGING TROLLEY</t>
  </si>
  <si>
    <t>1402-B001</t>
  </si>
  <si>
    <t>ELECTRIC HEATER</t>
  </si>
  <si>
    <t>1402-MLDB-4-0003</t>
  </si>
  <si>
    <t>OUTGOING FEEDER FOR MAIN LIGHTING DB-3 / FEEDER</t>
  </si>
  <si>
    <t>1402-WDB-4-0003</t>
  </si>
  <si>
    <t>OUTGOING FEEDER FOR WELDING &amp; RECEPTACLE DB-3 / FEEDER</t>
  </si>
  <si>
    <t>1402-PDB-4-0003</t>
  </si>
  <si>
    <t>OUTGOING FEEDER FOR PDB-3 / FEEDER-1</t>
  </si>
  <si>
    <t>OUTGOING FEEDER FOR PDB-3 / FEEDER-2</t>
  </si>
  <si>
    <t>1402-SWG-4-0003</t>
  </si>
  <si>
    <t>PMCC-3 (INCOMER-1)</t>
  </si>
  <si>
    <t>PMCC-3 (INCOMER-2)</t>
  </si>
  <si>
    <t>PDB-3</t>
  </si>
  <si>
    <t xml:space="preserve">NH3 STORAGE SUBSTATION </t>
  </si>
  <si>
    <t>CONTROL ROOM-SPLIT AC-4</t>
  </si>
  <si>
    <t>SWITCHGEAR ROOM  VENTILATION FAN 1</t>
  </si>
  <si>
    <t>SWITCHGEAR ROOM  VENTILATION FAN 2</t>
  </si>
  <si>
    <t>SWITCHGEAR ROOM  VENTILATION FAN 3</t>
  </si>
  <si>
    <t>CONTROL ROOM-SPLIT AC</t>
  </si>
  <si>
    <t>Corridor-SPLIT AC</t>
  </si>
  <si>
    <t>AUX POWER SUPPLY - 400V AC SWITCHGEAR (BUS-A)</t>
  </si>
  <si>
    <t>AUX POWER SUPPLY - 400V AC SWITCHGEAR (BUS-B)</t>
  </si>
  <si>
    <t>AUX POWER SUPPLY NSPBD SYSTEM-3A</t>
  </si>
  <si>
    <t>AUX POWER SUPPLY NSPBD SYSTEM-3B</t>
  </si>
  <si>
    <t>1402-TFD-2-0005</t>
  </si>
  <si>
    <t>AUX POWER SUPPLY DISTRIBUTION TRANSFORMER-5</t>
  </si>
  <si>
    <t>1402-TFD-2-0006</t>
  </si>
  <si>
    <t>AUX POWER SUPPLY DISTRIBUTION TRANSFORMER-6</t>
  </si>
  <si>
    <t>PDB-3 (INCOMER 1)</t>
  </si>
  <si>
    <t>PDB-3 (INCOMER 2)</t>
  </si>
  <si>
    <t>MLDB-3</t>
  </si>
  <si>
    <t>NLP-201</t>
  </si>
  <si>
    <t>MLDB-03</t>
  </si>
  <si>
    <t>LIGHTING DB-201</t>
  </si>
  <si>
    <t>NLP-202</t>
  </si>
  <si>
    <t>LIGHTING DB-202</t>
  </si>
  <si>
    <t>AMMONIA STORAGE - COMPRESSOR AREA - SLDB (VENDOR PACKAGE)</t>
  </si>
  <si>
    <t>NLP-203</t>
  </si>
  <si>
    <t>LIGHTING DB-203</t>
  </si>
  <si>
    <t>AMMONIA STORAGE - PUMP AREA - SLDB (VENDOR PACKAGE)</t>
  </si>
  <si>
    <t>NLP-204</t>
  </si>
  <si>
    <t>MLDB-03 / NLP-201</t>
  </si>
  <si>
    <t>LIGHTING &amp; POWER DB-203</t>
  </si>
  <si>
    <t>SECURITY ROOM-2</t>
  </si>
  <si>
    <t>MAIN LIGHTING DB-003 (INCOMER)</t>
  </si>
  <si>
    <t>EMLDB-3</t>
  </si>
  <si>
    <t>ELP-201</t>
  </si>
  <si>
    <t>EMLDB-03</t>
  </si>
  <si>
    <t>EMERGENCY LIGHTING DB-201</t>
  </si>
  <si>
    <t>ELP-202</t>
  </si>
  <si>
    <t>EMERGENCY LIGHTING DB-202</t>
  </si>
  <si>
    <t>AMMONIA STORAGE AREA
(VENDOR PACKAGE)</t>
  </si>
  <si>
    <t>ELP-203</t>
  </si>
  <si>
    <t>EMERGENCY LIGHTING DB-203</t>
  </si>
  <si>
    <t>WDB-3</t>
  </si>
  <si>
    <t>WSDB-201</t>
  </si>
  <si>
    <t>WDB-03</t>
  </si>
  <si>
    <t>POWER RECEPTACLE DB-201</t>
  </si>
  <si>
    <t>WSDB-202</t>
  </si>
  <si>
    <t>WELDING RECEPTACLE DB-202</t>
  </si>
  <si>
    <t>AMMONIA STORAGE (COMPRESSOR AREA)</t>
  </si>
  <si>
    <t>WS-201 &amp; 202</t>
  </si>
  <si>
    <t>WELDING SOCKET -201 &amp; 202</t>
  </si>
  <si>
    <t>AMMONIA STORAGE SUBSTATION &amp; AMMONIA STORAGE (COMPRESSOR AREA)</t>
  </si>
  <si>
    <t>WELDING &amp; RECEPTACLE DB-003 (INCOMER)</t>
  </si>
  <si>
    <t>AC UPS SUB DB-4</t>
  </si>
  <si>
    <t>FEEDER-1</t>
  </si>
  <si>
    <t>Ammonia Storage &amp; BOG Compressor</t>
  </si>
  <si>
    <t>FEEDER-2</t>
  </si>
  <si>
    <t>FEEDER-3</t>
  </si>
  <si>
    <t>FEEDER-4</t>
  </si>
  <si>
    <t>FEEDER-5</t>
  </si>
  <si>
    <t>FEEDER-6</t>
  </si>
  <si>
    <t>FEEDER-7</t>
  </si>
  <si>
    <t>FEEDER-8</t>
  </si>
  <si>
    <t>FEEDER-9</t>
  </si>
  <si>
    <t>FEEDER-10</t>
  </si>
  <si>
    <t>FEEDER-11</t>
  </si>
  <si>
    <t>FEEDER-12</t>
  </si>
  <si>
    <t>FEEDER-13</t>
  </si>
  <si>
    <t>FEEDER-14</t>
  </si>
  <si>
    <t>FEEDER-15</t>
  </si>
  <si>
    <t>FEEDER-16</t>
  </si>
  <si>
    <t>FEEDER-17</t>
  </si>
  <si>
    <t>FEEDER-18</t>
  </si>
  <si>
    <t>FEEDER-19</t>
  </si>
  <si>
    <t>FEEDER-20</t>
  </si>
  <si>
    <t>FEEDER-21</t>
  </si>
  <si>
    <t>FEEDER-22</t>
  </si>
  <si>
    <t>FEEDER-23</t>
  </si>
  <si>
    <t>FEEDER-24</t>
  </si>
  <si>
    <t>FEEDER-25</t>
  </si>
  <si>
    <t>FEEDER-26</t>
  </si>
  <si>
    <t>FEEDER-27</t>
  </si>
  <si>
    <t>FEEDER-28</t>
  </si>
  <si>
    <t>FEEDER-29</t>
  </si>
  <si>
    <t>FEEDER-30</t>
  </si>
  <si>
    <t>AC UPS SUB DB-4_INCOMER-1</t>
  </si>
  <si>
    <t>AC UPS SUB DB-4_INCOMER-2</t>
  </si>
  <si>
    <t>PMCC-4</t>
  </si>
  <si>
    <t>Tray Size</t>
  </si>
  <si>
    <t>UOM</t>
  </si>
  <si>
    <t>Nos</t>
  </si>
  <si>
    <t>MV &amp; LV Cable BOQ Summary</t>
  </si>
  <si>
    <t>Sl. No.</t>
  </si>
  <si>
    <t>Conductor Type</t>
  </si>
  <si>
    <t>Insulation</t>
  </si>
  <si>
    <t>Armoured / Unarmoured</t>
  </si>
  <si>
    <t>Total Cable Length (Meter)</t>
  </si>
  <si>
    <t>No. of End Termination with 5%</t>
  </si>
  <si>
    <t>Total No. of End Termination</t>
  </si>
  <si>
    <t>11kV</t>
  </si>
  <si>
    <t>LV-SS-1</t>
  </si>
  <si>
    <t>LV-SS-2</t>
  </si>
  <si>
    <t>LV-SS-3</t>
  </si>
  <si>
    <t>LV-SS-4</t>
  </si>
  <si>
    <t>LV-SWI</t>
  </si>
  <si>
    <t>LV-SS-5</t>
  </si>
  <si>
    <t>For LV Cables - 0.6/1kV  CU. or Al. XLPE Armoured</t>
  </si>
  <si>
    <t>COPPER</t>
  </si>
  <si>
    <t>Armoured</t>
  </si>
  <si>
    <t>ALUMINIUM</t>
  </si>
  <si>
    <t>+PE</t>
  </si>
  <si>
    <t>For MV Cables - 6/10 (12) kV  CU. or Al. XLPE Armoured</t>
  </si>
  <si>
    <t>For MV Cables - 18/30(36) kV  CU. or Al. XLPE Armoured</t>
  </si>
  <si>
    <t>18/30</t>
  </si>
  <si>
    <t>sl No.</t>
  </si>
  <si>
    <t>Section</t>
  </si>
  <si>
    <t>Toute</t>
  </si>
  <si>
    <t>Equipments</t>
  </si>
  <si>
    <t>feeder no.</t>
  </si>
  <si>
    <t>no. of runs each feeder</t>
  </si>
  <si>
    <t>size</t>
  </si>
  <si>
    <t>dia of each cable</t>
  </si>
  <si>
    <t>Total no. of runs</t>
  </si>
  <si>
    <t>total dia require</t>
  </si>
  <si>
    <t>Total Treay requirement</t>
  </si>
  <si>
    <t>no of Trays</t>
  </si>
  <si>
    <t>K-K</t>
  </si>
  <si>
    <t>towards Electrolyser</t>
  </si>
  <si>
    <t>33kV Electrolyzer rectifier Trafo</t>
  </si>
  <si>
    <t>3C x 150 Sqmm</t>
  </si>
  <si>
    <t>A-A</t>
  </si>
  <si>
    <t>towards CT &amp; OTHER SS</t>
  </si>
  <si>
    <t>11KV T/F &amp; Motor</t>
  </si>
  <si>
    <t>3C x 95 Sqmm</t>
  </si>
  <si>
    <t>B-B</t>
  </si>
  <si>
    <t>towards NH3 &amp; OTHER SS</t>
  </si>
  <si>
    <t>8+(8+3)</t>
  </si>
  <si>
    <t>13)</t>
  </si>
  <si>
    <t>MAIN LUBE OIL PUMP FOR 1401-J105-SPACE HEATER</t>
  </si>
  <si>
    <t>SPARE LUBE OIL PUMP FOR 1401-J105-SPACE HEATER</t>
  </si>
  <si>
    <t>CT MAKE UP WATER TRANSFER PUMPS - A-SPACE HEATER</t>
  </si>
  <si>
    <t>CT MAKE UP WATER TRANSFER PUMPS - B-SPACE HEATER</t>
  </si>
  <si>
    <t>CT MAKE UP WATER TRANSFER PUMPS - C -SPACE HEATER</t>
  </si>
  <si>
    <t>CT MAKE UP WATER TRANSFER PUMPS - D-SPACE HEATER</t>
  </si>
  <si>
    <t>Total Cable Length in meters</t>
  </si>
  <si>
    <t>MV (11kV) POWER CABLE SIZING</t>
  </si>
  <si>
    <t>0.6/1.0 kV</t>
  </si>
  <si>
    <t xml:space="preserve">Over all de-rating factor considered as mentioned below based on laying condition &amp; method of installation:
LV Multi core cable - 0.587
LV Single core cable - 0.721
MV Multi core cable - 0.599
MV Single core cable - 0.738
 </t>
  </si>
  <si>
    <t>1). All incoming cable from solar, Grid, BESS to 33kV Switchgear (MSB) cable is part of Vendor/ACME scope henace same sizing/BOQ not considered.
2). In Desalination package:
      a) Incoming Cable from LV VFD to PMCC-4, 11kV Switchgaer to MV VFD's, both MV &amp; LV power cables are inculded in the sizing/BOQ.
      b) Further from PMCC to Motor/LCS, from LV VFD to motor/LCS, from MV VFD to motor/LCS  both MV &amp; LV power cable BOQ is part of Vendor/ACME scope hence same has not included in the sizing/BOQ.</t>
  </si>
  <si>
    <t>The below mentioned packages are part of Vendor scope, henece respective package Cable sizing / cable boq has not included.
1. Ammonia Storage area, 
2. ASU Package, 
3. Nitrogen Package, 
4. Flare area Package, 
5. Cooling tower Package.
6. ETP Package.
7. Desalination Sea Water Treatment Package.
8. Sea Water Intake system.
9. Electrolyzer Area Package.</t>
  </si>
  <si>
    <t>Cable from UPS DB/ Sub UPS DB to Instrument is not included in this sizing &amp; same shall be considered in Instrument cable schedule/BOQ.</t>
  </si>
  <si>
    <t>12)</t>
  </si>
  <si>
    <t xml:space="preserve">Basis &amp; Assumptions considered for MV &amp; LV cable sizing </t>
  </si>
  <si>
    <t>Q6</t>
  </si>
  <si>
    <t>Q7</t>
  </si>
  <si>
    <t>Q8</t>
  </si>
  <si>
    <t>I2</t>
  </si>
  <si>
    <t>START-UP HEATER</t>
  </si>
  <si>
    <t>initially 120sqmm with 322.5 mtr length ,now 95 sqm with 317 mtr</t>
  </si>
  <si>
    <t>Size changed to 25 to 4sqmm</t>
  </si>
  <si>
    <t>INSTRUMENT AIR DRYER</t>
  </si>
  <si>
    <t>STANDBY INSTRUMENT AIR DRYER</t>
  </si>
  <si>
    <t>1411-V001</t>
  </si>
  <si>
    <t>1411-V002A</t>
  </si>
  <si>
    <t>1411-V002B</t>
  </si>
  <si>
    <t>ADT for Air receciver 25M³</t>
  </si>
  <si>
    <t>ADT for Air receciver 60M³</t>
  </si>
  <si>
    <t>1401-P-1601</t>
  </si>
  <si>
    <t>1401-P-1602</t>
  </si>
  <si>
    <t>Oil Vapour Extractor</t>
  </si>
  <si>
    <t>Heater for oil tank</t>
  </si>
  <si>
    <t>1401-PM-1604A</t>
  </si>
  <si>
    <t>1401-PM-1604</t>
  </si>
  <si>
    <t>1401-HT-1601</t>
  </si>
  <si>
    <t>Barring Gear Motor</t>
  </si>
  <si>
    <t>GVC motor</t>
  </si>
  <si>
    <t>1401-HT103A</t>
  </si>
  <si>
    <t>UCP FOR 1401-J103 (UPS 230 V)(REDUNDANT SUPPLY)</t>
  </si>
  <si>
    <t>UCP FOR 1401-J103 (UPS 230 V)(MAIN SUPPLY)</t>
  </si>
  <si>
    <t>1401-CM113</t>
  </si>
  <si>
    <t>1401-CM106</t>
  </si>
  <si>
    <t>1401-HT105</t>
  </si>
  <si>
    <t>1401-HT106</t>
  </si>
  <si>
    <t>1401-HT107</t>
  </si>
  <si>
    <t>1401-PM107</t>
  </si>
  <si>
    <t>LUBE OIL CONDITIONER OIL PUMP MOTOR</t>
  </si>
  <si>
    <t>UCP FOR  1401-J105 (UPS 230 V)(REDUNDANT SUPPLY)</t>
  </si>
  <si>
    <t>UCP FOR  1401-J105 (UPS 230 V)(MAIN SUPPLY)</t>
  </si>
  <si>
    <t>AMMONIA REFRIGERATION COMPRESSOR 1401-J-105</t>
  </si>
  <si>
    <t>1401-HT105A</t>
  </si>
  <si>
    <t>1401-HT105B</t>
  </si>
  <si>
    <t>1401-HT206</t>
  </si>
  <si>
    <t>1401-CM107</t>
  </si>
  <si>
    <t>1401-HT207</t>
  </si>
  <si>
    <t>1401-HT108</t>
  </si>
  <si>
    <t>1401-PKM210A</t>
  </si>
  <si>
    <t>1401-PKM210B</t>
  </si>
  <si>
    <t>Acoustic Enclosure lighting JB (230V) (NON-UPS Supply)</t>
  </si>
  <si>
    <t>Package PLC Panel (230V)(NON-UPS Supply)</t>
  </si>
  <si>
    <t>MMS Panel (230V) (NON-UPS Supply)</t>
  </si>
  <si>
    <t>1401-H202A</t>
  </si>
  <si>
    <t>1401-H202B</t>
  </si>
  <si>
    <t>1401-H203A</t>
  </si>
  <si>
    <t>1401-B203C</t>
  </si>
  <si>
    <t>1401-H203B</t>
  </si>
  <si>
    <t>CRANE- Air Separation unit - Single Girder EOT Crane - (8T)</t>
  </si>
  <si>
    <t>CRANE - Ammonia plant (Hydrogen Compressor: 1401- J202A, shed) - Double Girder EOT Crane - (20T)</t>
  </si>
  <si>
    <t>CRANE - Ammonia plant (Hydrogen Compressor: 1401- J202A, shed) - Double Girder EOT Crane - (20T)-Space Heater</t>
  </si>
  <si>
    <t>CRANE- Ammonia plant (Hydrogen Compressor: 1401- J203A, shed) - Double Girder EOT Crane - (20T)</t>
  </si>
  <si>
    <t>CRANE- Ammonia plant (Hydrogen Compressor: 1401- J203A, shed) - Double Girder EOT Crane - (20T)-Space Heater</t>
  </si>
  <si>
    <t xml:space="preserve">Electric Hoist - Main substation building (Switchgear room) - Electric Hoist (2T) </t>
  </si>
  <si>
    <t xml:space="preserve">Electric Hoist  - Instrument air compressor building) - Electric Hoist (5T) </t>
  </si>
  <si>
    <t>Air Seperation unit</t>
  </si>
  <si>
    <t>DIESEL OFFLOADING PUMP</t>
  </si>
  <si>
    <t>SPARE DIESEL OFFLOADING PUMP</t>
  </si>
  <si>
    <t>Diesel storage area</t>
  </si>
  <si>
    <t>SPACE HEATER COLD AMMONIA PRODUCT PUMP</t>
  </si>
  <si>
    <t>SPACE HEATER SPARE COLD AMMONIA PRODUCT PUMP</t>
  </si>
  <si>
    <t>SPACE HEATER BFW PUMP</t>
  </si>
  <si>
    <t>SPACE HEATER  SPARE BFW PUMP</t>
  </si>
  <si>
    <t>LP FLARE PACKAGE</t>
  </si>
  <si>
    <t>1401-P-1603</t>
  </si>
  <si>
    <t>1401-PM103B</t>
  </si>
  <si>
    <t>1401-PM103A</t>
  </si>
  <si>
    <t>1401-PM105A</t>
  </si>
  <si>
    <t>1401-PM105B</t>
  </si>
  <si>
    <t>1401-CM115</t>
  </si>
  <si>
    <t>UCP CABINET (REDUNDANT UPS) FOR 1401-J202A (230 V)</t>
  </si>
  <si>
    <t>ISC PANEL (REDUNDANT UPS) FOR 1401-J202A (230 V)</t>
  </si>
  <si>
    <t>ISC PANEL (REDUNDANT UPS) (230 V)</t>
  </si>
  <si>
    <t>1401-P202C</t>
  </si>
  <si>
    <t>1401-BM202A</t>
  </si>
  <si>
    <t>1401-P202D</t>
  </si>
  <si>
    <t>1401-BM202B</t>
  </si>
  <si>
    <t>1401-PM202G</t>
  </si>
  <si>
    <t>1401-PM202H</t>
  </si>
  <si>
    <t>1401-P203C</t>
  </si>
  <si>
    <t>1401-P203E</t>
  </si>
  <si>
    <t>1401-P203F</t>
  </si>
  <si>
    <t>1401-BM203A</t>
  </si>
  <si>
    <t>1401-P203D</t>
  </si>
  <si>
    <t>1401-BM203B</t>
  </si>
  <si>
    <t>1401-P203A</t>
  </si>
  <si>
    <t>UCP CABINET (REDUNDANT UPS) FOR 1401-J203A (230 V)</t>
  </si>
  <si>
    <t>UCP CABINET (NON-UPS) FOR 1401-J203B (230 V)</t>
  </si>
  <si>
    <t>ROOFTOP UNIT-3</t>
  </si>
  <si>
    <t>ROOFTOP UNIT-3-SPACE HEATER</t>
  </si>
  <si>
    <t>HEATER-3</t>
  </si>
  <si>
    <t>HUMIDIFIER-3</t>
  </si>
  <si>
    <t>VFD ROOM - SPLIT AC 1</t>
  </si>
  <si>
    <t>VFD ROOM - SPLIT AC 2</t>
  </si>
  <si>
    <t>VFD ROOM - SPLIT AC 3</t>
  </si>
  <si>
    <t>VFD ROOM - SPLIT AC 4</t>
  </si>
  <si>
    <t>VFD ROOM - SPLIT AC 5</t>
  </si>
  <si>
    <t>VFD ROOM - SPLIT AC 6</t>
  </si>
  <si>
    <t>VFD ROOM - SPLIT AC 7</t>
  </si>
  <si>
    <t>VFD ROOM - SPLIT AC 8</t>
  </si>
  <si>
    <t>VFD ROOM - SPLIT AC 9</t>
  </si>
  <si>
    <t>VFD ROOM - SPLIT AC 10</t>
  </si>
  <si>
    <t>VFD ROOM - SPLIT AC 11</t>
  </si>
  <si>
    <t>3C X 95+PE</t>
  </si>
  <si>
    <t>DISPERSANT DOSING PUMP-A</t>
  </si>
  <si>
    <t>DISPERSANT DOSING PUMP-B</t>
  </si>
  <si>
    <t>1407-PM-121 A</t>
  </si>
  <si>
    <t>1407-PM-121 B</t>
  </si>
  <si>
    <t>1407-PM-119 A</t>
  </si>
  <si>
    <t>1407-PM-119 B</t>
  </si>
  <si>
    <t>1407-PM-118 A</t>
  </si>
  <si>
    <t>1407-PM-118 B</t>
  </si>
  <si>
    <t>1407-PM-120 A</t>
  </si>
  <si>
    <t>1407-PM-120 B</t>
  </si>
  <si>
    <t>1407-PM-122 A</t>
  </si>
  <si>
    <t>1407-PM-122 B</t>
  </si>
  <si>
    <t>1407-PM-117 A</t>
  </si>
  <si>
    <t>1407-PM-117 B</t>
  </si>
  <si>
    <t>OUTGOING FEEDER FOR CT MAKE UP WATER TRANSFER PUMPS PANEL</t>
  </si>
  <si>
    <t>OUTGOING FEEDER FOR SERVICE WATER PUMPS PANEL</t>
  </si>
  <si>
    <t>CRANE - Workshop building- Single Girder EOT Crane - (20T)</t>
  </si>
  <si>
    <t xml:space="preserve">Electric Hoist - Fire water pump house) - Electric Hoist (3T) </t>
  </si>
  <si>
    <t>3ph</t>
  </si>
  <si>
    <t>NaOCl DOSING PUMP -A</t>
  </si>
  <si>
    <t>NaOCl DOSING PUMP -B</t>
  </si>
  <si>
    <t>NaOCl AGITATOR</t>
  </si>
  <si>
    <t>PMCC-5</t>
  </si>
  <si>
    <t>SPACE HEATER OF COMPRESSOR(1402-PK003A)</t>
  </si>
  <si>
    <t>SPACE HEATER OF COMPRESSOR (1402-PK003B)</t>
  </si>
  <si>
    <t>ELECTRICAL STROKE SETTING DEVICE FOR STEAM CONDENSATE INJECTION UNIT</t>
  </si>
  <si>
    <t>STANDBY ELECTRICAL STROKE SETTING DEVICE FOR STEAM CONDENSATE INJECTION UNIT</t>
  </si>
  <si>
    <t>HVAC - EMERGENCY LOADS</t>
  </si>
  <si>
    <t>CONTROL BUILDING</t>
  </si>
  <si>
    <t>GROUND FLOOR - EXHAUST FAN</t>
  </si>
  <si>
    <t>GROUND FLOOR - FRESH AIR FAN</t>
  </si>
  <si>
    <t>UPS ROOM - EXHAUST FAN</t>
  </si>
  <si>
    <t>BATTERY ROOM - EXHAUST FAN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</si>
</sst>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_ ;_ * \-#,##0_ ;_ * &quot;-&quot;_ ;_ @_ "/>
    <numFmt numFmtId="165" formatCode="0.000"/>
    <numFmt numFmtId="166" formatCode="0.0000"/>
    <numFmt numFmtId="167" formatCode="0.0"/>
    <numFmt numFmtId="168" formatCode="0&quot; Mtrs&quot;"/>
    <numFmt numFmtId="169" formatCode="0&quot; Nos&quot;"/>
    <numFmt numFmtId="170" formatCode="0&quot; mm&quot;"/>
  </numFmts>
  <fonts count="90">
    <font>
      <sz val="10"/>
      <name val="Arial"/>
    </font>
    <font>
      <sz val="10"/>
      <name val="Arial"/>
      <family val="2"/>
    </font>
    <font>
      <sz val="12"/>
      <name val="µ¸¿ò"/>
      <family val="3"/>
      <charset val="129"/>
    </font>
    <font>
      <b/>
      <sz val="11"/>
      <name val="Calibri"/>
      <family val="2"/>
      <scheme val="minor"/>
    </font>
    <font>
      <sz val="11"/>
      <name val="Calibri"/>
      <family val="2"/>
      <scheme val="minor"/>
    </font>
    <font>
      <sz val="11"/>
      <name val="돋움"/>
      <family val="3"/>
      <charset val="129"/>
    </font>
    <font>
      <b/>
      <u/>
      <sz val="11"/>
      <name val="Calibri"/>
      <family val="2"/>
      <scheme val="minor"/>
    </font>
    <font>
      <sz val="9"/>
      <name val="Arial"/>
      <family val="2"/>
    </font>
    <font>
      <sz val="10"/>
      <name val="Verdana"/>
      <family val="2"/>
    </font>
    <font>
      <sz val="11"/>
      <color indexed="9"/>
      <name val="Calibri"/>
      <family val="2"/>
    </font>
    <font>
      <sz val="11"/>
      <color indexed="17"/>
      <name val="Calibri"/>
      <family val="2"/>
    </font>
    <font>
      <sz val="11"/>
      <color indexed="10"/>
      <name val="Calibri"/>
      <family val="2"/>
    </font>
    <font>
      <sz val="11"/>
      <color indexed="8"/>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3"/>
      <color indexed="56"/>
      <name val="Calibri"/>
      <family val="2"/>
    </font>
    <font>
      <b/>
      <sz val="11"/>
      <color indexed="56"/>
      <name val="Calibri"/>
      <family val="2"/>
    </font>
    <font>
      <sz val="11"/>
      <color indexed="20"/>
      <name val="Calibri"/>
      <family val="2"/>
    </font>
    <font>
      <b/>
      <sz val="11"/>
      <color indexed="9"/>
      <name val="Calibri"/>
      <family val="2"/>
    </font>
    <font>
      <b/>
      <sz val="18"/>
      <color indexed="56"/>
      <name val="Cambria"/>
      <family val="1"/>
    </font>
    <font>
      <sz val="11"/>
      <color indexed="60"/>
      <name val="Calibri"/>
      <family val="2"/>
    </font>
    <font>
      <b/>
      <sz val="15"/>
      <color indexed="56"/>
      <name val="Calibri"/>
      <family val="2"/>
    </font>
    <font>
      <b/>
      <sz val="11"/>
      <color indexed="8"/>
      <name val="Calibri"/>
      <family val="2"/>
    </font>
    <font>
      <i/>
      <sz val="11"/>
      <color indexed="23"/>
      <name val="Calibri"/>
      <family val="2"/>
    </font>
    <font>
      <sz val="10"/>
      <name val="MS Sans Serif"/>
      <family val="2"/>
    </font>
    <font>
      <sz val="10"/>
      <name val="MS Sans Serif"/>
      <family val="2"/>
    </font>
    <font>
      <sz val="11"/>
      <name val="Arial"/>
      <family val="2"/>
    </font>
    <font>
      <sz val="11"/>
      <color rgb="FF9C5700"/>
      <name val="Calibri"/>
      <family val="2"/>
      <scheme val="minor"/>
    </font>
    <font>
      <b/>
      <sz val="11"/>
      <color theme="1"/>
      <name val="Calibri"/>
      <family val="2"/>
      <scheme val="minor"/>
    </font>
    <font>
      <b/>
      <sz val="14"/>
      <name val="Calibri"/>
      <family val="2"/>
      <scheme val="minor"/>
    </font>
    <font>
      <sz val="14"/>
      <name val="Calibri"/>
      <family val="2"/>
      <scheme val="minor"/>
    </font>
    <font>
      <b/>
      <vertAlign val="superscript"/>
      <sz val="11"/>
      <name val="Calibri"/>
      <family val="2"/>
      <scheme val="minor"/>
    </font>
    <font>
      <b/>
      <vertAlign val="superscript"/>
      <sz val="11"/>
      <color indexed="8"/>
      <name val="Calibri"/>
      <family val="2"/>
      <scheme val="minor"/>
    </font>
    <font>
      <sz val="11"/>
      <color rgb="FFFF0000"/>
      <name val="Calibri"/>
      <family val="2"/>
      <scheme val="minor"/>
    </font>
    <font>
      <b/>
      <sz val="10"/>
      <name val="Arial"/>
      <family val="2"/>
    </font>
    <font>
      <sz val="10"/>
      <name val="Calibri"/>
      <family val="2"/>
      <scheme val="minor"/>
    </font>
    <font>
      <sz val="10"/>
      <color rgb="FFFF0000"/>
      <name val="Arial"/>
      <family val="2"/>
    </font>
    <font>
      <sz val="11"/>
      <name val="Calibri"/>
      <family val="2"/>
    </font>
    <font>
      <sz val="11"/>
      <color rgb="FF9C6500"/>
      <name val="Calibri"/>
      <family val="2"/>
      <scheme val="minor"/>
    </font>
    <font>
      <sz val="10"/>
      <color rgb="FF0000CC"/>
      <name val="Arial"/>
      <family val="2"/>
    </font>
    <font>
      <b/>
      <sz val="11"/>
      <color rgb="FF0000CC"/>
      <name val="Calibri"/>
      <family val="2"/>
      <scheme val="minor"/>
    </font>
    <font>
      <b/>
      <sz val="11"/>
      <name val="Arial"/>
      <family val="2"/>
    </font>
    <font>
      <sz val="11"/>
      <color rgb="FF0000CC"/>
      <name val="Calibri"/>
      <family val="2"/>
      <scheme val="minor"/>
    </font>
    <font>
      <sz val="11"/>
      <name val="Calibri"/>
      <family val="3"/>
      <charset val="129"/>
      <scheme val="minor"/>
    </font>
    <font>
      <sz val="11"/>
      <color rgb="FF0000FF"/>
      <name val="Calibri"/>
      <family val="3"/>
      <charset val="129"/>
      <scheme val="minor"/>
    </font>
    <font>
      <b/>
      <sz val="12"/>
      <name val="Arial"/>
      <family val="2"/>
    </font>
    <font>
      <strike/>
      <sz val="10"/>
      <color rgb="FF0000CC"/>
      <name val="Arial"/>
      <family val="2"/>
    </font>
    <font>
      <sz val="8"/>
      <name val="Arial"/>
      <family val="2"/>
    </font>
    <font>
      <strike/>
      <sz val="10"/>
      <name val="Arial"/>
      <family val="2"/>
    </font>
    <font>
      <sz val="12"/>
      <name val="Arial"/>
      <family val="2"/>
    </font>
    <font>
      <b/>
      <strike/>
      <sz val="11"/>
      <name val="Arial"/>
      <family val="2"/>
    </font>
    <font>
      <b/>
      <strike/>
      <sz val="11"/>
      <color rgb="FFFF0000"/>
      <name val="Arial"/>
      <family val="2"/>
    </font>
    <font>
      <strike/>
      <sz val="11"/>
      <name val="Arial"/>
      <family val="2"/>
    </font>
    <font>
      <b/>
      <strike/>
      <sz val="10"/>
      <name val="Arial"/>
      <family val="2"/>
    </font>
    <font>
      <b/>
      <sz val="14"/>
      <name val="Arial"/>
      <family val="2"/>
    </font>
    <font>
      <b/>
      <sz val="10"/>
      <color rgb="FFFF0000"/>
      <name val="Arial"/>
      <family val="2"/>
    </font>
    <font>
      <b/>
      <sz val="11"/>
      <color rgb="FF0000CC"/>
      <name val="Arial"/>
      <family val="2"/>
    </font>
    <font>
      <strike/>
      <sz val="10"/>
      <color rgb="FFFF0000"/>
      <name val="Arial"/>
      <family val="2"/>
    </font>
    <font>
      <b/>
      <sz val="10"/>
      <color rgb="FF0000CC"/>
      <name val="Arial"/>
      <family val="2"/>
    </font>
    <font>
      <sz val="14"/>
      <name val="Arial"/>
      <family val="2"/>
    </font>
    <font>
      <b/>
      <sz val="9"/>
      <name val="Arial"/>
      <family val="2"/>
    </font>
    <font>
      <b/>
      <sz val="16"/>
      <name val="Arial"/>
      <family val="2"/>
    </font>
    <font>
      <sz val="16"/>
      <name val="Arial"/>
      <family val="2"/>
    </font>
    <font>
      <strike/>
      <sz val="11"/>
      <color rgb="FFFF0000"/>
      <name val="Arial"/>
      <family val="2"/>
    </font>
    <font>
      <b/>
      <strike/>
      <sz val="11"/>
      <color rgb="FFFF0000"/>
      <name val="Calibri"/>
      <family val="2"/>
      <scheme val="minor"/>
    </font>
    <font>
      <strike/>
      <sz val="11"/>
      <color rgb="FFFF0000"/>
      <name val="Calibri"/>
      <family val="2"/>
      <scheme val="minor"/>
    </font>
    <font>
      <strike/>
      <sz val="11"/>
      <color rgb="FFFF0000"/>
      <name val="Calibri"/>
      <family val="2"/>
    </font>
    <font>
      <b/>
      <strike/>
      <vertAlign val="superscript"/>
      <sz val="11"/>
      <color rgb="FFFF0000"/>
      <name val="Calibri"/>
      <family val="2"/>
      <scheme val="minor"/>
    </font>
    <font>
      <b/>
      <strike/>
      <sz val="11"/>
      <name val="Calibri"/>
      <family val="2"/>
      <scheme val="minor"/>
    </font>
    <font>
      <b/>
      <strike/>
      <sz val="18"/>
      <color rgb="FFFF0000"/>
      <name val="Calibri"/>
      <family val="2"/>
      <scheme val="minor"/>
    </font>
    <font>
      <strike/>
      <sz val="12"/>
      <color rgb="FFFF0000"/>
      <name val="Calibri"/>
      <family val="2"/>
      <scheme val="minor"/>
    </font>
    <font>
      <b/>
      <strike/>
      <sz val="12"/>
      <color rgb="FFFF0000"/>
      <name val="Calibri"/>
      <family val="2"/>
      <scheme val="minor"/>
    </font>
    <font>
      <strike/>
      <sz val="14"/>
      <color rgb="FFFF0000"/>
      <name val="Arial"/>
      <family val="2"/>
    </font>
    <font>
      <sz val="12"/>
      <color rgb="FFFF0000"/>
      <name val="Arial"/>
      <family val="2"/>
    </font>
    <font>
      <sz val="10"/>
      <color rgb="FF000000"/>
      <name val="Arial"/>
      <family val="2"/>
    </font>
    <font>
      <b/>
      <sz val="11"/>
      <color rgb="FF000000"/>
      <name val="Arial"/>
      <family val="2"/>
    </font>
    <font>
      <b/>
      <sz val="10"/>
      <color rgb="FF000000"/>
      <name val="Arial"/>
      <family val="2"/>
    </font>
    <font>
      <strike/>
      <sz val="10"/>
      <color rgb="FF000000"/>
      <name val="Arial"/>
      <family val="2"/>
    </font>
    <font>
      <b/>
      <strike/>
      <sz val="11"/>
      <color rgb="FF000000"/>
      <name val="Arial"/>
      <family val="2"/>
    </font>
    <font>
      <strike/>
      <sz val="14"/>
      <color rgb="FF000000"/>
      <name val="Arial"/>
      <family val="2"/>
    </font>
    <font>
      <strike/>
      <sz val="11"/>
      <color rgb="FF000000"/>
      <name val="Arial"/>
      <family val="2"/>
    </font>
    <font>
      <b/>
      <sz val="11"/>
      <color rgb="FFFF0000"/>
      <name val="Calibri"/>
      <family val="2"/>
      <scheme val="minor"/>
    </font>
    <font>
      <strike/>
      <sz val="12"/>
      <color rgb="FFFF0000"/>
      <name val="Arial"/>
      <family val="2"/>
    </font>
    <font>
      <sz val="10"/>
      <color rgb="FF00B0F0"/>
      <name val="Arial"/>
      <family val="2"/>
    </font>
    <font>
      <b/>
      <strike/>
      <sz val="9"/>
      <name val="Arial"/>
      <family val="2"/>
    </font>
    <font>
      <sz val="11"/>
      <color rgb="FFFF0000"/>
      <name val="Calibri"/>
      <family val="2"/>
    </font>
    <font>
      <sz val="8"/>
      <name val="Arial"/>
      <family val="2"/>
    </font>
    <font>
      <sz val="10"/>
      <color theme="1"/>
      <name val="Arial"/>
      <family val="2"/>
    </font>
  </fonts>
  <fills count="5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22"/>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rgb="FFFFEB9C"/>
      </patternFill>
    </fill>
    <fill>
      <patternFill patternType="solid">
        <fgColor theme="3"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9" tint="0.39997558519241921"/>
        <bgColor indexed="64"/>
      </patternFill>
    </fill>
    <fill>
      <patternFill patternType="solid">
        <fgColor rgb="FF00FF00"/>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rgb="FFFFC000"/>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0000"/>
        <bgColor indexed="64"/>
      </patternFill>
    </fill>
    <fill>
      <patternFill patternType="solid">
        <fgColor rgb="FFFFFFFF"/>
        <bgColor rgb="FF000000"/>
      </patternFill>
    </fill>
    <fill>
      <patternFill patternType="solid">
        <fgColor rgb="FF00B0F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rgb="FFFFCCFF"/>
        <bgColor indexed="64"/>
      </patternFill>
    </fill>
    <fill>
      <patternFill patternType="solid">
        <fgColor rgb="FFFF99FF"/>
        <bgColor indexed="64"/>
      </patternFill>
    </fill>
    <fill>
      <patternFill patternType="solid">
        <fgColor rgb="FF66FFFF"/>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rgb="FFFFFF00"/>
        <bgColor rgb="FF000000"/>
      </patternFill>
    </fill>
    <fill>
      <patternFill patternType="solid">
        <fgColor rgb="FF00B050"/>
        <bgColor indexed="64"/>
      </patternFill>
    </fill>
    <fill>
      <patternFill patternType="solid">
        <fgColor rgb="FF0070C0"/>
        <bgColor indexed="64"/>
      </patternFill>
    </fill>
  </fills>
  <borders count="135">
    <border>
      <left/>
      <right/>
      <top/>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thin">
        <color indexed="64"/>
      </bottom>
      <diagonal/>
    </border>
    <border>
      <left/>
      <right/>
      <top/>
      <bottom style="thin">
        <color indexed="64"/>
      </bottom>
      <diagonal/>
    </border>
    <border>
      <left/>
      <right style="thin">
        <color auto="1"/>
      </right>
      <top/>
      <bottom style="thin">
        <color indexed="64"/>
      </bottom>
      <diagonal/>
    </border>
    <border>
      <left style="thin">
        <color indexed="64"/>
      </left>
      <right style="medium">
        <color indexed="64"/>
      </right>
      <top/>
      <bottom style="thin">
        <color indexed="64"/>
      </bottom>
      <diagonal/>
    </border>
    <border>
      <left style="thin">
        <color auto="1"/>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bottom/>
      <diagonal/>
    </border>
    <border>
      <left style="thin">
        <color indexed="64"/>
      </left>
      <right/>
      <top/>
      <bottom style="thin">
        <color auto="1"/>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medium">
        <color indexed="64"/>
      </top>
      <bottom style="thin">
        <color auto="1"/>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thin">
        <color auto="1"/>
      </left>
      <right style="medium">
        <color indexed="64"/>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right style="medium">
        <color indexed="64"/>
      </right>
      <top style="thin">
        <color indexed="64"/>
      </top>
      <bottom style="thin">
        <color indexed="64"/>
      </bottom>
      <diagonal/>
    </border>
    <border>
      <left/>
      <right style="thin">
        <color auto="1"/>
      </right>
      <top style="thin">
        <color indexed="64"/>
      </top>
      <bottom/>
      <diagonal/>
    </border>
    <border>
      <left/>
      <right/>
      <top style="thin">
        <color indexed="64"/>
      </top>
      <bottom/>
      <diagonal/>
    </border>
    <border>
      <left/>
      <right style="thin">
        <color indexed="8"/>
      </right>
      <top style="thin">
        <color indexed="8"/>
      </top>
      <bottom/>
      <diagonal/>
    </border>
    <border>
      <left style="thin">
        <color auto="1"/>
      </left>
      <right style="thin">
        <color auto="1"/>
      </right>
      <top style="thin">
        <color auto="1"/>
      </top>
      <bottom/>
      <diagonal/>
    </border>
    <border>
      <left style="thin">
        <color indexed="64"/>
      </left>
      <right style="thin">
        <color indexed="8"/>
      </right>
      <top style="thin">
        <color indexed="64"/>
      </top>
      <bottom style="thin">
        <color indexed="8"/>
      </bottom>
      <diagonal/>
    </border>
    <border>
      <left style="thin">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auto="1"/>
      </bottom>
      <diagonal/>
    </border>
    <border>
      <left style="thin">
        <color indexed="64"/>
      </left>
      <right style="thin">
        <color indexed="8"/>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medium">
        <color indexed="64"/>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8"/>
      </right>
      <top style="thin">
        <color indexed="8"/>
      </top>
      <bottom style="thin">
        <color indexed="64"/>
      </bottom>
      <diagonal/>
    </border>
    <border>
      <left style="thin">
        <color auto="1"/>
      </left>
      <right style="medium">
        <color indexed="64"/>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auto="1"/>
      </right>
      <top style="thin">
        <color indexed="64"/>
      </top>
      <bottom/>
      <diagonal/>
    </border>
    <border>
      <left style="thin">
        <color indexed="64"/>
      </left>
      <right style="thin">
        <color indexed="8"/>
      </right>
      <top style="thin">
        <color indexed="8"/>
      </top>
      <bottom style="thin">
        <color indexed="64"/>
      </bottom>
      <diagonal/>
    </border>
    <border>
      <left style="thin">
        <color auto="1"/>
      </left>
      <right style="medium">
        <color indexed="64"/>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auto="1"/>
      </right>
      <top style="thin">
        <color indexed="64"/>
      </top>
      <bottom/>
      <diagonal/>
    </border>
    <border>
      <left style="thin">
        <color indexed="64"/>
      </left>
      <right style="medium">
        <color indexed="64"/>
      </right>
      <top style="thin">
        <color indexed="64"/>
      </top>
      <bottom/>
      <diagonal/>
    </border>
    <border>
      <left style="thin">
        <color auto="1"/>
      </left>
      <right style="thin">
        <color auto="1"/>
      </right>
      <top style="thin">
        <color auto="1"/>
      </top>
      <bottom/>
      <diagonal/>
    </border>
    <border>
      <left/>
      <right style="thin">
        <color auto="1"/>
      </right>
      <top style="thin">
        <color indexed="64"/>
      </top>
      <bottom/>
      <diagonal/>
    </border>
    <border>
      <left/>
      <right style="thin">
        <color indexed="8"/>
      </right>
      <top style="thin">
        <color indexed="8"/>
      </top>
      <bottom/>
      <diagonal/>
    </border>
    <border>
      <left style="thin">
        <color auto="1"/>
      </left>
      <right style="thin">
        <color auto="1"/>
      </right>
      <top style="thin">
        <color auto="1"/>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64"/>
      </bottom>
      <diagonal/>
    </border>
    <border>
      <left/>
      <right style="medium">
        <color indexed="64"/>
      </right>
      <top style="thin">
        <color indexed="64"/>
      </top>
      <bottom style="thin">
        <color indexed="64"/>
      </bottom>
      <diagonal/>
    </border>
    <border>
      <left/>
      <right style="thin">
        <color auto="1"/>
      </right>
      <top style="thin">
        <color indexed="64"/>
      </top>
      <bottom/>
      <diagonal/>
    </border>
    <border>
      <left/>
      <right style="thin">
        <color indexed="8"/>
      </right>
      <top style="thin">
        <color indexed="8"/>
      </top>
      <bottom/>
      <diagonal/>
    </border>
    <border>
      <left style="thin">
        <color auto="1"/>
      </left>
      <right style="thin">
        <color auto="1"/>
      </right>
      <top style="thin">
        <color auto="1"/>
      </top>
      <bottom/>
      <diagonal/>
    </border>
    <border>
      <left style="thin">
        <color indexed="64"/>
      </left>
      <right style="thin">
        <color indexed="8"/>
      </right>
      <top style="thin">
        <color indexed="8"/>
      </top>
      <bottom style="thin">
        <color indexed="64"/>
      </bottom>
      <diagonal/>
    </border>
    <border>
      <left/>
      <right style="thin">
        <color auto="1"/>
      </right>
      <top style="thin">
        <color indexed="64"/>
      </top>
      <bottom/>
      <diagonal/>
    </border>
    <border>
      <left/>
      <right style="thin">
        <color indexed="8"/>
      </right>
      <top style="thin">
        <color indexed="8"/>
      </top>
      <bottom/>
      <diagonal/>
    </border>
    <border>
      <left style="thin">
        <color auto="1"/>
      </left>
      <right style="thin">
        <color auto="1"/>
      </right>
      <top style="thin">
        <color auto="1"/>
      </top>
      <bottom/>
      <diagonal/>
    </border>
    <border>
      <left style="thin">
        <color indexed="64"/>
      </left>
      <right style="thin">
        <color indexed="8"/>
      </right>
      <top style="thin">
        <color indexed="8"/>
      </top>
      <bottom style="thin">
        <color indexed="64"/>
      </bottom>
      <diagonal/>
    </border>
    <border>
      <left/>
      <right/>
      <top style="thin">
        <color indexed="64"/>
      </top>
      <bottom/>
      <diagonal/>
    </border>
    <border>
      <left style="thin">
        <color indexed="64"/>
      </left>
      <right/>
      <top style="thin">
        <color indexed="64"/>
      </top>
      <bottom/>
      <diagonal/>
    </border>
  </borders>
  <cellStyleXfs count="102">
    <xf numFmtId="0" fontId="0" fillId="0" borderId="0"/>
    <xf numFmtId="0" fontId="1" fillId="0" borderId="0"/>
    <xf numFmtId="0" fontId="2" fillId="0" borderId="0"/>
    <xf numFmtId="0" fontId="5" fillId="0" borderId="0"/>
    <xf numFmtId="0" fontId="1" fillId="0" borderId="0"/>
    <xf numFmtId="0" fontId="1" fillId="0" borderId="0"/>
    <xf numFmtId="1" fontId="7" fillId="0" borderId="0"/>
    <xf numFmtId="0" fontId="8" fillId="0" borderId="0"/>
    <xf numFmtId="0" fontId="1" fillId="0" borderId="0"/>
    <xf numFmtId="0" fontId="1" fillId="0" borderId="0"/>
    <xf numFmtId="0" fontId="12" fillId="5" borderId="0" applyNumberFormat="0" applyBorder="0" applyAlignment="0" applyProtection="0"/>
    <xf numFmtId="0" fontId="12" fillId="8" borderId="0" applyNumberFormat="0" applyBorder="0" applyAlignment="0" applyProtection="0"/>
    <xf numFmtId="0" fontId="12" fillId="7" borderId="0" applyNumberFormat="0" applyBorder="0" applyAlignment="0" applyProtection="0"/>
    <xf numFmtId="0" fontId="12" fillId="6"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2" fillId="14" borderId="0" applyNumberFormat="0" applyBorder="0" applyAlignment="0" applyProtection="0"/>
    <xf numFmtId="0" fontId="9" fillId="15"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22" borderId="0" applyNumberFormat="0" applyBorder="0" applyAlignment="0" applyProtection="0"/>
    <xf numFmtId="0" fontId="19" fillId="6" borderId="0" applyNumberFormat="0" applyBorder="0" applyAlignment="0" applyProtection="0"/>
    <xf numFmtId="0" fontId="15" fillId="4" borderId="2" applyNumberFormat="0" applyAlignment="0" applyProtection="0"/>
    <xf numFmtId="0" fontId="20" fillId="23" borderId="3" applyNumberFormat="0" applyAlignment="0" applyProtection="0"/>
    <xf numFmtId="0" fontId="25" fillId="0" borderId="0" applyNumberFormat="0" applyFill="0" applyBorder="0" applyAlignment="0" applyProtection="0"/>
    <xf numFmtId="0" fontId="10" fillId="7" borderId="0" applyNumberFormat="0" applyBorder="0" applyAlignment="0" applyProtection="0"/>
    <xf numFmtId="0" fontId="23" fillId="0" borderId="4" applyNumberFormat="0" applyFill="0" applyAlignment="0" applyProtection="0"/>
    <xf numFmtId="0" fontId="17" fillId="0" borderId="5" applyNumberFormat="0" applyFill="0" applyAlignment="0" applyProtection="0"/>
    <xf numFmtId="0" fontId="18" fillId="0" borderId="6" applyNumberFormat="0" applyFill="0" applyAlignment="0" applyProtection="0"/>
    <xf numFmtId="0" fontId="18" fillId="0" borderId="0" applyNumberFormat="0" applyFill="0" applyBorder="0" applyAlignment="0" applyProtection="0"/>
    <xf numFmtId="0" fontId="13" fillId="10" borderId="2" applyNumberFormat="0" applyAlignment="0" applyProtection="0"/>
    <xf numFmtId="0" fontId="16" fillId="0" borderId="7" applyNumberFormat="0" applyFill="0" applyAlignment="0" applyProtection="0"/>
    <xf numFmtId="0" fontId="22" fillId="24" borderId="0" applyNumberFormat="0" applyBorder="0" applyAlignment="0" applyProtection="0"/>
    <xf numFmtId="0" fontId="1" fillId="25" borderId="8" applyNumberFormat="0" applyFont="0" applyAlignment="0" applyProtection="0"/>
    <xf numFmtId="0" fontId="14" fillId="4" borderId="9" applyNumberFormat="0" applyAlignment="0" applyProtection="0"/>
    <xf numFmtId="0" fontId="21" fillId="0" borderId="0" applyNumberFormat="0" applyFill="0" applyBorder="0" applyAlignment="0" applyProtection="0"/>
    <xf numFmtId="0" fontId="24" fillId="0" borderId="10" applyNumberFormat="0" applyFill="0" applyAlignment="0" applyProtection="0"/>
    <xf numFmtId="0" fontId="11" fillId="0" borderId="0" applyNumberFormat="0" applyFill="0" applyBorder="0" applyAlignment="0" applyProtection="0"/>
    <xf numFmtId="0" fontId="26" fillId="0" borderId="0"/>
    <xf numFmtId="0" fontId="27" fillId="0" borderId="0"/>
    <xf numFmtId="0" fontId="29" fillId="26" borderId="0" applyNumberFormat="0" applyBorder="0" applyAlignment="0" applyProtection="0"/>
    <xf numFmtId="0" fontId="1" fillId="0" borderId="0"/>
    <xf numFmtId="164" fontId="1" fillId="0" borderId="0" applyFill="0" applyBorder="0" applyAlignment="0" applyProtection="0"/>
    <xf numFmtId="164" fontId="1" fillId="0" borderId="0" applyFill="0" applyBorder="0" applyAlignment="0" applyProtection="0"/>
    <xf numFmtId="0" fontId="40" fillId="26" borderId="0" applyNumberFormat="0" applyBorder="0" applyAlignment="0" applyProtection="0"/>
    <xf numFmtId="0" fontId="1" fillId="0" borderId="0"/>
    <xf numFmtId="0" fontId="15" fillId="4" borderId="27" applyNumberFormat="0" applyAlignment="0" applyProtection="0"/>
    <xf numFmtId="0" fontId="13" fillId="10" borderId="27" applyNumberFormat="0" applyAlignment="0" applyProtection="0"/>
    <xf numFmtId="0" fontId="1" fillId="25" borderId="28" applyNumberFormat="0" applyFont="0" applyAlignment="0" applyProtection="0"/>
    <xf numFmtId="0" fontId="14" fillId="4" borderId="29" applyNumberFormat="0" applyAlignment="0" applyProtection="0"/>
    <xf numFmtId="0" fontId="24" fillId="0" borderId="30" applyNumberFormat="0" applyFill="0" applyAlignment="0" applyProtection="0"/>
    <xf numFmtId="0" fontId="26" fillId="0" borderId="0"/>
    <xf numFmtId="164" fontId="1" fillId="0" borderId="0" applyFill="0" applyBorder="0" applyAlignment="0" applyProtection="0"/>
    <xf numFmtId="164" fontId="1" fillId="0" borderId="0" applyFill="0" applyBorder="0" applyAlignment="0" applyProtection="0"/>
    <xf numFmtId="0" fontId="1" fillId="25" borderId="54" applyNumberFormat="0" applyFont="0" applyAlignment="0" applyProtection="0"/>
    <xf numFmtId="0" fontId="24" fillId="0" borderId="60" applyNumberFormat="0" applyFill="0" applyAlignment="0" applyProtection="0"/>
    <xf numFmtId="0" fontId="1" fillId="25" borderId="46" applyNumberFormat="0" applyFont="0" applyAlignment="0" applyProtection="0"/>
    <xf numFmtId="0" fontId="1" fillId="25" borderId="58" applyNumberFormat="0" applyFont="0" applyAlignment="0" applyProtection="0"/>
    <xf numFmtId="0" fontId="1" fillId="25" borderId="42" applyNumberFormat="0" applyFont="0" applyAlignment="0" applyProtection="0"/>
    <xf numFmtId="0" fontId="15" fillId="4" borderId="41" applyNumberFormat="0" applyAlignment="0" applyProtection="0"/>
    <xf numFmtId="0" fontId="13" fillId="10" borderId="41" applyNumberFormat="0" applyAlignment="0" applyProtection="0"/>
    <xf numFmtId="0" fontId="13" fillId="10" borderId="53" applyNumberFormat="0" applyAlignment="0" applyProtection="0"/>
    <xf numFmtId="0" fontId="24" fillId="0" borderId="52" applyNumberFormat="0" applyFill="0" applyAlignment="0" applyProtection="0"/>
    <xf numFmtId="0" fontId="14" fillId="4" borderId="51" applyNumberFormat="0" applyAlignment="0" applyProtection="0"/>
    <xf numFmtId="0" fontId="1" fillId="25" borderId="50" applyNumberFormat="0" applyFont="0" applyAlignment="0" applyProtection="0"/>
    <xf numFmtId="0" fontId="13" fillId="10" borderId="49" applyNumberFormat="0" applyAlignment="0" applyProtection="0"/>
    <xf numFmtId="0" fontId="15" fillId="4" borderId="49" applyNumberFormat="0" applyAlignment="0" applyProtection="0"/>
    <xf numFmtId="0" fontId="13" fillId="10" borderId="57" applyNumberFormat="0" applyAlignment="0" applyProtection="0"/>
    <xf numFmtId="0" fontId="14" fillId="4" borderId="59" applyNumberFormat="0" applyAlignment="0" applyProtection="0"/>
    <xf numFmtId="0" fontId="13" fillId="10" borderId="45" applyNumberFormat="0" applyAlignment="0" applyProtection="0"/>
    <xf numFmtId="0" fontId="15" fillId="4" borderId="37" applyNumberFormat="0" applyAlignment="0" applyProtection="0"/>
    <xf numFmtId="0" fontId="13" fillId="10" borderId="37" applyNumberFormat="0" applyAlignment="0" applyProtection="0"/>
    <xf numFmtId="0" fontId="1" fillId="25" borderId="38" applyNumberFormat="0" applyFont="0" applyAlignment="0" applyProtection="0"/>
    <xf numFmtId="0" fontId="14" fillId="4" borderId="39" applyNumberFormat="0" applyAlignment="0" applyProtection="0"/>
    <xf numFmtId="0" fontId="24" fillId="0" borderId="40" applyNumberFormat="0" applyFill="0" applyAlignment="0" applyProtection="0"/>
    <xf numFmtId="0" fontId="15" fillId="4" borderId="45" applyNumberFormat="0" applyAlignment="0" applyProtection="0"/>
    <xf numFmtId="0" fontId="14" fillId="4" borderId="43" applyNumberFormat="0" applyAlignment="0" applyProtection="0"/>
    <xf numFmtId="0" fontId="24" fillId="0" borderId="44" applyNumberFormat="0" applyFill="0" applyAlignment="0" applyProtection="0"/>
    <xf numFmtId="0" fontId="15" fillId="4" borderId="53" applyNumberFormat="0" applyAlignment="0" applyProtection="0"/>
    <xf numFmtId="0" fontId="14" fillId="4" borderId="47" applyNumberFormat="0" applyAlignment="0" applyProtection="0"/>
    <xf numFmtId="0" fontId="24" fillId="0" borderId="48" applyNumberFormat="0" applyFill="0" applyAlignment="0" applyProtection="0"/>
    <xf numFmtId="0" fontId="15" fillId="4" borderId="57" applyNumberFormat="0" applyAlignment="0" applyProtection="0"/>
    <xf numFmtId="0" fontId="14" fillId="4" borderId="55" applyNumberFormat="0" applyAlignment="0" applyProtection="0"/>
    <xf numFmtId="0" fontId="24" fillId="0" borderId="56" applyNumberFormat="0" applyFill="0" applyAlignment="0" applyProtection="0"/>
    <xf numFmtId="0" fontId="15" fillId="4" borderId="61" applyNumberFormat="0" applyAlignment="0" applyProtection="0"/>
    <xf numFmtId="0" fontId="13" fillId="10" borderId="61" applyNumberFormat="0" applyAlignment="0" applyProtection="0"/>
    <xf numFmtId="0" fontId="1" fillId="25" borderId="62" applyNumberFormat="0" applyFont="0" applyAlignment="0" applyProtection="0"/>
    <xf numFmtId="0" fontId="14" fillId="4" borderId="63" applyNumberFormat="0" applyAlignment="0" applyProtection="0"/>
    <xf numFmtId="0" fontId="24" fillId="0" borderId="64" applyNumberFormat="0" applyFill="0" applyAlignment="0" applyProtection="0"/>
  </cellStyleXfs>
  <cellXfs count="1079">
    <xf numFmtId="0" fontId="0" fillId="0" borderId="0" xfId="0"/>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xf>
    <xf numFmtId="0" fontId="4" fillId="2" borderId="0" xfId="0" applyFont="1" applyFill="1" applyAlignment="1">
      <alignment horizontal="center" vertical="center"/>
    </xf>
    <xf numFmtId="0" fontId="4" fillId="2" borderId="0" xfId="0" applyFont="1" applyFill="1" applyAlignment="1">
      <alignment vertical="center"/>
    </xf>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32" fillId="2" borderId="0" xfId="0" applyFont="1" applyFill="1" applyAlignment="1">
      <alignment horizontal="center" vertical="center"/>
    </xf>
    <xf numFmtId="0" fontId="31" fillId="0" borderId="0" xfId="0" applyFont="1" applyAlignment="1">
      <alignment vertical="center"/>
    </xf>
    <xf numFmtId="0" fontId="4"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vertical="center"/>
    </xf>
    <xf numFmtId="0" fontId="1" fillId="0" borderId="0" xfId="1"/>
    <xf numFmtId="0" fontId="4" fillId="2" borderId="12" xfId="0" applyFont="1" applyFill="1" applyBorder="1" applyAlignment="1">
      <alignment vertical="center"/>
    </xf>
    <xf numFmtId="0" fontId="4" fillId="2" borderId="13"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7" xfId="0" applyFont="1" applyFill="1" applyBorder="1" applyAlignment="1">
      <alignment vertical="center"/>
    </xf>
    <xf numFmtId="0" fontId="4" fillId="2" borderId="18" xfId="0" applyFont="1" applyFill="1" applyBorder="1" applyAlignment="1">
      <alignment horizontal="center" vertical="center"/>
    </xf>
    <xf numFmtId="0" fontId="3" fillId="0" borderId="18" xfId="0" applyFont="1" applyBorder="1" applyAlignment="1">
      <alignment horizontal="center" vertical="center"/>
    </xf>
    <xf numFmtId="0" fontId="4" fillId="2" borderId="18" xfId="0" applyFont="1" applyFill="1" applyBorder="1"/>
    <xf numFmtId="0" fontId="4" fillId="0" borderId="18" xfId="0" applyFont="1" applyBorder="1" applyAlignment="1">
      <alignment horizontal="center" vertical="center"/>
    </xf>
    <xf numFmtId="0" fontId="4" fillId="2" borderId="19" xfId="0" applyFont="1" applyFill="1" applyBorder="1" applyAlignment="1">
      <alignment vertical="center"/>
    </xf>
    <xf numFmtId="0" fontId="4" fillId="2" borderId="20" xfId="0" applyFont="1" applyFill="1" applyBorder="1" applyAlignment="1">
      <alignment horizontal="center" vertical="center"/>
    </xf>
    <xf numFmtId="0" fontId="3" fillId="2" borderId="20" xfId="0" applyFont="1" applyFill="1" applyBorder="1" applyAlignment="1">
      <alignment horizontal="center" vertical="center" wrapText="1"/>
    </xf>
    <xf numFmtId="0" fontId="4" fillId="2" borderId="21" xfId="0" applyFont="1" applyFill="1" applyBorder="1" applyAlignment="1">
      <alignment horizontal="center" vertical="center"/>
    </xf>
    <xf numFmtId="0" fontId="4" fillId="2" borderId="13" xfId="0" applyFont="1" applyFill="1" applyBorder="1" applyAlignment="1">
      <alignment vertical="center" wrapText="1"/>
    </xf>
    <xf numFmtId="0" fontId="4" fillId="0" borderId="17" xfId="0" applyFont="1" applyBorder="1" applyAlignment="1">
      <alignment vertical="center"/>
    </xf>
    <xf numFmtId="0" fontId="4" fillId="0" borderId="19" xfId="0" applyFont="1" applyBorder="1" applyAlignment="1">
      <alignment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12" xfId="0" applyFont="1" applyBorder="1" applyAlignment="1">
      <alignment vertical="center"/>
    </xf>
    <xf numFmtId="0" fontId="4" fillId="0" borderId="13" xfId="0" applyFont="1" applyBorder="1" applyAlignment="1">
      <alignment horizontal="center" vertical="center"/>
    </xf>
    <xf numFmtId="0" fontId="4" fillId="0" borderId="11" xfId="0" applyFont="1" applyBorder="1" applyAlignment="1">
      <alignment horizontal="center" vertical="center"/>
    </xf>
    <xf numFmtId="0" fontId="28" fillId="0" borderId="0" xfId="1" applyFont="1" applyAlignment="1">
      <alignment horizontal="center" vertical="center"/>
    </xf>
    <xf numFmtId="0" fontId="43" fillId="0" borderId="0" xfId="1" applyFont="1" applyAlignment="1">
      <alignment horizontal="center" vertical="center" wrapText="1"/>
    </xf>
    <xf numFmtId="0" fontId="28" fillId="0" borderId="0" xfId="1" applyFont="1" applyAlignment="1">
      <alignment horizontal="center" vertical="center" wrapText="1"/>
    </xf>
    <xf numFmtId="0" fontId="1" fillId="0" borderId="0" xfId="0" applyFont="1"/>
    <xf numFmtId="0" fontId="1" fillId="0" borderId="0" xfId="1" applyAlignment="1">
      <alignment horizontal="center" vertical="center"/>
    </xf>
    <xf numFmtId="0" fontId="38" fillId="0" borderId="0" xfId="1" applyFont="1" applyAlignment="1">
      <alignment horizontal="center" vertical="center"/>
    </xf>
    <xf numFmtId="0" fontId="1" fillId="3" borderId="0" xfId="1" applyFill="1" applyAlignment="1">
      <alignment horizontal="center" vertical="center"/>
    </xf>
    <xf numFmtId="0" fontId="1" fillId="0" borderId="0" xfId="1" applyAlignment="1">
      <alignment horizontal="center" vertical="center" wrapText="1"/>
    </xf>
    <xf numFmtId="0" fontId="1" fillId="0" borderId="0" xfId="1" applyAlignment="1">
      <alignment horizontal="left" vertical="center" wrapText="1"/>
    </xf>
    <xf numFmtId="0" fontId="3" fillId="27" borderId="0" xfId="0" applyFont="1" applyFill="1" applyAlignment="1">
      <alignment horizontal="left" vertical="center"/>
    </xf>
    <xf numFmtId="0" fontId="3" fillId="27" borderId="0" xfId="0" applyFont="1" applyFill="1" applyAlignment="1">
      <alignment horizontal="center" vertical="center"/>
    </xf>
    <xf numFmtId="0" fontId="3" fillId="27" borderId="0" xfId="0" applyFont="1" applyFill="1" applyAlignment="1">
      <alignment vertical="center"/>
    </xf>
    <xf numFmtId="0" fontId="3" fillId="27" borderId="0" xfId="0" applyFont="1" applyFill="1" applyAlignment="1">
      <alignment vertical="center" wrapText="1"/>
    </xf>
    <xf numFmtId="0" fontId="45" fillId="0" borderId="0" xfId="0" applyFont="1" applyAlignment="1">
      <alignment horizontal="center" vertical="center"/>
    </xf>
    <xf numFmtId="0" fontId="45" fillId="0" borderId="0" xfId="0" applyFont="1" applyAlignment="1">
      <alignment horizontal="center" vertical="center" wrapText="1"/>
    </xf>
    <xf numFmtId="2" fontId="45" fillId="0" borderId="0" xfId="0" applyNumberFormat="1" applyFont="1" applyAlignment="1">
      <alignment horizontal="center" vertical="center"/>
    </xf>
    <xf numFmtId="0" fontId="45" fillId="2" borderId="0" xfId="0" applyFont="1" applyFill="1" applyAlignment="1">
      <alignment horizontal="center" vertical="center"/>
    </xf>
    <xf numFmtId="2" fontId="46" fillId="0" borderId="0" xfId="0" applyNumberFormat="1" applyFont="1" applyAlignment="1">
      <alignment horizontal="center" vertical="center"/>
    </xf>
    <xf numFmtId="0" fontId="45" fillId="2" borderId="0" xfId="0" applyFont="1" applyFill="1" applyAlignment="1">
      <alignment horizontal="center" vertical="center" wrapText="1"/>
    </xf>
    <xf numFmtId="165" fontId="45" fillId="0" borderId="0" xfId="0" applyNumberFormat="1" applyFont="1" applyAlignment="1">
      <alignment horizontal="center" vertical="center"/>
    </xf>
    <xf numFmtId="0" fontId="45" fillId="0" borderId="0" xfId="0" applyFont="1" applyAlignment="1">
      <alignment vertical="center"/>
    </xf>
    <xf numFmtId="0" fontId="45" fillId="0" borderId="0" xfId="0" applyFont="1" applyAlignment="1">
      <alignment horizontal="left" vertical="center"/>
    </xf>
    <xf numFmtId="0" fontId="45" fillId="0" borderId="0" xfId="0" applyFont="1" applyAlignment="1">
      <alignment vertical="center" wrapText="1"/>
    </xf>
    <xf numFmtId="0" fontId="35" fillId="0" borderId="0" xfId="0" applyFont="1" applyAlignment="1">
      <alignment vertical="center"/>
    </xf>
    <xf numFmtId="0" fontId="44" fillId="2" borderId="0" xfId="0" applyFont="1" applyFill="1" applyAlignment="1">
      <alignment horizontal="center" vertical="center" wrapText="1"/>
    </xf>
    <xf numFmtId="0" fontId="4" fillId="2" borderId="18" xfId="0" applyFont="1" applyFill="1" applyBorder="1" applyAlignment="1">
      <alignment horizontal="center" vertical="center" wrapText="1"/>
    </xf>
    <xf numFmtId="0" fontId="51" fillId="0" borderId="0" xfId="1" applyFont="1" applyAlignment="1">
      <alignment horizontal="center" vertical="center" wrapText="1"/>
    </xf>
    <xf numFmtId="0" fontId="28" fillId="0" borderId="0" xfId="0" applyFont="1" applyAlignment="1">
      <alignment horizontal="center" vertical="center"/>
    </xf>
    <xf numFmtId="0" fontId="28" fillId="0" borderId="0" xfId="0" applyFont="1" applyAlignment="1">
      <alignment horizontal="center" vertical="center" wrapText="1"/>
    </xf>
    <xf numFmtId="0" fontId="28" fillId="0" borderId="0" xfId="0" applyFont="1" applyAlignment="1">
      <alignment horizontal="left" vertical="center" wrapText="1"/>
    </xf>
    <xf numFmtId="0" fontId="54" fillId="0" borderId="0" xfId="0" applyFont="1" applyAlignment="1">
      <alignment horizontal="center" vertical="center"/>
    </xf>
    <xf numFmtId="0" fontId="52" fillId="0" borderId="0" xfId="1" applyFont="1" applyAlignment="1">
      <alignment horizontal="center" vertical="center" wrapText="1"/>
    </xf>
    <xf numFmtId="0" fontId="50" fillId="0" borderId="0" xfId="1" applyFont="1" applyAlignment="1">
      <alignment horizontal="center" vertical="center"/>
    </xf>
    <xf numFmtId="0" fontId="1" fillId="0" borderId="0" xfId="0" applyFont="1" applyAlignment="1">
      <alignment horizontal="center" vertical="center" wrapText="1"/>
    </xf>
    <xf numFmtId="0" fontId="36" fillId="0" borderId="0" xfId="0" applyFont="1" applyAlignment="1">
      <alignment vertical="center"/>
    </xf>
    <xf numFmtId="0" fontId="0" fillId="0" borderId="0" xfId="0" applyAlignment="1">
      <alignment horizontal="center" vertical="center"/>
    </xf>
    <xf numFmtId="0" fontId="51" fillId="2" borderId="0" xfId="0" applyFont="1" applyFill="1"/>
    <xf numFmtId="0" fontId="51" fillId="2" borderId="0" xfId="0" applyFont="1" applyFill="1" applyAlignment="1">
      <alignment wrapText="1"/>
    </xf>
    <xf numFmtId="0" fontId="51" fillId="0" borderId="0" xfId="0" applyFont="1"/>
    <xf numFmtId="165" fontId="51" fillId="0" borderId="0" xfId="0" applyNumberFormat="1" applyFont="1"/>
    <xf numFmtId="0" fontId="51" fillId="0" borderId="0" xfId="0" applyFont="1" applyAlignment="1">
      <alignment wrapText="1"/>
    </xf>
    <xf numFmtId="0" fontId="28" fillId="3" borderId="0" xfId="0" applyFont="1" applyFill="1" applyAlignment="1">
      <alignment horizontal="center" vertical="center"/>
    </xf>
    <xf numFmtId="0" fontId="28" fillId="43" borderId="0" xfId="0" applyFont="1" applyFill="1" applyAlignment="1">
      <alignment horizontal="center" vertical="center"/>
    </xf>
    <xf numFmtId="0" fontId="1" fillId="0" borderId="1" xfId="0" applyFont="1" applyBorder="1" applyAlignment="1">
      <alignment horizontal="center" vertical="center" wrapText="1"/>
    </xf>
    <xf numFmtId="0" fontId="28" fillId="0" borderId="0" xfId="0" applyFont="1" applyAlignment="1">
      <alignment vertical="center" wrapText="1"/>
    </xf>
    <xf numFmtId="0" fontId="4" fillId="43" borderId="0" xfId="0" applyFont="1" applyFill="1" applyAlignment="1">
      <alignment horizontal="center" vertical="center"/>
    </xf>
    <xf numFmtId="0" fontId="28" fillId="45" borderId="0" xfId="0" applyFont="1" applyFill="1" applyAlignment="1">
      <alignment horizontal="center" vertical="center"/>
    </xf>
    <xf numFmtId="0" fontId="28" fillId="47" borderId="0" xfId="0" applyFont="1" applyFill="1" applyAlignment="1">
      <alignment horizontal="center" vertical="center"/>
    </xf>
    <xf numFmtId="0" fontId="4" fillId="43" borderId="0" xfId="0" applyFont="1" applyFill="1" applyAlignment="1">
      <alignment vertical="center"/>
    </xf>
    <xf numFmtId="0" fontId="65" fillId="0" borderId="0" xfId="0" applyFont="1" applyAlignment="1">
      <alignment horizontal="center" vertical="center"/>
    </xf>
    <xf numFmtId="0" fontId="0" fillId="0" borderId="0" xfId="0" applyAlignment="1">
      <alignment vertical="center"/>
    </xf>
    <xf numFmtId="0" fontId="28" fillId="0" borderId="13" xfId="0" applyFont="1" applyBorder="1" applyAlignment="1">
      <alignment horizontal="center" vertical="center"/>
    </xf>
    <xf numFmtId="0" fontId="28" fillId="0" borderId="11" xfId="0" applyFont="1" applyBorder="1" applyAlignment="1">
      <alignment horizontal="center" vertical="center"/>
    </xf>
    <xf numFmtId="0" fontId="28" fillId="0" borderId="36" xfId="0" applyFont="1" applyBorder="1" applyAlignment="1">
      <alignment horizontal="center" vertical="center"/>
    </xf>
    <xf numFmtId="0" fontId="28" fillId="0" borderId="20" xfId="0" applyFont="1" applyBorder="1" applyAlignment="1">
      <alignment horizontal="center" vertical="center"/>
    </xf>
    <xf numFmtId="0" fontId="28" fillId="0" borderId="21" xfId="0" applyFont="1" applyBorder="1" applyAlignment="1">
      <alignment horizontal="center" vertical="center"/>
    </xf>
    <xf numFmtId="0" fontId="0" fillId="0" borderId="0" xfId="0" applyAlignment="1">
      <alignment horizontal="left" vertical="center"/>
    </xf>
    <xf numFmtId="0" fontId="36" fillId="0" borderId="0" xfId="0" applyFont="1" applyAlignment="1">
      <alignment horizontal="center" vertical="center"/>
    </xf>
    <xf numFmtId="170" fontId="36" fillId="0" borderId="1" xfId="0" applyNumberFormat="1" applyFont="1" applyBorder="1" applyAlignment="1">
      <alignment horizontal="center" vertical="center" wrapText="1"/>
    </xf>
    <xf numFmtId="0" fontId="0" fillId="36" borderId="0" xfId="0" applyFill="1" applyAlignment="1">
      <alignment horizontal="center" vertical="center"/>
    </xf>
    <xf numFmtId="0" fontId="57" fillId="36" borderId="0" xfId="0" applyFont="1" applyFill="1" applyAlignment="1">
      <alignment horizontal="center" vertical="center"/>
    </xf>
    <xf numFmtId="0" fontId="50" fillId="0" borderId="0" xfId="0" applyFont="1" applyAlignment="1">
      <alignment horizontal="center" vertical="center"/>
    </xf>
    <xf numFmtId="0" fontId="38" fillId="0" borderId="0" xfId="0" applyFont="1" applyAlignment="1">
      <alignment horizontal="center" vertical="center"/>
    </xf>
    <xf numFmtId="0" fontId="36" fillId="0" borderId="1" xfId="0" applyFont="1" applyBorder="1" applyAlignment="1">
      <alignment horizontal="left" vertical="center" wrapText="1"/>
    </xf>
    <xf numFmtId="170" fontId="36" fillId="3" borderId="1" xfId="0" applyNumberFormat="1" applyFont="1" applyFill="1" applyBorder="1" applyAlignment="1">
      <alignment horizontal="center" vertical="center" wrapText="1"/>
    </xf>
    <xf numFmtId="0" fontId="0" fillId="0" borderId="1" xfId="0" applyBorder="1" applyAlignment="1">
      <alignment horizontal="center" vertical="center"/>
    </xf>
    <xf numFmtId="2" fontId="0" fillId="0" borderId="1" xfId="0" applyNumberFormat="1" applyBorder="1" applyAlignment="1">
      <alignment horizontal="center" vertical="center"/>
    </xf>
    <xf numFmtId="2" fontId="50" fillId="0" borderId="1" xfId="0" applyNumberFormat="1" applyFont="1" applyBorder="1" applyAlignment="1">
      <alignment horizontal="center" vertical="center"/>
    </xf>
    <xf numFmtId="0" fontId="1" fillId="0" borderId="0" xfId="0" applyFont="1" applyAlignment="1">
      <alignment horizontal="right" vertical="center"/>
    </xf>
    <xf numFmtId="0" fontId="67" fillId="2" borderId="17" xfId="0" applyFont="1" applyFill="1" applyBorder="1" applyAlignment="1">
      <alignment vertical="center"/>
    </xf>
    <xf numFmtId="0" fontId="67" fillId="0" borderId="0" xfId="0" applyFont="1" applyAlignment="1">
      <alignment vertical="center"/>
    </xf>
    <xf numFmtId="0" fontId="67" fillId="0" borderId="0" xfId="0" applyFont="1" applyAlignment="1">
      <alignment vertical="center" wrapText="1"/>
    </xf>
    <xf numFmtId="0" fontId="67" fillId="2" borderId="0" xfId="0" applyFont="1" applyFill="1" applyAlignment="1">
      <alignment vertical="center"/>
    </xf>
    <xf numFmtId="0" fontId="67" fillId="2" borderId="0" xfId="0" applyFont="1" applyFill="1" applyAlignment="1">
      <alignment horizontal="center" vertical="center"/>
    </xf>
    <xf numFmtId="0" fontId="67" fillId="0" borderId="0" xfId="0" applyFont="1" applyAlignment="1">
      <alignment horizontal="center" vertical="center"/>
    </xf>
    <xf numFmtId="0" fontId="67" fillId="2" borderId="18" xfId="0" applyFont="1" applyFill="1" applyBorder="1" applyAlignment="1">
      <alignment horizontal="center" vertical="center"/>
    </xf>
    <xf numFmtId="0" fontId="67" fillId="2" borderId="0" xfId="0" applyFont="1" applyFill="1" applyAlignment="1">
      <alignment horizontal="center" vertical="center" wrapText="1"/>
    </xf>
    <xf numFmtId="0" fontId="67" fillId="0" borderId="17" xfId="0" applyFont="1" applyBorder="1" applyAlignment="1">
      <alignment vertical="center"/>
    </xf>
    <xf numFmtId="0" fontId="67" fillId="0" borderId="18" xfId="0" applyFont="1" applyBorder="1" applyAlignment="1">
      <alignment horizontal="center" vertical="center"/>
    </xf>
    <xf numFmtId="0" fontId="66" fillId="27" borderId="0" xfId="0" applyFont="1" applyFill="1" applyAlignment="1">
      <alignment vertical="center"/>
    </xf>
    <xf numFmtId="0" fontId="66" fillId="27" borderId="0" xfId="0" applyFont="1" applyFill="1" applyAlignment="1">
      <alignment horizontal="center" vertical="center"/>
    </xf>
    <xf numFmtId="0" fontId="66" fillId="27" borderId="0" xfId="0" applyFont="1" applyFill="1" applyAlignment="1">
      <alignment vertical="center" wrapText="1"/>
    </xf>
    <xf numFmtId="0" fontId="1" fillId="0" borderId="0" xfId="1" applyAlignment="1">
      <alignment horizontal="left" vertical="center"/>
    </xf>
    <xf numFmtId="0" fontId="1" fillId="0" borderId="0" xfId="1" applyAlignment="1">
      <alignment vertical="center" wrapText="1"/>
    </xf>
    <xf numFmtId="0" fontId="43" fillId="0" borderId="35" xfId="0" applyFont="1" applyBorder="1" applyAlignment="1">
      <alignment horizontal="center" vertical="center"/>
    </xf>
    <xf numFmtId="0" fontId="31" fillId="0" borderId="13" xfId="0" applyFont="1" applyBorder="1" applyAlignment="1">
      <alignment vertical="center"/>
    </xf>
    <xf numFmtId="0" fontId="4" fillId="0" borderId="13" xfId="0" applyFont="1" applyBorder="1" applyAlignment="1">
      <alignment vertical="center" wrapText="1"/>
    </xf>
    <xf numFmtId="0" fontId="4" fillId="2" borderId="11" xfId="0" applyFont="1" applyFill="1" applyBorder="1" applyAlignment="1">
      <alignment vertical="center"/>
    </xf>
    <xf numFmtId="0" fontId="4" fillId="2" borderId="18" xfId="0" applyFont="1" applyFill="1" applyBorder="1" applyAlignment="1">
      <alignment vertical="center"/>
    </xf>
    <xf numFmtId="0" fontId="4" fillId="0" borderId="18" xfId="0" applyFont="1" applyBorder="1" applyAlignment="1">
      <alignment vertical="center"/>
    </xf>
    <xf numFmtId="0" fontId="32" fillId="2" borderId="20" xfId="0" applyFont="1" applyFill="1" applyBorder="1" applyAlignment="1">
      <alignment horizontal="center" vertical="center"/>
    </xf>
    <xf numFmtId="0" fontId="4" fillId="0" borderId="20" xfId="0" applyFont="1" applyBorder="1" applyAlignment="1">
      <alignment vertical="center"/>
    </xf>
    <xf numFmtId="0" fontId="4" fillId="0" borderId="21" xfId="0" applyFont="1" applyBorder="1" applyAlignment="1">
      <alignment vertical="center"/>
    </xf>
    <xf numFmtId="0" fontId="32" fillId="2" borderId="13" xfId="0" applyFont="1" applyFill="1" applyBorder="1" applyAlignment="1">
      <alignment horizontal="center" vertical="center"/>
    </xf>
    <xf numFmtId="0" fontId="4" fillId="0" borderId="13" xfId="0" applyFont="1" applyBorder="1" applyAlignment="1">
      <alignment vertical="center"/>
    </xf>
    <xf numFmtId="0" fontId="4" fillId="0" borderId="11" xfId="0" applyFont="1" applyBorder="1" applyAlignment="1">
      <alignment vertical="center"/>
    </xf>
    <xf numFmtId="0" fontId="31" fillId="27" borderId="65" xfId="0" applyFont="1" applyFill="1" applyBorder="1" applyAlignment="1">
      <alignment vertical="center"/>
    </xf>
    <xf numFmtId="0" fontId="4" fillId="2" borderId="13" xfId="0" applyFont="1" applyFill="1" applyBorder="1" applyAlignment="1">
      <alignment vertical="center"/>
    </xf>
    <xf numFmtId="0" fontId="45" fillId="0" borderId="18" xfId="0" applyFont="1" applyBorder="1" applyAlignment="1">
      <alignment vertical="center" wrapText="1"/>
    </xf>
    <xf numFmtId="0" fontId="45" fillId="0" borderId="18" xfId="0" applyFont="1" applyBorder="1" applyAlignment="1">
      <alignment horizontal="center" vertical="center" wrapText="1"/>
    </xf>
    <xf numFmtId="0" fontId="45" fillId="0" borderId="18" xfId="0" applyFont="1" applyBorder="1" applyAlignment="1">
      <alignment horizontal="center" vertical="center"/>
    </xf>
    <xf numFmtId="2" fontId="46" fillId="0" borderId="18" xfId="0" applyNumberFormat="1" applyFont="1" applyBorder="1" applyAlignment="1">
      <alignment horizontal="center" vertical="center"/>
    </xf>
    <xf numFmtId="0" fontId="4" fillId="2" borderId="20" xfId="0" applyFont="1" applyFill="1" applyBorder="1" applyAlignment="1">
      <alignment horizontal="center" vertical="center" wrapText="1"/>
    </xf>
    <xf numFmtId="0" fontId="44" fillId="2" borderId="20"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36" fillId="30" borderId="1" xfId="0" applyFont="1" applyFill="1" applyBorder="1" applyAlignment="1">
      <alignment horizontal="center" vertical="center" wrapText="1"/>
    </xf>
    <xf numFmtId="0" fontId="72" fillId="0" borderId="0" xfId="0" applyFont="1" applyAlignment="1">
      <alignment vertical="center"/>
    </xf>
    <xf numFmtId="0" fontId="73" fillId="38" borderId="31" xfId="0" applyFont="1" applyFill="1" applyBorder="1" applyAlignment="1">
      <alignment horizontal="center" vertical="center"/>
    </xf>
    <xf numFmtId="0" fontId="73" fillId="38" borderId="31" xfId="0" applyFont="1" applyFill="1" applyBorder="1" applyAlignment="1">
      <alignment horizontal="left" vertical="center"/>
    </xf>
    <xf numFmtId="0" fontId="73" fillId="37" borderId="33" xfId="0" applyFont="1" applyFill="1" applyBorder="1" applyAlignment="1">
      <alignment horizontal="center" vertical="center" wrapText="1"/>
    </xf>
    <xf numFmtId="0" fontId="73" fillId="0" borderId="0" xfId="0" applyFont="1" applyAlignment="1">
      <alignment vertical="center"/>
    </xf>
    <xf numFmtId="0" fontId="73" fillId="0" borderId="0" xfId="0" applyFont="1" applyAlignment="1">
      <alignment horizontal="center" vertical="center"/>
    </xf>
    <xf numFmtId="0" fontId="73" fillId="36" borderId="31" xfId="0" applyFont="1" applyFill="1" applyBorder="1" applyAlignment="1">
      <alignment horizontal="center" vertical="center"/>
    </xf>
    <xf numFmtId="0" fontId="73" fillId="33" borderId="31" xfId="0" applyFont="1" applyFill="1" applyBorder="1" applyAlignment="1">
      <alignment horizontal="center" vertical="center"/>
    </xf>
    <xf numFmtId="0" fontId="72" fillId="0" borderId="26" xfId="0" applyFont="1" applyBorder="1" applyAlignment="1">
      <alignment vertical="center"/>
    </xf>
    <xf numFmtId="0" fontId="72" fillId="0" borderId="0" xfId="0" applyFont="1" applyAlignment="1">
      <alignment horizontal="left" vertical="center"/>
    </xf>
    <xf numFmtId="0" fontId="72" fillId="0" borderId="0" xfId="0" applyFont="1" applyAlignment="1">
      <alignment horizontal="center" vertical="center"/>
    </xf>
    <xf numFmtId="0" fontId="73" fillId="0" borderId="33" xfId="0" applyFont="1" applyBorder="1" applyAlignment="1">
      <alignment horizontal="center" vertical="center"/>
    </xf>
    <xf numFmtId="0" fontId="72" fillId="0" borderId="33" xfId="0" applyFont="1" applyBorder="1" applyAlignment="1">
      <alignment horizontal="center" vertical="center"/>
    </xf>
    <xf numFmtId="0" fontId="72" fillId="0" borderId="23" xfId="0" applyFont="1" applyBorder="1" applyAlignment="1">
      <alignment vertical="center"/>
    </xf>
    <xf numFmtId="0" fontId="72" fillId="0" borderId="23" xfId="0" applyFont="1" applyBorder="1" applyAlignment="1">
      <alignment horizontal="center" vertical="center"/>
    </xf>
    <xf numFmtId="0" fontId="72" fillId="0" borderId="24" xfId="0" applyFont="1" applyBorder="1" applyAlignment="1">
      <alignment horizontal="center" vertical="center"/>
    </xf>
    <xf numFmtId="0" fontId="0" fillId="0" borderId="0" xfId="0" applyAlignment="1">
      <alignment horizontal="center"/>
    </xf>
    <xf numFmtId="0" fontId="59" fillId="0" borderId="0" xfId="1" applyFont="1" applyAlignment="1">
      <alignment horizontal="center" vertical="center"/>
    </xf>
    <xf numFmtId="0" fontId="65" fillId="46" borderId="0" xfId="0" applyFont="1" applyFill="1" applyAlignment="1">
      <alignment horizontal="center" vertical="center"/>
    </xf>
    <xf numFmtId="0" fontId="28" fillId="0" borderId="66" xfId="0" applyFont="1" applyBorder="1" applyAlignment="1">
      <alignment horizontal="center" vertical="center"/>
    </xf>
    <xf numFmtId="0" fontId="59" fillId="0" borderId="1" xfId="0" applyFont="1" applyBorder="1" applyAlignment="1">
      <alignment horizontal="left" vertical="center" wrapText="1"/>
    </xf>
    <xf numFmtId="0" fontId="28" fillId="0" borderId="1" xfId="0" applyFont="1" applyBorder="1" applyAlignment="1">
      <alignment horizontal="center" vertical="center"/>
    </xf>
    <xf numFmtId="0" fontId="51" fillId="0" borderId="1" xfId="0" applyFont="1" applyBorder="1" applyAlignment="1">
      <alignment horizontal="left" vertical="center" wrapText="1"/>
    </xf>
    <xf numFmtId="0" fontId="1" fillId="0" borderId="1" xfId="0" applyFont="1" applyBorder="1" applyAlignment="1">
      <alignment vertical="center"/>
    </xf>
    <xf numFmtId="0" fontId="1" fillId="0" borderId="1" xfId="0" quotePrefix="1"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1" applyBorder="1" applyAlignment="1">
      <alignment horizontal="center" vertical="center" wrapText="1"/>
    </xf>
    <xf numFmtId="0" fontId="1" fillId="0" borderId="1" xfId="0" applyFont="1" applyBorder="1" applyAlignment="1">
      <alignment horizontal="center" vertical="center"/>
    </xf>
    <xf numFmtId="2" fontId="1" fillId="0" borderId="1" xfId="0" applyNumberFormat="1" applyFont="1" applyBorder="1" applyAlignment="1">
      <alignment horizontal="center" vertical="center"/>
    </xf>
    <xf numFmtId="2" fontId="1" fillId="0" borderId="1" xfId="1" applyNumberFormat="1" applyBorder="1" applyAlignment="1">
      <alignment horizontal="center" vertical="center"/>
    </xf>
    <xf numFmtId="0" fontId="54" fillId="43" borderId="0" xfId="0" applyFont="1" applyFill="1" applyAlignment="1">
      <alignment horizontal="center" vertical="center"/>
    </xf>
    <xf numFmtId="0" fontId="1" fillId="0" borderId="34" xfId="0" applyFont="1" applyBorder="1" applyAlignment="1">
      <alignment horizontal="left" vertical="center" wrapText="1"/>
    </xf>
    <xf numFmtId="0" fontId="28" fillId="0" borderId="67" xfId="0" applyFont="1" applyBorder="1" applyAlignment="1">
      <alignment horizontal="center" vertical="center"/>
    </xf>
    <xf numFmtId="0" fontId="28" fillId="0" borderId="68" xfId="0" applyFont="1" applyBorder="1" applyAlignment="1">
      <alignment horizontal="center" vertical="center"/>
    </xf>
    <xf numFmtId="0" fontId="82" fillId="0" borderId="0" xfId="0" applyFont="1" applyAlignment="1">
      <alignment horizontal="center" vertical="center"/>
    </xf>
    <xf numFmtId="0" fontId="51" fillId="2" borderId="72" xfId="0" applyFont="1" applyFill="1" applyBorder="1"/>
    <xf numFmtId="0" fontId="51" fillId="2" borderId="73" xfId="0" applyFont="1" applyFill="1" applyBorder="1"/>
    <xf numFmtId="0" fontId="51" fillId="2" borderId="72" xfId="0" applyFont="1" applyFill="1" applyBorder="1" applyAlignment="1">
      <alignment horizontal="right" vertical="top"/>
    </xf>
    <xf numFmtId="0" fontId="51" fillId="2" borderId="0" xfId="0" applyFont="1" applyFill="1" applyAlignment="1">
      <alignment horizontal="left" vertical="top" wrapText="1"/>
    </xf>
    <xf numFmtId="0" fontId="51" fillId="2" borderId="74" xfId="0" applyFont="1" applyFill="1" applyBorder="1" applyAlignment="1">
      <alignment horizontal="right" vertical="top"/>
    </xf>
    <xf numFmtId="0" fontId="51" fillId="2" borderId="75" xfId="0" applyFont="1" applyFill="1" applyBorder="1" applyAlignment="1">
      <alignment vertical="center" wrapText="1"/>
    </xf>
    <xf numFmtId="0" fontId="51" fillId="2" borderId="76" xfId="0" applyFont="1" applyFill="1" applyBorder="1"/>
    <xf numFmtId="0" fontId="75" fillId="0" borderId="0" xfId="0" applyFont="1" applyAlignment="1">
      <alignment wrapText="1"/>
    </xf>
    <xf numFmtId="0" fontId="28" fillId="0" borderId="0" xfId="0" applyFont="1" applyAlignment="1">
      <alignment horizontal="left" vertical="center"/>
    </xf>
    <xf numFmtId="0" fontId="3" fillId="27" borderId="80" xfId="0" applyFont="1" applyFill="1" applyBorder="1" applyAlignment="1">
      <alignment horizontal="center" vertical="center" wrapText="1"/>
    </xf>
    <xf numFmtId="0" fontId="39" fillId="53" borderId="0" xfId="0" applyFont="1" applyFill="1" applyAlignment="1">
      <alignment horizontal="center" vertical="center"/>
    </xf>
    <xf numFmtId="0" fontId="3" fillId="27" borderId="82" xfId="0" applyFont="1" applyFill="1" applyBorder="1" applyAlignment="1">
      <alignment horizontal="center" vertical="center" wrapText="1"/>
    </xf>
    <xf numFmtId="0" fontId="4" fillId="28" borderId="82" xfId="0" applyFont="1" applyFill="1" applyBorder="1" applyAlignment="1">
      <alignment horizontal="center" vertical="center" wrapText="1"/>
    </xf>
    <xf numFmtId="0" fontId="4" fillId="31" borderId="82" xfId="0" applyFont="1" applyFill="1" applyBorder="1" applyAlignment="1">
      <alignment horizontal="center" vertical="center"/>
    </xf>
    <xf numFmtId="0" fontId="42" fillId="31" borderId="82" xfId="0" applyFont="1" applyFill="1" applyBorder="1" applyAlignment="1">
      <alignment horizontal="center" vertical="center"/>
    </xf>
    <xf numFmtId="0" fontId="35" fillId="3" borderId="82" xfId="0" applyFont="1" applyFill="1" applyBorder="1" applyAlignment="1">
      <alignment horizontal="center" vertical="center"/>
    </xf>
    <xf numFmtId="0" fontId="44" fillId="29" borderId="82" xfId="0" applyFont="1" applyFill="1" applyBorder="1" applyAlignment="1">
      <alignment horizontal="center" vertical="center" wrapText="1"/>
    </xf>
    <xf numFmtId="0" fontId="42" fillId="0" borderId="82" xfId="0" applyFont="1" applyBorder="1" applyAlignment="1">
      <alignment horizontal="center" vertical="center" wrapText="1"/>
    </xf>
    <xf numFmtId="0" fontId="3" fillId="27" borderId="84" xfId="0" applyFont="1" applyFill="1" applyBorder="1" applyAlignment="1">
      <alignment horizontal="center" vertical="center" wrapText="1"/>
    </xf>
    <xf numFmtId="0" fontId="36" fillId="30" borderId="83" xfId="0" applyFont="1" applyFill="1" applyBorder="1" applyAlignment="1">
      <alignment horizontal="center" vertical="center" wrapText="1"/>
    </xf>
    <xf numFmtId="0" fontId="36" fillId="30" borderId="83" xfId="0" applyFont="1" applyFill="1" applyBorder="1" applyAlignment="1">
      <alignment horizontal="center" vertical="center"/>
    </xf>
    <xf numFmtId="0" fontId="36" fillId="50" borderId="83" xfId="0" applyFont="1" applyFill="1" applyBorder="1" applyAlignment="1">
      <alignment horizontal="center" vertical="center" wrapText="1"/>
    </xf>
    <xf numFmtId="0" fontId="57" fillId="30" borderId="83" xfId="0" applyFont="1" applyFill="1" applyBorder="1" applyAlignment="1">
      <alignment horizontal="center" vertical="center" wrapText="1"/>
    </xf>
    <xf numFmtId="0" fontId="57" fillId="50" borderId="83" xfId="0" applyFont="1" applyFill="1" applyBorder="1" applyAlignment="1">
      <alignment horizontal="center" vertical="center" wrapText="1"/>
    </xf>
    <xf numFmtId="0" fontId="36" fillId="31" borderId="83" xfId="0" applyFont="1" applyFill="1" applyBorder="1" applyAlignment="1">
      <alignment horizontal="center" vertical="center" wrapText="1"/>
    </xf>
    <xf numFmtId="0" fontId="36" fillId="32" borderId="83" xfId="0" applyFont="1" applyFill="1" applyBorder="1" applyAlignment="1">
      <alignment horizontal="center" vertical="center"/>
    </xf>
    <xf numFmtId="0" fontId="36" fillId="32" borderId="83" xfId="0" applyFont="1" applyFill="1" applyBorder="1" applyAlignment="1">
      <alignment horizontal="center" vertical="center" wrapText="1"/>
    </xf>
    <xf numFmtId="0" fontId="1" fillId="0" borderId="83" xfId="0" applyFont="1" applyBorder="1" applyAlignment="1">
      <alignment horizontal="left" vertical="center" wrapText="1"/>
    </xf>
    <xf numFmtId="0" fontId="1" fillId="0" borderId="83" xfId="0" applyFont="1" applyBorder="1" applyAlignment="1">
      <alignment horizontal="center" vertical="center" wrapText="1"/>
    </xf>
    <xf numFmtId="0" fontId="0" fillId="0" borderId="83" xfId="0" applyBorder="1" applyAlignment="1">
      <alignment horizontal="center" vertical="center"/>
    </xf>
    <xf numFmtId="0" fontId="1" fillId="0" borderId="83" xfId="0" applyFont="1" applyBorder="1" applyAlignment="1">
      <alignment horizontal="center" vertical="center"/>
    </xf>
    <xf numFmtId="0" fontId="0" fillId="0" borderId="83" xfId="0" applyBorder="1" applyAlignment="1">
      <alignment horizontal="left" vertical="center"/>
    </xf>
    <xf numFmtId="0" fontId="36" fillId="0" borderId="83" xfId="0" applyFont="1" applyBorder="1" applyAlignment="1">
      <alignment horizontal="left" vertical="center" wrapText="1"/>
    </xf>
    <xf numFmtId="170" fontId="36" fillId="0" borderId="84" xfId="0" applyNumberFormat="1" applyFont="1" applyBorder="1" applyAlignment="1">
      <alignment horizontal="center" vertical="center" wrapText="1"/>
    </xf>
    <xf numFmtId="2" fontId="1" fillId="0" borderId="83" xfId="0" applyNumberFormat="1" applyFont="1" applyBorder="1" applyAlignment="1">
      <alignment horizontal="center" vertical="center"/>
    </xf>
    <xf numFmtId="0" fontId="36" fillId="49" borderId="83" xfId="0" applyFont="1" applyFill="1" applyBorder="1" applyAlignment="1">
      <alignment vertical="center" wrapText="1"/>
    </xf>
    <xf numFmtId="1" fontId="36" fillId="49" borderId="83" xfId="0" applyNumberFormat="1" applyFont="1" applyFill="1" applyBorder="1" applyAlignment="1">
      <alignment horizontal="center" vertical="center"/>
    </xf>
    <xf numFmtId="0" fontId="0" fillId="0" borderId="83" xfId="0" applyBorder="1" applyAlignment="1">
      <alignment horizontal="center" vertical="center" wrapText="1"/>
    </xf>
    <xf numFmtId="1" fontId="36" fillId="0" borderId="83" xfId="0" applyNumberFormat="1" applyFont="1" applyBorder="1" applyAlignment="1">
      <alignment horizontal="center" vertical="center"/>
    </xf>
    <xf numFmtId="0" fontId="38" fillId="0" borderId="83" xfId="0" applyFont="1" applyBorder="1" applyAlignment="1">
      <alignment horizontal="center" vertical="center" wrapText="1"/>
    </xf>
    <xf numFmtId="0" fontId="38" fillId="0" borderId="83" xfId="0" applyFont="1" applyBorder="1" applyAlignment="1">
      <alignment horizontal="center" vertical="center"/>
    </xf>
    <xf numFmtId="0" fontId="0" fillId="0" borderId="84" xfId="0" applyBorder="1" applyAlignment="1">
      <alignment horizontal="center" vertical="center" wrapText="1"/>
    </xf>
    <xf numFmtId="0" fontId="36" fillId="0" borderId="83" xfId="0" applyFont="1" applyBorder="1" applyAlignment="1">
      <alignment horizontal="center" vertical="center" wrapText="1"/>
    </xf>
    <xf numFmtId="2" fontId="36" fillId="0" borderId="83" xfId="0" applyNumberFormat="1" applyFont="1" applyBorder="1" applyAlignment="1">
      <alignment horizontal="center" vertical="center"/>
    </xf>
    <xf numFmtId="1" fontId="36" fillId="50" borderId="83" xfId="0" applyNumberFormat="1" applyFont="1" applyFill="1" applyBorder="1" applyAlignment="1">
      <alignment horizontal="center" vertical="center"/>
    </xf>
    <xf numFmtId="1" fontId="57" fillId="3" borderId="83" xfId="0" applyNumberFormat="1" applyFont="1" applyFill="1" applyBorder="1" applyAlignment="1">
      <alignment horizontal="center" vertical="center"/>
    </xf>
    <xf numFmtId="0" fontId="36" fillId="50" borderId="83" xfId="0" applyFont="1" applyFill="1" applyBorder="1" applyAlignment="1">
      <alignment horizontal="center" vertical="center"/>
    </xf>
    <xf numFmtId="170" fontId="36" fillId="50" borderId="83" xfId="0" applyNumberFormat="1" applyFont="1" applyFill="1" applyBorder="1" applyAlignment="1">
      <alignment horizontal="center" vertical="center" wrapText="1"/>
    </xf>
    <xf numFmtId="1" fontId="36" fillId="3" borderId="83" xfId="0" applyNumberFormat="1" applyFont="1" applyFill="1" applyBorder="1" applyAlignment="1">
      <alignment horizontal="center" vertical="center"/>
    </xf>
    <xf numFmtId="0" fontId="0" fillId="3" borderId="83" xfId="0" applyFill="1" applyBorder="1" applyAlignment="1">
      <alignment horizontal="center" vertical="center"/>
    </xf>
    <xf numFmtId="0" fontId="41" fillId="0" borderId="83" xfId="0" applyFont="1" applyBorder="1" applyAlignment="1">
      <alignment horizontal="center" vertical="center" wrapText="1"/>
    </xf>
    <xf numFmtId="0" fontId="41" fillId="0" borderId="83" xfId="0" applyFont="1" applyBorder="1" applyAlignment="1">
      <alignment horizontal="center" vertical="center"/>
    </xf>
    <xf numFmtId="0" fontId="60" fillId="0" borderId="83" xfId="0" applyFont="1" applyBorder="1" applyAlignment="1">
      <alignment horizontal="center" vertical="center"/>
    </xf>
    <xf numFmtId="1" fontId="36" fillId="36" borderId="83" xfId="0" applyNumberFormat="1" applyFont="1" applyFill="1" applyBorder="1" applyAlignment="1">
      <alignment horizontal="center" vertical="center"/>
    </xf>
    <xf numFmtId="1" fontId="60" fillId="3" borderId="83" xfId="0" applyNumberFormat="1" applyFont="1" applyFill="1" applyBorder="1" applyAlignment="1">
      <alignment horizontal="center" vertical="center"/>
    </xf>
    <xf numFmtId="1" fontId="57" fillId="36" borderId="83" xfId="0" applyNumberFormat="1" applyFont="1" applyFill="1" applyBorder="1" applyAlignment="1">
      <alignment horizontal="center" vertical="center"/>
    </xf>
    <xf numFmtId="0" fontId="57" fillId="36" borderId="83" xfId="0" applyFont="1" applyFill="1" applyBorder="1" applyAlignment="1">
      <alignment horizontal="center" vertical="center"/>
    </xf>
    <xf numFmtId="0" fontId="0" fillId="36" borderId="83" xfId="0" applyFill="1" applyBorder="1" applyAlignment="1">
      <alignment horizontal="center" vertical="center"/>
    </xf>
    <xf numFmtId="0" fontId="38" fillId="36" borderId="83" xfId="0" applyFont="1" applyFill="1" applyBorder="1" applyAlignment="1">
      <alignment horizontal="center" vertical="center"/>
    </xf>
    <xf numFmtId="170" fontId="36" fillId="36" borderId="83" xfId="0" applyNumberFormat="1" applyFont="1" applyFill="1" applyBorder="1" applyAlignment="1">
      <alignment horizontal="center" vertical="center" wrapText="1"/>
    </xf>
    <xf numFmtId="170" fontId="36" fillId="31" borderId="83" xfId="0" applyNumberFormat="1" applyFont="1" applyFill="1" applyBorder="1" applyAlignment="1">
      <alignment horizontal="center" vertical="center" wrapText="1"/>
    </xf>
    <xf numFmtId="2" fontId="0" fillId="0" borderId="83" xfId="0" applyNumberFormat="1" applyBorder="1" applyAlignment="1">
      <alignment horizontal="center" vertical="center"/>
    </xf>
    <xf numFmtId="2" fontId="38" fillId="0" borderId="83" xfId="0" applyNumberFormat="1" applyFont="1" applyBorder="1" applyAlignment="1">
      <alignment horizontal="center" vertical="center"/>
    </xf>
    <xf numFmtId="2" fontId="0" fillId="31" borderId="83" xfId="0" applyNumberFormat="1" applyFill="1" applyBorder="1" applyAlignment="1">
      <alignment horizontal="center" vertical="center"/>
    </xf>
    <xf numFmtId="1" fontId="36" fillId="31" borderId="83" xfId="0" applyNumberFormat="1" applyFont="1" applyFill="1" applyBorder="1" applyAlignment="1">
      <alignment horizontal="center" vertical="center"/>
    </xf>
    <xf numFmtId="1" fontId="57" fillId="31" borderId="83" xfId="0" applyNumberFormat="1" applyFont="1" applyFill="1" applyBorder="1" applyAlignment="1">
      <alignment horizontal="center" vertical="center"/>
    </xf>
    <xf numFmtId="2" fontId="41" fillId="31" borderId="83" xfId="0" applyNumberFormat="1" applyFont="1" applyFill="1" applyBorder="1" applyAlignment="1">
      <alignment horizontal="center" vertical="center"/>
    </xf>
    <xf numFmtId="0" fontId="41" fillId="31" borderId="83" xfId="0" applyFont="1" applyFill="1" applyBorder="1" applyAlignment="1">
      <alignment horizontal="center" vertical="center"/>
    </xf>
    <xf numFmtId="0" fontId="0" fillId="31" borderId="83" xfId="0" applyFill="1" applyBorder="1" applyAlignment="1">
      <alignment horizontal="center" vertical="center"/>
    </xf>
    <xf numFmtId="0" fontId="0" fillId="32" borderId="83" xfId="0" applyFill="1" applyBorder="1" applyAlignment="1">
      <alignment horizontal="center" vertical="center"/>
    </xf>
    <xf numFmtId="0" fontId="1" fillId="32" borderId="83" xfId="0" applyFont="1" applyFill="1" applyBorder="1" applyAlignment="1">
      <alignment horizontal="center" vertical="center"/>
    </xf>
    <xf numFmtId="170" fontId="36" fillId="3" borderId="83" xfId="0" applyNumberFormat="1" applyFont="1" applyFill="1" applyBorder="1" applyAlignment="1">
      <alignment horizontal="center" vertical="center" wrapText="1"/>
    </xf>
    <xf numFmtId="0" fontId="4" fillId="34" borderId="81" xfId="0" applyFont="1" applyFill="1" applyBorder="1" applyAlignment="1">
      <alignment horizontal="center" vertical="center"/>
    </xf>
    <xf numFmtId="0" fontId="83" fillId="31" borderId="82" xfId="0" applyFont="1" applyFill="1" applyBorder="1" applyAlignment="1">
      <alignment horizontal="center" vertical="center"/>
    </xf>
    <xf numFmtId="2" fontId="83" fillId="31" borderId="82" xfId="0" applyNumberFormat="1" applyFont="1" applyFill="1" applyBorder="1" applyAlignment="1">
      <alignment horizontal="center" vertical="center"/>
    </xf>
    <xf numFmtId="0" fontId="35" fillId="3" borderId="81" xfId="0" applyFont="1" applyFill="1" applyBorder="1" applyAlignment="1">
      <alignment horizontal="center" vertical="center"/>
    </xf>
    <xf numFmtId="0" fontId="39" fillId="31" borderId="88" xfId="0" applyFont="1" applyFill="1" applyBorder="1" applyAlignment="1">
      <alignment horizontal="center" vertical="center"/>
    </xf>
    <xf numFmtId="0" fontId="42" fillId="31" borderId="89" xfId="0" applyFont="1" applyFill="1" applyBorder="1" applyAlignment="1">
      <alignment horizontal="center" vertical="center"/>
    </xf>
    <xf numFmtId="2" fontId="42" fillId="31" borderId="89" xfId="0" applyNumberFormat="1" applyFont="1" applyFill="1" applyBorder="1" applyAlignment="1">
      <alignment horizontal="center" vertical="center"/>
    </xf>
    <xf numFmtId="0" fontId="42" fillId="0" borderId="81" xfId="0" applyFont="1" applyBorder="1" applyAlignment="1">
      <alignment horizontal="center" vertical="center"/>
    </xf>
    <xf numFmtId="0" fontId="39" fillId="31" borderId="90" xfId="0" applyFont="1" applyFill="1" applyBorder="1" applyAlignment="1">
      <alignment horizontal="center" vertical="center"/>
    </xf>
    <xf numFmtId="0" fontId="42" fillId="31" borderId="91" xfId="0" applyFont="1" applyFill="1" applyBorder="1" applyAlignment="1">
      <alignment horizontal="center" vertical="center"/>
    </xf>
    <xf numFmtId="0" fontId="44" fillId="29" borderId="91" xfId="0" applyFont="1" applyFill="1" applyBorder="1" applyAlignment="1">
      <alignment horizontal="center" vertical="center" wrapText="1"/>
    </xf>
    <xf numFmtId="0" fontId="42" fillId="0" borderId="91" xfId="0" applyFont="1" applyBorder="1" applyAlignment="1">
      <alignment horizontal="center" vertical="center" wrapText="1"/>
    </xf>
    <xf numFmtId="0" fontId="42" fillId="0" borderId="92" xfId="0" applyFont="1" applyBorder="1" applyAlignment="1">
      <alignment horizontal="center" vertical="center"/>
    </xf>
    <xf numFmtId="0" fontId="4" fillId="28" borderId="91" xfId="0" applyFont="1" applyFill="1" applyBorder="1" applyAlignment="1">
      <alignment horizontal="center" vertical="center" wrapText="1"/>
    </xf>
    <xf numFmtId="0" fontId="4" fillId="34" borderId="92" xfId="0" applyFont="1" applyFill="1" applyBorder="1" applyAlignment="1">
      <alignment horizontal="center" vertical="center"/>
    </xf>
    <xf numFmtId="0" fontId="39" fillId="31" borderId="93" xfId="0" applyFont="1" applyFill="1" applyBorder="1" applyAlignment="1">
      <alignment horizontal="center" vertical="center" wrapText="1"/>
    </xf>
    <xf numFmtId="0" fontId="83" fillId="31" borderId="94" xfId="0" applyFont="1" applyFill="1" applyBorder="1" applyAlignment="1">
      <alignment horizontal="center" vertical="center"/>
    </xf>
    <xf numFmtId="0" fontId="42" fillId="31" borderId="94" xfId="0" applyFont="1" applyFill="1" applyBorder="1" applyAlignment="1">
      <alignment horizontal="center" vertical="center"/>
    </xf>
    <xf numFmtId="0" fontId="44" fillId="29" borderId="94" xfId="0" applyFont="1" applyFill="1" applyBorder="1" applyAlignment="1">
      <alignment horizontal="center" vertical="center" wrapText="1"/>
    </xf>
    <xf numFmtId="0" fontId="42" fillId="0" borderId="94" xfId="0" applyFont="1" applyBorder="1" applyAlignment="1">
      <alignment horizontal="center" vertical="center" wrapText="1"/>
    </xf>
    <xf numFmtId="0" fontId="42" fillId="0" borderId="95" xfId="0" applyFont="1" applyBorder="1" applyAlignment="1">
      <alignment horizontal="center" vertical="center"/>
    </xf>
    <xf numFmtId="0" fontId="3" fillId="31" borderId="94" xfId="0" applyFont="1" applyFill="1" applyBorder="1" applyAlignment="1">
      <alignment horizontal="center" vertical="center"/>
    </xf>
    <xf numFmtId="0" fontId="4" fillId="28" borderId="94" xfId="0" applyFont="1" applyFill="1" applyBorder="1" applyAlignment="1">
      <alignment horizontal="center" vertical="center" wrapText="1"/>
    </xf>
    <xf numFmtId="0" fontId="4" fillId="34" borderId="95" xfId="0" applyFont="1" applyFill="1" applyBorder="1" applyAlignment="1">
      <alignment horizontal="center" vertical="center"/>
    </xf>
    <xf numFmtId="0" fontId="4" fillId="0" borderId="94" xfId="0" applyFont="1" applyBorder="1" applyAlignment="1">
      <alignment horizontal="center" vertical="center" wrapText="1"/>
    </xf>
    <xf numFmtId="0" fontId="4" fillId="0" borderId="95" xfId="0" applyFont="1" applyBorder="1" applyAlignment="1">
      <alignment horizontal="center" vertical="center" wrapText="1"/>
    </xf>
    <xf numFmtId="0" fontId="3" fillId="27" borderId="94" xfId="0" applyFont="1" applyFill="1" applyBorder="1" applyAlignment="1">
      <alignment horizontal="center" vertical="center" wrapText="1"/>
    </xf>
    <xf numFmtId="0" fontId="3" fillId="27" borderId="96" xfId="0" applyFont="1" applyFill="1" applyBorder="1" applyAlignment="1">
      <alignment horizontal="center" vertical="center" wrapText="1"/>
    </xf>
    <xf numFmtId="0" fontId="4" fillId="29" borderId="94" xfId="0" applyFont="1" applyFill="1" applyBorder="1" applyAlignment="1">
      <alignment horizontal="center" vertical="center" wrapText="1"/>
    </xf>
    <xf numFmtId="0" fontId="4" fillId="29" borderId="95" xfId="0" applyFont="1" applyFill="1" applyBorder="1" applyAlignment="1">
      <alignment horizontal="center" vertical="center" wrapText="1"/>
    </xf>
    <xf numFmtId="2" fontId="42" fillId="0" borderId="94" xfId="0" applyNumberFormat="1" applyFont="1" applyBorder="1" applyAlignment="1">
      <alignment horizontal="center" vertical="center" wrapText="1"/>
    </xf>
    <xf numFmtId="0" fontId="4" fillId="28" borderId="95" xfId="0" applyFont="1" applyFill="1" applyBorder="1" applyAlignment="1">
      <alignment horizontal="center" vertical="center" wrapText="1"/>
    </xf>
    <xf numFmtId="2" fontId="42" fillId="0" borderId="95" xfId="0" applyNumberFormat="1" applyFont="1" applyBorder="1" applyAlignment="1">
      <alignment horizontal="center" vertical="center"/>
    </xf>
    <xf numFmtId="0" fontId="3" fillId="27" borderId="97" xfId="0" applyFont="1" applyFill="1" applyBorder="1" applyAlignment="1">
      <alignment horizontal="left" vertical="center"/>
    </xf>
    <xf numFmtId="0" fontId="3" fillId="27" borderId="98" xfId="0" applyFont="1" applyFill="1" applyBorder="1" applyAlignment="1">
      <alignment horizontal="center" vertical="center"/>
    </xf>
    <xf numFmtId="0" fontId="4" fillId="0" borderId="99" xfId="0" applyFont="1" applyBorder="1" applyAlignment="1">
      <alignment horizontal="center" vertical="center"/>
    </xf>
    <xf numFmtId="0" fontId="4" fillId="2" borderId="99" xfId="0" applyFont="1" applyFill="1" applyBorder="1" applyAlignment="1">
      <alignment horizontal="center" vertical="center"/>
    </xf>
    <xf numFmtId="0" fontId="44" fillId="28" borderId="94" xfId="0" applyFont="1" applyFill="1" applyBorder="1" applyAlignment="1">
      <alignment horizontal="center" vertical="center" wrapText="1"/>
    </xf>
    <xf numFmtId="0" fontId="4" fillId="27" borderId="98" xfId="0" applyFont="1" applyFill="1" applyBorder="1" applyAlignment="1">
      <alignment vertical="center"/>
    </xf>
    <xf numFmtId="0" fontId="3" fillId="0" borderId="99" xfId="0" applyFont="1" applyBorder="1" applyAlignment="1">
      <alignment horizontal="center" vertical="center"/>
    </xf>
    <xf numFmtId="0" fontId="44" fillId="29" borderId="95" xfId="0" applyFont="1" applyFill="1" applyBorder="1" applyAlignment="1">
      <alignment horizontal="center" vertical="center" wrapText="1"/>
    </xf>
    <xf numFmtId="0" fontId="44" fillId="28" borderId="95" xfId="0" applyFont="1" applyFill="1" applyBorder="1" applyAlignment="1">
      <alignment horizontal="center" vertical="center" wrapText="1"/>
    </xf>
    <xf numFmtId="0" fontId="67" fillId="28" borderId="94" xfId="0" applyFont="1" applyFill="1" applyBorder="1" applyAlignment="1">
      <alignment horizontal="center" vertical="center" wrapText="1"/>
    </xf>
    <xf numFmtId="0" fontId="67" fillId="34" borderId="95" xfId="0" applyFont="1" applyFill="1" applyBorder="1" applyAlignment="1">
      <alignment horizontal="center" vertical="center"/>
    </xf>
    <xf numFmtId="0" fontId="67" fillId="31" borderId="94" xfId="0" applyFont="1" applyFill="1" applyBorder="1" applyAlignment="1">
      <alignment horizontal="center" vertical="center"/>
    </xf>
    <xf numFmtId="0" fontId="66" fillId="31" borderId="94" xfId="0" applyFont="1" applyFill="1" applyBorder="1" applyAlignment="1">
      <alignment horizontal="center" vertical="center"/>
    </xf>
    <xf numFmtId="0" fontId="67" fillId="3" borderId="94" xfId="0" applyFont="1" applyFill="1" applyBorder="1" applyAlignment="1">
      <alignment horizontal="center" vertical="center"/>
    </xf>
    <xf numFmtId="0" fontId="68" fillId="31" borderId="94" xfId="0" applyFont="1" applyFill="1" applyBorder="1" applyAlignment="1">
      <alignment horizontal="center" vertical="center"/>
    </xf>
    <xf numFmtId="0" fontId="67" fillId="29" borderId="94" xfId="0" applyFont="1" applyFill="1" applyBorder="1" applyAlignment="1">
      <alignment horizontal="center" vertical="center" wrapText="1"/>
    </xf>
    <xf numFmtId="0" fontId="66" fillId="0" borderId="94" xfId="0" applyFont="1" applyBorder="1" applyAlignment="1">
      <alignment horizontal="center" vertical="center" wrapText="1"/>
    </xf>
    <xf numFmtId="0" fontId="66" fillId="0" borderId="94" xfId="0" applyFont="1" applyBorder="1" applyAlignment="1">
      <alignment horizontal="center" vertical="center"/>
    </xf>
    <xf numFmtId="0" fontId="68" fillId="31" borderId="102" xfId="0" applyFont="1" applyFill="1" applyBorder="1" applyAlignment="1">
      <alignment horizontal="center" vertical="center" wrapText="1"/>
    </xf>
    <xf numFmtId="0" fontId="67" fillId="2" borderId="103" xfId="0" applyFont="1" applyFill="1" applyBorder="1" applyAlignment="1">
      <alignment horizontal="center" vertical="center"/>
    </xf>
    <xf numFmtId="0" fontId="66" fillId="27" borderId="108" xfId="0" applyFont="1" applyFill="1" applyBorder="1" applyAlignment="1">
      <alignment horizontal="center" vertical="center" wrapText="1"/>
    </xf>
    <xf numFmtId="0" fontId="44" fillId="28" borderId="108" xfId="0" applyFont="1" applyFill="1" applyBorder="1" applyAlignment="1">
      <alignment horizontal="center" vertical="center" wrapText="1"/>
    </xf>
    <xf numFmtId="0" fontId="3" fillId="31" borderId="108" xfId="0" applyFont="1" applyFill="1" applyBorder="1" applyAlignment="1">
      <alignment horizontal="center" vertical="center"/>
    </xf>
    <xf numFmtId="0" fontId="39" fillId="31" borderId="108" xfId="0" applyFont="1" applyFill="1" applyBorder="1" applyAlignment="1">
      <alignment horizontal="center" vertical="center"/>
    </xf>
    <xf numFmtId="0" fontId="70" fillId="31" borderId="108" xfId="0" applyFont="1" applyFill="1" applyBorder="1" applyAlignment="1">
      <alignment horizontal="center" vertical="center"/>
    </xf>
    <xf numFmtId="0" fontId="39" fillId="31" borderId="110" xfId="0" applyFont="1" applyFill="1" applyBorder="1" applyAlignment="1">
      <alignment horizontal="center" vertical="center" wrapText="1"/>
    </xf>
    <xf numFmtId="0" fontId="4" fillId="2" borderId="111" xfId="0" applyFont="1" applyFill="1" applyBorder="1" applyAlignment="1">
      <alignment horizontal="center" vertical="center"/>
    </xf>
    <xf numFmtId="0" fontId="87" fillId="53" borderId="112" xfId="0" applyFont="1" applyFill="1" applyBorder="1" applyAlignment="1">
      <alignment horizontal="center" vertical="center" wrapText="1"/>
    </xf>
    <xf numFmtId="0" fontId="87" fillId="53" borderId="113" xfId="0" applyFont="1" applyFill="1" applyBorder="1" applyAlignment="1">
      <alignment horizontal="center" vertical="center" wrapText="1"/>
    </xf>
    <xf numFmtId="0" fontId="87" fillId="53" borderId="111" xfId="0" applyFont="1" applyFill="1" applyBorder="1" applyAlignment="1">
      <alignment horizontal="center" vertical="center" wrapText="1"/>
    </xf>
    <xf numFmtId="0" fontId="44" fillId="34" borderId="111" xfId="0" applyFont="1" applyFill="1" applyBorder="1" applyAlignment="1">
      <alignment horizontal="center" vertical="center"/>
    </xf>
    <xf numFmtId="0" fontId="3" fillId="27" borderId="114" xfId="0" applyFont="1" applyFill="1" applyBorder="1" applyAlignment="1">
      <alignment vertical="center"/>
    </xf>
    <xf numFmtId="0" fontId="3" fillId="27" borderId="115" xfId="0" applyFont="1" applyFill="1" applyBorder="1" applyAlignment="1">
      <alignment vertical="center"/>
    </xf>
    <xf numFmtId="0" fontId="3" fillId="27" borderId="115" xfId="0" applyFont="1" applyFill="1" applyBorder="1" applyAlignment="1">
      <alignment vertical="center" wrapText="1"/>
    </xf>
    <xf numFmtId="0" fontId="3" fillId="27" borderId="113" xfId="0" applyFont="1" applyFill="1" applyBorder="1" applyAlignment="1">
      <alignment vertical="center"/>
    </xf>
    <xf numFmtId="0" fontId="3" fillId="27" borderId="117" xfId="0" applyFont="1" applyFill="1" applyBorder="1" applyAlignment="1">
      <alignment horizontal="center" vertical="center" wrapText="1"/>
    </xf>
    <xf numFmtId="0" fontId="44" fillId="34" borderId="112" xfId="0" applyFont="1" applyFill="1" applyBorder="1" applyAlignment="1">
      <alignment horizontal="center" vertical="center"/>
    </xf>
    <xf numFmtId="0" fontId="42" fillId="0" borderId="112" xfId="0" applyFont="1" applyBorder="1" applyAlignment="1">
      <alignment horizontal="center" vertical="center"/>
    </xf>
    <xf numFmtId="0" fontId="35" fillId="34" borderId="112" xfId="0" applyFont="1" applyFill="1" applyBorder="1" applyAlignment="1">
      <alignment horizontal="center" vertical="center"/>
    </xf>
    <xf numFmtId="0" fontId="28" fillId="30" borderId="112" xfId="0" applyFont="1" applyFill="1" applyBorder="1" applyAlignment="1">
      <alignment horizontal="center" vertical="center" wrapText="1"/>
    </xf>
    <xf numFmtId="0" fontId="43" fillId="30" borderId="112" xfId="0" applyFont="1" applyFill="1" applyBorder="1" applyAlignment="1">
      <alignment horizontal="center" vertical="center" wrapText="1"/>
    </xf>
    <xf numFmtId="0" fontId="36" fillId="30" borderId="112" xfId="0" applyFont="1" applyFill="1" applyBorder="1" applyAlignment="1">
      <alignment horizontal="center" vertical="center"/>
    </xf>
    <xf numFmtId="0" fontId="36" fillId="30" borderId="112" xfId="0" applyFont="1" applyFill="1" applyBorder="1" applyAlignment="1">
      <alignment horizontal="center" vertical="center" wrapText="1"/>
    </xf>
    <xf numFmtId="0" fontId="36" fillId="30" borderId="114" xfId="0" applyFont="1" applyFill="1" applyBorder="1" applyAlignment="1">
      <alignment horizontal="center" vertical="center" wrapText="1"/>
    </xf>
    <xf numFmtId="0" fontId="43" fillId="30" borderId="112" xfId="0" applyFont="1" applyFill="1" applyBorder="1" applyAlignment="1">
      <alignment horizontal="left" vertical="center" wrapText="1"/>
    </xf>
    <xf numFmtId="0" fontId="53" fillId="30" borderId="112" xfId="0" applyFont="1" applyFill="1" applyBorder="1" applyAlignment="1">
      <alignment horizontal="center" vertical="center" wrapText="1"/>
    </xf>
    <xf numFmtId="0" fontId="43" fillId="30" borderId="114" xfId="0" applyFont="1" applyFill="1" applyBorder="1" applyAlignment="1">
      <alignment horizontal="center" vertical="center" wrapText="1"/>
    </xf>
    <xf numFmtId="0" fontId="28" fillId="0" borderId="112" xfId="0" applyFont="1" applyBorder="1" applyAlignment="1">
      <alignment horizontal="center" vertical="center" wrapText="1"/>
    </xf>
    <xf numFmtId="0" fontId="56" fillId="35" borderId="112" xfId="0" applyFont="1" applyFill="1" applyBorder="1" applyAlignment="1">
      <alignment horizontal="center" vertical="center" wrapText="1"/>
    </xf>
    <xf numFmtId="0" fontId="56" fillId="35" borderId="112" xfId="0" applyFont="1" applyFill="1" applyBorder="1" applyAlignment="1">
      <alignment horizontal="left" vertical="center" wrapText="1"/>
    </xf>
    <xf numFmtId="0" fontId="47" fillId="35" borderId="112" xfId="0" applyFont="1" applyFill="1" applyBorder="1" applyAlignment="1">
      <alignment vertical="center" wrapText="1"/>
    </xf>
    <xf numFmtId="0" fontId="56" fillId="35" borderId="112" xfId="0" applyFont="1" applyFill="1" applyBorder="1" applyAlignment="1">
      <alignment vertical="center" wrapText="1"/>
    </xf>
    <xf numFmtId="0" fontId="56" fillId="35" borderId="112" xfId="58" applyFont="1" applyFill="1" applyBorder="1" applyAlignment="1">
      <alignment horizontal="center" vertical="center" wrapText="1"/>
    </xf>
    <xf numFmtId="2" fontId="56" fillId="35" borderId="112" xfId="0" applyNumberFormat="1" applyFont="1" applyFill="1" applyBorder="1" applyAlignment="1">
      <alignment horizontal="center" vertical="center"/>
    </xf>
    <xf numFmtId="0" fontId="56" fillId="35" borderId="114" xfId="0" applyFont="1" applyFill="1" applyBorder="1" applyAlignment="1">
      <alignment horizontal="center" vertical="center" wrapText="1"/>
    </xf>
    <xf numFmtId="0" fontId="28" fillId="0" borderId="112" xfId="0" applyFont="1" applyBorder="1" applyAlignment="1">
      <alignment horizontal="center" vertical="center"/>
    </xf>
    <xf numFmtId="0" fontId="1" fillId="0" borderId="112" xfId="0" applyFont="1" applyBorder="1" applyAlignment="1">
      <alignment horizontal="center" vertical="center" wrapText="1"/>
    </xf>
    <xf numFmtId="0" fontId="1" fillId="3" borderId="112" xfId="0" applyFont="1" applyFill="1" applyBorder="1" applyAlignment="1">
      <alignment horizontal="left" vertical="center" wrapText="1"/>
    </xf>
    <xf numFmtId="0" fontId="1" fillId="0" borderId="112" xfId="1" applyBorder="1" applyAlignment="1">
      <alignment horizontal="left" vertical="center" wrapText="1"/>
    </xf>
    <xf numFmtId="0" fontId="1" fillId="0" borderId="112" xfId="1" applyBorder="1" applyAlignment="1">
      <alignment horizontal="center" vertical="center" wrapText="1"/>
    </xf>
    <xf numFmtId="1" fontId="1" fillId="0" borderId="112" xfId="0" applyNumberFormat="1" applyFont="1" applyBorder="1" applyAlignment="1">
      <alignment horizontal="center" vertical="center" wrapText="1"/>
    </xf>
    <xf numFmtId="2" fontId="1" fillId="0" borderId="112" xfId="1" applyNumberFormat="1" applyBorder="1" applyAlignment="1">
      <alignment horizontal="center" vertical="center"/>
    </xf>
    <xf numFmtId="0" fontId="1" fillId="0" borderId="112" xfId="0" applyFont="1" applyBorder="1" applyAlignment="1">
      <alignment horizontal="center" vertical="center"/>
    </xf>
    <xf numFmtId="0" fontId="1" fillId="0" borderId="112" xfId="1" applyBorder="1" applyAlignment="1">
      <alignment horizontal="center" vertical="center"/>
    </xf>
    <xf numFmtId="166" fontId="1" fillId="0" borderId="112" xfId="1" applyNumberFormat="1" applyBorder="1" applyAlignment="1">
      <alignment horizontal="center" vertical="center"/>
    </xf>
    <xf numFmtId="167" fontId="1" fillId="0" borderId="112" xfId="1" applyNumberFormat="1" applyBorder="1" applyAlignment="1">
      <alignment horizontal="center" vertical="center"/>
    </xf>
    <xf numFmtId="167" fontId="1" fillId="0" borderId="112" xfId="51" applyNumberFormat="1" applyFont="1" applyBorder="1" applyAlignment="1">
      <alignment horizontal="center" vertical="center"/>
    </xf>
    <xf numFmtId="165" fontId="1" fillId="0" borderId="112" xfId="1" applyNumberFormat="1" applyBorder="1" applyAlignment="1">
      <alignment horizontal="center" vertical="center"/>
    </xf>
    <xf numFmtId="1" fontId="1" fillId="0" borderId="112" xfId="0" applyNumberFormat="1" applyFont="1" applyBorder="1" applyAlignment="1">
      <alignment horizontal="center" vertical="center"/>
    </xf>
    <xf numFmtId="2" fontId="1" fillId="0" borderId="112" xfId="0" applyNumberFormat="1" applyFont="1" applyBorder="1" applyAlignment="1">
      <alignment horizontal="center" vertical="center"/>
    </xf>
    <xf numFmtId="165" fontId="1" fillId="0" borderId="112" xfId="0" applyNumberFormat="1" applyFont="1" applyBorder="1" applyAlignment="1">
      <alignment horizontal="center" vertical="center"/>
    </xf>
    <xf numFmtId="2" fontId="59" fillId="0" borderId="112" xfId="0" applyNumberFormat="1" applyFont="1" applyBorder="1" applyAlignment="1">
      <alignment horizontal="center" vertical="center"/>
    </xf>
    <xf numFmtId="1" fontId="59" fillId="0" borderId="112" xfId="0" applyNumberFormat="1" applyFont="1" applyBorder="1" applyAlignment="1">
      <alignment horizontal="center" vertical="center"/>
    </xf>
    <xf numFmtId="165" fontId="1" fillId="0" borderId="114" xfId="0" applyNumberFormat="1" applyFont="1" applyBorder="1" applyAlignment="1">
      <alignment horizontal="center" vertical="center"/>
    </xf>
    <xf numFmtId="0" fontId="1" fillId="0" borderId="114" xfId="0" applyFont="1" applyBorder="1" applyAlignment="1">
      <alignment horizontal="center" vertical="center"/>
    </xf>
    <xf numFmtId="165" fontId="1" fillId="0" borderId="112" xfId="1" applyNumberFormat="1" applyBorder="1" applyAlignment="1">
      <alignment horizontal="center" vertical="center" wrapText="1"/>
    </xf>
    <xf numFmtId="0" fontId="59" fillId="0" borderId="112" xfId="0" applyFont="1" applyBorder="1" applyAlignment="1">
      <alignment horizontal="center" vertical="center" wrapText="1"/>
    </xf>
    <xf numFmtId="0" fontId="59" fillId="0" borderId="112" xfId="1" applyFont="1" applyBorder="1" applyAlignment="1">
      <alignment horizontal="center" vertical="center" wrapText="1"/>
    </xf>
    <xf numFmtId="2" fontId="59" fillId="0" borderId="112" xfId="1" applyNumberFormat="1" applyFont="1" applyBorder="1" applyAlignment="1">
      <alignment horizontal="center" vertical="center"/>
    </xf>
    <xf numFmtId="0" fontId="59" fillId="0" borderId="112" xfId="0" applyFont="1" applyBorder="1" applyAlignment="1">
      <alignment horizontal="center" vertical="center"/>
    </xf>
    <xf numFmtId="0" fontId="59" fillId="0" borderId="112" xfId="1" applyFont="1" applyBorder="1" applyAlignment="1">
      <alignment horizontal="center" vertical="center"/>
    </xf>
    <xf numFmtId="166" fontId="59" fillId="0" borderId="112" xfId="1" applyNumberFormat="1" applyFont="1" applyBorder="1" applyAlignment="1">
      <alignment horizontal="center" vertical="center"/>
    </xf>
    <xf numFmtId="167" fontId="59" fillId="0" borderId="112" xfId="51" applyNumberFormat="1" applyFont="1" applyBorder="1" applyAlignment="1">
      <alignment horizontal="center" vertical="center"/>
    </xf>
    <xf numFmtId="165" fontId="59" fillId="0" borderId="112" xfId="1" applyNumberFormat="1" applyFont="1" applyBorder="1" applyAlignment="1">
      <alignment horizontal="center" vertical="center"/>
    </xf>
    <xf numFmtId="165" fontId="59" fillId="0" borderId="112" xfId="0" applyNumberFormat="1" applyFont="1" applyBorder="1" applyAlignment="1">
      <alignment horizontal="center" vertical="center"/>
    </xf>
    <xf numFmtId="165" fontId="59" fillId="0" borderId="114" xfId="0" applyNumberFormat="1" applyFont="1" applyBorder="1" applyAlignment="1">
      <alignment horizontal="center" vertical="center"/>
    </xf>
    <xf numFmtId="0" fontId="59" fillId="0" borderId="114" xfId="0" applyFont="1" applyBorder="1" applyAlignment="1">
      <alignment horizontal="center" vertical="center"/>
    </xf>
    <xf numFmtId="0" fontId="65" fillId="0" borderId="112" xfId="0" applyFont="1" applyBorder="1" applyAlignment="1">
      <alignment horizontal="center" vertical="center"/>
    </xf>
    <xf numFmtId="1" fontId="59" fillId="0" borderId="112" xfId="0" applyNumberFormat="1" applyFont="1" applyBorder="1" applyAlignment="1">
      <alignment horizontal="center" vertical="center" wrapText="1"/>
    </xf>
    <xf numFmtId="2" fontId="1" fillId="0" borderId="112" xfId="0" applyNumberFormat="1" applyFont="1" applyBorder="1" applyAlignment="1">
      <alignment horizontal="center" vertical="center" wrapText="1"/>
    </xf>
    <xf numFmtId="1" fontId="1" fillId="3" borderId="112" xfId="1" applyNumberFormat="1" applyFill="1" applyBorder="1" applyAlignment="1">
      <alignment horizontal="center" vertical="center"/>
    </xf>
    <xf numFmtId="0" fontId="1" fillId="0" borderId="112" xfId="0" applyFont="1" applyBorder="1" applyAlignment="1">
      <alignment horizontal="left" vertical="center" wrapText="1"/>
    </xf>
    <xf numFmtId="0" fontId="1" fillId="29" borderId="112" xfId="0" applyFont="1" applyFill="1" applyBorder="1" applyAlignment="1">
      <alignment horizontal="center" vertical="center" wrapText="1"/>
    </xf>
    <xf numFmtId="0" fontId="1" fillId="29" borderId="112" xfId="0" applyFont="1" applyFill="1" applyBorder="1" applyAlignment="1">
      <alignment horizontal="left" vertical="center" wrapText="1"/>
    </xf>
    <xf numFmtId="2" fontId="1" fillId="29" borderId="112" xfId="1" applyNumberFormat="1" applyFill="1" applyBorder="1" applyAlignment="1">
      <alignment horizontal="center" vertical="center"/>
    </xf>
    <xf numFmtId="0" fontId="1" fillId="29" borderId="112" xfId="0" applyFont="1" applyFill="1" applyBorder="1" applyAlignment="1">
      <alignment horizontal="center" vertical="center"/>
    </xf>
    <xf numFmtId="0" fontId="1" fillId="29" borderId="112" xfId="1" applyFill="1" applyBorder="1" applyAlignment="1">
      <alignment horizontal="center" vertical="center"/>
    </xf>
    <xf numFmtId="166" fontId="1" fillId="29" borderId="112" xfId="1" applyNumberFormat="1" applyFill="1" applyBorder="1" applyAlignment="1">
      <alignment horizontal="center" vertical="center"/>
    </xf>
    <xf numFmtId="167" fontId="1" fillId="29" borderId="112" xfId="1" applyNumberFormat="1" applyFill="1" applyBorder="1" applyAlignment="1">
      <alignment horizontal="center" vertical="center"/>
    </xf>
    <xf numFmtId="167" fontId="1" fillId="29" borderId="112" xfId="51" applyNumberFormat="1" applyFont="1" applyFill="1" applyBorder="1" applyAlignment="1">
      <alignment horizontal="center" vertical="center"/>
    </xf>
    <xf numFmtId="1" fontId="1" fillId="29" borderId="112" xfId="0" applyNumberFormat="1" applyFont="1" applyFill="1" applyBorder="1" applyAlignment="1">
      <alignment horizontal="center" vertical="center"/>
    </xf>
    <xf numFmtId="2" fontId="1" fillId="29" borderId="112" xfId="0" applyNumberFormat="1" applyFont="1" applyFill="1" applyBorder="1" applyAlignment="1">
      <alignment horizontal="center" vertical="center"/>
    </xf>
    <xf numFmtId="165" fontId="1" fillId="29" borderId="112" xfId="0" applyNumberFormat="1" applyFont="1" applyFill="1" applyBorder="1" applyAlignment="1">
      <alignment horizontal="center" vertical="center"/>
    </xf>
    <xf numFmtId="165" fontId="1" fillId="29" borderId="114" xfId="0" applyNumberFormat="1" applyFont="1" applyFill="1" applyBorder="1" applyAlignment="1">
      <alignment horizontal="center" vertical="center"/>
    </xf>
    <xf numFmtId="0" fontId="1" fillId="29" borderId="114" xfId="0" applyFont="1" applyFill="1" applyBorder="1" applyAlignment="1">
      <alignment horizontal="center" vertical="center"/>
    </xf>
    <xf numFmtId="165" fontId="1" fillId="29" borderId="112" xfId="1" applyNumberFormat="1" applyFill="1" applyBorder="1" applyAlignment="1">
      <alignment horizontal="center" vertical="center" wrapText="1"/>
    </xf>
    <xf numFmtId="0" fontId="1" fillId="2" borderId="112" xfId="0" applyFont="1" applyFill="1" applyBorder="1" applyAlignment="1">
      <alignment horizontal="center" vertical="center" wrapText="1"/>
    </xf>
    <xf numFmtId="0" fontId="1" fillId="3" borderId="112" xfId="0" applyFont="1" applyFill="1" applyBorder="1" applyAlignment="1">
      <alignment horizontal="center" vertical="center" wrapText="1"/>
    </xf>
    <xf numFmtId="0" fontId="1" fillId="3" borderId="112" xfId="1" applyFill="1" applyBorder="1" applyAlignment="1">
      <alignment horizontal="left" vertical="center" wrapText="1"/>
    </xf>
    <xf numFmtId="0" fontId="1" fillId="3" borderId="112" xfId="1" applyFill="1" applyBorder="1" applyAlignment="1">
      <alignment horizontal="center" vertical="center" wrapText="1"/>
    </xf>
    <xf numFmtId="1" fontId="1" fillId="3" borderId="112" xfId="0" applyNumberFormat="1" applyFont="1" applyFill="1" applyBorder="1" applyAlignment="1">
      <alignment horizontal="center" vertical="center" wrapText="1"/>
    </xf>
    <xf numFmtId="2" fontId="1" fillId="3" borderId="112" xfId="1" applyNumberFormat="1" applyFill="1" applyBorder="1" applyAlignment="1">
      <alignment horizontal="center" vertical="center"/>
    </xf>
    <xf numFmtId="0" fontId="1" fillId="3" borderId="112" xfId="1" applyFill="1" applyBorder="1" applyAlignment="1">
      <alignment horizontal="center" vertical="center"/>
    </xf>
    <xf numFmtId="0" fontId="38" fillId="0" borderId="112" xfId="0" applyFont="1" applyBorder="1" applyAlignment="1">
      <alignment horizontal="center" vertical="center" wrapText="1"/>
    </xf>
    <xf numFmtId="0" fontId="59" fillId="0" borderId="112" xfId="0" applyFont="1" applyBorder="1" applyAlignment="1">
      <alignment horizontal="left" vertical="center" wrapText="1"/>
    </xf>
    <xf numFmtId="2" fontId="1" fillId="3" borderId="112" xfId="0" applyNumberFormat="1" applyFont="1" applyFill="1" applyBorder="1" applyAlignment="1">
      <alignment horizontal="center" vertical="center" wrapText="1"/>
    </xf>
    <xf numFmtId="0" fontId="1" fillId="0" borderId="112" xfId="0" quotePrefix="1" applyFont="1" applyBorder="1" applyAlignment="1">
      <alignment vertical="center"/>
    </xf>
    <xf numFmtId="1" fontId="1" fillId="0" borderId="112" xfId="1" applyNumberFormat="1" applyBorder="1" applyAlignment="1">
      <alignment horizontal="center" vertical="center"/>
    </xf>
    <xf numFmtId="2" fontId="1" fillId="48" borderId="114" xfId="1" applyNumberFormat="1" applyFill="1" applyBorder="1" applyAlignment="1">
      <alignment horizontal="center" vertical="center"/>
    </xf>
    <xf numFmtId="2" fontId="1" fillId="48" borderId="115" xfId="1" applyNumberFormat="1" applyFill="1" applyBorder="1" applyAlignment="1">
      <alignment horizontal="center" vertical="center"/>
    </xf>
    <xf numFmtId="0" fontId="1" fillId="3" borderId="112" xfId="0" applyFont="1" applyFill="1" applyBorder="1" applyAlignment="1">
      <alignment horizontal="center" vertical="center"/>
    </xf>
    <xf numFmtId="166" fontId="1" fillId="3" borderId="112" xfId="1" applyNumberFormat="1" applyFill="1" applyBorder="1" applyAlignment="1">
      <alignment horizontal="center" vertical="center"/>
    </xf>
    <xf numFmtId="0" fontId="1" fillId="3" borderId="112" xfId="51" applyFont="1" applyFill="1" applyBorder="1" applyAlignment="1">
      <alignment horizontal="center" vertical="center"/>
    </xf>
    <xf numFmtId="165" fontId="1" fillId="3" borderId="112" xfId="1" applyNumberFormat="1" applyFill="1" applyBorder="1" applyAlignment="1">
      <alignment horizontal="center" vertical="center"/>
    </xf>
    <xf numFmtId="0" fontId="1" fillId="31" borderId="112" xfId="1" applyFill="1" applyBorder="1" applyAlignment="1">
      <alignment horizontal="center" vertical="center" wrapText="1"/>
    </xf>
    <xf numFmtId="0" fontId="1" fillId="31" borderId="112" xfId="0" applyFont="1" applyFill="1" applyBorder="1" applyAlignment="1">
      <alignment horizontal="center" vertical="center" wrapText="1"/>
    </xf>
    <xf numFmtId="2" fontId="1" fillId="31" borderId="112" xfId="1" applyNumberFormat="1" applyFill="1" applyBorder="1" applyAlignment="1">
      <alignment horizontal="center" vertical="center"/>
    </xf>
    <xf numFmtId="0" fontId="1" fillId="31" borderId="112" xfId="1" applyFill="1" applyBorder="1" applyAlignment="1">
      <alignment horizontal="center" vertical="center"/>
    </xf>
    <xf numFmtId="0" fontId="1" fillId="31" borderId="112" xfId="0" applyFont="1" applyFill="1" applyBorder="1" applyAlignment="1">
      <alignment horizontal="center" vertical="center"/>
    </xf>
    <xf numFmtId="166" fontId="1" fillId="31" borderId="112" xfId="1" applyNumberFormat="1" applyFill="1" applyBorder="1" applyAlignment="1">
      <alignment horizontal="center" vertical="center"/>
    </xf>
    <xf numFmtId="0" fontId="43" fillId="36" borderId="112" xfId="0" applyFont="1" applyFill="1" applyBorder="1" applyAlignment="1">
      <alignment horizontal="center" vertical="center"/>
    </xf>
    <xf numFmtId="0" fontId="43" fillId="30" borderId="112" xfId="0" applyFont="1" applyFill="1" applyBorder="1" applyAlignment="1">
      <alignment vertical="center" wrapText="1"/>
    </xf>
    <xf numFmtId="0" fontId="56" fillId="35" borderId="112" xfId="0" applyFont="1" applyFill="1" applyBorder="1" applyAlignment="1">
      <alignment horizontal="center" vertical="center"/>
    </xf>
    <xf numFmtId="0" fontId="1" fillId="0" borderId="112" xfId="64" quotePrefix="1" applyFont="1" applyBorder="1" applyAlignment="1">
      <alignment horizontal="left" vertical="center"/>
    </xf>
    <xf numFmtId="0" fontId="1" fillId="0" borderId="112" xfId="64" applyFont="1" applyBorder="1" applyAlignment="1">
      <alignment vertical="center" wrapText="1"/>
    </xf>
    <xf numFmtId="165" fontId="1" fillId="0" borderId="112" xfId="0" applyNumberFormat="1" applyFont="1" applyBorder="1" applyAlignment="1">
      <alignment vertical="center" wrapText="1"/>
    </xf>
    <xf numFmtId="165" fontId="1" fillId="0" borderId="112" xfId="0" applyNumberFormat="1" applyFont="1" applyBorder="1" applyAlignment="1">
      <alignment horizontal="center" vertical="center" wrapText="1"/>
    </xf>
    <xf numFmtId="2" fontId="1" fillId="3" borderId="112" xfId="0" applyNumberFormat="1" applyFont="1" applyFill="1" applyBorder="1" applyAlignment="1">
      <alignment horizontal="center" vertical="center"/>
    </xf>
    <xf numFmtId="16" fontId="1" fillId="0" borderId="112" xfId="0" applyNumberFormat="1" applyFont="1" applyBorder="1" applyAlignment="1">
      <alignment horizontal="center" vertical="center"/>
    </xf>
    <xf numFmtId="0" fontId="1" fillId="2" borderId="112" xfId="0" applyFont="1" applyFill="1" applyBorder="1" applyAlignment="1">
      <alignment horizontal="center" vertical="center"/>
    </xf>
    <xf numFmtId="0" fontId="59" fillId="0" borderId="112" xfId="0" quotePrefix="1" applyFont="1" applyBorder="1" applyAlignment="1">
      <alignment horizontal="left" vertical="center"/>
    </xf>
    <xf numFmtId="0" fontId="59" fillId="0" borderId="112" xfId="0" applyFont="1" applyBorder="1" applyAlignment="1">
      <alignment vertical="center" wrapText="1"/>
    </xf>
    <xf numFmtId="165" fontId="59" fillId="0" borderId="112" xfId="0" applyNumberFormat="1" applyFont="1" applyBorder="1" applyAlignment="1">
      <alignment vertical="center" wrapText="1"/>
    </xf>
    <xf numFmtId="165" fontId="59" fillId="0" borderId="112" xfId="0" applyNumberFormat="1" applyFont="1" applyBorder="1" applyAlignment="1">
      <alignment horizontal="center" vertical="center" wrapText="1"/>
    </xf>
    <xf numFmtId="16" fontId="59" fillId="0" borderId="112" xfId="0" applyNumberFormat="1" applyFont="1" applyBorder="1" applyAlignment="1">
      <alignment horizontal="center" vertical="center"/>
    </xf>
    <xf numFmtId="0" fontId="65" fillId="0" borderId="112" xfId="0" applyFont="1" applyBorder="1" applyAlignment="1">
      <alignment horizontal="center" vertical="center" wrapText="1"/>
    </xf>
    <xf numFmtId="0" fontId="1" fillId="0" borderId="112" xfId="64" applyFont="1" applyBorder="1" applyAlignment="1">
      <alignment horizontal="left" vertical="center" wrapText="1"/>
    </xf>
    <xf numFmtId="2" fontId="50" fillId="0" borderId="112" xfId="0" applyNumberFormat="1" applyFont="1" applyBorder="1" applyAlignment="1">
      <alignment horizontal="center" vertical="center"/>
    </xf>
    <xf numFmtId="1" fontId="50" fillId="0" borderId="112" xfId="0" applyNumberFormat="1" applyFont="1" applyBorder="1" applyAlignment="1">
      <alignment horizontal="center" vertical="center"/>
    </xf>
    <xf numFmtId="0" fontId="1" fillId="3" borderId="112" xfId="64" applyFont="1" applyFill="1" applyBorder="1" applyAlignment="1">
      <alignment horizontal="left" vertical="center" wrapText="1"/>
    </xf>
    <xf numFmtId="0" fontId="1" fillId="3" borderId="112" xfId="64" applyFont="1" applyFill="1" applyBorder="1" applyAlignment="1">
      <alignment vertical="center" wrapText="1"/>
    </xf>
    <xf numFmtId="165" fontId="1" fillId="3" borderId="112" xfId="0" applyNumberFormat="1" applyFont="1" applyFill="1" applyBorder="1" applyAlignment="1">
      <alignment vertical="center" wrapText="1"/>
    </xf>
    <xf numFmtId="165" fontId="1" fillId="3" borderId="112" xfId="0" applyNumberFormat="1" applyFont="1" applyFill="1" applyBorder="1" applyAlignment="1">
      <alignment horizontal="center" vertical="center" wrapText="1"/>
    </xf>
    <xf numFmtId="1" fontId="1" fillId="3" borderId="112" xfId="0" applyNumberFormat="1" applyFont="1" applyFill="1" applyBorder="1" applyAlignment="1">
      <alignment horizontal="center" vertical="center"/>
    </xf>
    <xf numFmtId="0" fontId="0" fillId="3" borderId="112" xfId="0" applyFill="1" applyBorder="1" applyAlignment="1">
      <alignment horizontal="center" vertical="center"/>
    </xf>
    <xf numFmtId="167" fontId="1" fillId="3" borderId="112" xfId="51" applyNumberFormat="1" applyFont="1" applyFill="1" applyBorder="1" applyAlignment="1">
      <alignment horizontal="center" vertical="center"/>
    </xf>
    <xf numFmtId="165" fontId="1" fillId="3" borderId="112" xfId="0" applyNumberFormat="1" applyFont="1" applyFill="1" applyBorder="1" applyAlignment="1">
      <alignment horizontal="center" vertical="center"/>
    </xf>
    <xf numFmtId="165" fontId="1" fillId="3" borderId="112" xfId="1" applyNumberFormat="1" applyFill="1" applyBorder="1" applyAlignment="1">
      <alignment horizontal="center" vertical="center" wrapText="1"/>
    </xf>
    <xf numFmtId="0" fontId="28" fillId="3" borderId="112" xfId="0" applyFont="1" applyFill="1" applyBorder="1" applyAlignment="1">
      <alignment horizontal="center" vertical="center" wrapText="1"/>
    </xf>
    <xf numFmtId="0" fontId="1" fillId="0" borderId="112" xfId="0" applyFont="1" applyBorder="1" applyAlignment="1">
      <alignment vertical="center" wrapText="1"/>
    </xf>
    <xf numFmtId="0" fontId="1" fillId="3" borderId="112" xfId="0" applyFont="1" applyFill="1" applyBorder="1" applyAlignment="1">
      <alignment vertical="center" wrapText="1"/>
    </xf>
    <xf numFmtId="0" fontId="1" fillId="3" borderId="112" xfId="64" quotePrefix="1" applyFont="1" applyFill="1" applyBorder="1" applyAlignment="1">
      <alignment horizontal="left" vertical="center"/>
    </xf>
    <xf numFmtId="16" fontId="1" fillId="3" borderId="112" xfId="0" applyNumberFormat="1" applyFont="1" applyFill="1" applyBorder="1" applyAlignment="1">
      <alignment horizontal="center" vertical="center"/>
    </xf>
    <xf numFmtId="0" fontId="1" fillId="0" borderId="112" xfId="0" applyFont="1" applyBorder="1" applyAlignment="1">
      <alignment horizontal="left" vertical="center"/>
    </xf>
    <xf numFmtId="0" fontId="1" fillId="3" borderId="112" xfId="0" applyFont="1" applyFill="1" applyBorder="1" applyAlignment="1">
      <alignment horizontal="left" vertical="center"/>
    </xf>
    <xf numFmtId="0" fontId="43" fillId="29" borderId="112" xfId="0" applyFont="1" applyFill="1" applyBorder="1" applyAlignment="1">
      <alignment horizontal="center" vertical="center" wrapText="1"/>
    </xf>
    <xf numFmtId="0" fontId="43" fillId="29" borderId="112" xfId="0" applyFont="1" applyFill="1" applyBorder="1" applyAlignment="1">
      <alignment horizontal="left" vertical="center" wrapText="1"/>
    </xf>
    <xf numFmtId="0" fontId="36" fillId="29" borderId="112" xfId="0" applyFont="1" applyFill="1" applyBorder="1" applyAlignment="1">
      <alignment vertical="center"/>
    </xf>
    <xf numFmtId="0" fontId="43" fillId="29" borderId="112" xfId="0" applyFont="1" applyFill="1" applyBorder="1" applyAlignment="1">
      <alignment vertical="center" wrapText="1"/>
    </xf>
    <xf numFmtId="0" fontId="36" fillId="29" borderId="112" xfId="58" applyFont="1" applyFill="1" applyBorder="1" applyAlignment="1">
      <alignment horizontal="center" vertical="center" wrapText="1"/>
    </xf>
    <xf numFmtId="0" fontId="52" fillId="29" borderId="112" xfId="0" applyFont="1" applyFill="1" applyBorder="1" applyAlignment="1">
      <alignment horizontal="center" vertical="center" wrapText="1"/>
    </xf>
    <xf numFmtId="0" fontId="51" fillId="29" borderId="112" xfId="0" applyFont="1" applyFill="1" applyBorder="1" applyAlignment="1">
      <alignment horizontal="center" vertical="center"/>
    </xf>
    <xf numFmtId="0" fontId="1" fillId="0" borderId="112" xfId="0" quotePrefix="1" applyFont="1" applyBorder="1" applyAlignment="1">
      <alignment horizontal="left" vertical="center"/>
    </xf>
    <xf numFmtId="0" fontId="1" fillId="3" borderId="112" xfId="0" quotePrefix="1" applyFont="1" applyFill="1" applyBorder="1" applyAlignment="1">
      <alignment horizontal="left" vertical="center"/>
    </xf>
    <xf numFmtId="0" fontId="59" fillId="0" borderId="112" xfId="64" applyFont="1" applyBorder="1" applyAlignment="1">
      <alignment vertical="center" wrapText="1"/>
    </xf>
    <xf numFmtId="0" fontId="59" fillId="2" borderId="112" xfId="0" applyFont="1" applyFill="1" applyBorder="1" applyAlignment="1">
      <alignment horizontal="center" vertical="center"/>
    </xf>
    <xf numFmtId="167" fontId="1" fillId="3" borderId="112" xfId="1" applyNumberFormat="1" applyFill="1" applyBorder="1" applyAlignment="1">
      <alignment horizontal="center" vertical="center"/>
    </xf>
    <xf numFmtId="1" fontId="0" fillId="0" borderId="112" xfId="0" applyNumberFormat="1" applyBorder="1" applyAlignment="1">
      <alignment horizontal="center" vertical="center" wrapText="1"/>
    </xf>
    <xf numFmtId="167" fontId="1" fillId="0" borderId="114" xfId="1" applyNumberFormat="1" applyBorder="1" applyAlignment="1">
      <alignment horizontal="center" vertical="center"/>
    </xf>
    <xf numFmtId="167" fontId="1" fillId="0" borderId="113" xfId="51" applyNumberFormat="1" applyFont="1" applyBorder="1" applyAlignment="1">
      <alignment horizontal="center" vertical="center"/>
    </xf>
    <xf numFmtId="166" fontId="1" fillId="3" borderId="114" xfId="1" applyNumberFormat="1" applyFill="1" applyBorder="1" applyAlignment="1">
      <alignment horizontal="center" vertical="center"/>
    </xf>
    <xf numFmtId="0" fontId="1" fillId="3" borderId="113" xfId="51" applyFont="1" applyFill="1" applyBorder="1" applyAlignment="1">
      <alignment horizontal="center" vertical="center"/>
    </xf>
    <xf numFmtId="0" fontId="36" fillId="31" borderId="112" xfId="0" applyFont="1" applyFill="1" applyBorder="1" applyAlignment="1">
      <alignment horizontal="center" vertical="center" wrapText="1"/>
    </xf>
    <xf numFmtId="0" fontId="36" fillId="31" borderId="112" xfId="0" applyFont="1" applyFill="1" applyBorder="1" applyAlignment="1">
      <alignment horizontal="left" vertical="center" wrapText="1"/>
    </xf>
    <xf numFmtId="0" fontId="36" fillId="31" borderId="112" xfId="0" applyFont="1" applyFill="1" applyBorder="1" applyAlignment="1">
      <alignment vertical="center" wrapText="1"/>
    </xf>
    <xf numFmtId="0" fontId="36" fillId="31" borderId="114" xfId="0" applyFont="1" applyFill="1" applyBorder="1" applyAlignment="1">
      <alignment horizontal="center" vertical="center" wrapText="1"/>
    </xf>
    <xf numFmtId="0" fontId="36" fillId="31" borderId="113" xfId="0" applyFont="1" applyFill="1" applyBorder="1" applyAlignment="1">
      <alignment horizontal="center" vertical="center" wrapText="1"/>
    </xf>
    <xf numFmtId="0" fontId="55" fillId="31" borderId="112" xfId="0" applyFont="1" applyFill="1" applyBorder="1" applyAlignment="1">
      <alignment horizontal="center" vertical="center" wrapText="1"/>
    </xf>
    <xf numFmtId="0" fontId="1" fillId="0" borderId="118" xfId="1" applyBorder="1" applyAlignment="1">
      <alignment horizontal="center" vertical="center"/>
    </xf>
    <xf numFmtId="0" fontId="0" fillId="29" borderId="112" xfId="0" applyFill="1" applyBorder="1"/>
    <xf numFmtId="0" fontId="0" fillId="29" borderId="112" xfId="0" applyFill="1" applyBorder="1" applyAlignment="1">
      <alignment horizontal="center"/>
    </xf>
    <xf numFmtId="0" fontId="0" fillId="0" borderId="112" xfId="0" applyBorder="1"/>
    <xf numFmtId="0" fontId="0" fillId="0" borderId="112" xfId="0" applyBorder="1" applyAlignment="1">
      <alignment horizontal="center"/>
    </xf>
    <xf numFmtId="0" fontId="55" fillId="30" borderId="112" xfId="0" applyFont="1" applyFill="1" applyBorder="1" applyAlignment="1">
      <alignment horizontal="center" vertical="center" wrapText="1"/>
    </xf>
    <xf numFmtId="0" fontId="60" fillId="30" borderId="112" xfId="0" applyFont="1" applyFill="1" applyBorder="1" applyAlignment="1">
      <alignment horizontal="center" vertical="center" wrapText="1"/>
    </xf>
    <xf numFmtId="0" fontId="1" fillId="35" borderId="112" xfId="0" applyFont="1" applyFill="1" applyBorder="1" applyAlignment="1">
      <alignment horizontal="center" vertical="center" wrapText="1"/>
    </xf>
    <xf numFmtId="0" fontId="47" fillId="35" borderId="112" xfId="0" applyFont="1" applyFill="1" applyBorder="1" applyAlignment="1">
      <alignment horizontal="left" vertical="center" wrapText="1"/>
    </xf>
    <xf numFmtId="0" fontId="1" fillId="35" borderId="112" xfId="0" quotePrefix="1" applyFont="1" applyFill="1" applyBorder="1" applyAlignment="1">
      <alignment horizontal="left" vertical="center" wrapText="1"/>
    </xf>
    <xf numFmtId="2" fontId="1" fillId="35" borderId="112" xfId="0" applyNumberFormat="1" applyFont="1" applyFill="1" applyBorder="1" applyAlignment="1">
      <alignment horizontal="center" vertical="center"/>
    </xf>
    <xf numFmtId="1" fontId="1" fillId="35" borderId="112" xfId="0" applyNumberFormat="1" applyFont="1" applyFill="1" applyBorder="1" applyAlignment="1">
      <alignment horizontal="center" vertical="center"/>
    </xf>
    <xf numFmtId="0" fontId="1" fillId="35" borderId="112" xfId="0" applyFont="1" applyFill="1" applyBorder="1" applyAlignment="1">
      <alignment horizontal="center" vertical="center"/>
    </xf>
    <xf numFmtId="2" fontId="1" fillId="35" borderId="112" xfId="1" applyNumberFormat="1" applyFill="1" applyBorder="1" applyAlignment="1">
      <alignment horizontal="center" vertical="center"/>
    </xf>
    <xf numFmtId="0" fontId="1" fillId="35" borderId="112" xfId="1" applyFill="1" applyBorder="1" applyAlignment="1">
      <alignment horizontal="center" vertical="center"/>
    </xf>
    <xf numFmtId="166" fontId="1" fillId="35" borderId="112" xfId="1" applyNumberFormat="1" applyFill="1" applyBorder="1" applyAlignment="1">
      <alignment horizontal="center" vertical="center"/>
    </xf>
    <xf numFmtId="167" fontId="1" fillId="35" borderId="112" xfId="1" applyNumberFormat="1" applyFill="1" applyBorder="1" applyAlignment="1">
      <alignment horizontal="center" vertical="center"/>
    </xf>
    <xf numFmtId="167" fontId="1" fillId="35" borderId="112" xfId="51" applyNumberFormat="1" applyFont="1" applyFill="1" applyBorder="1" applyAlignment="1">
      <alignment horizontal="center" vertical="center"/>
    </xf>
    <xf numFmtId="165" fontId="1" fillId="35" borderId="112" xfId="0" applyNumberFormat="1" applyFont="1" applyFill="1" applyBorder="1" applyAlignment="1">
      <alignment horizontal="center" vertical="center"/>
    </xf>
    <xf numFmtId="165" fontId="1" fillId="35" borderId="114" xfId="0" applyNumberFormat="1" applyFont="1" applyFill="1" applyBorder="1" applyAlignment="1">
      <alignment horizontal="center" vertical="center"/>
    </xf>
    <xf numFmtId="0" fontId="1" fillId="35" borderId="114" xfId="0" applyFont="1" applyFill="1" applyBorder="1" applyAlignment="1">
      <alignment horizontal="center" vertical="center"/>
    </xf>
    <xf numFmtId="0" fontId="28" fillId="35" borderId="112" xfId="0" applyFont="1" applyFill="1" applyBorder="1" applyAlignment="1">
      <alignment horizontal="center" vertical="center"/>
    </xf>
    <xf numFmtId="167" fontId="61" fillId="35" borderId="112" xfId="1" applyNumberFormat="1" applyFont="1" applyFill="1" applyBorder="1" applyAlignment="1">
      <alignment horizontal="center" vertical="center"/>
    </xf>
    <xf numFmtId="0" fontId="28" fillId="43" borderId="112" xfId="0" applyFont="1" applyFill="1" applyBorder="1" applyAlignment="1">
      <alignment horizontal="center" vertical="center"/>
    </xf>
    <xf numFmtId="0" fontId="59" fillId="0" borderId="112" xfId="0" quotePrefix="1" applyFont="1" applyBorder="1" applyAlignment="1">
      <alignment horizontal="left" vertical="center" wrapText="1"/>
    </xf>
    <xf numFmtId="2" fontId="59" fillId="3" borderId="112" xfId="1" applyNumberFormat="1" applyFont="1" applyFill="1" applyBorder="1" applyAlignment="1">
      <alignment horizontal="center" vertical="center"/>
    </xf>
    <xf numFmtId="1" fontId="59" fillId="3" borderId="112" xfId="0" applyNumberFormat="1" applyFont="1" applyFill="1" applyBorder="1" applyAlignment="1">
      <alignment horizontal="center" vertical="center"/>
    </xf>
    <xf numFmtId="0" fontId="50" fillId="0" borderId="112" xfId="0" applyFont="1" applyBorder="1" applyAlignment="1">
      <alignment horizontal="center" vertical="center"/>
    </xf>
    <xf numFmtId="165" fontId="38" fillId="0" borderId="112" xfId="0" applyNumberFormat="1" applyFont="1" applyBorder="1" applyAlignment="1">
      <alignment horizontal="center" vertical="center"/>
    </xf>
    <xf numFmtId="0" fontId="65" fillId="0" borderId="114" xfId="0" applyFont="1" applyBorder="1" applyAlignment="1">
      <alignment horizontal="center" vertical="center" wrapText="1"/>
    </xf>
    <xf numFmtId="0" fontId="65" fillId="46" borderId="112" xfId="0" applyFont="1" applyFill="1" applyBorder="1" applyAlignment="1">
      <alignment horizontal="center" vertical="center"/>
    </xf>
    <xf numFmtId="0" fontId="1" fillId="0" borderId="112" xfId="0" quotePrefix="1" applyFont="1" applyBorder="1" applyAlignment="1">
      <alignment horizontal="left" vertical="center" wrapText="1"/>
    </xf>
    <xf numFmtId="0" fontId="28" fillId="0" borderId="114" xfId="0" applyFont="1" applyBorder="1" applyAlignment="1">
      <alignment horizontal="center" vertical="center" wrapText="1"/>
    </xf>
    <xf numFmtId="0" fontId="1" fillId="3" borderId="112" xfId="0" quotePrefix="1" applyFont="1" applyFill="1" applyBorder="1" applyAlignment="1">
      <alignment horizontal="left" vertical="center" wrapText="1"/>
    </xf>
    <xf numFmtId="165" fontId="1" fillId="3" borderId="114" xfId="0" applyNumberFormat="1" applyFont="1" applyFill="1" applyBorder="1" applyAlignment="1">
      <alignment horizontal="center" vertical="center"/>
    </xf>
    <xf numFmtId="0" fontId="1" fillId="3" borderId="114" xfId="0" applyFont="1" applyFill="1" applyBorder="1" applyAlignment="1">
      <alignment horizontal="center" vertical="center"/>
    </xf>
    <xf numFmtId="0" fontId="28" fillId="3" borderId="114" xfId="0" applyFont="1" applyFill="1" applyBorder="1" applyAlignment="1">
      <alignment horizontal="center" vertical="center" wrapText="1"/>
    </xf>
    <xf numFmtId="0" fontId="1" fillId="3" borderId="112" xfId="0" quotePrefix="1" applyFont="1" applyFill="1" applyBorder="1" applyAlignment="1">
      <alignment horizontal="center" vertical="center"/>
    </xf>
    <xf numFmtId="0" fontId="59" fillId="29" borderId="112" xfId="0" applyFont="1" applyFill="1" applyBorder="1" applyAlignment="1">
      <alignment horizontal="center" vertical="center" wrapText="1"/>
    </xf>
    <xf numFmtId="0" fontId="62" fillId="29" borderId="112" xfId="0" applyFont="1" applyFill="1" applyBorder="1" applyAlignment="1">
      <alignment horizontal="left" vertical="center" wrapText="1"/>
    </xf>
    <xf numFmtId="0" fontId="1" fillId="29" borderId="112" xfId="0" quotePrefix="1" applyFont="1" applyFill="1" applyBorder="1" applyAlignment="1">
      <alignment horizontal="left" vertical="center" wrapText="1"/>
    </xf>
    <xf numFmtId="0" fontId="36" fillId="29" borderId="112" xfId="0" applyFont="1" applyFill="1" applyBorder="1" applyAlignment="1">
      <alignment horizontal="center" vertical="center" wrapText="1"/>
    </xf>
    <xf numFmtId="2" fontId="50" fillId="29" borderId="112" xfId="0" applyNumberFormat="1" applyFont="1" applyFill="1" applyBorder="1" applyAlignment="1">
      <alignment horizontal="center" vertical="center"/>
    </xf>
    <xf numFmtId="1" fontId="50" fillId="29" borderId="112" xfId="0" applyNumberFormat="1" applyFont="1" applyFill="1" applyBorder="1" applyAlignment="1">
      <alignment horizontal="center" vertical="center"/>
    </xf>
    <xf numFmtId="0" fontId="28" fillId="29" borderId="112" xfId="0" applyFont="1" applyFill="1" applyBorder="1" applyAlignment="1">
      <alignment horizontal="center" vertical="center"/>
    </xf>
    <xf numFmtId="2" fontId="1" fillId="0" borderId="112" xfId="0" applyNumberFormat="1" applyFont="1" applyBorder="1" applyAlignment="1">
      <alignment horizontal="left" vertical="center" wrapText="1"/>
    </xf>
    <xf numFmtId="2" fontId="1" fillId="3" borderId="112" xfId="0" applyNumberFormat="1" applyFont="1" applyFill="1" applyBorder="1" applyAlignment="1">
      <alignment horizontal="left" vertical="center" wrapText="1"/>
    </xf>
    <xf numFmtId="0" fontId="0" fillId="0" borderId="112" xfId="0" applyBorder="1" applyAlignment="1">
      <alignment horizontal="center" vertical="center" wrapText="1"/>
    </xf>
    <xf numFmtId="0" fontId="1" fillId="29" borderId="112" xfId="0" quotePrefix="1" applyFont="1" applyFill="1" applyBorder="1" applyAlignment="1">
      <alignment horizontal="center" vertical="center" wrapText="1"/>
    </xf>
    <xf numFmtId="2" fontId="85" fillId="3" borderId="112" xfId="0" applyNumberFormat="1" applyFont="1" applyFill="1" applyBorder="1" applyAlignment="1">
      <alignment horizontal="center" vertical="center"/>
    </xf>
    <xf numFmtId="1" fontId="38" fillId="3" borderId="112" xfId="0" applyNumberFormat="1" applyFont="1" applyFill="1" applyBorder="1" applyAlignment="1">
      <alignment horizontal="center" vertical="center"/>
    </xf>
    <xf numFmtId="165" fontId="38" fillId="0" borderId="112" xfId="1" applyNumberFormat="1" applyFont="1" applyBorder="1" applyAlignment="1">
      <alignment horizontal="center" vertical="center" wrapText="1"/>
    </xf>
    <xf numFmtId="0" fontId="85" fillId="3" borderId="112" xfId="0" applyFont="1" applyFill="1" applyBorder="1" applyAlignment="1">
      <alignment horizontal="center" vertical="center" wrapText="1"/>
    </xf>
    <xf numFmtId="0" fontId="0" fillId="3" borderId="112" xfId="0" applyFill="1" applyBorder="1" applyAlignment="1">
      <alignment horizontal="center" vertical="center" wrapText="1"/>
    </xf>
    <xf numFmtId="0" fontId="36" fillId="29" borderId="112" xfId="0" applyFont="1" applyFill="1" applyBorder="1" applyAlignment="1">
      <alignment horizontal="left" vertical="center" wrapText="1"/>
    </xf>
    <xf numFmtId="0" fontId="38" fillId="0" borderId="112" xfId="0" applyFont="1" applyBorder="1" applyAlignment="1">
      <alignment horizontal="center" vertical="center"/>
    </xf>
    <xf numFmtId="0" fontId="41" fillId="3" borderId="112" xfId="0" applyFont="1" applyFill="1" applyBorder="1" applyAlignment="1">
      <alignment horizontal="center" vertical="center"/>
    </xf>
    <xf numFmtId="0" fontId="1" fillId="0" borderId="112" xfId="0" quotePrefix="1" applyFont="1" applyBorder="1" applyAlignment="1">
      <alignment horizontal="center" vertical="center"/>
    </xf>
    <xf numFmtId="0" fontId="28" fillId="0" borderId="112" xfId="0" applyFont="1" applyBorder="1" applyAlignment="1">
      <alignment vertical="center"/>
    </xf>
    <xf numFmtId="0" fontId="0" fillId="3" borderId="112" xfId="0" quotePrefix="1" applyFill="1" applyBorder="1" applyAlignment="1">
      <alignment horizontal="left" vertical="center"/>
    </xf>
    <xf numFmtId="0" fontId="0" fillId="0" borderId="112" xfId="0" quotePrefix="1" applyBorder="1" applyAlignment="1">
      <alignment horizontal="left" vertical="center" wrapText="1"/>
    </xf>
    <xf numFmtId="0" fontId="28" fillId="48" borderId="112" xfId="0" applyFont="1" applyFill="1" applyBorder="1" applyAlignment="1">
      <alignment vertical="center"/>
    </xf>
    <xf numFmtId="0" fontId="61" fillId="35" borderId="112" xfId="0" applyFont="1" applyFill="1" applyBorder="1" applyAlignment="1">
      <alignment horizontal="center" vertical="center" wrapText="1"/>
    </xf>
    <xf numFmtId="0" fontId="56" fillId="35" borderId="112" xfId="0" applyFont="1" applyFill="1" applyBorder="1" applyAlignment="1">
      <alignment horizontal="left" vertical="center"/>
    </xf>
    <xf numFmtId="0" fontId="61" fillId="35" borderId="112" xfId="0" quotePrefix="1" applyFont="1" applyFill="1" applyBorder="1" applyAlignment="1">
      <alignment horizontal="left" vertical="center" wrapText="1"/>
    </xf>
    <xf numFmtId="2" fontId="61" fillId="35" borderId="112" xfId="0" applyNumberFormat="1" applyFont="1" applyFill="1" applyBorder="1" applyAlignment="1">
      <alignment horizontal="center" vertical="center"/>
    </xf>
    <xf numFmtId="1" fontId="61" fillId="35" borderId="112" xfId="0" applyNumberFormat="1" applyFont="1" applyFill="1" applyBorder="1" applyAlignment="1">
      <alignment horizontal="center" vertical="center"/>
    </xf>
    <xf numFmtId="0" fontId="61" fillId="35" borderId="112" xfId="0" applyFont="1" applyFill="1" applyBorder="1" applyAlignment="1">
      <alignment horizontal="center" vertical="center"/>
    </xf>
    <xf numFmtId="2" fontId="61" fillId="35" borderId="112" xfId="1" applyNumberFormat="1" applyFont="1" applyFill="1" applyBorder="1" applyAlignment="1">
      <alignment horizontal="center" vertical="center"/>
    </xf>
    <xf numFmtId="0" fontId="61" fillId="35" borderId="112" xfId="1" applyFont="1" applyFill="1" applyBorder="1" applyAlignment="1">
      <alignment horizontal="center" vertical="center"/>
    </xf>
    <xf numFmtId="166" fontId="61" fillId="35" borderId="112" xfId="1" applyNumberFormat="1" applyFont="1" applyFill="1" applyBorder="1" applyAlignment="1">
      <alignment horizontal="center" vertical="center"/>
    </xf>
    <xf numFmtId="167" fontId="61" fillId="35" borderId="112" xfId="51" applyNumberFormat="1" applyFont="1" applyFill="1" applyBorder="1" applyAlignment="1">
      <alignment horizontal="center" vertical="center"/>
    </xf>
    <xf numFmtId="165" fontId="61" fillId="35" borderId="112" xfId="0" applyNumberFormat="1" applyFont="1" applyFill="1" applyBorder="1" applyAlignment="1">
      <alignment horizontal="center" vertical="center"/>
    </xf>
    <xf numFmtId="165" fontId="61" fillId="35" borderId="114" xfId="0" applyNumberFormat="1" applyFont="1" applyFill="1" applyBorder="1" applyAlignment="1">
      <alignment horizontal="center" vertical="center"/>
    </xf>
    <xf numFmtId="0" fontId="61" fillId="35" borderId="114" xfId="0" applyFont="1" applyFill="1" applyBorder="1" applyAlignment="1">
      <alignment horizontal="center" vertical="center"/>
    </xf>
    <xf numFmtId="0" fontId="1" fillId="0" borderId="112" xfId="0" applyFont="1" applyBorder="1"/>
    <xf numFmtId="0" fontId="1" fillId="0" borderId="112" xfId="64" applyFont="1" applyBorder="1" applyAlignment="1">
      <alignment horizontal="center" vertical="center" wrapText="1"/>
    </xf>
    <xf numFmtId="0" fontId="50" fillId="29" borderId="112" xfId="0" applyFont="1" applyFill="1" applyBorder="1" applyAlignment="1">
      <alignment horizontal="center" vertical="center" wrapText="1"/>
    </xf>
    <xf numFmtId="0" fontId="86" fillId="29" borderId="112" xfId="0" applyFont="1" applyFill="1" applyBorder="1" applyAlignment="1">
      <alignment horizontal="left" vertical="center" wrapText="1"/>
    </xf>
    <xf numFmtId="0" fontId="50" fillId="29" borderId="112" xfId="0" quotePrefix="1" applyFont="1" applyFill="1" applyBorder="1" applyAlignment="1">
      <alignment horizontal="left" vertical="center" wrapText="1"/>
    </xf>
    <xf numFmtId="0" fontId="55" fillId="29" borderId="112" xfId="0" applyFont="1" applyFill="1" applyBorder="1" applyAlignment="1">
      <alignment horizontal="center" vertical="center" wrapText="1"/>
    </xf>
    <xf numFmtId="0" fontId="50" fillId="29" borderId="112" xfId="0" applyFont="1" applyFill="1" applyBorder="1" applyAlignment="1">
      <alignment horizontal="center" vertical="center"/>
    </xf>
    <xf numFmtId="2" fontId="50" fillId="29" borderId="112" xfId="1" applyNumberFormat="1" applyFont="1" applyFill="1" applyBorder="1" applyAlignment="1">
      <alignment horizontal="center" vertical="center"/>
    </xf>
    <xf numFmtId="0" fontId="50" fillId="29" borderId="112" xfId="1" applyFont="1" applyFill="1" applyBorder="1" applyAlignment="1">
      <alignment horizontal="center" vertical="center"/>
    </xf>
    <xf numFmtId="166" fontId="50" fillId="29" borderId="112" xfId="1" applyNumberFormat="1" applyFont="1" applyFill="1" applyBorder="1" applyAlignment="1">
      <alignment horizontal="center" vertical="center"/>
    </xf>
    <xf numFmtId="167" fontId="50" fillId="29" borderId="112" xfId="1" applyNumberFormat="1" applyFont="1" applyFill="1" applyBorder="1" applyAlignment="1">
      <alignment horizontal="center" vertical="center"/>
    </xf>
    <xf numFmtId="167" fontId="50" fillId="29" borderId="112" xfId="51" applyNumberFormat="1" applyFont="1" applyFill="1" applyBorder="1" applyAlignment="1">
      <alignment horizontal="center" vertical="center"/>
    </xf>
    <xf numFmtId="165" fontId="50" fillId="29" borderId="112" xfId="0" applyNumberFormat="1" applyFont="1" applyFill="1" applyBorder="1" applyAlignment="1">
      <alignment horizontal="center" vertical="center"/>
    </xf>
    <xf numFmtId="165" fontId="50" fillId="29" borderId="114" xfId="0" applyNumberFormat="1" applyFont="1" applyFill="1" applyBorder="1" applyAlignment="1">
      <alignment horizontal="center" vertical="center"/>
    </xf>
    <xf numFmtId="0" fontId="50" fillId="29" borderId="114" xfId="0" applyFont="1" applyFill="1" applyBorder="1" applyAlignment="1">
      <alignment horizontal="center" vertical="center"/>
    </xf>
    <xf numFmtId="0" fontId="54" fillId="29" borderId="112" xfId="0" applyFont="1" applyFill="1" applyBorder="1" applyAlignment="1">
      <alignment horizontal="center" vertical="center"/>
    </xf>
    <xf numFmtId="0" fontId="54" fillId="0" borderId="112" xfId="0" applyFont="1" applyBorder="1" applyAlignment="1">
      <alignment horizontal="center" vertical="center"/>
    </xf>
    <xf numFmtId="0" fontId="54" fillId="43" borderId="112" xfId="0" applyFont="1" applyFill="1" applyBorder="1" applyAlignment="1">
      <alignment horizontal="center" vertical="center"/>
    </xf>
    <xf numFmtId="0" fontId="59" fillId="0" borderId="112" xfId="0" quotePrefix="1" applyFont="1" applyBorder="1" applyAlignment="1">
      <alignment horizontal="center" vertical="center"/>
    </xf>
    <xf numFmtId="2" fontId="59" fillId="0" borderId="112" xfId="0" applyNumberFormat="1" applyFont="1" applyBorder="1" applyAlignment="1">
      <alignment horizontal="left" vertical="center" wrapText="1"/>
    </xf>
    <xf numFmtId="167" fontId="59" fillId="0" borderId="112" xfId="1" applyNumberFormat="1" applyFont="1" applyBorder="1" applyAlignment="1">
      <alignment horizontal="center" vertical="center"/>
    </xf>
    <xf numFmtId="0" fontId="59" fillId="0" borderId="112" xfId="0" applyFont="1" applyBorder="1" applyAlignment="1">
      <alignment horizontal="left" vertical="center"/>
    </xf>
    <xf numFmtId="0" fontId="59" fillId="0" borderId="118" xfId="0" applyFont="1" applyBorder="1" applyAlignment="1">
      <alignment horizontal="left" vertical="center" wrapText="1"/>
    </xf>
    <xf numFmtId="0" fontId="1" fillId="0" borderId="112" xfId="0" applyFont="1" applyBorder="1" applyAlignment="1">
      <alignment vertical="center"/>
    </xf>
    <xf numFmtId="165" fontId="0" fillId="0" borderId="112" xfId="0" applyNumberFormat="1" applyBorder="1" applyAlignment="1">
      <alignment vertical="center" wrapText="1"/>
    </xf>
    <xf numFmtId="0" fontId="1" fillId="0" borderId="112" xfId="0" quotePrefix="1" applyFont="1" applyBorder="1" applyAlignment="1">
      <alignment vertical="center" wrapText="1"/>
    </xf>
    <xf numFmtId="0" fontId="0" fillId="0" borderId="112" xfId="0" quotePrefix="1" applyBorder="1" applyAlignment="1">
      <alignment horizontal="center" vertical="center" wrapText="1"/>
    </xf>
    <xf numFmtId="0" fontId="0" fillId="3" borderId="112" xfId="0" quotePrefix="1" applyFill="1" applyBorder="1" applyAlignment="1">
      <alignment horizontal="center" vertical="center" wrapText="1"/>
    </xf>
    <xf numFmtId="0" fontId="0" fillId="29" borderId="112" xfId="0" quotePrefix="1" applyFill="1" applyBorder="1" applyAlignment="1">
      <alignment horizontal="center" vertical="center" wrapText="1"/>
    </xf>
    <xf numFmtId="0" fontId="28" fillId="34" borderId="112" xfId="0" applyFont="1" applyFill="1" applyBorder="1" applyAlignment="1">
      <alignment horizontal="center" vertical="center"/>
    </xf>
    <xf numFmtId="0" fontId="1" fillId="3" borderId="112" xfId="0" applyFont="1" applyFill="1" applyBorder="1" applyAlignment="1">
      <alignment horizontal="center"/>
    </xf>
    <xf numFmtId="0" fontId="47" fillId="35" borderId="112" xfId="0" applyFont="1" applyFill="1" applyBorder="1" applyAlignment="1">
      <alignment horizontal="left" vertical="center"/>
    </xf>
    <xf numFmtId="2" fontId="38" fillId="0" borderId="112" xfId="0" applyNumberFormat="1" applyFont="1" applyBorder="1" applyAlignment="1">
      <alignment horizontal="center" vertical="center"/>
    </xf>
    <xf numFmtId="0" fontId="59" fillId="0" borderId="113" xfId="0" applyFont="1" applyBorder="1" applyAlignment="1">
      <alignment horizontal="center" vertical="center" wrapText="1"/>
    </xf>
    <xf numFmtId="0" fontId="1" fillId="3" borderId="112" xfId="0" quotePrefix="1" applyFont="1" applyFill="1" applyBorder="1" applyAlignment="1">
      <alignment horizontal="center" vertical="center" wrapText="1"/>
    </xf>
    <xf numFmtId="0" fontId="28" fillId="3" borderId="112" xfId="0" applyFont="1" applyFill="1" applyBorder="1" applyAlignment="1">
      <alignment horizontal="center" vertical="center"/>
    </xf>
    <xf numFmtId="0" fontId="1" fillId="31" borderId="112" xfId="0" quotePrefix="1" applyFont="1" applyFill="1" applyBorder="1" applyAlignment="1">
      <alignment horizontal="left" vertical="center" wrapText="1"/>
    </xf>
    <xf numFmtId="0" fontId="1" fillId="31" borderId="112" xfId="0" quotePrefix="1" applyFont="1" applyFill="1" applyBorder="1" applyAlignment="1">
      <alignment horizontal="center" vertical="center" wrapText="1"/>
    </xf>
    <xf numFmtId="0" fontId="0" fillId="31" borderId="112" xfId="0" quotePrefix="1" applyFill="1" applyBorder="1" applyAlignment="1">
      <alignment horizontal="center" vertical="center" wrapText="1"/>
    </xf>
    <xf numFmtId="2" fontId="1" fillId="31" borderId="112" xfId="0" applyNumberFormat="1" applyFont="1" applyFill="1" applyBorder="1" applyAlignment="1">
      <alignment horizontal="center" vertical="center"/>
    </xf>
    <xf numFmtId="165" fontId="1" fillId="31" borderId="112" xfId="0" applyNumberFormat="1" applyFont="1" applyFill="1" applyBorder="1" applyAlignment="1">
      <alignment horizontal="center" vertical="center"/>
    </xf>
    <xf numFmtId="1" fontId="1" fillId="31" borderId="112" xfId="0" applyNumberFormat="1" applyFont="1" applyFill="1" applyBorder="1" applyAlignment="1">
      <alignment horizontal="center" vertical="center"/>
    </xf>
    <xf numFmtId="165" fontId="1" fillId="31" borderId="114" xfId="0" applyNumberFormat="1" applyFont="1" applyFill="1" applyBorder="1" applyAlignment="1">
      <alignment horizontal="center" vertical="center"/>
    </xf>
    <xf numFmtId="0" fontId="28" fillId="31" borderId="112" xfId="0" applyFont="1" applyFill="1" applyBorder="1" applyAlignment="1">
      <alignment horizontal="center" vertical="center"/>
    </xf>
    <xf numFmtId="0" fontId="1" fillId="0" borderId="113" xfId="0" applyFont="1" applyBorder="1" applyAlignment="1">
      <alignment horizontal="center" vertical="center"/>
    </xf>
    <xf numFmtId="0" fontId="58" fillId="30" borderId="112" xfId="0" applyFont="1" applyFill="1" applyBorder="1" applyAlignment="1">
      <alignment horizontal="center" vertical="center" wrapText="1"/>
    </xf>
    <xf numFmtId="0" fontId="58" fillId="29" borderId="112" xfId="0" applyFont="1" applyFill="1" applyBorder="1" applyAlignment="1">
      <alignment horizontal="center" vertical="center" wrapText="1"/>
    </xf>
    <xf numFmtId="0" fontId="51" fillId="32" borderId="114" xfId="0" applyFont="1" applyFill="1" applyBorder="1" applyAlignment="1">
      <alignment horizontal="center" vertical="center"/>
    </xf>
    <xf numFmtId="0" fontId="41" fillId="0" borderId="112" xfId="1" applyFont="1" applyBorder="1" applyAlignment="1">
      <alignment horizontal="center" vertical="center"/>
    </xf>
    <xf numFmtId="166" fontId="41" fillId="0" borderId="112" xfId="1" applyNumberFormat="1" applyFont="1" applyBorder="1" applyAlignment="1">
      <alignment horizontal="center" vertical="center"/>
    </xf>
    <xf numFmtId="2" fontId="41" fillId="0" borderId="112" xfId="1" applyNumberFormat="1" applyFont="1" applyBorder="1" applyAlignment="1">
      <alignment horizontal="center" vertical="center"/>
    </xf>
    <xf numFmtId="1" fontId="41" fillId="0" borderId="112" xfId="0" applyNumberFormat="1" applyFont="1" applyBorder="1" applyAlignment="1">
      <alignment horizontal="center" vertical="center"/>
    </xf>
    <xf numFmtId="165" fontId="41" fillId="0" borderId="112" xfId="0" applyNumberFormat="1" applyFont="1" applyBorder="1" applyAlignment="1">
      <alignment horizontal="center" vertical="center"/>
    </xf>
    <xf numFmtId="0" fontId="41" fillId="0" borderId="112" xfId="0" applyFont="1" applyBorder="1" applyAlignment="1">
      <alignment horizontal="center" vertical="center"/>
    </xf>
    <xf numFmtId="2" fontId="48" fillId="0" borderId="112" xfId="0" applyNumberFormat="1" applyFont="1" applyBorder="1" applyAlignment="1">
      <alignment horizontal="center" vertical="center"/>
    </xf>
    <xf numFmtId="1" fontId="48" fillId="0" borderId="112" xfId="0" applyNumberFormat="1" applyFont="1" applyBorder="1" applyAlignment="1">
      <alignment horizontal="center" vertical="center"/>
    </xf>
    <xf numFmtId="0" fontId="41" fillId="0" borderId="113" xfId="1" applyFont="1" applyBorder="1" applyAlignment="1">
      <alignment horizontal="center" vertical="center"/>
    </xf>
    <xf numFmtId="2" fontId="37" fillId="0" borderId="112" xfId="0" applyNumberFormat="1" applyFont="1" applyBorder="1" applyAlignment="1">
      <alignment horizontal="center" vertical="center"/>
    </xf>
    <xf numFmtId="0" fontId="38" fillId="0" borderId="112" xfId="0" applyFont="1" applyBorder="1" applyAlignment="1">
      <alignment horizontal="left" vertical="center" wrapText="1"/>
    </xf>
    <xf numFmtId="0" fontId="38" fillId="0" borderId="112" xfId="0" applyFont="1" applyBorder="1" applyAlignment="1">
      <alignment vertical="center" wrapText="1"/>
    </xf>
    <xf numFmtId="0" fontId="38" fillId="0" borderId="112" xfId="1" applyFont="1" applyBorder="1" applyAlignment="1">
      <alignment horizontal="center" vertical="center" wrapText="1"/>
    </xf>
    <xf numFmtId="1" fontId="38" fillId="3" borderId="112" xfId="0" applyNumberFormat="1" applyFont="1" applyFill="1" applyBorder="1" applyAlignment="1">
      <alignment horizontal="center" vertical="center" wrapText="1"/>
    </xf>
    <xf numFmtId="2" fontId="38" fillId="0" borderId="112" xfId="1" applyNumberFormat="1" applyFont="1" applyBorder="1" applyAlignment="1">
      <alignment horizontal="center" vertical="center"/>
    </xf>
    <xf numFmtId="0" fontId="38" fillId="0" borderId="112" xfId="1" applyFont="1" applyBorder="1" applyAlignment="1">
      <alignment horizontal="center" vertical="center"/>
    </xf>
    <xf numFmtId="166" fontId="38" fillId="0" borderId="112" xfId="1" applyNumberFormat="1" applyFont="1" applyBorder="1" applyAlignment="1">
      <alignment horizontal="center" vertical="center"/>
    </xf>
    <xf numFmtId="167" fontId="38" fillId="0" borderId="112" xfId="1" applyNumberFormat="1" applyFont="1" applyBorder="1" applyAlignment="1">
      <alignment horizontal="center" vertical="center"/>
    </xf>
    <xf numFmtId="167" fontId="38" fillId="0" borderId="112" xfId="51" applyNumberFormat="1" applyFont="1" applyBorder="1" applyAlignment="1">
      <alignment horizontal="center" vertical="center"/>
    </xf>
    <xf numFmtId="165" fontId="38" fillId="0" borderId="112" xfId="1" applyNumberFormat="1" applyFont="1" applyBorder="1" applyAlignment="1">
      <alignment horizontal="center" vertical="center"/>
    </xf>
    <xf numFmtId="1" fontId="38" fillId="0" borderId="112" xfId="0" applyNumberFormat="1" applyFont="1" applyBorder="1" applyAlignment="1">
      <alignment horizontal="center" vertical="center"/>
    </xf>
    <xf numFmtId="0" fontId="38" fillId="0" borderId="114" xfId="0" applyFont="1" applyBorder="1" applyAlignment="1">
      <alignment horizontal="center" vertical="center"/>
    </xf>
    <xf numFmtId="0" fontId="38" fillId="0" borderId="113" xfId="1" applyFont="1" applyBorder="1" applyAlignment="1">
      <alignment horizontal="center" vertical="center"/>
    </xf>
    <xf numFmtId="0" fontId="1" fillId="0" borderId="113" xfId="1" applyBorder="1" applyAlignment="1">
      <alignment horizontal="center" vertical="center"/>
    </xf>
    <xf numFmtId="0" fontId="1" fillId="2" borderId="112" xfId="1" applyFill="1" applyBorder="1" applyAlignment="1">
      <alignment horizontal="center" vertical="center" wrapText="1"/>
    </xf>
    <xf numFmtId="0" fontId="41" fillId="0" borderId="112" xfId="51" applyFont="1" applyBorder="1" applyAlignment="1">
      <alignment horizontal="center" vertical="center"/>
    </xf>
    <xf numFmtId="1" fontId="38" fillId="0" borderId="112" xfId="1" applyNumberFormat="1" applyFont="1" applyBorder="1" applyAlignment="1">
      <alignment horizontal="center" vertical="center"/>
    </xf>
    <xf numFmtId="0" fontId="50" fillId="0" borderId="112" xfId="1" applyFont="1" applyBorder="1" applyAlignment="1">
      <alignment horizontal="center" vertical="center"/>
    </xf>
    <xf numFmtId="0" fontId="57" fillId="31" borderId="112" xfId="0" applyFont="1" applyFill="1" applyBorder="1" applyAlignment="1">
      <alignment horizontal="center" vertical="center" wrapText="1"/>
    </xf>
    <xf numFmtId="0" fontId="31" fillId="27" borderId="112" xfId="0" applyFont="1" applyFill="1" applyBorder="1" applyAlignment="1">
      <alignment vertical="center"/>
    </xf>
    <xf numFmtId="0" fontId="3" fillId="27" borderId="112" xfId="0" applyFont="1" applyFill="1" applyBorder="1" applyAlignment="1">
      <alignment horizontal="center" vertical="center" wrapText="1"/>
    </xf>
    <xf numFmtId="0" fontId="3" fillId="27" borderId="118" xfId="0" applyFont="1" applyFill="1" applyBorder="1" applyAlignment="1">
      <alignment horizontal="center" vertical="center" wrapText="1"/>
    </xf>
    <xf numFmtId="0" fontId="4" fillId="28" borderId="112" xfId="0" applyFont="1" applyFill="1" applyBorder="1" applyAlignment="1">
      <alignment horizontal="center" vertical="center" wrapText="1"/>
    </xf>
    <xf numFmtId="0" fontId="4" fillId="34" borderId="103" xfId="0" applyFont="1" applyFill="1" applyBorder="1" applyAlignment="1">
      <alignment horizontal="center" vertical="center"/>
    </xf>
    <xf numFmtId="0" fontId="4" fillId="31" borderId="112" xfId="0" applyFont="1" applyFill="1" applyBorder="1" applyAlignment="1">
      <alignment horizontal="center" vertical="center"/>
    </xf>
    <xf numFmtId="0" fontId="42" fillId="31" borderId="112" xfId="0" applyFont="1" applyFill="1" applyBorder="1" applyAlignment="1">
      <alignment horizontal="center" vertical="center"/>
    </xf>
    <xf numFmtId="2" fontId="42" fillId="31" borderId="112" xfId="0" applyNumberFormat="1" applyFont="1" applyFill="1" applyBorder="1" applyAlignment="1">
      <alignment horizontal="center" vertical="center"/>
    </xf>
    <xf numFmtId="0" fontId="35" fillId="3" borderId="112" xfId="0" applyFont="1" applyFill="1" applyBorder="1" applyAlignment="1">
      <alignment horizontal="center" vertical="center"/>
    </xf>
    <xf numFmtId="0" fontId="39" fillId="31" borderId="120" xfId="0" applyFont="1" applyFill="1" applyBorder="1" applyAlignment="1">
      <alignment horizontal="center" vertical="center"/>
    </xf>
    <xf numFmtId="0" fontId="42" fillId="31" borderId="121" xfId="0" applyFont="1" applyFill="1" applyBorder="1" applyAlignment="1">
      <alignment horizontal="center" vertical="center"/>
    </xf>
    <xf numFmtId="2" fontId="42" fillId="31" borderId="121" xfId="0" applyNumberFormat="1" applyFont="1" applyFill="1" applyBorder="1" applyAlignment="1">
      <alignment horizontal="center" vertical="center"/>
    </xf>
    <xf numFmtId="0" fontId="44" fillId="29" borderId="112" xfId="0" applyFont="1" applyFill="1" applyBorder="1" applyAlignment="1">
      <alignment horizontal="center" vertical="center" wrapText="1"/>
    </xf>
    <xf numFmtId="0" fontId="42" fillId="0" borderId="112" xfId="0" applyFont="1" applyBorder="1" applyAlignment="1">
      <alignment horizontal="center" vertical="center" wrapText="1"/>
    </xf>
    <xf numFmtId="0" fontId="39" fillId="31" borderId="122" xfId="0" applyFont="1" applyFill="1" applyBorder="1" applyAlignment="1">
      <alignment horizontal="center" vertical="center"/>
    </xf>
    <xf numFmtId="0" fontId="39" fillId="31" borderId="123" xfId="0" applyFont="1" applyFill="1" applyBorder="1" applyAlignment="1">
      <alignment horizontal="center" vertical="center" wrapText="1"/>
    </xf>
    <xf numFmtId="0" fontId="3" fillId="31" borderId="112" xfId="0" applyFont="1" applyFill="1" applyBorder="1" applyAlignment="1">
      <alignment horizontal="center" vertical="center"/>
    </xf>
    <xf numFmtId="0" fontId="4" fillId="0" borderId="112" xfId="0" applyFont="1" applyBorder="1" applyAlignment="1">
      <alignment horizontal="center" vertical="center" wrapText="1"/>
    </xf>
    <xf numFmtId="0" fontId="4" fillId="0" borderId="103" xfId="0" applyFont="1" applyBorder="1" applyAlignment="1">
      <alignment horizontal="center" vertical="center" wrapText="1"/>
    </xf>
    <xf numFmtId="0" fontId="4" fillId="29" borderId="112" xfId="0" applyFont="1" applyFill="1" applyBorder="1" applyAlignment="1">
      <alignment horizontal="center" vertical="center" wrapText="1"/>
    </xf>
    <xf numFmtId="0" fontId="4" fillId="29" borderId="103" xfId="0" applyFont="1" applyFill="1" applyBorder="1" applyAlignment="1">
      <alignment horizontal="center" vertical="center" wrapText="1"/>
    </xf>
    <xf numFmtId="2" fontId="42" fillId="0" borderId="112" xfId="0" applyNumberFormat="1" applyFont="1" applyBorder="1" applyAlignment="1">
      <alignment horizontal="center" vertical="center" wrapText="1"/>
    </xf>
    <xf numFmtId="0" fontId="4" fillId="28" borderId="103" xfId="0" applyFont="1" applyFill="1" applyBorder="1" applyAlignment="1">
      <alignment horizontal="center" vertical="center" wrapText="1"/>
    </xf>
    <xf numFmtId="2" fontId="42" fillId="0" borderId="112" xfId="0" applyNumberFormat="1" applyFont="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pplyAlignment="1">
      <alignment vertical="center"/>
    </xf>
    <xf numFmtId="0" fontId="3" fillId="27" borderId="114" xfId="0" applyFont="1" applyFill="1" applyBorder="1" applyAlignment="1">
      <alignment horizontal="left" vertical="center"/>
    </xf>
    <xf numFmtId="0" fontId="3" fillId="27" borderId="115" xfId="0" applyFont="1" applyFill="1" applyBorder="1" applyAlignment="1">
      <alignment horizontal="center" vertical="center"/>
    </xf>
    <xf numFmtId="0" fontId="4" fillId="0" borderId="124" xfId="0" applyFont="1" applyBorder="1" applyAlignment="1">
      <alignment horizontal="center" vertical="center"/>
    </xf>
    <xf numFmtId="0" fontId="4" fillId="2" borderId="124" xfId="0" applyFont="1" applyFill="1" applyBorder="1" applyAlignment="1">
      <alignment horizontal="center" vertical="center"/>
    </xf>
    <xf numFmtId="0" fontId="44" fillId="28" borderId="112" xfId="0" applyFont="1" applyFill="1" applyBorder="1" applyAlignment="1">
      <alignment horizontal="center" vertical="center" wrapText="1"/>
    </xf>
    <xf numFmtId="0" fontId="4" fillId="27" borderId="115" xfId="0" applyFont="1" applyFill="1" applyBorder="1" applyAlignment="1">
      <alignment vertical="center"/>
    </xf>
    <xf numFmtId="0" fontId="3" fillId="0" borderId="124" xfId="0" applyFont="1" applyBorder="1" applyAlignment="1">
      <alignment horizontal="center" vertical="center"/>
    </xf>
    <xf numFmtId="0" fontId="44" fillId="29" borderId="103" xfId="0" applyFont="1" applyFill="1" applyBorder="1" applyAlignment="1">
      <alignment horizontal="center" vertical="center" wrapText="1"/>
    </xf>
    <xf numFmtId="0" fontId="44" fillId="28" borderId="103" xfId="0" applyFont="1" applyFill="1" applyBorder="1" applyAlignment="1">
      <alignment horizontal="center" vertical="center" wrapText="1"/>
    </xf>
    <xf numFmtId="0" fontId="39" fillId="31" borderId="112" xfId="0" applyFont="1" applyFill="1" applyBorder="1" applyAlignment="1">
      <alignment horizontal="center" vertical="center"/>
    </xf>
    <xf numFmtId="0" fontId="4" fillId="2" borderId="103" xfId="0" applyFont="1" applyFill="1" applyBorder="1" applyAlignment="1">
      <alignment horizontal="center" vertical="center"/>
    </xf>
    <xf numFmtId="0" fontId="44" fillId="34" borderId="103" xfId="0" applyFont="1" applyFill="1" applyBorder="1" applyAlignment="1">
      <alignment horizontal="center" vertical="center"/>
    </xf>
    <xf numFmtId="0" fontId="3" fillId="27" borderId="121" xfId="0" applyFont="1" applyFill="1" applyBorder="1" applyAlignment="1">
      <alignment horizontal="center" vertical="center" wrapText="1"/>
    </xf>
    <xf numFmtId="0" fontId="35" fillId="28" borderId="112" xfId="0" applyFont="1" applyFill="1" applyBorder="1" applyAlignment="1">
      <alignment horizontal="center" vertical="center" wrapText="1"/>
    </xf>
    <xf numFmtId="0" fontId="39" fillId="31" borderId="126" xfId="0" applyFont="1" applyFill="1" applyBorder="1" applyAlignment="1">
      <alignment horizontal="center" vertical="center"/>
    </xf>
    <xf numFmtId="0" fontId="42" fillId="31" borderId="127" xfId="0" applyFont="1" applyFill="1" applyBorder="1" applyAlignment="1">
      <alignment horizontal="center" vertical="center"/>
    </xf>
    <xf numFmtId="2" fontId="42" fillId="31" borderId="127" xfId="0" applyNumberFormat="1" applyFont="1" applyFill="1" applyBorder="1" applyAlignment="1">
      <alignment horizontal="center" vertical="center"/>
    </xf>
    <xf numFmtId="0" fontId="39" fillId="31" borderId="128" xfId="0" applyFont="1" applyFill="1" applyBorder="1" applyAlignment="1">
      <alignment horizontal="center" vertical="center" wrapText="1"/>
    </xf>
    <xf numFmtId="0" fontId="35" fillId="29" borderId="112" xfId="0" applyFont="1" applyFill="1" applyBorder="1" applyAlignment="1">
      <alignment horizontal="center" vertical="center" wrapText="1"/>
    </xf>
    <xf numFmtId="0" fontId="3" fillId="27" borderId="127" xfId="0" applyFont="1" applyFill="1" applyBorder="1" applyAlignment="1">
      <alignment horizontal="center" vertical="center" wrapText="1"/>
    </xf>
    <xf numFmtId="0" fontId="39" fillId="31" borderId="130" xfId="0" applyFont="1" applyFill="1" applyBorder="1" applyAlignment="1">
      <alignment horizontal="center" vertical="center"/>
    </xf>
    <xf numFmtId="0" fontId="42" fillId="31" borderId="131" xfId="0" applyFont="1" applyFill="1" applyBorder="1" applyAlignment="1">
      <alignment horizontal="center" vertical="center"/>
    </xf>
    <xf numFmtId="2" fontId="42" fillId="31" borderId="131" xfId="0" applyNumberFormat="1" applyFont="1" applyFill="1" applyBorder="1" applyAlignment="1">
      <alignment horizontal="center" vertical="center"/>
    </xf>
    <xf numFmtId="0" fontId="39" fillId="31" borderId="132" xfId="0" applyFont="1" applyFill="1" applyBorder="1" applyAlignment="1">
      <alignment horizontal="center" vertical="center" wrapText="1"/>
    </xf>
    <xf numFmtId="0" fontId="73" fillId="38" borderId="112" xfId="0" applyFont="1" applyFill="1" applyBorder="1" applyAlignment="1">
      <alignment horizontal="center" vertical="center" wrapText="1"/>
    </xf>
    <xf numFmtId="0" fontId="73" fillId="38" borderId="112" xfId="0" applyFont="1" applyFill="1" applyBorder="1" applyAlignment="1">
      <alignment horizontal="left" vertical="center" wrapText="1"/>
    </xf>
    <xf numFmtId="0" fontId="73" fillId="31" borderId="112" xfId="0" applyFont="1" applyFill="1" applyBorder="1" applyAlignment="1">
      <alignment horizontal="center" vertical="center" wrapText="1"/>
    </xf>
    <xf numFmtId="0" fontId="73" fillId="37" borderId="112" xfId="0" applyFont="1" applyFill="1" applyBorder="1" applyAlignment="1">
      <alignment horizontal="center" vertical="center" wrapText="1"/>
    </xf>
    <xf numFmtId="0" fontId="73" fillId="41" borderId="112" xfId="0" applyFont="1" applyFill="1" applyBorder="1" applyAlignment="1">
      <alignment horizontal="center" vertical="center" wrapText="1"/>
    </xf>
    <xf numFmtId="0" fontId="73" fillId="40" borderId="112" xfId="0" applyFont="1" applyFill="1" applyBorder="1" applyAlignment="1">
      <alignment horizontal="center" vertical="center" wrapText="1"/>
    </xf>
    <xf numFmtId="0" fontId="73" fillId="29" borderId="112" xfId="0" applyFont="1" applyFill="1" applyBorder="1" applyAlignment="1">
      <alignment horizontal="center" vertical="center" wrapText="1"/>
    </xf>
    <xf numFmtId="0" fontId="73" fillId="0" borderId="112" xfId="0" applyFont="1" applyBorder="1" applyAlignment="1">
      <alignment vertical="center"/>
    </xf>
    <xf numFmtId="0" fontId="73" fillId="39" borderId="112" xfId="0" applyFont="1" applyFill="1" applyBorder="1" applyAlignment="1">
      <alignment horizontal="center" vertical="center" wrapText="1"/>
    </xf>
    <xf numFmtId="0" fontId="73" fillId="0" borderId="112" xfId="0" applyFont="1" applyBorder="1" applyAlignment="1">
      <alignment horizontal="center" vertical="center"/>
    </xf>
    <xf numFmtId="0" fontId="73" fillId="36" borderId="112" xfId="0" applyFont="1" applyFill="1" applyBorder="1" applyAlignment="1">
      <alignment horizontal="center" vertical="center" wrapText="1"/>
    </xf>
    <xf numFmtId="0" fontId="73" fillId="33" borderId="112" xfId="0" applyFont="1" applyFill="1" applyBorder="1" applyAlignment="1">
      <alignment horizontal="center" vertical="center"/>
    </xf>
    <xf numFmtId="0" fontId="73" fillId="42" borderId="112" xfId="0" applyFont="1" applyFill="1" applyBorder="1" applyAlignment="1">
      <alignment horizontal="center" vertical="center" wrapText="1"/>
    </xf>
    <xf numFmtId="0" fontId="73" fillId="42" borderId="112" xfId="0" applyFont="1" applyFill="1" applyBorder="1" applyAlignment="1">
      <alignment horizontal="left" vertical="center"/>
    </xf>
    <xf numFmtId="0" fontId="73" fillId="42" borderId="112" xfId="0" applyFont="1" applyFill="1" applyBorder="1" applyAlignment="1">
      <alignment vertical="center"/>
    </xf>
    <xf numFmtId="0" fontId="73" fillId="42" borderId="112" xfId="0" applyFont="1" applyFill="1" applyBorder="1" applyAlignment="1">
      <alignment horizontal="center" vertical="center"/>
    </xf>
    <xf numFmtId="0" fontId="73" fillId="42" borderId="112" xfId="1" applyFont="1" applyFill="1" applyBorder="1" applyAlignment="1">
      <alignment horizontal="center" vertical="center" wrapText="1"/>
    </xf>
    <xf numFmtId="0" fontId="73" fillId="42" borderId="112" xfId="1" applyFont="1" applyFill="1" applyBorder="1" applyAlignment="1">
      <alignment horizontal="left" vertical="center" wrapText="1"/>
    </xf>
    <xf numFmtId="0" fontId="73" fillId="29" borderId="112" xfId="1" applyFont="1" applyFill="1" applyBorder="1" applyAlignment="1">
      <alignment horizontal="left" vertical="center"/>
    </xf>
    <xf numFmtId="0" fontId="72" fillId="29" borderId="112" xfId="1" applyFont="1" applyFill="1" applyBorder="1" applyAlignment="1">
      <alignment horizontal="center" vertical="center" wrapText="1"/>
    </xf>
    <xf numFmtId="0" fontId="72" fillId="29" borderId="112" xfId="1" applyFont="1" applyFill="1" applyBorder="1" applyAlignment="1">
      <alignment horizontal="left" vertical="center" wrapText="1"/>
    </xf>
    <xf numFmtId="0" fontId="72" fillId="29" borderId="112" xfId="0" applyFont="1" applyFill="1" applyBorder="1" applyAlignment="1">
      <alignment horizontal="center" vertical="center"/>
    </xf>
    <xf numFmtId="0" fontId="72" fillId="29" borderId="112" xfId="0" applyFont="1" applyFill="1" applyBorder="1" applyAlignment="1">
      <alignment vertical="center"/>
    </xf>
    <xf numFmtId="0" fontId="73" fillId="29" borderId="112" xfId="0" applyFont="1" applyFill="1" applyBorder="1" applyAlignment="1">
      <alignment horizontal="center" vertical="center"/>
    </xf>
    <xf numFmtId="0" fontId="72" fillId="0" borderId="112" xfId="0" applyFont="1" applyBorder="1" applyAlignment="1">
      <alignment horizontal="center" vertical="center"/>
    </xf>
    <xf numFmtId="0" fontId="72" fillId="0" borderId="112" xfId="0" applyFont="1" applyBorder="1" applyAlignment="1">
      <alignment horizontal="left" vertical="center"/>
    </xf>
    <xf numFmtId="0" fontId="72" fillId="0" borderId="112" xfId="0" applyFont="1" applyBorder="1" applyAlignment="1">
      <alignment vertical="center"/>
    </xf>
    <xf numFmtId="0" fontId="72" fillId="3" borderId="112" xfId="0" applyFont="1" applyFill="1" applyBorder="1" applyAlignment="1">
      <alignment horizontal="center" vertical="center"/>
    </xf>
    <xf numFmtId="0" fontId="73" fillId="3" borderId="112" xfId="0" applyFont="1" applyFill="1" applyBorder="1" applyAlignment="1">
      <alignment horizontal="center" vertical="center"/>
    </xf>
    <xf numFmtId="0" fontId="72" fillId="35" borderId="112" xfId="0" applyFont="1" applyFill="1" applyBorder="1" applyAlignment="1">
      <alignment horizontal="center" vertical="center"/>
    </xf>
    <xf numFmtId="165" fontId="72" fillId="0" borderId="112" xfId="0" applyNumberFormat="1" applyFont="1" applyBorder="1" applyAlignment="1">
      <alignment horizontal="center" vertical="center"/>
    </xf>
    <xf numFmtId="0" fontId="73" fillId="0" borderId="112" xfId="0" applyFont="1" applyBorder="1" applyAlignment="1">
      <alignment horizontal="center" vertical="top"/>
    </xf>
    <xf numFmtId="0" fontId="73" fillId="0" borderId="112" xfId="1" applyFont="1" applyBorder="1" applyAlignment="1">
      <alignment horizontal="center" vertical="center" wrapText="1"/>
    </xf>
    <xf numFmtId="0" fontId="73" fillId="35" borderId="112" xfId="0" applyFont="1" applyFill="1" applyBorder="1" applyAlignment="1">
      <alignment vertical="center" wrapText="1"/>
    </xf>
    <xf numFmtId="0" fontId="73" fillId="35" borderId="112" xfId="0" applyFont="1" applyFill="1" applyBorder="1" applyAlignment="1">
      <alignment horizontal="center" vertical="center" wrapText="1"/>
    </xf>
    <xf numFmtId="1" fontId="73" fillId="0" borderId="112" xfId="0" applyNumberFormat="1" applyFont="1" applyBorder="1" applyAlignment="1">
      <alignment horizontal="center" vertical="center"/>
    </xf>
    <xf numFmtId="0" fontId="73" fillId="0" borderId="112" xfId="0" applyFont="1" applyBorder="1" applyAlignment="1">
      <alignment horizontal="left" vertical="center"/>
    </xf>
    <xf numFmtId="0" fontId="1" fillId="30" borderId="112" xfId="0" applyFont="1" applyFill="1" applyBorder="1" applyAlignment="1">
      <alignment horizontal="center" vertical="center" wrapText="1"/>
    </xf>
    <xf numFmtId="0" fontId="43" fillId="47" borderId="112" xfId="0" applyFont="1" applyFill="1" applyBorder="1" applyAlignment="1">
      <alignment horizontal="center" vertical="center" wrapText="1"/>
    </xf>
    <xf numFmtId="0" fontId="63" fillId="35" borderId="112" xfId="0" applyFont="1" applyFill="1" applyBorder="1" applyAlignment="1">
      <alignment horizontal="center" vertical="center" wrapText="1"/>
    </xf>
    <xf numFmtId="0" fontId="63" fillId="35" borderId="112" xfId="0" applyFont="1" applyFill="1" applyBorder="1" applyAlignment="1">
      <alignment horizontal="left" vertical="center" wrapText="1"/>
    </xf>
    <xf numFmtId="0" fontId="63" fillId="35" borderId="112" xfId="0" applyFont="1" applyFill="1" applyBorder="1" applyAlignment="1">
      <alignment vertical="center" wrapText="1"/>
    </xf>
    <xf numFmtId="0" fontId="63" fillId="35" borderId="112" xfId="58" applyFont="1" applyFill="1" applyBorder="1" applyAlignment="1">
      <alignment horizontal="center" vertical="center" wrapText="1"/>
    </xf>
    <xf numFmtId="2" fontId="64" fillId="35" borderId="112" xfId="0" applyNumberFormat="1" applyFont="1" applyFill="1" applyBorder="1" applyAlignment="1">
      <alignment horizontal="center" vertical="center"/>
    </xf>
    <xf numFmtId="0" fontId="64" fillId="35" borderId="112" xfId="0" applyFont="1" applyFill="1" applyBorder="1" applyAlignment="1">
      <alignment horizontal="center" vertical="center" wrapText="1"/>
    </xf>
    <xf numFmtId="2" fontId="64" fillId="35" borderId="112" xfId="1" applyNumberFormat="1" applyFont="1" applyFill="1" applyBorder="1" applyAlignment="1">
      <alignment horizontal="center" vertical="center"/>
    </xf>
    <xf numFmtId="0" fontId="64" fillId="35" borderId="112" xfId="0" applyFont="1" applyFill="1" applyBorder="1" applyAlignment="1">
      <alignment horizontal="center" vertical="center"/>
    </xf>
    <xf numFmtId="0" fontId="64" fillId="35" borderId="112" xfId="1" applyFont="1" applyFill="1" applyBorder="1" applyAlignment="1">
      <alignment horizontal="center" vertical="center"/>
    </xf>
    <xf numFmtId="166" fontId="64" fillId="35" borderId="112" xfId="1" applyNumberFormat="1" applyFont="1" applyFill="1" applyBorder="1" applyAlignment="1">
      <alignment horizontal="center" vertical="center"/>
    </xf>
    <xf numFmtId="0" fontId="64" fillId="35" borderId="112" xfId="51" applyFont="1" applyFill="1" applyBorder="1" applyAlignment="1">
      <alignment horizontal="center" vertical="center"/>
    </xf>
    <xf numFmtId="165" fontId="64" fillId="35" borderId="112" xfId="0" applyNumberFormat="1" applyFont="1" applyFill="1" applyBorder="1" applyAlignment="1">
      <alignment horizontal="center" vertical="center"/>
    </xf>
    <xf numFmtId="1" fontId="64" fillId="35" borderId="112" xfId="0" applyNumberFormat="1" applyFont="1" applyFill="1" applyBorder="1" applyAlignment="1">
      <alignment horizontal="center" vertical="center"/>
    </xf>
    <xf numFmtId="165" fontId="64" fillId="35" borderId="114" xfId="0" applyNumberFormat="1" applyFont="1" applyFill="1" applyBorder="1" applyAlignment="1">
      <alignment horizontal="center" vertical="center"/>
    </xf>
    <xf numFmtId="0" fontId="64" fillId="35" borderId="114" xfId="0" applyFont="1" applyFill="1" applyBorder="1" applyAlignment="1">
      <alignment horizontal="center" vertical="center"/>
    </xf>
    <xf numFmtId="0" fontId="36" fillId="29" borderId="112" xfId="0" quotePrefix="1" applyFont="1" applyFill="1" applyBorder="1" applyAlignment="1">
      <alignment vertical="center" wrapText="1"/>
    </xf>
    <xf numFmtId="0" fontId="36" fillId="29" borderId="112" xfId="0" quotePrefix="1" applyFont="1" applyFill="1" applyBorder="1" applyAlignment="1">
      <alignment horizontal="center" vertical="center" wrapText="1"/>
    </xf>
    <xf numFmtId="2" fontId="36" fillId="29" borderId="112" xfId="0" applyNumberFormat="1" applyFont="1" applyFill="1" applyBorder="1" applyAlignment="1">
      <alignment horizontal="center" vertical="center"/>
    </xf>
    <xf numFmtId="1" fontId="36" fillId="29" borderId="112" xfId="0" applyNumberFormat="1" applyFont="1" applyFill="1" applyBorder="1" applyAlignment="1">
      <alignment horizontal="center" vertical="center"/>
    </xf>
    <xf numFmtId="0" fontId="36" fillId="29" borderId="112" xfId="0" applyFont="1" applyFill="1" applyBorder="1" applyAlignment="1">
      <alignment horizontal="center" vertical="center"/>
    </xf>
    <xf numFmtId="2" fontId="36" fillId="29" borderId="112" xfId="1" applyNumberFormat="1" applyFont="1" applyFill="1" applyBorder="1" applyAlignment="1">
      <alignment horizontal="center" vertical="center"/>
    </xf>
    <xf numFmtId="0" fontId="36" fillId="29" borderId="112" xfId="1" applyFont="1" applyFill="1" applyBorder="1" applyAlignment="1">
      <alignment horizontal="center" vertical="center"/>
    </xf>
    <xf numFmtId="166" fontId="36" fillId="29" borderId="112" xfId="1" applyNumberFormat="1" applyFont="1" applyFill="1" applyBorder="1" applyAlignment="1">
      <alignment horizontal="center" vertical="center"/>
    </xf>
    <xf numFmtId="167" fontId="36" fillId="29" borderId="112" xfId="1" applyNumberFormat="1" applyFont="1" applyFill="1" applyBorder="1" applyAlignment="1">
      <alignment horizontal="center" vertical="center"/>
    </xf>
    <xf numFmtId="167" fontId="36" fillId="29" borderId="112" xfId="51" applyNumberFormat="1" applyFont="1" applyFill="1" applyBorder="1" applyAlignment="1">
      <alignment horizontal="center" vertical="center"/>
    </xf>
    <xf numFmtId="165" fontId="36" fillId="29" borderId="112" xfId="0" applyNumberFormat="1" applyFont="1" applyFill="1" applyBorder="1" applyAlignment="1">
      <alignment horizontal="center" vertical="center"/>
    </xf>
    <xf numFmtId="165" fontId="36" fillId="29" borderId="114" xfId="0" applyNumberFormat="1" applyFont="1" applyFill="1" applyBorder="1" applyAlignment="1">
      <alignment horizontal="center" vertical="center"/>
    </xf>
    <xf numFmtId="0" fontId="36" fillId="29" borderId="114" xfId="0" applyFont="1" applyFill="1" applyBorder="1" applyAlignment="1">
      <alignment horizontal="center" vertical="center"/>
    </xf>
    <xf numFmtId="0" fontId="43" fillId="29" borderId="112" xfId="0" applyFont="1" applyFill="1" applyBorder="1" applyAlignment="1">
      <alignment horizontal="center" vertical="center"/>
    </xf>
    <xf numFmtId="0" fontId="28" fillId="29" borderId="114" xfId="0" applyFont="1" applyFill="1" applyBorder="1" applyAlignment="1">
      <alignment horizontal="center" vertical="center" wrapText="1"/>
    </xf>
    <xf numFmtId="0" fontId="28" fillId="29" borderId="112" xfId="0" applyFont="1" applyFill="1" applyBorder="1" applyAlignment="1">
      <alignment horizontal="center" vertical="center" wrapText="1"/>
    </xf>
    <xf numFmtId="0" fontId="28" fillId="0" borderId="114" xfId="0" applyFont="1" applyBorder="1" applyAlignment="1">
      <alignment horizontal="center" vertical="center"/>
    </xf>
    <xf numFmtId="2" fontId="0" fillId="3" borderId="112" xfId="0" applyNumberFormat="1" applyFill="1" applyBorder="1" applyAlignment="1">
      <alignment horizontal="center" vertical="center" wrapText="1"/>
    </xf>
    <xf numFmtId="0" fontId="1" fillId="0" borderId="127" xfId="0" applyFont="1" applyBorder="1" applyAlignment="1">
      <alignment horizontal="center" vertical="center" wrapText="1"/>
    </xf>
    <xf numFmtId="0" fontId="1" fillId="29" borderId="127" xfId="0" applyFont="1" applyFill="1" applyBorder="1" applyAlignment="1">
      <alignment horizontal="center" vertical="center" wrapText="1"/>
    </xf>
    <xf numFmtId="0" fontId="1" fillId="3" borderId="112" xfId="0" quotePrefix="1" applyFont="1" applyFill="1" applyBorder="1" applyAlignment="1">
      <alignment vertical="center" wrapText="1"/>
    </xf>
    <xf numFmtId="0" fontId="50" fillId="29" borderId="112" xfId="0" applyFont="1" applyFill="1" applyBorder="1" applyAlignment="1">
      <alignment horizontal="left" vertical="center" wrapText="1"/>
    </xf>
    <xf numFmtId="0" fontId="50" fillId="29" borderId="112" xfId="0" quotePrefix="1" applyFont="1" applyFill="1" applyBorder="1" applyAlignment="1">
      <alignment vertical="center" wrapText="1"/>
    </xf>
    <xf numFmtId="0" fontId="59" fillId="44" borderId="112" xfId="0" applyFont="1" applyFill="1" applyBorder="1" applyAlignment="1">
      <alignment horizontal="left" vertical="center"/>
    </xf>
    <xf numFmtId="0" fontId="59" fillId="44" borderId="112" xfId="0" applyFont="1" applyFill="1" applyBorder="1" applyAlignment="1">
      <alignment horizontal="left" vertical="center" wrapText="1"/>
    </xf>
    <xf numFmtId="0" fontId="59" fillId="44" borderId="112" xfId="0" applyFont="1" applyFill="1" applyBorder="1" applyAlignment="1">
      <alignment horizontal="center" vertical="center" wrapText="1"/>
    </xf>
    <xf numFmtId="165" fontId="59" fillId="0" borderId="112" xfId="1" applyNumberFormat="1" applyFont="1" applyBorder="1" applyAlignment="1">
      <alignment horizontal="center" vertical="center" wrapText="1"/>
    </xf>
    <xf numFmtId="0" fontId="43" fillId="0" borderId="112" xfId="0" applyFont="1" applyBorder="1" applyAlignment="1">
      <alignment horizontal="center" vertical="center"/>
    </xf>
    <xf numFmtId="0" fontId="51" fillId="35" borderId="112" xfId="1" applyFont="1" applyFill="1" applyBorder="1" applyAlignment="1">
      <alignment horizontal="center" vertical="center" wrapText="1"/>
    </xf>
    <xf numFmtId="0" fontId="28" fillId="35" borderId="112" xfId="0" applyFont="1" applyFill="1" applyBorder="1" applyAlignment="1">
      <alignment horizontal="center" vertical="center" wrapText="1"/>
    </xf>
    <xf numFmtId="0" fontId="47" fillId="0" borderId="112" xfId="0" applyFont="1" applyBorder="1" applyAlignment="1">
      <alignment horizontal="left" vertical="center" wrapText="1"/>
    </xf>
    <xf numFmtId="0" fontId="1" fillId="0" borderId="112" xfId="0" quotePrefix="1" applyFont="1" applyBorder="1" applyAlignment="1">
      <alignment horizontal="center" vertical="center" wrapText="1"/>
    </xf>
    <xf numFmtId="0" fontId="1" fillId="3" borderId="112" xfId="0" applyFont="1" applyFill="1" applyBorder="1" applyAlignment="1">
      <alignment vertical="center"/>
    </xf>
    <xf numFmtId="0" fontId="61" fillId="0" borderId="112" xfId="0" applyFont="1" applyBorder="1" applyAlignment="1">
      <alignment horizontal="center" vertical="center"/>
    </xf>
    <xf numFmtId="0" fontId="1" fillId="2" borderId="112" xfId="0" quotePrefix="1" applyFont="1" applyFill="1" applyBorder="1" applyAlignment="1">
      <alignment horizontal="center" vertical="center" wrapText="1"/>
    </xf>
    <xf numFmtId="0" fontId="51" fillId="0" borderId="112" xfId="0" applyFont="1" applyBorder="1" applyAlignment="1">
      <alignment horizontal="left" vertical="center" wrapText="1"/>
    </xf>
    <xf numFmtId="0" fontId="1" fillId="0" borderId="112" xfId="1" applyBorder="1" applyAlignment="1">
      <alignment vertical="center"/>
    </xf>
    <xf numFmtId="2" fontId="1" fillId="0" borderId="112" xfId="1" applyNumberFormat="1" applyBorder="1" applyAlignment="1">
      <alignment vertical="center"/>
    </xf>
    <xf numFmtId="0" fontId="1" fillId="0" borderId="127" xfId="0" applyFont="1" applyBorder="1" applyAlignment="1">
      <alignment vertical="center"/>
    </xf>
    <xf numFmtId="0" fontId="1" fillId="0" borderId="127" xfId="0" applyFont="1" applyBorder="1" applyAlignment="1">
      <alignment horizontal="left" vertical="center" wrapText="1"/>
    </xf>
    <xf numFmtId="0" fontId="1" fillId="0" borderId="127" xfId="0" applyFont="1" applyBorder="1" applyAlignment="1">
      <alignment vertical="center" wrapText="1"/>
    </xf>
    <xf numFmtId="2" fontId="1" fillId="0" borderId="127" xfId="0" applyNumberFormat="1" applyFont="1" applyBorder="1" applyAlignment="1">
      <alignment horizontal="center" vertical="center"/>
    </xf>
    <xf numFmtId="0" fontId="1" fillId="0" borderId="127" xfId="0" applyFont="1" applyBorder="1" applyAlignment="1">
      <alignment horizontal="center" vertical="center"/>
    </xf>
    <xf numFmtId="2" fontId="1" fillId="0" borderId="127" xfId="1" applyNumberFormat="1" applyBorder="1" applyAlignment="1">
      <alignment horizontal="center" vertical="center"/>
    </xf>
    <xf numFmtId="0" fontId="1" fillId="0" borderId="127" xfId="1" applyBorder="1" applyAlignment="1">
      <alignment horizontal="center" vertical="center"/>
    </xf>
    <xf numFmtId="166" fontId="1" fillId="0" borderId="127" xfId="1" applyNumberFormat="1" applyBorder="1" applyAlignment="1">
      <alignment horizontal="center" vertical="center"/>
    </xf>
    <xf numFmtId="167" fontId="1" fillId="0" borderId="127" xfId="51" applyNumberFormat="1" applyFont="1" applyBorder="1" applyAlignment="1">
      <alignment horizontal="center" vertical="center"/>
    </xf>
    <xf numFmtId="165" fontId="1" fillId="0" borderId="127" xfId="0" applyNumberFormat="1" applyFont="1" applyBorder="1" applyAlignment="1">
      <alignment horizontal="center" vertical="center"/>
    </xf>
    <xf numFmtId="1" fontId="1" fillId="0" borderId="127" xfId="0" applyNumberFormat="1" applyFont="1" applyBorder="1" applyAlignment="1">
      <alignment horizontal="center" vertical="center"/>
    </xf>
    <xf numFmtId="165" fontId="1" fillId="0" borderId="134" xfId="0" applyNumberFormat="1" applyFont="1" applyBorder="1" applyAlignment="1">
      <alignment horizontal="center" vertical="center"/>
    </xf>
    <xf numFmtId="0" fontId="1" fillId="0" borderId="134" xfId="0" applyFont="1" applyBorder="1" applyAlignment="1">
      <alignment horizontal="center" vertical="center"/>
    </xf>
    <xf numFmtId="0" fontId="28" fillId="0" borderId="134" xfId="0" applyFont="1" applyBorder="1" applyAlignment="1">
      <alignment horizontal="center" vertical="center" wrapText="1"/>
    </xf>
    <xf numFmtId="0" fontId="28" fillId="0" borderId="127" xfId="0" applyFont="1" applyBorder="1" applyAlignment="1">
      <alignment horizontal="center" vertical="center" wrapText="1"/>
    </xf>
    <xf numFmtId="0" fontId="59" fillId="2" borderId="112" xfId="0" quotePrefix="1" applyFont="1" applyFill="1" applyBorder="1" applyAlignment="1">
      <alignment vertical="center" wrapText="1"/>
    </xf>
    <xf numFmtId="0" fontId="59" fillId="2" borderId="112" xfId="0" quotePrefix="1" applyFont="1" applyFill="1" applyBorder="1" applyAlignment="1">
      <alignment horizontal="left" vertical="center" wrapText="1"/>
    </xf>
    <xf numFmtId="0" fontId="59" fillId="0" borderId="112" xfId="0" quotePrefix="1" applyFont="1" applyBorder="1" applyAlignment="1">
      <alignment vertical="center" wrapText="1"/>
    </xf>
    <xf numFmtId="0" fontId="65" fillId="0" borderId="112" xfId="0" applyFont="1" applyBorder="1" applyAlignment="1">
      <alignment vertical="center"/>
    </xf>
    <xf numFmtId="0" fontId="74" fillId="0" borderId="112" xfId="0" applyFont="1" applyBorder="1" applyAlignment="1">
      <alignment horizontal="center" vertical="center"/>
    </xf>
    <xf numFmtId="0" fontId="59" fillId="0" borderId="112" xfId="0" applyFont="1" applyBorder="1" applyAlignment="1">
      <alignment vertical="center"/>
    </xf>
    <xf numFmtId="0" fontId="64" fillId="0" borderId="114" xfId="0" applyFont="1" applyBorder="1" applyAlignment="1">
      <alignment horizontal="center" vertical="center"/>
    </xf>
    <xf numFmtId="0" fontId="64" fillId="0" borderId="112" xfId="0" applyFont="1" applyBorder="1" applyAlignment="1">
      <alignment horizontal="center" vertical="center"/>
    </xf>
    <xf numFmtId="0" fontId="1" fillId="0" borderId="112" xfId="51" applyFont="1" applyBorder="1" applyAlignment="1">
      <alignment horizontal="center" vertical="center"/>
    </xf>
    <xf numFmtId="0" fontId="1" fillId="31" borderId="112" xfId="0" applyFont="1" applyFill="1" applyBorder="1" applyAlignment="1">
      <alignment horizontal="left" vertical="center" wrapText="1"/>
    </xf>
    <xf numFmtId="0" fontId="1" fillId="31" borderId="112" xfId="0" quotePrefix="1" applyFont="1" applyFill="1" applyBorder="1" applyAlignment="1">
      <alignment vertical="center" wrapText="1"/>
    </xf>
    <xf numFmtId="0" fontId="28" fillId="31" borderId="112" xfId="0" applyFont="1" applyFill="1" applyBorder="1" applyAlignment="1">
      <alignment horizontal="center" vertical="center" wrapText="1"/>
    </xf>
    <xf numFmtId="0" fontId="36" fillId="30" borderId="112" xfId="0" applyFont="1" applyFill="1" applyBorder="1" applyAlignment="1">
      <alignment horizontal="left" vertical="center" wrapText="1"/>
    </xf>
    <xf numFmtId="0" fontId="36" fillId="0" borderId="112" xfId="0" applyFont="1" applyBorder="1" applyAlignment="1">
      <alignment horizontal="center" vertical="center" wrapText="1"/>
    </xf>
    <xf numFmtId="0" fontId="80" fillId="30" borderId="112" xfId="0" applyFont="1" applyFill="1" applyBorder="1" applyAlignment="1">
      <alignment horizontal="center" vertical="center" wrapText="1"/>
    </xf>
    <xf numFmtId="0" fontId="43" fillId="30" borderId="134" xfId="0" applyFont="1" applyFill="1" applyBorder="1" applyAlignment="1">
      <alignment horizontal="center" vertical="center" wrapText="1"/>
    </xf>
    <xf numFmtId="0" fontId="43" fillId="0" borderId="112" xfId="0" applyFont="1" applyBorder="1" applyAlignment="1">
      <alignment horizontal="center" vertical="center" wrapText="1"/>
    </xf>
    <xf numFmtId="0" fontId="43" fillId="0" borderId="114" xfId="0" applyFont="1" applyBorder="1" applyAlignment="1">
      <alignment horizontal="center" vertical="center" wrapText="1"/>
    </xf>
    <xf numFmtId="167" fontId="79" fillId="35" borderId="112" xfId="51" applyNumberFormat="1" applyFont="1" applyFill="1" applyBorder="1" applyAlignment="1">
      <alignment horizontal="center" vertical="center"/>
    </xf>
    <xf numFmtId="167" fontId="61" fillId="0" borderId="112" xfId="1" applyNumberFormat="1" applyFont="1" applyBorder="1" applyAlignment="1">
      <alignment horizontal="center" vertical="center"/>
    </xf>
    <xf numFmtId="0" fontId="47" fillId="29" borderId="112" xfId="0" applyFont="1" applyFill="1" applyBorder="1" applyAlignment="1">
      <alignment horizontal="left" vertical="center" wrapText="1"/>
    </xf>
    <xf numFmtId="167" fontId="79" fillId="29" borderId="112" xfId="51" applyNumberFormat="1" applyFont="1" applyFill="1" applyBorder="1" applyAlignment="1">
      <alignment horizontal="center" vertical="center"/>
    </xf>
    <xf numFmtId="167" fontId="79" fillId="0" borderId="112" xfId="51" applyNumberFormat="1" applyFont="1" applyBorder="1" applyAlignment="1">
      <alignment horizontal="center" vertical="center"/>
    </xf>
    <xf numFmtId="165" fontId="0" fillId="0" borderId="112" xfId="1" applyNumberFormat="1" applyFont="1" applyBorder="1" applyAlignment="1">
      <alignment horizontal="center" vertical="center" wrapText="1"/>
    </xf>
    <xf numFmtId="167" fontId="76" fillId="0" borderId="112" xfId="51" applyNumberFormat="1" applyFont="1" applyBorder="1" applyAlignment="1">
      <alignment horizontal="center" vertical="center"/>
    </xf>
    <xf numFmtId="167" fontId="76" fillId="3" borderId="112" xfId="51" applyNumberFormat="1" applyFont="1" applyFill="1" applyBorder="1" applyAlignment="1">
      <alignment horizontal="center" vertical="center"/>
    </xf>
    <xf numFmtId="0" fontId="41" fillId="3" borderId="114" xfId="0" applyFont="1" applyFill="1" applyBorder="1" applyAlignment="1">
      <alignment horizontal="center" vertical="center"/>
    </xf>
    <xf numFmtId="167" fontId="81" fillId="35" borderId="112" xfId="51" applyNumberFormat="1" applyFont="1" applyFill="1" applyBorder="1" applyAlignment="1">
      <alignment horizontal="center" vertical="center"/>
    </xf>
    <xf numFmtId="0" fontId="1" fillId="2" borderId="112" xfId="0" quotePrefix="1" applyFont="1" applyFill="1" applyBorder="1" applyAlignment="1">
      <alignment vertical="center"/>
    </xf>
    <xf numFmtId="0" fontId="57" fillId="35" borderId="112" xfId="0" applyFont="1" applyFill="1" applyBorder="1" applyAlignment="1">
      <alignment horizontal="center" vertical="center" wrapText="1"/>
    </xf>
    <xf numFmtId="0" fontId="53" fillId="0" borderId="112" xfId="0" applyFont="1" applyBorder="1" applyAlignment="1">
      <alignment horizontal="center" vertical="center"/>
    </xf>
    <xf numFmtId="0" fontId="84" fillId="0" borderId="112" xfId="0" applyFont="1" applyBorder="1" applyAlignment="1">
      <alignment horizontal="left" vertical="center" wrapText="1"/>
    </xf>
    <xf numFmtId="167" fontId="79" fillId="3" borderId="112" xfId="51" applyNumberFormat="1" applyFont="1" applyFill="1" applyBorder="1" applyAlignment="1">
      <alignment horizontal="center" vertical="center"/>
    </xf>
    <xf numFmtId="0" fontId="79" fillId="31" borderId="112" xfId="51" applyFont="1" applyFill="1" applyBorder="1" applyAlignment="1">
      <alignment horizontal="center" vertical="center"/>
    </xf>
    <xf numFmtId="0" fontId="36" fillId="29" borderId="112" xfId="0" applyFont="1" applyFill="1" applyBorder="1" applyAlignment="1">
      <alignment horizontal="left" vertical="center"/>
    </xf>
    <xf numFmtId="2" fontId="0" fillId="0" borderId="112" xfId="0" applyNumberFormat="1" applyBorder="1" applyAlignment="1">
      <alignment horizontal="center" vertical="center"/>
    </xf>
    <xf numFmtId="0" fontId="0" fillId="0" borderId="112" xfId="0" applyBorder="1" applyAlignment="1">
      <alignment horizontal="center" vertical="center"/>
    </xf>
    <xf numFmtId="0" fontId="36" fillId="51" borderId="114" xfId="0" applyFont="1" applyFill="1" applyBorder="1" applyAlignment="1">
      <alignment horizontal="center" vertical="center"/>
    </xf>
    <xf numFmtId="0" fontId="0" fillId="51" borderId="115" xfId="0" applyFill="1" applyBorder="1" applyAlignment="1">
      <alignment horizontal="center" vertical="center"/>
    </xf>
    <xf numFmtId="0" fontId="50" fillId="51" borderId="115" xfId="0" applyFont="1" applyFill="1" applyBorder="1" applyAlignment="1">
      <alignment horizontal="center" vertical="center"/>
    </xf>
    <xf numFmtId="0" fontId="0" fillId="51" borderId="113" xfId="0" applyFill="1" applyBorder="1" applyAlignment="1">
      <alignment horizontal="center" vertical="center"/>
    </xf>
    <xf numFmtId="170" fontId="36" fillId="31" borderId="112" xfId="0" applyNumberFormat="1" applyFont="1" applyFill="1" applyBorder="1" applyAlignment="1">
      <alignment horizontal="center" vertical="center" wrapText="1"/>
    </xf>
    <xf numFmtId="170" fontId="36" fillId="3" borderId="112" xfId="0" applyNumberFormat="1" applyFont="1" applyFill="1" applyBorder="1" applyAlignment="1">
      <alignment horizontal="center" vertical="center" wrapText="1"/>
    </xf>
    <xf numFmtId="0" fontId="36" fillId="30" borderId="112" xfId="0" applyFont="1" applyFill="1" applyBorder="1" applyAlignment="1">
      <alignment vertical="center" wrapText="1"/>
    </xf>
    <xf numFmtId="0" fontId="36" fillId="30" borderId="127" xfId="0" applyFont="1" applyFill="1" applyBorder="1" applyAlignment="1">
      <alignment horizontal="center" vertical="center" wrapText="1"/>
    </xf>
    <xf numFmtId="0" fontId="36" fillId="30" borderId="112" xfId="0" applyFont="1" applyFill="1" applyBorder="1" applyAlignment="1">
      <alignment horizontal="right" vertical="center" wrapText="1"/>
    </xf>
    <xf numFmtId="0" fontId="1" fillId="29" borderId="112" xfId="0" applyFont="1" applyFill="1" applyBorder="1" applyAlignment="1">
      <alignment horizontal="right" vertical="center" wrapText="1"/>
    </xf>
    <xf numFmtId="168" fontId="1" fillId="29" borderId="112" xfId="0" applyNumberFormat="1" applyFont="1" applyFill="1" applyBorder="1" applyAlignment="1">
      <alignment horizontal="center" vertical="center"/>
    </xf>
    <xf numFmtId="0" fontId="1" fillId="29" borderId="112" xfId="0" applyFont="1" applyFill="1" applyBorder="1" applyAlignment="1">
      <alignment vertical="center"/>
    </xf>
    <xf numFmtId="168" fontId="36" fillId="29" borderId="112" xfId="0" applyNumberFormat="1" applyFont="1" applyFill="1" applyBorder="1" applyAlignment="1">
      <alignment horizontal="center" vertical="center"/>
    </xf>
    <xf numFmtId="0" fontId="1" fillId="0" borderId="112" xfId="0" applyFont="1" applyBorder="1" applyAlignment="1">
      <alignment horizontal="right" vertical="center" wrapText="1"/>
    </xf>
    <xf numFmtId="168" fontId="1" fillId="52" borderId="112" xfId="0" applyNumberFormat="1" applyFont="1" applyFill="1" applyBorder="1" applyAlignment="1">
      <alignment horizontal="center" vertical="center"/>
    </xf>
    <xf numFmtId="168" fontId="1" fillId="0" borderId="112" xfId="0" applyNumberFormat="1" applyFont="1" applyBorder="1" applyAlignment="1">
      <alignment horizontal="center" vertical="center"/>
    </xf>
    <xf numFmtId="168" fontId="36" fillId="31" borderId="112" xfId="0" applyNumberFormat="1" applyFont="1" applyFill="1" applyBorder="1" applyAlignment="1">
      <alignment horizontal="center" vertical="center"/>
    </xf>
    <xf numFmtId="169" fontId="1" fillId="0" borderId="112" xfId="0" applyNumberFormat="1" applyFont="1" applyBorder="1" applyAlignment="1">
      <alignment horizontal="center" vertical="center"/>
    </xf>
    <xf numFmtId="169" fontId="1" fillId="31" borderId="112" xfId="0" applyNumberFormat="1" applyFont="1" applyFill="1" applyBorder="1" applyAlignment="1">
      <alignment horizontal="center" vertical="center"/>
    </xf>
    <xf numFmtId="168" fontId="78" fillId="31" borderId="112" xfId="0" applyNumberFormat="1" applyFont="1" applyFill="1" applyBorder="1" applyAlignment="1">
      <alignment horizontal="center" vertical="center"/>
    </xf>
    <xf numFmtId="0" fontId="1" fillId="3" borderId="112" xfId="0" applyFont="1" applyFill="1" applyBorder="1" applyAlignment="1">
      <alignment horizontal="right" vertical="center" wrapText="1"/>
    </xf>
    <xf numFmtId="168" fontId="36" fillId="0" borderId="112" xfId="0" applyNumberFormat="1" applyFont="1" applyBorder="1" applyAlignment="1">
      <alignment horizontal="center" vertical="center"/>
    </xf>
    <xf numFmtId="169" fontId="36" fillId="0" borderId="112" xfId="0" applyNumberFormat="1" applyFont="1" applyBorder="1" applyAlignment="1">
      <alignment horizontal="center" vertical="center"/>
    </xf>
    <xf numFmtId="0" fontId="36" fillId="30" borderId="114" xfId="0" applyFont="1" applyFill="1" applyBorder="1" applyAlignment="1">
      <alignment vertical="center"/>
    </xf>
    <xf numFmtId="0" fontId="36" fillId="30" borderId="115" xfId="0" applyFont="1" applyFill="1" applyBorder="1" applyAlignment="1">
      <alignment vertical="center"/>
    </xf>
    <xf numFmtId="0" fontId="36" fillId="30" borderId="113" xfId="0" applyFont="1" applyFill="1" applyBorder="1" applyAlignment="1">
      <alignment vertical="center"/>
    </xf>
    <xf numFmtId="0" fontId="36" fillId="0" borderId="112" xfId="0" applyFont="1" applyBorder="1" applyAlignment="1">
      <alignment vertical="center"/>
    </xf>
    <xf numFmtId="0" fontId="36" fillId="30" borderId="112" xfId="0" applyFont="1" applyFill="1" applyBorder="1" applyAlignment="1">
      <alignment vertical="center"/>
    </xf>
    <xf numFmtId="0" fontId="30" fillId="0" borderId="112" xfId="0" applyFont="1" applyBorder="1" applyAlignment="1">
      <alignment horizontal="center" vertical="center"/>
    </xf>
    <xf numFmtId="0" fontId="30" fillId="0" borderId="112" xfId="0" applyFont="1" applyBorder="1" applyAlignment="1">
      <alignment vertical="center"/>
    </xf>
    <xf numFmtId="0" fontId="30" fillId="0" borderId="112" xfId="0" applyFont="1" applyBorder="1" applyAlignment="1">
      <alignment vertical="center" wrapText="1"/>
    </xf>
    <xf numFmtId="0" fontId="30" fillId="0" borderId="112" xfId="0" applyFont="1" applyBorder="1" applyAlignment="1">
      <alignment horizontal="center" vertical="center" wrapText="1"/>
    </xf>
    <xf numFmtId="0" fontId="0" fillId="0" borderId="112" xfId="0" applyBorder="1" applyAlignment="1">
      <alignment vertical="center"/>
    </xf>
    <xf numFmtId="167" fontId="0" fillId="0" borderId="112" xfId="0" applyNumberFormat="1" applyBorder="1" applyAlignment="1">
      <alignment horizontal="center" vertical="center"/>
    </xf>
    <xf numFmtId="0" fontId="57" fillId="30" borderId="112" xfId="0" applyFont="1" applyFill="1" applyBorder="1" applyAlignment="1">
      <alignment horizontal="center" vertical="center" wrapText="1"/>
    </xf>
    <xf numFmtId="0" fontId="35" fillId="3" borderId="94" xfId="0" applyFont="1" applyFill="1" applyBorder="1" applyAlignment="1">
      <alignment horizontal="center" vertical="center" wrapText="1"/>
    </xf>
    <xf numFmtId="0" fontId="35" fillId="3" borderId="95" xfId="0" applyFont="1" applyFill="1" applyBorder="1" applyAlignment="1">
      <alignment horizontal="center" vertical="center" wrapText="1"/>
    </xf>
    <xf numFmtId="0" fontId="36" fillId="30" borderId="113" xfId="0" applyFont="1" applyFill="1" applyBorder="1" applyAlignment="1">
      <alignment horizontal="center" vertical="center" wrapText="1"/>
    </xf>
    <xf numFmtId="167" fontId="1" fillId="31" borderId="112" xfId="0" applyNumberFormat="1" applyFont="1" applyFill="1" applyBorder="1" applyAlignment="1">
      <alignment horizontal="center" vertical="center"/>
    </xf>
    <xf numFmtId="0" fontId="1" fillId="27" borderId="112" xfId="0" applyFont="1" applyFill="1" applyBorder="1" applyAlignment="1">
      <alignment horizontal="center" vertical="center" wrapText="1"/>
    </xf>
    <xf numFmtId="0" fontId="1" fillId="43" borderId="114" xfId="0" applyFont="1" applyFill="1" applyBorder="1" applyAlignment="1">
      <alignment horizontal="center" vertical="center" wrapText="1"/>
    </xf>
    <xf numFmtId="0" fontId="0" fillId="35" borderId="112" xfId="0" quotePrefix="1" applyFill="1" applyBorder="1" applyAlignment="1">
      <alignment horizontal="center" vertical="center" wrapText="1"/>
    </xf>
    <xf numFmtId="0" fontId="61" fillId="35" borderId="112" xfId="0" quotePrefix="1" applyFont="1" applyFill="1" applyBorder="1" applyAlignment="1">
      <alignment horizontal="center" vertical="center" wrapText="1"/>
    </xf>
    <xf numFmtId="0" fontId="0" fillId="0" borderId="112" xfId="0" quotePrefix="1" applyBorder="1" applyAlignment="1">
      <alignment horizontal="center" vertical="center"/>
    </xf>
    <xf numFmtId="0" fontId="36" fillId="3" borderId="112" xfId="0" applyFont="1" applyFill="1" applyBorder="1" applyAlignment="1">
      <alignment horizontal="center" vertical="center" wrapText="1"/>
    </xf>
    <xf numFmtId="0" fontId="43" fillId="3" borderId="112" xfId="0" applyFont="1" applyFill="1" applyBorder="1" applyAlignment="1">
      <alignment horizontal="center" vertical="center" wrapText="1"/>
    </xf>
    <xf numFmtId="167" fontId="61" fillId="3" borderId="112" xfId="1" applyNumberFormat="1" applyFont="1" applyFill="1" applyBorder="1" applyAlignment="1">
      <alignment horizontal="center" vertical="center"/>
    </xf>
    <xf numFmtId="167" fontId="0" fillId="3" borderId="112" xfId="1" applyNumberFormat="1" applyFont="1" applyFill="1" applyBorder="1" applyAlignment="1">
      <alignment horizontal="center" vertical="center"/>
    </xf>
    <xf numFmtId="0" fontId="1" fillId="3" borderId="113" xfId="0" applyFont="1" applyFill="1" applyBorder="1" applyAlignment="1">
      <alignment horizontal="center" vertical="center" wrapText="1"/>
    </xf>
    <xf numFmtId="2" fontId="1" fillId="31" borderId="112" xfId="0" applyNumberFormat="1" applyFont="1" applyFill="1" applyBorder="1" applyAlignment="1">
      <alignment horizontal="center" vertical="center" wrapText="1"/>
    </xf>
    <xf numFmtId="167" fontId="1" fillId="31" borderId="112" xfId="51" applyNumberFormat="1" applyFont="1" applyFill="1" applyBorder="1" applyAlignment="1">
      <alignment horizontal="center" vertical="center"/>
    </xf>
    <xf numFmtId="0" fontId="1" fillId="31" borderId="114" xfId="0" applyFont="1" applyFill="1" applyBorder="1" applyAlignment="1">
      <alignment horizontal="center" vertical="center"/>
    </xf>
    <xf numFmtId="165" fontId="1" fillId="31" borderId="112" xfId="1" applyNumberFormat="1" applyFill="1" applyBorder="1" applyAlignment="1">
      <alignment horizontal="center" vertical="center" wrapText="1"/>
    </xf>
    <xf numFmtId="0" fontId="28" fillId="31" borderId="114" xfId="0" applyFont="1" applyFill="1" applyBorder="1" applyAlignment="1">
      <alignment horizontal="center" vertical="center" wrapText="1"/>
    </xf>
    <xf numFmtId="0" fontId="28" fillId="31" borderId="0" xfId="0" applyFont="1" applyFill="1" applyAlignment="1">
      <alignment horizontal="center" vertical="center"/>
    </xf>
    <xf numFmtId="0" fontId="59" fillId="31" borderId="112" xfId="0" applyFont="1" applyFill="1" applyBorder="1" applyAlignment="1">
      <alignment horizontal="center" vertical="center" wrapText="1"/>
    </xf>
    <xf numFmtId="0" fontId="59" fillId="31" borderId="112" xfId="0" quotePrefix="1" applyFont="1" applyFill="1" applyBorder="1" applyAlignment="1">
      <alignment horizontal="center" vertical="center"/>
    </xf>
    <xf numFmtId="0" fontId="59" fillId="31" borderId="112" xfId="0" applyFont="1" applyFill="1" applyBorder="1" applyAlignment="1">
      <alignment horizontal="left" vertical="center" wrapText="1"/>
    </xf>
    <xf numFmtId="0" fontId="59" fillId="31" borderId="112" xfId="0" quotePrefix="1" applyFont="1" applyFill="1" applyBorder="1" applyAlignment="1">
      <alignment horizontal="left" vertical="center" wrapText="1"/>
    </xf>
    <xf numFmtId="2" fontId="59" fillId="31" borderId="112" xfId="0" applyNumberFormat="1" applyFont="1" applyFill="1" applyBorder="1" applyAlignment="1">
      <alignment horizontal="center" vertical="center" wrapText="1"/>
    </xf>
    <xf numFmtId="1" fontId="59" fillId="31" borderId="112" xfId="0" applyNumberFormat="1" applyFont="1" applyFill="1" applyBorder="1" applyAlignment="1">
      <alignment horizontal="center" vertical="center"/>
    </xf>
    <xf numFmtId="0" fontId="59" fillId="31" borderId="112" xfId="0" applyFont="1" applyFill="1" applyBorder="1" applyAlignment="1">
      <alignment horizontal="center" vertical="center"/>
    </xf>
    <xf numFmtId="2" fontId="59" fillId="31" borderId="112" xfId="0" applyNumberFormat="1" applyFont="1" applyFill="1" applyBorder="1" applyAlignment="1">
      <alignment horizontal="center" vertical="center"/>
    </xf>
    <xf numFmtId="2" fontId="59" fillId="31" borderId="112" xfId="1" applyNumberFormat="1" applyFont="1" applyFill="1" applyBorder="1" applyAlignment="1">
      <alignment horizontal="center" vertical="center"/>
    </xf>
    <xf numFmtId="0" fontId="59" fillId="31" borderId="112" xfId="1" applyFont="1" applyFill="1" applyBorder="1" applyAlignment="1">
      <alignment horizontal="center" vertical="center"/>
    </xf>
    <xf numFmtId="166" fontId="59" fillId="31" borderId="112" xfId="1" applyNumberFormat="1" applyFont="1" applyFill="1" applyBorder="1" applyAlignment="1">
      <alignment horizontal="center" vertical="center"/>
    </xf>
    <xf numFmtId="167" fontId="59" fillId="31" borderId="112" xfId="51" applyNumberFormat="1" applyFont="1" applyFill="1" applyBorder="1" applyAlignment="1">
      <alignment horizontal="center" vertical="center"/>
    </xf>
    <xf numFmtId="165" fontId="59" fillId="31" borderId="112" xfId="0" applyNumberFormat="1" applyFont="1" applyFill="1" applyBorder="1" applyAlignment="1">
      <alignment horizontal="center" vertical="center"/>
    </xf>
    <xf numFmtId="165" fontId="59" fillId="31" borderId="114" xfId="0" applyNumberFormat="1" applyFont="1" applyFill="1" applyBorder="1" applyAlignment="1">
      <alignment horizontal="center" vertical="center"/>
    </xf>
    <xf numFmtId="0" fontId="59" fillId="31" borderId="114" xfId="0" applyFont="1" applyFill="1" applyBorder="1" applyAlignment="1">
      <alignment horizontal="center" vertical="center"/>
    </xf>
    <xf numFmtId="165" fontId="59" fillId="31" borderId="112" xfId="1" applyNumberFormat="1" applyFont="1" applyFill="1" applyBorder="1" applyAlignment="1">
      <alignment horizontal="center" vertical="center" wrapText="1"/>
    </xf>
    <xf numFmtId="0" fontId="65" fillId="31" borderId="114" xfId="0" applyFont="1" applyFill="1" applyBorder="1" applyAlignment="1">
      <alignment horizontal="center" vertical="center" wrapText="1"/>
    </xf>
    <xf numFmtId="0" fontId="65" fillId="31" borderId="112" xfId="0" applyFont="1" applyFill="1" applyBorder="1" applyAlignment="1">
      <alignment horizontal="center" vertical="center" wrapText="1"/>
    </xf>
    <xf numFmtId="0" fontId="65" fillId="31" borderId="0" xfId="0" applyFont="1" applyFill="1" applyAlignment="1">
      <alignment horizontal="center" vertical="center"/>
    </xf>
    <xf numFmtId="0" fontId="65" fillId="31" borderId="112" xfId="0" applyFont="1" applyFill="1" applyBorder="1" applyAlignment="1">
      <alignment horizontal="center" vertical="center"/>
    </xf>
    <xf numFmtId="2" fontId="1" fillId="31" borderId="112" xfId="0" applyNumberFormat="1" applyFont="1" applyFill="1" applyBorder="1" applyAlignment="1">
      <alignment horizontal="left" vertical="center" wrapText="1"/>
    </xf>
    <xf numFmtId="1" fontId="38" fillId="31" borderId="112" xfId="0" applyNumberFormat="1" applyFont="1" applyFill="1" applyBorder="1" applyAlignment="1">
      <alignment horizontal="center" vertical="center"/>
    </xf>
    <xf numFmtId="0" fontId="28" fillId="31" borderId="112" xfId="0" applyFont="1" applyFill="1" applyBorder="1" applyAlignment="1">
      <alignment vertical="center"/>
    </xf>
    <xf numFmtId="0" fontId="1" fillId="31" borderId="112" xfId="0" quotePrefix="1" applyFont="1" applyFill="1" applyBorder="1" applyAlignment="1">
      <alignment horizontal="left" vertical="center"/>
    </xf>
    <xf numFmtId="0" fontId="1" fillId="31" borderId="112" xfId="64" applyFont="1" applyFill="1" applyBorder="1" applyAlignment="1">
      <alignment horizontal="center" vertical="center" wrapText="1"/>
    </xf>
    <xf numFmtId="0" fontId="1" fillId="31" borderId="112" xfId="64" applyFont="1" applyFill="1" applyBorder="1" applyAlignment="1">
      <alignment horizontal="left" vertical="center" wrapText="1"/>
    </xf>
    <xf numFmtId="167" fontId="1" fillId="31" borderId="112" xfId="1" applyNumberFormat="1" applyFill="1" applyBorder="1" applyAlignment="1">
      <alignment horizontal="center" vertical="center"/>
    </xf>
    <xf numFmtId="0" fontId="1" fillId="31" borderId="112" xfId="0" quotePrefix="1" applyFont="1" applyFill="1" applyBorder="1" applyAlignment="1">
      <alignment horizontal="center" vertical="center"/>
    </xf>
    <xf numFmtId="0" fontId="1" fillId="31" borderId="114" xfId="0" quotePrefix="1" applyFont="1" applyFill="1" applyBorder="1" applyAlignment="1">
      <alignment horizontal="center" vertical="center"/>
    </xf>
    <xf numFmtId="0" fontId="59" fillId="31" borderId="112" xfId="0" applyFont="1" applyFill="1" applyBorder="1" applyAlignment="1">
      <alignment vertical="center"/>
    </xf>
    <xf numFmtId="167" fontId="59" fillId="31" borderId="112" xfId="1" applyNumberFormat="1" applyFont="1" applyFill="1" applyBorder="1" applyAlignment="1">
      <alignment horizontal="center" vertical="center"/>
    </xf>
    <xf numFmtId="0" fontId="1" fillId="31" borderId="112" xfId="0" applyFont="1" applyFill="1" applyBorder="1" applyAlignment="1">
      <alignment horizontal="left" vertical="center"/>
    </xf>
    <xf numFmtId="0" fontId="59" fillId="31" borderId="112" xfId="0" applyFont="1" applyFill="1" applyBorder="1" applyAlignment="1">
      <alignment horizontal="left" vertical="center"/>
    </xf>
    <xf numFmtId="0" fontId="59" fillId="31" borderId="112" xfId="0" quotePrefix="1" applyFont="1" applyFill="1" applyBorder="1" applyAlignment="1">
      <alignment horizontal="center" vertical="center" wrapText="1"/>
    </xf>
    <xf numFmtId="0" fontId="1" fillId="31" borderId="112" xfId="0" applyFont="1" applyFill="1" applyBorder="1" applyAlignment="1">
      <alignment vertical="center" wrapText="1"/>
    </xf>
    <xf numFmtId="2" fontId="0" fillId="31" borderId="112" xfId="0" applyNumberFormat="1" applyFill="1" applyBorder="1" applyAlignment="1">
      <alignment horizontal="center" vertical="center" wrapText="1"/>
    </xf>
    <xf numFmtId="0" fontId="28" fillId="31" borderId="114" xfId="0" applyFont="1" applyFill="1" applyBorder="1" applyAlignment="1">
      <alignment horizontal="center" vertical="center"/>
    </xf>
    <xf numFmtId="0" fontId="1" fillId="31" borderId="112" xfId="0" applyFont="1" applyFill="1" applyBorder="1" applyAlignment="1">
      <alignment vertical="center"/>
    </xf>
    <xf numFmtId="0" fontId="59" fillId="31" borderId="112" xfId="0" quotePrefix="1" applyFont="1" applyFill="1" applyBorder="1" applyAlignment="1">
      <alignment vertical="center" wrapText="1"/>
    </xf>
    <xf numFmtId="0" fontId="65" fillId="31" borderId="114" xfId="0" applyFont="1" applyFill="1" applyBorder="1" applyAlignment="1">
      <alignment horizontal="center" vertical="center"/>
    </xf>
    <xf numFmtId="167" fontId="76" fillId="31" borderId="112" xfId="51" applyNumberFormat="1" applyFont="1" applyFill="1" applyBorder="1" applyAlignment="1">
      <alignment horizontal="center" vertical="center"/>
    </xf>
    <xf numFmtId="0" fontId="43" fillId="31" borderId="112" xfId="0" applyFont="1" applyFill="1" applyBorder="1" applyAlignment="1">
      <alignment horizontal="center" vertical="center"/>
    </xf>
    <xf numFmtId="2" fontId="1" fillId="48" borderId="113" xfId="1" applyNumberFormat="1" applyFill="1" applyBorder="1" applyAlignment="1">
      <alignment horizontal="center" vertical="center"/>
    </xf>
    <xf numFmtId="2" fontId="1" fillId="3" borderId="115" xfId="1" applyNumberFormat="1" applyFill="1" applyBorder="1" applyAlignment="1">
      <alignment horizontal="center" vertical="center"/>
    </xf>
    <xf numFmtId="0" fontId="28" fillId="29" borderId="0" xfId="0" applyFont="1" applyFill="1" applyAlignment="1">
      <alignment horizontal="center" vertical="center"/>
    </xf>
    <xf numFmtId="2" fontId="1" fillId="54" borderId="112" xfId="0" applyNumberFormat="1" applyFont="1" applyFill="1" applyBorder="1" applyAlignment="1">
      <alignment horizontal="center" vertical="center"/>
    </xf>
    <xf numFmtId="0" fontId="1" fillId="45" borderId="112" xfId="0" applyFont="1" applyFill="1" applyBorder="1" applyAlignment="1">
      <alignment horizontal="center" vertical="center"/>
    </xf>
    <xf numFmtId="2" fontId="1" fillId="45" borderId="112" xfId="0" applyNumberFormat="1" applyFont="1" applyFill="1" applyBorder="1" applyAlignment="1">
      <alignment horizontal="center" vertical="center"/>
    </xf>
    <xf numFmtId="0" fontId="89" fillId="43" borderId="112" xfId="0" applyFont="1" applyFill="1" applyBorder="1" applyAlignment="1">
      <alignment horizontal="center" vertical="center"/>
    </xf>
    <xf numFmtId="167" fontId="89" fillId="43" borderId="112" xfId="1" applyNumberFormat="1" applyFont="1" applyFill="1" applyBorder="1" applyAlignment="1">
      <alignment horizontal="center" vertical="center"/>
    </xf>
    <xf numFmtId="0" fontId="1" fillId="55" borderId="112" xfId="0" applyFont="1" applyFill="1" applyBorder="1" applyAlignment="1">
      <alignment horizontal="center" vertical="center"/>
    </xf>
    <xf numFmtId="0" fontId="89" fillId="0" borderId="112" xfId="1" applyFont="1" applyBorder="1" applyAlignment="1">
      <alignment horizontal="center" vertical="center"/>
    </xf>
    <xf numFmtId="2" fontId="89" fillId="45" borderId="112" xfId="0" applyNumberFormat="1" applyFont="1" applyFill="1" applyBorder="1" applyAlignment="1">
      <alignment horizontal="center" vertical="center"/>
    </xf>
    <xf numFmtId="0" fontId="89" fillId="45" borderId="112" xfId="0" applyFont="1" applyFill="1" applyBorder="1" applyAlignment="1">
      <alignment horizontal="center" vertical="center"/>
    </xf>
    <xf numFmtId="2" fontId="36" fillId="48" borderId="114" xfId="1" applyNumberFormat="1" applyFont="1" applyFill="1" applyBorder="1" applyAlignment="1">
      <alignment horizontal="center" vertical="center"/>
    </xf>
    <xf numFmtId="2" fontId="36" fillId="48" borderId="115" xfId="1" applyNumberFormat="1" applyFont="1" applyFill="1" applyBorder="1" applyAlignment="1">
      <alignment horizontal="center" vertical="center"/>
    </xf>
    <xf numFmtId="2" fontId="1" fillId="48" borderId="114" xfId="1" applyNumberFormat="1" applyFill="1" applyBorder="1" applyAlignment="1">
      <alignment horizontal="center" vertical="center"/>
    </xf>
    <xf numFmtId="2" fontId="1" fillId="48" borderId="115" xfId="1" applyNumberFormat="1" applyFill="1" applyBorder="1" applyAlignment="1">
      <alignment horizontal="center" vertical="center"/>
    </xf>
    <xf numFmtId="0" fontId="36" fillId="30" borderId="112" xfId="0" applyFont="1" applyFill="1" applyBorder="1" applyAlignment="1">
      <alignment horizontal="center" vertical="center" wrapText="1"/>
    </xf>
    <xf numFmtId="0" fontId="28" fillId="0" borderId="0" xfId="0" applyFont="1" applyAlignment="1">
      <alignment horizontal="center" vertical="center"/>
    </xf>
    <xf numFmtId="0" fontId="43" fillId="0" borderId="0" xfId="0" applyFont="1" applyAlignment="1">
      <alignment horizontal="center" vertical="center" wrapText="1"/>
    </xf>
    <xf numFmtId="0" fontId="43" fillId="30" borderId="112" xfId="1" applyFont="1" applyFill="1" applyBorder="1" applyAlignment="1">
      <alignment horizontal="center" vertical="center"/>
    </xf>
    <xf numFmtId="0" fontId="43" fillId="30" borderId="112" xfId="0" applyFont="1" applyFill="1" applyBorder="1" applyAlignment="1">
      <alignment horizontal="center" vertical="center" wrapText="1"/>
    </xf>
    <xf numFmtId="0" fontId="36" fillId="30" borderId="112" xfId="0" applyFont="1" applyFill="1" applyBorder="1" applyAlignment="1">
      <alignment horizontal="center" vertical="center"/>
    </xf>
    <xf numFmtId="0" fontId="47" fillId="30" borderId="69" xfId="0" applyFont="1" applyFill="1" applyBorder="1" applyAlignment="1">
      <alignment horizontal="center" vertical="center" wrapText="1"/>
    </xf>
    <xf numFmtId="0" fontId="47" fillId="30" borderId="70" xfId="0" applyFont="1" applyFill="1" applyBorder="1" applyAlignment="1">
      <alignment horizontal="center" vertical="center" wrapText="1"/>
    </xf>
    <xf numFmtId="0" fontId="47" fillId="30" borderId="71" xfId="0" applyFont="1" applyFill="1" applyBorder="1" applyAlignment="1">
      <alignment horizontal="center" vertical="center" wrapText="1"/>
    </xf>
    <xf numFmtId="170" fontId="36" fillId="36" borderId="84" xfId="0" applyNumberFormat="1" applyFont="1" applyFill="1" applyBorder="1" applyAlignment="1">
      <alignment horizontal="center" vertical="center" wrapText="1"/>
    </xf>
    <xf numFmtId="170" fontId="36" fillId="36" borderId="31" xfId="0" applyNumberFormat="1" applyFont="1" applyFill="1" applyBorder="1" applyAlignment="1">
      <alignment horizontal="center" vertical="center" wrapText="1"/>
    </xf>
    <xf numFmtId="170" fontId="36" fillId="36" borderId="1" xfId="0" applyNumberFormat="1" applyFont="1" applyFill="1" applyBorder="1" applyAlignment="1">
      <alignment horizontal="center" vertical="center" wrapText="1"/>
    </xf>
    <xf numFmtId="170" fontId="36" fillId="50" borderId="84" xfId="0" applyNumberFormat="1" applyFont="1" applyFill="1" applyBorder="1" applyAlignment="1">
      <alignment horizontal="center" vertical="center" wrapText="1"/>
    </xf>
    <xf numFmtId="170" fontId="36" fillId="50" borderId="31" xfId="0" applyNumberFormat="1" applyFont="1" applyFill="1" applyBorder="1" applyAlignment="1">
      <alignment horizontal="center" vertical="center" wrapText="1"/>
    </xf>
    <xf numFmtId="170" fontId="36" fillId="50" borderId="1" xfId="0" applyNumberFormat="1" applyFont="1" applyFill="1" applyBorder="1" applyAlignment="1">
      <alignment horizontal="center" vertical="center" wrapText="1"/>
    </xf>
    <xf numFmtId="0" fontId="36" fillId="50" borderId="84" xfId="0" applyFont="1" applyFill="1" applyBorder="1" applyAlignment="1">
      <alignment horizontal="center" vertical="center" wrapText="1"/>
    </xf>
    <xf numFmtId="0" fontId="36" fillId="50" borderId="31" xfId="0" applyFont="1" applyFill="1" applyBorder="1" applyAlignment="1">
      <alignment horizontal="center" vertical="center" wrapText="1"/>
    </xf>
    <xf numFmtId="0" fontId="36" fillId="50" borderId="1" xfId="0" applyFont="1" applyFill="1" applyBorder="1" applyAlignment="1">
      <alignment horizontal="center" vertical="center" wrapText="1"/>
    </xf>
    <xf numFmtId="0" fontId="36" fillId="36" borderId="84" xfId="0" applyFont="1" applyFill="1" applyBorder="1" applyAlignment="1">
      <alignment horizontal="center" vertical="center" wrapText="1"/>
    </xf>
    <xf numFmtId="0" fontId="36" fillId="36" borderId="31" xfId="0" applyFont="1" applyFill="1" applyBorder="1" applyAlignment="1">
      <alignment horizontal="center" vertical="center" wrapText="1"/>
    </xf>
    <xf numFmtId="0" fontId="36" fillId="36" borderId="1" xfId="0" applyFont="1" applyFill="1" applyBorder="1" applyAlignment="1">
      <alignment horizontal="center" vertical="center" wrapText="1"/>
    </xf>
    <xf numFmtId="170" fontId="36" fillId="0" borderId="84" xfId="0" applyNumberFormat="1" applyFont="1" applyBorder="1" applyAlignment="1">
      <alignment horizontal="center" vertical="center" wrapText="1"/>
    </xf>
    <xf numFmtId="170" fontId="36" fillId="0" borderId="1" xfId="0" applyNumberFormat="1" applyFont="1" applyBorder="1" applyAlignment="1">
      <alignment horizontal="center" vertical="center" wrapText="1"/>
    </xf>
    <xf numFmtId="0" fontId="36" fillId="31" borderId="87" xfId="0" applyFont="1" applyFill="1" applyBorder="1" applyAlignment="1">
      <alignment horizontal="center" vertical="center" wrapText="1"/>
    </xf>
    <xf numFmtId="0" fontId="36" fillId="31" borderId="0" xfId="0" applyFont="1" applyFill="1" applyAlignment="1">
      <alignment horizontal="center" vertical="center" wrapText="1"/>
    </xf>
    <xf numFmtId="0" fontId="36" fillId="3" borderId="83" xfId="0" applyFont="1" applyFill="1" applyBorder="1" applyAlignment="1">
      <alignment horizontal="left" vertical="center" wrapText="1"/>
    </xf>
    <xf numFmtId="0" fontId="3" fillId="27" borderId="84" xfId="0" applyFont="1" applyFill="1" applyBorder="1" applyAlignment="1">
      <alignment horizontal="center" vertical="center" wrapText="1"/>
    </xf>
    <xf numFmtId="0" fontId="3" fillId="27" borderId="1" xfId="0" applyFont="1" applyFill="1" applyBorder="1" applyAlignment="1">
      <alignment horizontal="center" vertical="center" wrapText="1"/>
    </xf>
    <xf numFmtId="0" fontId="3" fillId="27" borderId="78" xfId="0" applyFont="1" applyFill="1" applyBorder="1" applyAlignment="1">
      <alignment horizontal="center" vertical="center" wrapText="1"/>
    </xf>
    <xf numFmtId="0" fontId="3" fillId="27" borderId="79" xfId="0" applyFont="1" applyFill="1" applyBorder="1" applyAlignment="1">
      <alignment horizontal="center" vertical="center" wrapText="1"/>
    </xf>
    <xf numFmtId="0" fontId="3" fillId="27" borderId="100" xfId="0" applyFont="1" applyFill="1" applyBorder="1" applyAlignment="1">
      <alignment horizontal="center" vertical="center" wrapText="1"/>
    </xf>
    <xf numFmtId="0" fontId="4" fillId="0" borderId="0" xfId="0" applyFont="1" applyAlignment="1">
      <alignment horizontal="center" vertical="center" wrapText="1"/>
    </xf>
    <xf numFmtId="0" fontId="3" fillId="27" borderId="85" xfId="0" applyFont="1" applyFill="1" applyBorder="1" applyAlignment="1">
      <alignment horizontal="center" vertical="center" wrapText="1"/>
    </xf>
    <xf numFmtId="0" fontId="66" fillId="31" borderId="77" xfId="0" applyFont="1" applyFill="1" applyBorder="1" applyAlignment="1">
      <alignment horizontal="center" vertical="center"/>
    </xf>
    <xf numFmtId="0" fontId="66" fillId="31" borderId="23" xfId="0" applyFont="1" applyFill="1" applyBorder="1" applyAlignment="1">
      <alignment horizontal="center" vertical="center"/>
    </xf>
    <xf numFmtId="0" fontId="3" fillId="27" borderId="89" xfId="0" applyFont="1" applyFill="1" applyBorder="1" applyAlignment="1">
      <alignment horizontal="center" vertical="center" wrapText="1"/>
    </xf>
    <xf numFmtId="0" fontId="3" fillId="27" borderId="106" xfId="0" applyFont="1" applyFill="1" applyBorder="1" applyAlignment="1">
      <alignment horizontal="center" vertical="center" wrapText="1"/>
    </xf>
    <xf numFmtId="0" fontId="3" fillId="27" borderId="107" xfId="0" applyFont="1" applyFill="1" applyBorder="1" applyAlignment="1">
      <alignment horizontal="center" vertical="center" wrapText="1"/>
    </xf>
    <xf numFmtId="0" fontId="3" fillId="27" borderId="25" xfId="0" applyFont="1" applyFill="1" applyBorder="1" applyAlignment="1">
      <alignment horizontal="center" vertical="center" wrapText="1"/>
    </xf>
    <xf numFmtId="0" fontId="31" fillId="27" borderId="14" xfId="0" applyFont="1" applyFill="1" applyBorder="1" applyAlignment="1">
      <alignment horizontal="left" vertical="center"/>
    </xf>
    <xf numFmtId="0" fontId="31" fillId="27" borderId="15" xfId="0" applyFont="1" applyFill="1" applyBorder="1" applyAlignment="1">
      <alignment horizontal="left" vertical="center"/>
    </xf>
    <xf numFmtId="0" fontId="31" fillId="27" borderId="16" xfId="0" applyFont="1" applyFill="1" applyBorder="1" applyAlignment="1">
      <alignment horizontal="left" vertical="center"/>
    </xf>
    <xf numFmtId="0" fontId="3" fillId="27" borderId="82" xfId="0" applyFont="1" applyFill="1" applyBorder="1" applyAlignment="1">
      <alignment horizontal="center" vertical="center" wrapText="1"/>
    </xf>
    <xf numFmtId="0" fontId="3" fillId="27" borderId="81" xfId="0" applyFont="1" applyFill="1" applyBorder="1" applyAlignment="1">
      <alignment horizontal="center" vertical="center" wrapText="1"/>
    </xf>
    <xf numFmtId="0" fontId="3" fillId="27" borderId="82" xfId="0" applyFont="1" applyFill="1" applyBorder="1" applyAlignment="1">
      <alignment horizontal="center" vertical="center"/>
    </xf>
    <xf numFmtId="0" fontId="3" fillId="27" borderId="84" xfId="0" applyFont="1" applyFill="1" applyBorder="1" applyAlignment="1">
      <alignment horizontal="center" vertical="center"/>
    </xf>
    <xf numFmtId="0" fontId="3" fillId="27" borderId="86" xfId="0" applyFont="1" applyFill="1" applyBorder="1" applyAlignment="1">
      <alignment horizontal="center" vertical="center"/>
    </xf>
    <xf numFmtId="0" fontId="3" fillId="27" borderId="24" xfId="0" applyFont="1" applyFill="1" applyBorder="1" applyAlignment="1">
      <alignment horizontal="center" vertical="center"/>
    </xf>
    <xf numFmtId="0" fontId="3" fillId="27" borderId="96" xfId="0" applyFont="1" applyFill="1" applyBorder="1" applyAlignment="1">
      <alignment horizontal="center" vertical="center" wrapText="1"/>
    </xf>
    <xf numFmtId="0" fontId="3" fillId="27" borderId="94" xfId="0" applyFont="1" applyFill="1" applyBorder="1" applyAlignment="1">
      <alignment horizontal="center" vertical="center" wrapText="1"/>
    </xf>
    <xf numFmtId="0" fontId="3" fillId="27" borderId="97" xfId="0" applyFont="1" applyFill="1" applyBorder="1" applyAlignment="1">
      <alignment horizontal="center" vertical="center" wrapText="1"/>
    </xf>
    <xf numFmtId="0" fontId="3" fillId="27" borderId="98" xfId="0" applyFont="1" applyFill="1" applyBorder="1" applyAlignment="1">
      <alignment horizontal="center" vertical="center" wrapText="1"/>
    </xf>
    <xf numFmtId="0" fontId="45" fillId="0" borderId="0" xfId="0" applyFont="1" applyAlignment="1">
      <alignment horizontal="center" vertical="center" wrapText="1"/>
    </xf>
    <xf numFmtId="0" fontId="30" fillId="27" borderId="94" xfId="0" applyFont="1" applyFill="1" applyBorder="1" applyAlignment="1">
      <alignment horizontal="center" vertical="center" wrapText="1"/>
    </xf>
    <xf numFmtId="0" fontId="3" fillId="27" borderId="94" xfId="0" applyFont="1" applyFill="1" applyBorder="1" applyAlignment="1">
      <alignment horizontal="center" vertical="center"/>
    </xf>
    <xf numFmtId="0" fontId="3" fillId="27" borderId="96" xfId="0" applyFont="1" applyFill="1" applyBorder="1" applyAlignment="1">
      <alignment horizontal="center" vertical="center"/>
    </xf>
    <xf numFmtId="0" fontId="3" fillId="31" borderId="86" xfId="0" applyFont="1" applyFill="1" applyBorder="1" applyAlignment="1">
      <alignment horizontal="center" vertical="center" wrapText="1"/>
    </xf>
    <xf numFmtId="0" fontId="3" fillId="31" borderId="24" xfId="0" applyFont="1" applyFill="1" applyBorder="1" applyAlignment="1">
      <alignment horizontal="center" vertical="center" wrapText="1"/>
    </xf>
    <xf numFmtId="0" fontId="31" fillId="27" borderId="14" xfId="0" applyFont="1" applyFill="1" applyBorder="1" applyAlignment="1">
      <alignment horizontal="center" vertical="center"/>
    </xf>
    <xf numFmtId="0" fontId="31" fillId="27" borderId="15" xfId="0" applyFont="1" applyFill="1" applyBorder="1" applyAlignment="1">
      <alignment horizontal="center" vertical="center"/>
    </xf>
    <xf numFmtId="0" fontId="31" fillId="27" borderId="16" xfId="0" applyFont="1" applyFill="1" applyBorder="1" applyAlignment="1">
      <alignment horizontal="center" vertical="center"/>
    </xf>
    <xf numFmtId="0" fontId="3" fillId="27" borderId="95" xfId="0" applyFont="1" applyFill="1" applyBorder="1" applyAlignment="1">
      <alignment horizontal="center" vertical="center" wrapText="1"/>
    </xf>
    <xf numFmtId="0" fontId="66" fillId="27" borderId="89" xfId="0" applyFont="1" applyFill="1" applyBorder="1" applyAlignment="1">
      <alignment horizontal="center" vertical="center" wrapText="1"/>
    </xf>
    <xf numFmtId="0" fontId="66" fillId="27" borderId="1" xfId="0" applyFont="1" applyFill="1" applyBorder="1" applyAlignment="1">
      <alignment horizontal="center" vertical="center" wrapText="1"/>
    </xf>
    <xf numFmtId="0" fontId="66" fillId="27" borderId="104" xfId="0" applyFont="1" applyFill="1" applyBorder="1" applyAlignment="1">
      <alignment horizontal="center" vertical="center" wrapText="1"/>
    </xf>
    <xf numFmtId="0" fontId="66" fillId="27" borderId="105" xfId="0" applyFont="1" applyFill="1" applyBorder="1" applyAlignment="1">
      <alignment horizontal="center" vertical="center" wrapText="1"/>
    </xf>
    <xf numFmtId="0" fontId="66" fillId="27" borderId="106" xfId="0" applyFont="1" applyFill="1" applyBorder="1" applyAlignment="1">
      <alignment horizontal="center" vertical="center" wrapText="1"/>
    </xf>
    <xf numFmtId="0" fontId="6" fillId="2" borderId="0" xfId="0" applyFont="1" applyFill="1" applyAlignment="1">
      <alignment horizontal="center" vertical="center"/>
    </xf>
    <xf numFmtId="0" fontId="66" fillId="27" borderId="107" xfId="0" applyFont="1" applyFill="1" applyBorder="1" applyAlignment="1">
      <alignment horizontal="center" vertical="center" wrapText="1"/>
    </xf>
    <xf numFmtId="0" fontId="66" fillId="27" borderId="25" xfId="0" applyFont="1" applyFill="1" applyBorder="1" applyAlignment="1">
      <alignment horizontal="center" vertical="center" wrapText="1"/>
    </xf>
    <xf numFmtId="0" fontId="3" fillId="27" borderId="101" xfId="0" applyFont="1" applyFill="1" applyBorder="1" applyAlignment="1">
      <alignment horizontal="center" vertical="center" wrapText="1"/>
    </xf>
    <xf numFmtId="0" fontId="3" fillId="31" borderId="77" xfId="0" applyFont="1" applyFill="1" applyBorder="1" applyAlignment="1">
      <alignment horizontal="center" vertical="center"/>
    </xf>
    <xf numFmtId="0" fontId="3" fillId="31" borderId="23" xfId="0" applyFont="1" applyFill="1" applyBorder="1" applyAlignment="1">
      <alignment horizontal="center" vertical="center"/>
    </xf>
    <xf numFmtId="0" fontId="3" fillId="27" borderId="116" xfId="0" applyFont="1" applyFill="1" applyBorder="1" applyAlignment="1">
      <alignment horizontal="center" vertical="center"/>
    </xf>
    <xf numFmtId="0" fontId="3" fillId="27" borderId="22" xfId="0" applyFont="1" applyFill="1" applyBorder="1" applyAlignment="1">
      <alignment horizontal="center" vertical="center"/>
    </xf>
    <xf numFmtId="0" fontId="3" fillId="27" borderId="109" xfId="0" applyFont="1" applyFill="1" applyBorder="1" applyAlignment="1">
      <alignment horizontal="center" vertical="center"/>
    </xf>
    <xf numFmtId="0" fontId="28" fillId="0" borderId="0" xfId="1" applyFont="1" applyAlignment="1">
      <alignment horizontal="center" vertical="center"/>
    </xf>
    <xf numFmtId="0" fontId="43" fillId="0" borderId="0" xfId="1" applyFont="1" applyAlignment="1">
      <alignment horizontal="center" vertical="center" wrapText="1"/>
    </xf>
    <xf numFmtId="0" fontId="28" fillId="0" borderId="23" xfId="1" applyFont="1" applyBorder="1" applyAlignment="1">
      <alignment horizontal="center" vertical="center"/>
    </xf>
    <xf numFmtId="0" fontId="43" fillId="0" borderId="23" xfId="1" applyFont="1" applyBorder="1" applyAlignment="1">
      <alignment horizontal="center" vertical="center" wrapText="1"/>
    </xf>
    <xf numFmtId="0" fontId="43" fillId="30" borderId="114" xfId="1" applyFont="1" applyFill="1" applyBorder="1" applyAlignment="1">
      <alignment horizontal="center" vertical="center"/>
    </xf>
    <xf numFmtId="0" fontId="43" fillId="30" borderId="115" xfId="1" applyFont="1" applyFill="1" applyBorder="1" applyAlignment="1">
      <alignment horizontal="center" vertical="center"/>
    </xf>
    <xf numFmtId="0" fontId="43" fillId="30" borderId="113" xfId="1" applyFont="1" applyFill="1" applyBorder="1" applyAlignment="1">
      <alignment horizontal="center" vertical="center"/>
    </xf>
    <xf numFmtId="0" fontId="43" fillId="30" borderId="118" xfId="0" applyFont="1" applyFill="1" applyBorder="1" applyAlignment="1">
      <alignment horizontal="center" vertical="center" wrapText="1"/>
    </xf>
    <xf numFmtId="0" fontId="43" fillId="30" borderId="1" xfId="0" applyFont="1" applyFill="1" applyBorder="1" applyAlignment="1">
      <alignment horizontal="center" vertical="center" wrapText="1"/>
    </xf>
    <xf numFmtId="0" fontId="36" fillId="30" borderId="114" xfId="0" applyFont="1" applyFill="1" applyBorder="1" applyAlignment="1">
      <alignment horizontal="left" vertical="center"/>
    </xf>
    <xf numFmtId="0" fontId="36" fillId="30" borderId="115" xfId="0" applyFont="1" applyFill="1" applyBorder="1" applyAlignment="1">
      <alignment horizontal="left" vertical="center"/>
    </xf>
    <xf numFmtId="0" fontId="36" fillId="30" borderId="113" xfId="0" applyFont="1" applyFill="1" applyBorder="1" applyAlignment="1">
      <alignment horizontal="left" vertical="center"/>
    </xf>
    <xf numFmtId="0" fontId="36" fillId="30" borderId="114" xfId="0" applyFont="1" applyFill="1" applyBorder="1" applyAlignment="1">
      <alignment horizontal="center" vertical="center" wrapText="1"/>
    </xf>
    <xf numFmtId="0" fontId="36" fillId="30" borderId="115" xfId="0" applyFont="1" applyFill="1" applyBorder="1" applyAlignment="1">
      <alignment horizontal="center" vertical="center" wrapText="1"/>
    </xf>
    <xf numFmtId="0" fontId="36" fillId="30" borderId="113" xfId="0" applyFont="1" applyFill="1" applyBorder="1" applyAlignment="1">
      <alignment horizontal="center" vertical="center" wrapText="1"/>
    </xf>
    <xf numFmtId="2" fontId="36" fillId="48" borderId="113" xfId="1" applyNumberFormat="1" applyFont="1" applyFill="1" applyBorder="1" applyAlignment="1">
      <alignment horizontal="center" vertical="center"/>
    </xf>
    <xf numFmtId="2" fontId="1" fillId="48" borderId="113" xfId="1" applyNumberFormat="1" applyFill="1" applyBorder="1" applyAlignment="1">
      <alignment horizontal="center" vertical="center"/>
    </xf>
    <xf numFmtId="2" fontId="36" fillId="3" borderId="115" xfId="1" applyNumberFormat="1" applyFont="1" applyFill="1" applyBorder="1" applyAlignment="1">
      <alignment horizontal="center" vertical="center"/>
    </xf>
    <xf numFmtId="2" fontId="1" fillId="3" borderId="115" xfId="1" applyNumberFormat="1" applyFill="1" applyBorder="1" applyAlignment="1">
      <alignment horizontal="center" vertical="center"/>
    </xf>
    <xf numFmtId="0" fontId="28" fillId="0" borderId="0" xfId="0" applyFont="1" applyAlignment="1">
      <alignment horizontal="left" vertical="center"/>
    </xf>
    <xf numFmtId="0" fontId="43" fillId="3" borderId="0" xfId="0" applyFont="1" applyFill="1" applyAlignment="1">
      <alignment horizontal="center" vertical="center" wrapText="1"/>
    </xf>
    <xf numFmtId="0" fontId="43" fillId="30" borderId="112" xfId="1" applyFont="1" applyFill="1" applyBorder="1" applyAlignment="1">
      <alignment horizontal="left" vertical="center"/>
    </xf>
    <xf numFmtId="0" fontId="43" fillId="3" borderId="112" xfId="1" applyFont="1" applyFill="1" applyBorder="1" applyAlignment="1">
      <alignment horizontal="center" vertical="center"/>
    </xf>
    <xf numFmtId="0" fontId="36" fillId="30" borderId="112" xfId="0" applyFont="1" applyFill="1" applyBorder="1" applyAlignment="1">
      <alignment horizontal="left" vertical="center"/>
    </xf>
    <xf numFmtId="0" fontId="36" fillId="3" borderId="112" xfId="0" applyFont="1" applyFill="1" applyBorder="1" applyAlignment="1">
      <alignment horizontal="center" vertical="center" wrapText="1"/>
    </xf>
    <xf numFmtId="0" fontId="1" fillId="0" borderId="26" xfId="1" applyBorder="1" applyAlignment="1">
      <alignment horizontal="center" vertical="center"/>
    </xf>
    <xf numFmtId="0" fontId="3" fillId="27" borderId="118" xfId="0" applyFont="1" applyFill="1" applyBorder="1" applyAlignment="1">
      <alignment horizontal="center" vertical="center" wrapText="1"/>
    </xf>
    <xf numFmtId="0" fontId="3" fillId="27" borderId="114" xfId="0" applyFont="1" applyFill="1" applyBorder="1" applyAlignment="1">
      <alignment horizontal="center" vertical="center" wrapText="1"/>
    </xf>
    <xf numFmtId="0" fontId="3" fillId="27" borderId="115" xfId="0" applyFont="1" applyFill="1" applyBorder="1" applyAlignment="1">
      <alignment horizontal="center" vertical="center" wrapText="1"/>
    </xf>
    <xf numFmtId="0" fontId="3" fillId="27" borderId="113" xfId="0" applyFont="1" applyFill="1" applyBorder="1" applyAlignment="1">
      <alignment horizontal="center" vertical="center" wrapText="1"/>
    </xf>
    <xf numFmtId="0" fontId="3" fillId="27" borderId="112" xfId="0" applyFont="1" applyFill="1" applyBorder="1" applyAlignment="1">
      <alignment horizontal="center" vertical="center"/>
    </xf>
    <xf numFmtId="0" fontId="3" fillId="27" borderId="118" xfId="0" applyFont="1" applyFill="1" applyBorder="1" applyAlignment="1">
      <alignment horizontal="center" vertical="center"/>
    </xf>
    <xf numFmtId="0" fontId="3" fillId="27" borderId="112" xfId="0" applyFont="1" applyFill="1" applyBorder="1" applyAlignment="1">
      <alignment horizontal="center" vertical="center" wrapText="1"/>
    </xf>
    <xf numFmtId="0" fontId="3" fillId="27" borderId="117" xfId="0" applyFont="1" applyFill="1" applyBorder="1" applyAlignment="1">
      <alignment horizontal="center" vertical="center" wrapText="1"/>
    </xf>
    <xf numFmtId="0" fontId="3" fillId="27" borderId="119" xfId="0" applyFont="1" applyFill="1" applyBorder="1" applyAlignment="1">
      <alignment horizontal="center" vertical="center"/>
    </xf>
    <xf numFmtId="0" fontId="3" fillId="27" borderId="103" xfId="0" applyFont="1" applyFill="1" applyBorder="1" applyAlignment="1">
      <alignment horizontal="center" vertical="center" wrapText="1"/>
    </xf>
    <xf numFmtId="0" fontId="30" fillId="27" borderId="112" xfId="0" applyFont="1" applyFill="1" applyBorder="1" applyAlignment="1">
      <alignment horizontal="center" vertical="center" wrapText="1"/>
    </xf>
    <xf numFmtId="0" fontId="3" fillId="31" borderId="119" xfId="0" applyFont="1" applyFill="1" applyBorder="1" applyAlignment="1">
      <alignment horizontal="center" vertical="center" wrapText="1"/>
    </xf>
    <xf numFmtId="0" fontId="3" fillId="27" borderId="121" xfId="0" applyFont="1" applyFill="1" applyBorder="1" applyAlignment="1">
      <alignment horizontal="center" vertical="center" wrapText="1"/>
    </xf>
    <xf numFmtId="0" fontId="3" fillId="27" borderId="125" xfId="0" applyFont="1" applyFill="1" applyBorder="1" applyAlignment="1">
      <alignment horizontal="center" vertical="center"/>
    </xf>
    <xf numFmtId="0" fontId="3" fillId="27" borderId="121" xfId="0" applyFont="1" applyFill="1" applyBorder="1" applyAlignment="1">
      <alignment horizontal="center" vertical="center"/>
    </xf>
    <xf numFmtId="0" fontId="3" fillId="31" borderId="125" xfId="0" applyFont="1" applyFill="1" applyBorder="1" applyAlignment="1">
      <alignment horizontal="center" vertical="center" wrapText="1"/>
    </xf>
    <xf numFmtId="0" fontId="3" fillId="31" borderId="133" xfId="0" applyFont="1" applyFill="1" applyBorder="1" applyAlignment="1">
      <alignment horizontal="center" vertical="center"/>
    </xf>
    <xf numFmtId="0" fontId="3" fillId="27" borderId="127" xfId="0" applyFont="1" applyFill="1" applyBorder="1" applyAlignment="1">
      <alignment horizontal="center" vertical="center" wrapText="1"/>
    </xf>
    <xf numFmtId="0" fontId="3" fillId="27" borderId="127" xfId="0" applyFont="1" applyFill="1" applyBorder="1" applyAlignment="1">
      <alignment horizontal="center" vertical="center"/>
    </xf>
    <xf numFmtId="0" fontId="3" fillId="27" borderId="129" xfId="0" applyFont="1" applyFill="1" applyBorder="1" applyAlignment="1">
      <alignment horizontal="center" vertical="center"/>
    </xf>
    <xf numFmtId="0" fontId="3" fillId="31" borderId="129" xfId="0" applyFont="1" applyFill="1" applyBorder="1" applyAlignment="1">
      <alignment horizontal="center" vertical="center" wrapText="1"/>
    </xf>
    <xf numFmtId="0" fontId="71" fillId="30" borderId="112" xfId="0" applyFont="1" applyFill="1" applyBorder="1" applyAlignment="1">
      <alignment horizontal="center" vertical="center"/>
    </xf>
    <xf numFmtId="0" fontId="73" fillId="29" borderId="31" xfId="0" applyFont="1" applyFill="1" applyBorder="1" applyAlignment="1">
      <alignment horizontal="center" vertical="center" wrapText="1"/>
    </xf>
    <xf numFmtId="0" fontId="73" fillId="37" borderId="26" xfId="0" applyFont="1" applyFill="1" applyBorder="1" applyAlignment="1">
      <alignment horizontal="center" vertical="center" wrapText="1"/>
    </xf>
    <xf numFmtId="0" fontId="73" fillId="37" borderId="0" xfId="0" applyFont="1" applyFill="1" applyAlignment="1">
      <alignment horizontal="center" vertical="center" wrapText="1"/>
    </xf>
    <xf numFmtId="0" fontId="73" fillId="37" borderId="33" xfId="0" applyFont="1" applyFill="1" applyBorder="1" applyAlignment="1">
      <alignment horizontal="center" vertical="center" wrapText="1"/>
    </xf>
    <xf numFmtId="0" fontId="73" fillId="39" borderId="31" xfId="0" applyFont="1" applyFill="1" applyBorder="1" applyAlignment="1">
      <alignment horizontal="center" vertical="center"/>
    </xf>
    <xf numFmtId="0" fontId="73" fillId="31" borderId="26" xfId="0" applyFont="1" applyFill="1" applyBorder="1" applyAlignment="1">
      <alignment horizontal="center" vertical="center"/>
    </xf>
    <xf numFmtId="0" fontId="73" fillId="31" borderId="0" xfId="0" applyFont="1" applyFill="1" applyAlignment="1">
      <alignment horizontal="center" vertical="center"/>
    </xf>
    <xf numFmtId="0" fontId="73" fillId="31" borderId="33" xfId="0" applyFont="1" applyFill="1" applyBorder="1" applyAlignment="1">
      <alignment horizontal="center" vertical="center"/>
    </xf>
    <xf numFmtId="0" fontId="73" fillId="31" borderId="32" xfId="0" applyFont="1" applyFill="1" applyBorder="1" applyAlignment="1">
      <alignment horizontal="center" vertical="center"/>
    </xf>
    <xf numFmtId="0" fontId="73" fillId="31" borderId="23" xfId="0" applyFont="1" applyFill="1" applyBorder="1" applyAlignment="1">
      <alignment horizontal="center" vertical="center"/>
    </xf>
    <xf numFmtId="0" fontId="73" fillId="31" borderId="24" xfId="0" applyFont="1" applyFill="1" applyBorder="1" applyAlignment="1">
      <alignment horizontal="center" vertical="center"/>
    </xf>
    <xf numFmtId="0" fontId="73" fillId="0" borderId="114" xfId="0" applyFont="1" applyBorder="1" applyAlignment="1">
      <alignment horizontal="left" vertical="center" wrapText="1"/>
    </xf>
    <xf numFmtId="0" fontId="73" fillId="0" borderId="113" xfId="0" applyFont="1" applyBorder="1" applyAlignment="1">
      <alignment horizontal="left" vertical="center" wrapText="1"/>
    </xf>
    <xf numFmtId="0" fontId="28" fillId="0" borderId="0" xfId="0" applyFont="1" applyAlignment="1">
      <alignment horizontal="left" vertical="center" wrapText="1"/>
    </xf>
    <xf numFmtId="0" fontId="43" fillId="30" borderId="112" xfId="1" applyFont="1" applyFill="1" applyBorder="1" applyAlignment="1">
      <alignment horizontal="left" vertical="center" wrapText="1"/>
    </xf>
    <xf numFmtId="0" fontId="36" fillId="30" borderId="112" xfId="0" applyFont="1" applyFill="1" applyBorder="1" applyAlignment="1">
      <alignment horizontal="left" vertical="center" wrapText="1"/>
    </xf>
    <xf numFmtId="0" fontId="77" fillId="0" borderId="0" xfId="0" applyFont="1" applyAlignment="1">
      <alignment horizontal="center" vertical="center" wrapText="1"/>
    </xf>
    <xf numFmtId="0" fontId="77" fillId="30" borderId="112" xfId="1" applyFont="1" applyFill="1" applyBorder="1" applyAlignment="1">
      <alignment horizontal="center" vertical="center"/>
    </xf>
    <xf numFmtId="0" fontId="78" fillId="30" borderId="112" xfId="0" applyFont="1" applyFill="1" applyBorder="1" applyAlignment="1">
      <alignment horizontal="center" vertical="center" wrapText="1"/>
    </xf>
    <xf numFmtId="2" fontId="59" fillId="48" borderId="114" xfId="1" applyNumberFormat="1" applyFont="1" applyFill="1" applyBorder="1" applyAlignment="1">
      <alignment horizontal="center" vertical="center"/>
    </xf>
    <xf numFmtId="2" fontId="59" fillId="48" borderId="115" xfId="1" applyNumberFormat="1" applyFont="1" applyFill="1" applyBorder="1" applyAlignment="1">
      <alignment horizontal="center" vertical="center"/>
    </xf>
    <xf numFmtId="2" fontId="59" fillId="48" borderId="113" xfId="1" applyNumberFormat="1" applyFont="1" applyFill="1" applyBorder="1" applyAlignment="1">
      <alignment horizontal="center" vertical="center"/>
    </xf>
    <xf numFmtId="0" fontId="36" fillId="3" borderId="1" xfId="0" applyFont="1" applyFill="1" applyBorder="1" applyAlignment="1">
      <alignment horizontal="left" vertical="center" wrapText="1"/>
    </xf>
    <xf numFmtId="0" fontId="36" fillId="3" borderId="112" xfId="0" applyFont="1" applyFill="1" applyBorder="1" applyAlignment="1">
      <alignment horizontal="left" vertical="center" wrapText="1"/>
    </xf>
    <xf numFmtId="0" fontId="36" fillId="30" borderId="127" xfId="0" applyFont="1" applyFill="1" applyBorder="1" applyAlignment="1">
      <alignment horizontal="center" vertical="center" wrapText="1"/>
    </xf>
    <xf numFmtId="0" fontId="36" fillId="30" borderId="1" xfId="0" applyFont="1" applyFill="1" applyBorder="1" applyAlignment="1">
      <alignment horizontal="center" vertical="center" wrapText="1"/>
    </xf>
    <xf numFmtId="0" fontId="47" fillId="30" borderId="23" xfId="0" applyFont="1" applyFill="1" applyBorder="1" applyAlignment="1">
      <alignment horizontal="center" vertical="center"/>
    </xf>
  </cellXfs>
  <cellStyles count="102">
    <cellStyle name="20% - Accent1" xfId="10" xr:uid="{00000000-0005-0000-0000-000000000000}"/>
    <cellStyle name="20% - Accent2" xfId="13" xr:uid="{00000000-0005-0000-0000-000001000000}"/>
    <cellStyle name="20% - Accent3" xfId="12" xr:uid="{00000000-0005-0000-0000-000002000000}"/>
    <cellStyle name="20% - Accent4" xfId="11" xr:uid="{00000000-0005-0000-0000-000003000000}"/>
    <cellStyle name="20% - Accent5" xfId="14" xr:uid="{00000000-0005-0000-0000-000004000000}"/>
    <cellStyle name="20% - Accent6" xfId="15" xr:uid="{00000000-0005-0000-0000-000005000000}"/>
    <cellStyle name="40% - Accent1" xfId="16" xr:uid="{00000000-0005-0000-0000-000006000000}"/>
    <cellStyle name="40% - Accent2" xfId="17" xr:uid="{00000000-0005-0000-0000-000007000000}"/>
    <cellStyle name="40% - Accent3" xfId="18" xr:uid="{00000000-0005-0000-0000-000008000000}"/>
    <cellStyle name="40% - Accent4" xfId="19" xr:uid="{00000000-0005-0000-0000-000009000000}"/>
    <cellStyle name="40% - Accent5" xfId="20" xr:uid="{00000000-0005-0000-0000-00000A000000}"/>
    <cellStyle name="40% - Accent6" xfId="21" xr:uid="{00000000-0005-0000-0000-00000B000000}"/>
    <cellStyle name="60% - Accent1" xfId="22" xr:uid="{00000000-0005-0000-0000-00000C000000}"/>
    <cellStyle name="60% - Accent2" xfId="23" xr:uid="{00000000-0005-0000-0000-00000D000000}"/>
    <cellStyle name="60% - Accent3" xfId="24" xr:uid="{00000000-0005-0000-0000-00000E000000}"/>
    <cellStyle name="60% - Accent4" xfId="25" xr:uid="{00000000-0005-0000-0000-00000F000000}"/>
    <cellStyle name="60% - Accent5" xfId="26" xr:uid="{00000000-0005-0000-0000-000010000000}"/>
    <cellStyle name="60% - Accent6" xfId="27" xr:uid="{00000000-0005-0000-0000-000011000000}"/>
    <cellStyle name="Accent1" xfId="28" xr:uid="{00000000-0005-0000-0000-000012000000}"/>
    <cellStyle name="Accent2" xfId="29" xr:uid="{00000000-0005-0000-0000-000013000000}"/>
    <cellStyle name="Accent3" xfId="30" xr:uid="{00000000-0005-0000-0000-000014000000}"/>
    <cellStyle name="Accent4" xfId="31" xr:uid="{00000000-0005-0000-0000-000015000000}"/>
    <cellStyle name="Accent5" xfId="32" xr:uid="{00000000-0005-0000-0000-000016000000}"/>
    <cellStyle name="Accent6" xfId="33" xr:uid="{00000000-0005-0000-0000-000017000000}"/>
    <cellStyle name="Bad" xfId="34" xr:uid="{00000000-0005-0000-0000-000018000000}"/>
    <cellStyle name="Calculation" xfId="35" xr:uid="{00000000-0005-0000-0000-000019000000}"/>
    <cellStyle name="Calculation 2" xfId="59" xr:uid="{5A744F57-F75B-42C6-A6EA-261F65E2D87A}"/>
    <cellStyle name="Calculation 2 2" xfId="83" xr:uid="{34EF6CC0-22D2-42CF-9A9D-D1A454DA4679}"/>
    <cellStyle name="Calculation 2 3" xfId="72" xr:uid="{3FA18454-E1C4-45D5-9C98-7962BCB16FBC}"/>
    <cellStyle name="Calculation 2 4" xfId="88" xr:uid="{CAF5E12B-C25D-4FDD-95F1-BD7A519DD74E}"/>
    <cellStyle name="Calculation 2 5" xfId="91" xr:uid="{9236ABF1-AA14-4EAD-9DAD-AD8ABB362D81}"/>
    <cellStyle name="Calculation 2 6" xfId="97" xr:uid="{D60A900C-EAB2-4271-9643-4C3C03C855DF}"/>
    <cellStyle name="Calculation 3" xfId="79" xr:uid="{FEA149CA-7775-4CD6-8E98-7682E7615951}"/>
    <cellStyle name="Calculation 4" xfId="94" xr:uid="{92F15C91-85F9-4097-95AF-D2DD624833BC}"/>
    <cellStyle name="Check Cell" xfId="36" xr:uid="{00000000-0005-0000-0000-00001A000000}"/>
    <cellStyle name="Comma [0] 2" xfId="56" xr:uid="{B52DFFEF-155D-4DC3-8575-4D25276BD95C}"/>
    <cellStyle name="Comma [0] 2 2" xfId="66" xr:uid="{31FB5A2B-947A-428B-92F2-0D5E2C2FB455}"/>
    <cellStyle name="Comma [0] 3" xfId="55" xr:uid="{1304C8A3-219A-4F35-A10A-A58B6B645462}"/>
    <cellStyle name="Comma [0] 3 2" xfId="65" xr:uid="{5C86576C-1919-4E95-94A1-DCDA2675BA3F}"/>
    <cellStyle name="Explanatory Text" xfId="37" xr:uid="{00000000-0005-0000-0000-00001B000000}"/>
    <cellStyle name="Good" xfId="38" xr:uid="{00000000-0005-0000-0000-00001C000000}"/>
    <cellStyle name="Heading 1" xfId="39" xr:uid="{00000000-0005-0000-0000-00001D000000}"/>
    <cellStyle name="Heading 2" xfId="40" xr:uid="{00000000-0005-0000-0000-00001E000000}"/>
    <cellStyle name="Heading 3" xfId="41" xr:uid="{00000000-0005-0000-0000-00001F000000}"/>
    <cellStyle name="Heading 4" xfId="42" xr:uid="{00000000-0005-0000-0000-000020000000}"/>
    <cellStyle name="Input" xfId="43" xr:uid="{00000000-0005-0000-0000-000021000000}"/>
    <cellStyle name="Input 2" xfId="60" xr:uid="{79D1ECBA-B88A-4AF2-B2C6-66C333AC1F32}"/>
    <cellStyle name="Input 2 2" xfId="84" xr:uid="{981C9F4E-2D04-4DDC-A7F9-3FB7476AAFDC}"/>
    <cellStyle name="Input 2 3" xfId="73" xr:uid="{7C895732-9AAA-439E-895C-9E6B5F494F84}"/>
    <cellStyle name="Input 2 4" xfId="82" xr:uid="{F7E36D15-8E23-45AC-962E-881EA4270A43}"/>
    <cellStyle name="Input 2 5" xfId="74" xr:uid="{DE977243-AAE5-4BE7-9B30-83B49DBD0CC3}"/>
    <cellStyle name="Input 2 6" xfId="98" xr:uid="{F24E98C2-E483-4AEF-900E-47C1255C13F6}"/>
    <cellStyle name="Input 3" xfId="78" xr:uid="{D3E9B237-7363-4BC2-85FF-1FFA0FD0BEFA}"/>
    <cellStyle name="Input 4" xfId="80" xr:uid="{A90BAB94-B651-4818-8DDC-5F8C9AE514A6}"/>
    <cellStyle name="Linked Cell" xfId="44" xr:uid="{00000000-0005-0000-0000-000022000000}"/>
    <cellStyle name="Neutral" xfId="45" xr:uid="{00000000-0005-0000-0000-000023000000}"/>
    <cellStyle name="Neutral 2" xfId="53" xr:uid="{00000000-0005-0000-0000-000024000000}"/>
    <cellStyle name="Neutral 3" xfId="57" xr:uid="{1B29CE4C-CDA9-4D26-ACB6-2F6A62E67E99}"/>
    <cellStyle name="Normal" xfId="0" builtinId="0"/>
    <cellStyle name="Normal 2" xfId="1" xr:uid="{00000000-0005-0000-0000-000026000000}"/>
    <cellStyle name="Normal 2 10 2" xfId="58" xr:uid="{F24CE8A4-2400-4997-9C71-BABEC68F53A8}"/>
    <cellStyle name="Normal 2 2" xfId="6" xr:uid="{00000000-0005-0000-0000-000027000000}"/>
    <cellStyle name="Normal 2 3" xfId="5" xr:uid="{00000000-0005-0000-0000-000028000000}"/>
    <cellStyle name="Normal 2 3 2" xfId="9" xr:uid="{00000000-0005-0000-0000-000029000000}"/>
    <cellStyle name="Normal 2 4" xfId="52" xr:uid="{00000000-0005-0000-0000-00002A000000}"/>
    <cellStyle name="Normal 2 4 2" xfId="64" xr:uid="{B8AF9B53-CBDA-422F-8DC5-9E5F671F5F49}"/>
    <cellStyle name="Normal 3" xfId="7" xr:uid="{00000000-0005-0000-0000-00002B000000}"/>
    <cellStyle name="Normal 4" xfId="8" xr:uid="{00000000-0005-0000-0000-00002C000000}"/>
    <cellStyle name="Normal 4 2" xfId="54" xr:uid="{00000000-0005-0000-0000-00002D000000}"/>
    <cellStyle name="Normal 5" xfId="4" xr:uid="{00000000-0005-0000-0000-00002E000000}"/>
    <cellStyle name="Normal 6" xfId="51" xr:uid="{00000000-0005-0000-0000-00002F000000}"/>
    <cellStyle name="Note" xfId="46" xr:uid="{00000000-0005-0000-0000-000030000000}"/>
    <cellStyle name="Note 2" xfId="61" xr:uid="{8F288DBE-526F-474F-907C-092294C4C96C}"/>
    <cellStyle name="Note 2 2" xfId="85" xr:uid="{124FE26A-6C13-44C7-BA27-5F14B4490825}"/>
    <cellStyle name="Note 2 3" xfId="71" xr:uid="{BAE2E1A4-2832-4348-BA5E-5B774F385254}"/>
    <cellStyle name="Note 2 4" xfId="69" xr:uid="{CC29A5E5-14CC-4EFE-B74C-C01D809E190F}"/>
    <cellStyle name="Note 2 5" xfId="67" xr:uid="{6DB9013F-BCA3-4968-B1B8-6162F2F5DFAF}"/>
    <cellStyle name="Note 2 6" xfId="99" xr:uid="{41D73E21-A75E-4D68-8029-A58B7CC08C9E}"/>
    <cellStyle name="Note 3" xfId="77" xr:uid="{95024262-6769-488A-98BB-4DB8BBBB375D}"/>
    <cellStyle name="Note 4" xfId="70" xr:uid="{649016C0-EB6C-48C2-A41A-F6DED16AE9DE}"/>
    <cellStyle name="Output" xfId="47" xr:uid="{00000000-0005-0000-0000-000031000000}"/>
    <cellStyle name="Output 2" xfId="62" xr:uid="{55CE0258-119E-472D-877A-9BB0D4046148}"/>
    <cellStyle name="Output 2 2" xfId="86" xr:uid="{39141006-3B6E-45D3-8F64-538A9630217D}"/>
    <cellStyle name="Output 2 3" xfId="89" xr:uid="{23B6222A-1F53-4E80-BC5E-0281695B78EF}"/>
    <cellStyle name="Output 2 4" xfId="92" xr:uid="{13257DFE-5257-43F3-A303-34337B0FB2F4}"/>
    <cellStyle name="Output 2 5" xfId="95" xr:uid="{5387607A-C109-4C7F-9904-BC82D7F820E8}"/>
    <cellStyle name="Output 2 6" xfId="100" xr:uid="{1947ABBC-A758-431E-8225-9B5E56B09D84}"/>
    <cellStyle name="Output 3" xfId="76" xr:uid="{4C3C7B9E-BE26-4DAD-9D1C-3D09927FC1BB}"/>
    <cellStyle name="Output 4" xfId="81" xr:uid="{98308FAA-0FF1-431A-B4A0-8CDEE4B6B9A5}"/>
    <cellStyle name="Title" xfId="48" xr:uid="{00000000-0005-0000-0000-000032000000}"/>
    <cellStyle name="Total" xfId="49" xr:uid="{00000000-0005-0000-0000-000033000000}"/>
    <cellStyle name="Total 2" xfId="63" xr:uid="{5FD562D1-EB4E-485C-ABB0-2A071B4DA514}"/>
    <cellStyle name="Total 2 2" xfId="87" xr:uid="{A9B76C61-32F3-44D1-8C30-DB7714800B92}"/>
    <cellStyle name="Total 2 3" xfId="90" xr:uid="{5B55A4D5-692C-4533-92D1-073AD4CC4B77}"/>
    <cellStyle name="Total 2 4" xfId="93" xr:uid="{299C9DD9-0011-4EAF-965D-7772ABE7FF68}"/>
    <cellStyle name="Total 2 5" xfId="96" xr:uid="{3898BDB4-FFAA-4CCF-B355-70B2D5868809}"/>
    <cellStyle name="Total 2 6" xfId="101" xr:uid="{529E700E-3D93-4F22-ADC4-D79665017D88}"/>
    <cellStyle name="Total 3" xfId="75" xr:uid="{AB9B9F4C-B4AF-4F4A-AFF9-A8A91BCC946D}"/>
    <cellStyle name="Total 4" xfId="68" xr:uid="{165E0E8E-075F-40B1-ADFB-C8733BFE9E8C}"/>
    <cellStyle name="Warning Text" xfId="50" xr:uid="{00000000-0005-0000-0000-000034000000}"/>
    <cellStyle name="표준 3" xfId="2" xr:uid="{00000000-0005-0000-0000-000035000000}"/>
    <cellStyle name="표준_Load-List-Cal-D" xfId="3" xr:uid="{00000000-0005-0000-0000-000036000000}"/>
  </cellStyles>
  <dxfs count="7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val="0"/>
        <color auto="1"/>
      </font>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val="0"/>
        <color auto="1"/>
      </font>
      <fill>
        <patternFill>
          <bgColor theme="9" tint="0.39994506668294322"/>
        </patternFill>
      </fill>
    </dxf>
    <dxf>
      <font>
        <strike val="0"/>
        <color auto="1"/>
      </font>
      <fill>
        <patternFill>
          <bgColor theme="9" tint="0.39994506668294322"/>
        </patternFill>
      </fill>
    </dxf>
    <dxf>
      <font>
        <strike val="0"/>
        <color auto="1"/>
      </font>
      <fill>
        <patternFill>
          <bgColor theme="9" tint="0.39994506668294322"/>
        </patternFill>
      </fill>
    </dxf>
    <dxf>
      <fill>
        <patternFill>
          <bgColor rgb="FFFF0000"/>
        </patternFill>
      </fill>
    </dxf>
    <dxf>
      <font>
        <strike val="0"/>
        <color auto="1"/>
      </font>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val="0"/>
        <color auto="1"/>
      </font>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val="0"/>
        <color auto="1"/>
      </font>
      <fill>
        <patternFill>
          <bgColor theme="9" tint="0.39994506668294322"/>
        </patternFill>
      </fill>
    </dxf>
  </dxfs>
  <tableStyles count="0" defaultTableStyle="TableStyleMedium9" defaultPivotStyle="PivotStyleLight16"/>
  <colors>
    <mruColors>
      <color rgb="FFFFCCFF"/>
      <color rgb="FF0000CC"/>
      <color rgb="FF00FFFF"/>
      <color rgb="FFFF99FF"/>
      <color rgb="FF66FFFF"/>
      <color rgb="FFFF00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17929</xdr:colOff>
      <xdr:row>94</xdr:row>
      <xdr:rowOff>126065</xdr:rowOff>
    </xdr:from>
    <xdr:to>
      <xdr:col>24</xdr:col>
      <xdr:colOff>142337</xdr:colOff>
      <xdr:row>109</xdr:row>
      <xdr:rowOff>6474</xdr:rowOff>
    </xdr:to>
    <xdr:pic>
      <xdr:nvPicPr>
        <xdr:cNvPr id="2" name="Picture 1">
          <a:extLst>
            <a:ext uri="{FF2B5EF4-FFF2-40B4-BE49-F238E27FC236}">
              <a16:creationId xmlns:a16="http://schemas.microsoft.com/office/drawing/2014/main" id="{1CEAF23F-8036-D240-79B3-9C827912A847}"/>
            </a:ext>
          </a:extLst>
        </xdr:cNvPr>
        <xdr:cNvPicPr>
          <a:picLocks noChangeAspect="1"/>
        </xdr:cNvPicPr>
      </xdr:nvPicPr>
      <xdr:blipFill>
        <a:blip xmlns:r="http://schemas.openxmlformats.org/officeDocument/2006/relationships" r:embed="rId1"/>
        <a:stretch>
          <a:fillRect/>
        </a:stretch>
      </xdr:blipFill>
      <xdr:spPr>
        <a:xfrm>
          <a:off x="4932829" y="23100365"/>
          <a:ext cx="8182558" cy="23092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134</xdr:row>
      <xdr:rowOff>0</xdr:rowOff>
    </xdr:from>
    <xdr:to>
      <xdr:col>18</xdr:col>
      <xdr:colOff>250509</xdr:colOff>
      <xdr:row>136</xdr:row>
      <xdr:rowOff>213994</xdr:rowOff>
    </xdr:to>
    <xdr:pic>
      <xdr:nvPicPr>
        <xdr:cNvPr id="4" name="Picture 3">
          <a:extLst>
            <a:ext uri="{FF2B5EF4-FFF2-40B4-BE49-F238E27FC236}">
              <a16:creationId xmlns:a16="http://schemas.microsoft.com/office/drawing/2014/main" id="{4DAAEA0A-DD51-481F-9E4A-325B8AAB5878}"/>
            </a:ext>
          </a:extLst>
        </xdr:cNvPr>
        <xdr:cNvPicPr>
          <a:picLocks noChangeAspect="1"/>
        </xdr:cNvPicPr>
      </xdr:nvPicPr>
      <xdr:blipFill>
        <a:blip xmlns:r="http://schemas.openxmlformats.org/officeDocument/2006/relationships" r:embed="rId1"/>
        <a:stretch>
          <a:fillRect/>
        </a:stretch>
      </xdr:blipFill>
      <xdr:spPr>
        <a:xfrm>
          <a:off x="7586382" y="40879059"/>
          <a:ext cx="7612774" cy="707052"/>
        </a:xfrm>
        <a:prstGeom prst="rect">
          <a:avLst/>
        </a:prstGeom>
      </xdr:spPr>
    </xdr:pic>
    <xdr:clientData/>
  </xdr:twoCellAnchor>
  <xdr:twoCellAnchor editAs="oneCell">
    <xdr:from>
      <xdr:col>8</xdr:col>
      <xdr:colOff>615724</xdr:colOff>
      <xdr:row>174</xdr:row>
      <xdr:rowOff>190500</xdr:rowOff>
    </xdr:from>
    <xdr:to>
      <xdr:col>17</xdr:col>
      <xdr:colOff>274737</xdr:colOff>
      <xdr:row>176</xdr:row>
      <xdr:rowOff>247724</xdr:rowOff>
    </xdr:to>
    <xdr:pic>
      <xdr:nvPicPr>
        <xdr:cNvPr id="2" name="Picture 1">
          <a:extLst>
            <a:ext uri="{FF2B5EF4-FFF2-40B4-BE49-F238E27FC236}">
              <a16:creationId xmlns:a16="http://schemas.microsoft.com/office/drawing/2014/main" id="{E3E35848-0D86-F742-9E3F-8FC194366CFF}"/>
            </a:ext>
          </a:extLst>
        </xdr:cNvPr>
        <xdr:cNvPicPr>
          <a:picLocks noChangeAspect="1"/>
        </xdr:cNvPicPr>
      </xdr:nvPicPr>
      <xdr:blipFill>
        <a:blip xmlns:r="http://schemas.openxmlformats.org/officeDocument/2006/relationships" r:embed="rId2"/>
        <a:stretch>
          <a:fillRect/>
        </a:stretch>
      </xdr:blipFill>
      <xdr:spPr>
        <a:xfrm>
          <a:off x="7584849" y="54467125"/>
          <a:ext cx="7125866" cy="5652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108857</xdr:colOff>
      <xdr:row>174</xdr:row>
      <xdr:rowOff>217714</xdr:rowOff>
    </xdr:from>
    <xdr:to>
      <xdr:col>15</xdr:col>
      <xdr:colOff>400917</xdr:colOff>
      <xdr:row>176</xdr:row>
      <xdr:rowOff>318489</xdr:rowOff>
    </xdr:to>
    <xdr:pic>
      <xdr:nvPicPr>
        <xdr:cNvPr id="2" name="Picture 1">
          <a:extLst>
            <a:ext uri="{FF2B5EF4-FFF2-40B4-BE49-F238E27FC236}">
              <a16:creationId xmlns:a16="http://schemas.microsoft.com/office/drawing/2014/main" id="{CAFA90A2-AF02-42D7-A4BC-080AF38DDF28}"/>
            </a:ext>
          </a:extLst>
        </xdr:cNvPr>
        <xdr:cNvPicPr>
          <a:picLocks noChangeAspect="1"/>
        </xdr:cNvPicPr>
      </xdr:nvPicPr>
      <xdr:blipFill>
        <a:blip xmlns:r="http://schemas.openxmlformats.org/officeDocument/2006/relationships" r:embed="rId1"/>
        <a:stretch>
          <a:fillRect/>
        </a:stretch>
      </xdr:blipFill>
      <xdr:spPr>
        <a:xfrm>
          <a:off x="7081157" y="53567239"/>
          <a:ext cx="6188035" cy="596075"/>
        </a:xfrm>
        <a:prstGeom prst="rect">
          <a:avLst/>
        </a:prstGeom>
      </xdr:spPr>
    </xdr:pic>
    <xdr:clientData/>
  </xdr:twoCellAnchor>
  <xdr:twoCellAnchor editAs="oneCell">
    <xdr:from>
      <xdr:col>8</xdr:col>
      <xdr:colOff>381000</xdr:colOff>
      <xdr:row>93</xdr:row>
      <xdr:rowOff>176892</xdr:rowOff>
    </xdr:from>
    <xdr:to>
      <xdr:col>15</xdr:col>
      <xdr:colOff>568270</xdr:colOff>
      <xdr:row>96</xdr:row>
      <xdr:rowOff>70845</xdr:rowOff>
    </xdr:to>
    <xdr:pic>
      <xdr:nvPicPr>
        <xdr:cNvPr id="3" name="Picture 2">
          <a:extLst>
            <a:ext uri="{FF2B5EF4-FFF2-40B4-BE49-F238E27FC236}">
              <a16:creationId xmlns:a16="http://schemas.microsoft.com/office/drawing/2014/main" id="{7926E47C-FA7F-4CB3-A254-AB50B84A0780}"/>
            </a:ext>
          </a:extLst>
        </xdr:cNvPr>
        <xdr:cNvPicPr>
          <a:picLocks noChangeAspect="1"/>
        </xdr:cNvPicPr>
      </xdr:nvPicPr>
      <xdr:blipFill>
        <a:blip xmlns:r="http://schemas.openxmlformats.org/officeDocument/2006/relationships" r:embed="rId2"/>
        <a:stretch>
          <a:fillRect/>
        </a:stretch>
      </xdr:blipFill>
      <xdr:spPr>
        <a:xfrm>
          <a:off x="7353300" y="28532817"/>
          <a:ext cx="6083245" cy="636903"/>
        </a:xfrm>
        <a:prstGeom prst="rect">
          <a:avLst/>
        </a:prstGeom>
      </xdr:spPr>
    </xdr:pic>
    <xdr:clientData/>
  </xdr:twoCellAnchor>
  <xdr:twoCellAnchor editAs="oneCell">
    <xdr:from>
      <xdr:col>9</xdr:col>
      <xdr:colOff>0</xdr:colOff>
      <xdr:row>134</xdr:row>
      <xdr:rowOff>0</xdr:rowOff>
    </xdr:from>
    <xdr:to>
      <xdr:col>18</xdr:col>
      <xdr:colOff>250509</xdr:colOff>
      <xdr:row>136</xdr:row>
      <xdr:rowOff>213993</xdr:rowOff>
    </xdr:to>
    <xdr:pic>
      <xdr:nvPicPr>
        <xdr:cNvPr id="5" name="Picture 4">
          <a:extLst>
            <a:ext uri="{FF2B5EF4-FFF2-40B4-BE49-F238E27FC236}">
              <a16:creationId xmlns:a16="http://schemas.microsoft.com/office/drawing/2014/main" id="{6576FD25-0A7B-4847-8018-66F1FD24FA63}"/>
            </a:ext>
          </a:extLst>
        </xdr:cNvPr>
        <xdr:cNvPicPr>
          <a:picLocks noChangeAspect="1"/>
        </xdr:cNvPicPr>
      </xdr:nvPicPr>
      <xdr:blipFill>
        <a:blip xmlns:r="http://schemas.openxmlformats.org/officeDocument/2006/relationships" r:embed="rId3"/>
        <a:stretch>
          <a:fillRect/>
        </a:stretch>
      </xdr:blipFill>
      <xdr:spPr>
        <a:xfrm>
          <a:off x="7586382" y="40879059"/>
          <a:ext cx="7612774" cy="7070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108857</xdr:colOff>
      <xdr:row>135</xdr:row>
      <xdr:rowOff>217714</xdr:rowOff>
    </xdr:from>
    <xdr:to>
      <xdr:col>15</xdr:col>
      <xdr:colOff>400917</xdr:colOff>
      <xdr:row>137</xdr:row>
      <xdr:rowOff>318489</xdr:rowOff>
    </xdr:to>
    <xdr:pic>
      <xdr:nvPicPr>
        <xdr:cNvPr id="2" name="Picture 1">
          <a:extLst>
            <a:ext uri="{FF2B5EF4-FFF2-40B4-BE49-F238E27FC236}">
              <a16:creationId xmlns:a16="http://schemas.microsoft.com/office/drawing/2014/main" id="{767BBB6B-D8B7-4D88-B968-7F0FED75DBFD}"/>
            </a:ext>
          </a:extLst>
        </xdr:cNvPr>
        <xdr:cNvPicPr>
          <a:picLocks noChangeAspect="1"/>
        </xdr:cNvPicPr>
      </xdr:nvPicPr>
      <xdr:blipFill>
        <a:blip xmlns:r="http://schemas.openxmlformats.org/officeDocument/2006/relationships" r:embed="rId1"/>
        <a:stretch>
          <a:fillRect/>
        </a:stretch>
      </xdr:blipFill>
      <xdr:spPr>
        <a:xfrm>
          <a:off x="7081157" y="41441914"/>
          <a:ext cx="6188035" cy="596075"/>
        </a:xfrm>
        <a:prstGeom prst="rect">
          <a:avLst/>
        </a:prstGeom>
      </xdr:spPr>
    </xdr:pic>
    <xdr:clientData/>
  </xdr:twoCellAnchor>
  <xdr:twoCellAnchor editAs="oneCell">
    <xdr:from>
      <xdr:col>8</xdr:col>
      <xdr:colOff>381000</xdr:colOff>
      <xdr:row>93</xdr:row>
      <xdr:rowOff>176892</xdr:rowOff>
    </xdr:from>
    <xdr:to>
      <xdr:col>15</xdr:col>
      <xdr:colOff>568270</xdr:colOff>
      <xdr:row>96</xdr:row>
      <xdr:rowOff>70845</xdr:rowOff>
    </xdr:to>
    <xdr:pic>
      <xdr:nvPicPr>
        <xdr:cNvPr id="3" name="Picture 2">
          <a:extLst>
            <a:ext uri="{FF2B5EF4-FFF2-40B4-BE49-F238E27FC236}">
              <a16:creationId xmlns:a16="http://schemas.microsoft.com/office/drawing/2014/main" id="{7C9FB54E-E7F3-435D-9B88-0B1744151291}"/>
            </a:ext>
          </a:extLst>
        </xdr:cNvPr>
        <xdr:cNvPicPr>
          <a:picLocks noChangeAspect="1"/>
        </xdr:cNvPicPr>
      </xdr:nvPicPr>
      <xdr:blipFill>
        <a:blip xmlns:r="http://schemas.openxmlformats.org/officeDocument/2006/relationships" r:embed="rId2"/>
        <a:stretch>
          <a:fillRect/>
        </a:stretch>
      </xdr:blipFill>
      <xdr:spPr>
        <a:xfrm>
          <a:off x="7353300" y="28532817"/>
          <a:ext cx="6083245" cy="63690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108857</xdr:colOff>
      <xdr:row>174</xdr:row>
      <xdr:rowOff>217714</xdr:rowOff>
    </xdr:from>
    <xdr:to>
      <xdr:col>15</xdr:col>
      <xdr:colOff>400917</xdr:colOff>
      <xdr:row>176</xdr:row>
      <xdr:rowOff>318489</xdr:rowOff>
    </xdr:to>
    <xdr:pic>
      <xdr:nvPicPr>
        <xdr:cNvPr id="2" name="Picture 1">
          <a:extLst>
            <a:ext uri="{FF2B5EF4-FFF2-40B4-BE49-F238E27FC236}">
              <a16:creationId xmlns:a16="http://schemas.microsoft.com/office/drawing/2014/main" id="{329D3B58-7491-4E1A-87DA-813AD4D81861}"/>
            </a:ext>
          </a:extLst>
        </xdr:cNvPr>
        <xdr:cNvPicPr>
          <a:picLocks noChangeAspect="1"/>
        </xdr:cNvPicPr>
      </xdr:nvPicPr>
      <xdr:blipFill>
        <a:blip xmlns:r="http://schemas.openxmlformats.org/officeDocument/2006/relationships" r:embed="rId1"/>
        <a:stretch>
          <a:fillRect/>
        </a:stretch>
      </xdr:blipFill>
      <xdr:spPr>
        <a:xfrm>
          <a:off x="7081157" y="53567239"/>
          <a:ext cx="6188035" cy="596075"/>
        </a:xfrm>
        <a:prstGeom prst="rect">
          <a:avLst/>
        </a:prstGeom>
      </xdr:spPr>
    </xdr:pic>
    <xdr:clientData/>
  </xdr:twoCellAnchor>
  <xdr:twoCellAnchor editAs="oneCell">
    <xdr:from>
      <xdr:col>8</xdr:col>
      <xdr:colOff>381000</xdr:colOff>
      <xdr:row>93</xdr:row>
      <xdr:rowOff>176892</xdr:rowOff>
    </xdr:from>
    <xdr:to>
      <xdr:col>15</xdr:col>
      <xdr:colOff>568270</xdr:colOff>
      <xdr:row>96</xdr:row>
      <xdr:rowOff>70845</xdr:rowOff>
    </xdr:to>
    <xdr:pic>
      <xdr:nvPicPr>
        <xdr:cNvPr id="3" name="Picture 2">
          <a:extLst>
            <a:ext uri="{FF2B5EF4-FFF2-40B4-BE49-F238E27FC236}">
              <a16:creationId xmlns:a16="http://schemas.microsoft.com/office/drawing/2014/main" id="{2FEAF8A0-D80D-4A3C-BF82-7A6D077A385F}"/>
            </a:ext>
          </a:extLst>
        </xdr:cNvPr>
        <xdr:cNvPicPr>
          <a:picLocks noChangeAspect="1"/>
        </xdr:cNvPicPr>
      </xdr:nvPicPr>
      <xdr:blipFill>
        <a:blip xmlns:r="http://schemas.openxmlformats.org/officeDocument/2006/relationships" r:embed="rId2"/>
        <a:stretch>
          <a:fillRect/>
        </a:stretch>
      </xdr:blipFill>
      <xdr:spPr>
        <a:xfrm>
          <a:off x="7353300" y="28532817"/>
          <a:ext cx="6083245" cy="636903"/>
        </a:xfrm>
        <a:prstGeom prst="rect">
          <a:avLst/>
        </a:prstGeom>
      </xdr:spPr>
    </xdr:pic>
    <xdr:clientData/>
  </xdr:twoCellAnchor>
  <xdr:oneCellAnchor>
    <xdr:from>
      <xdr:col>8</xdr:col>
      <xdr:colOff>381000</xdr:colOff>
      <xdr:row>133</xdr:row>
      <xdr:rowOff>176892</xdr:rowOff>
    </xdr:from>
    <xdr:ext cx="6106377" cy="628738"/>
    <xdr:pic>
      <xdr:nvPicPr>
        <xdr:cNvPr id="4" name="Picture 3">
          <a:extLst>
            <a:ext uri="{FF2B5EF4-FFF2-40B4-BE49-F238E27FC236}">
              <a16:creationId xmlns:a16="http://schemas.microsoft.com/office/drawing/2014/main" id="{52EA3E86-0ED3-4FE5-B7B8-DF07A2A91CCE}"/>
            </a:ext>
          </a:extLst>
        </xdr:cNvPr>
        <xdr:cNvPicPr>
          <a:picLocks noChangeAspect="1"/>
        </xdr:cNvPicPr>
      </xdr:nvPicPr>
      <xdr:blipFill>
        <a:blip xmlns:r="http://schemas.openxmlformats.org/officeDocument/2006/relationships" r:embed="rId2"/>
        <a:stretch>
          <a:fillRect/>
        </a:stretch>
      </xdr:blipFill>
      <xdr:spPr>
        <a:xfrm>
          <a:off x="7353300" y="40905792"/>
          <a:ext cx="6106377" cy="628738"/>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674CB-330F-4CE3-B392-CC991606A8A1}">
  <sheetPr codeName="Sheet1">
    <pageSetUpPr fitToPage="1"/>
  </sheetPr>
  <dimension ref="A1:E18"/>
  <sheetViews>
    <sheetView view="pageBreakPreview" zoomScale="85" zoomScaleNormal="115" zoomScaleSheetLayoutView="85" workbookViewId="0">
      <selection activeCell="B15" sqref="B15"/>
    </sheetView>
  </sheetViews>
  <sheetFormatPr defaultRowHeight="15"/>
  <cols>
    <col min="1" max="1" width="6.5703125" style="72" customWidth="1"/>
    <col min="2" max="2" width="114.85546875" style="74" customWidth="1"/>
    <col min="3" max="3" width="4.5703125" style="72" customWidth="1"/>
    <col min="4" max="4" width="8.7109375" style="72" customWidth="1"/>
    <col min="5" max="5" width="67.42578125" style="72" customWidth="1"/>
    <col min="6" max="6" width="9.140625" style="72"/>
    <col min="7" max="7" width="9.7109375" style="72" customWidth="1"/>
    <col min="8" max="16384" width="9.140625" style="72"/>
  </cols>
  <sheetData>
    <row r="1" spans="1:5" ht="15.75" thickBot="1">
      <c r="A1" s="70"/>
      <c r="B1" s="71"/>
      <c r="C1" s="70"/>
    </row>
    <row r="2" spans="1:5" ht="29.25" customHeight="1">
      <c r="A2" s="934" t="s">
        <v>0</v>
      </c>
      <c r="B2" s="935"/>
      <c r="C2" s="936"/>
    </row>
    <row r="3" spans="1:5">
      <c r="A3" s="176"/>
      <c r="B3" s="71"/>
      <c r="C3" s="177"/>
    </row>
    <row r="4" spans="1:5" ht="18.75" customHeight="1">
      <c r="A4" s="178" t="s">
        <v>1</v>
      </c>
      <c r="B4" s="179" t="s">
        <v>2</v>
      </c>
      <c r="C4" s="177"/>
    </row>
    <row r="5" spans="1:5" ht="18.75" customHeight="1">
      <c r="A5" s="178" t="s">
        <v>3</v>
      </c>
      <c r="B5" s="179" t="s">
        <v>4</v>
      </c>
      <c r="C5" s="177"/>
    </row>
    <row r="6" spans="1:5" ht="35.25" customHeight="1">
      <c r="A6" s="178" t="s">
        <v>5</v>
      </c>
      <c r="B6" s="179" t="s">
        <v>6</v>
      </c>
      <c r="C6" s="177"/>
    </row>
    <row r="7" spans="1:5" ht="18.75" customHeight="1">
      <c r="A7" s="178" t="s">
        <v>7</v>
      </c>
      <c r="B7" s="179" t="s">
        <v>8</v>
      </c>
      <c r="C7" s="177"/>
      <c r="E7" s="73"/>
    </row>
    <row r="8" spans="1:5" ht="89.25" customHeight="1">
      <c r="A8" s="178" t="s">
        <v>9</v>
      </c>
      <c r="B8" s="179" t="s">
        <v>10</v>
      </c>
      <c r="C8" s="177"/>
    </row>
    <row r="9" spans="1:5" ht="32.25" customHeight="1">
      <c r="A9" s="178" t="s">
        <v>11</v>
      </c>
      <c r="B9" s="179" t="s">
        <v>12</v>
      </c>
      <c r="C9" s="177"/>
    </row>
    <row r="10" spans="1:5" ht="22.5" customHeight="1">
      <c r="A10" s="178" t="s">
        <v>13</v>
      </c>
      <c r="B10" s="179" t="s">
        <v>14</v>
      </c>
      <c r="C10" s="177"/>
    </row>
    <row r="11" spans="1:5" ht="52.5" customHeight="1">
      <c r="A11" s="178" t="s">
        <v>15</v>
      </c>
      <c r="B11" s="179" t="s">
        <v>16</v>
      </c>
      <c r="C11" s="177"/>
    </row>
    <row r="12" spans="1:5" ht="36" customHeight="1">
      <c r="A12" s="178" t="s">
        <v>17</v>
      </c>
      <c r="B12" s="179" t="s">
        <v>18</v>
      </c>
      <c r="C12" s="177"/>
    </row>
    <row r="13" spans="1:5" ht="36.75" customHeight="1">
      <c r="A13" s="178" t="s">
        <v>19</v>
      </c>
      <c r="B13" s="179" t="s">
        <v>20</v>
      </c>
      <c r="C13" s="177"/>
    </row>
    <row r="14" spans="1:5" ht="40.5" customHeight="1">
      <c r="A14" s="178" t="s">
        <v>21</v>
      </c>
      <c r="B14" s="179" t="s">
        <v>22</v>
      </c>
      <c r="C14" s="177"/>
    </row>
    <row r="15" spans="1:5" ht="180" customHeight="1">
      <c r="A15" s="178" t="s">
        <v>23</v>
      </c>
      <c r="B15" s="179" t="s">
        <v>24</v>
      </c>
      <c r="C15" s="177"/>
    </row>
    <row r="16" spans="1:5" ht="15.75" thickBot="1">
      <c r="A16" s="180"/>
      <c r="B16" s="181"/>
      <c r="C16" s="182"/>
    </row>
    <row r="18" spans="2:2">
      <c r="B18" s="183" t="s">
        <v>25</v>
      </c>
    </row>
  </sheetData>
  <mergeCells count="1">
    <mergeCell ref="A2:C2"/>
  </mergeCells>
  <printOptions horizontalCentered="1"/>
  <pageMargins left="0.70866141732283472" right="0.70866141732283472" top="0.74803149606299213" bottom="0.74803149606299213" header="0.31496062992125984" footer="0.31496062992125984"/>
  <pageSetup paperSize="9" scale="7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E17"/>
  <sheetViews>
    <sheetView view="pageBreakPreview" zoomScale="80" zoomScaleNormal="115" zoomScaleSheetLayoutView="80" workbookViewId="0">
      <selection activeCell="B12" sqref="B12"/>
    </sheetView>
  </sheetViews>
  <sheetFormatPr defaultRowHeight="15"/>
  <cols>
    <col min="1" max="1" width="6.5703125" style="72" customWidth="1"/>
    <col min="2" max="2" width="115.140625" style="74" customWidth="1"/>
    <col min="3" max="3" width="4.5703125" style="72" customWidth="1"/>
    <col min="4" max="4" width="8.7109375" style="72" customWidth="1"/>
    <col min="5" max="5" width="67.42578125" style="72" customWidth="1"/>
    <col min="6" max="6" width="9.140625" style="72"/>
    <col min="7" max="7" width="9.7109375" style="72" customWidth="1"/>
    <col min="8" max="16384" width="9.140625" style="72"/>
  </cols>
  <sheetData>
    <row r="1" spans="1:5">
      <c r="A1" s="70"/>
      <c r="B1" s="71"/>
      <c r="C1" s="70"/>
    </row>
    <row r="2" spans="1:5" ht="29.25" customHeight="1">
      <c r="A2" s="934" t="s">
        <v>1610</v>
      </c>
      <c r="B2" s="935"/>
      <c r="C2" s="936"/>
    </row>
    <row r="3" spans="1:5">
      <c r="A3" s="176"/>
      <c r="B3" s="71"/>
      <c r="C3" s="177"/>
    </row>
    <row r="4" spans="1:5" ht="21" customHeight="1">
      <c r="A4" s="178" t="s">
        <v>1</v>
      </c>
      <c r="B4" s="179" t="s">
        <v>2</v>
      </c>
      <c r="C4" s="177"/>
    </row>
    <row r="5" spans="1:5" ht="24" customHeight="1">
      <c r="A5" s="178" t="s">
        <v>3</v>
      </c>
      <c r="B5" s="179" t="s">
        <v>4</v>
      </c>
      <c r="C5" s="177"/>
    </row>
    <row r="6" spans="1:5" ht="40.5" customHeight="1">
      <c r="A6" s="178" t="s">
        <v>5</v>
      </c>
      <c r="B6" s="179" t="s">
        <v>6</v>
      </c>
      <c r="C6" s="177"/>
    </row>
    <row r="7" spans="1:5" ht="18.75" customHeight="1">
      <c r="A7" s="178" t="s">
        <v>7</v>
      </c>
      <c r="B7" s="179" t="s">
        <v>8</v>
      </c>
      <c r="C7" s="177"/>
      <c r="E7" s="73"/>
    </row>
    <row r="8" spans="1:5" ht="81" customHeight="1">
      <c r="A8" s="178" t="s">
        <v>9</v>
      </c>
      <c r="B8" s="179" t="s">
        <v>1605</v>
      </c>
      <c r="C8" s="177"/>
    </row>
    <row r="9" spans="1:5" ht="41.25" customHeight="1">
      <c r="A9" s="178" t="s">
        <v>11</v>
      </c>
      <c r="B9" s="179" t="s">
        <v>12</v>
      </c>
      <c r="C9" s="177"/>
    </row>
    <row r="10" spans="1:5" ht="21.75" customHeight="1">
      <c r="A10" s="178" t="s">
        <v>13</v>
      </c>
      <c r="B10" s="179" t="s">
        <v>14</v>
      </c>
      <c r="C10" s="177"/>
    </row>
    <row r="11" spans="1:5" ht="37.5" customHeight="1">
      <c r="A11" s="178" t="s">
        <v>15</v>
      </c>
      <c r="B11" s="179" t="s">
        <v>16</v>
      </c>
      <c r="C11" s="177"/>
    </row>
    <row r="12" spans="1:5" ht="111" customHeight="1">
      <c r="A12" s="178" t="s">
        <v>17</v>
      </c>
      <c r="B12" s="179" t="s">
        <v>1606</v>
      </c>
      <c r="C12" s="177"/>
    </row>
    <row r="13" spans="1:5" ht="25.5" customHeight="1">
      <c r="A13" s="178" t="s">
        <v>19</v>
      </c>
      <c r="B13" s="179" t="s">
        <v>20</v>
      </c>
      <c r="C13" s="177"/>
    </row>
    <row r="14" spans="1:5" ht="30.75" customHeight="1">
      <c r="A14" s="178" t="s">
        <v>21</v>
      </c>
      <c r="B14" s="179" t="s">
        <v>22</v>
      </c>
      <c r="C14" s="177"/>
    </row>
    <row r="15" spans="1:5" ht="40.5" customHeight="1">
      <c r="A15" s="178" t="s">
        <v>1609</v>
      </c>
      <c r="B15" s="179" t="s">
        <v>1608</v>
      </c>
      <c r="C15" s="177"/>
    </row>
    <row r="16" spans="1:5" ht="180" customHeight="1">
      <c r="A16" s="178" t="s">
        <v>1595</v>
      </c>
      <c r="B16" s="179" t="s">
        <v>1607</v>
      </c>
      <c r="C16" s="177"/>
    </row>
    <row r="17" spans="1:3">
      <c r="A17" s="180"/>
      <c r="B17" s="181"/>
      <c r="C17" s="182"/>
    </row>
  </sheetData>
  <mergeCells count="1">
    <mergeCell ref="A2:C2"/>
  </mergeCells>
  <printOptions horizontalCentered="1"/>
  <pageMargins left="0.70866141732283472" right="0.70866141732283472" top="0.74803149606299213" bottom="0.74803149606299213" header="0.31496062992125984" footer="0.31496062992125984"/>
  <pageSetup paperSize="9" scale="7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37AF5-0FA2-4057-9834-D5910957FF23}">
  <sheetPr codeName="Sheet3">
    <tabColor rgb="FFFFFF00"/>
  </sheetPr>
  <dimension ref="B4:BA131"/>
  <sheetViews>
    <sheetView view="pageBreakPreview" zoomScaleNormal="85" zoomScaleSheetLayoutView="100" workbookViewId="0">
      <pane xSplit="4" ySplit="5" topLeftCell="E60" activePane="bottomRight" state="frozen"/>
      <selection pane="topRight" activeCell="F1" sqref="F1"/>
      <selection pane="bottomLeft" activeCell="B6" sqref="B6"/>
      <selection pane="bottomRight" activeCell="F52" sqref="F52"/>
    </sheetView>
  </sheetViews>
  <sheetFormatPr defaultRowHeight="12.75"/>
  <cols>
    <col min="1" max="1" width="9.140625" style="69" customWidth="1"/>
    <col min="2" max="2" width="27.85546875" style="69" customWidth="1"/>
    <col min="3" max="3" width="14.5703125" style="69" customWidth="1"/>
    <col min="4" max="4" width="8.7109375" style="69" customWidth="1"/>
    <col min="5" max="6" width="6.7109375" style="69" customWidth="1"/>
    <col min="7" max="7" width="6.7109375" style="11" customWidth="1"/>
    <col min="8" max="53" width="6.7109375" style="69" customWidth="1"/>
    <col min="54" max="16384" width="9.140625" style="69"/>
  </cols>
  <sheetData>
    <row r="4" spans="2:53" ht="33" customHeight="1">
      <c r="B4" s="196" t="s">
        <v>26</v>
      </c>
      <c r="C4" s="196"/>
      <c r="D4" s="196"/>
      <c r="E4" s="195" t="s">
        <v>27</v>
      </c>
      <c r="F4" s="195" t="s">
        <v>28</v>
      </c>
      <c r="G4" s="195" t="s">
        <v>29</v>
      </c>
      <c r="H4" s="195" t="s">
        <v>30</v>
      </c>
      <c r="I4" s="195" t="s">
        <v>31</v>
      </c>
      <c r="J4" s="197" t="s">
        <v>32</v>
      </c>
      <c r="K4" s="198" t="s">
        <v>33</v>
      </c>
      <c r="L4" s="198" t="s">
        <v>34</v>
      </c>
      <c r="M4" s="198" t="s">
        <v>35</v>
      </c>
      <c r="N4" s="197" t="s">
        <v>36</v>
      </c>
      <c r="O4" s="195" t="s">
        <v>37</v>
      </c>
      <c r="P4" s="199" t="s">
        <v>38</v>
      </c>
      <c r="Q4" s="199" t="s">
        <v>39</v>
      </c>
      <c r="R4" s="199" t="s">
        <v>40</v>
      </c>
      <c r="S4" s="199" t="s">
        <v>41</v>
      </c>
      <c r="T4" s="199" t="s">
        <v>42</v>
      </c>
      <c r="U4" s="199" t="s">
        <v>43</v>
      </c>
      <c r="V4" s="195" t="s">
        <v>44</v>
      </c>
      <c r="W4" s="195" t="s">
        <v>45</v>
      </c>
      <c r="X4" s="195" t="s">
        <v>46</v>
      </c>
      <c r="Y4" s="195" t="s">
        <v>47</v>
      </c>
      <c r="Z4" s="195" t="s">
        <v>48</v>
      </c>
      <c r="AA4" s="195" t="s">
        <v>49</v>
      </c>
      <c r="AB4" s="195" t="s">
        <v>50</v>
      </c>
      <c r="AC4" s="195" t="s">
        <v>51</v>
      </c>
      <c r="AD4" s="195" t="s">
        <v>52</v>
      </c>
      <c r="AE4" s="195" t="s">
        <v>53</v>
      </c>
      <c r="AF4" s="195" t="s">
        <v>54</v>
      </c>
      <c r="AG4" s="195" t="s">
        <v>55</v>
      </c>
      <c r="AH4" s="195" t="s">
        <v>56</v>
      </c>
      <c r="AI4" s="195" t="s">
        <v>57</v>
      </c>
      <c r="AJ4" s="195" t="s">
        <v>58</v>
      </c>
      <c r="AK4" s="195" t="s">
        <v>59</v>
      </c>
      <c r="AL4" s="195" t="s">
        <v>60</v>
      </c>
      <c r="AM4" s="195" t="s">
        <v>61</v>
      </c>
      <c r="AN4" s="195" t="s">
        <v>62</v>
      </c>
      <c r="AO4" s="195" t="s">
        <v>63</v>
      </c>
      <c r="AP4" s="195" t="s">
        <v>64</v>
      </c>
      <c r="AQ4" s="195" t="s">
        <v>65</v>
      </c>
      <c r="AR4" s="195" t="s">
        <v>66</v>
      </c>
      <c r="AS4" s="200" t="s">
        <v>67</v>
      </c>
      <c r="AT4" s="195" t="s">
        <v>68</v>
      </c>
      <c r="AU4" s="195" t="s">
        <v>69</v>
      </c>
      <c r="AV4" s="195" t="s">
        <v>70</v>
      </c>
      <c r="AW4" s="195" t="s">
        <v>71</v>
      </c>
      <c r="AX4" s="195" t="s">
        <v>72</v>
      </c>
      <c r="AY4" s="195" t="s">
        <v>73</v>
      </c>
      <c r="AZ4" s="195" t="s">
        <v>74</v>
      </c>
      <c r="BA4" s="195" t="s">
        <v>75</v>
      </c>
    </row>
    <row r="5" spans="2:53" ht="21" customHeight="1">
      <c r="B5" s="196"/>
      <c r="C5" s="196"/>
      <c r="D5" s="196"/>
      <c r="E5" s="195"/>
      <c r="F5" s="195"/>
      <c r="G5" s="195"/>
      <c r="H5" s="195"/>
      <c r="I5" s="195"/>
      <c r="J5" s="195"/>
      <c r="K5" s="195"/>
      <c r="L5" s="195"/>
      <c r="M5" s="195"/>
      <c r="N5" s="195"/>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row>
    <row r="6" spans="2:53" s="91" customFormat="1" ht="27" customHeight="1">
      <c r="B6" s="201" t="s">
        <v>76</v>
      </c>
      <c r="C6" s="202"/>
      <c r="D6" s="202"/>
      <c r="E6" s="201"/>
      <c r="F6" s="201"/>
      <c r="G6" s="201"/>
      <c r="H6" s="201"/>
      <c r="I6" s="201"/>
      <c r="J6" s="201"/>
      <c r="K6" s="201"/>
      <c r="L6" s="201"/>
      <c r="M6" s="201"/>
      <c r="N6" s="201"/>
      <c r="O6" s="201"/>
      <c r="P6" s="201"/>
      <c r="Q6" s="201"/>
      <c r="R6" s="201"/>
      <c r="S6" s="201"/>
      <c r="T6" s="201"/>
      <c r="U6" s="201"/>
      <c r="V6" s="201"/>
      <c r="W6" s="201"/>
      <c r="X6" s="201"/>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row>
    <row r="7" spans="2:53">
      <c r="B7" s="203" t="s">
        <v>77</v>
      </c>
      <c r="C7" s="204" t="s">
        <v>78</v>
      </c>
      <c r="D7" s="205"/>
      <c r="E7" s="205" t="e">
        <f>SUMIF(#REF!,'Tray Sizing'!E$4,#REF!)</f>
        <v>#REF!</v>
      </c>
      <c r="F7" s="205" t="e">
        <f>SUMIF(#REF!,'Tray Sizing'!F$4,#REF!)</f>
        <v>#REF!</v>
      </c>
      <c r="G7" s="206" t="e">
        <f>SUMIF(#REF!,'Tray Sizing'!G$4,#REF!)</f>
        <v>#REF!</v>
      </c>
      <c r="H7" s="205" t="e">
        <f>SUMIF(#REF!,'Tray Sizing'!H$4,#REF!)</f>
        <v>#REF!</v>
      </c>
      <c r="I7" s="205" t="e">
        <f>SUMIF(#REF!,'Tray Sizing'!I$4,#REF!)</f>
        <v>#REF!</v>
      </c>
      <c r="J7" s="205" t="e">
        <f>SUMIF(#REF!,'Tray Sizing'!J$4,#REF!)</f>
        <v>#REF!</v>
      </c>
      <c r="K7" s="205" t="e">
        <f>SUMIF(#REF!,'Tray Sizing'!K$4,#REF!)</f>
        <v>#REF!</v>
      </c>
      <c r="L7" s="205" t="e">
        <f>SUMIF(#REF!,'Tray Sizing'!L$4,#REF!)</f>
        <v>#REF!</v>
      </c>
      <c r="M7" s="205" t="e">
        <f>SUMIF(#REF!,'Tray Sizing'!M$4,#REF!)</f>
        <v>#REF!</v>
      </c>
      <c r="N7" s="205" t="e">
        <f>SUMIF(#REF!,'Tray Sizing'!N$4,#REF!)</f>
        <v>#REF!</v>
      </c>
      <c r="O7" s="205" t="e">
        <f>SUMIF(#REF!,'Tray Sizing'!O$4,#REF!)</f>
        <v>#REF!</v>
      </c>
      <c r="P7" s="205" t="e">
        <f>SUMIF(#REF!,'Tray Sizing'!P$4,#REF!)</f>
        <v>#REF!</v>
      </c>
      <c r="Q7" s="205" t="e">
        <f>SUMIF(#REF!,'Tray Sizing'!Q$4,#REF!)</f>
        <v>#REF!</v>
      </c>
      <c r="R7" s="205" t="e">
        <f>SUMIF(#REF!,'Tray Sizing'!R$4,#REF!)</f>
        <v>#REF!</v>
      </c>
      <c r="S7" s="205" t="e">
        <f>SUMIF(#REF!,'Tray Sizing'!S$4,#REF!)</f>
        <v>#REF!</v>
      </c>
      <c r="T7" s="205" t="e">
        <f>SUMIF(#REF!,'Tray Sizing'!T$4,#REF!)</f>
        <v>#REF!</v>
      </c>
      <c r="U7" s="205" t="e">
        <f>SUMIF(#REF!,'Tray Sizing'!U$4,#REF!)</f>
        <v>#REF!</v>
      </c>
      <c r="V7" s="205" t="e">
        <f>SUMIF(#REF!,'Tray Sizing'!V$4,#REF!)</f>
        <v>#REF!</v>
      </c>
      <c r="W7" s="205" t="e">
        <f>SUMIF(#REF!,'Tray Sizing'!W$4,#REF!)</f>
        <v>#REF!</v>
      </c>
      <c r="X7" s="205" t="e">
        <f>SUMIF(#REF!,'Tray Sizing'!X$4,#REF!)</f>
        <v>#REF!</v>
      </c>
      <c r="Y7" s="205" t="e">
        <f>SUMIF(#REF!,'Tray Sizing'!Y$4,#REF!)</f>
        <v>#REF!</v>
      </c>
      <c r="Z7" s="205" t="e">
        <f>SUMIF(#REF!,'Tray Sizing'!Z$4,#REF!)</f>
        <v>#REF!</v>
      </c>
      <c r="AA7" s="205" t="e">
        <f>SUMIF(#REF!,'Tray Sizing'!AA$4,#REF!)</f>
        <v>#REF!</v>
      </c>
      <c r="AB7" s="205" t="e">
        <f>SUMIF(#REF!,'Tray Sizing'!AB$4,#REF!)</f>
        <v>#REF!</v>
      </c>
      <c r="AC7" s="205" t="e">
        <f>SUMIF(#REF!,'Tray Sizing'!AC$4,#REF!)</f>
        <v>#REF!</v>
      </c>
      <c r="AD7" s="205" t="e">
        <f>SUMIF(#REF!,'Tray Sizing'!AD$4,#REF!)</f>
        <v>#REF!</v>
      </c>
      <c r="AE7" s="205" t="e">
        <f>SUMIF(#REF!,'Tray Sizing'!AE$4,#REF!)</f>
        <v>#REF!</v>
      </c>
      <c r="AF7" s="205" t="e">
        <f>SUMIF(#REF!,'Tray Sizing'!AF$4,#REF!)</f>
        <v>#REF!</v>
      </c>
      <c r="AG7" s="205" t="e">
        <f>SUMIF(#REF!,'Tray Sizing'!AG$4,#REF!)</f>
        <v>#REF!</v>
      </c>
      <c r="AH7" s="205" t="e">
        <f>SUMIF(#REF!,'Tray Sizing'!AH$4,#REF!)</f>
        <v>#REF!</v>
      </c>
      <c r="AI7" s="205" t="e">
        <f>SUMIF(#REF!,'Tray Sizing'!AI$4,#REF!)</f>
        <v>#REF!</v>
      </c>
      <c r="AJ7" s="205" t="e">
        <f>SUMIF(#REF!,'Tray Sizing'!AJ$4,#REF!)</f>
        <v>#REF!</v>
      </c>
      <c r="AK7" s="205" t="e">
        <f>SUMIF(#REF!,'Tray Sizing'!AK$4,#REF!)</f>
        <v>#REF!</v>
      </c>
      <c r="AL7" s="205" t="e">
        <f>SUMIF(#REF!,'Tray Sizing'!AL$4,#REF!)</f>
        <v>#REF!</v>
      </c>
      <c r="AM7" s="205" t="e">
        <f>SUMIF(#REF!,'Tray Sizing'!AM$4,#REF!)</f>
        <v>#REF!</v>
      </c>
      <c r="AN7" s="205" t="e">
        <f>SUMIF(#REF!,'Tray Sizing'!AN$4,#REF!)</f>
        <v>#REF!</v>
      </c>
      <c r="AO7" s="205" t="e">
        <f>SUMIF(#REF!,'Tray Sizing'!AO$4,#REF!)</f>
        <v>#REF!</v>
      </c>
      <c r="AP7" s="205" t="e">
        <f>SUMIF(#REF!,'Tray Sizing'!AP$4,#REF!)</f>
        <v>#REF!</v>
      </c>
      <c r="AQ7" s="205" t="e">
        <f>SUMIF(#REF!,'Tray Sizing'!AQ$4,#REF!)</f>
        <v>#REF!</v>
      </c>
      <c r="AR7" s="205" t="e">
        <f>SUMIF(#REF!,'Tray Sizing'!AR$4,#REF!)</f>
        <v>#REF!</v>
      </c>
      <c r="AS7" s="205" t="e">
        <f>SUMIF(#REF!,'Tray Sizing'!AS$4,#REF!)</f>
        <v>#REF!</v>
      </c>
      <c r="AT7" s="205" t="e">
        <f>SUMIF(#REF!,'Tray Sizing'!AT$4,#REF!)</f>
        <v>#REF!</v>
      </c>
      <c r="AU7" s="205" t="e">
        <f>SUMIF(#REF!,'Tray Sizing'!AU$4,#REF!)</f>
        <v>#REF!</v>
      </c>
      <c r="AV7" s="205" t="e">
        <f>SUMIF(#REF!,'Tray Sizing'!AV$4,#REF!)</f>
        <v>#REF!</v>
      </c>
      <c r="AW7" s="205" t="e">
        <f>SUMIF(#REF!,'Tray Sizing'!AW$4,#REF!)</f>
        <v>#REF!</v>
      </c>
      <c r="AX7" s="205" t="e">
        <f>SUMIF(#REF!,'Tray Sizing'!AX$4,#REF!)</f>
        <v>#REF!</v>
      </c>
      <c r="AY7" s="205" t="e">
        <f>SUMIF(#REF!,'Tray Sizing'!AY$4,#REF!)</f>
        <v>#REF!</v>
      </c>
      <c r="AZ7" s="205" t="e">
        <f>SUMIF(#REF!,'Tray Sizing'!AZ$4,#REF!)</f>
        <v>#REF!</v>
      </c>
      <c r="BA7" s="205" t="e">
        <f>SUMIF(#REF!,'Tray Sizing'!BA$4,#REF!)</f>
        <v>#REF!</v>
      </c>
    </row>
    <row r="8" spans="2:53">
      <c r="B8" s="207"/>
      <c r="C8" s="205"/>
      <c r="D8" s="205"/>
      <c r="E8" s="205"/>
      <c r="F8" s="205"/>
      <c r="G8" s="206"/>
      <c r="H8" s="205"/>
      <c r="I8" s="205"/>
      <c r="J8" s="205"/>
      <c r="K8" s="205"/>
      <c r="L8" s="205"/>
      <c r="M8" s="205"/>
      <c r="N8" s="205"/>
      <c r="O8" s="205"/>
      <c r="P8" s="205"/>
      <c r="Q8" s="205"/>
      <c r="R8" s="205"/>
      <c r="S8" s="205"/>
      <c r="T8" s="205"/>
      <c r="U8" s="205"/>
      <c r="V8" s="205"/>
      <c r="W8" s="205"/>
      <c r="X8" s="205"/>
      <c r="Y8" s="205"/>
      <c r="Z8" s="205"/>
      <c r="AA8" s="205"/>
      <c r="AB8" s="205"/>
      <c r="AC8" s="205"/>
      <c r="AD8" s="205"/>
      <c r="AE8" s="205"/>
      <c r="AF8" s="205"/>
      <c r="AG8" s="205"/>
      <c r="AH8" s="205"/>
      <c r="AI8" s="205"/>
      <c r="AJ8" s="205"/>
      <c r="AK8" s="205"/>
      <c r="AL8" s="205"/>
      <c r="AM8" s="205"/>
      <c r="AN8" s="205"/>
      <c r="AO8" s="205"/>
      <c r="AP8" s="205"/>
      <c r="AQ8" s="205"/>
      <c r="AR8" s="205"/>
      <c r="AS8" s="205"/>
      <c r="AT8" s="205"/>
      <c r="AU8" s="205"/>
      <c r="AV8" s="205"/>
      <c r="AW8" s="205"/>
      <c r="AX8" s="205"/>
      <c r="AY8" s="205"/>
      <c r="AZ8" s="205"/>
      <c r="BA8" s="205"/>
    </row>
    <row r="9" spans="2:53" ht="25.5">
      <c r="B9" s="203" t="s">
        <v>79</v>
      </c>
      <c r="C9" s="204" t="s">
        <v>80</v>
      </c>
      <c r="D9" s="204"/>
      <c r="E9" s="205" t="e">
        <f>E7*1.2</f>
        <v>#REF!</v>
      </c>
      <c r="F9" s="205" t="e">
        <f t="shared" ref="F9:BA9" si="0">F7*1.2</f>
        <v>#REF!</v>
      </c>
      <c r="G9" s="206" t="e">
        <f t="shared" si="0"/>
        <v>#REF!</v>
      </c>
      <c r="H9" s="205" t="e">
        <f t="shared" si="0"/>
        <v>#REF!</v>
      </c>
      <c r="I9" s="205" t="e">
        <f t="shared" si="0"/>
        <v>#REF!</v>
      </c>
      <c r="J9" s="205" t="e">
        <f t="shared" si="0"/>
        <v>#REF!</v>
      </c>
      <c r="K9" s="205" t="e">
        <f t="shared" si="0"/>
        <v>#REF!</v>
      </c>
      <c r="L9" s="205" t="e">
        <f t="shared" si="0"/>
        <v>#REF!</v>
      </c>
      <c r="M9" s="205" t="e">
        <f t="shared" si="0"/>
        <v>#REF!</v>
      </c>
      <c r="N9" s="205" t="e">
        <f t="shared" si="0"/>
        <v>#REF!</v>
      </c>
      <c r="O9" s="205" t="e">
        <f t="shared" si="0"/>
        <v>#REF!</v>
      </c>
      <c r="P9" s="205" t="e">
        <f t="shared" si="0"/>
        <v>#REF!</v>
      </c>
      <c r="Q9" s="205" t="e">
        <f t="shared" si="0"/>
        <v>#REF!</v>
      </c>
      <c r="R9" s="205" t="e">
        <f t="shared" si="0"/>
        <v>#REF!</v>
      </c>
      <c r="S9" s="205" t="e">
        <f t="shared" si="0"/>
        <v>#REF!</v>
      </c>
      <c r="T9" s="205" t="e">
        <f t="shared" si="0"/>
        <v>#REF!</v>
      </c>
      <c r="U9" s="205" t="e">
        <f t="shared" si="0"/>
        <v>#REF!</v>
      </c>
      <c r="V9" s="205" t="e">
        <f t="shared" si="0"/>
        <v>#REF!</v>
      </c>
      <c r="W9" s="205" t="e">
        <f t="shared" si="0"/>
        <v>#REF!</v>
      </c>
      <c r="X9" s="205" t="e">
        <f t="shared" si="0"/>
        <v>#REF!</v>
      </c>
      <c r="Y9" s="205" t="e">
        <f t="shared" si="0"/>
        <v>#REF!</v>
      </c>
      <c r="Z9" s="205" t="e">
        <f t="shared" si="0"/>
        <v>#REF!</v>
      </c>
      <c r="AA9" s="205" t="e">
        <f t="shared" si="0"/>
        <v>#REF!</v>
      </c>
      <c r="AB9" s="205" t="e">
        <f t="shared" si="0"/>
        <v>#REF!</v>
      </c>
      <c r="AC9" s="205" t="e">
        <f t="shared" si="0"/>
        <v>#REF!</v>
      </c>
      <c r="AD9" s="205" t="e">
        <f t="shared" si="0"/>
        <v>#REF!</v>
      </c>
      <c r="AE9" s="205" t="e">
        <f t="shared" si="0"/>
        <v>#REF!</v>
      </c>
      <c r="AF9" s="205" t="e">
        <f t="shared" si="0"/>
        <v>#REF!</v>
      </c>
      <c r="AG9" s="205" t="e">
        <f t="shared" si="0"/>
        <v>#REF!</v>
      </c>
      <c r="AH9" s="205" t="e">
        <f t="shared" si="0"/>
        <v>#REF!</v>
      </c>
      <c r="AI9" s="205" t="e">
        <f t="shared" si="0"/>
        <v>#REF!</v>
      </c>
      <c r="AJ9" s="205" t="e">
        <f t="shared" si="0"/>
        <v>#REF!</v>
      </c>
      <c r="AK9" s="205" t="e">
        <f t="shared" si="0"/>
        <v>#REF!</v>
      </c>
      <c r="AL9" s="205" t="e">
        <f t="shared" si="0"/>
        <v>#REF!</v>
      </c>
      <c r="AM9" s="205" t="e">
        <f t="shared" si="0"/>
        <v>#REF!</v>
      </c>
      <c r="AN9" s="205" t="e">
        <f t="shared" si="0"/>
        <v>#REF!</v>
      </c>
      <c r="AO9" s="205" t="e">
        <f t="shared" si="0"/>
        <v>#REF!</v>
      </c>
      <c r="AP9" s="205" t="e">
        <f t="shared" si="0"/>
        <v>#REF!</v>
      </c>
      <c r="AQ9" s="205" t="e">
        <f t="shared" si="0"/>
        <v>#REF!</v>
      </c>
      <c r="AR9" s="205" t="e">
        <f t="shared" si="0"/>
        <v>#REF!</v>
      </c>
      <c r="AS9" s="205" t="e">
        <f t="shared" si="0"/>
        <v>#REF!</v>
      </c>
      <c r="AT9" s="205" t="e">
        <f t="shared" si="0"/>
        <v>#REF!</v>
      </c>
      <c r="AU9" s="205" t="e">
        <f t="shared" si="0"/>
        <v>#REF!</v>
      </c>
      <c r="AV9" s="205" t="e">
        <f t="shared" si="0"/>
        <v>#REF!</v>
      </c>
      <c r="AW9" s="205" t="e">
        <f t="shared" si="0"/>
        <v>#REF!</v>
      </c>
      <c r="AX9" s="205" t="e">
        <f t="shared" ref="AX9:AY9" si="1">AX7*1.2</f>
        <v>#REF!</v>
      </c>
      <c r="AY9" s="205" t="e">
        <f t="shared" si="1"/>
        <v>#REF!</v>
      </c>
      <c r="AZ9" s="205" t="e">
        <f t="shared" si="0"/>
        <v>#REF!</v>
      </c>
      <c r="BA9" s="206" t="e">
        <f t="shared" si="0"/>
        <v>#REF!</v>
      </c>
    </row>
    <row r="10" spans="2:53">
      <c r="B10" s="207"/>
      <c r="C10" s="205"/>
      <c r="D10" s="205"/>
      <c r="E10" s="205"/>
      <c r="F10" s="205"/>
      <c r="G10" s="206"/>
      <c r="H10" s="205"/>
      <c r="I10" s="205"/>
      <c r="J10" s="205"/>
      <c r="K10" s="205"/>
      <c r="L10" s="205"/>
      <c r="M10" s="205"/>
      <c r="N10" s="205"/>
      <c r="O10" s="205"/>
      <c r="P10" s="205"/>
      <c r="Q10" s="205"/>
      <c r="R10" s="205"/>
      <c r="S10" s="205"/>
      <c r="T10" s="205"/>
      <c r="U10" s="205"/>
      <c r="V10" s="205"/>
      <c r="W10" s="205"/>
      <c r="X10" s="205"/>
      <c r="Y10" s="205"/>
      <c r="Z10" s="205"/>
      <c r="AA10" s="205"/>
      <c r="AB10" s="205"/>
      <c r="AC10" s="205"/>
      <c r="AD10" s="205"/>
      <c r="AE10" s="205"/>
      <c r="AF10" s="205"/>
      <c r="AG10" s="205"/>
      <c r="AH10" s="205"/>
      <c r="AI10" s="205"/>
      <c r="AJ10" s="205"/>
      <c r="AK10" s="205"/>
      <c r="AL10" s="205"/>
      <c r="AM10" s="205"/>
      <c r="AN10" s="205"/>
      <c r="AO10" s="205"/>
      <c r="AP10" s="205"/>
      <c r="AQ10" s="205"/>
      <c r="AR10" s="205"/>
      <c r="AS10" s="205"/>
      <c r="AT10" s="205"/>
      <c r="AU10" s="205"/>
      <c r="AV10" s="205"/>
      <c r="AW10" s="205"/>
      <c r="AX10" s="205"/>
      <c r="AY10" s="205"/>
      <c r="AZ10" s="205"/>
      <c r="BA10" s="205"/>
    </row>
    <row r="11" spans="2:53" s="11" customFormat="1" ht="12.75" customHeight="1">
      <c r="B11" s="208"/>
      <c r="C11" s="949">
        <v>600</v>
      </c>
      <c r="D11" s="204"/>
      <c r="E11" s="210" t="e">
        <f t="shared" ref="E11:AJ11" si="2">E9/$C$11</f>
        <v>#REF!</v>
      </c>
      <c r="F11" s="210" t="e">
        <f t="shared" si="2"/>
        <v>#REF!</v>
      </c>
      <c r="G11" s="210" t="e">
        <f t="shared" si="2"/>
        <v>#REF!</v>
      </c>
      <c r="H11" s="210" t="e">
        <f t="shared" si="2"/>
        <v>#REF!</v>
      </c>
      <c r="I11" s="210" t="e">
        <f t="shared" si="2"/>
        <v>#REF!</v>
      </c>
      <c r="J11" s="210" t="e">
        <f t="shared" si="2"/>
        <v>#REF!</v>
      </c>
      <c r="K11" s="210" t="e">
        <f t="shared" si="2"/>
        <v>#REF!</v>
      </c>
      <c r="L11" s="210" t="e">
        <f t="shared" si="2"/>
        <v>#REF!</v>
      </c>
      <c r="M11" s="210" t="e">
        <f t="shared" si="2"/>
        <v>#REF!</v>
      </c>
      <c r="N11" s="210" t="e">
        <f t="shared" si="2"/>
        <v>#REF!</v>
      </c>
      <c r="O11" s="210" t="e">
        <f t="shared" si="2"/>
        <v>#REF!</v>
      </c>
      <c r="P11" s="210" t="e">
        <f t="shared" si="2"/>
        <v>#REF!</v>
      </c>
      <c r="Q11" s="210" t="e">
        <f t="shared" si="2"/>
        <v>#REF!</v>
      </c>
      <c r="R11" s="210" t="e">
        <f t="shared" si="2"/>
        <v>#REF!</v>
      </c>
      <c r="S11" s="210" t="e">
        <f t="shared" si="2"/>
        <v>#REF!</v>
      </c>
      <c r="T11" s="210" t="e">
        <f t="shared" si="2"/>
        <v>#REF!</v>
      </c>
      <c r="U11" s="210" t="e">
        <f t="shared" si="2"/>
        <v>#REF!</v>
      </c>
      <c r="V11" s="210" t="e">
        <f t="shared" si="2"/>
        <v>#REF!</v>
      </c>
      <c r="W11" s="210" t="e">
        <f t="shared" si="2"/>
        <v>#REF!</v>
      </c>
      <c r="X11" s="210" t="e">
        <f t="shared" si="2"/>
        <v>#REF!</v>
      </c>
      <c r="Y11" s="210" t="e">
        <f t="shared" si="2"/>
        <v>#REF!</v>
      </c>
      <c r="Z11" s="210" t="e">
        <f t="shared" si="2"/>
        <v>#REF!</v>
      </c>
      <c r="AA11" s="210" t="e">
        <f t="shared" si="2"/>
        <v>#REF!</v>
      </c>
      <c r="AB11" s="210" t="e">
        <f t="shared" si="2"/>
        <v>#REF!</v>
      </c>
      <c r="AC11" s="210" t="e">
        <f t="shared" si="2"/>
        <v>#REF!</v>
      </c>
      <c r="AD11" s="210" t="e">
        <f t="shared" si="2"/>
        <v>#REF!</v>
      </c>
      <c r="AE11" s="210" t="e">
        <f t="shared" si="2"/>
        <v>#REF!</v>
      </c>
      <c r="AF11" s="210" t="e">
        <f t="shared" si="2"/>
        <v>#REF!</v>
      </c>
      <c r="AG11" s="210" t="e">
        <f t="shared" si="2"/>
        <v>#REF!</v>
      </c>
      <c r="AH11" s="210" t="e">
        <f t="shared" si="2"/>
        <v>#REF!</v>
      </c>
      <c r="AI11" s="210" t="e">
        <f t="shared" si="2"/>
        <v>#REF!</v>
      </c>
      <c r="AJ11" s="210" t="e">
        <f t="shared" si="2"/>
        <v>#REF!</v>
      </c>
      <c r="AK11" s="210" t="e">
        <f t="shared" ref="AK11:BA11" si="3">AK9/$C$11</f>
        <v>#REF!</v>
      </c>
      <c r="AL11" s="210" t="e">
        <f t="shared" si="3"/>
        <v>#REF!</v>
      </c>
      <c r="AM11" s="210" t="e">
        <f t="shared" si="3"/>
        <v>#REF!</v>
      </c>
      <c r="AN11" s="210" t="e">
        <f t="shared" si="3"/>
        <v>#REF!</v>
      </c>
      <c r="AO11" s="210" t="e">
        <f t="shared" si="3"/>
        <v>#REF!</v>
      </c>
      <c r="AP11" s="210" t="e">
        <f t="shared" si="3"/>
        <v>#REF!</v>
      </c>
      <c r="AQ11" s="210" t="e">
        <f t="shared" si="3"/>
        <v>#REF!</v>
      </c>
      <c r="AR11" s="210" t="e">
        <f t="shared" si="3"/>
        <v>#REF!</v>
      </c>
      <c r="AS11" s="210" t="e">
        <f t="shared" si="3"/>
        <v>#REF!</v>
      </c>
      <c r="AT11" s="210" t="e">
        <f t="shared" si="3"/>
        <v>#REF!</v>
      </c>
      <c r="AU11" s="210" t="e">
        <f t="shared" si="3"/>
        <v>#REF!</v>
      </c>
      <c r="AV11" s="210" t="e">
        <f t="shared" si="3"/>
        <v>#REF!</v>
      </c>
      <c r="AW11" s="210" t="e">
        <f t="shared" si="3"/>
        <v>#REF!</v>
      </c>
      <c r="AX11" s="210" t="e">
        <f t="shared" si="3"/>
        <v>#REF!</v>
      </c>
      <c r="AY11" s="210" t="e">
        <f t="shared" si="3"/>
        <v>#REF!</v>
      </c>
      <c r="AZ11" s="210" t="e">
        <f t="shared" si="3"/>
        <v>#REF!</v>
      </c>
      <c r="BA11" s="210" t="e">
        <f t="shared" si="3"/>
        <v>#REF!</v>
      </c>
    </row>
    <row r="12" spans="2:53" s="11" customFormat="1" ht="23.25" customHeight="1">
      <c r="B12" s="211" t="s">
        <v>76</v>
      </c>
      <c r="C12" s="950"/>
      <c r="D12" s="204"/>
      <c r="E12" s="212" t="e">
        <f t="shared" ref="E12:AJ12" si="4">ROUNDUP(E11,0)</f>
        <v>#REF!</v>
      </c>
      <c r="F12" s="212" t="e">
        <f t="shared" si="4"/>
        <v>#REF!</v>
      </c>
      <c r="G12" s="212" t="e">
        <f t="shared" si="4"/>
        <v>#REF!</v>
      </c>
      <c r="H12" s="212" t="e">
        <f t="shared" si="4"/>
        <v>#REF!</v>
      </c>
      <c r="I12" s="212" t="e">
        <f t="shared" si="4"/>
        <v>#REF!</v>
      </c>
      <c r="J12" s="212" t="e">
        <f t="shared" si="4"/>
        <v>#REF!</v>
      </c>
      <c r="K12" s="212" t="e">
        <f t="shared" si="4"/>
        <v>#REF!</v>
      </c>
      <c r="L12" s="212" t="e">
        <f t="shared" si="4"/>
        <v>#REF!</v>
      </c>
      <c r="M12" s="212" t="e">
        <f t="shared" si="4"/>
        <v>#REF!</v>
      </c>
      <c r="N12" s="212" t="e">
        <f t="shared" si="4"/>
        <v>#REF!</v>
      </c>
      <c r="O12" s="212" t="e">
        <f t="shared" si="4"/>
        <v>#REF!</v>
      </c>
      <c r="P12" s="212" t="e">
        <f t="shared" si="4"/>
        <v>#REF!</v>
      </c>
      <c r="Q12" s="212" t="e">
        <f t="shared" si="4"/>
        <v>#REF!</v>
      </c>
      <c r="R12" s="212" t="e">
        <f t="shared" si="4"/>
        <v>#REF!</v>
      </c>
      <c r="S12" s="212" t="e">
        <f t="shared" si="4"/>
        <v>#REF!</v>
      </c>
      <c r="T12" s="212" t="e">
        <f t="shared" si="4"/>
        <v>#REF!</v>
      </c>
      <c r="U12" s="212" t="e">
        <f t="shared" si="4"/>
        <v>#REF!</v>
      </c>
      <c r="V12" s="212" t="e">
        <f t="shared" si="4"/>
        <v>#REF!</v>
      </c>
      <c r="W12" s="212" t="e">
        <f t="shared" si="4"/>
        <v>#REF!</v>
      </c>
      <c r="X12" s="212" t="e">
        <f t="shared" si="4"/>
        <v>#REF!</v>
      </c>
      <c r="Y12" s="212" t="e">
        <f t="shared" si="4"/>
        <v>#REF!</v>
      </c>
      <c r="Z12" s="212" t="e">
        <f t="shared" si="4"/>
        <v>#REF!</v>
      </c>
      <c r="AA12" s="212" t="e">
        <f t="shared" si="4"/>
        <v>#REF!</v>
      </c>
      <c r="AB12" s="212" t="e">
        <f t="shared" si="4"/>
        <v>#REF!</v>
      </c>
      <c r="AC12" s="212" t="e">
        <f t="shared" si="4"/>
        <v>#REF!</v>
      </c>
      <c r="AD12" s="212" t="e">
        <f t="shared" si="4"/>
        <v>#REF!</v>
      </c>
      <c r="AE12" s="212" t="e">
        <f t="shared" si="4"/>
        <v>#REF!</v>
      </c>
      <c r="AF12" s="212" t="e">
        <f t="shared" si="4"/>
        <v>#REF!</v>
      </c>
      <c r="AG12" s="212" t="e">
        <f t="shared" si="4"/>
        <v>#REF!</v>
      </c>
      <c r="AH12" s="212" t="e">
        <f t="shared" si="4"/>
        <v>#REF!</v>
      </c>
      <c r="AI12" s="212" t="e">
        <f t="shared" si="4"/>
        <v>#REF!</v>
      </c>
      <c r="AJ12" s="212" t="e">
        <f t="shared" si="4"/>
        <v>#REF!</v>
      </c>
      <c r="AK12" s="212" t="e">
        <f t="shared" ref="AK12:BA12" si="5">ROUNDUP(AK11,0)</f>
        <v>#REF!</v>
      </c>
      <c r="AL12" s="212" t="e">
        <f t="shared" si="5"/>
        <v>#REF!</v>
      </c>
      <c r="AM12" s="212" t="e">
        <f t="shared" si="5"/>
        <v>#REF!</v>
      </c>
      <c r="AN12" s="212" t="e">
        <f t="shared" si="5"/>
        <v>#REF!</v>
      </c>
      <c r="AO12" s="212" t="e">
        <f t="shared" si="5"/>
        <v>#REF!</v>
      </c>
      <c r="AP12" s="212" t="e">
        <f t="shared" si="5"/>
        <v>#REF!</v>
      </c>
      <c r="AQ12" s="212" t="e">
        <f t="shared" si="5"/>
        <v>#REF!</v>
      </c>
      <c r="AR12" s="212" t="e">
        <f t="shared" si="5"/>
        <v>#REF!</v>
      </c>
      <c r="AS12" s="212" t="e">
        <f t="shared" si="5"/>
        <v>#REF!</v>
      </c>
      <c r="AT12" s="212" t="e">
        <f t="shared" si="5"/>
        <v>#REF!</v>
      </c>
      <c r="AU12" s="212" t="e">
        <f t="shared" si="5"/>
        <v>#REF!</v>
      </c>
      <c r="AV12" s="212" t="e">
        <f t="shared" si="5"/>
        <v>#REF!</v>
      </c>
      <c r="AW12" s="212" t="e">
        <f t="shared" si="5"/>
        <v>#REF!</v>
      </c>
      <c r="AX12" s="212" t="e">
        <f t="shared" si="5"/>
        <v>#REF!</v>
      </c>
      <c r="AY12" s="212" t="e">
        <f t="shared" si="5"/>
        <v>#REF!</v>
      </c>
      <c r="AZ12" s="212" t="e">
        <f t="shared" si="5"/>
        <v>#REF!</v>
      </c>
      <c r="BA12" s="212" t="e">
        <f t="shared" si="5"/>
        <v>#REF!</v>
      </c>
    </row>
    <row r="13" spans="2:53" ht="23.25" customHeight="1">
      <c r="B13" s="97"/>
      <c r="C13" s="209"/>
      <c r="D13" s="213"/>
      <c r="E13" s="214"/>
      <c r="F13" s="214"/>
      <c r="G13" s="214"/>
      <c r="H13" s="214"/>
      <c r="I13" s="214"/>
      <c r="J13" s="214"/>
      <c r="K13" s="214"/>
      <c r="L13" s="214"/>
      <c r="M13" s="214"/>
      <c r="N13" s="214"/>
      <c r="O13" s="214"/>
      <c r="P13" s="214"/>
      <c r="Q13" s="214"/>
      <c r="R13" s="214"/>
      <c r="S13" s="214"/>
      <c r="T13" s="214"/>
      <c r="U13" s="214"/>
      <c r="V13" s="214"/>
      <c r="W13" s="214"/>
      <c r="X13" s="214"/>
      <c r="Y13" s="214"/>
      <c r="Z13" s="214"/>
      <c r="AA13" s="214"/>
      <c r="AB13" s="214"/>
      <c r="AC13" s="214"/>
      <c r="AD13" s="214"/>
      <c r="AE13" s="214"/>
      <c r="AF13" s="214"/>
      <c r="AG13" s="214"/>
      <c r="AH13" s="214"/>
      <c r="AI13" s="214"/>
      <c r="AJ13" s="214"/>
      <c r="AK13" s="214"/>
      <c r="AL13" s="214"/>
      <c r="AM13" s="214"/>
      <c r="AN13" s="214"/>
      <c r="AO13" s="214"/>
      <c r="AP13" s="214"/>
      <c r="AQ13" s="214"/>
      <c r="AR13" s="214"/>
      <c r="AS13" s="214"/>
      <c r="AT13" s="214"/>
      <c r="AU13" s="214"/>
      <c r="AV13" s="214"/>
      <c r="AW13" s="214"/>
      <c r="AX13" s="214"/>
      <c r="AY13" s="214"/>
      <c r="AZ13" s="214"/>
      <c r="BA13" s="214"/>
    </row>
    <row r="14" spans="2:53" ht="23.25" customHeight="1">
      <c r="B14" s="97"/>
      <c r="C14" s="209"/>
      <c r="D14" s="213"/>
      <c r="E14" s="214"/>
      <c r="F14" s="214"/>
      <c r="G14" s="214"/>
      <c r="H14" s="214"/>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4"/>
      <c r="AH14" s="214"/>
      <c r="AI14" s="214"/>
      <c r="AJ14" s="214"/>
      <c r="AK14" s="214"/>
      <c r="AL14" s="214"/>
      <c r="AM14" s="214"/>
      <c r="AN14" s="214"/>
      <c r="AO14" s="214"/>
      <c r="AP14" s="214"/>
      <c r="AQ14" s="214"/>
      <c r="AR14" s="214"/>
      <c r="AS14" s="214"/>
      <c r="AT14" s="214"/>
      <c r="AU14" s="214"/>
      <c r="AV14" s="214"/>
      <c r="AW14" s="214"/>
      <c r="AX14" s="214"/>
      <c r="AY14" s="214"/>
      <c r="AZ14" s="214"/>
      <c r="BA14" s="214"/>
    </row>
    <row r="15" spans="2:53" ht="23.25" customHeight="1">
      <c r="B15" s="97"/>
      <c r="C15" s="209"/>
      <c r="D15" s="213"/>
      <c r="E15" s="214"/>
      <c r="F15" s="214"/>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4"/>
      <c r="AH15" s="214"/>
      <c r="AI15" s="214"/>
      <c r="AJ15" s="214"/>
      <c r="AK15" s="214"/>
      <c r="AL15" s="214"/>
      <c r="AM15" s="214"/>
      <c r="AN15" s="214"/>
      <c r="AO15" s="214"/>
      <c r="AP15" s="214"/>
      <c r="AQ15" s="214"/>
      <c r="AR15" s="214"/>
      <c r="AS15" s="214"/>
      <c r="AT15" s="214"/>
      <c r="AU15" s="214"/>
      <c r="AV15" s="214"/>
      <c r="AW15" s="214"/>
      <c r="AX15" s="214"/>
      <c r="AY15" s="214"/>
      <c r="AZ15" s="214"/>
      <c r="BA15" s="214"/>
    </row>
    <row r="16" spans="2:53" ht="23.25" customHeight="1">
      <c r="B16" s="97"/>
      <c r="C16" s="209"/>
      <c r="D16" s="213"/>
      <c r="E16" s="214"/>
      <c r="F16" s="214"/>
      <c r="G16" s="214"/>
      <c r="H16" s="214"/>
      <c r="I16" s="214"/>
      <c r="J16" s="214"/>
      <c r="K16" s="214"/>
      <c r="L16" s="214"/>
      <c r="M16" s="214"/>
      <c r="N16" s="214"/>
      <c r="O16" s="214"/>
      <c r="P16" s="214"/>
      <c r="Q16" s="214"/>
      <c r="R16" s="214"/>
      <c r="S16" s="214"/>
      <c r="T16" s="214"/>
      <c r="U16" s="214"/>
      <c r="V16" s="214"/>
      <c r="W16" s="214"/>
      <c r="X16" s="214"/>
      <c r="Y16" s="214"/>
      <c r="Z16" s="214"/>
      <c r="AA16" s="214"/>
      <c r="AB16" s="214"/>
      <c r="AC16" s="214"/>
      <c r="AD16" s="214"/>
      <c r="AE16" s="214"/>
      <c r="AF16" s="214"/>
      <c r="AG16" s="214"/>
      <c r="AH16" s="214"/>
      <c r="AI16" s="214"/>
      <c r="AJ16" s="214"/>
      <c r="AK16" s="214"/>
      <c r="AL16" s="214"/>
      <c r="AM16" s="214"/>
      <c r="AN16" s="214"/>
      <c r="AO16" s="214"/>
      <c r="AP16" s="214"/>
      <c r="AQ16" s="214"/>
      <c r="AR16" s="214"/>
      <c r="AS16" s="214"/>
      <c r="AT16" s="214"/>
      <c r="AU16" s="214"/>
      <c r="AV16" s="214"/>
      <c r="AW16" s="214"/>
      <c r="AX16" s="214"/>
      <c r="AY16" s="214"/>
      <c r="AZ16" s="214"/>
      <c r="BA16" s="214"/>
    </row>
    <row r="17" spans="2:53">
      <c r="B17" s="205"/>
      <c r="C17" s="205"/>
      <c r="D17" s="205"/>
      <c r="E17" s="205"/>
      <c r="F17" s="205"/>
      <c r="G17" s="206"/>
      <c r="H17" s="205"/>
      <c r="I17" s="205"/>
      <c r="J17" s="205"/>
      <c r="K17" s="205"/>
      <c r="L17" s="205"/>
      <c r="M17" s="205"/>
      <c r="N17" s="205"/>
      <c r="O17" s="205"/>
      <c r="P17" s="205"/>
      <c r="Q17" s="205"/>
      <c r="R17" s="205"/>
      <c r="S17" s="205"/>
      <c r="T17" s="205"/>
      <c r="U17" s="205"/>
      <c r="V17" s="205"/>
      <c r="W17" s="205"/>
      <c r="X17" s="205"/>
      <c r="Y17" s="205"/>
      <c r="Z17" s="205"/>
      <c r="AA17" s="205"/>
      <c r="AB17" s="205"/>
      <c r="AC17" s="205"/>
      <c r="AD17" s="205"/>
      <c r="AE17" s="205"/>
      <c r="AF17" s="205"/>
      <c r="AG17" s="205"/>
      <c r="AH17" s="205"/>
      <c r="AI17" s="205"/>
      <c r="AJ17" s="205"/>
      <c r="AK17" s="205"/>
      <c r="AL17" s="205"/>
      <c r="AM17" s="205"/>
      <c r="AN17" s="205"/>
      <c r="AO17" s="205"/>
      <c r="AP17" s="205"/>
      <c r="AQ17" s="205"/>
      <c r="AR17" s="205"/>
      <c r="AS17" s="205"/>
      <c r="AT17" s="205"/>
      <c r="AU17" s="205"/>
      <c r="AV17" s="205"/>
      <c r="AW17" s="205"/>
      <c r="AX17" s="205"/>
      <c r="AY17" s="205"/>
      <c r="AZ17" s="205"/>
      <c r="BA17" s="205"/>
    </row>
    <row r="18" spans="2:53" s="91" customFormat="1" ht="27" customHeight="1">
      <c r="B18" s="201" t="s">
        <v>81</v>
      </c>
      <c r="C18" s="202"/>
      <c r="D18" s="202"/>
      <c r="E18" s="201"/>
      <c r="F18" s="201"/>
      <c r="G18" s="201"/>
      <c r="H18" s="201"/>
      <c r="I18" s="201"/>
      <c r="J18" s="201"/>
      <c r="K18" s="201"/>
      <c r="L18" s="201"/>
      <c r="M18" s="201"/>
      <c r="N18" s="201"/>
      <c r="O18" s="201"/>
      <c r="P18" s="201"/>
      <c r="Q18" s="201"/>
      <c r="R18" s="201"/>
      <c r="S18" s="201"/>
      <c r="T18" s="201"/>
      <c r="U18" s="201"/>
      <c r="V18" s="201"/>
      <c r="W18" s="201"/>
      <c r="X18" s="201"/>
      <c r="Y18" s="201"/>
      <c r="Z18" s="201"/>
      <c r="AA18" s="201"/>
      <c r="AB18" s="201"/>
      <c r="AC18" s="201"/>
      <c r="AD18" s="201"/>
      <c r="AE18" s="201"/>
      <c r="AF18" s="201"/>
      <c r="AG18" s="201"/>
      <c r="AH18" s="201"/>
      <c r="AI18" s="201"/>
      <c r="AJ18" s="201"/>
      <c r="AK18" s="201"/>
      <c r="AL18" s="201"/>
      <c r="AM18" s="201"/>
      <c r="AN18" s="201"/>
      <c r="AO18" s="201"/>
      <c r="AP18" s="201"/>
      <c r="AQ18" s="201"/>
      <c r="AR18" s="201"/>
      <c r="AS18" s="201"/>
      <c r="AT18" s="201"/>
      <c r="AU18" s="201"/>
      <c r="AV18" s="201"/>
      <c r="AW18" s="201"/>
      <c r="AX18" s="201"/>
      <c r="AY18" s="201"/>
      <c r="AZ18" s="201"/>
      <c r="BA18" s="201"/>
    </row>
    <row r="19" spans="2:53">
      <c r="B19" s="205"/>
      <c r="C19" s="205"/>
      <c r="D19" s="205"/>
      <c r="E19" s="205"/>
      <c r="F19" s="205"/>
      <c r="G19" s="206"/>
      <c r="H19" s="205"/>
      <c r="I19" s="205"/>
      <c r="J19" s="205"/>
      <c r="K19" s="205"/>
      <c r="L19" s="205"/>
      <c r="M19" s="205"/>
      <c r="N19" s="205"/>
      <c r="O19" s="205"/>
      <c r="P19" s="205"/>
      <c r="Q19" s="205"/>
      <c r="R19" s="205"/>
      <c r="S19" s="205"/>
      <c r="T19" s="205"/>
      <c r="U19" s="205"/>
      <c r="V19" s="205"/>
      <c r="W19" s="205"/>
      <c r="X19" s="205"/>
      <c r="Y19" s="205"/>
      <c r="Z19" s="205"/>
      <c r="AA19" s="205"/>
      <c r="AB19" s="205"/>
      <c r="AC19" s="205"/>
      <c r="AD19" s="205"/>
      <c r="AE19" s="205"/>
      <c r="AF19" s="205"/>
      <c r="AG19" s="205"/>
      <c r="AH19" s="205"/>
      <c r="AI19" s="205"/>
      <c r="AJ19" s="205"/>
      <c r="AK19" s="205"/>
      <c r="AL19" s="205"/>
      <c r="AM19" s="205"/>
      <c r="AN19" s="205"/>
      <c r="AO19" s="205"/>
      <c r="AP19" s="205"/>
      <c r="AQ19" s="205"/>
      <c r="AR19" s="205"/>
      <c r="AS19" s="205"/>
      <c r="AT19" s="205"/>
      <c r="AU19" s="205"/>
      <c r="AV19" s="205"/>
      <c r="AW19" s="205"/>
      <c r="AX19" s="205"/>
      <c r="AY19" s="205"/>
      <c r="AZ19" s="205"/>
      <c r="BA19" s="205"/>
    </row>
    <row r="20" spans="2:53">
      <c r="B20" s="204" t="s">
        <v>82</v>
      </c>
      <c r="C20" s="204"/>
      <c r="D20" s="204"/>
      <c r="E20" s="205">
        <f>SUMIF('MV Cable sizing-11kV'!$DW$4:$GN$4,'Tray Sizing'!E$4,'MV Cable sizing-11kV'!$DW$85:$GN$85)</f>
        <v>0</v>
      </c>
      <c r="F20" s="205">
        <f>SUMIF('MV Cable sizing-11kV'!$DW$4:$GN$4,'Tray Sizing'!F$4,'MV Cable sizing-11kV'!$DW$85:$GN$85)</f>
        <v>1979</v>
      </c>
      <c r="G20" s="206">
        <f>SUMIF('MV Cable sizing-11kV'!$DW$4:$GN$4,'Tray Sizing'!G$4,'MV Cable sizing-11kV'!$DW$85:$GN$85)</f>
        <v>0</v>
      </c>
      <c r="H20" s="205">
        <f>SUMIF('MV Cable sizing-11kV'!$DW$4:$GN$4,'Tray Sizing'!H$4,'MV Cable sizing-11kV'!$DW$85:$GN$85)</f>
        <v>0</v>
      </c>
      <c r="I20" s="205">
        <f>SUMIF('MV Cable sizing-11kV'!$DW$4:$GN$4,'Tray Sizing'!I$4,'MV Cable sizing-11kV'!$DW$85:$GN$85)</f>
        <v>1550</v>
      </c>
      <c r="J20" s="205">
        <f>SUMIF('MV Cable sizing-11kV'!$DW$4:$GN$4,'Tray Sizing'!J$4,'MV Cable sizing-11kV'!$DW$85:$GN$85)</f>
        <v>1336</v>
      </c>
      <c r="K20" s="205">
        <f>SUMIF('MV Cable sizing-11kV'!$DW$4:$GN$4,'Tray Sizing'!K$4,'MV Cable sizing-11kV'!$DW$85:$GN$85)</f>
        <v>0</v>
      </c>
      <c r="L20" s="205">
        <f>SUMIF('MV Cable sizing-11kV'!$DW$4:$GN$4,'Tray Sizing'!L$4,'MV Cable sizing-11kV'!$DW$85:$GN$85)</f>
        <v>0</v>
      </c>
      <c r="M20" s="205">
        <f>SUMIF('MV Cable sizing-11kV'!$DW$4:$GN$4,'Tray Sizing'!M$4,'MV Cable sizing-11kV'!$DW$85:$GN$85)</f>
        <v>0</v>
      </c>
      <c r="N20" s="205">
        <f>SUMIF('MV Cable sizing-11kV'!$DW$4:$GN$4,'Tray Sizing'!N$4,'MV Cable sizing-11kV'!$DW$85:$GN$85)</f>
        <v>1336</v>
      </c>
      <c r="O20" s="205">
        <f>SUMIF('MV Cable sizing-11kV'!$DW$4:$GN$4,'Tray Sizing'!O$4,'MV Cable sizing-11kV'!$DW$85:$GN$85)</f>
        <v>0</v>
      </c>
      <c r="P20" s="205">
        <f>SUMIF('MV Cable sizing-11kV'!$DW$4:$GN$4,'Tray Sizing'!P$4,'MV Cable sizing-11kV'!$DW$85:$GN$85)</f>
        <v>772</v>
      </c>
      <c r="Q20" s="205">
        <f>SUMIF('MV Cable sizing-11kV'!$DW$4:$GN$4,'Tray Sizing'!Q$4,'MV Cable sizing-11kV'!$DW$85:$GN$85)</f>
        <v>618</v>
      </c>
      <c r="R20" s="205">
        <f>SUMIF('MV Cable sizing-11kV'!$DW$4:$GN$4,'Tray Sizing'!R$4,'MV Cable sizing-11kV'!$DW$85:$GN$85)</f>
        <v>464</v>
      </c>
      <c r="S20" s="205">
        <f>SUMIF('MV Cable sizing-11kV'!$DW$4:$GN$4,'Tray Sizing'!S$4,'MV Cable sizing-11kV'!$DW$85:$GN$85)</f>
        <v>263</v>
      </c>
      <c r="T20" s="205">
        <f>SUMIF('MV Cable sizing-11kV'!$DW$4:$GN$4,'Tray Sizing'!T$4,'MV Cable sizing-11kV'!$DW$85:$GN$85)</f>
        <v>139</v>
      </c>
      <c r="U20" s="205">
        <f>SUMIF('MV Cable sizing-11kV'!$DW$4:$GN$4,'Tray Sizing'!U$4,'MV Cable sizing-11kV'!$DW$85:$GN$85)</f>
        <v>0</v>
      </c>
      <c r="V20" s="205">
        <f>SUMIF('MV Cable sizing-11kV'!$DW$4:$GN$4,'Tray Sizing'!V$4,'MV Cable sizing-11kV'!$DW$85:$GN$85)</f>
        <v>564</v>
      </c>
      <c r="W20" s="205">
        <f>SUMIF('MV Cable sizing-11kV'!$DW$4:$GN$4,'Tray Sizing'!W$4,'MV Cable sizing-11kV'!$DW$85:$GN$85)</f>
        <v>564</v>
      </c>
      <c r="X20" s="205">
        <f>SUMIF('MV Cable sizing-11kV'!$DW$4:$GN$4,'Tray Sizing'!X$4,'MV Cable sizing-11kV'!$DW$85:$GN$85)</f>
        <v>0</v>
      </c>
      <c r="Y20" s="205">
        <f>SUMIF('MV Cable sizing-11kV'!$DW$4:$GN$4,'Tray Sizing'!Y$4,'MV Cable sizing-11kV'!$DW$85:$GN$85)</f>
        <v>0</v>
      </c>
      <c r="Z20" s="205">
        <f>SUMIF('MV Cable sizing-11kV'!$DW$4:$GN$4,'Tray Sizing'!Z$4,'MV Cable sizing-11kV'!$DW$85:$GN$85)</f>
        <v>0</v>
      </c>
      <c r="AA20" s="205">
        <f>SUMIF('MV Cable sizing-11kV'!$DW$4:$GN$4,'Tray Sizing'!AA$4,'MV Cable sizing-11kV'!$DW$85:$GN$85)</f>
        <v>0</v>
      </c>
      <c r="AB20" s="205">
        <f>SUMIF('MV Cable sizing-11kV'!$DW$4:$GN$4,'Tray Sizing'!AB$4,'MV Cable sizing-11kV'!$DW$85:$GN$85)</f>
        <v>132</v>
      </c>
      <c r="AC20" s="205">
        <f>SUMIF('MV Cable sizing-11kV'!$DW$4:$GN$4,'Tray Sizing'!AC$4,'MV Cable sizing-11kV'!$DW$85:$GN$85)</f>
        <v>666</v>
      </c>
      <c r="AD20" s="205">
        <f>SUMIF('MV Cable sizing-11kV'!$DW$4:$GN$4,'Tray Sizing'!AD$4,'MV Cable sizing-11kV'!$DW$85:$GN$85)</f>
        <v>308</v>
      </c>
      <c r="AE20" s="205">
        <f>SUMIF('MV Cable sizing-11kV'!$DW$4:$GN$4,'Tray Sizing'!AE$4,'MV Cable sizing-11kV'!$DW$85:$GN$85)</f>
        <v>0</v>
      </c>
      <c r="AF20" s="205">
        <f>SUMIF('MV Cable sizing-11kV'!$DW$4:$GN$4,'Tray Sizing'!AF$4,'MV Cable sizing-11kV'!$DW$85:$GN$85)</f>
        <v>0</v>
      </c>
      <c r="AG20" s="205">
        <f>SUMIF('MV Cable sizing-11kV'!$DW$4:$GN$4,'Tray Sizing'!AG$4,'MV Cable sizing-11kV'!$DW$85:$GN$85)</f>
        <v>0</v>
      </c>
      <c r="AH20" s="205">
        <f>SUMIF('MV Cable sizing-11kV'!$DW$4:$GN$4,'Tray Sizing'!AH$4,'MV Cable sizing-11kV'!$DW$85:$GN$85)</f>
        <v>234</v>
      </c>
      <c r="AI20" s="205">
        <f>SUMIF('MV Cable sizing-11kV'!$DW$4:$GN$4,'Tray Sizing'!AI$4,'MV Cable sizing-11kV'!$DW$85:$GN$85)</f>
        <v>0</v>
      </c>
      <c r="AJ20" s="205">
        <f>SUMIF('MV Cable sizing-11kV'!$DW$4:$GN$4,'Tray Sizing'!AJ$4,'MV Cable sizing-11kV'!$DW$85:$GN$85)</f>
        <v>0</v>
      </c>
      <c r="AK20" s="205">
        <f>SUMIF('MV Cable sizing-11kV'!$DW$4:$GN$4,'Tray Sizing'!AK$4,'MV Cable sizing-11kV'!$DW$85:$GN$85)</f>
        <v>0</v>
      </c>
      <c r="AL20" s="205">
        <f>SUMIF('MV Cable sizing-11kV'!$DW$4:$GN$4,'Tray Sizing'!AL$4,'MV Cable sizing-11kV'!$DW$85:$GN$85)</f>
        <v>0</v>
      </c>
      <c r="AM20" s="205">
        <f>SUMIF('MV Cable sizing-11kV'!$DW$4:$GN$4,'Tray Sizing'!AM$4,'MV Cable sizing-11kV'!$DW$85:$GN$85)</f>
        <v>0</v>
      </c>
      <c r="AN20" s="205">
        <f>SUMIF('MV Cable sizing-11kV'!$DW$4:$GN$4,'Tray Sizing'!AN$4,'MV Cable sizing-11kV'!$DW$85:$GN$85)</f>
        <v>0</v>
      </c>
      <c r="AO20" s="205">
        <f>SUMIF('MV Cable sizing-11kV'!$DW$4:$GN$4,'Tray Sizing'!AO$4,'MV Cable sizing-11kV'!$DW$85:$GN$85)</f>
        <v>0</v>
      </c>
      <c r="AP20" s="205">
        <f>SUMIF('MV Cable sizing-11kV'!$DW$4:$GN$4,'Tray Sizing'!AP$4,'MV Cable sizing-11kV'!$DW$85:$GN$85)</f>
        <v>0</v>
      </c>
      <c r="AQ20" s="205">
        <f>SUMIF('MV Cable sizing-11kV'!$DW$4:$GN$4,'Tray Sizing'!AQ$4,'MV Cable sizing-11kV'!$DW$85:$GN$85)</f>
        <v>0</v>
      </c>
      <c r="AR20" s="205">
        <f>SUMIF('MV Cable sizing-11kV'!$DW$4:$GN$4,'Tray Sizing'!AR$4,'MV Cable sizing-11kV'!$DW$85:$GN$85)</f>
        <v>0</v>
      </c>
      <c r="AS20" s="205">
        <f>SUMIF('MV Cable sizing-11kV'!$DW$4:$GN$4,'Tray Sizing'!AS$4,'MV Cable sizing-11kV'!$DW$85:$GN$85)</f>
        <v>429</v>
      </c>
      <c r="AT20" s="205">
        <f>SUMIF('MV Cable sizing-11kV'!$DW$4:$GN$4,'Tray Sizing'!AT$4,'MV Cable sizing-11kV'!$DW$85:$GN$85)</f>
        <v>0</v>
      </c>
      <c r="AU20" s="205">
        <f>SUMIF('MV Cable sizing-11kV'!$DW$4:$GN$4,'Tray Sizing'!AU$4,'MV Cable sizing-11kV'!$DW$85:$GN$85)</f>
        <v>429</v>
      </c>
      <c r="AV20" s="205">
        <f>SUMIF('MV Cable sizing-11kV'!$DW$4:$GN$4,'Tray Sizing'!AV$4,'MV Cable sizing-11kV'!$DW$85:$GN$85)</f>
        <v>0</v>
      </c>
      <c r="AW20" s="205">
        <f>SUMIF('MV Cable sizing-11kV'!$DW$4:$GN$4,'Tray Sizing'!AW$4,'MV Cable sizing-11kV'!$DW$85:$GN$85)</f>
        <v>305</v>
      </c>
      <c r="AX20" s="205">
        <f>SUMIF('MV Cable sizing-11kV'!$DW$4:$GN$4,'Tray Sizing'!AX$4,'MV Cable sizing-11kV'!$DW$85:$GN$85)</f>
        <v>305</v>
      </c>
      <c r="AY20" s="205">
        <f>SUMIF('MV Cable sizing-11kV'!$DW$4:$GN$4,'Tray Sizing'!AY$4,'MV Cable sizing-11kV'!$DW$85:$GN$85)</f>
        <v>0</v>
      </c>
      <c r="AZ20" s="205">
        <f>SUMIF('MV Cable sizing-11kV'!$DW$4:$GN$4,'Tray Sizing'!AZ$4,'MV Cable sizing-11kV'!$DW$85:$GN$85)</f>
        <v>0</v>
      </c>
      <c r="BA20" s="205">
        <f>SUMIF('MV Cable sizing-11kV'!$DW$4:$GN$4,'Tray Sizing'!BA$4,'MV Cable sizing-11kV'!$DW$85:$GN$85)</f>
        <v>0</v>
      </c>
    </row>
    <row r="21" spans="2:53">
      <c r="B21" s="213"/>
      <c r="C21" s="213"/>
      <c r="D21" s="213"/>
      <c r="E21" s="205"/>
      <c r="F21" s="205"/>
      <c r="G21" s="206"/>
      <c r="H21" s="205"/>
      <c r="I21" s="205"/>
      <c r="J21" s="205"/>
      <c r="K21" s="205"/>
      <c r="L21" s="205"/>
      <c r="M21" s="205"/>
      <c r="N21" s="205"/>
      <c r="O21" s="205"/>
      <c r="P21" s="205"/>
      <c r="Q21" s="205"/>
      <c r="R21" s="205"/>
      <c r="S21" s="205"/>
      <c r="T21" s="205"/>
      <c r="U21" s="205"/>
      <c r="V21" s="205"/>
      <c r="W21" s="205"/>
      <c r="X21" s="205"/>
      <c r="Y21" s="205"/>
      <c r="Z21" s="205"/>
      <c r="AA21" s="205"/>
      <c r="AB21" s="205"/>
      <c r="AC21" s="205"/>
      <c r="AD21" s="205"/>
      <c r="AE21" s="205"/>
      <c r="AF21" s="205"/>
      <c r="AG21" s="205"/>
      <c r="AH21" s="205"/>
      <c r="AI21" s="205"/>
      <c r="AJ21" s="205"/>
      <c r="AK21" s="205"/>
      <c r="AL21" s="205"/>
      <c r="AM21" s="205"/>
      <c r="AN21" s="205"/>
      <c r="AO21" s="205"/>
      <c r="AP21" s="205"/>
      <c r="AQ21" s="205"/>
      <c r="AR21" s="205"/>
      <c r="AS21" s="205"/>
      <c r="AT21" s="205"/>
      <c r="AU21" s="205"/>
      <c r="AV21" s="205"/>
      <c r="AW21" s="205"/>
      <c r="AX21" s="205"/>
      <c r="AY21" s="205"/>
      <c r="AZ21" s="205"/>
      <c r="BA21" s="205"/>
    </row>
    <row r="22" spans="2:53" s="96" customFormat="1" ht="25.5">
      <c r="B22" s="215" t="s">
        <v>79</v>
      </c>
      <c r="C22" s="215"/>
      <c r="D22" s="215"/>
      <c r="E22" s="216">
        <f>E20*1.2</f>
        <v>0</v>
      </c>
      <c r="F22" s="216">
        <f t="shared" ref="F22:BA22" si="6">F20*1.2</f>
        <v>2374.7999999999997</v>
      </c>
      <c r="G22" s="216">
        <f t="shared" si="6"/>
        <v>0</v>
      </c>
      <c r="H22" s="216">
        <f t="shared" si="6"/>
        <v>0</v>
      </c>
      <c r="I22" s="216">
        <f t="shared" si="6"/>
        <v>1860</v>
      </c>
      <c r="J22" s="216">
        <f t="shared" si="6"/>
        <v>1603.2</v>
      </c>
      <c r="K22" s="216">
        <f t="shared" si="6"/>
        <v>0</v>
      </c>
      <c r="L22" s="216">
        <f t="shared" si="6"/>
        <v>0</v>
      </c>
      <c r="M22" s="216">
        <f t="shared" si="6"/>
        <v>0</v>
      </c>
      <c r="N22" s="216">
        <f t="shared" si="6"/>
        <v>1603.2</v>
      </c>
      <c r="O22" s="216">
        <f t="shared" si="6"/>
        <v>0</v>
      </c>
      <c r="P22" s="216">
        <f t="shared" si="6"/>
        <v>926.4</v>
      </c>
      <c r="Q22" s="216">
        <f t="shared" si="6"/>
        <v>741.6</v>
      </c>
      <c r="R22" s="216">
        <f t="shared" si="6"/>
        <v>556.79999999999995</v>
      </c>
      <c r="S22" s="216">
        <f t="shared" si="6"/>
        <v>315.59999999999997</v>
      </c>
      <c r="T22" s="216">
        <f t="shared" si="6"/>
        <v>166.79999999999998</v>
      </c>
      <c r="U22" s="216">
        <f t="shared" si="6"/>
        <v>0</v>
      </c>
      <c r="V22" s="216">
        <f t="shared" si="6"/>
        <v>676.8</v>
      </c>
      <c r="W22" s="216">
        <f t="shared" si="6"/>
        <v>676.8</v>
      </c>
      <c r="X22" s="216">
        <f t="shared" si="6"/>
        <v>0</v>
      </c>
      <c r="Y22" s="216">
        <f t="shared" si="6"/>
        <v>0</v>
      </c>
      <c r="Z22" s="216">
        <f t="shared" si="6"/>
        <v>0</v>
      </c>
      <c r="AA22" s="216">
        <f t="shared" si="6"/>
        <v>0</v>
      </c>
      <c r="AB22" s="216">
        <f t="shared" si="6"/>
        <v>158.4</v>
      </c>
      <c r="AC22" s="216">
        <f t="shared" si="6"/>
        <v>799.19999999999993</v>
      </c>
      <c r="AD22" s="216">
        <f t="shared" si="6"/>
        <v>369.59999999999997</v>
      </c>
      <c r="AE22" s="216">
        <f t="shared" si="6"/>
        <v>0</v>
      </c>
      <c r="AF22" s="216">
        <f t="shared" si="6"/>
        <v>0</v>
      </c>
      <c r="AG22" s="216">
        <f t="shared" si="6"/>
        <v>0</v>
      </c>
      <c r="AH22" s="216">
        <f t="shared" si="6"/>
        <v>280.8</v>
      </c>
      <c r="AI22" s="216">
        <f t="shared" si="6"/>
        <v>0</v>
      </c>
      <c r="AJ22" s="216">
        <f t="shared" si="6"/>
        <v>0</v>
      </c>
      <c r="AK22" s="216">
        <f t="shared" si="6"/>
        <v>0</v>
      </c>
      <c r="AL22" s="216">
        <f t="shared" si="6"/>
        <v>0</v>
      </c>
      <c r="AM22" s="216">
        <f t="shared" si="6"/>
        <v>0</v>
      </c>
      <c r="AN22" s="216">
        <f t="shared" si="6"/>
        <v>0</v>
      </c>
      <c r="AO22" s="216">
        <f t="shared" si="6"/>
        <v>0</v>
      </c>
      <c r="AP22" s="216">
        <f t="shared" si="6"/>
        <v>0</v>
      </c>
      <c r="AQ22" s="216">
        <f t="shared" si="6"/>
        <v>0</v>
      </c>
      <c r="AR22" s="216">
        <f t="shared" si="6"/>
        <v>0</v>
      </c>
      <c r="AS22" s="216">
        <f t="shared" si="6"/>
        <v>514.79999999999995</v>
      </c>
      <c r="AT22" s="216">
        <f t="shared" si="6"/>
        <v>0</v>
      </c>
      <c r="AU22" s="216">
        <f t="shared" si="6"/>
        <v>514.79999999999995</v>
      </c>
      <c r="AV22" s="216">
        <f t="shared" si="6"/>
        <v>0</v>
      </c>
      <c r="AW22" s="216">
        <f t="shared" si="6"/>
        <v>366</v>
      </c>
      <c r="AX22" s="216">
        <f t="shared" ref="AX22:AY22" si="7">AX20*1.2</f>
        <v>366</v>
      </c>
      <c r="AY22" s="216">
        <f t="shared" si="7"/>
        <v>0</v>
      </c>
      <c r="AZ22" s="216">
        <f t="shared" si="6"/>
        <v>0</v>
      </c>
      <c r="BA22" s="216">
        <f t="shared" si="6"/>
        <v>0</v>
      </c>
    </row>
    <row r="23" spans="2:53">
      <c r="B23" s="213"/>
      <c r="C23" s="213"/>
      <c r="D23" s="213"/>
      <c r="E23" s="205"/>
      <c r="F23" s="205"/>
      <c r="G23" s="206"/>
      <c r="H23" s="205"/>
      <c r="I23" s="205"/>
      <c r="J23" s="205"/>
      <c r="K23" s="205"/>
      <c r="L23" s="205"/>
      <c r="M23" s="205"/>
      <c r="N23" s="205"/>
      <c r="O23" s="205"/>
      <c r="P23" s="205"/>
      <c r="Q23" s="205"/>
      <c r="R23" s="205"/>
      <c r="S23" s="205"/>
      <c r="T23" s="205"/>
      <c r="U23" s="205"/>
      <c r="V23" s="205"/>
      <c r="W23" s="205"/>
      <c r="X23" s="205"/>
      <c r="Y23" s="205"/>
      <c r="Z23" s="205"/>
      <c r="AA23" s="205"/>
      <c r="AB23" s="205"/>
      <c r="AC23" s="205"/>
      <c r="AD23" s="205"/>
      <c r="AE23" s="205"/>
      <c r="AF23" s="205"/>
      <c r="AG23" s="205"/>
      <c r="AH23" s="205"/>
      <c r="AI23" s="205"/>
      <c r="AJ23" s="205"/>
      <c r="AK23" s="205"/>
      <c r="AL23" s="205"/>
      <c r="AM23" s="205"/>
      <c r="AN23" s="205"/>
      <c r="AO23" s="205"/>
      <c r="AP23" s="205"/>
      <c r="AQ23" s="205"/>
      <c r="AR23" s="205"/>
      <c r="AS23" s="205"/>
      <c r="AT23" s="205"/>
      <c r="AU23" s="205"/>
      <c r="AV23" s="205"/>
      <c r="AW23" s="205"/>
      <c r="AX23" s="205"/>
      <c r="AY23" s="205"/>
      <c r="AZ23" s="205"/>
      <c r="BA23" s="205"/>
    </row>
    <row r="24" spans="2:53">
      <c r="B24" s="217"/>
      <c r="C24" s="217"/>
      <c r="D24" s="213"/>
      <c r="E24" s="205"/>
      <c r="F24" s="205"/>
      <c r="G24" s="206"/>
      <c r="H24" s="205"/>
      <c r="I24" s="205"/>
      <c r="J24" s="205"/>
      <c r="K24" s="205"/>
      <c r="L24" s="205"/>
      <c r="M24" s="205"/>
      <c r="N24" s="205"/>
      <c r="O24" s="205"/>
      <c r="P24" s="205"/>
      <c r="Q24" s="205"/>
      <c r="R24" s="205"/>
      <c r="S24" s="205"/>
      <c r="T24" s="205"/>
      <c r="U24" s="205"/>
      <c r="V24" s="205"/>
      <c r="W24" s="205"/>
      <c r="X24" s="205"/>
      <c r="Y24" s="205"/>
      <c r="Z24" s="205"/>
      <c r="AA24" s="205"/>
      <c r="AB24" s="205"/>
      <c r="AC24" s="205"/>
      <c r="AD24" s="205"/>
      <c r="AE24" s="205"/>
      <c r="AF24" s="205"/>
      <c r="AG24" s="205"/>
      <c r="AH24" s="205"/>
      <c r="AI24" s="205"/>
      <c r="AJ24" s="205"/>
      <c r="AK24" s="205"/>
      <c r="AL24" s="205"/>
      <c r="AM24" s="205"/>
      <c r="AN24" s="205"/>
      <c r="AO24" s="205"/>
      <c r="AP24" s="205"/>
      <c r="AQ24" s="205"/>
      <c r="AR24" s="205"/>
      <c r="AS24" s="205"/>
      <c r="AT24" s="205"/>
      <c r="AU24" s="205"/>
      <c r="AV24" s="205"/>
      <c r="AW24" s="205"/>
      <c r="AX24" s="205"/>
      <c r="AY24" s="205"/>
      <c r="AZ24" s="205"/>
      <c r="BA24" s="205"/>
    </row>
    <row r="25" spans="2:53">
      <c r="B25" s="217"/>
      <c r="C25" s="217"/>
      <c r="D25" s="213"/>
      <c r="E25" s="205"/>
      <c r="F25" s="205"/>
      <c r="G25" s="206"/>
      <c r="H25" s="205"/>
      <c r="I25" s="205"/>
      <c r="J25" s="205"/>
      <c r="K25" s="205"/>
      <c r="L25" s="205"/>
      <c r="M25" s="205"/>
      <c r="N25" s="205"/>
      <c r="O25" s="205"/>
      <c r="P25" s="205"/>
      <c r="Q25" s="205"/>
      <c r="R25" s="205"/>
      <c r="S25" s="205"/>
      <c r="T25" s="205"/>
      <c r="U25" s="205"/>
      <c r="V25" s="205"/>
      <c r="W25" s="205"/>
      <c r="X25" s="205"/>
      <c r="Y25" s="205"/>
      <c r="Z25" s="205"/>
      <c r="AA25" s="205"/>
      <c r="AB25" s="205"/>
      <c r="AC25" s="205"/>
      <c r="AD25" s="205"/>
      <c r="AE25" s="205"/>
      <c r="AF25" s="205"/>
      <c r="AG25" s="205"/>
      <c r="AH25" s="205"/>
      <c r="AI25" s="205"/>
      <c r="AJ25" s="205"/>
      <c r="AK25" s="205"/>
      <c r="AL25" s="205"/>
      <c r="AM25" s="205"/>
      <c r="AN25" s="205"/>
      <c r="AO25" s="205"/>
      <c r="AP25" s="205"/>
      <c r="AQ25" s="205"/>
      <c r="AR25" s="205"/>
      <c r="AS25" s="205"/>
      <c r="AT25" s="205"/>
      <c r="AU25" s="205"/>
      <c r="AV25" s="205"/>
      <c r="AW25" s="205"/>
      <c r="AX25" s="205"/>
      <c r="AY25" s="205"/>
      <c r="AZ25" s="205"/>
      <c r="BA25" s="205"/>
    </row>
    <row r="26" spans="2:53">
      <c r="B26" s="217"/>
      <c r="C26" s="217"/>
      <c r="D26" s="213"/>
      <c r="E26" s="205"/>
      <c r="F26" s="205"/>
      <c r="G26" s="206"/>
      <c r="H26" s="205"/>
      <c r="I26" s="205"/>
      <c r="J26" s="205"/>
      <c r="K26" s="205"/>
      <c r="L26" s="205"/>
      <c r="M26" s="205"/>
      <c r="N26" s="205"/>
      <c r="O26" s="205"/>
      <c r="P26" s="205"/>
      <c r="Q26" s="205"/>
      <c r="R26" s="205"/>
      <c r="S26" s="205"/>
      <c r="T26" s="205"/>
      <c r="U26" s="205"/>
      <c r="V26" s="205"/>
      <c r="W26" s="205"/>
      <c r="X26" s="205"/>
      <c r="Y26" s="205"/>
      <c r="Z26" s="205"/>
      <c r="AA26" s="205"/>
      <c r="AB26" s="205"/>
      <c r="AC26" s="205"/>
      <c r="AD26" s="205"/>
      <c r="AE26" s="205"/>
      <c r="AF26" s="205"/>
      <c r="AG26" s="205"/>
      <c r="AH26" s="205"/>
      <c r="AI26" s="205"/>
      <c r="AJ26" s="205"/>
      <c r="AK26" s="205"/>
      <c r="AL26" s="205"/>
      <c r="AM26" s="205"/>
      <c r="AN26" s="205"/>
      <c r="AO26" s="205"/>
      <c r="AP26" s="205"/>
      <c r="AQ26" s="205"/>
      <c r="AR26" s="205"/>
      <c r="AS26" s="205"/>
      <c r="AT26" s="205"/>
      <c r="AU26" s="205"/>
      <c r="AV26" s="205"/>
      <c r="AW26" s="205"/>
      <c r="AX26" s="205"/>
      <c r="AY26" s="205"/>
      <c r="AZ26" s="205"/>
      <c r="BA26" s="205"/>
    </row>
    <row r="27" spans="2:53" ht="12.75" customHeight="1">
      <c r="B27" s="943" t="s">
        <v>83</v>
      </c>
      <c r="C27" s="940">
        <v>600</v>
      </c>
      <c r="D27" s="218"/>
      <c r="E27" s="210">
        <f>E22/$C$27</f>
        <v>0</v>
      </c>
      <c r="F27" s="210">
        <f t="shared" ref="F27:BA27" si="8">F22/$C$27</f>
        <v>3.9579999999999997</v>
      </c>
      <c r="G27" s="210">
        <f t="shared" si="8"/>
        <v>0</v>
      </c>
      <c r="H27" s="210">
        <f t="shared" si="8"/>
        <v>0</v>
      </c>
      <c r="I27" s="210">
        <f t="shared" si="8"/>
        <v>3.1</v>
      </c>
      <c r="J27" s="210">
        <f t="shared" si="8"/>
        <v>2.6720000000000002</v>
      </c>
      <c r="K27" s="210">
        <f t="shared" si="8"/>
        <v>0</v>
      </c>
      <c r="L27" s="210">
        <f t="shared" si="8"/>
        <v>0</v>
      </c>
      <c r="M27" s="210">
        <f t="shared" si="8"/>
        <v>0</v>
      </c>
      <c r="N27" s="210">
        <f t="shared" si="8"/>
        <v>2.6720000000000002</v>
      </c>
      <c r="O27" s="210">
        <f t="shared" si="8"/>
        <v>0</v>
      </c>
      <c r="P27" s="210">
        <f t="shared" si="8"/>
        <v>1.544</v>
      </c>
      <c r="Q27" s="210">
        <f t="shared" si="8"/>
        <v>1.236</v>
      </c>
      <c r="R27" s="210">
        <f t="shared" si="8"/>
        <v>0.92799999999999994</v>
      </c>
      <c r="S27" s="210">
        <f t="shared" si="8"/>
        <v>0.52599999999999991</v>
      </c>
      <c r="T27" s="210">
        <f t="shared" si="8"/>
        <v>0.27799999999999997</v>
      </c>
      <c r="U27" s="210">
        <f t="shared" si="8"/>
        <v>0</v>
      </c>
      <c r="V27" s="210">
        <f t="shared" si="8"/>
        <v>1.1279999999999999</v>
      </c>
      <c r="W27" s="210">
        <f t="shared" si="8"/>
        <v>1.1279999999999999</v>
      </c>
      <c r="X27" s="210">
        <f t="shared" si="8"/>
        <v>0</v>
      </c>
      <c r="Y27" s="210">
        <f t="shared" si="8"/>
        <v>0</v>
      </c>
      <c r="Z27" s="210">
        <f t="shared" si="8"/>
        <v>0</v>
      </c>
      <c r="AA27" s="210">
        <f t="shared" si="8"/>
        <v>0</v>
      </c>
      <c r="AB27" s="210">
        <f t="shared" si="8"/>
        <v>0.26400000000000001</v>
      </c>
      <c r="AC27" s="210">
        <f t="shared" si="8"/>
        <v>1.3319999999999999</v>
      </c>
      <c r="AD27" s="210">
        <f t="shared" si="8"/>
        <v>0.61599999999999999</v>
      </c>
      <c r="AE27" s="210">
        <f t="shared" si="8"/>
        <v>0</v>
      </c>
      <c r="AF27" s="210">
        <f t="shared" si="8"/>
        <v>0</v>
      </c>
      <c r="AG27" s="210">
        <f t="shared" si="8"/>
        <v>0</v>
      </c>
      <c r="AH27" s="210">
        <f t="shared" si="8"/>
        <v>0.46800000000000003</v>
      </c>
      <c r="AI27" s="210">
        <f t="shared" si="8"/>
        <v>0</v>
      </c>
      <c r="AJ27" s="210">
        <f t="shared" si="8"/>
        <v>0</v>
      </c>
      <c r="AK27" s="210">
        <f t="shared" si="8"/>
        <v>0</v>
      </c>
      <c r="AL27" s="210">
        <f t="shared" si="8"/>
        <v>0</v>
      </c>
      <c r="AM27" s="210">
        <f t="shared" si="8"/>
        <v>0</v>
      </c>
      <c r="AN27" s="210">
        <f t="shared" si="8"/>
        <v>0</v>
      </c>
      <c r="AO27" s="210">
        <f t="shared" si="8"/>
        <v>0</v>
      </c>
      <c r="AP27" s="210">
        <f t="shared" si="8"/>
        <v>0</v>
      </c>
      <c r="AQ27" s="210">
        <f t="shared" si="8"/>
        <v>0</v>
      </c>
      <c r="AR27" s="210">
        <f t="shared" si="8"/>
        <v>0</v>
      </c>
      <c r="AS27" s="210">
        <f t="shared" si="8"/>
        <v>0.85799999999999987</v>
      </c>
      <c r="AT27" s="210">
        <f t="shared" si="8"/>
        <v>0</v>
      </c>
      <c r="AU27" s="210">
        <f t="shared" si="8"/>
        <v>0.85799999999999987</v>
      </c>
      <c r="AV27" s="210">
        <f t="shared" si="8"/>
        <v>0</v>
      </c>
      <c r="AW27" s="210">
        <f t="shared" si="8"/>
        <v>0.61</v>
      </c>
      <c r="AX27" s="210">
        <f t="shared" si="8"/>
        <v>0.61</v>
      </c>
      <c r="AY27" s="210">
        <f t="shared" si="8"/>
        <v>0</v>
      </c>
      <c r="AZ27" s="210">
        <f t="shared" si="8"/>
        <v>0</v>
      </c>
      <c r="BA27" s="210">
        <f t="shared" si="8"/>
        <v>0</v>
      </c>
    </row>
    <row r="28" spans="2:53">
      <c r="B28" s="944"/>
      <c r="C28" s="941"/>
      <c r="D28" s="218"/>
      <c r="E28" s="219"/>
      <c r="F28" s="219"/>
      <c r="G28" s="219"/>
      <c r="H28" s="219"/>
      <c r="I28" s="219"/>
      <c r="J28" s="219"/>
      <c r="K28" s="219"/>
      <c r="L28" s="219"/>
      <c r="M28" s="219"/>
      <c r="N28" s="219"/>
      <c r="O28" s="219"/>
      <c r="P28" s="219"/>
      <c r="Q28" s="219"/>
      <c r="R28" s="219"/>
      <c r="S28" s="219"/>
      <c r="T28" s="219"/>
      <c r="U28" s="219"/>
      <c r="V28" s="219"/>
      <c r="W28" s="219"/>
      <c r="X28" s="219"/>
      <c r="Y28" s="219"/>
      <c r="Z28" s="219"/>
      <c r="AA28" s="219"/>
      <c r="AB28" s="219"/>
      <c r="AC28" s="219"/>
      <c r="AD28" s="219"/>
      <c r="AE28" s="219"/>
      <c r="AF28" s="219"/>
      <c r="AG28" s="219"/>
      <c r="AH28" s="219"/>
      <c r="AI28" s="219"/>
      <c r="AJ28" s="219"/>
      <c r="AK28" s="219"/>
      <c r="AL28" s="219"/>
      <c r="AM28" s="219"/>
      <c r="AN28" s="219"/>
      <c r="AO28" s="219"/>
      <c r="AP28" s="219"/>
      <c r="AQ28" s="219"/>
      <c r="AR28" s="219"/>
      <c r="AS28" s="219"/>
      <c r="AT28" s="219"/>
      <c r="AU28" s="219"/>
      <c r="AV28" s="219"/>
      <c r="AW28" s="219"/>
      <c r="AX28" s="219"/>
      <c r="AY28" s="219"/>
      <c r="AZ28" s="219"/>
      <c r="BA28" s="219"/>
    </row>
    <row r="29" spans="2:53" ht="27" customHeight="1">
      <c r="B29" s="944"/>
      <c r="C29" s="942"/>
      <c r="D29" s="213"/>
      <c r="E29" s="220">
        <f>ROUNDUP(E27,0)</f>
        <v>0</v>
      </c>
      <c r="F29" s="220">
        <f t="shared" ref="F29:BA29" si="9">ROUNDUP(F27,0)</f>
        <v>4</v>
      </c>
      <c r="G29" s="220">
        <f t="shared" si="9"/>
        <v>0</v>
      </c>
      <c r="H29" s="220">
        <f t="shared" si="9"/>
        <v>0</v>
      </c>
      <c r="I29" s="220">
        <f t="shared" si="9"/>
        <v>4</v>
      </c>
      <c r="J29" s="221">
        <v>2</v>
      </c>
      <c r="K29" s="222">
        <v>0</v>
      </c>
      <c r="L29" s="222">
        <v>0</v>
      </c>
      <c r="M29" s="222">
        <v>0</v>
      </c>
      <c r="N29" s="221">
        <v>2</v>
      </c>
      <c r="O29" s="222">
        <v>0</v>
      </c>
      <c r="P29" s="221">
        <v>1</v>
      </c>
      <c r="Q29" s="220">
        <f t="shared" si="9"/>
        <v>2</v>
      </c>
      <c r="R29" s="222">
        <v>0</v>
      </c>
      <c r="S29" s="222">
        <v>0</v>
      </c>
      <c r="T29" s="222">
        <v>0</v>
      </c>
      <c r="U29" s="222">
        <v>0</v>
      </c>
      <c r="V29" s="220">
        <v>1</v>
      </c>
      <c r="W29" s="220">
        <v>1</v>
      </c>
      <c r="X29" s="220">
        <f t="shared" si="9"/>
        <v>0</v>
      </c>
      <c r="Y29" s="220">
        <f t="shared" si="9"/>
        <v>0</v>
      </c>
      <c r="Z29" s="220">
        <f t="shared" si="9"/>
        <v>0</v>
      </c>
      <c r="AA29" s="220">
        <f t="shared" si="9"/>
        <v>0</v>
      </c>
      <c r="AB29" s="222">
        <v>0</v>
      </c>
      <c r="AC29" s="220">
        <f t="shared" si="9"/>
        <v>2</v>
      </c>
      <c r="AD29" s="222">
        <v>0</v>
      </c>
      <c r="AE29" s="220">
        <f t="shared" si="9"/>
        <v>0</v>
      </c>
      <c r="AF29" s="222">
        <v>0</v>
      </c>
      <c r="AG29" s="222">
        <v>0</v>
      </c>
      <c r="AH29" s="222">
        <v>0</v>
      </c>
      <c r="AI29" s="220">
        <f t="shared" si="9"/>
        <v>0</v>
      </c>
      <c r="AJ29" s="220">
        <f t="shared" si="9"/>
        <v>0</v>
      </c>
      <c r="AK29" s="220">
        <f t="shared" si="9"/>
        <v>0</v>
      </c>
      <c r="AL29" s="220">
        <f t="shared" si="9"/>
        <v>0</v>
      </c>
      <c r="AM29" s="220">
        <f t="shared" si="9"/>
        <v>0</v>
      </c>
      <c r="AN29" s="220">
        <f t="shared" si="9"/>
        <v>0</v>
      </c>
      <c r="AO29" s="220">
        <f t="shared" si="9"/>
        <v>0</v>
      </c>
      <c r="AP29" s="220">
        <f t="shared" si="9"/>
        <v>0</v>
      </c>
      <c r="AQ29" s="220">
        <f t="shared" si="9"/>
        <v>0</v>
      </c>
      <c r="AR29" s="220">
        <f t="shared" si="9"/>
        <v>0</v>
      </c>
      <c r="AS29" s="222">
        <v>0</v>
      </c>
      <c r="AT29" s="220">
        <f t="shared" si="9"/>
        <v>0</v>
      </c>
      <c r="AU29" s="222">
        <v>0</v>
      </c>
      <c r="AV29" s="220">
        <f t="shared" si="9"/>
        <v>0</v>
      </c>
      <c r="AW29" s="222">
        <v>0</v>
      </c>
      <c r="AX29" s="222">
        <v>0</v>
      </c>
      <c r="AY29" s="222">
        <v>0</v>
      </c>
      <c r="AZ29" s="220">
        <f t="shared" si="9"/>
        <v>0</v>
      </c>
      <c r="BA29" s="220">
        <f t="shared" si="9"/>
        <v>0</v>
      </c>
    </row>
    <row r="30" spans="2:53" ht="21.75" customHeight="1">
      <c r="B30" s="944"/>
      <c r="C30" s="213"/>
      <c r="D30" s="213"/>
      <c r="E30" s="205"/>
      <c r="F30" s="205"/>
      <c r="G30" s="206"/>
      <c r="H30" s="205"/>
      <c r="I30" s="205"/>
      <c r="J30" s="205"/>
      <c r="K30" s="205"/>
      <c r="L30" s="205"/>
      <c r="M30" s="205"/>
      <c r="N30" s="205"/>
      <c r="O30" s="205"/>
      <c r="P30" s="205"/>
      <c r="Q30" s="205"/>
      <c r="R30" s="205"/>
      <c r="S30" s="205"/>
      <c r="T30" s="205"/>
      <c r="U30" s="205"/>
      <c r="V30" s="205"/>
      <c r="W30" s="205"/>
      <c r="X30" s="205"/>
      <c r="Y30" s="205"/>
      <c r="Z30" s="205"/>
      <c r="AA30" s="205"/>
      <c r="AB30" s="205"/>
      <c r="AC30" s="205"/>
      <c r="AD30" s="205"/>
      <c r="AE30" s="205"/>
      <c r="AF30" s="205"/>
      <c r="AG30" s="205"/>
      <c r="AH30" s="205"/>
      <c r="AI30" s="205"/>
      <c r="AJ30" s="205"/>
      <c r="AK30" s="205"/>
      <c r="AL30" s="205"/>
      <c r="AM30" s="205"/>
      <c r="AN30" s="205"/>
      <c r="AO30" s="205"/>
      <c r="AP30" s="205"/>
      <c r="AQ30" s="205"/>
      <c r="AR30" s="205"/>
      <c r="AS30" s="205"/>
      <c r="AT30" s="205"/>
      <c r="AU30" s="205"/>
      <c r="AV30" s="205"/>
      <c r="AW30" s="205"/>
      <c r="AX30" s="205"/>
      <c r="AY30" s="205"/>
      <c r="AZ30" s="205"/>
      <c r="BA30" s="205"/>
    </row>
    <row r="31" spans="2:53" ht="28.5" customHeight="1">
      <c r="B31" s="944"/>
      <c r="C31" s="223">
        <v>450</v>
      </c>
      <c r="D31" s="213"/>
      <c r="E31" s="205"/>
      <c r="F31" s="205"/>
      <c r="G31" s="206"/>
      <c r="H31" s="205"/>
      <c r="I31" s="205"/>
      <c r="J31" s="205"/>
      <c r="K31" s="205"/>
      <c r="L31" s="205"/>
      <c r="M31" s="205"/>
      <c r="N31" s="205"/>
      <c r="O31" s="205"/>
      <c r="P31" s="205"/>
      <c r="Q31" s="205"/>
      <c r="R31" s="220">
        <f>ROUNDUP(R27,0)</f>
        <v>1</v>
      </c>
      <c r="S31" s="205"/>
      <c r="T31" s="205"/>
      <c r="U31" s="205"/>
      <c r="V31" s="205"/>
      <c r="W31" s="205"/>
      <c r="X31" s="205"/>
      <c r="Y31" s="205"/>
      <c r="Z31" s="205"/>
      <c r="AA31" s="205"/>
      <c r="AB31" s="220">
        <f>ROUNDUP(AB27,0)</f>
        <v>1</v>
      </c>
      <c r="AC31" s="205"/>
      <c r="AD31" s="220">
        <f>ROUNDUP(AD27,0)</f>
        <v>1</v>
      </c>
      <c r="AE31" s="205"/>
      <c r="AF31" s="205"/>
      <c r="AG31" s="205"/>
      <c r="AH31" s="205"/>
      <c r="AI31" s="205"/>
      <c r="AJ31" s="205"/>
      <c r="AK31" s="205"/>
      <c r="AL31" s="205"/>
      <c r="AM31" s="205"/>
      <c r="AN31" s="205"/>
      <c r="AO31" s="205"/>
      <c r="AP31" s="205"/>
      <c r="AQ31" s="205"/>
      <c r="AR31" s="205"/>
      <c r="AS31" s="220">
        <f>ROUNDUP(AS27,0)</f>
        <v>1</v>
      </c>
      <c r="AT31" s="205"/>
      <c r="AU31" s="205"/>
      <c r="AV31" s="205"/>
      <c r="AW31" s="205"/>
      <c r="AX31" s="205"/>
      <c r="AY31" s="205"/>
      <c r="AZ31" s="205"/>
      <c r="BA31" s="205"/>
    </row>
    <row r="32" spans="2:53" ht="21.75" customHeight="1">
      <c r="B32" s="944"/>
      <c r="C32" s="213"/>
      <c r="D32" s="213"/>
      <c r="E32" s="205"/>
      <c r="F32" s="205"/>
      <c r="G32" s="206"/>
      <c r="H32" s="205"/>
      <c r="I32" s="205"/>
      <c r="J32" s="205"/>
      <c r="K32" s="205"/>
      <c r="L32" s="205"/>
      <c r="M32" s="205"/>
      <c r="N32" s="205"/>
      <c r="O32" s="205"/>
      <c r="P32" s="205"/>
      <c r="Q32" s="205"/>
      <c r="R32" s="205"/>
      <c r="S32" s="205"/>
      <c r="T32" s="205"/>
      <c r="U32" s="205"/>
      <c r="V32" s="205"/>
      <c r="W32" s="205"/>
      <c r="X32" s="205"/>
      <c r="Y32" s="205"/>
      <c r="Z32" s="205"/>
      <c r="AA32" s="205"/>
      <c r="AB32" s="205"/>
      <c r="AC32" s="205"/>
      <c r="AD32" s="205"/>
      <c r="AE32" s="205"/>
      <c r="AF32" s="205"/>
      <c r="AG32" s="205"/>
      <c r="AH32" s="205"/>
      <c r="AI32" s="205"/>
      <c r="AJ32" s="205"/>
      <c r="AK32" s="205"/>
      <c r="AL32" s="205"/>
      <c r="AM32" s="205"/>
      <c r="AN32" s="205"/>
      <c r="AO32" s="205"/>
      <c r="AP32" s="205"/>
      <c r="AQ32" s="205"/>
      <c r="AR32" s="205"/>
      <c r="AS32" s="205"/>
      <c r="AT32" s="205"/>
      <c r="AU32" s="205"/>
      <c r="AV32" s="205"/>
      <c r="AW32" s="205"/>
      <c r="AX32" s="205"/>
      <c r="AY32" s="205"/>
      <c r="AZ32" s="205"/>
      <c r="BA32" s="205"/>
    </row>
    <row r="33" spans="2:53" ht="32.25" customHeight="1">
      <c r="B33" s="945"/>
      <c r="C33" s="223">
        <v>300</v>
      </c>
      <c r="D33" s="213"/>
      <c r="E33" s="205"/>
      <c r="F33" s="205"/>
      <c r="G33" s="206"/>
      <c r="H33" s="205"/>
      <c r="I33" s="205"/>
      <c r="J33" s="224">
        <v>1</v>
      </c>
      <c r="K33" s="220">
        <f>ROUNDUP(K27,0)</f>
        <v>0</v>
      </c>
      <c r="L33" s="220">
        <f>ROUNDUP(L27,0)</f>
        <v>0</v>
      </c>
      <c r="M33" s="220">
        <f>ROUNDUP(M27,0)</f>
        <v>0</v>
      </c>
      <c r="N33" s="224">
        <v>1</v>
      </c>
      <c r="O33" s="220">
        <f>ROUNDUP(O27,0)</f>
        <v>0</v>
      </c>
      <c r="P33" s="225">
        <v>1</v>
      </c>
      <c r="Q33" s="205"/>
      <c r="R33" s="205"/>
      <c r="S33" s="220">
        <f>ROUNDUP(S27,0)</f>
        <v>1</v>
      </c>
      <c r="T33" s="220">
        <f>ROUNDUP(T27,0)</f>
        <v>1</v>
      </c>
      <c r="U33" s="220">
        <f>ROUNDUP(U27,0)</f>
        <v>0</v>
      </c>
      <c r="V33" s="205"/>
      <c r="W33" s="205"/>
      <c r="X33" s="205"/>
      <c r="Y33" s="205"/>
      <c r="Z33" s="205"/>
      <c r="AA33" s="205"/>
      <c r="AB33" s="205"/>
      <c r="AC33" s="205"/>
      <c r="AD33" s="205"/>
      <c r="AE33" s="205"/>
      <c r="AF33" s="220">
        <f>ROUNDUP(AF27,0)</f>
        <v>0</v>
      </c>
      <c r="AG33" s="220">
        <f>ROUNDUP(AG27,0)</f>
        <v>0</v>
      </c>
      <c r="AH33" s="220">
        <f>ROUNDUP(AH27,0)</f>
        <v>1</v>
      </c>
      <c r="AI33" s="205"/>
      <c r="AJ33" s="205"/>
      <c r="AK33" s="205"/>
      <c r="AL33" s="205"/>
      <c r="AM33" s="205"/>
      <c r="AN33" s="205"/>
      <c r="AO33" s="205"/>
      <c r="AP33" s="205"/>
      <c r="AQ33" s="205"/>
      <c r="AR33" s="205"/>
      <c r="AS33" s="205"/>
      <c r="AT33" s="205"/>
      <c r="AU33" s="220">
        <f>ROUNDUP(AU27,0)</f>
        <v>1</v>
      </c>
      <c r="AV33" s="205"/>
      <c r="AW33" s="220">
        <f>ROUNDUP(AW27,0)</f>
        <v>1</v>
      </c>
      <c r="AX33" s="220">
        <f>ROUNDUP(AX27,0)</f>
        <v>1</v>
      </c>
      <c r="AY33" s="220">
        <f>ROUNDUP(AY27,0)</f>
        <v>0</v>
      </c>
      <c r="AZ33" s="205"/>
      <c r="BA33" s="205"/>
    </row>
    <row r="34" spans="2:53" ht="21.75" customHeight="1">
      <c r="B34" s="213"/>
      <c r="C34" s="92"/>
      <c r="D34" s="213"/>
      <c r="E34" s="205"/>
      <c r="F34" s="205"/>
      <c r="G34" s="206"/>
      <c r="H34" s="205"/>
      <c r="I34" s="205"/>
      <c r="J34" s="205"/>
      <c r="K34" s="205"/>
      <c r="L34" s="205"/>
      <c r="M34" s="205"/>
      <c r="N34" s="205"/>
      <c r="O34" s="205"/>
      <c r="P34" s="205"/>
      <c r="Q34" s="205"/>
      <c r="R34" s="205"/>
      <c r="S34" s="205"/>
      <c r="T34" s="205"/>
      <c r="U34" s="205"/>
      <c r="V34" s="205"/>
      <c r="W34" s="205"/>
      <c r="X34" s="205"/>
      <c r="Y34" s="205"/>
      <c r="Z34" s="205"/>
      <c r="AA34" s="205"/>
      <c r="AB34" s="205"/>
      <c r="AC34" s="205"/>
      <c r="AD34" s="205"/>
      <c r="AE34" s="205"/>
      <c r="AF34" s="205"/>
      <c r="AG34" s="205"/>
      <c r="AH34" s="205"/>
      <c r="AI34" s="205"/>
      <c r="AJ34" s="205"/>
      <c r="AK34" s="205"/>
      <c r="AL34" s="205"/>
      <c r="AM34" s="205"/>
      <c r="AN34" s="205"/>
      <c r="AO34" s="205"/>
      <c r="AP34" s="205"/>
      <c r="AQ34" s="205"/>
      <c r="AR34" s="205"/>
      <c r="AS34" s="205"/>
      <c r="AT34" s="205"/>
      <c r="AU34" s="205"/>
      <c r="AV34" s="205"/>
      <c r="AW34" s="205"/>
      <c r="AX34" s="205"/>
      <c r="AY34" s="205"/>
      <c r="AZ34" s="205"/>
      <c r="BA34" s="205"/>
    </row>
    <row r="35" spans="2:53" s="91" customFormat="1" ht="27" customHeight="1">
      <c r="B35" s="202" t="s">
        <v>84</v>
      </c>
      <c r="C35" s="202"/>
      <c r="D35" s="202"/>
      <c r="E35" s="201"/>
      <c r="F35" s="201"/>
      <c r="G35" s="201"/>
      <c r="H35" s="201"/>
      <c r="I35" s="201"/>
      <c r="J35" s="201"/>
      <c r="K35" s="201"/>
      <c r="L35" s="201"/>
      <c r="M35" s="201"/>
      <c r="N35" s="201"/>
      <c r="O35" s="201"/>
      <c r="P35" s="201"/>
      <c r="Q35" s="201"/>
      <c r="R35" s="201"/>
      <c r="S35" s="201"/>
      <c r="T35" s="201"/>
      <c r="U35" s="201"/>
      <c r="V35" s="201"/>
      <c r="W35" s="201"/>
      <c r="X35" s="201"/>
      <c r="Y35" s="201"/>
      <c r="Z35" s="201"/>
      <c r="AA35" s="201"/>
      <c r="AB35" s="201"/>
      <c r="AC35" s="201"/>
      <c r="AD35" s="201"/>
      <c r="AE35" s="201"/>
      <c r="AF35" s="201"/>
      <c r="AG35" s="201"/>
      <c r="AH35" s="201"/>
      <c r="AI35" s="201"/>
      <c r="AJ35" s="201"/>
      <c r="AK35" s="201"/>
      <c r="AL35" s="201"/>
      <c r="AM35" s="201"/>
      <c r="AN35" s="201"/>
      <c r="AO35" s="201"/>
      <c r="AP35" s="201"/>
      <c r="AQ35" s="201"/>
      <c r="AR35" s="201"/>
      <c r="AS35" s="201"/>
      <c r="AT35" s="201"/>
      <c r="AU35" s="201"/>
      <c r="AV35" s="201"/>
      <c r="AW35" s="201"/>
      <c r="AX35" s="201"/>
      <c r="AY35" s="201"/>
      <c r="AZ35" s="201"/>
      <c r="BA35" s="201"/>
    </row>
    <row r="36" spans="2:53" ht="25.5">
      <c r="B36" s="226" t="s">
        <v>85</v>
      </c>
      <c r="C36" s="226"/>
      <c r="D36" s="226"/>
      <c r="E36" s="227">
        <f>SUMIF('LV Cable sizing_SS-1'!$DW$4:$FO$4,'Tray Sizing'!E$4,'LV Cable sizing_SS-1'!$DW$448:$FO$448)</f>
        <v>719</v>
      </c>
      <c r="F36" s="227" t="e">
        <f>SUMIF('LV Cable sizing_SS-1'!$DW$4:$FO$4,'Tray Sizing'!F$4,'LV Cable sizing_SS-1'!$DW$448:$FO$448)</f>
        <v>#N/A</v>
      </c>
      <c r="G36" s="227" t="e">
        <f>SUMIF('LV Cable sizing_SS-1'!$DW$4:$FO$4,'Tray Sizing'!G$4,'LV Cable sizing_SS-1'!$DW$448:$FO$448)</f>
        <v>#N/A</v>
      </c>
      <c r="H36" s="227">
        <f>SUMIF('LV Cable sizing_SS-1'!$DW$4:$FO$4,'Tray Sizing'!H$4,'LV Cable sizing_SS-1'!$DW$448:$FO$448)</f>
        <v>697</v>
      </c>
      <c r="I36" s="227">
        <f>SUMIF('LV Cable sizing_SS-1'!$DW$4:$FO$4,'Tray Sizing'!I$4,'LV Cable sizing_SS-1'!$DW$448:$FO$448)</f>
        <v>3779</v>
      </c>
      <c r="J36" s="227">
        <f>SUMIF('LV Cable sizing_SS-1'!$DW$4:$FO$4,'Tray Sizing'!J$4,'LV Cable sizing_SS-1'!$DW$448:$FO$448)</f>
        <v>3584</v>
      </c>
      <c r="K36" s="227">
        <f>SUMIF('LV Cable sizing_SS-1'!$DW$4:$FO$4,'Tray Sizing'!K$4,'LV Cable sizing_SS-1'!$DW$448:$FO$448)</f>
        <v>95</v>
      </c>
      <c r="L36" s="227">
        <f>SUMIF('LV Cable sizing_SS-1'!$DW$4:$FO$4,'Tray Sizing'!L$4,'LV Cable sizing_SS-1'!$DW$448:$FO$448)</f>
        <v>21</v>
      </c>
      <c r="M36" s="227">
        <f>SUMIF('LV Cable sizing_SS-1'!$DW$4:$FO$4,'Tray Sizing'!M$4,'LV Cable sizing_SS-1'!$DW$448:$FO$448)</f>
        <v>515</v>
      </c>
      <c r="N36" s="227">
        <f>SUMIF('LV Cable sizing_SS-1'!$DW$4:$FO$4,'Tray Sizing'!N$4,'LV Cable sizing_SS-1'!$DW$448:$FO$448)</f>
        <v>3489</v>
      </c>
      <c r="O36" s="227">
        <f>SUMIF('LV Cable sizing_SS-1'!$DW$4:$FO$4,'Tray Sizing'!O$4,'LV Cable sizing_SS-1'!$DW$448:$FO$448)</f>
        <v>0</v>
      </c>
      <c r="P36" s="227">
        <f>SUMIF('LV Cable sizing_SS-1'!$DW$4:$FO$4,'Tray Sizing'!P$4,'LV Cable sizing_SS-1'!$DW$448:$FO$448)</f>
        <v>3196</v>
      </c>
      <c r="Q36" s="227">
        <f>SUMIF('LV Cable sizing_SS-1'!$DW$4:$FO$4,'Tray Sizing'!Q$4,'LV Cable sizing_SS-1'!$DW$448:$FO$448)</f>
        <v>3066</v>
      </c>
      <c r="R36" s="227">
        <f>SUMIF('LV Cable sizing_SS-1'!$DW$4:$FO$4,'Tray Sizing'!R$4,'LV Cable sizing_SS-1'!$DW$448:$FO$448)</f>
        <v>2037</v>
      </c>
      <c r="S36" s="227">
        <f>SUMIF('LV Cable sizing_SS-1'!$DW$4:$FO$4,'Tray Sizing'!S$4,'LV Cable sizing_SS-1'!$DW$448:$FO$448)</f>
        <v>991</v>
      </c>
      <c r="T36" s="227">
        <f>SUMIF('LV Cable sizing_SS-1'!$DW$4:$FO$4,'Tray Sizing'!T$4,'LV Cable sizing_SS-1'!$DW$448:$FO$448)</f>
        <v>763</v>
      </c>
      <c r="U36" s="227">
        <f>SUMIF('LV Cable sizing_SS-1'!$DW$4:$FO$4,'Tray Sizing'!U$4,'LV Cable sizing_SS-1'!$DW$448:$FO$448)</f>
        <v>0</v>
      </c>
      <c r="V36" s="227">
        <f>SUMIF('LV Cable sizing_SS-1'!$DW$4:$FO$4,'Tray Sizing'!V$4,'LV Cable sizing_SS-1'!$DW$448:$FO$448)</f>
        <v>293</v>
      </c>
      <c r="W36" s="227">
        <f>SUMIF('LV Cable sizing_SS-1'!$DW$4:$FO$4,'Tray Sizing'!W$4,'LV Cable sizing_SS-1'!$DW$448:$FO$448)</f>
        <v>293</v>
      </c>
      <c r="X36" s="227">
        <f>SUMIF('LV Cable sizing_SS-1'!$DW$4:$FO$4,'Tray Sizing'!X$4,'LV Cable sizing_SS-1'!$DW$448:$FO$448)</f>
        <v>0</v>
      </c>
      <c r="Y36" s="227">
        <f>SUMIF('LV Cable sizing_SS-1'!$DW$4:$FO$4,'Tray Sizing'!Y$4,'LV Cable sizing_SS-1'!$DW$448:$FO$448)</f>
        <v>0</v>
      </c>
      <c r="Z36" s="227">
        <f>SUMIF('LV Cable sizing_SS-1'!$DW$4:$FO$4,'Tray Sizing'!Z$4,'LV Cable sizing_SS-1'!$DW$448:$FO$448)</f>
        <v>0</v>
      </c>
      <c r="AA36" s="227">
        <f>SUMIF('LV Cable sizing_SS-1'!$DW$4:$FO$4,'Tray Sizing'!AA$4,'LV Cable sizing_SS-1'!$DW$448:$FO$448)</f>
        <v>0</v>
      </c>
      <c r="AB36" s="227">
        <f>SUMIF('LV Cable sizing_SS-1'!$DW$4:$FO$4,'Tray Sizing'!AB$4,'LV Cable sizing_SS-1'!$DW$448:$FO$448)</f>
        <v>194</v>
      </c>
      <c r="AC36" s="227">
        <f>SUMIF('LV Cable sizing_SS-1'!$DW$4:$FO$4,'Tray Sizing'!AC$4,'LV Cable sizing_SS-1'!$DW$448:$FO$448)</f>
        <v>179</v>
      </c>
      <c r="AD36" s="227">
        <f>SUMIF('LV Cable sizing_SS-1'!$DW$4:$FO$4,'Tray Sizing'!AD$4,'LV Cable sizing_SS-1'!$DW$448:$FO$448)</f>
        <v>179</v>
      </c>
      <c r="AE36" s="227">
        <f>SUMIF('LV Cable sizing_SS-1'!$DW$4:$FO$4,'Tray Sizing'!AE$4,'LV Cable sizing_SS-1'!$DW$448:$FO$448)</f>
        <v>0</v>
      </c>
      <c r="AF36" s="227">
        <f>SUMIF('LV Cable sizing_SS-1'!$DW$4:$FO$4,'Tray Sizing'!AF$4,'LV Cable sizing_SS-1'!$DW$448:$FO$448)</f>
        <v>0</v>
      </c>
      <c r="AG36" s="227">
        <f>SUMIF('LV Cable sizing_SS-1'!$DW$4:$FO$4,'Tray Sizing'!AG$4,'LV Cable sizing_SS-1'!$DW$448:$FO$448)</f>
        <v>0</v>
      </c>
      <c r="AH36" s="227">
        <f>SUMIF('LV Cable sizing_SS-1'!$DW$4:$FO$4,'Tray Sizing'!AH$4,'LV Cable sizing_SS-1'!$DW$448:$FO$448)</f>
        <v>0</v>
      </c>
      <c r="AI36" s="227">
        <f>SUMIF('LV Cable sizing_SS-1'!$DW$4:$FO$4,'Tray Sizing'!AI$4,'LV Cable sizing_SS-1'!$DW$448:$FO$448)</f>
        <v>857</v>
      </c>
      <c r="AJ36" s="227">
        <f>SUMIF('LV Cable sizing_SS-1'!$DW$4:$FO$4,'Tray Sizing'!AJ$4,'LV Cable sizing_SS-1'!$DW$448:$FO$448)</f>
        <v>86</v>
      </c>
      <c r="AK36" s="227">
        <f>SUMIF('LV Cable sizing_SS-1'!$DW$4:$FO$4,'Tray Sizing'!AK$4,'LV Cable sizing_SS-1'!$DW$448:$FO$448)</f>
        <v>86</v>
      </c>
      <c r="AL36" s="227">
        <f>SUMIF('LV Cable sizing_SS-1'!$DW$4:$FO$4,'Tray Sizing'!AL$4,'LV Cable sizing_SS-1'!$DW$448:$FO$448)</f>
        <v>36</v>
      </c>
      <c r="AM36" s="227">
        <f>SUMIF('LV Cable sizing_SS-1'!$DW$4:$FO$4,'Tray Sizing'!AM$4,'LV Cable sizing_SS-1'!$DW$448:$FO$448)</f>
        <v>0</v>
      </c>
      <c r="AN36" s="227">
        <f>SUMIF('LV Cable sizing_SS-1'!$DW$4:$FO$4,'Tray Sizing'!AN$4,'LV Cable sizing_SS-1'!$DW$448:$FO$448)</f>
        <v>744</v>
      </c>
      <c r="AO36" s="227">
        <f>SUMIF('LV Cable sizing_SS-1'!$DW$4:$FO$4,'Tray Sizing'!AO$4,'LV Cable sizing_SS-1'!$DW$448:$FO$448)</f>
        <v>229</v>
      </c>
      <c r="AP36" s="227">
        <f>SUMIF('LV Cable sizing_SS-1'!$DW$4:$FO$4,'Tray Sizing'!AP$4,'LV Cable sizing_SS-1'!$DW$448:$FO$448)</f>
        <v>229</v>
      </c>
      <c r="AQ36" s="227">
        <f>SUMIF('LV Cable sizing_SS-1'!$DW$4:$FO$4,'Tray Sizing'!AQ$4,'LV Cable sizing_SS-1'!$DW$448:$FO$448)</f>
        <v>196</v>
      </c>
      <c r="AR36" s="227">
        <f>SUMIF('LV Cable sizing_SS-1'!$DW$4:$FO$4,'Tray Sizing'!AR$4,'LV Cable sizing_SS-1'!$DW$448:$FO$448)</f>
        <v>0</v>
      </c>
      <c r="AS36" s="227">
        <f>SUMIF('LV Cable sizing_SS-1'!$DW$4:$FO$4,'Tray Sizing'!AS$4,'LV Cable sizing_SS-1'!$DW$448:$FO$448)</f>
        <v>0</v>
      </c>
      <c r="AT36" s="227">
        <f>SUMIF('LV Cable sizing_SS-1'!$DW$4:$FO$4,'Tray Sizing'!AT$4,'LV Cable sizing_SS-1'!$DW$448:$FO$448)</f>
        <v>0</v>
      </c>
      <c r="AU36" s="227">
        <f>SUMIF('LV Cable sizing_SS-1'!$DW$4:$FO$4,'Tray Sizing'!AU$4,'LV Cable sizing_SS-1'!$DW$448:$FO$448)</f>
        <v>0</v>
      </c>
      <c r="AV36" s="227">
        <f>SUMIF('LV Cable sizing_SS-1'!$DW$4:$FO$4,'Tray Sizing'!AV$4,'LV Cable sizing_SS-1'!$DW$448:$FO$448)</f>
        <v>0</v>
      </c>
      <c r="AW36" s="227">
        <f>SUMIF('LV Cable sizing_SS-1'!$DW$4:$FO$4,'Tray Sizing'!AW$4,'LV Cable sizing_SS-1'!$DW$448:$FO$448)</f>
        <v>0</v>
      </c>
      <c r="AX36" s="227">
        <f>SUMIF('LV Cable sizing_SS-1'!$DW$4:$FO$4,'Tray Sizing'!AX$4,'LV Cable sizing_SS-1'!$DW$448:$FO$448)</f>
        <v>0</v>
      </c>
      <c r="AY36" s="227">
        <f>SUMIF('LV Cable sizing_SS-1'!$DW$4:$FO$4,'Tray Sizing'!AY$4,'LV Cable sizing_SS-1'!$DW$448:$FO$448)</f>
        <v>0</v>
      </c>
      <c r="AZ36" s="227">
        <f>SUMIF('LV Cable sizing_SS-1'!$DW$4:$FO$4,'Tray Sizing'!AZ$4,'LV Cable sizing_SS-1'!$DW$448:$FO$448)</f>
        <v>0</v>
      </c>
      <c r="BA36" s="227">
        <f>SUMIF('LV Cable sizing_SS-1'!$DW$4:$FO$4,'Tray Sizing'!BA$4,'LV Cable sizing_SS-1'!$DW$448:$FO$448)</f>
        <v>0</v>
      </c>
    </row>
    <row r="37" spans="2:53">
      <c r="B37" s="226"/>
      <c r="C37" s="226"/>
      <c r="D37" s="226"/>
      <c r="E37" s="227"/>
      <c r="F37" s="227"/>
      <c r="G37" s="227"/>
      <c r="H37" s="227"/>
      <c r="I37" s="227"/>
      <c r="J37" s="227"/>
      <c r="K37" s="227"/>
      <c r="L37" s="227"/>
      <c r="M37" s="227"/>
      <c r="N37" s="227"/>
      <c r="O37" s="227"/>
      <c r="P37" s="227"/>
      <c r="Q37" s="227"/>
      <c r="R37" s="227"/>
      <c r="S37" s="227"/>
      <c r="T37" s="227"/>
      <c r="U37" s="227"/>
      <c r="V37" s="227"/>
      <c r="W37" s="227"/>
      <c r="X37" s="227"/>
      <c r="Y37" s="227"/>
      <c r="Z37" s="227"/>
      <c r="AA37" s="227"/>
      <c r="AB37" s="227"/>
      <c r="AC37" s="227"/>
      <c r="AD37" s="227"/>
      <c r="AE37" s="227"/>
      <c r="AF37" s="227"/>
      <c r="AG37" s="227"/>
      <c r="AH37" s="227"/>
      <c r="AI37" s="227"/>
      <c r="AJ37" s="227"/>
      <c r="AK37" s="227"/>
      <c r="AL37" s="227"/>
      <c r="AM37" s="227"/>
      <c r="AN37" s="227"/>
      <c r="AO37" s="227"/>
      <c r="AP37" s="227"/>
      <c r="AQ37" s="227"/>
      <c r="AR37" s="227"/>
      <c r="AS37" s="227"/>
      <c r="AT37" s="227"/>
      <c r="AU37" s="227"/>
      <c r="AV37" s="227"/>
      <c r="AW37" s="227"/>
      <c r="AX37" s="227"/>
      <c r="AY37" s="227"/>
      <c r="AZ37" s="227"/>
      <c r="BA37" s="227"/>
    </row>
    <row r="38" spans="2:53" ht="25.5">
      <c r="B38" s="226" t="s">
        <v>86</v>
      </c>
      <c r="C38" s="226"/>
      <c r="D38" s="226"/>
      <c r="E38" s="227">
        <f>SUMIF('LV Cable sizing_SS-2'!$DW$4:$FZ$4,'Tray Sizing'!E$4,'LV Cable sizing_SS-2'!$DW$283:$FZ$283)</f>
        <v>0</v>
      </c>
      <c r="F38" s="227">
        <f>SUMIF('LV Cable sizing_SS-2'!$DW$4:$FZ$4,'Tray Sizing'!F$4,'LV Cable sizing_SS-2'!$DW$283:$FZ$283)</f>
        <v>0</v>
      </c>
      <c r="G38" s="227">
        <f>SUMIF('LV Cable sizing_SS-2'!$DW$4:$FZ$4,'Tray Sizing'!G$4,'LV Cable sizing_SS-2'!$DW$283:$FZ$283)</f>
        <v>0</v>
      </c>
      <c r="H38" s="227">
        <f>SUMIF('LV Cable sizing_SS-2'!$DW$4:$FZ$4,'Tray Sizing'!H$4,'LV Cable sizing_SS-2'!$DW$283:$FZ$283)</f>
        <v>0</v>
      </c>
      <c r="I38" s="227">
        <f>SUMIF('LV Cable sizing_SS-2'!$DW$4:$FZ$4,'Tray Sizing'!I$4,'LV Cable sizing_SS-2'!$DW$283:$FZ$283)</f>
        <v>0</v>
      </c>
      <c r="J38" s="227">
        <f>SUMIF('LV Cable sizing_SS-2'!$DW$4:$FZ$4,'Tray Sizing'!J$4,'LV Cable sizing_SS-2'!$DW$283:$FZ$283)</f>
        <v>0</v>
      </c>
      <c r="K38" s="227">
        <f>SUMIF('LV Cable sizing_SS-2'!$DW$4:$FZ$4,'Tray Sizing'!K$4,'LV Cable sizing_SS-2'!$DW$283:$FZ$283)</f>
        <v>0</v>
      </c>
      <c r="L38" s="227">
        <f>SUMIF('LV Cable sizing_SS-2'!$DW$4:$FZ$4,'Tray Sizing'!L$4,'LV Cable sizing_SS-2'!$DW$283:$FZ$283)</f>
        <v>0</v>
      </c>
      <c r="M38" s="227">
        <f>SUMIF('LV Cable sizing_SS-2'!$DW$4:$FZ$4,'Tray Sizing'!M$4,'LV Cable sizing_SS-2'!$DW$283:$FZ$283)</f>
        <v>0</v>
      </c>
      <c r="N38" s="227">
        <f>SUMIF('LV Cable sizing_SS-2'!$DW$4:$FZ$4,'Tray Sizing'!N$4,'LV Cable sizing_SS-2'!$DW$283:$FZ$283)</f>
        <v>0</v>
      </c>
      <c r="O38" s="227">
        <f>SUMIF('LV Cable sizing_SS-2'!$DW$4:$FZ$4,'Tray Sizing'!O$4,'LV Cable sizing_SS-2'!$DW$283:$FZ$283)</f>
        <v>16</v>
      </c>
      <c r="P38" s="227">
        <f>SUMIF('LV Cable sizing_SS-2'!$DW$4:$FZ$4,'Tray Sizing'!P$4,'LV Cable sizing_SS-2'!$DW$283:$FZ$283)</f>
        <v>0</v>
      </c>
      <c r="Q38" s="227">
        <f>SUMIF('LV Cable sizing_SS-2'!$DW$4:$FZ$4,'Tray Sizing'!Q$4,'LV Cable sizing_SS-2'!$DW$283:$FZ$283)</f>
        <v>0</v>
      </c>
      <c r="R38" s="227">
        <f>SUMIF('LV Cable sizing_SS-2'!$DW$4:$FZ$4,'Tray Sizing'!R$4,'LV Cable sizing_SS-2'!$DW$283:$FZ$283)</f>
        <v>0</v>
      </c>
      <c r="S38" s="227">
        <f>SUMIF('LV Cable sizing_SS-2'!$DW$4:$FZ$4,'Tray Sizing'!S$4,'LV Cable sizing_SS-2'!$DW$283:$FZ$283)</f>
        <v>0</v>
      </c>
      <c r="T38" s="227">
        <f>SUMIF('LV Cable sizing_SS-2'!$DW$4:$FZ$4,'Tray Sizing'!T$4,'LV Cable sizing_SS-2'!$DW$283:$FZ$283)</f>
        <v>0</v>
      </c>
      <c r="U38" s="227">
        <f>SUMIF('LV Cable sizing_SS-2'!$DW$4:$FZ$4,'Tray Sizing'!U$4,'LV Cable sizing_SS-2'!$DW$283:$FZ$283)</f>
        <v>0</v>
      </c>
      <c r="V38" s="227">
        <f>SUMIF('LV Cable sizing_SS-2'!$DW$4:$FZ$4,'Tray Sizing'!V$4,'LV Cable sizing_SS-2'!$DW$283:$FZ$283)</f>
        <v>0</v>
      </c>
      <c r="W38" s="227">
        <f>SUMIF('LV Cable sizing_SS-2'!$DW$4:$FZ$4,'Tray Sizing'!W$4,'LV Cable sizing_SS-2'!$DW$283:$FZ$283)</f>
        <v>0</v>
      </c>
      <c r="X38" s="227">
        <f>SUMIF('LV Cable sizing_SS-2'!$DW$4:$FZ$4,'Tray Sizing'!X$4,'LV Cable sizing_SS-2'!$DW$283:$FZ$283)</f>
        <v>0</v>
      </c>
      <c r="Y38" s="227">
        <f>SUMIF('LV Cable sizing_SS-2'!$DW$4:$FZ$4,'Tray Sizing'!Y$4,'LV Cable sizing_SS-2'!$DW$283:$FZ$283)</f>
        <v>0</v>
      </c>
      <c r="Z38" s="227">
        <f>SUMIF('LV Cable sizing_SS-2'!$DW$4:$FZ$4,'Tray Sizing'!Z$4,'LV Cable sizing_SS-2'!$DW$283:$FZ$283)</f>
        <v>0</v>
      </c>
      <c r="AA38" s="227">
        <f>SUMIF('LV Cable sizing_SS-2'!$DW$4:$FZ$4,'Tray Sizing'!AA$4,'LV Cable sizing_SS-2'!$DW$283:$FZ$283)</f>
        <v>0</v>
      </c>
      <c r="AB38" s="227">
        <f>SUMIF('LV Cable sizing_SS-2'!$DW$4:$FZ$4,'Tray Sizing'!AB$4,'LV Cable sizing_SS-2'!$DW$283:$FZ$283)</f>
        <v>0</v>
      </c>
      <c r="AC38" s="227">
        <f>SUMIF('LV Cable sizing_SS-2'!$DW$4:$FZ$4,'Tray Sizing'!AC$4,'LV Cable sizing_SS-2'!$DW$283:$FZ$283)</f>
        <v>0</v>
      </c>
      <c r="AD38" s="227">
        <f>SUMIF('LV Cable sizing_SS-2'!$DW$4:$FZ$4,'Tray Sizing'!AD$4,'LV Cable sizing_SS-2'!$DW$283:$FZ$283)</f>
        <v>0</v>
      </c>
      <c r="AE38" s="227">
        <f>SUMIF('LV Cable sizing_SS-2'!$DW$4:$FZ$4,'Tray Sizing'!AE$4,'LV Cable sizing_SS-2'!$DW$283:$FZ$283)</f>
        <v>0</v>
      </c>
      <c r="AF38" s="227">
        <f>SUMIF('LV Cable sizing_SS-2'!$DW$4:$FZ$4,'Tray Sizing'!AF$4,'LV Cable sizing_SS-2'!$DW$283:$FZ$283)</f>
        <v>0</v>
      </c>
      <c r="AG38" s="227">
        <f>SUMIF('LV Cable sizing_SS-2'!$DW$4:$FZ$4,'Tray Sizing'!AG$4,'LV Cable sizing_SS-2'!$DW$283:$FZ$283)</f>
        <v>0</v>
      </c>
      <c r="AH38" s="227">
        <f>SUMIF('LV Cable sizing_SS-2'!$DW$4:$FZ$4,'Tray Sizing'!AH$4,'LV Cable sizing_SS-2'!$DW$283:$FZ$283)</f>
        <v>0</v>
      </c>
      <c r="AI38" s="227">
        <f>SUMIF('LV Cable sizing_SS-2'!$DW$4:$FZ$4,'Tray Sizing'!AI$4,'LV Cable sizing_SS-2'!$DW$283:$FZ$283)</f>
        <v>0</v>
      </c>
      <c r="AJ38" s="227">
        <f>SUMIF('LV Cable sizing_SS-2'!$DW$4:$FZ$4,'Tray Sizing'!AJ$4,'LV Cable sizing_SS-2'!$DW$283:$FZ$283)</f>
        <v>0</v>
      </c>
      <c r="AK38" s="227">
        <f>SUMIF('LV Cable sizing_SS-2'!$DW$4:$FZ$4,'Tray Sizing'!AK$4,'LV Cable sizing_SS-2'!$DW$283:$FZ$283)</f>
        <v>0</v>
      </c>
      <c r="AL38" s="227">
        <f>SUMIF('LV Cable sizing_SS-2'!$DW$4:$FZ$4,'Tray Sizing'!AL$4,'LV Cable sizing_SS-2'!$DW$283:$FZ$283)</f>
        <v>0</v>
      </c>
      <c r="AM38" s="227">
        <f>SUMIF('LV Cable sizing_SS-2'!$DW$4:$FZ$4,'Tray Sizing'!AM$4,'LV Cable sizing_SS-2'!$DW$283:$FZ$283)</f>
        <v>0</v>
      </c>
      <c r="AN38" s="227">
        <f>SUMIF('LV Cable sizing_SS-2'!$DW$4:$FZ$4,'Tray Sizing'!AN$4,'LV Cable sizing_SS-2'!$DW$283:$FZ$283)</f>
        <v>0</v>
      </c>
      <c r="AO38" s="227">
        <f>SUMIF('LV Cable sizing_SS-2'!$DW$4:$FZ$4,'Tray Sizing'!AO$4,'LV Cable sizing_SS-2'!$DW$283:$FZ$283)</f>
        <v>0</v>
      </c>
      <c r="AP38" s="227">
        <f>SUMIF('LV Cable sizing_SS-2'!$DW$4:$FZ$4,'Tray Sizing'!AP$4,'LV Cable sizing_SS-2'!$DW$283:$FZ$283)</f>
        <v>0</v>
      </c>
      <c r="AQ38" s="227">
        <f>SUMIF('LV Cable sizing_SS-2'!$DW$4:$FZ$4,'Tray Sizing'!AQ$4,'LV Cable sizing_SS-2'!$DW$283:$FZ$283)</f>
        <v>0</v>
      </c>
      <c r="AR38" s="227">
        <f>SUMIF('LV Cable sizing_SS-2'!$DW$4:$FZ$4,'Tray Sizing'!AR$4,'LV Cable sizing_SS-2'!$DW$283:$FZ$283)</f>
        <v>0</v>
      </c>
      <c r="AS38" s="227">
        <f>SUMIF('LV Cable sizing_SS-2'!$DW$4:$FZ$4,'Tray Sizing'!AS$4,'LV Cable sizing_SS-2'!$DW$283:$FZ$283)</f>
        <v>0</v>
      </c>
      <c r="AT38" s="227">
        <f>SUMIF('LV Cable sizing_SS-2'!$DW$4:$FZ$4,'Tray Sizing'!AT$4,'LV Cable sizing_SS-2'!$DW$283:$FZ$283)</f>
        <v>16</v>
      </c>
      <c r="AU38" s="227">
        <f>SUMIF('LV Cable sizing_SS-2'!$DW$4:$FZ$4,'Tray Sizing'!AU$4,'LV Cable sizing_SS-2'!$DW$283:$FZ$283)</f>
        <v>0</v>
      </c>
      <c r="AV38" s="227">
        <f>SUMIF('LV Cable sizing_SS-2'!$DW$4:$FZ$4,'Tray Sizing'!AV$4,'LV Cable sizing_SS-2'!$DW$283:$FZ$283)</f>
        <v>2270</v>
      </c>
      <c r="AW38" s="227">
        <f>SUMIF('LV Cable sizing_SS-2'!$DW$4:$FZ$4,'Tray Sizing'!AW$4,'LV Cable sizing_SS-2'!$DW$283:$FZ$283)</f>
        <v>2270</v>
      </c>
      <c r="AX38" s="227">
        <f>SUMIF('LV Cable sizing_SS-2'!$DW$4:$FZ$4,'Tray Sizing'!AX$4,'LV Cable sizing_SS-2'!$DW$283:$FZ$283)</f>
        <v>2249</v>
      </c>
      <c r="AY38" s="227">
        <f>SUMIF('LV Cable sizing_SS-2'!$DW$4:$FZ$4,'Tray Sizing'!AY$4,'LV Cable sizing_SS-2'!$DW$283:$FZ$283)</f>
        <v>0</v>
      </c>
      <c r="AZ38" s="227">
        <f>SUMIF('LV Cable sizing_SS-2'!$DW$4:$FZ$4,'Tray Sizing'!AZ$4,'LV Cable sizing_SS-2'!$DW$283:$FZ$283)</f>
        <v>0</v>
      </c>
      <c r="BA38" s="227">
        <f>SUMIF('LV Cable sizing_SS-2'!$DW$4:$FZ$4,'Tray Sizing'!BA$4,'LV Cable sizing_SS-2'!$DW$283:$FZ$283)</f>
        <v>0</v>
      </c>
    </row>
    <row r="39" spans="2:53">
      <c r="B39" s="226"/>
      <c r="C39" s="226"/>
      <c r="D39" s="226"/>
      <c r="E39" s="227"/>
      <c r="F39" s="227"/>
      <c r="G39" s="227"/>
      <c r="H39" s="227"/>
      <c r="I39" s="227"/>
      <c r="J39" s="227"/>
      <c r="K39" s="227"/>
      <c r="L39" s="227"/>
      <c r="M39" s="227"/>
      <c r="N39" s="227"/>
      <c r="O39" s="227"/>
      <c r="P39" s="227"/>
      <c r="Q39" s="227"/>
      <c r="R39" s="227"/>
      <c r="S39" s="227"/>
      <c r="T39" s="227"/>
      <c r="U39" s="227"/>
      <c r="V39" s="227"/>
      <c r="W39" s="227"/>
      <c r="X39" s="227"/>
      <c r="Y39" s="227"/>
      <c r="Z39" s="227"/>
      <c r="AA39" s="227"/>
      <c r="AB39" s="227"/>
      <c r="AC39" s="227"/>
      <c r="AD39" s="227"/>
      <c r="AE39" s="227"/>
      <c r="AF39" s="227"/>
      <c r="AG39" s="227"/>
      <c r="AH39" s="227"/>
      <c r="AI39" s="227"/>
      <c r="AJ39" s="227"/>
      <c r="AK39" s="227"/>
      <c r="AL39" s="227"/>
      <c r="AM39" s="227"/>
      <c r="AN39" s="227"/>
      <c r="AO39" s="227"/>
      <c r="AP39" s="227"/>
      <c r="AQ39" s="227"/>
      <c r="AR39" s="227"/>
      <c r="AS39" s="227"/>
      <c r="AT39" s="227"/>
      <c r="AU39" s="227"/>
      <c r="AV39" s="227"/>
      <c r="AW39" s="227"/>
      <c r="AX39" s="227"/>
      <c r="AY39" s="227"/>
      <c r="AZ39" s="227"/>
      <c r="BA39" s="227"/>
    </row>
    <row r="40" spans="2:53" ht="25.5">
      <c r="B40" s="226" t="s">
        <v>87</v>
      </c>
      <c r="C40" s="226"/>
      <c r="D40" s="226"/>
      <c r="E40" s="227">
        <f>SUMIF('LV Cable sizing_SS-3'!$DW$4:$FZ$4,'Tray Sizing'!E$4,'LV Cable sizing_SS-3'!$DW$102:$FZ$102)</f>
        <v>0</v>
      </c>
      <c r="F40" s="227">
        <f>SUMIF('LV Cable sizing_SS-3'!$DW$4:$FZ$4,'Tray Sizing'!F$4,'LV Cable sizing_SS-3'!$DW$102:$FZ$102)</f>
        <v>0</v>
      </c>
      <c r="G40" s="227">
        <f>SUMIF('LV Cable sizing_SS-3'!$DW$4:$FZ$4,'Tray Sizing'!G$4,'LV Cable sizing_SS-3'!$DW$102:$FZ$102)</f>
        <v>0</v>
      </c>
      <c r="H40" s="227">
        <f>SUMIF('LV Cable sizing_SS-3'!$DW$4:$FZ$4,'Tray Sizing'!H$4,'LV Cable sizing_SS-3'!$DW$102:$FZ$102)</f>
        <v>0</v>
      </c>
      <c r="I40" s="227">
        <f>SUMIF('LV Cable sizing_SS-3'!$DW$4:$FZ$4,'Tray Sizing'!I$4,'LV Cable sizing_SS-3'!$DW$102:$FZ$102)</f>
        <v>0</v>
      </c>
      <c r="J40" s="227">
        <f>SUMIF('LV Cable sizing_SS-3'!$DW$4:$FZ$4,'Tray Sizing'!J$4,'LV Cable sizing_SS-3'!$DW$102:$FZ$102)</f>
        <v>0</v>
      </c>
      <c r="K40" s="227">
        <f>SUMIF('LV Cable sizing_SS-3'!$DW$4:$FZ$4,'Tray Sizing'!K$4,'LV Cable sizing_SS-3'!$DW$102:$FZ$102)</f>
        <v>0</v>
      </c>
      <c r="L40" s="227">
        <f>SUMIF('LV Cable sizing_SS-3'!$DW$4:$FZ$4,'Tray Sizing'!L$4,'LV Cable sizing_SS-3'!$DW$102:$FZ$102)</f>
        <v>0</v>
      </c>
      <c r="M40" s="227">
        <f>SUMIF('LV Cable sizing_SS-3'!$DW$4:$FZ$4,'Tray Sizing'!M$4,'LV Cable sizing_SS-3'!$DW$102:$FZ$102)</f>
        <v>0</v>
      </c>
      <c r="N40" s="227">
        <f>SUMIF('LV Cable sizing_SS-3'!$DW$4:$FZ$4,'Tray Sizing'!N$4,'LV Cable sizing_SS-3'!$DW$102:$FZ$102)</f>
        <v>0</v>
      </c>
      <c r="O40" s="227">
        <f>SUMIF('LV Cable sizing_SS-3'!$DW$4:$FZ$4,'Tray Sizing'!O$4,'LV Cable sizing_SS-3'!$DW$102:$FZ$102)</f>
        <v>0</v>
      </c>
      <c r="P40" s="227">
        <f>SUMIF('LV Cable sizing_SS-3'!$DW$4:$FZ$4,'Tray Sizing'!P$4,'LV Cable sizing_SS-3'!$DW$102:$FZ$102)</f>
        <v>0</v>
      </c>
      <c r="Q40" s="227">
        <f>SUMIF('LV Cable sizing_SS-3'!$DW$4:$FZ$4,'Tray Sizing'!Q$4,'LV Cable sizing_SS-3'!$DW$102:$FZ$102)</f>
        <v>0</v>
      </c>
      <c r="R40" s="227">
        <f>SUMIF('LV Cable sizing_SS-3'!$DW$4:$FZ$4,'Tray Sizing'!R$4,'LV Cable sizing_SS-3'!$DW$102:$FZ$102)</f>
        <v>0</v>
      </c>
      <c r="S40" s="227">
        <f>SUMIF('LV Cable sizing_SS-3'!$DW$4:$FZ$4,'Tray Sizing'!S$4,'LV Cable sizing_SS-3'!$DW$102:$FZ$102)</f>
        <v>0</v>
      </c>
      <c r="T40" s="227">
        <f>SUMIF('LV Cable sizing_SS-3'!$DW$4:$FZ$4,'Tray Sizing'!T$4,'LV Cable sizing_SS-3'!$DW$102:$FZ$102)</f>
        <v>0</v>
      </c>
      <c r="U40" s="227">
        <f>SUMIF('LV Cable sizing_SS-3'!$DW$4:$FZ$4,'Tray Sizing'!U$4,'LV Cable sizing_SS-3'!$DW$102:$FZ$102)</f>
        <v>0</v>
      </c>
      <c r="V40" s="227">
        <f>SUMIF('LV Cable sizing_SS-3'!$DW$4:$FZ$4,'Tray Sizing'!V$4,'LV Cable sizing_SS-3'!$DW$102:$FZ$102)</f>
        <v>0</v>
      </c>
      <c r="W40" s="227">
        <f>SUMIF('LV Cable sizing_SS-3'!$DW$4:$FZ$4,'Tray Sizing'!W$4,'LV Cable sizing_SS-3'!$DW$102:$FZ$102)</f>
        <v>0</v>
      </c>
      <c r="X40" s="227">
        <f>SUMIF('LV Cable sizing_SS-3'!$DW$4:$FZ$4,'Tray Sizing'!X$4,'LV Cable sizing_SS-3'!$DW$102:$FZ$102)</f>
        <v>0</v>
      </c>
      <c r="Y40" s="227">
        <f>SUMIF('LV Cable sizing_SS-3'!$DW$4:$FZ$4,'Tray Sizing'!Y$4,'LV Cable sizing_SS-3'!$DW$102:$FZ$102)</f>
        <v>0</v>
      </c>
      <c r="Z40" s="227">
        <f>SUMIF('LV Cable sizing_SS-3'!$DW$4:$FZ$4,'Tray Sizing'!Z$4,'LV Cable sizing_SS-3'!$DW$102:$FZ$102)</f>
        <v>0</v>
      </c>
      <c r="AA40" s="227">
        <f>SUMIF('LV Cable sizing_SS-3'!$DW$4:$FZ$4,'Tray Sizing'!AA$4,'LV Cable sizing_SS-3'!$DW$102:$FZ$102)</f>
        <v>0</v>
      </c>
      <c r="AB40" s="227">
        <f>SUMIF('LV Cable sizing_SS-3'!$DW$4:$FZ$4,'Tray Sizing'!AB$4,'LV Cable sizing_SS-3'!$DW$102:$FZ$102)</f>
        <v>0</v>
      </c>
      <c r="AC40" s="227">
        <f>SUMIF('LV Cable sizing_SS-3'!$DW$4:$FZ$4,'Tray Sizing'!AC$4,'LV Cable sizing_SS-3'!$DW$102:$FZ$102)</f>
        <v>0</v>
      </c>
      <c r="AD40" s="227">
        <f>SUMIF('LV Cable sizing_SS-3'!$DW$4:$FZ$4,'Tray Sizing'!AD$4,'LV Cable sizing_SS-3'!$DW$102:$FZ$102)</f>
        <v>306</v>
      </c>
      <c r="AE40" s="227">
        <f>SUMIF('LV Cable sizing_SS-3'!$DW$4:$FZ$4,'Tray Sizing'!AE$4,'LV Cable sizing_SS-3'!$DW$102:$FZ$102)</f>
        <v>0</v>
      </c>
      <c r="AF40" s="227">
        <f>SUMIF('LV Cable sizing_SS-3'!$DW$4:$FZ$4,'Tray Sizing'!AF$4,'LV Cable sizing_SS-3'!$DW$102:$FZ$102)</f>
        <v>0</v>
      </c>
      <c r="AG40" s="227">
        <f>SUMIF('LV Cable sizing_SS-3'!$DW$4:$FZ$4,'Tray Sizing'!AG$4,'LV Cable sizing_SS-3'!$DW$102:$FZ$102)</f>
        <v>0</v>
      </c>
      <c r="AH40" s="227">
        <f>SUMIF('LV Cable sizing_SS-3'!$DW$4:$FZ$4,'Tray Sizing'!AH$4,'LV Cable sizing_SS-3'!$DW$102:$FZ$102)</f>
        <v>0</v>
      </c>
      <c r="AI40" s="227">
        <f>SUMIF('LV Cable sizing_SS-3'!$DW$4:$FZ$4,'Tray Sizing'!AI$4,'LV Cable sizing_SS-3'!$DW$102:$FZ$102)</f>
        <v>0</v>
      </c>
      <c r="AJ40" s="227">
        <f>SUMIF('LV Cable sizing_SS-3'!$DW$4:$FZ$4,'Tray Sizing'!AJ$4,'LV Cable sizing_SS-3'!$DW$102:$FZ$102)</f>
        <v>0</v>
      </c>
      <c r="AK40" s="227">
        <f>SUMIF('LV Cable sizing_SS-3'!$DW$4:$FZ$4,'Tray Sizing'!AK$4,'LV Cable sizing_SS-3'!$DW$102:$FZ$102)</f>
        <v>0</v>
      </c>
      <c r="AL40" s="227">
        <f>SUMIF('LV Cable sizing_SS-3'!$DW$4:$FZ$4,'Tray Sizing'!AL$4,'LV Cable sizing_SS-3'!$DW$102:$FZ$102)</f>
        <v>0</v>
      </c>
      <c r="AM40" s="227">
        <f>SUMIF('LV Cable sizing_SS-3'!$DW$4:$FZ$4,'Tray Sizing'!AM$4,'LV Cable sizing_SS-3'!$DW$102:$FZ$102)</f>
        <v>0</v>
      </c>
      <c r="AN40" s="227">
        <f>SUMIF('LV Cable sizing_SS-3'!$DW$4:$FZ$4,'Tray Sizing'!AN$4,'LV Cable sizing_SS-3'!$DW$102:$FZ$102)</f>
        <v>0</v>
      </c>
      <c r="AO40" s="227">
        <f>SUMIF('LV Cable sizing_SS-3'!$DW$4:$FZ$4,'Tray Sizing'!AO$4,'LV Cable sizing_SS-3'!$DW$102:$FZ$102)</f>
        <v>0</v>
      </c>
      <c r="AP40" s="227">
        <f>SUMIF('LV Cable sizing_SS-3'!$DW$4:$FZ$4,'Tray Sizing'!AP$4,'LV Cable sizing_SS-3'!$DW$102:$FZ$102)</f>
        <v>0</v>
      </c>
      <c r="AQ40" s="227">
        <f>SUMIF('LV Cable sizing_SS-3'!$DW$4:$FZ$4,'Tray Sizing'!AQ$4,'LV Cable sizing_SS-3'!$DW$102:$FZ$102)</f>
        <v>0</v>
      </c>
      <c r="AR40" s="227">
        <f>SUMIF('LV Cable sizing_SS-3'!$DW$4:$FZ$4,'Tray Sizing'!AR$4,'LV Cable sizing_SS-3'!$DW$102:$FZ$102)</f>
        <v>0</v>
      </c>
      <c r="AS40" s="227">
        <f>SUMIF('LV Cable sizing_SS-3'!$DW$4:$FZ$4,'Tray Sizing'!AS$4,'LV Cable sizing_SS-3'!$DW$102:$FZ$102)</f>
        <v>0</v>
      </c>
      <c r="AT40" s="227">
        <f>SUMIF('LV Cable sizing_SS-3'!$DW$4:$FZ$4,'Tray Sizing'!AT$4,'LV Cable sizing_SS-3'!$DW$102:$FZ$102)</f>
        <v>0</v>
      </c>
      <c r="AU40" s="227">
        <f>SUMIF('LV Cable sizing_SS-3'!$DW$4:$FZ$4,'Tray Sizing'!AU$4,'LV Cable sizing_SS-3'!$DW$102:$FZ$102)</f>
        <v>0</v>
      </c>
      <c r="AV40" s="227">
        <f>SUMIF('LV Cable sizing_SS-3'!$DW$4:$FZ$4,'Tray Sizing'!AV$4,'LV Cable sizing_SS-3'!$DW$102:$FZ$102)</f>
        <v>0</v>
      </c>
      <c r="AW40" s="227">
        <f>SUMIF('LV Cable sizing_SS-3'!$DW$4:$FZ$4,'Tray Sizing'!AW$4,'LV Cable sizing_SS-3'!$DW$102:$FZ$102)</f>
        <v>0</v>
      </c>
      <c r="AX40" s="227">
        <f>SUMIF('LV Cable sizing_SS-3'!$DW$4:$FZ$4,'Tray Sizing'!AX$4,'LV Cable sizing_SS-3'!$DW$102:$FZ$102)</f>
        <v>0</v>
      </c>
      <c r="AY40" s="227">
        <f>SUMIF('LV Cable sizing_SS-3'!$DW$4:$FZ$4,'Tray Sizing'!AY$4,'LV Cable sizing_SS-3'!$DW$102:$FZ$102)</f>
        <v>0</v>
      </c>
      <c r="AZ40" s="227">
        <f>SUMIF('LV Cable sizing_SS-3'!$DW$4:$FZ$4,'Tray Sizing'!AZ$4,'LV Cable sizing_SS-3'!$DW$102:$FZ$102)</f>
        <v>0</v>
      </c>
      <c r="BA40" s="227">
        <f>SUMIF('LV Cable sizing_SS-3'!$DW$4:$FZ$4,'Tray Sizing'!BA$4,'LV Cable sizing_SS-3'!$DW$102:$FZ$102)</f>
        <v>0</v>
      </c>
    </row>
    <row r="41" spans="2:53">
      <c r="B41" s="226"/>
      <c r="C41" s="226"/>
      <c r="D41" s="226"/>
      <c r="E41" s="227"/>
      <c r="F41" s="227"/>
      <c r="G41" s="227"/>
      <c r="H41" s="227"/>
      <c r="I41" s="227"/>
      <c r="J41" s="227"/>
      <c r="K41" s="227"/>
      <c r="L41" s="227"/>
      <c r="M41" s="227"/>
      <c r="N41" s="227"/>
      <c r="O41" s="227"/>
      <c r="P41" s="227"/>
      <c r="Q41" s="227"/>
      <c r="R41" s="227"/>
      <c r="S41" s="227"/>
      <c r="T41" s="227"/>
      <c r="U41" s="227"/>
      <c r="V41" s="227"/>
      <c r="W41" s="227"/>
      <c r="X41" s="227"/>
      <c r="Y41" s="227"/>
      <c r="Z41" s="227"/>
      <c r="AA41" s="227"/>
      <c r="AB41" s="227"/>
      <c r="AC41" s="227"/>
      <c r="AD41" s="227"/>
      <c r="AE41" s="227"/>
      <c r="AF41" s="227"/>
      <c r="AG41" s="227"/>
      <c r="AH41" s="227"/>
      <c r="AI41" s="227"/>
      <c r="AJ41" s="227"/>
      <c r="AK41" s="227"/>
      <c r="AL41" s="227"/>
      <c r="AM41" s="227"/>
      <c r="AN41" s="227"/>
      <c r="AO41" s="227"/>
      <c r="AP41" s="227"/>
      <c r="AQ41" s="227"/>
      <c r="AR41" s="227"/>
      <c r="AS41" s="227"/>
      <c r="AT41" s="227"/>
      <c r="AU41" s="227"/>
      <c r="AV41" s="227"/>
      <c r="AW41" s="227"/>
      <c r="AX41" s="227"/>
      <c r="AY41" s="227"/>
      <c r="AZ41" s="227"/>
      <c r="BA41" s="227"/>
    </row>
    <row r="42" spans="2:53" ht="25.5">
      <c r="B42" s="226" t="s">
        <v>88</v>
      </c>
      <c r="C42" s="226"/>
      <c r="D42" s="226"/>
      <c r="E42" s="227" t="e">
        <f>SUMIF(#REF!,'Tray Sizing'!E$4,#REF!)</f>
        <v>#REF!</v>
      </c>
      <c r="F42" s="227" t="e">
        <f>SUMIF(#REF!,'Tray Sizing'!F$4,#REF!)</f>
        <v>#REF!</v>
      </c>
      <c r="G42" s="227" t="e">
        <f>SUMIF(#REF!,'Tray Sizing'!G$4,#REF!)</f>
        <v>#REF!</v>
      </c>
      <c r="H42" s="227" t="e">
        <f>SUMIF(#REF!,'Tray Sizing'!H$4,#REF!)</f>
        <v>#REF!</v>
      </c>
      <c r="I42" s="227" t="e">
        <f>SUMIF(#REF!,'Tray Sizing'!I$4,#REF!)</f>
        <v>#REF!</v>
      </c>
      <c r="J42" s="227" t="e">
        <f>SUMIF(#REF!,'Tray Sizing'!J$4,#REF!)</f>
        <v>#REF!</v>
      </c>
      <c r="K42" s="227" t="e">
        <f>SUMIF(#REF!,'Tray Sizing'!K$4,#REF!)</f>
        <v>#REF!</v>
      </c>
      <c r="L42" s="227" t="e">
        <f>SUMIF(#REF!,'Tray Sizing'!L$4,#REF!)</f>
        <v>#REF!</v>
      </c>
      <c r="M42" s="227" t="e">
        <f>SUMIF(#REF!,'Tray Sizing'!M$4,#REF!)</f>
        <v>#REF!</v>
      </c>
      <c r="N42" s="227" t="e">
        <f>SUMIF(#REF!,'Tray Sizing'!N$4,#REF!)</f>
        <v>#REF!</v>
      </c>
      <c r="O42" s="227" t="e">
        <f>SUMIF(#REF!,'Tray Sizing'!O$4,#REF!)</f>
        <v>#REF!</v>
      </c>
      <c r="P42" s="227" t="e">
        <f>SUMIF(#REF!,'Tray Sizing'!P$4,#REF!)</f>
        <v>#REF!</v>
      </c>
      <c r="Q42" s="227" t="e">
        <f>SUMIF(#REF!,'Tray Sizing'!Q$4,#REF!)</f>
        <v>#REF!</v>
      </c>
      <c r="R42" s="227" t="e">
        <f>SUMIF(#REF!,'Tray Sizing'!R$4,#REF!)</f>
        <v>#REF!</v>
      </c>
      <c r="S42" s="227" t="e">
        <f>SUMIF(#REF!,'Tray Sizing'!S$4,#REF!)</f>
        <v>#REF!</v>
      </c>
      <c r="T42" s="227" t="e">
        <f>SUMIF(#REF!,'Tray Sizing'!T$4,#REF!)</f>
        <v>#REF!</v>
      </c>
      <c r="U42" s="227" t="e">
        <f>SUMIF(#REF!,'Tray Sizing'!U$4,#REF!)</f>
        <v>#REF!</v>
      </c>
      <c r="V42" s="227" t="e">
        <f>SUMIF(#REF!,'Tray Sizing'!V$4,#REF!)</f>
        <v>#REF!</v>
      </c>
      <c r="W42" s="227" t="e">
        <f>SUMIF(#REF!,'Tray Sizing'!W$4,#REF!)</f>
        <v>#REF!</v>
      </c>
      <c r="X42" s="227" t="e">
        <f>SUMIF(#REF!,'Tray Sizing'!X$4,#REF!)</f>
        <v>#REF!</v>
      </c>
      <c r="Y42" s="227" t="e">
        <f>SUMIF(#REF!,'Tray Sizing'!Y$4,#REF!)</f>
        <v>#REF!</v>
      </c>
      <c r="Z42" s="227" t="e">
        <f>SUMIF(#REF!,'Tray Sizing'!Z$4,#REF!)</f>
        <v>#REF!</v>
      </c>
      <c r="AA42" s="227" t="e">
        <f>SUMIF(#REF!,'Tray Sizing'!AA$4,#REF!)</f>
        <v>#REF!</v>
      </c>
      <c r="AB42" s="227" t="e">
        <f>SUMIF(#REF!,'Tray Sizing'!AB$4,#REF!)</f>
        <v>#REF!</v>
      </c>
      <c r="AC42" s="227" t="e">
        <f>SUMIF(#REF!,'Tray Sizing'!AC$4,#REF!)</f>
        <v>#REF!</v>
      </c>
      <c r="AD42" s="227" t="e">
        <f>SUMIF(#REF!,'Tray Sizing'!AD$4,#REF!)</f>
        <v>#REF!</v>
      </c>
      <c r="AE42" s="227" t="e">
        <f>SUMIF(#REF!,'Tray Sizing'!AE$4,#REF!)</f>
        <v>#REF!</v>
      </c>
      <c r="AF42" s="227" t="e">
        <f>SUMIF(#REF!,'Tray Sizing'!AF$4,#REF!)</f>
        <v>#REF!</v>
      </c>
      <c r="AG42" s="227" t="e">
        <f>SUMIF(#REF!,'Tray Sizing'!AG$4,#REF!)</f>
        <v>#REF!</v>
      </c>
      <c r="AH42" s="227" t="e">
        <f>SUMIF(#REF!,'Tray Sizing'!AH$4,#REF!)</f>
        <v>#REF!</v>
      </c>
      <c r="AI42" s="227" t="e">
        <f>SUMIF(#REF!,'Tray Sizing'!AI$4,#REF!)</f>
        <v>#REF!</v>
      </c>
      <c r="AJ42" s="227" t="e">
        <f>SUMIF(#REF!,'Tray Sizing'!AJ$4,#REF!)</f>
        <v>#REF!</v>
      </c>
      <c r="AK42" s="227" t="e">
        <f>SUMIF(#REF!,'Tray Sizing'!AK$4,#REF!)</f>
        <v>#REF!</v>
      </c>
      <c r="AL42" s="227" t="e">
        <f>SUMIF(#REF!,'Tray Sizing'!AL$4,#REF!)</f>
        <v>#REF!</v>
      </c>
      <c r="AM42" s="227" t="e">
        <f>SUMIF(#REF!,'Tray Sizing'!AM$4,#REF!)</f>
        <v>#REF!</v>
      </c>
      <c r="AN42" s="227" t="e">
        <f>SUMIF(#REF!,'Tray Sizing'!AN$4,#REF!)</f>
        <v>#REF!</v>
      </c>
      <c r="AO42" s="227" t="e">
        <f>SUMIF(#REF!,'Tray Sizing'!AO$4,#REF!)</f>
        <v>#REF!</v>
      </c>
      <c r="AP42" s="227" t="e">
        <f>SUMIF(#REF!,'Tray Sizing'!AP$4,#REF!)</f>
        <v>#REF!</v>
      </c>
      <c r="AQ42" s="227" t="e">
        <f>SUMIF(#REF!,'Tray Sizing'!AQ$4,#REF!)</f>
        <v>#REF!</v>
      </c>
      <c r="AR42" s="227" t="e">
        <f>SUMIF(#REF!,'Tray Sizing'!AR$4,#REF!)</f>
        <v>#REF!</v>
      </c>
      <c r="AS42" s="227" t="e">
        <f>SUMIF(#REF!,'Tray Sizing'!AS$4,#REF!)</f>
        <v>#REF!</v>
      </c>
      <c r="AT42" s="227" t="e">
        <f>SUMIF(#REF!,'Tray Sizing'!AT$4,#REF!)</f>
        <v>#REF!</v>
      </c>
      <c r="AU42" s="227" t="e">
        <f>SUMIF(#REF!,'Tray Sizing'!AU$4,#REF!)</f>
        <v>#REF!</v>
      </c>
      <c r="AV42" s="227" t="e">
        <f>SUMIF(#REF!,'Tray Sizing'!AV$4,#REF!)</f>
        <v>#REF!</v>
      </c>
      <c r="AW42" s="227" t="e">
        <f>SUMIF(#REF!,'Tray Sizing'!AW$4,#REF!)</f>
        <v>#REF!</v>
      </c>
      <c r="AX42" s="227" t="e">
        <f>SUMIF(#REF!,'Tray Sizing'!AX$4,#REF!)</f>
        <v>#REF!</v>
      </c>
      <c r="AY42" s="227" t="e">
        <f>SUMIF(#REF!,'Tray Sizing'!AY$4,#REF!)</f>
        <v>#REF!</v>
      </c>
      <c r="AZ42" s="227" t="e">
        <f>SUMIF(#REF!,'Tray Sizing'!AZ$4,#REF!)</f>
        <v>#REF!</v>
      </c>
      <c r="BA42" s="227" t="e">
        <f>SUMIF(#REF!,'Tray Sizing'!BA$4,#REF!)</f>
        <v>#REF!</v>
      </c>
    </row>
    <row r="43" spans="2:53">
      <c r="B43" s="226"/>
      <c r="C43" s="226"/>
      <c r="D43" s="226"/>
      <c r="E43" s="227"/>
      <c r="F43" s="227"/>
      <c r="G43" s="227"/>
      <c r="H43" s="227"/>
      <c r="I43" s="227"/>
      <c r="J43" s="227"/>
      <c r="K43" s="227"/>
      <c r="L43" s="227"/>
      <c r="M43" s="227"/>
      <c r="N43" s="227"/>
      <c r="O43" s="227"/>
      <c r="P43" s="227"/>
      <c r="Q43" s="227"/>
      <c r="R43" s="227"/>
      <c r="S43" s="227"/>
      <c r="T43" s="227"/>
      <c r="U43" s="227"/>
      <c r="V43" s="227"/>
      <c r="W43" s="227"/>
      <c r="X43" s="227"/>
      <c r="Y43" s="227"/>
      <c r="Z43" s="227"/>
      <c r="AA43" s="227"/>
      <c r="AB43" s="227"/>
      <c r="AC43" s="227"/>
      <c r="AD43" s="227"/>
      <c r="AE43" s="227"/>
      <c r="AF43" s="227"/>
      <c r="AG43" s="227"/>
      <c r="AH43" s="227"/>
      <c r="AI43" s="227"/>
      <c r="AJ43" s="227"/>
      <c r="AK43" s="227"/>
      <c r="AL43" s="227"/>
      <c r="AM43" s="227"/>
      <c r="AN43" s="227"/>
      <c r="AO43" s="227"/>
      <c r="AP43" s="227"/>
      <c r="AQ43" s="227"/>
      <c r="AR43" s="227"/>
      <c r="AS43" s="227"/>
      <c r="AT43" s="227"/>
      <c r="AU43" s="227"/>
      <c r="AV43" s="227"/>
      <c r="AW43" s="227"/>
      <c r="AX43" s="227"/>
      <c r="AY43" s="227"/>
      <c r="AZ43" s="227"/>
      <c r="BA43" s="227"/>
    </row>
    <row r="44" spans="2:53" ht="25.5">
      <c r="B44" s="226" t="s">
        <v>89</v>
      </c>
      <c r="C44" s="226"/>
      <c r="D44" s="226"/>
      <c r="E44" s="227"/>
      <c r="F44" s="227"/>
      <c r="G44" s="227"/>
      <c r="H44" s="227"/>
      <c r="I44" s="227"/>
      <c r="J44" s="227"/>
      <c r="K44" s="227"/>
      <c r="L44" s="227"/>
      <c r="M44" s="227"/>
      <c r="N44" s="227"/>
      <c r="O44" s="227"/>
      <c r="P44" s="227"/>
      <c r="Q44" s="227"/>
      <c r="R44" s="227"/>
      <c r="S44" s="227"/>
      <c r="T44" s="227"/>
      <c r="U44" s="227"/>
      <c r="V44" s="227"/>
      <c r="W44" s="227"/>
      <c r="X44" s="227"/>
      <c r="Y44" s="227"/>
      <c r="Z44" s="227"/>
      <c r="AA44" s="227"/>
      <c r="AB44" s="227"/>
      <c r="AC44" s="227"/>
      <c r="AD44" s="227"/>
      <c r="AE44" s="227"/>
      <c r="AF44" s="227"/>
      <c r="AG44" s="227"/>
      <c r="AH44" s="227"/>
      <c r="AI44" s="227"/>
      <c r="AJ44" s="227"/>
      <c r="AK44" s="227"/>
      <c r="AL44" s="227"/>
      <c r="AM44" s="227"/>
      <c r="AN44" s="227"/>
      <c r="AO44" s="227"/>
      <c r="AP44" s="227"/>
      <c r="AQ44" s="227"/>
      <c r="AR44" s="227"/>
      <c r="AS44" s="227"/>
      <c r="AT44" s="227"/>
      <c r="AU44" s="227"/>
      <c r="AV44" s="227"/>
      <c r="AW44" s="227"/>
      <c r="AX44" s="227"/>
      <c r="AY44" s="227"/>
      <c r="AZ44" s="227"/>
      <c r="BA44" s="227"/>
    </row>
    <row r="45" spans="2:53">
      <c r="B45" s="226"/>
      <c r="C45" s="226"/>
      <c r="D45" s="226"/>
      <c r="E45" s="227"/>
      <c r="F45" s="227"/>
      <c r="G45" s="227"/>
      <c r="H45" s="227"/>
      <c r="I45" s="227"/>
      <c r="J45" s="227"/>
      <c r="K45" s="227"/>
      <c r="L45" s="227"/>
      <c r="M45" s="227"/>
      <c r="N45" s="227"/>
      <c r="O45" s="227"/>
      <c r="P45" s="227"/>
      <c r="Q45" s="227"/>
      <c r="R45" s="227"/>
      <c r="S45" s="227"/>
      <c r="T45" s="227"/>
      <c r="U45" s="227"/>
      <c r="V45" s="227"/>
      <c r="W45" s="227"/>
      <c r="X45" s="227"/>
      <c r="Y45" s="227"/>
      <c r="Z45" s="227"/>
      <c r="AA45" s="227"/>
      <c r="AB45" s="227"/>
      <c r="AC45" s="227"/>
      <c r="AD45" s="227"/>
      <c r="AE45" s="227"/>
      <c r="AF45" s="227"/>
      <c r="AG45" s="227"/>
      <c r="AH45" s="227"/>
      <c r="AI45" s="227"/>
      <c r="AJ45" s="227"/>
      <c r="AK45" s="227"/>
      <c r="AL45" s="227"/>
      <c r="AM45" s="227"/>
      <c r="AN45" s="227"/>
      <c r="AO45" s="227"/>
      <c r="AP45" s="227"/>
      <c r="AQ45" s="227"/>
      <c r="AR45" s="227"/>
      <c r="AS45" s="227"/>
      <c r="AT45" s="227"/>
      <c r="AU45" s="227"/>
      <c r="AV45" s="227"/>
      <c r="AW45" s="227"/>
      <c r="AX45" s="227"/>
      <c r="AY45" s="227"/>
      <c r="AZ45" s="227"/>
      <c r="BA45" s="227"/>
    </row>
    <row r="46" spans="2:53" ht="25.5">
      <c r="B46" s="226" t="s">
        <v>90</v>
      </c>
      <c r="C46" s="226"/>
      <c r="D46" s="226"/>
      <c r="E46" s="227"/>
      <c r="F46" s="227"/>
      <c r="G46" s="227"/>
      <c r="H46" s="227"/>
      <c r="I46" s="227"/>
      <c r="J46" s="227"/>
      <c r="K46" s="227"/>
      <c r="L46" s="227"/>
      <c r="M46" s="227"/>
      <c r="N46" s="227"/>
      <c r="O46" s="227"/>
      <c r="P46" s="227"/>
      <c r="Q46" s="227"/>
      <c r="R46" s="227"/>
      <c r="S46" s="227"/>
      <c r="T46" s="227"/>
      <c r="U46" s="227"/>
      <c r="V46" s="227"/>
      <c r="W46" s="227"/>
      <c r="X46" s="227"/>
      <c r="Y46" s="227"/>
      <c r="Z46" s="227"/>
      <c r="AA46" s="227"/>
      <c r="AB46" s="227"/>
      <c r="AC46" s="227"/>
      <c r="AD46" s="227"/>
      <c r="AE46" s="227"/>
      <c r="AF46" s="227"/>
      <c r="AG46" s="227"/>
      <c r="AH46" s="227"/>
      <c r="AI46" s="227"/>
      <c r="AJ46" s="227"/>
      <c r="AK46" s="227"/>
      <c r="AL46" s="227"/>
      <c r="AM46" s="227"/>
      <c r="AN46" s="227"/>
      <c r="AO46" s="227"/>
      <c r="AP46" s="227"/>
      <c r="AQ46" s="227"/>
      <c r="AR46" s="227"/>
      <c r="AS46" s="227"/>
      <c r="AT46" s="227"/>
      <c r="AU46" s="227"/>
      <c r="AV46" s="227"/>
      <c r="AW46" s="227"/>
      <c r="AX46" s="227"/>
      <c r="AY46" s="227"/>
      <c r="AZ46" s="227"/>
      <c r="BA46" s="227"/>
    </row>
    <row r="47" spans="2:53">
      <c r="B47" s="226"/>
      <c r="C47" s="226"/>
      <c r="D47" s="226"/>
      <c r="E47" s="227"/>
      <c r="F47" s="227"/>
      <c r="G47" s="227"/>
      <c r="H47" s="227"/>
      <c r="I47" s="227"/>
      <c r="J47" s="227"/>
      <c r="K47" s="227"/>
      <c r="L47" s="227"/>
      <c r="M47" s="227"/>
      <c r="N47" s="227"/>
      <c r="O47" s="227"/>
      <c r="P47" s="227"/>
      <c r="Q47" s="227"/>
      <c r="R47" s="227"/>
      <c r="S47" s="227"/>
      <c r="T47" s="227"/>
      <c r="U47" s="227"/>
      <c r="V47" s="227"/>
      <c r="W47" s="227"/>
      <c r="X47" s="227"/>
      <c r="Y47" s="227"/>
      <c r="Z47" s="227"/>
      <c r="AA47" s="227"/>
      <c r="AB47" s="227"/>
      <c r="AC47" s="227"/>
      <c r="AD47" s="227"/>
      <c r="AE47" s="227"/>
      <c r="AF47" s="227"/>
      <c r="AG47" s="227"/>
      <c r="AH47" s="227"/>
      <c r="AI47" s="227"/>
      <c r="AJ47" s="227"/>
      <c r="AK47" s="227"/>
      <c r="AL47" s="227"/>
      <c r="AM47" s="227"/>
      <c r="AN47" s="227"/>
      <c r="AO47" s="227"/>
      <c r="AP47" s="227"/>
      <c r="AQ47" s="227"/>
      <c r="AR47" s="227"/>
      <c r="AS47" s="227"/>
      <c r="AT47" s="227"/>
      <c r="AU47" s="227"/>
      <c r="AV47" s="227"/>
      <c r="AW47" s="227"/>
      <c r="AX47" s="227"/>
      <c r="AY47" s="227"/>
      <c r="AZ47" s="227"/>
      <c r="BA47" s="227"/>
    </row>
    <row r="48" spans="2:53" ht="25.5">
      <c r="B48" s="226" t="s">
        <v>91</v>
      </c>
      <c r="C48" s="226"/>
      <c r="D48" s="226"/>
      <c r="E48" s="228" t="e">
        <f t="shared" ref="E48:BA48" si="10">SUM(E36:E47)</f>
        <v>#REF!</v>
      </c>
      <c r="F48" s="228" t="e">
        <f t="shared" si="10"/>
        <v>#N/A</v>
      </c>
      <c r="G48" s="228" t="e">
        <f t="shared" si="10"/>
        <v>#N/A</v>
      </c>
      <c r="H48" s="228" t="e">
        <f t="shared" si="10"/>
        <v>#REF!</v>
      </c>
      <c r="I48" s="228" t="e">
        <f t="shared" si="10"/>
        <v>#REF!</v>
      </c>
      <c r="J48" s="228" t="e">
        <f t="shared" si="10"/>
        <v>#REF!</v>
      </c>
      <c r="K48" s="228" t="e">
        <f t="shared" si="10"/>
        <v>#REF!</v>
      </c>
      <c r="L48" s="228" t="e">
        <f t="shared" si="10"/>
        <v>#REF!</v>
      </c>
      <c r="M48" s="228" t="e">
        <f t="shared" si="10"/>
        <v>#REF!</v>
      </c>
      <c r="N48" s="228" t="e">
        <f t="shared" si="10"/>
        <v>#REF!</v>
      </c>
      <c r="O48" s="228" t="e">
        <f t="shared" si="10"/>
        <v>#REF!</v>
      </c>
      <c r="P48" s="228" t="e">
        <f t="shared" si="10"/>
        <v>#REF!</v>
      </c>
      <c r="Q48" s="228" t="e">
        <f t="shared" si="10"/>
        <v>#REF!</v>
      </c>
      <c r="R48" s="228" t="e">
        <f t="shared" si="10"/>
        <v>#REF!</v>
      </c>
      <c r="S48" s="228" t="e">
        <f t="shared" si="10"/>
        <v>#REF!</v>
      </c>
      <c r="T48" s="228" t="e">
        <f t="shared" si="10"/>
        <v>#REF!</v>
      </c>
      <c r="U48" s="228" t="e">
        <f t="shared" si="10"/>
        <v>#REF!</v>
      </c>
      <c r="V48" s="228" t="e">
        <f t="shared" si="10"/>
        <v>#REF!</v>
      </c>
      <c r="W48" s="228" t="e">
        <f t="shared" si="10"/>
        <v>#REF!</v>
      </c>
      <c r="X48" s="228" t="e">
        <f t="shared" si="10"/>
        <v>#REF!</v>
      </c>
      <c r="Y48" s="228" t="e">
        <f t="shared" si="10"/>
        <v>#REF!</v>
      </c>
      <c r="Z48" s="228" t="e">
        <f t="shared" si="10"/>
        <v>#REF!</v>
      </c>
      <c r="AA48" s="228" t="e">
        <f t="shared" si="10"/>
        <v>#REF!</v>
      </c>
      <c r="AB48" s="228" t="e">
        <f t="shared" si="10"/>
        <v>#REF!</v>
      </c>
      <c r="AC48" s="228" t="e">
        <f t="shared" si="10"/>
        <v>#REF!</v>
      </c>
      <c r="AD48" s="228" t="e">
        <f t="shared" si="10"/>
        <v>#REF!</v>
      </c>
      <c r="AE48" s="228" t="e">
        <f t="shared" si="10"/>
        <v>#REF!</v>
      </c>
      <c r="AF48" s="228" t="e">
        <f t="shared" si="10"/>
        <v>#REF!</v>
      </c>
      <c r="AG48" s="228" t="e">
        <f t="shared" si="10"/>
        <v>#REF!</v>
      </c>
      <c r="AH48" s="228" t="e">
        <f t="shared" si="10"/>
        <v>#REF!</v>
      </c>
      <c r="AI48" s="228" t="e">
        <f t="shared" si="10"/>
        <v>#REF!</v>
      </c>
      <c r="AJ48" s="228" t="e">
        <f t="shared" si="10"/>
        <v>#REF!</v>
      </c>
      <c r="AK48" s="228" t="e">
        <f t="shared" si="10"/>
        <v>#REF!</v>
      </c>
      <c r="AL48" s="228" t="e">
        <f t="shared" si="10"/>
        <v>#REF!</v>
      </c>
      <c r="AM48" s="228" t="e">
        <f t="shared" si="10"/>
        <v>#REF!</v>
      </c>
      <c r="AN48" s="228" t="e">
        <f t="shared" si="10"/>
        <v>#REF!</v>
      </c>
      <c r="AO48" s="228" t="e">
        <f t="shared" si="10"/>
        <v>#REF!</v>
      </c>
      <c r="AP48" s="228" t="e">
        <f t="shared" si="10"/>
        <v>#REF!</v>
      </c>
      <c r="AQ48" s="228" t="e">
        <f t="shared" si="10"/>
        <v>#REF!</v>
      </c>
      <c r="AR48" s="228" t="e">
        <f t="shared" si="10"/>
        <v>#REF!</v>
      </c>
      <c r="AS48" s="228" t="e">
        <f t="shared" si="10"/>
        <v>#REF!</v>
      </c>
      <c r="AT48" s="228" t="e">
        <f t="shared" si="10"/>
        <v>#REF!</v>
      </c>
      <c r="AU48" s="228" t="e">
        <f t="shared" si="10"/>
        <v>#REF!</v>
      </c>
      <c r="AV48" s="228" t="e">
        <f t="shared" si="10"/>
        <v>#REF!</v>
      </c>
      <c r="AW48" s="228" t="e">
        <f t="shared" si="10"/>
        <v>#REF!</v>
      </c>
      <c r="AX48" s="228" t="e">
        <f t="shared" ref="AX48:AY48" si="11">SUM(AX36:AX47)</f>
        <v>#REF!</v>
      </c>
      <c r="AY48" s="228" t="e">
        <f t="shared" si="11"/>
        <v>#REF!</v>
      </c>
      <c r="AZ48" s="228" t="e">
        <f t="shared" si="10"/>
        <v>#REF!</v>
      </c>
      <c r="BA48" s="228" t="e">
        <f t="shared" si="10"/>
        <v>#REF!</v>
      </c>
    </row>
    <row r="49" spans="2:53">
      <c r="B49" s="213"/>
      <c r="C49" s="213"/>
      <c r="D49" s="213"/>
      <c r="E49" s="205"/>
      <c r="F49" s="205"/>
      <c r="G49" s="206"/>
      <c r="H49" s="205"/>
      <c r="I49" s="205"/>
      <c r="J49" s="205"/>
      <c r="K49" s="205"/>
      <c r="L49" s="205"/>
      <c r="M49" s="205"/>
      <c r="N49" s="205"/>
      <c r="O49" s="205"/>
      <c r="P49" s="205"/>
      <c r="Q49" s="205"/>
      <c r="R49" s="205"/>
      <c r="S49" s="205"/>
      <c r="T49" s="205"/>
      <c r="U49" s="205"/>
      <c r="V49" s="205"/>
      <c r="W49" s="205"/>
      <c r="X49" s="205"/>
      <c r="Y49" s="205"/>
      <c r="Z49" s="205"/>
      <c r="AA49" s="205"/>
      <c r="AB49" s="205"/>
      <c r="AC49" s="205"/>
      <c r="AD49" s="205"/>
      <c r="AE49" s="205"/>
      <c r="AF49" s="205"/>
      <c r="AG49" s="205"/>
      <c r="AH49" s="205"/>
      <c r="AI49" s="205"/>
      <c r="AJ49" s="205"/>
      <c r="AK49" s="205"/>
      <c r="AL49" s="205"/>
      <c r="AM49" s="205"/>
      <c r="AN49" s="205"/>
      <c r="AO49" s="205"/>
      <c r="AP49" s="205"/>
      <c r="AQ49" s="205"/>
      <c r="AR49" s="205"/>
      <c r="AS49" s="205"/>
      <c r="AT49" s="205"/>
      <c r="AU49" s="205"/>
      <c r="AV49" s="205"/>
      <c r="AW49" s="205"/>
      <c r="AX49" s="205"/>
      <c r="AY49" s="205"/>
      <c r="AZ49" s="205"/>
      <c r="BA49" s="205"/>
    </row>
    <row r="50" spans="2:53" ht="25.5">
      <c r="B50" s="204" t="s">
        <v>79</v>
      </c>
      <c r="C50" s="204"/>
      <c r="D50" s="204"/>
      <c r="E50" s="205" t="e">
        <f>E48*1.2</f>
        <v>#REF!</v>
      </c>
      <c r="F50" s="205" t="e">
        <f t="shared" ref="F50:BA50" si="12">F48*1.2</f>
        <v>#N/A</v>
      </c>
      <c r="G50" s="206" t="e">
        <f t="shared" si="12"/>
        <v>#N/A</v>
      </c>
      <c r="H50" s="205" t="e">
        <f t="shared" si="12"/>
        <v>#REF!</v>
      </c>
      <c r="I50" s="205" t="e">
        <f t="shared" si="12"/>
        <v>#REF!</v>
      </c>
      <c r="J50" s="205" t="e">
        <f t="shared" si="12"/>
        <v>#REF!</v>
      </c>
      <c r="K50" s="205" t="e">
        <f t="shared" si="12"/>
        <v>#REF!</v>
      </c>
      <c r="L50" s="205" t="e">
        <f t="shared" si="12"/>
        <v>#REF!</v>
      </c>
      <c r="M50" s="205" t="e">
        <f t="shared" si="12"/>
        <v>#REF!</v>
      </c>
      <c r="N50" s="205" t="e">
        <f t="shared" si="12"/>
        <v>#REF!</v>
      </c>
      <c r="O50" s="205" t="e">
        <f t="shared" si="12"/>
        <v>#REF!</v>
      </c>
      <c r="P50" s="205" t="e">
        <f t="shared" si="12"/>
        <v>#REF!</v>
      </c>
      <c r="Q50" s="205" t="e">
        <f t="shared" si="12"/>
        <v>#REF!</v>
      </c>
      <c r="R50" s="205" t="e">
        <f t="shared" si="12"/>
        <v>#REF!</v>
      </c>
      <c r="S50" s="205" t="e">
        <f t="shared" si="12"/>
        <v>#REF!</v>
      </c>
      <c r="T50" s="205" t="e">
        <f t="shared" si="12"/>
        <v>#REF!</v>
      </c>
      <c r="U50" s="205" t="e">
        <f t="shared" si="12"/>
        <v>#REF!</v>
      </c>
      <c r="V50" s="205" t="e">
        <f t="shared" si="12"/>
        <v>#REF!</v>
      </c>
      <c r="W50" s="205" t="e">
        <f t="shared" si="12"/>
        <v>#REF!</v>
      </c>
      <c r="X50" s="205" t="e">
        <f t="shared" si="12"/>
        <v>#REF!</v>
      </c>
      <c r="Y50" s="205" t="e">
        <f t="shared" si="12"/>
        <v>#REF!</v>
      </c>
      <c r="Z50" s="205" t="e">
        <f t="shared" si="12"/>
        <v>#REF!</v>
      </c>
      <c r="AA50" s="205" t="e">
        <f t="shared" si="12"/>
        <v>#REF!</v>
      </c>
      <c r="AB50" s="205" t="e">
        <f t="shared" si="12"/>
        <v>#REF!</v>
      </c>
      <c r="AC50" s="205" t="e">
        <f t="shared" si="12"/>
        <v>#REF!</v>
      </c>
      <c r="AD50" s="205" t="e">
        <f t="shared" si="12"/>
        <v>#REF!</v>
      </c>
      <c r="AE50" s="205" t="e">
        <f t="shared" si="12"/>
        <v>#REF!</v>
      </c>
      <c r="AF50" s="205" t="e">
        <f t="shared" si="12"/>
        <v>#REF!</v>
      </c>
      <c r="AG50" s="205" t="e">
        <f t="shared" si="12"/>
        <v>#REF!</v>
      </c>
      <c r="AH50" s="205" t="e">
        <f t="shared" si="12"/>
        <v>#REF!</v>
      </c>
      <c r="AI50" s="205" t="e">
        <f t="shared" si="12"/>
        <v>#REF!</v>
      </c>
      <c r="AJ50" s="205" t="e">
        <f t="shared" si="12"/>
        <v>#REF!</v>
      </c>
      <c r="AK50" s="205" t="e">
        <f t="shared" si="12"/>
        <v>#REF!</v>
      </c>
      <c r="AL50" s="205" t="e">
        <f t="shared" si="12"/>
        <v>#REF!</v>
      </c>
      <c r="AM50" s="205" t="e">
        <f t="shared" si="12"/>
        <v>#REF!</v>
      </c>
      <c r="AN50" s="205" t="e">
        <f t="shared" si="12"/>
        <v>#REF!</v>
      </c>
      <c r="AO50" s="205" t="e">
        <f t="shared" si="12"/>
        <v>#REF!</v>
      </c>
      <c r="AP50" s="205" t="e">
        <f t="shared" si="12"/>
        <v>#REF!</v>
      </c>
      <c r="AQ50" s="205" t="e">
        <f t="shared" si="12"/>
        <v>#REF!</v>
      </c>
      <c r="AR50" s="205" t="e">
        <f t="shared" si="12"/>
        <v>#REF!</v>
      </c>
      <c r="AS50" s="205" t="e">
        <f t="shared" si="12"/>
        <v>#REF!</v>
      </c>
      <c r="AT50" s="205" t="e">
        <f t="shared" si="12"/>
        <v>#REF!</v>
      </c>
      <c r="AU50" s="205" t="e">
        <f t="shared" si="12"/>
        <v>#REF!</v>
      </c>
      <c r="AV50" s="205" t="e">
        <f t="shared" si="12"/>
        <v>#REF!</v>
      </c>
      <c r="AW50" s="205" t="e">
        <f t="shared" si="12"/>
        <v>#REF!</v>
      </c>
      <c r="AX50" s="205" t="e">
        <f t="shared" ref="AX50:AY50" si="13">AX48*1.2</f>
        <v>#REF!</v>
      </c>
      <c r="AY50" s="205" t="e">
        <f t="shared" si="13"/>
        <v>#REF!</v>
      </c>
      <c r="AZ50" s="205" t="e">
        <f t="shared" si="12"/>
        <v>#REF!</v>
      </c>
      <c r="BA50" s="206" t="e">
        <f t="shared" si="12"/>
        <v>#REF!</v>
      </c>
    </row>
    <row r="51" spans="2:53">
      <c r="B51" s="213"/>
      <c r="C51" s="213"/>
      <c r="D51" s="213"/>
      <c r="E51" s="206"/>
      <c r="F51" s="206"/>
      <c r="G51" s="206"/>
      <c r="H51" s="206"/>
      <c r="I51" s="206"/>
      <c r="J51" s="206"/>
      <c r="K51" s="206"/>
      <c r="L51" s="206"/>
      <c r="M51" s="206"/>
      <c r="N51" s="206"/>
      <c r="O51" s="206"/>
      <c r="P51" s="206"/>
      <c r="Q51" s="206"/>
      <c r="R51" s="206"/>
      <c r="S51" s="206"/>
      <c r="T51" s="206"/>
      <c r="U51" s="206"/>
      <c r="V51" s="206"/>
      <c r="W51" s="206"/>
      <c r="X51" s="206"/>
      <c r="Y51" s="206"/>
      <c r="Z51" s="206"/>
      <c r="AA51" s="206"/>
      <c r="AB51" s="206"/>
      <c r="AC51" s="206"/>
      <c r="AD51" s="206"/>
      <c r="AE51" s="206"/>
      <c r="AF51" s="206"/>
      <c r="AG51" s="206"/>
      <c r="AH51" s="206"/>
      <c r="AI51" s="206"/>
      <c r="AJ51" s="206"/>
      <c r="AK51" s="206"/>
      <c r="AL51" s="206"/>
      <c r="AM51" s="206"/>
      <c r="AN51" s="206"/>
      <c r="AO51" s="206"/>
      <c r="AP51" s="206"/>
      <c r="AQ51" s="206"/>
      <c r="AR51" s="206"/>
      <c r="AS51" s="206"/>
      <c r="AT51" s="206"/>
      <c r="AU51" s="206"/>
      <c r="AV51" s="206"/>
      <c r="AW51" s="206"/>
      <c r="AX51" s="206"/>
      <c r="AY51" s="206"/>
      <c r="AZ51" s="206"/>
      <c r="BA51" s="206"/>
    </row>
    <row r="52" spans="2:53" ht="12.75" customHeight="1">
      <c r="B52" s="946" t="s">
        <v>92</v>
      </c>
      <c r="C52" s="937">
        <v>600</v>
      </c>
      <c r="D52" s="218"/>
      <c r="E52" s="210" t="e">
        <f>E50/$C$52</f>
        <v>#REF!</v>
      </c>
      <c r="F52" s="210" t="e">
        <f t="shared" ref="F52:BA52" si="14">F50/$C$52</f>
        <v>#N/A</v>
      </c>
      <c r="G52" s="210" t="e">
        <f t="shared" si="14"/>
        <v>#N/A</v>
      </c>
      <c r="H52" s="210" t="e">
        <f t="shared" si="14"/>
        <v>#REF!</v>
      </c>
      <c r="I52" s="210" t="e">
        <f t="shared" si="14"/>
        <v>#REF!</v>
      </c>
      <c r="J52" s="210" t="e">
        <f t="shared" si="14"/>
        <v>#REF!</v>
      </c>
      <c r="K52" s="210" t="e">
        <f t="shared" si="14"/>
        <v>#REF!</v>
      </c>
      <c r="L52" s="210" t="e">
        <f t="shared" si="14"/>
        <v>#REF!</v>
      </c>
      <c r="M52" s="210" t="e">
        <f t="shared" si="14"/>
        <v>#REF!</v>
      </c>
      <c r="N52" s="210" t="e">
        <f t="shared" si="14"/>
        <v>#REF!</v>
      </c>
      <c r="O52" s="210" t="e">
        <f t="shared" si="14"/>
        <v>#REF!</v>
      </c>
      <c r="P52" s="210" t="e">
        <f t="shared" si="14"/>
        <v>#REF!</v>
      </c>
      <c r="Q52" s="210" t="e">
        <f t="shared" si="14"/>
        <v>#REF!</v>
      </c>
      <c r="R52" s="210" t="e">
        <f t="shared" si="14"/>
        <v>#REF!</v>
      </c>
      <c r="S52" s="210" t="e">
        <f t="shared" si="14"/>
        <v>#REF!</v>
      </c>
      <c r="T52" s="210" t="e">
        <f t="shared" si="14"/>
        <v>#REF!</v>
      </c>
      <c r="U52" s="210" t="e">
        <f t="shared" si="14"/>
        <v>#REF!</v>
      </c>
      <c r="V52" s="210" t="e">
        <f t="shared" si="14"/>
        <v>#REF!</v>
      </c>
      <c r="W52" s="210" t="e">
        <f t="shared" si="14"/>
        <v>#REF!</v>
      </c>
      <c r="X52" s="210" t="e">
        <f t="shared" si="14"/>
        <v>#REF!</v>
      </c>
      <c r="Y52" s="210" t="e">
        <f t="shared" si="14"/>
        <v>#REF!</v>
      </c>
      <c r="Z52" s="210" t="e">
        <f t="shared" si="14"/>
        <v>#REF!</v>
      </c>
      <c r="AA52" s="210" t="e">
        <f t="shared" si="14"/>
        <v>#REF!</v>
      </c>
      <c r="AB52" s="210" t="e">
        <f t="shared" si="14"/>
        <v>#REF!</v>
      </c>
      <c r="AC52" s="210" t="e">
        <f t="shared" si="14"/>
        <v>#REF!</v>
      </c>
      <c r="AD52" s="210" t="e">
        <f t="shared" si="14"/>
        <v>#REF!</v>
      </c>
      <c r="AE52" s="210" t="e">
        <f t="shared" si="14"/>
        <v>#REF!</v>
      </c>
      <c r="AF52" s="210" t="e">
        <f t="shared" si="14"/>
        <v>#REF!</v>
      </c>
      <c r="AG52" s="210" t="e">
        <f t="shared" si="14"/>
        <v>#REF!</v>
      </c>
      <c r="AH52" s="210" t="e">
        <f t="shared" si="14"/>
        <v>#REF!</v>
      </c>
      <c r="AI52" s="210" t="e">
        <f t="shared" si="14"/>
        <v>#REF!</v>
      </c>
      <c r="AJ52" s="210" t="e">
        <f t="shared" si="14"/>
        <v>#REF!</v>
      </c>
      <c r="AK52" s="210" t="e">
        <f t="shared" si="14"/>
        <v>#REF!</v>
      </c>
      <c r="AL52" s="210" t="e">
        <f t="shared" si="14"/>
        <v>#REF!</v>
      </c>
      <c r="AM52" s="210" t="e">
        <f t="shared" si="14"/>
        <v>#REF!</v>
      </c>
      <c r="AN52" s="210" t="e">
        <f t="shared" si="14"/>
        <v>#REF!</v>
      </c>
      <c r="AO52" s="210" t="e">
        <f t="shared" si="14"/>
        <v>#REF!</v>
      </c>
      <c r="AP52" s="210" t="e">
        <f t="shared" si="14"/>
        <v>#REF!</v>
      </c>
      <c r="AQ52" s="210" t="e">
        <f t="shared" si="14"/>
        <v>#REF!</v>
      </c>
      <c r="AR52" s="210" t="e">
        <f t="shared" si="14"/>
        <v>#REF!</v>
      </c>
      <c r="AS52" s="210" t="e">
        <f t="shared" si="14"/>
        <v>#REF!</v>
      </c>
      <c r="AT52" s="210" t="e">
        <f t="shared" si="14"/>
        <v>#REF!</v>
      </c>
      <c r="AU52" s="210" t="e">
        <f t="shared" si="14"/>
        <v>#REF!</v>
      </c>
      <c r="AV52" s="210" t="e">
        <f t="shared" si="14"/>
        <v>#REF!</v>
      </c>
      <c r="AW52" s="210" t="e">
        <f t="shared" si="14"/>
        <v>#REF!</v>
      </c>
      <c r="AX52" s="210" t="e">
        <f t="shared" ref="AX52:AY52" si="15">AX50/$C$52</f>
        <v>#REF!</v>
      </c>
      <c r="AY52" s="210" t="e">
        <f t="shared" si="15"/>
        <v>#REF!</v>
      </c>
      <c r="AZ52" s="210" t="e">
        <f t="shared" si="14"/>
        <v>#REF!</v>
      </c>
      <c r="BA52" s="210" t="e">
        <f t="shared" si="14"/>
        <v>#REF!</v>
      </c>
    </row>
    <row r="53" spans="2:53">
      <c r="B53" s="947"/>
      <c r="C53" s="938"/>
      <c r="D53" s="213"/>
      <c r="E53" s="205"/>
      <c r="F53" s="205"/>
      <c r="G53" s="206"/>
      <c r="H53" s="205"/>
      <c r="I53" s="205"/>
      <c r="J53" s="205"/>
      <c r="K53" s="205"/>
      <c r="L53" s="205"/>
      <c r="M53" s="205"/>
      <c r="N53" s="205"/>
      <c r="O53" s="205"/>
      <c r="P53" s="205"/>
      <c r="Q53" s="205"/>
      <c r="R53" s="205"/>
      <c r="S53" s="205"/>
      <c r="T53" s="205"/>
      <c r="U53" s="205"/>
      <c r="V53" s="205"/>
      <c r="W53" s="205"/>
      <c r="X53" s="205"/>
      <c r="Y53" s="205"/>
      <c r="Z53" s="205"/>
      <c r="AA53" s="205"/>
      <c r="AB53" s="205"/>
      <c r="AC53" s="205"/>
      <c r="AD53" s="205"/>
      <c r="AE53" s="205"/>
      <c r="AF53" s="205"/>
      <c r="AG53" s="205"/>
      <c r="AH53" s="205"/>
      <c r="AI53" s="205"/>
      <c r="AJ53" s="205"/>
      <c r="AK53" s="205"/>
      <c r="AL53" s="205"/>
      <c r="AM53" s="205"/>
      <c r="AN53" s="205"/>
      <c r="AO53" s="205"/>
      <c r="AP53" s="205"/>
      <c r="AQ53" s="205"/>
      <c r="AR53" s="205"/>
      <c r="AS53" s="205"/>
      <c r="AT53" s="205"/>
      <c r="AU53" s="205"/>
      <c r="AV53" s="205"/>
      <c r="AW53" s="205"/>
      <c r="AX53" s="205"/>
      <c r="AY53" s="205"/>
      <c r="AZ53" s="205"/>
      <c r="BA53" s="205"/>
    </row>
    <row r="54" spans="2:53" ht="33" customHeight="1">
      <c r="B54" s="947"/>
      <c r="C54" s="939"/>
      <c r="D54" s="213"/>
      <c r="E54" s="229" t="e">
        <f>ROUNDUP(E52,0)</f>
        <v>#REF!</v>
      </c>
      <c r="F54" s="230">
        <v>10</v>
      </c>
      <c r="G54" s="229" t="e">
        <f t="shared" ref="G54:BA54" si="16">ROUNDUP(G52,0)</f>
        <v>#N/A</v>
      </c>
      <c r="H54" s="229" t="e">
        <f t="shared" si="16"/>
        <v>#REF!</v>
      </c>
      <c r="I54" s="229" t="e">
        <f t="shared" si="16"/>
        <v>#REF!</v>
      </c>
      <c r="J54" s="229" t="e">
        <f t="shared" si="16"/>
        <v>#REF!</v>
      </c>
      <c r="K54" s="229" t="e">
        <f t="shared" si="16"/>
        <v>#REF!</v>
      </c>
      <c r="L54" s="93">
        <v>0</v>
      </c>
      <c r="M54" s="229" t="e">
        <f t="shared" si="16"/>
        <v>#REF!</v>
      </c>
      <c r="N54" s="229" t="e">
        <f t="shared" si="16"/>
        <v>#REF!</v>
      </c>
      <c r="O54" s="229" t="e">
        <f t="shared" si="16"/>
        <v>#REF!</v>
      </c>
      <c r="P54" s="229">
        <v>7</v>
      </c>
      <c r="Q54" s="229">
        <v>4</v>
      </c>
      <c r="R54" s="231">
        <v>3</v>
      </c>
      <c r="S54" s="231">
        <v>2</v>
      </c>
      <c r="T54" s="229">
        <v>1</v>
      </c>
      <c r="U54" s="232">
        <v>0</v>
      </c>
      <c r="V54" s="229" t="e">
        <f>ROUNDUP(V52,0)</f>
        <v>#REF!</v>
      </c>
      <c r="W54" s="229" t="e">
        <f t="shared" si="16"/>
        <v>#REF!</v>
      </c>
      <c r="X54" s="229">
        <v>1</v>
      </c>
      <c r="Y54" s="94">
        <v>0</v>
      </c>
      <c r="Z54" s="229">
        <v>1</v>
      </c>
      <c r="AA54" s="94">
        <v>0</v>
      </c>
      <c r="AB54" s="229">
        <v>1</v>
      </c>
      <c r="AC54" s="229" t="e">
        <f t="shared" si="16"/>
        <v>#REF!</v>
      </c>
      <c r="AD54" s="229" t="e">
        <f t="shared" si="16"/>
        <v>#REF!</v>
      </c>
      <c r="AE54" s="229" t="e">
        <f t="shared" si="16"/>
        <v>#REF!</v>
      </c>
      <c r="AF54" s="229" t="e">
        <f t="shared" si="16"/>
        <v>#REF!</v>
      </c>
      <c r="AG54" s="93">
        <v>0</v>
      </c>
      <c r="AH54" s="229" t="e">
        <f t="shared" si="16"/>
        <v>#REF!</v>
      </c>
      <c r="AI54" s="229" t="e">
        <f t="shared" si="16"/>
        <v>#REF!</v>
      </c>
      <c r="AJ54" s="229" t="e">
        <f t="shared" si="16"/>
        <v>#REF!</v>
      </c>
      <c r="AK54" s="229" t="e">
        <f t="shared" si="16"/>
        <v>#REF!</v>
      </c>
      <c r="AL54" s="229" t="e">
        <f t="shared" si="16"/>
        <v>#REF!</v>
      </c>
      <c r="AM54" s="229" t="e">
        <f t="shared" si="16"/>
        <v>#REF!</v>
      </c>
      <c r="AN54" s="229" t="e">
        <f t="shared" si="16"/>
        <v>#REF!</v>
      </c>
      <c r="AO54" s="233">
        <v>0</v>
      </c>
      <c r="AP54" s="233">
        <v>0</v>
      </c>
      <c r="AQ54" s="233">
        <v>0</v>
      </c>
      <c r="AR54" s="229" t="e">
        <f t="shared" si="16"/>
        <v>#REF!</v>
      </c>
      <c r="AS54" s="232">
        <v>0</v>
      </c>
      <c r="AT54" s="234">
        <v>0</v>
      </c>
      <c r="AU54" s="234">
        <v>0</v>
      </c>
      <c r="AV54" s="231">
        <v>5</v>
      </c>
      <c r="AW54" s="231">
        <v>5</v>
      </c>
      <c r="AX54" s="231">
        <v>4</v>
      </c>
      <c r="AY54" s="229" t="e">
        <f t="shared" ref="AY54" si="17">ROUNDUP(AY52,0)</f>
        <v>#REF!</v>
      </c>
      <c r="AZ54" s="231">
        <v>2</v>
      </c>
      <c r="BA54" s="229" t="e">
        <f t="shared" si="16"/>
        <v>#REF!</v>
      </c>
    </row>
    <row r="55" spans="2:53">
      <c r="B55" s="947"/>
      <c r="C55" s="213"/>
      <c r="D55" s="213"/>
      <c r="E55" s="205"/>
      <c r="F55" s="205"/>
      <c r="G55" s="206"/>
      <c r="H55" s="205"/>
      <c r="I55" s="205"/>
      <c r="J55" s="205"/>
      <c r="K55" s="205"/>
      <c r="L55" s="205"/>
      <c r="M55" s="205"/>
      <c r="N55" s="205"/>
      <c r="O55" s="205"/>
      <c r="P55" s="205"/>
      <c r="Q55" s="205"/>
      <c r="R55" s="205"/>
      <c r="S55" s="205"/>
      <c r="T55" s="205"/>
      <c r="U55" s="205"/>
      <c r="V55" s="205"/>
      <c r="W55" s="205"/>
      <c r="X55" s="205"/>
      <c r="Y55" s="205"/>
      <c r="Z55" s="205"/>
      <c r="AA55" s="205"/>
      <c r="AB55" s="205"/>
      <c r="AC55" s="205"/>
      <c r="AD55" s="205"/>
      <c r="AE55" s="205"/>
      <c r="AF55" s="205"/>
      <c r="AG55" s="205"/>
      <c r="AH55" s="205"/>
      <c r="AI55" s="205"/>
      <c r="AJ55" s="205"/>
      <c r="AK55" s="205"/>
      <c r="AL55" s="205"/>
      <c r="AM55" s="205"/>
      <c r="AN55" s="205"/>
      <c r="AO55" s="205"/>
      <c r="AP55" s="205"/>
      <c r="AQ55" s="205"/>
      <c r="AR55" s="205"/>
      <c r="AS55" s="216"/>
      <c r="AT55" s="216"/>
      <c r="AU55" s="216"/>
      <c r="AV55" s="205"/>
      <c r="AW55" s="205"/>
      <c r="AX55" s="205"/>
      <c r="AY55" s="205"/>
      <c r="AZ55" s="205"/>
      <c r="BA55" s="205"/>
    </row>
    <row r="56" spans="2:53">
      <c r="B56" s="947"/>
      <c r="C56" s="235">
        <v>450</v>
      </c>
      <c r="D56" s="213"/>
      <c r="E56" s="205"/>
      <c r="F56" s="205"/>
      <c r="G56" s="206"/>
      <c r="H56" s="205"/>
      <c r="I56" s="205"/>
      <c r="J56" s="205"/>
      <c r="K56" s="205"/>
      <c r="L56" s="205"/>
      <c r="M56" s="205"/>
      <c r="N56" s="205"/>
      <c r="O56" s="205"/>
      <c r="P56" s="205"/>
      <c r="Q56" s="229">
        <v>1</v>
      </c>
      <c r="R56" s="214"/>
      <c r="S56" s="214"/>
      <c r="T56" s="205"/>
      <c r="U56" s="229" t="e">
        <f>ROUNDUP(U52,0)</f>
        <v>#REF!</v>
      </c>
      <c r="V56" s="205"/>
      <c r="W56" s="205"/>
      <c r="X56" s="205"/>
      <c r="Y56" s="205"/>
      <c r="Z56" s="205"/>
      <c r="AA56" s="205"/>
      <c r="AB56" s="205"/>
      <c r="AC56" s="205"/>
      <c r="AD56" s="205"/>
      <c r="AE56" s="205"/>
      <c r="AF56" s="205"/>
      <c r="AG56" s="205"/>
      <c r="AH56" s="205"/>
      <c r="AI56" s="205"/>
      <c r="AJ56" s="205"/>
      <c r="AK56" s="205"/>
      <c r="AL56" s="205"/>
      <c r="AM56" s="205"/>
      <c r="AN56" s="205"/>
      <c r="AO56" s="205"/>
      <c r="AP56" s="205"/>
      <c r="AQ56" s="205"/>
      <c r="AR56" s="205"/>
      <c r="AS56" s="231" t="e">
        <f>ROUNDUP(AS52,0)</f>
        <v>#REF!</v>
      </c>
      <c r="AT56" s="216"/>
      <c r="AU56" s="216"/>
      <c r="AV56" s="205"/>
      <c r="AW56" s="205"/>
      <c r="AX56" s="205"/>
      <c r="AY56" s="205"/>
      <c r="AZ56" s="205"/>
      <c r="BA56" s="205"/>
    </row>
    <row r="57" spans="2:53">
      <c r="B57" s="947"/>
      <c r="C57" s="213"/>
      <c r="D57" s="213"/>
      <c r="E57" s="205"/>
      <c r="F57" s="205"/>
      <c r="G57" s="206"/>
      <c r="H57" s="205"/>
      <c r="I57" s="205"/>
      <c r="J57" s="205"/>
      <c r="K57" s="205"/>
      <c r="L57" s="205"/>
      <c r="M57" s="205"/>
      <c r="N57" s="205"/>
      <c r="O57" s="205"/>
      <c r="P57" s="205"/>
      <c r="Q57" s="205"/>
      <c r="R57" s="205"/>
      <c r="S57" s="205"/>
      <c r="T57" s="205"/>
      <c r="U57" s="205"/>
      <c r="V57" s="205"/>
      <c r="W57" s="205"/>
      <c r="X57" s="205"/>
      <c r="Y57" s="205"/>
      <c r="Z57" s="205"/>
      <c r="AA57" s="205"/>
      <c r="AB57" s="205"/>
      <c r="AC57" s="205"/>
      <c r="AD57" s="205"/>
      <c r="AE57" s="205"/>
      <c r="AF57" s="205"/>
      <c r="AG57" s="205"/>
      <c r="AH57" s="205"/>
      <c r="AI57" s="205"/>
      <c r="AJ57" s="205"/>
      <c r="AK57" s="205"/>
      <c r="AL57" s="205"/>
      <c r="AM57" s="205"/>
      <c r="AN57" s="205"/>
      <c r="AO57" s="205"/>
      <c r="AP57" s="205"/>
      <c r="AQ57" s="205"/>
      <c r="AR57" s="205"/>
      <c r="AS57" s="216"/>
      <c r="AT57" s="216"/>
      <c r="AU57" s="216"/>
      <c r="AV57" s="205"/>
      <c r="AW57" s="205"/>
      <c r="AX57" s="205"/>
      <c r="AY57" s="205"/>
      <c r="AZ57" s="205"/>
      <c r="BA57" s="205"/>
    </row>
    <row r="58" spans="2:53">
      <c r="B58" s="948"/>
      <c r="C58" s="235">
        <v>300</v>
      </c>
      <c r="D58" s="213"/>
      <c r="E58" s="205"/>
      <c r="F58" s="205"/>
      <c r="G58" s="206"/>
      <c r="H58" s="205"/>
      <c r="I58" s="205"/>
      <c r="J58" s="205"/>
      <c r="K58" s="205"/>
      <c r="L58" s="229" t="e">
        <f>ROUNDUP(L52,0)</f>
        <v>#REF!</v>
      </c>
      <c r="M58" s="205"/>
      <c r="N58" s="205"/>
      <c r="O58" s="205"/>
      <c r="P58" s="205"/>
      <c r="Q58" s="205"/>
      <c r="R58" s="229">
        <v>1</v>
      </c>
      <c r="S58" s="229">
        <v>1</v>
      </c>
      <c r="T58" s="229">
        <v>1</v>
      </c>
      <c r="U58" s="205"/>
      <c r="W58" s="205"/>
      <c r="X58" s="229">
        <v>1</v>
      </c>
      <c r="Y58" s="229" t="e">
        <f>ROUNDUP(Y52,0)</f>
        <v>#REF!</v>
      </c>
      <c r="Z58" s="229">
        <v>1</v>
      </c>
      <c r="AA58" s="229" t="e">
        <f>ROUNDUP(AA52,0)</f>
        <v>#REF!</v>
      </c>
      <c r="AB58" s="229">
        <v>1</v>
      </c>
      <c r="AC58" s="205"/>
      <c r="AD58" s="205"/>
      <c r="AE58" s="205"/>
      <c r="AF58" s="205"/>
      <c r="AG58" s="229" t="e">
        <f>ROUNDUP(AG52,0)</f>
        <v>#REF!</v>
      </c>
      <c r="AH58" s="205"/>
      <c r="AI58" s="205"/>
      <c r="AJ58" s="205"/>
      <c r="AK58" s="205"/>
      <c r="AL58" s="205"/>
      <c r="AM58" s="205"/>
      <c r="AN58" s="205"/>
      <c r="AO58" s="229" t="e">
        <f>ROUNDUP(AO52,0)</f>
        <v>#REF!</v>
      </c>
      <c r="AP58" s="229" t="e">
        <f>ROUNDUP(AP52,0)</f>
        <v>#REF!</v>
      </c>
      <c r="AQ58" s="229" t="e">
        <f>ROUNDUP(AQ52,0)</f>
        <v>#REF!</v>
      </c>
      <c r="AR58" s="205"/>
      <c r="AS58" s="216"/>
      <c r="AT58" s="231" t="e">
        <f>ROUNDUP(AT52,0)</f>
        <v>#REF!</v>
      </c>
      <c r="AU58" s="231">
        <v>1</v>
      </c>
      <c r="AV58" s="205"/>
      <c r="AW58" s="205"/>
      <c r="AX58" s="231">
        <v>1</v>
      </c>
      <c r="AY58" s="205"/>
      <c r="AZ58" s="231">
        <v>1</v>
      </c>
      <c r="BA58" s="205"/>
    </row>
    <row r="59" spans="2:53">
      <c r="B59" s="213"/>
      <c r="C59" s="213"/>
      <c r="D59" s="213"/>
      <c r="E59" s="205"/>
      <c r="F59" s="205"/>
      <c r="G59" s="206"/>
      <c r="H59" s="205"/>
      <c r="I59" s="205"/>
      <c r="J59" s="205"/>
      <c r="K59" s="205"/>
      <c r="L59" s="205"/>
      <c r="M59" s="205"/>
      <c r="N59" s="205"/>
      <c r="O59" s="205"/>
      <c r="P59" s="205"/>
      <c r="Q59" s="205"/>
      <c r="R59" s="205"/>
      <c r="S59" s="205"/>
      <c r="T59" s="205"/>
      <c r="U59" s="205"/>
      <c r="V59" s="205"/>
      <c r="W59" s="205"/>
      <c r="X59" s="205"/>
      <c r="Y59" s="205"/>
      <c r="Z59" s="205"/>
      <c r="AA59" s="205"/>
      <c r="AB59" s="205"/>
      <c r="AC59" s="205"/>
      <c r="AD59" s="205"/>
      <c r="AE59" s="205"/>
      <c r="AF59" s="205"/>
      <c r="AG59" s="205"/>
      <c r="AH59" s="205"/>
      <c r="AI59" s="205"/>
      <c r="AJ59" s="205"/>
      <c r="AK59" s="205"/>
      <c r="AL59" s="205"/>
      <c r="AM59" s="205"/>
      <c r="AN59" s="205"/>
      <c r="AO59" s="205"/>
      <c r="AP59" s="205"/>
      <c r="AQ59" s="205"/>
      <c r="AR59" s="205"/>
      <c r="AS59" s="205"/>
      <c r="AT59" s="205"/>
      <c r="AU59" s="205"/>
      <c r="AV59" s="205"/>
      <c r="AW59" s="205"/>
      <c r="AX59" s="205"/>
      <c r="AY59" s="205"/>
      <c r="AZ59" s="205"/>
      <c r="BA59" s="205"/>
    </row>
    <row r="60" spans="2:53" ht="34.5" customHeight="1">
      <c r="B60" s="951" t="s">
        <v>93</v>
      </c>
      <c r="C60" s="236">
        <v>600</v>
      </c>
      <c r="D60" s="205"/>
      <c r="E60" s="237">
        <v>1</v>
      </c>
      <c r="F60" s="237">
        <v>1</v>
      </c>
      <c r="G60" s="210">
        <v>1</v>
      </c>
      <c r="H60" s="237">
        <v>1</v>
      </c>
      <c r="I60" s="237">
        <v>1</v>
      </c>
      <c r="J60" s="237">
        <v>1</v>
      </c>
      <c r="K60" s="237">
        <v>1</v>
      </c>
      <c r="L60" s="237">
        <v>1</v>
      </c>
      <c r="M60" s="237">
        <v>1</v>
      </c>
      <c r="N60" s="237">
        <v>1</v>
      </c>
      <c r="O60" s="237">
        <v>1</v>
      </c>
      <c r="P60" s="237">
        <v>1</v>
      </c>
      <c r="Q60" s="237">
        <v>1</v>
      </c>
      <c r="R60" s="237">
        <v>1</v>
      </c>
      <c r="S60" s="237">
        <v>1</v>
      </c>
      <c r="T60" s="237">
        <v>1</v>
      </c>
      <c r="U60" s="238">
        <v>0</v>
      </c>
      <c r="V60" s="238">
        <v>0</v>
      </c>
      <c r="W60" s="237">
        <v>1</v>
      </c>
      <c r="X60" s="237">
        <v>1</v>
      </c>
      <c r="Y60" s="238">
        <v>0</v>
      </c>
      <c r="Z60" s="237">
        <v>1</v>
      </c>
      <c r="AA60" s="238">
        <v>0</v>
      </c>
      <c r="AB60" s="237">
        <v>1</v>
      </c>
      <c r="AC60" s="237">
        <v>1</v>
      </c>
      <c r="AD60" s="237">
        <v>1</v>
      </c>
      <c r="AE60" s="237">
        <v>1</v>
      </c>
      <c r="AF60" s="237">
        <v>1</v>
      </c>
      <c r="AG60" s="238">
        <v>0</v>
      </c>
      <c r="AH60" s="237">
        <v>1</v>
      </c>
      <c r="AI60" s="237">
        <v>1</v>
      </c>
      <c r="AJ60" s="237">
        <v>1</v>
      </c>
      <c r="AK60" s="237">
        <v>1</v>
      </c>
      <c r="AL60" s="237">
        <v>1</v>
      </c>
      <c r="AM60" s="237">
        <v>1</v>
      </c>
      <c r="AN60" s="237">
        <v>1</v>
      </c>
      <c r="AO60" s="238">
        <v>0</v>
      </c>
      <c r="AP60" s="238">
        <v>0</v>
      </c>
      <c r="AQ60" s="238">
        <v>0</v>
      </c>
      <c r="AR60" s="237">
        <v>1</v>
      </c>
      <c r="AS60" s="237">
        <v>1</v>
      </c>
      <c r="AT60" s="237">
        <v>1</v>
      </c>
      <c r="AU60" s="238">
        <v>0</v>
      </c>
      <c r="AV60" s="237">
        <v>1</v>
      </c>
      <c r="AW60" s="237">
        <v>1</v>
      </c>
      <c r="AX60" s="237">
        <v>1</v>
      </c>
      <c r="AY60" s="238">
        <v>0</v>
      </c>
      <c r="AZ60" s="238">
        <v>0</v>
      </c>
      <c r="BA60" s="238">
        <v>0</v>
      </c>
    </row>
    <row r="61" spans="2:53">
      <c r="B61" s="952"/>
      <c r="C61" s="205"/>
    </row>
    <row r="62" spans="2:53">
      <c r="B62" s="952"/>
      <c r="C62" s="236">
        <v>450</v>
      </c>
      <c r="U62" s="239">
        <v>1</v>
      </c>
    </row>
    <row r="63" spans="2:53">
      <c r="B63" s="952"/>
      <c r="C63" s="213"/>
    </row>
    <row r="64" spans="2:53">
      <c r="B64" s="952"/>
      <c r="C64" s="236">
        <v>300</v>
      </c>
      <c r="V64" s="240" t="e">
        <f>ROUNDUP(V54,0)</f>
        <v>#REF!</v>
      </c>
      <c r="W64" s="205"/>
      <c r="X64" s="205"/>
      <c r="Y64" s="240" t="e">
        <f>ROUNDUP(Y58,0)</f>
        <v>#REF!</v>
      </c>
      <c r="Z64" s="205"/>
      <c r="AA64" s="240" t="e">
        <f>ROUNDUP(AA58,0)</f>
        <v>#REF!</v>
      </c>
      <c r="AB64" s="205"/>
      <c r="AC64" s="240">
        <f>ROUNDUP(AC58,0)</f>
        <v>0</v>
      </c>
      <c r="AD64" s="240">
        <f>ROUNDUP(AD58,0)</f>
        <v>0</v>
      </c>
      <c r="AE64" s="205"/>
      <c r="AF64" s="205"/>
      <c r="AG64" s="240" t="e">
        <f>ROUNDUP(AG58,0)</f>
        <v>#REF!</v>
      </c>
      <c r="AH64" s="205"/>
      <c r="AO64" s="240">
        <v>0</v>
      </c>
      <c r="AP64" s="240" t="e">
        <f>ROUNDUP(AP58,0)</f>
        <v>#REF!</v>
      </c>
      <c r="AQ64" s="240" t="e">
        <f>ROUNDUP(AQ58,0)</f>
        <v>#REF!</v>
      </c>
      <c r="AS64" s="240">
        <v>1</v>
      </c>
      <c r="AT64" s="240" t="e">
        <f>ROUNDUP(AT58,0)</f>
        <v>#REF!</v>
      </c>
      <c r="AU64" s="240">
        <f>ROUNDUP(AU58,0)</f>
        <v>1</v>
      </c>
      <c r="AV64" s="240">
        <v>1</v>
      </c>
      <c r="AW64" s="240">
        <v>1</v>
      </c>
      <c r="AX64" s="240">
        <v>1</v>
      </c>
      <c r="AY64" s="241">
        <v>0</v>
      </c>
      <c r="AZ64" s="240">
        <v>1</v>
      </c>
      <c r="BA64" s="240">
        <v>1</v>
      </c>
    </row>
    <row r="67" spans="2:53">
      <c r="B67" s="11" t="s">
        <v>94</v>
      </c>
      <c r="E67" s="237">
        <v>1</v>
      </c>
      <c r="F67" s="237">
        <v>3</v>
      </c>
      <c r="G67" s="210">
        <v>3</v>
      </c>
      <c r="H67" s="237">
        <v>14</v>
      </c>
      <c r="I67" s="237">
        <v>8</v>
      </c>
      <c r="J67" s="237">
        <v>4</v>
      </c>
      <c r="K67" s="237">
        <v>4</v>
      </c>
      <c r="L67" s="237">
        <v>4</v>
      </c>
      <c r="M67" s="237">
        <v>4</v>
      </c>
      <c r="N67" s="237">
        <v>4</v>
      </c>
      <c r="O67" s="237">
        <v>4</v>
      </c>
      <c r="P67" s="237">
        <v>4</v>
      </c>
      <c r="Q67" s="237">
        <v>4</v>
      </c>
      <c r="R67" s="237">
        <v>4</v>
      </c>
      <c r="S67" s="237">
        <v>4</v>
      </c>
      <c r="T67" s="237">
        <v>4</v>
      </c>
      <c r="U67" s="237">
        <v>4</v>
      </c>
      <c r="V67" s="237"/>
      <c r="W67" s="237"/>
      <c r="X67" s="237"/>
      <c r="Y67" s="237"/>
      <c r="Z67" s="237"/>
      <c r="AA67" s="237"/>
      <c r="AB67" s="237"/>
      <c r="AC67" s="237"/>
      <c r="AD67" s="237"/>
      <c r="AE67" s="237"/>
      <c r="AF67" s="237"/>
      <c r="AG67" s="237"/>
      <c r="AH67" s="237"/>
      <c r="AI67" s="237"/>
      <c r="AJ67" s="237"/>
      <c r="AK67" s="237"/>
      <c r="AL67" s="237"/>
      <c r="AM67" s="237"/>
      <c r="AN67" s="237"/>
      <c r="AO67" s="237">
        <v>2</v>
      </c>
      <c r="AP67" s="237">
        <v>2</v>
      </c>
      <c r="AQ67" s="237"/>
      <c r="AR67" s="239">
        <v>2</v>
      </c>
      <c r="AS67" s="237">
        <v>2</v>
      </c>
      <c r="AT67" s="237">
        <v>1</v>
      </c>
      <c r="AU67" s="237">
        <v>2</v>
      </c>
      <c r="AV67" s="237">
        <v>2</v>
      </c>
      <c r="AW67" s="237">
        <v>2</v>
      </c>
      <c r="AX67" s="237">
        <v>2</v>
      </c>
      <c r="AY67" s="237">
        <v>1</v>
      </c>
      <c r="AZ67" s="237">
        <v>1</v>
      </c>
      <c r="BA67" s="237">
        <v>1</v>
      </c>
    </row>
    <row r="69" spans="2:53">
      <c r="E69" s="242">
        <v>1</v>
      </c>
      <c r="F69" s="243">
        <v>2</v>
      </c>
      <c r="G69" s="243">
        <v>12</v>
      </c>
      <c r="H69" s="243">
        <v>2</v>
      </c>
      <c r="I69" s="243">
        <v>8</v>
      </c>
      <c r="J69" s="243">
        <v>4</v>
      </c>
      <c r="K69" s="243">
        <v>4</v>
      </c>
      <c r="L69" s="243">
        <v>4</v>
      </c>
      <c r="M69" s="243">
        <v>4</v>
      </c>
      <c r="N69" s="243">
        <v>4</v>
      </c>
      <c r="O69" s="243">
        <v>4</v>
      </c>
      <c r="P69" s="243">
        <v>4</v>
      </c>
      <c r="Q69" s="243">
        <v>4</v>
      </c>
      <c r="R69" s="243">
        <v>4</v>
      </c>
      <c r="S69" s="244">
        <v>4</v>
      </c>
      <c r="T69" s="244">
        <v>4</v>
      </c>
      <c r="U69" s="244">
        <v>4</v>
      </c>
      <c r="V69" s="205"/>
      <c r="W69" s="205"/>
      <c r="X69" s="205"/>
      <c r="Y69" s="205"/>
      <c r="Z69" s="205"/>
      <c r="AA69" s="205"/>
      <c r="AB69" s="205"/>
      <c r="AC69" s="205"/>
      <c r="AD69" s="205"/>
      <c r="AE69" s="205"/>
      <c r="AF69" s="205"/>
      <c r="AG69" s="205"/>
      <c r="AH69" s="205"/>
      <c r="AI69" s="205"/>
      <c r="AJ69" s="205"/>
      <c r="AK69" s="205"/>
      <c r="AL69" s="205"/>
      <c r="AM69" s="205"/>
      <c r="AN69" s="205"/>
      <c r="AO69" s="244">
        <v>2</v>
      </c>
      <c r="AP69" s="244">
        <v>2</v>
      </c>
      <c r="AQ69" s="205"/>
      <c r="AR69" s="244">
        <v>2</v>
      </c>
      <c r="AS69" s="205"/>
      <c r="AT69" s="205"/>
      <c r="AU69" s="205"/>
      <c r="AV69" s="205"/>
      <c r="AW69" s="205"/>
      <c r="AX69" s="205"/>
      <c r="AY69" s="205"/>
      <c r="AZ69" s="205"/>
      <c r="BA69" s="205"/>
    </row>
    <row r="71" spans="2:53" ht="35.25" customHeight="1">
      <c r="B71" s="201" t="s">
        <v>94</v>
      </c>
      <c r="C71" s="245"/>
      <c r="D71" s="245"/>
      <c r="E71" s="245"/>
      <c r="F71" s="245"/>
      <c r="G71" s="246"/>
      <c r="H71" s="245"/>
      <c r="I71" s="245"/>
      <c r="J71" s="245"/>
      <c r="K71" s="245"/>
      <c r="L71" s="245"/>
      <c r="M71" s="245"/>
      <c r="N71" s="245"/>
      <c r="O71" s="245"/>
      <c r="P71" s="245"/>
      <c r="Q71" s="245"/>
      <c r="R71" s="245"/>
      <c r="S71" s="245"/>
      <c r="T71" s="245"/>
      <c r="U71" s="245"/>
      <c r="V71" s="245"/>
      <c r="W71" s="245"/>
      <c r="X71" s="245"/>
      <c r="Y71" s="245"/>
      <c r="Z71" s="245"/>
      <c r="AA71" s="245"/>
      <c r="AB71" s="245"/>
      <c r="AC71" s="245"/>
      <c r="AD71" s="245"/>
      <c r="AE71" s="245"/>
      <c r="AF71" s="245"/>
      <c r="AG71" s="245"/>
      <c r="AH71" s="245"/>
      <c r="AI71" s="245"/>
      <c r="AJ71" s="245"/>
      <c r="AK71" s="245"/>
      <c r="AL71" s="245"/>
      <c r="AM71" s="245"/>
      <c r="AN71" s="245"/>
      <c r="AO71" s="245"/>
      <c r="AP71" s="245"/>
      <c r="AQ71" s="245"/>
      <c r="AR71" s="245"/>
      <c r="AS71" s="245"/>
      <c r="AT71" s="245"/>
      <c r="AU71" s="245"/>
      <c r="AV71" s="245"/>
      <c r="AW71" s="245"/>
      <c r="AX71" s="245"/>
      <c r="AY71" s="245"/>
      <c r="AZ71" s="245"/>
      <c r="BA71" s="245"/>
    </row>
    <row r="72" spans="2:53" ht="23.25" customHeight="1">
      <c r="B72" s="953" t="s">
        <v>95</v>
      </c>
      <c r="C72" s="247" t="s">
        <v>78</v>
      </c>
      <c r="D72" s="205"/>
      <c r="E72" s="237"/>
      <c r="F72" s="237"/>
      <c r="G72" s="210"/>
      <c r="H72" s="237"/>
      <c r="I72" s="237"/>
      <c r="J72" s="237"/>
      <c r="K72" s="237"/>
      <c r="L72" s="237"/>
      <c r="M72" s="237"/>
      <c r="N72" s="237"/>
      <c r="O72" s="237"/>
      <c r="P72" s="237"/>
      <c r="Q72" s="237"/>
      <c r="R72" s="237"/>
      <c r="S72" s="237"/>
      <c r="T72" s="237"/>
      <c r="U72" s="237"/>
      <c r="V72" s="237"/>
      <c r="W72" s="237"/>
      <c r="X72" s="237"/>
      <c r="Y72" s="237"/>
      <c r="Z72" s="237"/>
      <c r="AA72" s="237"/>
      <c r="AB72" s="237"/>
      <c r="AC72" s="237"/>
      <c r="AD72" s="237"/>
      <c r="AE72" s="237"/>
      <c r="AF72" s="237"/>
      <c r="AG72" s="237"/>
      <c r="AH72" s="237"/>
      <c r="AI72" s="237"/>
      <c r="AJ72" s="237"/>
      <c r="AK72" s="237"/>
      <c r="AL72" s="237"/>
      <c r="AM72" s="237"/>
      <c r="AN72" s="237"/>
      <c r="AO72" s="237"/>
      <c r="AP72" s="237"/>
      <c r="AQ72" s="237"/>
      <c r="AR72" s="237"/>
      <c r="AS72" s="237"/>
      <c r="AT72" s="237"/>
      <c r="AU72" s="237"/>
      <c r="AV72" s="237"/>
      <c r="AW72" s="237"/>
      <c r="AX72" s="237"/>
      <c r="AY72" s="237"/>
      <c r="AZ72" s="237"/>
      <c r="BA72" s="237"/>
    </row>
    <row r="73" spans="2:53" ht="33.75" customHeight="1">
      <c r="B73" s="953"/>
      <c r="C73" s="236">
        <v>600</v>
      </c>
      <c r="D73" s="205"/>
      <c r="E73" s="237"/>
      <c r="F73" s="237"/>
      <c r="G73" s="210"/>
      <c r="H73" s="237"/>
      <c r="I73" s="237"/>
      <c r="J73" s="237"/>
      <c r="K73" s="237"/>
      <c r="L73" s="237"/>
      <c r="M73" s="237"/>
      <c r="N73" s="237"/>
      <c r="O73" s="237"/>
      <c r="P73" s="237"/>
      <c r="Q73" s="237"/>
      <c r="R73" s="237"/>
      <c r="S73" s="237"/>
      <c r="T73" s="237"/>
      <c r="U73" s="237"/>
      <c r="V73" s="237"/>
      <c r="W73" s="237"/>
      <c r="X73" s="237"/>
      <c r="Y73" s="237"/>
      <c r="Z73" s="237"/>
      <c r="AA73" s="237"/>
      <c r="AB73" s="237"/>
      <c r="AC73" s="237"/>
      <c r="AD73" s="237"/>
      <c r="AE73" s="237"/>
      <c r="AF73" s="237"/>
      <c r="AG73" s="237"/>
      <c r="AH73" s="237"/>
      <c r="AI73" s="237"/>
      <c r="AJ73" s="237"/>
      <c r="AK73" s="237"/>
      <c r="AL73" s="237"/>
      <c r="AM73" s="237"/>
      <c r="AN73" s="237"/>
      <c r="AO73" s="237"/>
      <c r="AP73" s="237"/>
      <c r="AQ73" s="237"/>
      <c r="AR73" s="237"/>
      <c r="AS73" s="237"/>
      <c r="AT73" s="237"/>
      <c r="AU73" s="237"/>
      <c r="AV73" s="237"/>
      <c r="AW73" s="237"/>
      <c r="AX73" s="237"/>
      <c r="AY73" s="237"/>
      <c r="AZ73" s="237"/>
      <c r="BA73" s="237"/>
    </row>
    <row r="74" spans="2:53" ht="33.75" customHeight="1">
      <c r="B74" s="953"/>
      <c r="C74" s="236">
        <v>450</v>
      </c>
      <c r="D74" s="205"/>
      <c r="E74" s="205"/>
      <c r="F74" s="205"/>
      <c r="G74" s="206"/>
      <c r="H74" s="205"/>
      <c r="I74" s="205"/>
      <c r="J74" s="205"/>
      <c r="K74" s="205"/>
      <c r="L74" s="205"/>
      <c r="M74" s="205"/>
      <c r="N74" s="205"/>
      <c r="O74" s="205"/>
      <c r="P74" s="205"/>
      <c r="Q74" s="205"/>
      <c r="R74" s="205"/>
      <c r="S74" s="205"/>
      <c r="T74" s="205"/>
      <c r="U74" s="205"/>
      <c r="V74" s="205"/>
      <c r="W74" s="205"/>
      <c r="X74" s="205"/>
      <c r="Y74" s="205"/>
      <c r="Z74" s="205"/>
      <c r="AA74" s="205"/>
      <c r="AB74" s="205"/>
      <c r="AC74" s="205"/>
      <c r="AD74" s="205"/>
      <c r="AE74" s="205"/>
      <c r="AF74" s="205"/>
      <c r="AG74" s="205"/>
      <c r="AH74" s="205"/>
      <c r="AI74" s="205"/>
      <c r="AJ74" s="205"/>
      <c r="AK74" s="205"/>
      <c r="AL74" s="205"/>
      <c r="AM74" s="205"/>
      <c r="AN74" s="205"/>
      <c r="AO74" s="205"/>
      <c r="AP74" s="205"/>
      <c r="AQ74" s="205"/>
      <c r="AR74" s="205"/>
      <c r="AS74" s="205"/>
      <c r="AT74" s="205"/>
      <c r="AU74" s="205"/>
      <c r="AV74" s="205"/>
      <c r="AW74" s="205"/>
      <c r="AX74" s="205"/>
      <c r="AY74" s="205"/>
      <c r="AZ74" s="205"/>
      <c r="BA74" s="205"/>
    </row>
    <row r="75" spans="2:53" ht="33.75" customHeight="1">
      <c r="B75" s="953"/>
      <c r="C75" s="236">
        <v>300</v>
      </c>
      <c r="D75" s="205"/>
      <c r="E75" s="205"/>
      <c r="F75" s="205"/>
      <c r="G75" s="206"/>
      <c r="H75" s="205"/>
      <c r="I75" s="205"/>
      <c r="J75" s="205"/>
      <c r="K75" s="205"/>
      <c r="L75" s="205"/>
      <c r="M75" s="205"/>
      <c r="N75" s="205"/>
      <c r="O75" s="205"/>
      <c r="P75" s="205"/>
      <c r="Q75" s="205"/>
      <c r="R75" s="205"/>
      <c r="S75" s="205"/>
      <c r="T75" s="205"/>
      <c r="U75" s="205"/>
      <c r="V75" s="205"/>
      <c r="W75" s="205"/>
      <c r="X75" s="205"/>
      <c r="Y75" s="205"/>
      <c r="Z75" s="205"/>
      <c r="AA75" s="205"/>
      <c r="AB75" s="205"/>
      <c r="AC75" s="205"/>
      <c r="AD75" s="205"/>
      <c r="AE75" s="205"/>
      <c r="AF75" s="205"/>
      <c r="AG75" s="205"/>
      <c r="AH75" s="205"/>
      <c r="AI75" s="205"/>
      <c r="AJ75" s="205"/>
      <c r="AK75" s="205"/>
      <c r="AL75" s="205"/>
      <c r="AM75" s="205"/>
      <c r="AN75" s="205"/>
      <c r="AO75" s="205"/>
      <c r="AP75" s="205"/>
      <c r="AQ75" s="205"/>
      <c r="AR75" s="205"/>
      <c r="AS75" s="205"/>
      <c r="AT75" s="205"/>
      <c r="AU75" s="205"/>
      <c r="AV75" s="205"/>
      <c r="AW75" s="205"/>
      <c r="AX75" s="205"/>
      <c r="AY75" s="205"/>
      <c r="AZ75" s="205"/>
      <c r="BA75" s="205"/>
    </row>
    <row r="76" spans="2:53">
      <c r="B76" s="205"/>
      <c r="C76" s="205"/>
      <c r="D76" s="205"/>
      <c r="E76" s="205"/>
      <c r="F76" s="205"/>
      <c r="G76" s="206"/>
      <c r="H76" s="205"/>
      <c r="I76" s="205"/>
      <c r="J76" s="205"/>
      <c r="K76" s="205"/>
      <c r="L76" s="205"/>
      <c r="M76" s="205"/>
      <c r="N76" s="205"/>
      <c r="O76" s="205"/>
      <c r="P76" s="205"/>
      <c r="Q76" s="205"/>
      <c r="R76" s="205"/>
      <c r="S76" s="205"/>
      <c r="T76" s="205"/>
      <c r="U76" s="205"/>
      <c r="V76" s="205"/>
      <c r="W76" s="205"/>
      <c r="X76" s="205"/>
      <c r="Y76" s="205"/>
      <c r="Z76" s="205"/>
      <c r="AA76" s="205"/>
      <c r="AB76" s="205"/>
      <c r="AC76" s="205"/>
      <c r="AD76" s="205"/>
      <c r="AE76" s="205"/>
      <c r="AF76" s="205"/>
      <c r="AG76" s="205"/>
      <c r="AH76" s="205"/>
      <c r="AI76" s="205"/>
      <c r="AJ76" s="205"/>
      <c r="AK76" s="205"/>
      <c r="AL76" s="205"/>
      <c r="AM76" s="205"/>
      <c r="AN76" s="205"/>
      <c r="AO76" s="205"/>
      <c r="AP76" s="205"/>
      <c r="AQ76" s="205"/>
      <c r="AR76" s="205"/>
      <c r="AS76" s="205"/>
      <c r="AT76" s="205"/>
      <c r="AU76" s="205"/>
      <c r="AV76" s="205"/>
      <c r="AW76" s="205"/>
      <c r="AX76" s="205"/>
      <c r="AY76" s="205"/>
      <c r="AZ76" s="205"/>
      <c r="BA76" s="205"/>
    </row>
    <row r="77" spans="2:53">
      <c r="B77" s="205"/>
      <c r="C77" s="205"/>
      <c r="D77" s="205"/>
      <c r="E77" s="205"/>
      <c r="F77" s="205"/>
      <c r="G77" s="206"/>
      <c r="H77" s="205"/>
      <c r="I77" s="205"/>
      <c r="J77" s="205"/>
      <c r="K77" s="205"/>
      <c r="L77" s="205"/>
      <c r="M77" s="205"/>
      <c r="N77" s="205"/>
      <c r="O77" s="205"/>
      <c r="P77" s="205"/>
      <c r="Q77" s="205"/>
      <c r="R77" s="205"/>
      <c r="S77" s="205"/>
      <c r="T77" s="205"/>
      <c r="U77" s="205"/>
      <c r="V77" s="205"/>
      <c r="W77" s="205"/>
      <c r="X77" s="205"/>
      <c r="Y77" s="205"/>
      <c r="Z77" s="205"/>
      <c r="AA77" s="205"/>
      <c r="AB77" s="205"/>
      <c r="AC77" s="205"/>
      <c r="AD77" s="205"/>
      <c r="AE77" s="205"/>
      <c r="AF77" s="205"/>
      <c r="AG77" s="205"/>
      <c r="AH77" s="205"/>
      <c r="AI77" s="205"/>
      <c r="AJ77" s="205"/>
      <c r="AK77" s="205"/>
      <c r="AL77" s="205"/>
      <c r="AM77" s="205"/>
      <c r="AN77" s="205"/>
      <c r="AO77" s="205"/>
      <c r="AP77" s="205"/>
      <c r="AQ77" s="205"/>
      <c r="AR77" s="205"/>
      <c r="AS77" s="205"/>
      <c r="AT77" s="205"/>
      <c r="AU77" s="205"/>
      <c r="AV77" s="205"/>
      <c r="AW77" s="205"/>
      <c r="AX77" s="205"/>
      <c r="AY77" s="205"/>
      <c r="AZ77" s="205"/>
      <c r="BA77" s="205"/>
    </row>
    <row r="78" spans="2:53" ht="20.25" customHeight="1">
      <c r="B78" s="953" t="s">
        <v>96</v>
      </c>
      <c r="C78" s="247" t="s">
        <v>78</v>
      </c>
      <c r="D78" s="205"/>
      <c r="E78" s="237"/>
      <c r="F78" s="237"/>
      <c r="G78" s="210"/>
      <c r="H78" s="237"/>
      <c r="I78" s="237"/>
      <c r="J78" s="237"/>
      <c r="K78" s="237"/>
      <c r="L78" s="237"/>
      <c r="M78" s="237"/>
      <c r="N78" s="237"/>
      <c r="O78" s="237"/>
      <c r="P78" s="237"/>
      <c r="Q78" s="237"/>
      <c r="R78" s="237"/>
      <c r="S78" s="237"/>
      <c r="T78" s="237"/>
      <c r="U78" s="237"/>
      <c r="V78" s="237"/>
      <c r="W78" s="237"/>
      <c r="X78" s="237"/>
      <c r="Y78" s="237"/>
      <c r="Z78" s="237"/>
      <c r="AA78" s="237"/>
      <c r="AB78" s="237"/>
      <c r="AC78" s="237"/>
      <c r="AD78" s="237"/>
      <c r="AE78" s="237"/>
      <c r="AF78" s="237"/>
      <c r="AG78" s="237"/>
      <c r="AH78" s="237"/>
      <c r="AI78" s="237"/>
      <c r="AJ78" s="237"/>
      <c r="AK78" s="237"/>
      <c r="AL78" s="237"/>
      <c r="AM78" s="237"/>
      <c r="AN78" s="237"/>
      <c r="AO78" s="237"/>
      <c r="AP78" s="237"/>
      <c r="AQ78" s="237"/>
      <c r="AR78" s="237"/>
      <c r="AS78" s="237"/>
      <c r="AT78" s="237"/>
      <c r="AU78" s="237"/>
      <c r="AV78" s="237"/>
      <c r="AW78" s="237"/>
      <c r="AX78" s="237"/>
      <c r="AY78" s="237"/>
      <c r="AZ78" s="237"/>
      <c r="BA78" s="237"/>
    </row>
    <row r="79" spans="2:53" ht="27.75" customHeight="1">
      <c r="B79" s="953"/>
      <c r="C79" s="236">
        <v>600</v>
      </c>
      <c r="D79" s="205"/>
      <c r="E79" s="237"/>
      <c r="F79" s="237"/>
      <c r="G79" s="210"/>
      <c r="H79" s="237"/>
      <c r="I79" s="237"/>
      <c r="J79" s="237"/>
      <c r="K79" s="237"/>
      <c r="L79" s="237"/>
      <c r="M79" s="237"/>
      <c r="N79" s="237"/>
      <c r="O79" s="237"/>
      <c r="P79" s="237"/>
      <c r="Q79" s="237"/>
      <c r="R79" s="237"/>
      <c r="S79" s="237"/>
      <c r="T79" s="237"/>
      <c r="U79" s="237"/>
      <c r="V79" s="237"/>
      <c r="W79" s="237"/>
      <c r="X79" s="237"/>
      <c r="Y79" s="237"/>
      <c r="Z79" s="237"/>
      <c r="AA79" s="237"/>
      <c r="AB79" s="237"/>
      <c r="AC79" s="237"/>
      <c r="AD79" s="237"/>
      <c r="AE79" s="237"/>
      <c r="AF79" s="237"/>
      <c r="AG79" s="237"/>
      <c r="AH79" s="237"/>
      <c r="AI79" s="237"/>
      <c r="AJ79" s="237"/>
      <c r="AK79" s="237"/>
      <c r="AL79" s="237"/>
      <c r="AM79" s="237"/>
      <c r="AN79" s="237"/>
      <c r="AO79" s="237"/>
      <c r="AP79" s="237"/>
      <c r="AQ79" s="237"/>
      <c r="AR79" s="237"/>
      <c r="AS79" s="237"/>
      <c r="AT79" s="237"/>
      <c r="AU79" s="237"/>
      <c r="AV79" s="237"/>
      <c r="AW79" s="237"/>
      <c r="AX79" s="237"/>
      <c r="AY79" s="237"/>
      <c r="AZ79" s="237"/>
      <c r="BA79" s="237"/>
    </row>
    <row r="80" spans="2:53" ht="27.75" customHeight="1">
      <c r="B80" s="953"/>
      <c r="C80" s="236">
        <v>450</v>
      </c>
      <c r="D80" s="205"/>
      <c r="E80" s="205"/>
      <c r="F80" s="205"/>
      <c r="G80" s="206"/>
      <c r="H80" s="205"/>
      <c r="I80" s="205"/>
      <c r="J80" s="205"/>
      <c r="K80" s="205"/>
      <c r="L80" s="205"/>
      <c r="M80" s="205"/>
      <c r="N80" s="205"/>
      <c r="O80" s="205"/>
      <c r="P80" s="205"/>
      <c r="Q80" s="205"/>
      <c r="R80" s="205"/>
      <c r="S80" s="205"/>
      <c r="T80" s="205"/>
      <c r="U80" s="205"/>
      <c r="V80" s="205"/>
      <c r="W80" s="205"/>
      <c r="X80" s="205"/>
      <c r="Y80" s="205"/>
      <c r="Z80" s="205"/>
      <c r="AA80" s="205"/>
      <c r="AB80" s="205"/>
      <c r="AC80" s="205"/>
      <c r="AD80" s="205"/>
      <c r="AE80" s="205"/>
      <c r="AF80" s="205"/>
      <c r="AG80" s="205"/>
      <c r="AH80" s="205"/>
      <c r="AI80" s="205"/>
      <c r="AJ80" s="205"/>
      <c r="AK80" s="205"/>
      <c r="AL80" s="205"/>
      <c r="AM80" s="205"/>
      <c r="AN80" s="205"/>
      <c r="AO80" s="205"/>
      <c r="AP80" s="205"/>
      <c r="AQ80" s="205"/>
      <c r="AR80" s="205"/>
      <c r="AS80" s="205"/>
      <c r="AT80" s="205"/>
      <c r="AU80" s="205"/>
      <c r="AV80" s="205"/>
      <c r="AW80" s="205"/>
      <c r="AX80" s="205"/>
      <c r="AY80" s="205"/>
      <c r="AZ80" s="205"/>
      <c r="BA80" s="205"/>
    </row>
    <row r="81" spans="2:53" ht="27.75" customHeight="1">
      <c r="B81" s="953"/>
      <c r="C81" s="236">
        <v>300</v>
      </c>
      <c r="D81" s="205"/>
      <c r="E81" s="205"/>
      <c r="F81" s="205"/>
      <c r="G81" s="206"/>
      <c r="H81" s="205"/>
      <c r="I81" s="205"/>
      <c r="J81" s="205"/>
      <c r="K81" s="205"/>
      <c r="L81" s="205"/>
      <c r="M81" s="205"/>
      <c r="N81" s="205"/>
      <c r="O81" s="205"/>
      <c r="P81" s="205"/>
      <c r="Q81" s="205"/>
      <c r="R81" s="205"/>
      <c r="S81" s="205"/>
      <c r="T81" s="205"/>
      <c r="U81" s="205"/>
      <c r="V81" s="205"/>
      <c r="W81" s="205"/>
      <c r="X81" s="205"/>
      <c r="Y81" s="205"/>
      <c r="Z81" s="205"/>
      <c r="AA81" s="205"/>
      <c r="AB81" s="205"/>
      <c r="AC81" s="205"/>
      <c r="AD81" s="205"/>
      <c r="AE81" s="205"/>
      <c r="AF81" s="205"/>
      <c r="AG81" s="205"/>
      <c r="AH81" s="205"/>
      <c r="AI81" s="205"/>
      <c r="AJ81" s="205"/>
      <c r="AK81" s="205"/>
      <c r="AL81" s="205"/>
      <c r="AM81" s="205"/>
      <c r="AN81" s="205"/>
      <c r="AO81" s="205"/>
      <c r="AP81" s="205"/>
      <c r="AQ81" s="205"/>
      <c r="AR81" s="205"/>
      <c r="AS81" s="205"/>
      <c r="AT81" s="205"/>
      <c r="AU81" s="205"/>
      <c r="AV81" s="205"/>
      <c r="AW81" s="205"/>
      <c r="AX81" s="205"/>
      <c r="AY81" s="205"/>
      <c r="AZ81" s="205"/>
      <c r="BA81" s="205"/>
    </row>
    <row r="83" spans="2:53" ht="33.75" customHeight="1">
      <c r="B83" s="953" t="s">
        <v>97</v>
      </c>
      <c r="C83" s="247" t="s">
        <v>78</v>
      </c>
      <c r="D83" s="205"/>
      <c r="E83" s="237"/>
      <c r="F83" s="237"/>
      <c r="G83" s="210"/>
      <c r="H83" s="237"/>
      <c r="I83" s="237"/>
      <c r="J83" s="237"/>
      <c r="K83" s="237"/>
      <c r="L83" s="237"/>
      <c r="M83" s="237"/>
      <c r="N83" s="237"/>
      <c r="O83" s="237"/>
      <c r="P83" s="237"/>
      <c r="Q83" s="237"/>
      <c r="R83" s="237"/>
      <c r="S83" s="237"/>
      <c r="T83" s="237"/>
      <c r="U83" s="237"/>
      <c r="V83" s="237"/>
      <c r="W83" s="237"/>
      <c r="X83" s="237"/>
      <c r="Y83" s="237"/>
      <c r="Z83" s="237"/>
      <c r="AA83" s="237"/>
      <c r="AB83" s="237"/>
      <c r="AC83" s="237"/>
      <c r="AD83" s="237"/>
      <c r="AE83" s="237"/>
      <c r="AF83" s="237"/>
      <c r="AG83" s="237"/>
      <c r="AH83" s="237"/>
      <c r="AI83" s="237"/>
      <c r="AJ83" s="237"/>
      <c r="AK83" s="237"/>
      <c r="AL83" s="237"/>
      <c r="AM83" s="237"/>
      <c r="AN83" s="237"/>
      <c r="AO83" s="237"/>
      <c r="AP83" s="237"/>
      <c r="AQ83" s="237"/>
      <c r="AR83" s="237"/>
      <c r="AS83" s="237"/>
      <c r="AT83" s="237"/>
      <c r="AU83" s="237"/>
      <c r="AV83" s="237"/>
      <c r="AW83" s="237"/>
      <c r="AX83" s="237"/>
      <c r="AY83" s="237"/>
      <c r="AZ83" s="237"/>
      <c r="BA83" s="237"/>
    </row>
    <row r="84" spans="2:53" ht="29.25" customHeight="1">
      <c r="B84" s="953"/>
      <c r="C84" s="236">
        <v>600</v>
      </c>
      <c r="D84" s="205"/>
      <c r="E84" s="237"/>
      <c r="F84" s="237"/>
      <c r="G84" s="210"/>
      <c r="H84" s="237"/>
      <c r="I84" s="237"/>
      <c r="J84" s="237"/>
      <c r="K84" s="237"/>
      <c r="L84" s="237"/>
      <c r="M84" s="237"/>
      <c r="N84" s="237"/>
      <c r="O84" s="237"/>
      <c r="P84" s="237"/>
      <c r="Q84" s="237"/>
      <c r="R84" s="237"/>
      <c r="S84" s="237"/>
      <c r="T84" s="237"/>
      <c r="U84" s="237"/>
      <c r="V84" s="237"/>
      <c r="W84" s="237"/>
      <c r="X84" s="237"/>
      <c r="Y84" s="237"/>
      <c r="Z84" s="237"/>
      <c r="AA84" s="237"/>
      <c r="AB84" s="237"/>
      <c r="AC84" s="237"/>
      <c r="AD84" s="237"/>
      <c r="AE84" s="237"/>
      <c r="AF84" s="237"/>
      <c r="AG84" s="237"/>
      <c r="AH84" s="237"/>
      <c r="AI84" s="237"/>
      <c r="AJ84" s="237"/>
      <c r="AK84" s="237"/>
      <c r="AL84" s="237"/>
      <c r="AM84" s="237"/>
      <c r="AN84" s="237"/>
      <c r="AO84" s="237"/>
      <c r="AP84" s="237"/>
      <c r="AQ84" s="237"/>
      <c r="AR84" s="237"/>
      <c r="AS84" s="237"/>
      <c r="AT84" s="237"/>
      <c r="AU84" s="237"/>
      <c r="AV84" s="237"/>
      <c r="AW84" s="237"/>
      <c r="AX84" s="237"/>
      <c r="AY84" s="237"/>
      <c r="AZ84" s="237"/>
      <c r="BA84" s="237"/>
    </row>
    <row r="85" spans="2:53" ht="29.25" customHeight="1">
      <c r="B85" s="953"/>
      <c r="C85" s="236">
        <v>450</v>
      </c>
      <c r="D85" s="205"/>
      <c r="E85" s="205"/>
      <c r="F85" s="205"/>
      <c r="G85" s="206"/>
      <c r="H85" s="205"/>
      <c r="I85" s="205"/>
      <c r="J85" s="205"/>
      <c r="K85" s="205"/>
      <c r="L85" s="205"/>
      <c r="M85" s="205"/>
      <c r="N85" s="205"/>
      <c r="O85" s="205"/>
      <c r="P85" s="205"/>
      <c r="Q85" s="205"/>
      <c r="R85" s="205"/>
      <c r="S85" s="205"/>
      <c r="T85" s="205"/>
      <c r="U85" s="205"/>
      <c r="V85" s="205"/>
      <c r="W85" s="205"/>
      <c r="X85" s="205"/>
      <c r="Y85" s="205"/>
      <c r="Z85" s="205"/>
      <c r="AA85" s="205"/>
      <c r="AB85" s="205"/>
      <c r="AC85" s="205"/>
      <c r="AD85" s="205"/>
      <c r="AE85" s="205"/>
      <c r="AF85" s="205"/>
      <c r="AG85" s="205"/>
      <c r="AH85" s="205"/>
      <c r="AI85" s="205"/>
      <c r="AJ85" s="205"/>
      <c r="AK85" s="205"/>
      <c r="AL85" s="205"/>
      <c r="AM85" s="205"/>
      <c r="AN85" s="205"/>
      <c r="AO85" s="205"/>
      <c r="AP85" s="205"/>
      <c r="AQ85" s="205"/>
      <c r="AR85" s="205"/>
      <c r="AS85" s="205"/>
      <c r="AT85" s="205"/>
      <c r="AU85" s="205"/>
      <c r="AV85" s="205"/>
      <c r="AW85" s="205"/>
      <c r="AX85" s="205"/>
      <c r="AY85" s="205"/>
      <c r="AZ85" s="205"/>
      <c r="BA85" s="205"/>
    </row>
    <row r="86" spans="2:53" ht="29.25" customHeight="1">
      <c r="B86" s="953"/>
      <c r="C86" s="236">
        <v>300</v>
      </c>
      <c r="D86" s="205"/>
      <c r="E86" s="205"/>
      <c r="F86" s="205"/>
      <c r="G86" s="206"/>
      <c r="H86" s="205"/>
      <c r="I86" s="205"/>
      <c r="J86" s="205"/>
      <c r="K86" s="205"/>
      <c r="L86" s="205"/>
      <c r="M86" s="205"/>
      <c r="N86" s="205"/>
      <c r="O86" s="205"/>
      <c r="P86" s="205"/>
      <c r="Q86" s="205"/>
      <c r="R86" s="205"/>
      <c r="S86" s="205"/>
      <c r="T86" s="205"/>
      <c r="U86" s="205"/>
      <c r="V86" s="205"/>
      <c r="W86" s="205"/>
      <c r="X86" s="205"/>
      <c r="Y86" s="205"/>
      <c r="Z86" s="205"/>
      <c r="AA86" s="205"/>
      <c r="AB86" s="205"/>
      <c r="AC86" s="205"/>
      <c r="AD86" s="205"/>
      <c r="AE86" s="205"/>
      <c r="AF86" s="205"/>
      <c r="AG86" s="205"/>
      <c r="AH86" s="205"/>
      <c r="AI86" s="205"/>
      <c r="AJ86" s="205"/>
      <c r="AK86" s="205"/>
      <c r="AL86" s="205"/>
      <c r="AM86" s="205"/>
      <c r="AN86" s="205"/>
      <c r="AO86" s="205"/>
      <c r="AP86" s="205"/>
      <c r="AQ86" s="205"/>
      <c r="AR86" s="205"/>
      <c r="AS86" s="205"/>
      <c r="AT86" s="205"/>
      <c r="AU86" s="205"/>
      <c r="AV86" s="205"/>
      <c r="AW86" s="205"/>
      <c r="AX86" s="205"/>
      <c r="AY86" s="205"/>
      <c r="AZ86" s="205"/>
      <c r="BA86" s="205"/>
    </row>
    <row r="88" spans="2:53" ht="23.25" customHeight="1">
      <c r="B88" s="953" t="s">
        <v>98</v>
      </c>
      <c r="C88" s="247" t="s">
        <v>78</v>
      </c>
      <c r="D88" s="205"/>
      <c r="E88" s="237"/>
      <c r="F88" s="237"/>
      <c r="G88" s="210"/>
      <c r="H88" s="237"/>
      <c r="I88" s="237"/>
      <c r="J88" s="237"/>
      <c r="K88" s="237"/>
      <c r="L88" s="237"/>
      <c r="M88" s="237"/>
      <c r="N88" s="237"/>
      <c r="O88" s="237"/>
      <c r="P88" s="237"/>
      <c r="Q88" s="237"/>
      <c r="R88" s="237"/>
      <c r="S88" s="237"/>
      <c r="T88" s="237"/>
      <c r="U88" s="237"/>
      <c r="V88" s="237"/>
      <c r="W88" s="237"/>
      <c r="X88" s="237"/>
      <c r="Y88" s="237"/>
      <c r="Z88" s="237"/>
      <c r="AA88" s="237"/>
      <c r="AB88" s="237"/>
      <c r="AC88" s="237"/>
      <c r="AD88" s="237"/>
      <c r="AE88" s="237"/>
      <c r="AF88" s="237"/>
      <c r="AG88" s="237"/>
      <c r="AH88" s="237"/>
      <c r="AI88" s="237"/>
      <c r="AJ88" s="237"/>
      <c r="AK88" s="237"/>
      <c r="AL88" s="237"/>
      <c r="AM88" s="237"/>
      <c r="AN88" s="237"/>
      <c r="AO88" s="237"/>
      <c r="AP88" s="237"/>
      <c r="AQ88" s="237"/>
      <c r="AR88" s="237"/>
      <c r="AS88" s="237"/>
      <c r="AT88" s="237"/>
      <c r="AU88" s="237"/>
      <c r="AV88" s="237"/>
      <c r="AW88" s="237"/>
      <c r="AX88" s="237"/>
      <c r="AY88" s="237"/>
      <c r="AZ88" s="237"/>
      <c r="BA88" s="237"/>
    </row>
    <row r="89" spans="2:53" ht="29.25" customHeight="1">
      <c r="B89" s="953"/>
      <c r="C89" s="236">
        <v>600</v>
      </c>
      <c r="D89" s="205"/>
      <c r="E89" s="237"/>
      <c r="F89" s="237"/>
      <c r="G89" s="210"/>
      <c r="H89" s="237"/>
      <c r="I89" s="237"/>
      <c r="J89" s="237"/>
      <c r="K89" s="237"/>
      <c r="L89" s="237"/>
      <c r="M89" s="237"/>
      <c r="N89" s="237"/>
      <c r="O89" s="237"/>
      <c r="P89" s="237"/>
      <c r="Q89" s="237"/>
      <c r="R89" s="237"/>
      <c r="S89" s="237"/>
      <c r="T89" s="237"/>
      <c r="U89" s="237"/>
      <c r="V89" s="237"/>
      <c r="W89" s="237"/>
      <c r="X89" s="237"/>
      <c r="Y89" s="237"/>
      <c r="Z89" s="237"/>
      <c r="AA89" s="237"/>
      <c r="AB89" s="237"/>
      <c r="AC89" s="237"/>
      <c r="AD89" s="237"/>
      <c r="AE89" s="237"/>
      <c r="AF89" s="237"/>
      <c r="AG89" s="237"/>
      <c r="AH89" s="237"/>
      <c r="AI89" s="237"/>
      <c r="AJ89" s="237"/>
      <c r="AK89" s="237"/>
      <c r="AL89" s="237"/>
      <c r="AM89" s="237"/>
      <c r="AN89" s="237"/>
      <c r="AO89" s="237"/>
      <c r="AP89" s="237"/>
      <c r="AQ89" s="237"/>
      <c r="AR89" s="237"/>
      <c r="AS89" s="237"/>
      <c r="AT89" s="237"/>
      <c r="AU89" s="237"/>
      <c r="AV89" s="237"/>
      <c r="AW89" s="237"/>
      <c r="AX89" s="237"/>
      <c r="AY89" s="237"/>
      <c r="AZ89" s="237"/>
      <c r="BA89" s="237"/>
    </row>
    <row r="90" spans="2:53" ht="29.25" customHeight="1">
      <c r="B90" s="953"/>
      <c r="C90" s="236">
        <v>450</v>
      </c>
      <c r="D90" s="205"/>
      <c r="E90" s="205"/>
      <c r="F90" s="205"/>
      <c r="G90" s="206"/>
      <c r="H90" s="205"/>
      <c r="I90" s="205"/>
      <c r="J90" s="205"/>
      <c r="K90" s="205"/>
      <c r="L90" s="205"/>
      <c r="M90" s="205"/>
      <c r="N90" s="205"/>
      <c r="O90" s="205"/>
      <c r="P90" s="205"/>
      <c r="Q90" s="205"/>
      <c r="R90" s="205"/>
      <c r="S90" s="205"/>
      <c r="T90" s="205"/>
      <c r="U90" s="205"/>
      <c r="V90" s="205"/>
      <c r="W90" s="205"/>
      <c r="X90" s="205"/>
      <c r="Y90" s="205"/>
      <c r="Z90" s="205"/>
      <c r="AA90" s="205"/>
      <c r="AB90" s="205"/>
      <c r="AC90" s="205"/>
      <c r="AD90" s="205"/>
      <c r="AE90" s="205"/>
      <c r="AF90" s="205"/>
      <c r="AG90" s="205"/>
      <c r="AH90" s="205"/>
      <c r="AI90" s="205"/>
      <c r="AJ90" s="205"/>
      <c r="AK90" s="205"/>
      <c r="AL90" s="205"/>
      <c r="AM90" s="205"/>
      <c r="AN90" s="205"/>
      <c r="AO90" s="205"/>
      <c r="AP90" s="205"/>
      <c r="AQ90" s="205"/>
      <c r="AR90" s="205"/>
      <c r="AS90" s="205"/>
      <c r="AT90" s="205"/>
      <c r="AU90" s="205"/>
      <c r="AV90" s="205"/>
      <c r="AW90" s="205"/>
      <c r="AX90" s="205"/>
      <c r="AY90" s="205"/>
      <c r="AZ90" s="205"/>
      <c r="BA90" s="205"/>
    </row>
    <row r="91" spans="2:53" ht="29.25" customHeight="1">
      <c r="B91" s="953"/>
      <c r="C91" s="236">
        <v>300</v>
      </c>
      <c r="D91" s="205"/>
      <c r="E91" s="205"/>
      <c r="F91" s="205"/>
      <c r="G91" s="206"/>
      <c r="H91" s="205"/>
      <c r="I91" s="205"/>
      <c r="J91" s="205"/>
      <c r="K91" s="205"/>
      <c r="L91" s="205"/>
      <c r="M91" s="205"/>
      <c r="N91" s="205"/>
      <c r="O91" s="205"/>
      <c r="P91" s="205"/>
      <c r="Q91" s="205"/>
      <c r="R91" s="205"/>
      <c r="S91" s="205"/>
      <c r="T91" s="205"/>
      <c r="U91" s="205"/>
      <c r="V91" s="205"/>
      <c r="W91" s="205"/>
      <c r="X91" s="205"/>
      <c r="Y91" s="205"/>
      <c r="Z91" s="205"/>
      <c r="AA91" s="205"/>
      <c r="AB91" s="205"/>
      <c r="AC91" s="205"/>
      <c r="AD91" s="205"/>
      <c r="AE91" s="205"/>
      <c r="AF91" s="205"/>
      <c r="AG91" s="205"/>
      <c r="AH91" s="205"/>
      <c r="AI91" s="205"/>
      <c r="AJ91" s="205"/>
      <c r="AK91" s="205"/>
      <c r="AL91" s="205"/>
      <c r="AM91" s="205"/>
      <c r="AN91" s="205"/>
      <c r="AO91" s="205"/>
      <c r="AP91" s="205"/>
      <c r="AQ91" s="205"/>
      <c r="AR91" s="205"/>
      <c r="AS91" s="205"/>
      <c r="AT91" s="205"/>
      <c r="AU91" s="205"/>
      <c r="AV91" s="205"/>
      <c r="AW91" s="205"/>
      <c r="AX91" s="205"/>
      <c r="AY91" s="205"/>
      <c r="AZ91" s="205"/>
      <c r="BA91" s="205"/>
    </row>
    <row r="95" spans="2:53">
      <c r="D95" s="11"/>
      <c r="E95" s="69">
        <f>10+59+17.5+40+7</f>
        <v>133.5</v>
      </c>
    </row>
    <row r="96" spans="2:53">
      <c r="D96" s="11"/>
      <c r="E96" s="69">
        <f>10+59+17.5+40+10</f>
        <v>136.5</v>
      </c>
    </row>
    <row r="97" spans="4:5">
      <c r="D97" s="11"/>
      <c r="E97" s="69">
        <f>10+59+17.5+56+12+18</f>
        <v>172.5</v>
      </c>
    </row>
    <row r="98" spans="4:5">
      <c r="D98" s="11"/>
      <c r="E98" s="69">
        <f>10+59+17.5+56+47</f>
        <v>189.5</v>
      </c>
    </row>
    <row r="99" spans="4:5">
      <c r="D99" s="11"/>
      <c r="E99" s="69">
        <f>10+59+17.5+56+72</f>
        <v>214.5</v>
      </c>
    </row>
    <row r="100" spans="4:5">
      <c r="D100" s="11"/>
      <c r="E100" s="69">
        <f>10+59+17.5+56+55+7</f>
        <v>204.5</v>
      </c>
    </row>
    <row r="126" spans="2:3">
      <c r="B126" s="11" t="s">
        <v>99</v>
      </c>
      <c r="C126" s="11"/>
    </row>
    <row r="127" spans="2:3">
      <c r="B127" s="11" t="s">
        <v>100</v>
      </c>
      <c r="C127" s="11"/>
    </row>
    <row r="128" spans="2:3">
      <c r="B128" s="11" t="s">
        <v>101</v>
      </c>
      <c r="C128" s="11"/>
    </row>
    <row r="129" spans="2:3">
      <c r="B129" s="11" t="s">
        <v>102</v>
      </c>
      <c r="C129" s="11"/>
    </row>
    <row r="130" spans="2:3">
      <c r="B130" s="11" t="s">
        <v>103</v>
      </c>
      <c r="C130" s="11"/>
    </row>
    <row r="131" spans="2:3">
      <c r="B131" s="11" t="s">
        <v>104</v>
      </c>
      <c r="C131" s="11"/>
    </row>
  </sheetData>
  <mergeCells count="10">
    <mergeCell ref="B60:B64"/>
    <mergeCell ref="B72:B75"/>
    <mergeCell ref="B78:B81"/>
    <mergeCell ref="B83:B86"/>
    <mergeCell ref="B88:B91"/>
    <mergeCell ref="C52:C54"/>
    <mergeCell ref="C27:C29"/>
    <mergeCell ref="B27:B33"/>
    <mergeCell ref="B52:B58"/>
    <mergeCell ref="C11:C12"/>
  </mergeCells>
  <pageMargins left="0.7" right="0.7" top="0.75" bottom="0.75" header="0.3" footer="0.3"/>
  <pageSetup paperSize="9" scale="2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AP241"/>
  <sheetViews>
    <sheetView view="pageBreakPreview" topLeftCell="A173" zoomScale="68" zoomScaleNormal="25" zoomScaleSheetLayoutView="68" workbookViewId="0">
      <selection activeCell="AB192" sqref="AB192"/>
    </sheetView>
  </sheetViews>
  <sheetFormatPr defaultRowHeight="15"/>
  <cols>
    <col min="1" max="1" width="9.140625" style="3"/>
    <col min="2" max="2" width="13.7109375" style="2" customWidth="1"/>
    <col min="3" max="3" width="14.28515625" style="2" customWidth="1"/>
    <col min="4" max="4" width="12.42578125" style="2" customWidth="1"/>
    <col min="5" max="5" width="11.28515625" style="2" customWidth="1"/>
    <col min="6" max="6" width="15" style="2" customWidth="1"/>
    <col min="7" max="7" width="15.7109375" style="2" customWidth="1"/>
    <col min="8" max="8" width="13" style="2" customWidth="1"/>
    <col min="9" max="9" width="12.28515625" style="2" customWidth="1"/>
    <col min="10" max="10" width="11.85546875" style="2" customWidth="1"/>
    <col min="11" max="11" width="12.7109375" style="3" customWidth="1"/>
    <col min="12" max="12" width="19.28515625" style="3" customWidth="1"/>
    <col min="13" max="13" width="13.5703125" style="3" customWidth="1"/>
    <col min="14" max="14" width="11.140625" style="3" customWidth="1"/>
    <col min="15" max="16" width="10.5703125" style="2" customWidth="1"/>
    <col min="17" max="18" width="10.28515625" style="2" customWidth="1"/>
    <col min="19" max="19" width="10.28515625" style="3" customWidth="1"/>
    <col min="20" max="20" width="4" style="3" customWidth="1"/>
    <col min="21" max="22" width="21.7109375" style="3" hidden="1" customWidth="1"/>
    <col min="23" max="23" width="4.5703125" style="3" hidden="1" customWidth="1"/>
    <col min="24" max="24" width="21.7109375" style="3" hidden="1" customWidth="1"/>
    <col min="25" max="25" width="16" style="3" hidden="1" customWidth="1"/>
    <col min="26" max="28" width="16" style="3" customWidth="1"/>
    <col min="29" max="29" width="13.28515625" style="3" customWidth="1"/>
    <col min="30" max="31" width="16.7109375" style="3" customWidth="1"/>
    <col min="32" max="32" width="5.28515625" style="3" customWidth="1"/>
    <col min="33" max="35" width="4.85546875" style="3" customWidth="1"/>
    <col min="36" max="36" width="15.7109375" style="3" customWidth="1"/>
    <col min="37" max="37" width="9.140625" style="3" customWidth="1"/>
    <col min="38" max="38" width="16.28515625" style="3" customWidth="1"/>
    <col min="39" max="39" width="9.140625" style="3" customWidth="1"/>
    <col min="40" max="40" width="35.85546875" style="3" customWidth="1"/>
    <col min="41" max="41" width="14.85546875" style="3" customWidth="1"/>
    <col min="42" max="42" width="24.28515625" style="3" bestFit="1" customWidth="1"/>
    <col min="43" max="43" width="9.42578125" style="3" bestFit="1" customWidth="1"/>
    <col min="44" max="44" width="9.140625" style="3" customWidth="1"/>
    <col min="45" max="16384" width="9.140625" style="3"/>
  </cols>
  <sheetData>
    <row r="1" spans="1:42" s="5" customFormat="1">
      <c r="B1" s="4"/>
      <c r="C1" s="4"/>
      <c r="D1" s="4"/>
      <c r="E1" s="4"/>
      <c r="F1" s="4"/>
      <c r="G1" s="4"/>
      <c r="H1" s="4"/>
      <c r="I1" s="4"/>
      <c r="J1" s="4"/>
      <c r="O1" s="4"/>
      <c r="P1" s="4"/>
      <c r="Q1" s="4"/>
      <c r="R1" s="4"/>
    </row>
    <row r="2" spans="1:42" s="5" customFormat="1" ht="15.75" thickBot="1">
      <c r="B2" s="4"/>
      <c r="C2" s="4"/>
      <c r="D2" s="4"/>
      <c r="E2" s="4"/>
      <c r="F2" s="4"/>
      <c r="G2" s="4"/>
      <c r="H2" s="4"/>
      <c r="I2" s="4"/>
      <c r="J2" s="4"/>
      <c r="O2" s="4"/>
      <c r="P2" s="4"/>
      <c r="Q2" s="4"/>
      <c r="R2" s="4"/>
    </row>
    <row r="3" spans="1:42" ht="30.75" customHeight="1">
      <c r="A3" s="14"/>
      <c r="B3" s="986" t="s">
        <v>105</v>
      </c>
      <c r="C3" s="987"/>
      <c r="D3" s="987"/>
      <c r="E3" s="987"/>
      <c r="F3" s="988"/>
      <c r="G3" s="15"/>
      <c r="H3" s="16"/>
      <c r="I3" s="15"/>
      <c r="J3" s="130" t="s">
        <v>106</v>
      </c>
      <c r="K3" s="130"/>
      <c r="L3" s="131"/>
      <c r="M3" s="131"/>
      <c r="N3" s="131"/>
      <c r="O3" s="131"/>
      <c r="P3" s="131"/>
      <c r="Q3" s="131"/>
      <c r="R3" s="131"/>
      <c r="S3" s="121"/>
    </row>
    <row r="4" spans="1:42" ht="20.100000000000001" customHeight="1">
      <c r="A4" s="17"/>
      <c r="B4" s="995"/>
      <c r="C4" s="995"/>
      <c r="D4" s="995"/>
      <c r="E4" s="4"/>
      <c r="F4" s="4"/>
      <c r="G4" s="4"/>
      <c r="H4" s="18"/>
      <c r="I4" s="4"/>
      <c r="J4" s="5"/>
      <c r="K4" s="5"/>
      <c r="L4" s="5"/>
      <c r="M4" s="5"/>
      <c r="N4" s="5"/>
      <c r="O4" s="5"/>
      <c r="P4" s="5"/>
      <c r="Q4" s="5"/>
      <c r="R4" s="5"/>
      <c r="S4" s="122"/>
    </row>
    <row r="5" spans="1:42" ht="19.5" customHeight="1">
      <c r="A5" s="17"/>
      <c r="B5" s="43" t="s">
        <v>107</v>
      </c>
      <c r="C5" s="44"/>
      <c r="D5" s="44"/>
      <c r="E5" s="44"/>
      <c r="F5" s="44"/>
      <c r="G5" s="44" t="s">
        <v>1604</v>
      </c>
      <c r="H5" s="19"/>
      <c r="I5" s="6"/>
      <c r="J5" s="5"/>
      <c r="K5" s="5"/>
      <c r="L5" s="5"/>
      <c r="M5" s="5"/>
      <c r="N5" s="5"/>
      <c r="O5" s="5"/>
      <c r="P5" s="5"/>
      <c r="Q5" s="5"/>
      <c r="R5" s="5"/>
      <c r="S5" s="122"/>
      <c r="AG5" s="57"/>
      <c r="AN5" s="959"/>
    </row>
    <row r="6" spans="1:42" ht="20.100000000000001" customHeight="1">
      <c r="A6" s="17"/>
      <c r="B6" s="4"/>
      <c r="C6" s="6"/>
      <c r="D6" s="4"/>
      <c r="E6" s="4"/>
      <c r="F6" s="4"/>
      <c r="G6" s="4"/>
      <c r="H6" s="18"/>
      <c r="I6" s="4"/>
      <c r="J6" s="5"/>
      <c r="K6" s="5"/>
      <c r="L6" s="5"/>
      <c r="M6" s="5"/>
      <c r="N6" s="5"/>
      <c r="O6" s="5"/>
      <c r="P6" s="5"/>
      <c r="Q6" s="5"/>
      <c r="R6" s="5"/>
      <c r="S6" s="122"/>
      <c r="AG6" s="57"/>
      <c r="AN6" s="959"/>
    </row>
    <row r="7" spans="1:42" ht="55.5" customHeight="1">
      <c r="A7" s="17"/>
      <c r="B7" s="970" t="s">
        <v>109</v>
      </c>
      <c r="C7" s="970" t="s">
        <v>110</v>
      </c>
      <c r="D7" s="970"/>
      <c r="E7" s="970"/>
      <c r="F7" s="954" t="s">
        <v>111</v>
      </c>
      <c r="G7" s="970" t="s">
        <v>112</v>
      </c>
      <c r="H7" s="971" t="s">
        <v>113</v>
      </c>
      <c r="I7" s="974" t="s">
        <v>114</v>
      </c>
      <c r="J7" s="972" t="s">
        <v>115</v>
      </c>
      <c r="K7" s="970" t="s">
        <v>116</v>
      </c>
      <c r="L7" s="970" t="s">
        <v>117</v>
      </c>
      <c r="M7" s="970"/>
      <c r="N7" s="970" t="s">
        <v>118</v>
      </c>
      <c r="O7" s="970" t="s">
        <v>119</v>
      </c>
      <c r="P7" s="970"/>
      <c r="Q7" s="956" t="s">
        <v>120</v>
      </c>
      <c r="R7" s="957"/>
      <c r="S7" s="960"/>
      <c r="AG7" s="57"/>
    </row>
    <row r="8" spans="1:42" ht="75.75" customHeight="1">
      <c r="A8" s="17"/>
      <c r="B8" s="970"/>
      <c r="C8" s="187" t="s">
        <v>121</v>
      </c>
      <c r="D8" s="187" t="s">
        <v>122</v>
      </c>
      <c r="E8" s="187" t="s">
        <v>123</v>
      </c>
      <c r="F8" s="955"/>
      <c r="G8" s="970"/>
      <c r="H8" s="971"/>
      <c r="I8" s="975"/>
      <c r="J8" s="973"/>
      <c r="K8" s="954"/>
      <c r="L8" s="194" t="s">
        <v>124</v>
      </c>
      <c r="M8" s="194" t="s">
        <v>125</v>
      </c>
      <c r="N8" s="954"/>
      <c r="O8" s="194" t="s">
        <v>126</v>
      </c>
      <c r="P8" s="194" t="s">
        <v>127</v>
      </c>
      <c r="Q8" s="194" t="s">
        <v>128</v>
      </c>
      <c r="R8" s="194" t="s">
        <v>126</v>
      </c>
      <c r="S8" s="185" t="s">
        <v>127</v>
      </c>
      <c r="AG8" s="57"/>
    </row>
    <row r="9" spans="1:42">
      <c r="A9" s="17"/>
      <c r="B9" s="188" t="s">
        <v>129</v>
      </c>
      <c r="C9" s="188">
        <v>370</v>
      </c>
      <c r="D9" s="188">
        <v>290</v>
      </c>
      <c r="E9" s="188">
        <v>224</v>
      </c>
      <c r="F9" s="188">
        <v>0.21</v>
      </c>
      <c r="G9" s="188">
        <v>8.7499999999999994E-2</v>
      </c>
      <c r="H9" s="248">
        <v>26</v>
      </c>
      <c r="I9" s="984" t="s">
        <v>130</v>
      </c>
      <c r="J9" s="189" t="s">
        <v>131</v>
      </c>
      <c r="K9" s="249">
        <v>0.89</v>
      </c>
      <c r="L9" s="250">
        <v>0.81</v>
      </c>
      <c r="M9" s="190">
        <v>0.66</v>
      </c>
      <c r="N9" s="190" t="s">
        <v>132</v>
      </c>
      <c r="O9" s="190" t="s">
        <v>132</v>
      </c>
      <c r="P9" s="190" t="s">
        <v>132</v>
      </c>
      <c r="Q9" s="191"/>
      <c r="R9" s="191"/>
      <c r="S9" s="251"/>
      <c r="AJ9" s="959"/>
      <c r="AL9" s="959"/>
      <c r="AN9" s="959"/>
      <c r="AP9" s="959"/>
    </row>
    <row r="10" spans="1:42">
      <c r="A10" s="17"/>
      <c r="B10" s="188" t="s">
        <v>133</v>
      </c>
      <c r="C10" s="188">
        <v>445</v>
      </c>
      <c r="D10" s="188">
        <v>340</v>
      </c>
      <c r="E10" s="188">
        <v>283</v>
      </c>
      <c r="F10" s="188">
        <v>0.16</v>
      </c>
      <c r="G10" s="188">
        <v>8.6599999999999996E-2</v>
      </c>
      <c r="H10" s="248">
        <v>28</v>
      </c>
      <c r="I10" s="985"/>
      <c r="J10" s="252" t="s">
        <v>123</v>
      </c>
      <c r="K10" s="253" t="s">
        <v>132</v>
      </c>
      <c r="L10" s="254">
        <v>0.74</v>
      </c>
      <c r="M10" s="253">
        <v>0.71</v>
      </c>
      <c r="N10" s="253">
        <v>0.96</v>
      </c>
      <c r="O10" s="253">
        <v>0.98</v>
      </c>
      <c r="P10" s="253">
        <v>0.98</v>
      </c>
      <c r="Q10" s="192">
        <v>1.5</v>
      </c>
      <c r="R10" s="193">
        <v>1.0900000000000001</v>
      </c>
      <c r="S10" s="255">
        <v>1.05</v>
      </c>
      <c r="AJ10" s="959"/>
      <c r="AL10" s="959"/>
      <c r="AN10" s="959"/>
      <c r="AP10" s="959"/>
    </row>
    <row r="11" spans="1:42">
      <c r="A11" s="17"/>
      <c r="B11" s="188" t="s">
        <v>134</v>
      </c>
      <c r="C11" s="188">
        <v>514</v>
      </c>
      <c r="D11" s="188">
        <v>382</v>
      </c>
      <c r="E11" s="188">
        <v>317</v>
      </c>
      <c r="F11" s="188">
        <v>0.128</v>
      </c>
      <c r="G11" s="188">
        <v>8.5699999999999998E-2</v>
      </c>
      <c r="H11" s="248">
        <v>31</v>
      </c>
      <c r="I11" s="4"/>
      <c r="J11" s="256" t="s">
        <v>122</v>
      </c>
      <c r="K11" s="257" t="s">
        <v>132</v>
      </c>
      <c r="L11" s="257">
        <v>0.61</v>
      </c>
      <c r="M11" s="257">
        <v>0.54</v>
      </c>
      <c r="N11" s="257">
        <v>0.96</v>
      </c>
      <c r="O11" s="257">
        <v>0.98</v>
      </c>
      <c r="P11" s="257">
        <v>0.98</v>
      </c>
      <c r="Q11" s="258">
        <v>2.5</v>
      </c>
      <c r="R11" s="259">
        <v>1.0900000000000001</v>
      </c>
      <c r="S11" s="260">
        <v>1.05</v>
      </c>
      <c r="AJ11" s="1"/>
      <c r="AL11" s="2"/>
      <c r="AN11" s="1"/>
      <c r="AP11" s="1"/>
    </row>
    <row r="12" spans="1:42" ht="30">
      <c r="A12" s="17"/>
      <c r="B12" s="261" t="s">
        <v>135</v>
      </c>
      <c r="C12" s="261">
        <v>605</v>
      </c>
      <c r="D12" s="261">
        <v>437</v>
      </c>
      <c r="E12" s="261">
        <v>370</v>
      </c>
      <c r="F12" s="261">
        <v>0.1</v>
      </c>
      <c r="G12" s="261">
        <v>8.5500000000000007E-2</v>
      </c>
      <c r="H12" s="262">
        <v>34</v>
      </c>
      <c r="I12" s="4"/>
      <c r="J12" s="263" t="s">
        <v>136</v>
      </c>
      <c r="K12" s="264">
        <v>0.89</v>
      </c>
      <c r="L12" s="264">
        <v>0.81</v>
      </c>
      <c r="M12" s="264">
        <v>0.66</v>
      </c>
      <c r="N12" s="265" t="s">
        <v>132</v>
      </c>
      <c r="O12" s="265" t="s">
        <v>132</v>
      </c>
      <c r="P12" s="265" t="s">
        <v>132</v>
      </c>
      <c r="Q12" s="266">
        <v>4</v>
      </c>
      <c r="R12" s="267">
        <v>1.0900000000000001</v>
      </c>
      <c r="S12" s="268">
        <v>1.05</v>
      </c>
      <c r="AA12" s="269">
        <v>0.76</v>
      </c>
      <c r="AJ12" s="1"/>
      <c r="AL12" s="2"/>
      <c r="AN12" s="1"/>
      <c r="AP12" s="1"/>
    </row>
    <row r="13" spans="1:42">
      <c r="A13" s="17"/>
      <c r="B13" s="270" t="s">
        <v>137</v>
      </c>
      <c r="C13" s="270">
        <v>704</v>
      </c>
      <c r="D13" s="270">
        <v>500</v>
      </c>
      <c r="E13" s="270">
        <v>428</v>
      </c>
      <c r="F13" s="270">
        <v>7.7399999999999997E-2</v>
      </c>
      <c r="G13" s="270">
        <v>8.5099999999999995E-2</v>
      </c>
      <c r="H13" s="271">
        <v>38</v>
      </c>
      <c r="I13" s="4"/>
      <c r="Q13" s="266">
        <v>6</v>
      </c>
      <c r="R13" s="267">
        <v>1.0900000000000001</v>
      </c>
      <c r="S13" s="268">
        <v>1.05</v>
      </c>
      <c r="AJ13" s="1"/>
      <c r="AL13" s="1"/>
      <c r="AN13" s="1"/>
      <c r="AP13" s="1"/>
    </row>
    <row r="14" spans="1:42">
      <c r="A14" s="17"/>
      <c r="B14" s="270" t="s">
        <v>138</v>
      </c>
      <c r="C14" s="270">
        <v>822</v>
      </c>
      <c r="D14" s="270">
        <v>565</v>
      </c>
      <c r="E14" s="270">
        <v>464</v>
      </c>
      <c r="F14" s="270">
        <v>0.06</v>
      </c>
      <c r="G14" s="270">
        <v>8.43E-2</v>
      </c>
      <c r="H14" s="271">
        <v>42</v>
      </c>
      <c r="Q14" s="266">
        <v>10</v>
      </c>
      <c r="R14" s="267">
        <v>1.0900000000000001</v>
      </c>
      <c r="S14" s="268">
        <v>1.06</v>
      </c>
      <c r="AJ14" s="1"/>
      <c r="AL14" s="1"/>
      <c r="AN14" s="1"/>
      <c r="AP14" s="1"/>
    </row>
    <row r="15" spans="1:42" ht="19.5" customHeight="1">
      <c r="A15" s="17"/>
      <c r="B15" s="272"/>
      <c r="C15" s="272"/>
      <c r="D15" s="272"/>
      <c r="E15" s="272"/>
      <c r="F15" s="272"/>
      <c r="G15" s="272"/>
      <c r="H15" s="273"/>
      <c r="Q15" s="266">
        <v>16</v>
      </c>
      <c r="R15" s="267">
        <v>1.0900000000000001</v>
      </c>
      <c r="S15" s="268">
        <v>1.06</v>
      </c>
      <c r="AJ15" s="1"/>
      <c r="AL15" s="2"/>
      <c r="AN15" s="1"/>
      <c r="AP15" s="1"/>
    </row>
    <row r="16" spans="1:42" ht="19.5" customHeight="1">
      <c r="A16" s="17"/>
      <c r="B16" s="43" t="s">
        <v>139</v>
      </c>
      <c r="C16" s="44"/>
      <c r="D16" s="44"/>
      <c r="E16" s="44"/>
      <c r="F16" s="44"/>
      <c r="G16" s="44" t="s">
        <v>1604</v>
      </c>
      <c r="H16" s="273"/>
      <c r="Q16" s="266">
        <v>25</v>
      </c>
      <c r="R16" s="267">
        <v>1.0900000000000001</v>
      </c>
      <c r="S16" s="268">
        <v>1.08</v>
      </c>
      <c r="AJ16" s="1"/>
      <c r="AL16" s="2"/>
      <c r="AN16" s="1"/>
      <c r="AP16" s="1"/>
    </row>
    <row r="17" spans="1:42" ht="30.75" customHeight="1">
      <c r="A17" s="17"/>
      <c r="B17" s="977" t="s">
        <v>109</v>
      </c>
      <c r="C17" s="977" t="s">
        <v>110</v>
      </c>
      <c r="D17" s="977"/>
      <c r="E17" s="977"/>
      <c r="F17" s="976" t="s">
        <v>111</v>
      </c>
      <c r="G17" s="977" t="s">
        <v>112</v>
      </c>
      <c r="H17" s="989" t="s">
        <v>113</v>
      </c>
      <c r="K17" s="2"/>
      <c r="Q17" s="266">
        <v>35</v>
      </c>
      <c r="R17" s="267">
        <v>1.0900000000000001</v>
      </c>
      <c r="S17" s="268">
        <v>1.08</v>
      </c>
      <c r="AJ17" s="1"/>
      <c r="AL17" s="2"/>
      <c r="AN17" s="1"/>
      <c r="AP17" s="1"/>
    </row>
    <row r="18" spans="1:42" ht="30" customHeight="1">
      <c r="A18" s="17"/>
      <c r="B18" s="977"/>
      <c r="C18" s="274" t="s">
        <v>121</v>
      </c>
      <c r="D18" s="274" t="s">
        <v>122</v>
      </c>
      <c r="E18" s="274" t="s">
        <v>123</v>
      </c>
      <c r="F18" s="955"/>
      <c r="G18" s="977"/>
      <c r="H18" s="989"/>
      <c r="I18" s="4"/>
      <c r="K18" s="2"/>
      <c r="Q18" s="266">
        <v>50</v>
      </c>
      <c r="R18" s="267">
        <v>1.0900000000000001</v>
      </c>
      <c r="S18" s="268">
        <v>1.08</v>
      </c>
      <c r="AJ18" s="1"/>
      <c r="AL18" s="2"/>
      <c r="AN18" s="1"/>
      <c r="AP18" s="1"/>
    </row>
    <row r="19" spans="1:42">
      <c r="A19" s="17"/>
      <c r="B19" s="276" t="s">
        <v>140</v>
      </c>
      <c r="C19" s="276">
        <v>29</v>
      </c>
      <c r="D19" s="276">
        <v>33</v>
      </c>
      <c r="E19" s="276">
        <v>29</v>
      </c>
      <c r="F19" s="276">
        <v>15.5</v>
      </c>
      <c r="G19" s="276">
        <v>0.108</v>
      </c>
      <c r="H19" s="277">
        <v>12</v>
      </c>
      <c r="I19" s="7"/>
      <c r="K19" s="2"/>
      <c r="Q19" s="266">
        <v>70</v>
      </c>
      <c r="R19" s="278">
        <v>1.1000000000000001</v>
      </c>
      <c r="S19" s="268">
        <v>1.08</v>
      </c>
      <c r="AJ19" s="1"/>
      <c r="AL19" s="2"/>
      <c r="AN19" s="1"/>
      <c r="AP19" s="1"/>
    </row>
    <row r="20" spans="1:42">
      <c r="A20" s="17"/>
      <c r="B20" s="270" t="s">
        <v>141</v>
      </c>
      <c r="C20" s="270">
        <v>39</v>
      </c>
      <c r="D20" s="270">
        <v>43</v>
      </c>
      <c r="E20" s="270">
        <v>37</v>
      </c>
      <c r="F20" s="270">
        <v>9.48</v>
      </c>
      <c r="G20" s="270">
        <v>0.1007</v>
      </c>
      <c r="H20" s="279">
        <v>13</v>
      </c>
      <c r="I20" s="7"/>
      <c r="K20" s="2"/>
      <c r="Q20" s="266">
        <v>95</v>
      </c>
      <c r="R20" s="278">
        <v>1.1000000000000001</v>
      </c>
      <c r="S20" s="268">
        <v>1.08</v>
      </c>
      <c r="AJ20" s="1"/>
      <c r="AN20" s="1"/>
      <c r="AP20" s="1"/>
    </row>
    <row r="21" spans="1:42">
      <c r="A21" s="17"/>
      <c r="B21" s="270" t="s">
        <v>142</v>
      </c>
      <c r="C21" s="270">
        <v>48</v>
      </c>
      <c r="D21" s="270">
        <v>54</v>
      </c>
      <c r="E21" s="270">
        <v>46</v>
      </c>
      <c r="F21" s="270">
        <v>5.9</v>
      </c>
      <c r="G21" s="270">
        <v>9.4700000000000006E-2</v>
      </c>
      <c r="H21" s="279">
        <v>14</v>
      </c>
      <c r="I21" s="7"/>
      <c r="K21" s="2"/>
      <c r="O21" s="3"/>
      <c r="Q21" s="266">
        <v>120</v>
      </c>
      <c r="R21" s="278">
        <v>1.1000000000000001</v>
      </c>
      <c r="S21" s="268">
        <v>1.08</v>
      </c>
      <c r="AJ21" s="1"/>
      <c r="AN21" s="1"/>
      <c r="AP21" s="1"/>
    </row>
    <row r="22" spans="1:42">
      <c r="A22" s="17"/>
      <c r="B22" s="270" t="s">
        <v>143</v>
      </c>
      <c r="C22" s="270">
        <v>59</v>
      </c>
      <c r="D22" s="270">
        <v>66</v>
      </c>
      <c r="E22" s="270">
        <v>58</v>
      </c>
      <c r="F22" s="270">
        <v>3.94</v>
      </c>
      <c r="G22" s="270">
        <v>9.0200000000000002E-2</v>
      </c>
      <c r="H22" s="279">
        <v>15</v>
      </c>
      <c r="I22" s="7"/>
      <c r="O22" s="3"/>
      <c r="Q22" s="266">
        <v>150</v>
      </c>
      <c r="R22" s="278">
        <v>1.1000000000000001</v>
      </c>
      <c r="S22" s="268">
        <v>1.0900000000000001</v>
      </c>
      <c r="AJ22" s="1"/>
      <c r="AN22" s="1"/>
      <c r="AP22" s="1"/>
    </row>
    <row r="23" spans="1:42">
      <c r="A23" s="17"/>
      <c r="B23" s="270" t="s">
        <v>144</v>
      </c>
      <c r="C23" s="270">
        <v>62</v>
      </c>
      <c r="D23" s="270">
        <v>70</v>
      </c>
      <c r="E23" s="270">
        <v>57</v>
      </c>
      <c r="F23" s="270">
        <v>3.94</v>
      </c>
      <c r="G23" s="270">
        <v>8.5199999999999998E-2</v>
      </c>
      <c r="H23" s="279">
        <v>17</v>
      </c>
      <c r="I23" s="7"/>
      <c r="O23" s="3"/>
      <c r="Q23" s="266">
        <v>185</v>
      </c>
      <c r="R23" s="278">
        <v>1.1000000000000001</v>
      </c>
      <c r="S23" s="268">
        <v>1.0900000000000001</v>
      </c>
      <c r="AJ23" s="1"/>
      <c r="AN23" s="1"/>
      <c r="AP23" s="1"/>
    </row>
    <row r="24" spans="1:42">
      <c r="A24" s="17"/>
      <c r="B24" s="270" t="s">
        <v>145</v>
      </c>
      <c r="C24" s="270">
        <v>79</v>
      </c>
      <c r="D24" s="270">
        <v>90</v>
      </c>
      <c r="E24" s="270">
        <v>75</v>
      </c>
      <c r="F24" s="270">
        <v>2.44</v>
      </c>
      <c r="G24" s="270">
        <v>8.1500000000000003E-2</v>
      </c>
      <c r="H24" s="279">
        <v>18</v>
      </c>
      <c r="I24" s="7"/>
      <c r="Q24" s="266">
        <v>240</v>
      </c>
      <c r="R24" s="278">
        <v>1.1000000000000001</v>
      </c>
      <c r="S24" s="268">
        <v>1.0900000000000001</v>
      </c>
      <c r="AJ24" s="1"/>
      <c r="AN24" s="1"/>
      <c r="AP24" s="1"/>
    </row>
    <row r="25" spans="1:42">
      <c r="A25" s="17"/>
      <c r="B25" s="270" t="s">
        <v>146</v>
      </c>
      <c r="C25" s="270">
        <v>108</v>
      </c>
      <c r="D25" s="270">
        <v>117</v>
      </c>
      <c r="E25" s="270">
        <v>99</v>
      </c>
      <c r="F25" s="270">
        <v>1.54</v>
      </c>
      <c r="G25" s="270">
        <v>8.1600000000000006E-2</v>
      </c>
      <c r="H25" s="279">
        <v>20</v>
      </c>
      <c r="I25" s="7"/>
      <c r="Q25" s="266">
        <v>300</v>
      </c>
      <c r="R25" s="278">
        <v>1.1000000000000001</v>
      </c>
      <c r="S25" s="268">
        <v>1.0900000000000001</v>
      </c>
      <c r="AJ25" s="1"/>
      <c r="AN25" s="1"/>
      <c r="AP25" s="1"/>
    </row>
    <row r="26" spans="1:42">
      <c r="A26" s="17"/>
      <c r="B26" s="270" t="s">
        <v>147</v>
      </c>
      <c r="C26" s="270">
        <v>143</v>
      </c>
      <c r="D26" s="270">
        <v>140</v>
      </c>
      <c r="E26" s="270">
        <v>117</v>
      </c>
      <c r="F26" s="270">
        <v>1.1100000000000001</v>
      </c>
      <c r="G26" s="270">
        <v>7.9399999999999998E-2</v>
      </c>
      <c r="H26" s="279">
        <v>21</v>
      </c>
      <c r="I26" s="7"/>
      <c r="Q26" s="266">
        <v>400</v>
      </c>
      <c r="R26" s="267">
        <v>1.1100000000000001</v>
      </c>
      <c r="S26" s="280">
        <v>1.1000000000000001</v>
      </c>
      <c r="AJ26" s="1"/>
      <c r="AN26" s="1"/>
      <c r="AP26" s="1"/>
    </row>
    <row r="27" spans="1:42">
      <c r="A27" s="17"/>
      <c r="B27" s="270" t="s">
        <v>148</v>
      </c>
      <c r="C27" s="270">
        <v>173</v>
      </c>
      <c r="D27" s="270">
        <v>168</v>
      </c>
      <c r="E27" s="270">
        <v>143</v>
      </c>
      <c r="F27" s="270">
        <v>0.82</v>
      </c>
      <c r="G27" s="270">
        <v>7.9200000000000007E-2</v>
      </c>
      <c r="H27" s="279">
        <v>24</v>
      </c>
      <c r="I27" s="7"/>
      <c r="Q27" s="266">
        <v>500</v>
      </c>
      <c r="R27" s="267">
        <v>1.1100000000000001</v>
      </c>
      <c r="S27" s="280">
        <v>1.1000000000000001</v>
      </c>
      <c r="AJ27" s="1"/>
      <c r="AN27" s="1"/>
      <c r="AP27" s="1"/>
    </row>
    <row r="28" spans="1:42">
      <c r="A28" s="17"/>
      <c r="B28" s="270" t="s">
        <v>149</v>
      </c>
      <c r="C28" s="270">
        <v>212</v>
      </c>
      <c r="D28" s="270">
        <v>202</v>
      </c>
      <c r="E28" s="270">
        <v>177</v>
      </c>
      <c r="F28" s="270">
        <v>0.56699999999999995</v>
      </c>
      <c r="G28" s="270">
        <v>7.5200000000000003E-2</v>
      </c>
      <c r="H28" s="279">
        <v>27</v>
      </c>
      <c r="I28" s="7"/>
      <c r="Q28" s="266">
        <v>630</v>
      </c>
      <c r="R28" s="267">
        <v>1.1100000000000001</v>
      </c>
      <c r="S28" s="280">
        <v>1.1000000000000001</v>
      </c>
      <c r="AJ28" s="1"/>
      <c r="AN28" s="1"/>
      <c r="AP28" s="1"/>
    </row>
    <row r="29" spans="1:42">
      <c r="A29" s="17"/>
      <c r="B29" s="270" t="s">
        <v>150</v>
      </c>
      <c r="C29" s="270">
        <v>257</v>
      </c>
      <c r="D29" s="270">
        <v>243</v>
      </c>
      <c r="E29" s="270">
        <v>217</v>
      </c>
      <c r="F29" s="270">
        <v>0.41</v>
      </c>
      <c r="G29" s="270">
        <v>7.3400000000000007E-2</v>
      </c>
      <c r="H29" s="279">
        <v>30</v>
      </c>
      <c r="I29" s="7"/>
      <c r="S29" s="123"/>
      <c r="AJ29" s="1"/>
      <c r="AN29" s="1"/>
      <c r="AP29" s="1"/>
    </row>
    <row r="30" spans="1:42">
      <c r="A30" s="17"/>
      <c r="B30" s="270" t="s">
        <v>151</v>
      </c>
      <c r="C30" s="270">
        <v>295</v>
      </c>
      <c r="D30" s="270">
        <v>273</v>
      </c>
      <c r="E30" s="270">
        <v>247</v>
      </c>
      <c r="F30" s="270">
        <v>0.32400000000000001</v>
      </c>
      <c r="G30" s="270">
        <v>7.2599999999999998E-2</v>
      </c>
      <c r="H30" s="279">
        <v>32</v>
      </c>
      <c r="I30" s="7"/>
      <c r="S30" s="123"/>
      <c r="AJ30" s="1"/>
      <c r="AN30" s="1"/>
      <c r="AP30" s="1"/>
    </row>
    <row r="31" spans="1:42">
      <c r="A31" s="17"/>
      <c r="B31" s="270" t="s">
        <v>152</v>
      </c>
      <c r="C31" s="270">
        <v>342</v>
      </c>
      <c r="D31" s="270">
        <v>310</v>
      </c>
      <c r="E31" s="270">
        <v>305</v>
      </c>
      <c r="F31" s="270">
        <v>0.26400000000000001</v>
      </c>
      <c r="G31" s="270">
        <v>7.3200000000000001E-2</v>
      </c>
      <c r="H31" s="279">
        <v>35</v>
      </c>
      <c r="I31" s="7"/>
      <c r="S31" s="123"/>
      <c r="AJ31" s="1"/>
      <c r="AN31" s="1"/>
      <c r="AP31" s="1"/>
    </row>
    <row r="32" spans="1:42">
      <c r="A32" s="17"/>
      <c r="B32" s="270" t="s">
        <v>153</v>
      </c>
      <c r="C32" s="270">
        <v>395</v>
      </c>
      <c r="D32" s="270">
        <v>350</v>
      </c>
      <c r="E32" s="270">
        <v>345</v>
      </c>
      <c r="F32" s="270">
        <v>0.21</v>
      </c>
      <c r="G32" s="270">
        <v>7.2700000000000001E-2</v>
      </c>
      <c r="H32" s="279">
        <v>39</v>
      </c>
      <c r="I32" s="7"/>
      <c r="S32" s="123"/>
      <c r="AJ32" s="1"/>
      <c r="AN32" s="1"/>
      <c r="AP32" s="1"/>
    </row>
    <row r="33" spans="1:42">
      <c r="A33" s="17"/>
      <c r="B33" s="270" t="s">
        <v>154</v>
      </c>
      <c r="C33" s="270">
        <v>465</v>
      </c>
      <c r="D33" s="270">
        <v>401</v>
      </c>
      <c r="E33" s="270">
        <v>393</v>
      </c>
      <c r="F33" s="270">
        <v>0.16</v>
      </c>
      <c r="G33" s="270">
        <v>7.1900000000000006E-2</v>
      </c>
      <c r="H33" s="279">
        <v>44</v>
      </c>
      <c r="I33" s="7"/>
      <c r="S33" s="123"/>
      <c r="AN33" s="1"/>
      <c r="AP33" s="1"/>
    </row>
    <row r="34" spans="1:42">
      <c r="A34" s="17"/>
      <c r="B34" s="270" t="s">
        <v>155</v>
      </c>
      <c r="C34" s="270">
        <v>532</v>
      </c>
      <c r="D34" s="270">
        <v>458</v>
      </c>
      <c r="E34" s="270">
        <v>453</v>
      </c>
      <c r="F34" s="270">
        <v>0.128</v>
      </c>
      <c r="G34" s="270">
        <v>7.1099999999999997E-2</v>
      </c>
      <c r="H34" s="279">
        <v>48</v>
      </c>
      <c r="I34" s="7"/>
      <c r="S34" s="123"/>
      <c r="AN34" s="1"/>
      <c r="AP34" s="1"/>
    </row>
    <row r="35" spans="1:42">
      <c r="A35" s="17"/>
      <c r="B35" s="270" t="s">
        <v>156</v>
      </c>
      <c r="C35" s="270">
        <v>622</v>
      </c>
      <c r="D35" s="270">
        <v>505</v>
      </c>
      <c r="E35" s="270">
        <v>553</v>
      </c>
      <c r="F35" s="270">
        <v>0.1</v>
      </c>
      <c r="G35" s="270">
        <v>7.0499999999999993E-2</v>
      </c>
      <c r="H35" s="279">
        <v>54</v>
      </c>
      <c r="I35" s="7"/>
      <c r="S35" s="123"/>
      <c r="AJ35" s="1"/>
      <c r="AN35" s="1"/>
      <c r="AP35" s="1"/>
    </row>
    <row r="36" spans="1:42" ht="19.5" customHeight="1">
      <c r="A36" s="17"/>
      <c r="B36" s="7"/>
      <c r="C36" s="5"/>
      <c r="D36" s="5"/>
      <c r="E36" s="5"/>
      <c r="F36" s="5"/>
      <c r="G36" s="4"/>
      <c r="H36" s="20"/>
      <c r="I36" s="7"/>
      <c r="S36" s="123"/>
      <c r="AN36" s="1"/>
    </row>
    <row r="37" spans="1:42" ht="19.5" customHeight="1">
      <c r="A37" s="17"/>
      <c r="B37" s="281" t="s">
        <v>157</v>
      </c>
      <c r="C37" s="282"/>
      <c r="D37" s="282"/>
      <c r="E37" s="282"/>
      <c r="F37" s="282"/>
      <c r="G37" s="282" t="s">
        <v>1604</v>
      </c>
      <c r="H37" s="283"/>
      <c r="I37" s="1"/>
      <c r="S37" s="123"/>
      <c r="AN37" s="1"/>
    </row>
    <row r="38" spans="1:42" ht="32.25" customHeight="1">
      <c r="A38" s="17"/>
      <c r="B38" s="977" t="s">
        <v>109</v>
      </c>
      <c r="C38" s="977" t="s">
        <v>110</v>
      </c>
      <c r="D38" s="977"/>
      <c r="E38" s="977"/>
      <c r="F38" s="976" t="s">
        <v>111</v>
      </c>
      <c r="G38" s="977" t="s">
        <v>112</v>
      </c>
      <c r="H38" s="989" t="s">
        <v>113</v>
      </c>
      <c r="I38" s="1"/>
      <c r="S38" s="123"/>
      <c r="AN38" s="1"/>
    </row>
    <row r="39" spans="1:42" ht="32.25" customHeight="1">
      <c r="A39" s="17"/>
      <c r="B39" s="977"/>
      <c r="C39" s="274" t="s">
        <v>121</v>
      </c>
      <c r="D39" s="274" t="s">
        <v>122</v>
      </c>
      <c r="E39" s="274" t="s">
        <v>123</v>
      </c>
      <c r="F39" s="955"/>
      <c r="G39" s="977"/>
      <c r="H39" s="989"/>
      <c r="I39" s="1"/>
      <c r="S39" s="123"/>
    </row>
    <row r="40" spans="1:42" ht="19.5" customHeight="1">
      <c r="A40" s="17"/>
      <c r="B40" s="276" t="s">
        <v>158</v>
      </c>
      <c r="C40" s="276">
        <v>22</v>
      </c>
      <c r="D40" s="276">
        <v>25</v>
      </c>
      <c r="E40" s="276">
        <v>22</v>
      </c>
      <c r="F40" s="276">
        <v>15.5</v>
      </c>
      <c r="G40" s="276">
        <v>0.108</v>
      </c>
      <c r="H40" s="277">
        <v>13</v>
      </c>
      <c r="I40" s="1"/>
      <c r="S40" s="123"/>
      <c r="AA40" s="2">
        <v>13.2</v>
      </c>
    </row>
    <row r="41" spans="1:42">
      <c r="A41" s="17"/>
      <c r="B41" s="270" t="s">
        <v>159</v>
      </c>
      <c r="C41" s="270">
        <v>28</v>
      </c>
      <c r="D41" s="270">
        <v>34</v>
      </c>
      <c r="E41" s="270">
        <v>28</v>
      </c>
      <c r="F41" s="270">
        <v>9.48</v>
      </c>
      <c r="G41" s="270">
        <v>0.1007</v>
      </c>
      <c r="H41" s="279">
        <v>14</v>
      </c>
      <c r="I41" s="1"/>
      <c r="K41" s="2"/>
      <c r="L41" s="2"/>
      <c r="M41" s="2"/>
      <c r="N41" s="2"/>
      <c r="S41" s="21"/>
      <c r="T41" s="2"/>
      <c r="AA41" s="2">
        <v>16.8</v>
      </c>
    </row>
    <row r="42" spans="1:42">
      <c r="A42" s="17"/>
      <c r="B42" s="270" t="s">
        <v>160</v>
      </c>
      <c r="C42" s="270">
        <v>38</v>
      </c>
      <c r="D42" s="270">
        <v>44</v>
      </c>
      <c r="E42" s="270">
        <v>37</v>
      </c>
      <c r="F42" s="270">
        <v>5.9</v>
      </c>
      <c r="G42" s="270">
        <v>9.4700000000000006E-2</v>
      </c>
      <c r="H42" s="279">
        <v>15</v>
      </c>
      <c r="I42" s="1"/>
      <c r="K42" s="2"/>
      <c r="L42" s="2"/>
      <c r="M42" s="2"/>
      <c r="N42" s="2"/>
      <c r="S42" s="21"/>
      <c r="T42" s="2"/>
      <c r="AA42" s="2">
        <v>22.8</v>
      </c>
    </row>
    <row r="43" spans="1:42">
      <c r="A43" s="17"/>
      <c r="B43" s="270" t="s">
        <v>161</v>
      </c>
      <c r="C43" s="270">
        <v>51</v>
      </c>
      <c r="D43" s="270">
        <v>55</v>
      </c>
      <c r="E43" s="270">
        <v>46</v>
      </c>
      <c r="F43" s="270">
        <v>3.94</v>
      </c>
      <c r="G43" s="270">
        <v>9.0200000000000002E-2</v>
      </c>
      <c r="H43" s="279">
        <v>16</v>
      </c>
      <c r="I43" s="1"/>
      <c r="K43" s="2"/>
      <c r="L43" s="2"/>
      <c r="M43" s="2"/>
      <c r="N43" s="2"/>
      <c r="S43" s="21"/>
      <c r="T43" s="2"/>
      <c r="V43" s="5"/>
      <c r="W43" s="5"/>
      <c r="X43" s="5"/>
      <c r="Y43" s="5"/>
      <c r="Z43" s="5"/>
      <c r="AA43" s="2">
        <v>30.599999999999998</v>
      </c>
      <c r="AB43" s="5"/>
      <c r="AC43" s="5"/>
      <c r="AD43" s="5"/>
    </row>
    <row r="44" spans="1:42">
      <c r="A44" s="17"/>
      <c r="B44" s="270" t="s">
        <v>162</v>
      </c>
      <c r="C44" s="270">
        <v>60</v>
      </c>
      <c r="D44" s="270">
        <v>57</v>
      </c>
      <c r="E44" s="270">
        <v>48</v>
      </c>
      <c r="F44" s="270">
        <v>3.94</v>
      </c>
      <c r="G44" s="270">
        <v>8.5199999999999998E-2</v>
      </c>
      <c r="H44" s="279">
        <v>19</v>
      </c>
      <c r="K44" s="2"/>
      <c r="L44" s="2"/>
      <c r="M44" s="2"/>
      <c r="N44" s="2"/>
      <c r="S44" s="21"/>
      <c r="T44" s="2"/>
      <c r="V44" s="5"/>
      <c r="W44" s="5"/>
      <c r="X44" s="5"/>
      <c r="Y44" s="5"/>
      <c r="Z44" s="5"/>
      <c r="AA44" s="2">
        <v>36</v>
      </c>
      <c r="AB44" s="5"/>
      <c r="AC44" s="5"/>
      <c r="AD44" s="5"/>
    </row>
    <row r="45" spans="1:42">
      <c r="A45" s="17"/>
      <c r="B45" s="270" t="s">
        <v>163</v>
      </c>
      <c r="C45" s="270">
        <v>70</v>
      </c>
      <c r="D45" s="270">
        <v>73</v>
      </c>
      <c r="E45" s="270">
        <v>61</v>
      </c>
      <c r="F45" s="270">
        <v>2.44</v>
      </c>
      <c r="G45" s="270">
        <v>8.1500000000000003E-2</v>
      </c>
      <c r="H45" s="279">
        <v>19</v>
      </c>
      <c r="K45" s="2"/>
      <c r="L45" s="2"/>
      <c r="M45" s="2"/>
      <c r="N45" s="2"/>
      <c r="S45" s="21"/>
      <c r="T45" s="2"/>
      <c r="V45" s="5"/>
      <c r="W45" s="5"/>
      <c r="X45" s="5"/>
      <c r="Y45" s="5"/>
      <c r="Z45" s="5"/>
      <c r="AA45" s="2">
        <v>42</v>
      </c>
      <c r="AB45" s="5"/>
      <c r="AC45" s="5"/>
      <c r="AD45" s="5"/>
    </row>
    <row r="46" spans="1:42">
      <c r="A46" s="17"/>
      <c r="B46" s="270" t="s">
        <v>164</v>
      </c>
      <c r="C46" s="270">
        <v>95</v>
      </c>
      <c r="D46" s="270">
        <v>96</v>
      </c>
      <c r="E46" s="270">
        <v>80</v>
      </c>
      <c r="F46" s="270">
        <v>1.54</v>
      </c>
      <c r="G46" s="270">
        <v>8.1600000000000006E-2</v>
      </c>
      <c r="H46" s="279">
        <v>21</v>
      </c>
      <c r="O46" s="3"/>
      <c r="P46" s="3"/>
      <c r="Q46" s="3"/>
      <c r="R46" s="3"/>
      <c r="S46" s="123"/>
      <c r="T46" s="5"/>
      <c r="U46" s="5"/>
      <c r="V46" s="5"/>
      <c r="W46" s="5"/>
      <c r="X46" s="5"/>
      <c r="Y46" s="5"/>
      <c r="Z46" s="5"/>
      <c r="AA46" s="2">
        <v>57</v>
      </c>
      <c r="AB46" s="5"/>
      <c r="AC46" s="5"/>
      <c r="AD46" s="5"/>
    </row>
    <row r="47" spans="1:42">
      <c r="A47" s="17"/>
      <c r="B47" s="270" t="s">
        <v>165</v>
      </c>
      <c r="C47" s="270">
        <v>117</v>
      </c>
      <c r="D47" s="270">
        <v>115</v>
      </c>
      <c r="E47" s="270">
        <v>96</v>
      </c>
      <c r="F47" s="270">
        <v>1.1100000000000001</v>
      </c>
      <c r="G47" s="270">
        <v>7.9399999999999998E-2</v>
      </c>
      <c r="H47" s="279">
        <v>23</v>
      </c>
      <c r="S47" s="123"/>
      <c r="T47" s="5"/>
      <c r="U47" s="5"/>
      <c r="V47" s="5"/>
      <c r="W47" s="5"/>
      <c r="X47" s="5"/>
      <c r="Y47" s="5"/>
      <c r="Z47" s="5"/>
      <c r="AA47" s="2">
        <v>70.2</v>
      </c>
      <c r="AB47" s="5"/>
      <c r="AC47" s="5"/>
      <c r="AD47" s="5"/>
    </row>
    <row r="48" spans="1:42">
      <c r="A48" s="17"/>
      <c r="B48" s="270" t="s">
        <v>166</v>
      </c>
      <c r="C48" s="270">
        <v>141</v>
      </c>
      <c r="D48" s="270">
        <v>134</v>
      </c>
      <c r="E48" s="270">
        <v>116</v>
      </c>
      <c r="F48" s="270">
        <v>0.82</v>
      </c>
      <c r="G48" s="270">
        <v>7.9200000000000007E-2</v>
      </c>
      <c r="H48" s="279">
        <v>26</v>
      </c>
      <c r="O48" s="3"/>
      <c r="S48" s="123"/>
      <c r="T48" s="5"/>
      <c r="U48" s="5"/>
      <c r="V48" s="5"/>
      <c r="W48" s="5"/>
      <c r="X48" s="5"/>
      <c r="Y48" s="5"/>
      <c r="Z48" s="5"/>
      <c r="AA48" s="2">
        <v>84.6</v>
      </c>
      <c r="AB48" s="5"/>
      <c r="AC48" s="5"/>
      <c r="AD48" s="5"/>
    </row>
    <row r="49" spans="1:34">
      <c r="A49" s="17"/>
      <c r="B49" s="270" t="s">
        <v>167</v>
      </c>
      <c r="C49" s="270">
        <v>177</v>
      </c>
      <c r="D49" s="270">
        <v>165</v>
      </c>
      <c r="E49" s="270">
        <v>141</v>
      </c>
      <c r="F49" s="270">
        <v>0.56699999999999995</v>
      </c>
      <c r="G49" s="270">
        <v>7.5200000000000003E-2</v>
      </c>
      <c r="H49" s="279">
        <v>30</v>
      </c>
      <c r="P49" s="1"/>
      <c r="Q49" s="1"/>
      <c r="R49" s="4"/>
      <c r="S49" s="123"/>
      <c r="AA49" s="2">
        <v>106.2</v>
      </c>
    </row>
    <row r="50" spans="1:34">
      <c r="A50" s="17"/>
      <c r="B50" s="270" t="s">
        <v>168</v>
      </c>
      <c r="C50" s="270">
        <v>221</v>
      </c>
      <c r="D50" s="270">
        <v>198</v>
      </c>
      <c r="E50" s="270">
        <v>168</v>
      </c>
      <c r="F50" s="270">
        <v>0.41</v>
      </c>
      <c r="G50" s="270">
        <v>7.3400000000000007E-2</v>
      </c>
      <c r="H50" s="279">
        <v>33</v>
      </c>
      <c r="P50" s="1"/>
      <c r="Q50" s="1"/>
      <c r="R50" s="4"/>
      <c r="S50" s="123"/>
      <c r="AA50" s="2">
        <v>132.6</v>
      </c>
    </row>
    <row r="51" spans="1:34">
      <c r="A51" s="17"/>
      <c r="B51" s="270" t="s">
        <v>169</v>
      </c>
      <c r="C51" s="270">
        <v>257</v>
      </c>
      <c r="D51" s="270">
        <v>225</v>
      </c>
      <c r="E51" s="270">
        <v>189</v>
      </c>
      <c r="F51" s="270">
        <v>0.32400000000000001</v>
      </c>
      <c r="G51" s="270">
        <v>7.2599999999999998E-2</v>
      </c>
      <c r="H51" s="279">
        <v>35</v>
      </c>
      <c r="P51" s="1"/>
      <c r="Q51" s="1"/>
      <c r="R51" s="4"/>
      <c r="S51" s="123"/>
      <c r="AA51" s="2">
        <v>154.19999999999999</v>
      </c>
    </row>
    <row r="52" spans="1:34">
      <c r="A52" s="17"/>
      <c r="B52" s="270" t="s">
        <v>170</v>
      </c>
      <c r="C52" s="270">
        <v>293</v>
      </c>
      <c r="D52" s="270">
        <v>252</v>
      </c>
      <c r="E52" s="270">
        <v>210</v>
      </c>
      <c r="F52" s="270">
        <v>0.26400000000000001</v>
      </c>
      <c r="G52" s="270">
        <v>7.3200000000000001E-2</v>
      </c>
      <c r="H52" s="279">
        <v>39</v>
      </c>
      <c r="P52" s="1"/>
      <c r="Q52" s="1"/>
      <c r="R52" s="4"/>
      <c r="S52" s="123"/>
      <c r="AA52" s="2">
        <v>175.79999999999998</v>
      </c>
    </row>
    <row r="53" spans="1:34">
      <c r="A53" s="17"/>
      <c r="B53" s="270" t="s">
        <v>171</v>
      </c>
      <c r="C53" s="270">
        <v>338</v>
      </c>
      <c r="D53" s="270">
        <v>285</v>
      </c>
      <c r="E53" s="270">
        <v>243</v>
      </c>
      <c r="F53" s="270">
        <v>0.21</v>
      </c>
      <c r="G53" s="270">
        <v>7.2700000000000001E-2</v>
      </c>
      <c r="H53" s="279">
        <v>43</v>
      </c>
      <c r="P53" s="1"/>
      <c r="Q53" s="1"/>
      <c r="R53" s="4"/>
      <c r="S53" s="123"/>
      <c r="AA53" s="2">
        <v>202.79999999999998</v>
      </c>
    </row>
    <row r="54" spans="1:34">
      <c r="A54" s="17"/>
      <c r="B54" s="270" t="s">
        <v>172</v>
      </c>
      <c r="C54" s="270">
        <v>401</v>
      </c>
      <c r="D54" s="270">
        <v>330</v>
      </c>
      <c r="E54" s="270">
        <v>282</v>
      </c>
      <c r="F54" s="270">
        <v>0.16</v>
      </c>
      <c r="G54" s="270">
        <v>7.1900000000000006E-2</v>
      </c>
      <c r="H54" s="279">
        <v>48</v>
      </c>
      <c r="I54" s="4"/>
      <c r="P54" s="4"/>
      <c r="Q54" s="4"/>
      <c r="R54" s="4"/>
      <c r="S54" s="123"/>
      <c r="AA54" s="2">
        <v>240.6</v>
      </c>
    </row>
    <row r="55" spans="1:34">
      <c r="A55" s="17"/>
      <c r="B55" s="270" t="s">
        <v>173</v>
      </c>
      <c r="C55" s="270">
        <v>459</v>
      </c>
      <c r="D55" s="270">
        <v>371</v>
      </c>
      <c r="E55" s="270">
        <v>316</v>
      </c>
      <c r="F55" s="270">
        <v>0.128</v>
      </c>
      <c r="G55" s="270">
        <v>7.1099999999999997E-2</v>
      </c>
      <c r="H55" s="279">
        <v>53</v>
      </c>
      <c r="I55" s="4"/>
      <c r="P55" s="4"/>
      <c r="Q55" s="4"/>
      <c r="R55" s="4"/>
      <c r="S55" s="123"/>
      <c r="AA55" s="2">
        <v>275.39999999999998</v>
      </c>
    </row>
    <row r="56" spans="1:34">
      <c r="A56" s="17"/>
      <c r="B56" s="270" t="s">
        <v>174</v>
      </c>
      <c r="C56" s="270">
        <v>536</v>
      </c>
      <c r="D56" s="270">
        <v>423</v>
      </c>
      <c r="E56" s="270">
        <v>282</v>
      </c>
      <c r="F56" s="270">
        <v>0.1</v>
      </c>
      <c r="G56" s="270">
        <v>7.0499999999999993E-2</v>
      </c>
      <c r="H56" s="279">
        <v>59</v>
      </c>
      <c r="I56" s="4"/>
      <c r="S56" s="123"/>
      <c r="AA56" s="2">
        <v>321.59999999999997</v>
      </c>
    </row>
    <row r="57" spans="1:34" ht="19.5" customHeight="1">
      <c r="A57" s="17"/>
      <c r="B57" s="4"/>
      <c r="C57" s="6"/>
      <c r="D57" s="4"/>
      <c r="E57" s="4"/>
      <c r="F57" s="4"/>
      <c r="G57" s="4"/>
      <c r="H57" s="18"/>
      <c r="I57" s="4"/>
      <c r="S57" s="123"/>
    </row>
    <row r="58" spans="1:34" ht="19.5" customHeight="1">
      <c r="A58" s="17"/>
      <c r="B58" s="281" t="s">
        <v>175</v>
      </c>
      <c r="C58" s="282"/>
      <c r="D58" s="282"/>
      <c r="E58" s="282"/>
      <c r="F58" s="282"/>
      <c r="G58" s="282" t="s">
        <v>1604</v>
      </c>
      <c r="H58" s="284"/>
      <c r="I58" s="4"/>
      <c r="S58" s="123"/>
    </row>
    <row r="59" spans="1:34" ht="32.25" customHeight="1">
      <c r="A59" s="17"/>
      <c r="B59" s="977" t="s">
        <v>109</v>
      </c>
      <c r="C59" s="977" t="s">
        <v>110</v>
      </c>
      <c r="D59" s="977"/>
      <c r="E59" s="977"/>
      <c r="F59" s="976" t="s">
        <v>111</v>
      </c>
      <c r="G59" s="977" t="s">
        <v>112</v>
      </c>
      <c r="H59" s="989" t="s">
        <v>113</v>
      </c>
      <c r="I59" s="4"/>
      <c r="S59" s="123"/>
    </row>
    <row r="60" spans="1:34" ht="32.25" customHeight="1">
      <c r="A60" s="17"/>
      <c r="B60" s="977"/>
      <c r="C60" s="274" t="s">
        <v>121</v>
      </c>
      <c r="D60" s="274" t="s">
        <v>122</v>
      </c>
      <c r="E60" s="274" t="s">
        <v>123</v>
      </c>
      <c r="F60" s="955"/>
      <c r="G60" s="977"/>
      <c r="H60" s="989"/>
      <c r="I60" s="4"/>
      <c r="S60" s="123"/>
    </row>
    <row r="61" spans="1:34" ht="19.5" customHeight="1">
      <c r="A61" s="17"/>
      <c r="B61" s="266" t="s">
        <v>176</v>
      </c>
      <c r="C61" s="266">
        <v>22</v>
      </c>
      <c r="D61" s="266">
        <v>25</v>
      </c>
      <c r="E61" s="266">
        <v>22</v>
      </c>
      <c r="F61" s="266">
        <v>15.5</v>
      </c>
      <c r="G61" s="266">
        <v>0.108</v>
      </c>
      <c r="H61" s="277">
        <v>13</v>
      </c>
      <c r="I61" s="4"/>
      <c r="S61" s="123"/>
    </row>
    <row r="62" spans="1:34" ht="19.5" customHeight="1">
      <c r="A62" s="17"/>
      <c r="B62" s="285" t="s">
        <v>177</v>
      </c>
      <c r="C62" s="285">
        <v>28</v>
      </c>
      <c r="D62" s="285">
        <v>34</v>
      </c>
      <c r="E62" s="285">
        <v>28</v>
      </c>
      <c r="F62" s="285">
        <v>9.48</v>
      </c>
      <c r="G62" s="285">
        <v>0.1007</v>
      </c>
      <c r="H62" s="279">
        <v>15</v>
      </c>
      <c r="I62" s="4"/>
      <c r="S62" s="123"/>
    </row>
    <row r="63" spans="1:34" ht="19.5" customHeight="1">
      <c r="A63" s="17"/>
      <c r="B63" s="285" t="s">
        <v>178</v>
      </c>
      <c r="C63" s="285">
        <v>38</v>
      </c>
      <c r="D63" s="285">
        <v>44</v>
      </c>
      <c r="E63" s="285">
        <v>37</v>
      </c>
      <c r="F63" s="285">
        <v>5.9</v>
      </c>
      <c r="G63" s="285">
        <v>9.4700000000000006E-2</v>
      </c>
      <c r="H63" s="279">
        <v>16</v>
      </c>
      <c r="I63" s="4"/>
      <c r="S63" s="123"/>
    </row>
    <row r="64" spans="1:34" ht="19.5" customHeight="1">
      <c r="A64" s="17"/>
      <c r="B64" s="285" t="s">
        <v>179</v>
      </c>
      <c r="C64" s="285">
        <v>51</v>
      </c>
      <c r="D64" s="285">
        <v>55</v>
      </c>
      <c r="E64" s="285">
        <v>46</v>
      </c>
      <c r="F64" s="285">
        <v>3.94</v>
      </c>
      <c r="G64" s="285">
        <v>9.0200000000000002E-2</v>
      </c>
      <c r="H64" s="279">
        <v>18</v>
      </c>
      <c r="I64" s="4"/>
      <c r="S64" s="123"/>
      <c r="AH64" s="5"/>
    </row>
    <row r="65" spans="1:34" ht="19.5" customHeight="1">
      <c r="A65" s="17"/>
      <c r="B65" s="285" t="s">
        <v>180</v>
      </c>
      <c r="C65" s="285">
        <v>60</v>
      </c>
      <c r="D65" s="285">
        <v>57</v>
      </c>
      <c r="E65" s="285">
        <v>48</v>
      </c>
      <c r="F65" s="285">
        <v>3.94</v>
      </c>
      <c r="G65" s="285">
        <v>8.5199999999999998E-2</v>
      </c>
      <c r="H65" s="279">
        <v>20</v>
      </c>
      <c r="I65" s="4"/>
      <c r="S65" s="123"/>
      <c r="AH65" s="5"/>
    </row>
    <row r="66" spans="1:34" ht="19.5" customHeight="1">
      <c r="A66" s="17"/>
      <c r="B66" s="285" t="s">
        <v>181</v>
      </c>
      <c r="C66" s="285">
        <v>70</v>
      </c>
      <c r="D66" s="285">
        <v>73</v>
      </c>
      <c r="E66" s="285">
        <v>61</v>
      </c>
      <c r="F66" s="285">
        <v>2.44</v>
      </c>
      <c r="G66" s="285">
        <v>8.1500000000000003E-2</v>
      </c>
      <c r="H66" s="279">
        <v>21</v>
      </c>
      <c r="I66" s="4"/>
      <c r="S66" s="123"/>
      <c r="AH66" s="5"/>
    </row>
    <row r="67" spans="1:34" ht="19.5" customHeight="1">
      <c r="A67" s="17"/>
      <c r="B67" s="285" t="s">
        <v>182</v>
      </c>
      <c r="C67" s="285">
        <v>95</v>
      </c>
      <c r="D67" s="285">
        <v>96</v>
      </c>
      <c r="E67" s="285">
        <v>80</v>
      </c>
      <c r="F67" s="285">
        <v>1.54</v>
      </c>
      <c r="G67" s="285">
        <v>8.1600000000000006E-2</v>
      </c>
      <c r="H67" s="279">
        <v>25</v>
      </c>
      <c r="I67" s="4"/>
      <c r="J67" s="1"/>
      <c r="K67" s="1"/>
      <c r="L67" s="1"/>
      <c r="M67" s="1"/>
      <c r="N67" s="1"/>
      <c r="O67" s="1"/>
      <c r="R67" s="4"/>
      <c r="S67" s="123"/>
      <c r="AH67" s="5"/>
    </row>
    <row r="68" spans="1:34" ht="19.5" customHeight="1">
      <c r="A68" s="17"/>
      <c r="B68" s="285" t="s">
        <v>183</v>
      </c>
      <c r="C68" s="285">
        <v>117</v>
      </c>
      <c r="D68" s="285">
        <v>115</v>
      </c>
      <c r="E68" s="285">
        <v>96</v>
      </c>
      <c r="F68" s="285">
        <v>1.1100000000000001</v>
      </c>
      <c r="G68" s="285">
        <v>7.9399999999999998E-2</v>
      </c>
      <c r="H68" s="279">
        <v>27</v>
      </c>
      <c r="I68" s="4"/>
      <c r="J68" s="1"/>
      <c r="K68" s="1"/>
      <c r="L68" s="1"/>
      <c r="M68" s="1"/>
      <c r="N68" s="1"/>
      <c r="O68" s="1"/>
      <c r="R68" s="4"/>
      <c r="S68" s="123"/>
      <c r="AH68" s="5"/>
    </row>
    <row r="69" spans="1:34" ht="19.5" customHeight="1">
      <c r="A69" s="17"/>
      <c r="B69" s="285" t="s">
        <v>184</v>
      </c>
      <c r="C69" s="285">
        <v>141</v>
      </c>
      <c r="D69" s="285">
        <v>134</v>
      </c>
      <c r="E69" s="285">
        <v>116</v>
      </c>
      <c r="F69" s="285">
        <v>0.82</v>
      </c>
      <c r="G69" s="285">
        <v>7.9200000000000007E-2</v>
      </c>
      <c r="H69" s="279">
        <v>30</v>
      </c>
      <c r="I69" s="4"/>
      <c r="J69" s="1"/>
      <c r="K69" s="1"/>
      <c r="L69" s="1"/>
      <c r="M69" s="1"/>
      <c r="N69" s="1"/>
      <c r="O69" s="1"/>
      <c r="R69" s="4"/>
      <c r="S69" s="123"/>
      <c r="AH69" s="5"/>
    </row>
    <row r="70" spans="1:34" ht="19.5" customHeight="1">
      <c r="A70" s="17"/>
      <c r="B70" s="285" t="s">
        <v>185</v>
      </c>
      <c r="C70" s="285">
        <v>177</v>
      </c>
      <c r="D70" s="285">
        <v>165</v>
      </c>
      <c r="E70" s="285">
        <v>141</v>
      </c>
      <c r="F70" s="285">
        <v>0.56699999999999995</v>
      </c>
      <c r="G70" s="285">
        <v>7.5200000000000003E-2</v>
      </c>
      <c r="H70" s="279">
        <v>36</v>
      </c>
      <c r="I70" s="4"/>
      <c r="J70" s="1"/>
      <c r="K70" s="1"/>
      <c r="L70" s="1"/>
      <c r="M70" s="1"/>
      <c r="N70" s="1"/>
      <c r="O70" s="1"/>
      <c r="R70" s="4"/>
      <c r="S70" s="123"/>
      <c r="AH70" s="5"/>
    </row>
    <row r="71" spans="1:34" ht="19.5" customHeight="1">
      <c r="A71" s="17"/>
      <c r="B71" s="285" t="s">
        <v>186</v>
      </c>
      <c r="C71" s="285">
        <v>221</v>
      </c>
      <c r="D71" s="285">
        <v>198</v>
      </c>
      <c r="E71" s="285">
        <v>168</v>
      </c>
      <c r="F71" s="285">
        <v>0.41</v>
      </c>
      <c r="G71" s="285">
        <v>7.3400000000000007E-2</v>
      </c>
      <c r="H71" s="279">
        <v>39</v>
      </c>
      <c r="I71" s="4"/>
      <c r="J71" s="1"/>
      <c r="K71" s="1"/>
      <c r="L71" s="1"/>
      <c r="M71" s="1"/>
      <c r="N71" s="1"/>
      <c r="O71" s="1"/>
      <c r="R71" s="4"/>
      <c r="S71" s="123"/>
      <c r="AH71" s="5"/>
    </row>
    <row r="72" spans="1:34" ht="19.5" customHeight="1">
      <c r="A72" s="17"/>
      <c r="B72" s="285" t="s">
        <v>187</v>
      </c>
      <c r="C72" s="285">
        <v>257</v>
      </c>
      <c r="D72" s="285">
        <v>225</v>
      </c>
      <c r="E72" s="285">
        <v>189</v>
      </c>
      <c r="F72" s="285">
        <v>0.32400000000000001</v>
      </c>
      <c r="G72" s="285">
        <v>7.2599999999999998E-2</v>
      </c>
      <c r="H72" s="279">
        <v>43</v>
      </c>
      <c r="I72" s="4"/>
      <c r="J72" s="1"/>
      <c r="K72" s="1"/>
      <c r="L72" s="1"/>
      <c r="M72" s="1"/>
      <c r="N72" s="1"/>
      <c r="O72" s="1"/>
      <c r="R72" s="4"/>
      <c r="S72" s="123"/>
      <c r="AH72" s="5"/>
    </row>
    <row r="73" spans="1:34" ht="19.5" customHeight="1">
      <c r="A73" s="17"/>
      <c r="B73" s="285" t="s">
        <v>188</v>
      </c>
      <c r="C73" s="285">
        <v>293</v>
      </c>
      <c r="D73" s="285">
        <v>252</v>
      </c>
      <c r="E73" s="285">
        <v>210</v>
      </c>
      <c r="F73" s="285">
        <v>0.26400000000000001</v>
      </c>
      <c r="G73" s="285">
        <v>7.3200000000000001E-2</v>
      </c>
      <c r="H73" s="279">
        <v>48</v>
      </c>
      <c r="I73" s="4"/>
      <c r="J73" s="1"/>
      <c r="K73" s="1"/>
      <c r="L73" s="1"/>
      <c r="M73" s="1"/>
      <c r="N73" s="1"/>
      <c r="O73" s="1"/>
      <c r="R73" s="4"/>
      <c r="S73" s="123"/>
      <c r="AH73" s="5"/>
    </row>
    <row r="74" spans="1:34">
      <c r="A74" s="17"/>
      <c r="B74" s="285" t="s">
        <v>189</v>
      </c>
      <c r="C74" s="285">
        <v>338</v>
      </c>
      <c r="D74" s="285">
        <v>285</v>
      </c>
      <c r="E74" s="285">
        <v>243</v>
      </c>
      <c r="F74" s="285">
        <v>0.21</v>
      </c>
      <c r="G74" s="285">
        <v>7.2700000000000001E-2</v>
      </c>
      <c r="H74" s="279">
        <v>53</v>
      </c>
      <c r="I74" s="4"/>
      <c r="J74" s="47"/>
      <c r="K74" s="980"/>
      <c r="L74" s="980"/>
      <c r="M74" s="980"/>
      <c r="N74" s="980"/>
      <c r="O74" s="980"/>
      <c r="P74" s="980"/>
      <c r="Q74" s="48"/>
      <c r="R74" s="56"/>
      <c r="S74" s="132"/>
      <c r="T74" s="56"/>
      <c r="U74" s="56"/>
      <c r="AH74" s="5"/>
    </row>
    <row r="75" spans="1:34" ht="19.5" customHeight="1">
      <c r="A75" s="17"/>
      <c r="B75" s="285" t="s">
        <v>190</v>
      </c>
      <c r="C75" s="285">
        <v>401</v>
      </c>
      <c r="D75" s="285">
        <v>330</v>
      </c>
      <c r="E75" s="285">
        <v>282</v>
      </c>
      <c r="F75" s="285">
        <v>0.16</v>
      </c>
      <c r="G75" s="285">
        <v>7.1900000000000006E-2</v>
      </c>
      <c r="H75" s="279">
        <v>58</v>
      </c>
      <c r="I75" s="4"/>
      <c r="J75" s="47"/>
      <c r="K75" s="980"/>
      <c r="L75" s="48"/>
      <c r="M75" s="48"/>
      <c r="N75" s="980"/>
      <c r="O75" s="48"/>
      <c r="P75" s="48"/>
      <c r="Q75" s="48"/>
      <c r="R75" s="48"/>
      <c r="S75" s="133"/>
      <c r="T75" s="48"/>
      <c r="U75" s="48"/>
      <c r="AH75" s="5"/>
    </row>
    <row r="76" spans="1:34" ht="19.5" customHeight="1">
      <c r="A76" s="17"/>
      <c r="B76" s="285" t="s">
        <v>191</v>
      </c>
      <c r="C76" s="285">
        <v>459</v>
      </c>
      <c r="D76" s="285">
        <v>371</v>
      </c>
      <c r="E76" s="285">
        <v>316</v>
      </c>
      <c r="F76" s="285">
        <v>0.128</v>
      </c>
      <c r="G76" s="285">
        <v>7.1099999999999997E-2</v>
      </c>
      <c r="H76" s="279">
        <v>64</v>
      </c>
      <c r="I76" s="4"/>
      <c r="J76" s="47"/>
      <c r="K76" s="47"/>
      <c r="L76" s="49"/>
      <c r="M76" s="49"/>
      <c r="N76" s="47"/>
      <c r="O76" s="49"/>
      <c r="P76" s="49"/>
      <c r="Q76" s="49"/>
      <c r="R76" s="49"/>
      <c r="S76" s="134"/>
      <c r="T76" s="47"/>
      <c r="U76" s="47"/>
      <c r="AH76" s="5"/>
    </row>
    <row r="77" spans="1:34" ht="19.5" customHeight="1">
      <c r="A77" s="17"/>
      <c r="B77" s="285" t="s">
        <v>192</v>
      </c>
      <c r="C77" s="285">
        <v>536</v>
      </c>
      <c r="D77" s="285">
        <v>423</v>
      </c>
      <c r="E77" s="270">
        <v>282</v>
      </c>
      <c r="F77" s="285">
        <v>0.1</v>
      </c>
      <c r="G77" s="285">
        <v>7.0499999999999993E-2</v>
      </c>
      <c r="H77" s="279">
        <v>72</v>
      </c>
      <c r="I77" s="4"/>
      <c r="J77" s="47"/>
      <c r="K77" s="47"/>
      <c r="L77" s="49"/>
      <c r="M77" s="49"/>
      <c r="N77" s="49"/>
      <c r="O77" s="49"/>
      <c r="P77" s="49"/>
      <c r="Q77" s="49"/>
      <c r="R77" s="50"/>
      <c r="S77" s="135"/>
      <c r="T77" s="52"/>
      <c r="U77" s="51"/>
      <c r="AH77" s="5"/>
    </row>
    <row r="78" spans="1:34" ht="19.5" customHeight="1">
      <c r="A78" s="17"/>
      <c r="B78" s="4"/>
      <c r="C78" s="6"/>
      <c r="D78" s="4"/>
      <c r="E78" s="4"/>
      <c r="F78" s="4"/>
      <c r="G78" s="4"/>
      <c r="H78" s="18"/>
      <c r="I78" s="4"/>
      <c r="J78" s="47"/>
      <c r="K78" s="47"/>
      <c r="L78" s="53"/>
      <c r="M78" s="53"/>
      <c r="N78" s="49"/>
      <c r="O78" s="49"/>
      <c r="P78" s="49"/>
      <c r="Q78" s="49"/>
      <c r="R78" s="50"/>
      <c r="S78" s="135"/>
      <c r="T78" s="52"/>
      <c r="U78" s="51"/>
      <c r="V78" s="5"/>
      <c r="W78" s="5"/>
      <c r="X78" s="5"/>
      <c r="Y78" s="5"/>
      <c r="Z78" s="5"/>
      <c r="AA78" s="5"/>
      <c r="AB78" s="5"/>
      <c r="AC78" s="5"/>
      <c r="AD78" s="5"/>
      <c r="AE78" s="5"/>
      <c r="AF78" s="5"/>
      <c r="AG78" s="5"/>
      <c r="AH78" s="5"/>
    </row>
    <row r="79" spans="1:34" ht="19.5" customHeight="1">
      <c r="A79" s="17"/>
      <c r="B79" s="281" t="s">
        <v>193</v>
      </c>
      <c r="C79" s="286"/>
      <c r="D79" s="286"/>
      <c r="E79" s="286"/>
      <c r="F79" s="286"/>
      <c r="G79" s="282" t="s">
        <v>1604</v>
      </c>
      <c r="H79" s="287"/>
      <c r="I79" s="4"/>
      <c r="J79" s="54"/>
      <c r="K79" s="54"/>
      <c r="L79" s="54"/>
      <c r="M79" s="54"/>
      <c r="N79" s="54"/>
      <c r="O79" s="54"/>
      <c r="P79" s="54"/>
      <c r="Q79" s="54"/>
      <c r="R79" s="50"/>
      <c r="S79" s="135"/>
      <c r="T79" s="52"/>
      <c r="U79" s="51"/>
      <c r="V79" s="5"/>
      <c r="W79" s="5"/>
      <c r="X79" s="5"/>
      <c r="Y79" s="5"/>
      <c r="Z79" s="5"/>
      <c r="AA79" s="5"/>
      <c r="AB79" s="5"/>
      <c r="AC79" s="5"/>
      <c r="AD79" s="5"/>
      <c r="AE79" s="5"/>
      <c r="AF79" s="5"/>
      <c r="AG79" s="5"/>
      <c r="AH79" s="5"/>
    </row>
    <row r="80" spans="1:34" ht="36" customHeight="1">
      <c r="A80" s="17"/>
      <c r="B80" s="981" t="s">
        <v>194</v>
      </c>
      <c r="C80" s="981" t="s">
        <v>110</v>
      </c>
      <c r="D80" s="981"/>
      <c r="E80" s="981"/>
      <c r="F80" s="976" t="s">
        <v>111</v>
      </c>
      <c r="G80" s="981" t="s">
        <v>112</v>
      </c>
      <c r="H80" s="989" t="s">
        <v>113</v>
      </c>
      <c r="I80" s="4"/>
      <c r="J80" s="55"/>
      <c r="K80" s="48"/>
      <c r="L80" s="56"/>
      <c r="M80" s="56"/>
      <c r="N80" s="56"/>
      <c r="O80" s="56"/>
      <c r="P80" s="56"/>
      <c r="Q80" s="56"/>
      <c r="R80" s="50"/>
      <c r="S80" s="135"/>
      <c r="T80" s="52"/>
      <c r="U80" s="51"/>
      <c r="V80" s="5"/>
      <c r="W80" s="5"/>
      <c r="X80" s="5"/>
      <c r="Y80" s="5"/>
      <c r="Z80" s="5"/>
      <c r="AA80" s="5"/>
      <c r="AB80" s="5"/>
      <c r="AC80" s="5"/>
      <c r="AD80" s="5"/>
      <c r="AE80" s="5"/>
      <c r="AF80" s="5"/>
      <c r="AG80" s="5"/>
      <c r="AH80" s="5"/>
    </row>
    <row r="81" spans="1:34" ht="36" customHeight="1">
      <c r="A81" s="17"/>
      <c r="B81" s="981"/>
      <c r="C81" s="274" t="s">
        <v>121</v>
      </c>
      <c r="D81" s="274" t="s">
        <v>122</v>
      </c>
      <c r="E81" s="274" t="s">
        <v>123</v>
      </c>
      <c r="F81" s="955"/>
      <c r="G81" s="981"/>
      <c r="H81" s="989"/>
      <c r="I81" s="4"/>
      <c r="J81" s="55"/>
      <c r="K81" s="48"/>
      <c r="L81" s="48"/>
      <c r="M81" s="54"/>
      <c r="N81" s="56"/>
      <c r="O81" s="48"/>
      <c r="P81" s="48"/>
      <c r="Q81" s="48"/>
      <c r="R81" s="50"/>
      <c r="S81" s="135"/>
      <c r="T81" s="52"/>
      <c r="U81" s="51"/>
      <c r="V81" s="5"/>
      <c r="W81" s="5"/>
      <c r="X81" s="5"/>
      <c r="Y81" s="5"/>
      <c r="Z81" s="5"/>
      <c r="AA81" s="5"/>
      <c r="AB81" s="5"/>
      <c r="AC81" s="5"/>
      <c r="AD81" s="5"/>
      <c r="AE81" s="5"/>
      <c r="AF81" s="5"/>
      <c r="AG81" s="5"/>
      <c r="AH81" s="5"/>
    </row>
    <row r="82" spans="1:34" ht="19.5" customHeight="1">
      <c r="A82" s="17"/>
      <c r="B82" s="266" t="s">
        <v>195</v>
      </c>
      <c r="C82" s="266">
        <v>22</v>
      </c>
      <c r="D82" s="266">
        <v>25</v>
      </c>
      <c r="E82" s="266">
        <v>22</v>
      </c>
      <c r="F82" s="266">
        <v>15.5</v>
      </c>
      <c r="G82" s="266">
        <v>0.108</v>
      </c>
      <c r="H82" s="288">
        <v>13</v>
      </c>
      <c r="I82" s="4"/>
      <c r="J82" s="55"/>
      <c r="K82" s="47"/>
      <c r="L82" s="54"/>
      <c r="M82" s="54"/>
      <c r="N82" s="47"/>
      <c r="O82" s="49"/>
      <c r="P82" s="49"/>
      <c r="Q82" s="49"/>
      <c r="R82" s="50"/>
      <c r="S82" s="135"/>
      <c r="T82" s="52"/>
      <c r="U82" s="51"/>
      <c r="V82" s="5"/>
      <c r="W82" s="5"/>
      <c r="X82" s="5"/>
      <c r="Y82" s="5"/>
      <c r="Z82" s="5"/>
      <c r="AA82" s="5"/>
      <c r="AB82" s="5"/>
      <c r="AC82" s="5"/>
      <c r="AD82" s="5"/>
      <c r="AE82" s="5"/>
      <c r="AF82" s="5"/>
      <c r="AG82" s="5"/>
      <c r="AH82" s="5"/>
    </row>
    <row r="83" spans="1:34" ht="19.5" customHeight="1">
      <c r="A83" s="17"/>
      <c r="B83" s="285" t="s">
        <v>196</v>
      </c>
      <c r="C83" s="285">
        <v>28</v>
      </c>
      <c r="D83" s="285">
        <v>34</v>
      </c>
      <c r="E83" s="285">
        <v>28</v>
      </c>
      <c r="F83" s="285">
        <v>9.48</v>
      </c>
      <c r="G83" s="285">
        <v>0.1007</v>
      </c>
      <c r="H83" s="289">
        <v>15</v>
      </c>
      <c r="I83" s="4"/>
      <c r="J83" s="55"/>
      <c r="K83" s="47"/>
      <c r="L83" s="54"/>
      <c r="M83" s="54"/>
      <c r="N83" s="49"/>
      <c r="O83" s="49"/>
      <c r="P83" s="49"/>
      <c r="Q83" s="49"/>
      <c r="R83" s="50"/>
      <c r="S83" s="135"/>
      <c r="T83" s="52"/>
      <c r="U83" s="51"/>
      <c r="V83" s="5"/>
      <c r="W83" s="5"/>
      <c r="X83" s="5"/>
      <c r="Y83" s="5"/>
      <c r="Z83" s="5"/>
      <c r="AA83" s="5"/>
      <c r="AB83" s="5"/>
      <c r="AC83" s="5"/>
      <c r="AD83" s="5"/>
      <c r="AE83" s="5"/>
      <c r="AF83" s="5"/>
      <c r="AG83" s="5"/>
      <c r="AH83" s="5"/>
    </row>
    <row r="84" spans="1:34" ht="19.5" customHeight="1">
      <c r="A84" s="17"/>
      <c r="B84" s="285" t="s">
        <v>197</v>
      </c>
      <c r="C84" s="285">
        <v>38</v>
      </c>
      <c r="D84" s="285">
        <v>44</v>
      </c>
      <c r="E84" s="285">
        <v>37</v>
      </c>
      <c r="F84" s="285">
        <v>5.9</v>
      </c>
      <c r="G84" s="285">
        <v>9.4700000000000006E-2</v>
      </c>
      <c r="H84" s="289">
        <v>16</v>
      </c>
      <c r="I84" s="4"/>
      <c r="J84" s="55"/>
      <c r="K84" s="47"/>
      <c r="L84" s="54"/>
      <c r="M84" s="54"/>
      <c r="N84" s="54"/>
      <c r="O84" s="54"/>
      <c r="P84" s="54"/>
      <c r="Q84" s="54"/>
      <c r="R84" s="50"/>
      <c r="S84" s="135"/>
      <c r="T84" s="50"/>
      <c r="U84" s="51"/>
      <c r="V84" s="5"/>
      <c r="W84" s="5"/>
      <c r="X84" s="5"/>
      <c r="Y84" s="5"/>
      <c r="Z84" s="5"/>
      <c r="AA84" s="5"/>
      <c r="AB84" s="5"/>
      <c r="AC84" s="5"/>
      <c r="AD84" s="5"/>
      <c r="AE84" s="5"/>
      <c r="AF84" s="5"/>
      <c r="AG84" s="5"/>
      <c r="AH84" s="5"/>
    </row>
    <row r="85" spans="1:34" ht="19.5" customHeight="1">
      <c r="A85" s="17"/>
      <c r="B85" s="285" t="s">
        <v>198</v>
      </c>
      <c r="C85" s="285">
        <v>51</v>
      </c>
      <c r="D85" s="285">
        <v>55</v>
      </c>
      <c r="E85" s="285">
        <v>46</v>
      </c>
      <c r="F85" s="285">
        <v>3.94</v>
      </c>
      <c r="G85" s="285">
        <v>9.0200000000000002E-2</v>
      </c>
      <c r="H85" s="289">
        <v>18</v>
      </c>
      <c r="I85" s="4"/>
      <c r="J85" s="4"/>
      <c r="K85" s="4"/>
      <c r="L85" s="4"/>
      <c r="M85" s="4"/>
      <c r="N85" s="4"/>
      <c r="O85" s="4"/>
      <c r="P85" s="4"/>
      <c r="Q85" s="4"/>
      <c r="R85" s="4"/>
      <c r="S85" s="18"/>
      <c r="T85" s="4"/>
      <c r="U85" s="4"/>
      <c r="V85" s="5"/>
      <c r="W85" s="5"/>
      <c r="X85" s="5"/>
      <c r="Y85" s="5"/>
      <c r="Z85" s="5"/>
      <c r="AA85" s="5"/>
      <c r="AB85" s="5"/>
      <c r="AC85" s="5"/>
      <c r="AD85" s="5"/>
      <c r="AE85" s="5"/>
      <c r="AF85" s="5"/>
      <c r="AG85" s="5"/>
      <c r="AH85" s="5"/>
    </row>
    <row r="86" spans="1:34" ht="19.5" customHeight="1">
      <c r="A86" s="17"/>
      <c r="B86" s="285" t="s">
        <v>199</v>
      </c>
      <c r="C86" s="285">
        <v>60</v>
      </c>
      <c r="D86" s="285">
        <v>57</v>
      </c>
      <c r="E86" s="285">
        <v>48</v>
      </c>
      <c r="F86" s="285">
        <v>3.94</v>
      </c>
      <c r="G86" s="285">
        <v>8.5199999999999998E-2</v>
      </c>
      <c r="H86" s="289">
        <v>20</v>
      </c>
      <c r="I86" s="4"/>
      <c r="J86" s="4"/>
      <c r="K86" s="4"/>
      <c r="L86" s="4"/>
      <c r="M86" s="4"/>
      <c r="N86" s="4"/>
      <c r="O86" s="4"/>
      <c r="P86" s="4"/>
      <c r="Q86" s="4"/>
      <c r="R86" s="4"/>
      <c r="S86" s="18"/>
      <c r="T86" s="4"/>
      <c r="U86" s="4"/>
      <c r="V86" s="5"/>
      <c r="W86" s="5"/>
      <c r="X86" s="5"/>
      <c r="Y86" s="5"/>
      <c r="Z86" s="5"/>
      <c r="AA86" s="5"/>
      <c r="AB86" s="5"/>
      <c r="AC86" s="5"/>
      <c r="AD86" s="5"/>
      <c r="AE86" s="5"/>
      <c r="AF86" s="5"/>
      <c r="AG86" s="5"/>
      <c r="AH86" s="5"/>
    </row>
    <row r="87" spans="1:34" ht="19.5" customHeight="1">
      <c r="A87" s="17"/>
      <c r="B87" s="285" t="s">
        <v>200</v>
      </c>
      <c r="C87" s="285">
        <v>70</v>
      </c>
      <c r="D87" s="285">
        <v>73</v>
      </c>
      <c r="E87" s="285">
        <v>61</v>
      </c>
      <c r="F87" s="285">
        <v>2.44</v>
      </c>
      <c r="G87" s="285">
        <v>8.1500000000000003E-2</v>
      </c>
      <c r="H87" s="289">
        <v>20</v>
      </c>
      <c r="I87" s="4"/>
      <c r="J87" s="4"/>
      <c r="K87" s="4"/>
      <c r="L87" s="4"/>
      <c r="M87" s="4"/>
      <c r="N87" s="4"/>
      <c r="O87" s="4"/>
      <c r="P87" s="4"/>
      <c r="Q87" s="4"/>
      <c r="R87" s="4"/>
      <c r="S87" s="18"/>
      <c r="T87" s="4"/>
      <c r="U87" s="4"/>
      <c r="V87" s="5"/>
      <c r="W87" s="5"/>
      <c r="X87" s="5"/>
      <c r="Y87" s="5"/>
      <c r="Z87" s="5"/>
      <c r="AA87" s="5"/>
      <c r="AB87" s="5"/>
      <c r="AC87" s="5"/>
      <c r="AD87" s="5"/>
      <c r="AE87" s="5"/>
      <c r="AF87" s="5"/>
      <c r="AG87" s="5"/>
      <c r="AH87" s="5"/>
    </row>
    <row r="88" spans="1:34" ht="19.5" customHeight="1">
      <c r="A88" s="17"/>
      <c r="B88" s="285" t="s">
        <v>201</v>
      </c>
      <c r="C88" s="285">
        <v>95</v>
      </c>
      <c r="D88" s="285">
        <v>96</v>
      </c>
      <c r="E88" s="285">
        <v>80</v>
      </c>
      <c r="F88" s="285">
        <v>1.54</v>
      </c>
      <c r="G88" s="285">
        <v>8.1600000000000006E-2</v>
      </c>
      <c r="H88" s="289">
        <v>24</v>
      </c>
      <c r="I88" s="4"/>
      <c r="J88" s="4"/>
      <c r="K88" s="4"/>
      <c r="L88" s="4"/>
      <c r="M88" s="4"/>
      <c r="N88" s="4"/>
      <c r="O88" s="4"/>
      <c r="P88" s="4"/>
      <c r="Q88" s="4"/>
      <c r="R88" s="4"/>
      <c r="S88" s="18"/>
      <c r="T88" s="4"/>
      <c r="U88" s="4"/>
      <c r="V88" s="5"/>
      <c r="W88" s="5"/>
      <c r="X88" s="5"/>
      <c r="Y88" s="5"/>
      <c r="Z88" s="5"/>
      <c r="AA88" s="5"/>
      <c r="AB88" s="5"/>
      <c r="AC88" s="5"/>
      <c r="AD88" s="5"/>
      <c r="AE88" s="5"/>
      <c r="AF88" s="5"/>
      <c r="AG88" s="5"/>
      <c r="AH88" s="5"/>
    </row>
    <row r="89" spans="1:34" ht="19.5" customHeight="1">
      <c r="A89" s="17"/>
      <c r="B89" s="285" t="s">
        <v>202</v>
      </c>
      <c r="C89" s="285">
        <v>117</v>
      </c>
      <c r="D89" s="285">
        <v>115</v>
      </c>
      <c r="E89" s="285">
        <v>96</v>
      </c>
      <c r="F89" s="285">
        <v>1.1100000000000001</v>
      </c>
      <c r="G89" s="285">
        <v>7.9399999999999998E-2</v>
      </c>
      <c r="H89" s="289">
        <v>26</v>
      </c>
      <c r="I89" s="4"/>
      <c r="J89" s="4"/>
      <c r="K89" s="4"/>
      <c r="L89" s="4"/>
      <c r="M89" s="4"/>
      <c r="N89" s="4"/>
      <c r="O89" s="4"/>
      <c r="P89" s="4"/>
      <c r="Q89" s="4"/>
      <c r="R89" s="4"/>
      <c r="S89" s="18"/>
      <c r="T89" s="4"/>
      <c r="U89" s="4"/>
      <c r="V89" s="5"/>
      <c r="W89" s="5"/>
      <c r="X89" s="5"/>
      <c r="Y89" s="5"/>
      <c r="Z89" s="5"/>
      <c r="AA89" s="5"/>
      <c r="AB89" s="5"/>
      <c r="AC89" s="5"/>
      <c r="AD89" s="5"/>
      <c r="AE89" s="5"/>
      <c r="AF89" s="5"/>
      <c r="AG89" s="5"/>
      <c r="AH89" s="5"/>
    </row>
    <row r="90" spans="1:34" ht="19.5" customHeight="1">
      <c r="A90" s="17"/>
      <c r="B90" s="285" t="s">
        <v>203</v>
      </c>
      <c r="C90" s="285">
        <v>141</v>
      </c>
      <c r="D90" s="285">
        <v>134</v>
      </c>
      <c r="E90" s="285">
        <v>116</v>
      </c>
      <c r="F90" s="285">
        <v>0.82</v>
      </c>
      <c r="G90" s="285">
        <v>7.9200000000000007E-2</v>
      </c>
      <c r="H90" s="289">
        <v>29</v>
      </c>
      <c r="I90" s="4"/>
      <c r="J90" s="4"/>
      <c r="K90" s="4"/>
      <c r="L90" s="4"/>
      <c r="M90" s="4"/>
      <c r="N90" s="4"/>
      <c r="O90" s="4"/>
      <c r="P90" s="4"/>
      <c r="Q90" s="4"/>
      <c r="R90" s="4"/>
      <c r="S90" s="18"/>
      <c r="T90" s="4"/>
      <c r="U90" s="4"/>
      <c r="V90" s="5"/>
      <c r="W90" s="5"/>
      <c r="X90" s="5"/>
      <c r="Y90" s="5"/>
      <c r="Z90" s="5"/>
      <c r="AA90" s="5"/>
      <c r="AB90" s="5"/>
      <c r="AC90" s="5"/>
      <c r="AD90" s="5"/>
      <c r="AE90" s="5"/>
      <c r="AF90" s="5"/>
      <c r="AG90" s="5"/>
      <c r="AH90" s="5"/>
    </row>
    <row r="91" spans="1:34" ht="19.5" customHeight="1">
      <c r="A91" s="17"/>
      <c r="B91" s="285" t="s">
        <v>204</v>
      </c>
      <c r="C91" s="285">
        <v>177</v>
      </c>
      <c r="D91" s="285">
        <v>165</v>
      </c>
      <c r="E91" s="285">
        <v>141</v>
      </c>
      <c r="F91" s="285">
        <v>0.56699999999999995</v>
      </c>
      <c r="G91" s="285">
        <v>7.5200000000000003E-2</v>
      </c>
      <c r="H91" s="289">
        <v>33</v>
      </c>
      <c r="I91" s="4"/>
      <c r="J91" s="4"/>
      <c r="K91" s="4"/>
      <c r="L91" s="4"/>
      <c r="M91" s="4"/>
      <c r="N91" s="4"/>
      <c r="O91" s="4"/>
      <c r="P91" s="4"/>
      <c r="Q91" s="4"/>
      <c r="R91" s="4"/>
      <c r="S91" s="18"/>
      <c r="T91" s="4"/>
      <c r="U91" s="4"/>
      <c r="V91" s="5"/>
      <c r="W91" s="5"/>
      <c r="X91" s="5"/>
      <c r="Y91" s="5"/>
      <c r="Z91" s="5"/>
      <c r="AA91" s="5"/>
      <c r="AB91" s="5"/>
      <c r="AC91" s="5"/>
      <c r="AD91" s="5"/>
      <c r="AE91" s="5"/>
      <c r="AF91" s="5"/>
      <c r="AG91" s="5"/>
      <c r="AH91" s="5"/>
    </row>
    <row r="92" spans="1:34" ht="19.5" customHeight="1" thickBot="1">
      <c r="A92" s="22"/>
      <c r="B92" s="136"/>
      <c r="C92" s="136"/>
      <c r="D92" s="136"/>
      <c r="E92" s="136"/>
      <c r="F92" s="137"/>
      <c r="G92" s="137"/>
      <c r="H92" s="138"/>
      <c r="I92" s="23"/>
      <c r="J92" s="29"/>
      <c r="K92" s="125"/>
      <c r="L92" s="125"/>
      <c r="M92" s="125"/>
      <c r="N92" s="125"/>
      <c r="O92" s="29"/>
      <c r="P92" s="29"/>
      <c r="Q92" s="29"/>
      <c r="R92" s="29"/>
      <c r="S92" s="126"/>
      <c r="U92" s="5"/>
      <c r="V92" s="5"/>
      <c r="W92" s="5"/>
      <c r="X92" s="5"/>
      <c r="Y92" s="5"/>
      <c r="Z92" s="5"/>
      <c r="AA92" s="5"/>
      <c r="AB92" s="5"/>
      <c r="AC92" s="5"/>
      <c r="AD92" s="5"/>
      <c r="AE92" s="5"/>
      <c r="AF92" s="5"/>
      <c r="AG92" s="5"/>
      <c r="AH92" s="5"/>
    </row>
    <row r="93" spans="1:34" ht="19.5" hidden="1" customHeight="1" thickBot="1">
      <c r="A93" s="22"/>
      <c r="B93" s="23"/>
      <c r="C93" s="24"/>
      <c r="D93" s="23"/>
      <c r="E93" s="23"/>
      <c r="F93" s="23"/>
      <c r="G93" s="23"/>
      <c r="H93" s="25"/>
      <c r="I93" s="5"/>
      <c r="U93" s="5"/>
      <c r="V93" s="5"/>
      <c r="W93" s="5"/>
      <c r="X93" s="5"/>
      <c r="Y93" s="5"/>
      <c r="Z93" s="5"/>
      <c r="AA93" s="5"/>
      <c r="AB93" s="5"/>
      <c r="AC93" s="5"/>
      <c r="AD93" s="5"/>
      <c r="AE93" s="5"/>
      <c r="AF93" s="5"/>
      <c r="AG93" s="5"/>
      <c r="AH93" s="5"/>
    </row>
    <row r="94" spans="1:34" ht="19.5" hidden="1" customHeight="1" thickBot="1">
      <c r="A94" s="5"/>
      <c r="B94" s="4"/>
      <c r="C94" s="6"/>
      <c r="D94" s="4"/>
      <c r="E94" s="4"/>
      <c r="F94" s="4"/>
      <c r="G94" s="4"/>
      <c r="H94" s="4"/>
      <c r="I94" s="4"/>
      <c r="J94" s="4"/>
      <c r="K94" s="5"/>
      <c r="L94" s="5"/>
      <c r="M94" s="5"/>
      <c r="N94" s="5"/>
      <c r="O94" s="4"/>
      <c r="P94" s="4"/>
      <c r="Q94" s="4"/>
      <c r="R94" s="4"/>
      <c r="S94" s="5"/>
      <c r="T94" s="5"/>
      <c r="U94" s="5"/>
      <c r="V94" s="5"/>
      <c r="W94" s="5"/>
      <c r="X94" s="5"/>
      <c r="Y94" s="5"/>
      <c r="Z94" s="5"/>
      <c r="AA94" s="5"/>
      <c r="AB94" s="5"/>
      <c r="AC94" s="5"/>
      <c r="AD94" s="5"/>
      <c r="AE94" s="5"/>
      <c r="AF94" s="5"/>
      <c r="AG94" s="5"/>
      <c r="AH94" s="5"/>
    </row>
    <row r="95" spans="1:34" ht="19.5" hidden="1" customHeight="1">
      <c r="A95" s="14"/>
      <c r="B95" s="967" t="s">
        <v>205</v>
      </c>
      <c r="C95" s="968"/>
      <c r="D95" s="968"/>
      <c r="E95" s="968"/>
      <c r="F95" s="969"/>
      <c r="G95" s="26"/>
      <c r="H95" s="16"/>
      <c r="I95" s="4"/>
      <c r="J95" s="9"/>
      <c r="K95" s="9"/>
      <c r="L95" s="9"/>
      <c r="M95" s="9"/>
      <c r="N95" s="9"/>
      <c r="O95" s="10"/>
      <c r="P95" s="4"/>
      <c r="Q95" s="4"/>
      <c r="R95" s="4"/>
      <c r="S95" s="5"/>
      <c r="T95" s="5"/>
      <c r="U95" s="5"/>
      <c r="V95" s="5"/>
      <c r="W95" s="5"/>
      <c r="X95" s="5"/>
      <c r="Y95" s="5"/>
      <c r="Z95" s="5"/>
      <c r="AA95" s="5"/>
      <c r="AB95" s="5"/>
      <c r="AC95" s="5"/>
      <c r="AD95" s="5"/>
      <c r="AE95" s="5"/>
      <c r="AF95" s="5"/>
      <c r="AG95" s="5"/>
      <c r="AH95" s="5"/>
    </row>
    <row r="96" spans="1:34" ht="19.5" hidden="1" customHeight="1">
      <c r="A96" s="17"/>
      <c r="B96" s="4"/>
      <c r="C96" s="4"/>
      <c r="D96" s="4"/>
      <c r="E96" s="4"/>
      <c r="F96" s="4"/>
      <c r="G96" s="4"/>
      <c r="H96" s="18"/>
      <c r="I96" s="4"/>
      <c r="J96" s="4"/>
      <c r="K96" s="4"/>
      <c r="L96" s="4"/>
      <c r="M96" s="4"/>
      <c r="N96" s="4"/>
      <c r="O96" s="4"/>
      <c r="P96" s="4"/>
      <c r="Q96" s="4"/>
      <c r="R96" s="4"/>
      <c r="S96" s="5"/>
      <c r="T96" s="5"/>
      <c r="U96" s="5"/>
      <c r="V96" s="5"/>
      <c r="W96" s="5"/>
      <c r="X96" s="5"/>
      <c r="Y96" s="5"/>
      <c r="Z96" s="5"/>
      <c r="AA96" s="5"/>
      <c r="AB96" s="5"/>
      <c r="AC96" s="5"/>
      <c r="AD96" s="5"/>
      <c r="AE96" s="5"/>
      <c r="AF96" s="5"/>
      <c r="AG96" s="5"/>
      <c r="AH96" s="5"/>
    </row>
    <row r="97" spans="1:34" ht="19.5" hidden="1" customHeight="1">
      <c r="A97" s="17"/>
      <c r="B97" s="45" t="s">
        <v>206</v>
      </c>
      <c r="C97" s="44"/>
      <c r="D97" s="45"/>
      <c r="E97" s="45"/>
      <c r="F97" s="45" t="s">
        <v>207</v>
      </c>
      <c r="G97" s="46"/>
      <c r="H97" s="18"/>
      <c r="I97" s="4"/>
      <c r="P97" s="4"/>
      <c r="Q97" s="4"/>
      <c r="R97" s="4"/>
      <c r="S97" s="5"/>
      <c r="T97" s="5"/>
      <c r="U97" s="5"/>
      <c r="V97" s="5"/>
      <c r="W97" s="5"/>
      <c r="X97" s="5"/>
      <c r="Y97" s="5"/>
      <c r="Z97" s="5"/>
      <c r="AA97" s="5"/>
      <c r="AB97" s="5"/>
      <c r="AC97" s="5"/>
      <c r="AD97" s="5"/>
      <c r="AE97" s="5"/>
      <c r="AF97" s="5"/>
      <c r="AG97" s="5"/>
      <c r="AH97" s="5"/>
    </row>
    <row r="98" spans="1:34" ht="19.5" hidden="1" customHeight="1">
      <c r="A98" s="17"/>
      <c r="B98" s="7"/>
      <c r="C98" s="7"/>
      <c r="D98" s="7"/>
      <c r="E98" s="7"/>
      <c r="F98" s="7"/>
      <c r="G98" s="7"/>
      <c r="H98" s="18"/>
      <c r="I98" s="4"/>
      <c r="P98" s="4"/>
      <c r="Q98" s="4"/>
      <c r="R98" s="4"/>
      <c r="S98" s="5"/>
      <c r="T98" s="5"/>
      <c r="U98" s="5"/>
      <c r="V98" s="5"/>
      <c r="W98" s="5"/>
      <c r="X98" s="5"/>
      <c r="Y98" s="5"/>
      <c r="Z98" s="5"/>
      <c r="AA98" s="5"/>
      <c r="AB98" s="5"/>
      <c r="AC98" s="5"/>
      <c r="AD98" s="5"/>
      <c r="AE98" s="5"/>
      <c r="AF98" s="5"/>
      <c r="AG98" s="5"/>
      <c r="AH98" s="5"/>
    </row>
    <row r="99" spans="1:34" ht="73.5" hidden="1" customHeight="1">
      <c r="A99" s="17"/>
      <c r="B99" s="976" t="s">
        <v>109</v>
      </c>
      <c r="C99" s="978" t="s">
        <v>110</v>
      </c>
      <c r="D99" s="979"/>
      <c r="E99" s="958"/>
      <c r="F99" s="976" t="s">
        <v>208</v>
      </c>
      <c r="G99" s="976" t="s">
        <v>209</v>
      </c>
      <c r="H99" s="998" t="s">
        <v>210</v>
      </c>
      <c r="I99" s="974" t="s">
        <v>211</v>
      </c>
      <c r="J99" s="982" t="s">
        <v>115</v>
      </c>
      <c r="K99" s="977" t="s">
        <v>116</v>
      </c>
      <c r="L99" s="977" t="s">
        <v>212</v>
      </c>
      <c r="M99" s="977"/>
      <c r="N99" s="977" t="s">
        <v>118</v>
      </c>
      <c r="O99" s="977" t="s">
        <v>213</v>
      </c>
      <c r="P99" s="977"/>
      <c r="Q99" s="978" t="s">
        <v>214</v>
      </c>
      <c r="R99" s="979"/>
      <c r="S99" s="958"/>
      <c r="U99" s="10"/>
      <c r="V99" s="10"/>
      <c r="X99" s="10"/>
      <c r="Y99" s="10"/>
      <c r="Z99" s="5"/>
      <c r="AA99" s="5"/>
      <c r="AB99" s="5"/>
      <c r="AC99" s="5"/>
      <c r="AD99" s="5"/>
      <c r="AE99" s="5"/>
      <c r="AF99" s="5"/>
      <c r="AG99" s="5"/>
      <c r="AH99" s="5"/>
    </row>
    <row r="100" spans="1:34" ht="60" hidden="1" customHeight="1">
      <c r="A100" s="17"/>
      <c r="B100" s="955"/>
      <c r="C100" s="274" t="s">
        <v>215</v>
      </c>
      <c r="D100" s="274" t="s">
        <v>216</v>
      </c>
      <c r="E100" s="274" t="s">
        <v>217</v>
      </c>
      <c r="F100" s="955"/>
      <c r="G100" s="955"/>
      <c r="H100" s="966"/>
      <c r="I100" s="975"/>
      <c r="J100" s="983"/>
      <c r="K100" s="976"/>
      <c r="L100" s="275" t="s">
        <v>218</v>
      </c>
      <c r="M100" s="275" t="s">
        <v>125</v>
      </c>
      <c r="N100" s="976"/>
      <c r="O100" s="275" t="s">
        <v>126</v>
      </c>
      <c r="P100" s="275" t="s">
        <v>127</v>
      </c>
      <c r="Q100" s="275" t="s">
        <v>128</v>
      </c>
      <c r="R100" s="275" t="s">
        <v>126</v>
      </c>
      <c r="S100" s="275" t="s">
        <v>127</v>
      </c>
      <c r="U100" s="10"/>
      <c r="V100" s="10"/>
      <c r="W100" s="10"/>
      <c r="X100" s="10"/>
      <c r="Y100" s="10"/>
      <c r="Z100" s="5"/>
      <c r="AA100" s="5"/>
      <c r="AB100" s="5"/>
      <c r="AC100" s="5"/>
      <c r="AD100" s="5"/>
      <c r="AE100" s="5"/>
      <c r="AF100" s="5"/>
      <c r="AG100" s="5"/>
      <c r="AH100" s="5"/>
    </row>
    <row r="101" spans="1:34" s="104" customFormat="1" ht="19.5" hidden="1" customHeight="1">
      <c r="A101" s="103"/>
      <c r="B101" s="290" t="s">
        <v>219</v>
      </c>
      <c r="C101" s="290">
        <v>230</v>
      </c>
      <c r="D101" s="290">
        <v>186</v>
      </c>
      <c r="E101" s="290">
        <v>176</v>
      </c>
      <c r="F101" s="290">
        <v>0.56799999999999995</v>
      </c>
      <c r="G101" s="290">
        <v>0.125</v>
      </c>
      <c r="H101" s="291">
        <v>26</v>
      </c>
      <c r="I101" s="961" t="s">
        <v>220</v>
      </c>
      <c r="J101" s="292" t="s">
        <v>131</v>
      </c>
      <c r="K101" s="293">
        <v>0.91</v>
      </c>
      <c r="L101" s="293">
        <v>0.9</v>
      </c>
      <c r="M101" s="293">
        <v>0.73</v>
      </c>
      <c r="N101" s="293" t="s">
        <v>132</v>
      </c>
      <c r="O101" s="293" t="s">
        <v>132</v>
      </c>
      <c r="P101" s="293" t="s">
        <v>132</v>
      </c>
      <c r="Q101" s="294"/>
      <c r="R101" s="294"/>
      <c r="S101" s="294"/>
      <c r="U101" s="105"/>
      <c r="V101" s="105"/>
      <c r="W101" s="105"/>
      <c r="X101" s="105"/>
      <c r="Y101" s="105"/>
      <c r="Z101" s="106"/>
      <c r="AA101" s="106"/>
      <c r="AB101" s="106"/>
      <c r="AC101" s="106"/>
      <c r="AD101" s="106"/>
      <c r="AE101" s="106"/>
      <c r="AF101" s="106"/>
      <c r="AG101" s="106"/>
      <c r="AH101" s="106"/>
    </row>
    <row r="102" spans="1:34" s="104" customFormat="1" ht="19.5" hidden="1" customHeight="1">
      <c r="A102" s="103"/>
      <c r="B102" s="290" t="s">
        <v>221</v>
      </c>
      <c r="C102" s="290">
        <v>280</v>
      </c>
      <c r="D102" s="290">
        <v>221</v>
      </c>
      <c r="E102" s="290">
        <v>210</v>
      </c>
      <c r="F102" s="290">
        <v>0.41099999999999998</v>
      </c>
      <c r="G102" s="290">
        <v>0.12</v>
      </c>
      <c r="H102" s="291">
        <v>27</v>
      </c>
      <c r="I102" s="962"/>
      <c r="J102" s="295" t="s">
        <v>123</v>
      </c>
      <c r="K102" s="293" t="s">
        <v>132</v>
      </c>
      <c r="L102" s="293">
        <v>0.64</v>
      </c>
      <c r="M102" s="293">
        <v>0.8</v>
      </c>
      <c r="N102" s="293">
        <v>0.89</v>
      </c>
      <c r="O102" s="293">
        <v>0.95</v>
      </c>
      <c r="P102" s="293">
        <v>0.97</v>
      </c>
      <c r="Q102" s="296">
        <v>120</v>
      </c>
      <c r="R102" s="297">
        <v>1.0900000000000001</v>
      </c>
      <c r="S102" s="298">
        <v>1.05</v>
      </c>
      <c r="U102" s="105"/>
      <c r="V102" s="105"/>
      <c r="W102" s="105"/>
      <c r="X102" s="105"/>
      <c r="Y102" s="105"/>
      <c r="Z102" s="106"/>
      <c r="AA102" s="106"/>
      <c r="AB102" s="106"/>
      <c r="AC102" s="106"/>
      <c r="AD102" s="106"/>
      <c r="AE102" s="106"/>
      <c r="AF102" s="106"/>
      <c r="AG102" s="106"/>
      <c r="AH102" s="106"/>
    </row>
    <row r="103" spans="1:34" s="104" customFormat="1" ht="19.5" hidden="1" customHeight="1">
      <c r="A103" s="103"/>
      <c r="B103" s="290" t="s">
        <v>222</v>
      </c>
      <c r="C103" s="290">
        <v>324</v>
      </c>
      <c r="D103" s="290">
        <v>252</v>
      </c>
      <c r="E103" s="290">
        <v>240</v>
      </c>
      <c r="F103" s="290">
        <v>0.32500000000000001</v>
      </c>
      <c r="G103" s="290">
        <v>0.115</v>
      </c>
      <c r="H103" s="291">
        <v>29</v>
      </c>
      <c r="I103" s="107"/>
      <c r="J103" s="295" t="s">
        <v>122</v>
      </c>
      <c r="K103" s="293" t="s">
        <v>132</v>
      </c>
      <c r="L103" s="293">
        <v>0.64</v>
      </c>
      <c r="M103" s="293">
        <v>0.8</v>
      </c>
      <c r="N103" s="293">
        <v>0.89</v>
      </c>
      <c r="O103" s="293">
        <v>0.95</v>
      </c>
      <c r="P103" s="293">
        <v>0.96</v>
      </c>
      <c r="Q103" s="296">
        <v>150</v>
      </c>
      <c r="R103" s="297">
        <v>1.0900000000000001</v>
      </c>
      <c r="S103" s="298">
        <v>1.05</v>
      </c>
      <c r="U103" s="105"/>
      <c r="V103" s="105"/>
      <c r="W103" s="105"/>
      <c r="X103" s="105"/>
      <c r="Y103" s="105"/>
      <c r="Z103" s="106"/>
      <c r="AA103" s="106"/>
      <c r="AB103" s="106"/>
      <c r="AC103" s="106"/>
      <c r="AD103" s="106"/>
      <c r="AE103" s="106"/>
      <c r="AF103" s="106"/>
      <c r="AG103" s="106"/>
      <c r="AH103" s="106"/>
    </row>
    <row r="104" spans="1:34" s="104" customFormat="1" ht="38.25" hidden="1" customHeight="1">
      <c r="A104" s="103"/>
      <c r="B104" s="290" t="s">
        <v>223</v>
      </c>
      <c r="C104" s="290">
        <v>368</v>
      </c>
      <c r="D104" s="290">
        <v>281</v>
      </c>
      <c r="E104" s="290">
        <v>267</v>
      </c>
      <c r="F104" s="290">
        <v>0.26500000000000001</v>
      </c>
      <c r="G104" s="290">
        <v>0.114</v>
      </c>
      <c r="H104" s="291">
        <v>30</v>
      </c>
      <c r="I104" s="107"/>
      <c r="J104" s="299" t="s">
        <v>136</v>
      </c>
      <c r="K104" s="293">
        <v>0.91</v>
      </c>
      <c r="L104" s="293">
        <v>0.9</v>
      </c>
      <c r="M104" s="293">
        <v>0.73</v>
      </c>
      <c r="N104" s="293" t="s">
        <v>132</v>
      </c>
      <c r="O104" s="293" t="s">
        <v>132</v>
      </c>
      <c r="P104" s="293" t="s">
        <v>132</v>
      </c>
      <c r="Q104" s="296">
        <v>185</v>
      </c>
      <c r="R104" s="297">
        <v>1.0900000000000001</v>
      </c>
      <c r="S104" s="298">
        <v>1.05</v>
      </c>
      <c r="U104" s="105"/>
      <c r="V104" s="105"/>
      <c r="W104" s="105"/>
      <c r="X104" s="105"/>
      <c r="Y104" s="105"/>
      <c r="Z104" s="106"/>
      <c r="AA104" s="106"/>
      <c r="AB104" s="106"/>
      <c r="AC104" s="106"/>
      <c r="AD104" s="106"/>
      <c r="AE104" s="106"/>
      <c r="AF104" s="106"/>
      <c r="AG104" s="106"/>
      <c r="AH104" s="106"/>
    </row>
    <row r="105" spans="1:34" s="104" customFormat="1" ht="44.25" hidden="1" customHeight="1">
      <c r="A105" s="103"/>
      <c r="B105" s="290" t="s">
        <v>129</v>
      </c>
      <c r="C105" s="290">
        <v>424</v>
      </c>
      <c r="D105" s="290">
        <v>317</v>
      </c>
      <c r="E105" s="290">
        <v>303</v>
      </c>
      <c r="F105" s="290">
        <v>0.21099999999999999</v>
      </c>
      <c r="G105" s="290">
        <v>0.109</v>
      </c>
      <c r="H105" s="291">
        <v>33</v>
      </c>
      <c r="I105" s="107"/>
      <c r="J105" s="108"/>
      <c r="O105" s="108"/>
      <c r="P105" s="108"/>
      <c r="Q105" s="296">
        <v>240</v>
      </c>
      <c r="R105" s="297">
        <v>1.0900000000000001</v>
      </c>
      <c r="S105" s="298">
        <v>1.05</v>
      </c>
      <c r="U105" s="105"/>
      <c r="V105" s="105"/>
      <c r="W105" s="105"/>
      <c r="X105" s="105"/>
      <c r="Y105" s="105"/>
      <c r="Z105" s="106"/>
      <c r="AA105" s="106"/>
      <c r="AB105" s="106"/>
      <c r="AC105" s="106"/>
      <c r="AD105" s="106"/>
      <c r="AE105" s="106"/>
      <c r="AF105" s="106"/>
      <c r="AG105" s="106"/>
      <c r="AH105" s="106"/>
    </row>
    <row r="106" spans="1:34" s="104" customFormat="1" ht="19.5" hidden="1" customHeight="1">
      <c r="A106" s="103"/>
      <c r="B106" s="290" t="s">
        <v>133</v>
      </c>
      <c r="C106" s="290">
        <v>502</v>
      </c>
      <c r="D106" s="290">
        <v>367</v>
      </c>
      <c r="E106" s="290">
        <v>350</v>
      </c>
      <c r="F106" s="290">
        <v>0.161</v>
      </c>
      <c r="G106" s="290">
        <v>0.105</v>
      </c>
      <c r="H106" s="291">
        <v>35</v>
      </c>
      <c r="I106" s="108"/>
      <c r="J106" s="108"/>
      <c r="O106" s="108"/>
      <c r="P106" s="108"/>
      <c r="Q106" s="296">
        <v>300</v>
      </c>
      <c r="R106" s="297">
        <v>1.0900000000000001</v>
      </c>
      <c r="S106" s="298">
        <v>1.05</v>
      </c>
      <c r="U106" s="105"/>
      <c r="V106" s="105"/>
      <c r="W106" s="105"/>
      <c r="X106" s="105"/>
      <c r="Y106" s="105"/>
      <c r="Z106" s="106"/>
      <c r="AA106" s="106"/>
      <c r="AB106" s="106"/>
      <c r="AC106" s="106"/>
      <c r="AD106" s="106"/>
      <c r="AE106" s="106"/>
      <c r="AF106" s="106"/>
      <c r="AG106" s="106"/>
      <c r="AH106" s="106"/>
    </row>
    <row r="107" spans="1:34" s="104" customFormat="1" ht="19.5" hidden="1" customHeight="1">
      <c r="A107" s="103"/>
      <c r="B107" s="290" t="s">
        <v>134</v>
      </c>
      <c r="C107" s="290">
        <v>577</v>
      </c>
      <c r="D107" s="290">
        <v>414</v>
      </c>
      <c r="E107" s="290">
        <v>397</v>
      </c>
      <c r="F107" s="290">
        <v>0.13</v>
      </c>
      <c r="G107" s="290">
        <v>0.10199999999999999</v>
      </c>
      <c r="H107" s="291">
        <v>38</v>
      </c>
      <c r="I107" s="108"/>
      <c r="J107" s="108"/>
      <c r="O107" s="108"/>
      <c r="P107" s="108"/>
      <c r="Q107" s="296">
        <v>400</v>
      </c>
      <c r="R107" s="297">
        <v>1.0900000000000001</v>
      </c>
      <c r="S107" s="298">
        <v>1.05</v>
      </c>
      <c r="U107" s="105"/>
      <c r="V107" s="105"/>
      <c r="W107" s="105"/>
      <c r="X107" s="105"/>
      <c r="Y107" s="105"/>
      <c r="Z107" s="106"/>
      <c r="AA107" s="106"/>
      <c r="AB107" s="106"/>
      <c r="AC107" s="106"/>
      <c r="AD107" s="106"/>
      <c r="AE107" s="106"/>
      <c r="AF107" s="106"/>
      <c r="AG107" s="106"/>
      <c r="AH107" s="106"/>
    </row>
    <row r="108" spans="1:34" s="104" customFormat="1" ht="19.5" hidden="1" customHeight="1">
      <c r="A108" s="103"/>
      <c r="B108" s="290" t="s">
        <v>135</v>
      </c>
      <c r="C108" s="290">
        <v>673</v>
      </c>
      <c r="D108" s="290">
        <v>470</v>
      </c>
      <c r="E108" s="290">
        <v>451</v>
      </c>
      <c r="F108" s="290">
        <v>0.10199999999999999</v>
      </c>
      <c r="G108" s="290">
        <v>9.8000000000000004E-2</v>
      </c>
      <c r="H108" s="291">
        <v>41</v>
      </c>
      <c r="I108" s="108"/>
      <c r="J108" s="108"/>
      <c r="O108" s="108"/>
      <c r="P108" s="108"/>
      <c r="Q108" s="296">
        <v>500</v>
      </c>
      <c r="R108" s="297">
        <v>1.0900000000000001</v>
      </c>
      <c r="S108" s="298">
        <v>1.05</v>
      </c>
      <c r="U108" s="105"/>
      <c r="V108" s="105"/>
      <c r="W108" s="105"/>
      <c r="X108" s="105"/>
      <c r="Y108" s="105"/>
      <c r="Z108" s="106"/>
      <c r="AA108" s="106"/>
      <c r="AB108" s="106"/>
      <c r="AC108" s="106"/>
      <c r="AD108" s="106"/>
      <c r="AE108" s="106"/>
      <c r="AF108" s="106"/>
      <c r="AG108" s="106"/>
      <c r="AH108" s="106"/>
    </row>
    <row r="109" spans="1:34" s="104" customFormat="1" ht="19.5" hidden="1" customHeight="1">
      <c r="A109" s="103"/>
      <c r="B109" s="290" t="s">
        <v>137</v>
      </c>
      <c r="C109" s="290">
        <v>757</v>
      </c>
      <c r="D109" s="290">
        <v>519</v>
      </c>
      <c r="E109" s="290">
        <v>493</v>
      </c>
      <c r="F109" s="290">
        <v>0.08</v>
      </c>
      <c r="G109" s="290">
        <v>9.6000000000000002E-2</v>
      </c>
      <c r="H109" s="291">
        <v>46</v>
      </c>
      <c r="I109" s="108"/>
      <c r="J109" s="108"/>
      <c r="O109" s="108"/>
      <c r="P109" s="108"/>
      <c r="Q109" s="296">
        <v>630</v>
      </c>
      <c r="R109" s="297">
        <v>1.0900000000000001</v>
      </c>
      <c r="S109" s="298">
        <v>1.05</v>
      </c>
      <c r="U109" s="105"/>
      <c r="V109" s="105"/>
      <c r="W109" s="105"/>
      <c r="X109" s="105"/>
      <c r="Y109" s="105"/>
      <c r="Z109" s="106"/>
      <c r="AA109" s="106"/>
      <c r="AB109" s="106"/>
      <c r="AC109" s="106"/>
      <c r="AD109" s="106"/>
      <c r="AE109" s="106"/>
      <c r="AF109" s="106"/>
      <c r="AG109" s="106"/>
      <c r="AH109" s="106"/>
    </row>
    <row r="110" spans="1:34" s="104" customFormat="1" ht="19.5" hidden="1" customHeight="1">
      <c r="A110" s="103"/>
      <c r="B110" s="290" t="s">
        <v>138</v>
      </c>
      <c r="C110" s="290">
        <v>876</v>
      </c>
      <c r="D110" s="290">
        <v>586</v>
      </c>
      <c r="E110" s="290">
        <v>557</v>
      </c>
      <c r="F110" s="290">
        <v>6.3E-2</v>
      </c>
      <c r="G110" s="290">
        <v>9.4E-2</v>
      </c>
      <c r="H110" s="291">
        <v>50</v>
      </c>
      <c r="I110" s="108"/>
      <c r="J110" s="108"/>
      <c r="O110" s="108"/>
      <c r="P110" s="108"/>
      <c r="Q110" s="108"/>
      <c r="R110" s="108"/>
      <c r="U110" s="105"/>
      <c r="V110" s="105"/>
      <c r="W110" s="105"/>
      <c r="X110" s="105"/>
      <c r="Y110" s="105"/>
      <c r="Z110" s="106"/>
      <c r="AA110" s="106"/>
      <c r="AB110" s="106"/>
      <c r="AC110" s="106"/>
      <c r="AD110" s="106"/>
      <c r="AE110" s="106"/>
      <c r="AF110" s="106"/>
      <c r="AG110" s="106"/>
      <c r="AH110" s="106"/>
    </row>
    <row r="111" spans="1:34" s="104" customFormat="1" ht="19.5" hidden="1" customHeight="1">
      <c r="A111" s="103"/>
      <c r="B111" s="290" t="s">
        <v>224</v>
      </c>
      <c r="C111" s="290">
        <v>1005</v>
      </c>
      <c r="D111" s="290">
        <v>655</v>
      </c>
      <c r="E111" s="290">
        <v>622</v>
      </c>
      <c r="F111" s="290">
        <v>5.0999999999999997E-2</v>
      </c>
      <c r="G111" s="290">
        <v>0.09</v>
      </c>
      <c r="H111" s="291">
        <v>54</v>
      </c>
      <c r="I111" s="108"/>
      <c r="J111" s="108"/>
      <c r="O111" s="108"/>
      <c r="P111" s="108"/>
      <c r="Q111" s="108"/>
      <c r="R111" s="108"/>
      <c r="U111" s="105"/>
      <c r="V111" s="105"/>
      <c r="W111" s="105"/>
      <c r="X111" s="105"/>
      <c r="Y111" s="105"/>
      <c r="Z111" s="106"/>
      <c r="AA111" s="106"/>
      <c r="AB111" s="106"/>
      <c r="AC111" s="106"/>
      <c r="AD111" s="106"/>
      <c r="AE111" s="106"/>
      <c r="AF111" s="106"/>
      <c r="AG111" s="106"/>
      <c r="AH111" s="106"/>
    </row>
    <row r="112" spans="1:34" s="104" customFormat="1" ht="19.5" hidden="1" customHeight="1">
      <c r="A112" s="103"/>
      <c r="B112" s="290" t="s">
        <v>225</v>
      </c>
      <c r="C112" s="290">
        <v>1138</v>
      </c>
      <c r="D112" s="290">
        <v>723</v>
      </c>
      <c r="E112" s="290">
        <v>687</v>
      </c>
      <c r="F112" s="290">
        <v>4.2999999999999997E-2</v>
      </c>
      <c r="G112" s="290">
        <v>8.7999999999999995E-2</v>
      </c>
      <c r="H112" s="291">
        <v>58</v>
      </c>
      <c r="I112" s="108"/>
      <c r="J112" s="108"/>
      <c r="O112" s="108"/>
      <c r="P112" s="108"/>
      <c r="Q112" s="108"/>
      <c r="R112" s="108"/>
      <c r="U112" s="105"/>
      <c r="V112" s="105"/>
      <c r="W112" s="105"/>
      <c r="X112" s="105"/>
      <c r="Y112" s="105"/>
      <c r="Z112" s="106"/>
      <c r="AA112" s="106"/>
      <c r="AB112" s="106"/>
      <c r="AC112" s="106"/>
      <c r="AD112" s="106"/>
      <c r="AE112" s="106"/>
      <c r="AF112" s="106"/>
      <c r="AG112" s="106"/>
      <c r="AH112" s="106"/>
    </row>
    <row r="113" spans="1:34" s="104" customFormat="1" ht="19.5" hidden="1" customHeight="1">
      <c r="A113" s="103"/>
      <c r="B113" s="290"/>
      <c r="C113" s="290"/>
      <c r="D113" s="290"/>
      <c r="E113" s="290"/>
      <c r="F113" s="290"/>
      <c r="G113" s="290"/>
      <c r="H113" s="300"/>
      <c r="I113" s="108"/>
      <c r="J113" s="108"/>
      <c r="O113" s="108"/>
      <c r="P113" s="108"/>
      <c r="Q113" s="108"/>
      <c r="R113" s="108"/>
      <c r="U113" s="105"/>
      <c r="V113" s="105"/>
      <c r="W113" s="105"/>
      <c r="X113" s="105"/>
      <c r="Y113" s="105"/>
      <c r="Z113" s="106"/>
      <c r="AA113" s="106"/>
      <c r="AB113" s="106"/>
      <c r="AC113" s="106"/>
      <c r="AD113" s="106"/>
      <c r="AE113" s="106"/>
      <c r="AF113" s="106"/>
      <c r="AG113" s="106"/>
      <c r="AH113" s="106"/>
    </row>
    <row r="114" spans="1:34" s="104" customFormat="1" ht="19.5" hidden="1" customHeight="1">
      <c r="A114" s="103"/>
      <c r="B114" s="108"/>
      <c r="C114" s="108"/>
      <c r="D114" s="108"/>
      <c r="E114" s="108"/>
      <c r="F114" s="108"/>
      <c r="G114" s="108"/>
      <c r="H114" s="109"/>
      <c r="I114" s="110"/>
      <c r="P114" s="108"/>
      <c r="Q114" s="108"/>
      <c r="R114" s="108"/>
      <c r="T114" s="106"/>
      <c r="U114" s="106"/>
      <c r="V114" s="106"/>
      <c r="W114" s="106"/>
      <c r="X114" s="106"/>
      <c r="Y114" s="106"/>
      <c r="Z114" s="106"/>
      <c r="AA114" s="106"/>
      <c r="AB114" s="106"/>
      <c r="AC114" s="106"/>
      <c r="AD114" s="106"/>
      <c r="AE114" s="106"/>
      <c r="AF114" s="106"/>
      <c r="AG114" s="106"/>
      <c r="AH114" s="106"/>
    </row>
    <row r="115" spans="1:34" s="104" customFormat="1" ht="19.5" hidden="1" customHeight="1">
      <c r="A115" s="111"/>
      <c r="B115" s="108"/>
      <c r="C115" s="108"/>
      <c r="D115" s="108"/>
      <c r="E115" s="108"/>
      <c r="F115" s="108"/>
      <c r="G115" s="108"/>
      <c r="H115" s="112"/>
      <c r="I115" s="110"/>
      <c r="P115" s="108"/>
      <c r="Q115" s="108"/>
      <c r="R115" s="108"/>
    </row>
    <row r="116" spans="1:34" s="104" customFormat="1" ht="27.75" hidden="1" customHeight="1">
      <c r="A116" s="111"/>
      <c r="B116" s="113" t="s">
        <v>226</v>
      </c>
      <c r="C116" s="114"/>
      <c r="D116" s="113"/>
      <c r="E116" s="113"/>
      <c r="F116" s="113" t="s">
        <v>207</v>
      </c>
      <c r="G116" s="115"/>
      <c r="H116" s="112"/>
      <c r="I116" s="108"/>
      <c r="J116" s="108"/>
      <c r="O116" s="108"/>
      <c r="P116" s="108"/>
      <c r="Q116" s="108"/>
      <c r="R116" s="108"/>
    </row>
    <row r="117" spans="1:34" s="104" customFormat="1" ht="42" hidden="1" customHeight="1">
      <c r="A117" s="111"/>
      <c r="B117" s="990" t="s">
        <v>227</v>
      </c>
      <c r="C117" s="992" t="s">
        <v>110</v>
      </c>
      <c r="D117" s="993"/>
      <c r="E117" s="994"/>
      <c r="F117" s="990" t="s">
        <v>208</v>
      </c>
      <c r="G117" s="990" t="s">
        <v>209</v>
      </c>
      <c r="H117" s="996" t="s">
        <v>210</v>
      </c>
      <c r="I117" s="108"/>
      <c r="J117" s="108"/>
      <c r="O117" s="108"/>
      <c r="P117" s="108"/>
      <c r="Q117" s="108"/>
      <c r="R117" s="108"/>
    </row>
    <row r="118" spans="1:34" s="104" customFormat="1" ht="32.25" hidden="1" customHeight="1">
      <c r="A118" s="111"/>
      <c r="B118" s="991"/>
      <c r="C118" s="301" t="s">
        <v>121</v>
      </c>
      <c r="D118" s="301" t="s">
        <v>122</v>
      </c>
      <c r="E118" s="301" t="s">
        <v>123</v>
      </c>
      <c r="F118" s="991"/>
      <c r="G118" s="991"/>
      <c r="H118" s="997"/>
      <c r="I118" s="108"/>
      <c r="J118" s="108"/>
      <c r="O118" s="108"/>
      <c r="P118" s="108"/>
      <c r="Q118" s="108"/>
      <c r="R118" s="108"/>
    </row>
    <row r="119" spans="1:34" s="104" customFormat="1" ht="19.5" hidden="1" customHeight="1">
      <c r="A119" s="111"/>
      <c r="B119" s="290" t="s">
        <v>167</v>
      </c>
      <c r="C119" s="290">
        <v>196</v>
      </c>
      <c r="D119" s="290">
        <v>171</v>
      </c>
      <c r="E119" s="290">
        <v>150</v>
      </c>
      <c r="F119" s="290">
        <v>0.56799999999999995</v>
      </c>
      <c r="G119" s="290">
        <v>9.7000000000000003E-2</v>
      </c>
      <c r="H119" s="291">
        <v>49</v>
      </c>
      <c r="I119" s="108"/>
      <c r="J119" s="108"/>
      <c r="O119" s="108"/>
      <c r="P119" s="108"/>
      <c r="Q119" s="108"/>
      <c r="R119" s="108"/>
    </row>
    <row r="120" spans="1:34" s="104" customFormat="1" ht="32.25" hidden="1" customHeight="1">
      <c r="A120" s="111"/>
      <c r="B120" s="290" t="s">
        <v>168</v>
      </c>
      <c r="C120" s="290">
        <v>238</v>
      </c>
      <c r="D120" s="290">
        <v>24</v>
      </c>
      <c r="E120" s="290">
        <v>180</v>
      </c>
      <c r="F120" s="290">
        <v>0.41099999999999998</v>
      </c>
      <c r="G120" s="290">
        <v>9.2999999999999999E-2</v>
      </c>
      <c r="H120" s="291">
        <v>52</v>
      </c>
      <c r="I120" s="108"/>
      <c r="J120" s="108"/>
      <c r="O120" s="108"/>
      <c r="P120" s="108"/>
      <c r="Q120" s="108"/>
      <c r="R120" s="108"/>
    </row>
    <row r="121" spans="1:34" s="104" customFormat="1" ht="19.5" hidden="1" customHeight="1">
      <c r="A121" s="111"/>
      <c r="B121" s="290" t="s">
        <v>169</v>
      </c>
      <c r="C121" s="290">
        <v>274</v>
      </c>
      <c r="D121" s="290">
        <v>232</v>
      </c>
      <c r="E121" s="290">
        <v>206</v>
      </c>
      <c r="F121" s="290">
        <v>0.32500000000000001</v>
      </c>
      <c r="G121" s="290">
        <v>0.09</v>
      </c>
      <c r="H121" s="291">
        <v>56</v>
      </c>
      <c r="I121" s="108"/>
      <c r="J121" s="108"/>
      <c r="O121" s="108"/>
      <c r="P121" s="108"/>
      <c r="Q121" s="108"/>
      <c r="R121" s="108"/>
    </row>
    <row r="122" spans="1:34" s="104" customFormat="1" ht="19.5" hidden="1" customHeight="1">
      <c r="A122" s="111"/>
      <c r="B122" s="290" t="s">
        <v>170</v>
      </c>
      <c r="C122" s="290">
        <v>309</v>
      </c>
      <c r="D122" s="290">
        <v>259</v>
      </c>
      <c r="E122" s="290">
        <v>231</v>
      </c>
      <c r="F122" s="290">
        <v>0.26500000000000001</v>
      </c>
      <c r="G122" s="290">
        <v>8.7999999999999995E-2</v>
      </c>
      <c r="H122" s="291">
        <v>58</v>
      </c>
      <c r="I122" s="108"/>
      <c r="J122" s="108"/>
      <c r="O122" s="108"/>
      <c r="P122" s="108"/>
      <c r="Q122" s="108"/>
      <c r="R122" s="108"/>
    </row>
    <row r="123" spans="1:34" s="104" customFormat="1" ht="19.5" hidden="1" customHeight="1">
      <c r="A123" s="111"/>
      <c r="B123" s="290" t="s">
        <v>171</v>
      </c>
      <c r="C123" s="290">
        <v>354</v>
      </c>
      <c r="D123" s="290">
        <v>293</v>
      </c>
      <c r="E123" s="290">
        <v>262</v>
      </c>
      <c r="F123" s="290">
        <v>0.21099999999999999</v>
      </c>
      <c r="G123" s="290">
        <v>8.5000000000000006E-2</v>
      </c>
      <c r="H123" s="291">
        <v>63</v>
      </c>
      <c r="I123" s="108"/>
      <c r="J123" s="108"/>
      <c r="O123" s="108"/>
      <c r="P123" s="108"/>
      <c r="Q123" s="108"/>
      <c r="R123" s="108"/>
    </row>
    <row r="124" spans="1:34" s="104" customFormat="1" ht="19.5" hidden="1" customHeight="1">
      <c r="A124" s="111"/>
      <c r="B124" s="290" t="s">
        <v>172</v>
      </c>
      <c r="C124" s="290">
        <v>415</v>
      </c>
      <c r="D124" s="290">
        <v>338</v>
      </c>
      <c r="E124" s="290">
        <v>304</v>
      </c>
      <c r="F124" s="290">
        <v>0.16200000000000001</v>
      </c>
      <c r="G124" s="290">
        <v>8.3000000000000004E-2</v>
      </c>
      <c r="H124" s="291">
        <v>69</v>
      </c>
      <c r="I124" s="108"/>
      <c r="J124" s="108"/>
      <c r="O124" s="108"/>
      <c r="P124" s="108"/>
      <c r="Q124" s="108"/>
      <c r="R124" s="108"/>
    </row>
    <row r="125" spans="1:34" s="104" customFormat="1" ht="19.5" hidden="1" customHeight="1">
      <c r="A125" s="111"/>
      <c r="B125" s="290" t="s">
        <v>173</v>
      </c>
      <c r="C125" s="290">
        <v>472</v>
      </c>
      <c r="D125" s="290">
        <v>380</v>
      </c>
      <c r="E125" s="290">
        <v>343</v>
      </c>
      <c r="F125" s="290">
        <v>0.13</v>
      </c>
      <c r="G125" s="290">
        <v>8.2000000000000003E-2</v>
      </c>
      <c r="H125" s="291">
        <v>75</v>
      </c>
      <c r="I125" s="108"/>
      <c r="J125" s="108"/>
      <c r="O125" s="108"/>
      <c r="P125" s="108"/>
      <c r="Q125" s="108"/>
      <c r="R125" s="108"/>
    </row>
    <row r="126" spans="1:34" s="104" customFormat="1" ht="19.5" hidden="1" customHeight="1">
      <c r="A126" s="111"/>
      <c r="B126" s="290" t="s">
        <v>174</v>
      </c>
      <c r="C126" s="290">
        <v>545</v>
      </c>
      <c r="D126" s="290">
        <v>432</v>
      </c>
      <c r="E126" s="290">
        <v>393</v>
      </c>
      <c r="F126" s="290">
        <v>0.10199999999999999</v>
      </c>
      <c r="G126" s="290">
        <v>0.08</v>
      </c>
      <c r="H126" s="291">
        <v>84</v>
      </c>
      <c r="I126" s="108"/>
      <c r="J126" s="108"/>
      <c r="O126" s="108"/>
      <c r="P126" s="108"/>
      <c r="Q126" s="108"/>
      <c r="R126" s="108"/>
    </row>
    <row r="127" spans="1:34" ht="19.5" hidden="1" customHeight="1">
      <c r="A127" s="27"/>
      <c r="H127" s="21"/>
    </row>
    <row r="128" spans="1:34" ht="19.5" hidden="1" customHeight="1">
      <c r="A128" s="27"/>
      <c r="H128" s="21"/>
      <c r="I128" s="8"/>
      <c r="K128" s="2"/>
      <c r="L128" s="2"/>
      <c r="M128" s="2"/>
      <c r="N128" s="2"/>
    </row>
    <row r="129" spans="1:34" ht="19.5" hidden="1" customHeight="1">
      <c r="A129" s="27"/>
      <c r="H129" s="21"/>
      <c r="I129" s="8"/>
      <c r="K129" s="2"/>
      <c r="L129" s="2"/>
      <c r="M129" s="2"/>
      <c r="N129" s="2"/>
    </row>
    <row r="130" spans="1:34" ht="19.5" hidden="1" customHeight="1" thickBot="1">
      <c r="A130" s="28"/>
      <c r="B130" s="29"/>
      <c r="C130" s="29"/>
      <c r="D130" s="29"/>
      <c r="E130" s="29"/>
      <c r="F130" s="29"/>
      <c r="G130" s="29"/>
      <c r="H130" s="30"/>
      <c r="I130" s="8"/>
    </row>
    <row r="131" spans="1:34" ht="19.5" hidden="1" customHeight="1">
      <c r="I131" s="8"/>
    </row>
    <row r="132" spans="1:34" ht="19.5" hidden="1" customHeight="1">
      <c r="I132" s="8"/>
    </row>
    <row r="133" spans="1:34" ht="19.5" hidden="1" customHeight="1">
      <c r="I133" s="8"/>
    </row>
    <row r="134" spans="1:34" ht="19.5" customHeight="1" thickBot="1">
      <c r="I134" s="8"/>
    </row>
    <row r="135" spans="1:34" ht="19.5" customHeight="1">
      <c r="A135" s="14"/>
      <c r="B135" s="967" t="s">
        <v>205</v>
      </c>
      <c r="C135" s="968"/>
      <c r="D135" s="968"/>
      <c r="E135" s="968"/>
      <c r="F135" s="969"/>
      <c r="G135" s="26"/>
      <c r="H135" s="16"/>
      <c r="I135" s="15"/>
      <c r="J135" s="119"/>
      <c r="K135" s="119"/>
      <c r="L135" s="119"/>
      <c r="M135" s="119"/>
      <c r="N135" s="119"/>
      <c r="O135" s="120"/>
      <c r="P135" s="15"/>
      <c r="Q135" s="15"/>
      <c r="R135" s="15"/>
      <c r="S135" s="121"/>
      <c r="T135" s="5"/>
      <c r="U135" s="5"/>
      <c r="V135" s="5"/>
      <c r="W135" s="5"/>
      <c r="X135" s="5"/>
      <c r="Y135" s="5"/>
      <c r="Z135" s="5"/>
      <c r="AA135" s="5"/>
      <c r="AB135" s="5"/>
      <c r="AC135" s="5"/>
      <c r="AD135" s="5"/>
      <c r="AE135" s="5"/>
      <c r="AF135" s="5"/>
      <c r="AG135" s="5"/>
      <c r="AH135" s="5"/>
    </row>
    <row r="136" spans="1:34" ht="19.5" customHeight="1">
      <c r="A136" s="17"/>
      <c r="B136" s="4"/>
      <c r="C136" s="4"/>
      <c r="D136" s="4"/>
      <c r="E136" s="4"/>
      <c r="F136" s="4"/>
      <c r="G136" s="4"/>
      <c r="H136" s="18"/>
      <c r="I136" s="4"/>
      <c r="J136" s="4"/>
      <c r="K136" s="4"/>
      <c r="L136" s="4"/>
      <c r="M136" s="4"/>
      <c r="N136" s="4"/>
      <c r="O136" s="4"/>
      <c r="P136" s="4"/>
      <c r="Q136" s="4"/>
      <c r="R136" s="4"/>
      <c r="S136" s="122"/>
      <c r="T136" s="5"/>
      <c r="U136" s="5"/>
      <c r="V136" s="5"/>
      <c r="W136" s="5"/>
      <c r="X136" s="5"/>
      <c r="Y136" s="5"/>
      <c r="Z136" s="5"/>
      <c r="AA136" s="5"/>
      <c r="AB136" s="5"/>
      <c r="AC136" s="5"/>
      <c r="AD136" s="5"/>
      <c r="AE136" s="5"/>
      <c r="AF136" s="5"/>
      <c r="AG136" s="5"/>
      <c r="AH136" s="5"/>
    </row>
    <row r="137" spans="1:34" ht="19.5" customHeight="1">
      <c r="A137" s="17"/>
      <c r="B137" s="45" t="s">
        <v>206</v>
      </c>
      <c r="C137" s="44"/>
      <c r="D137" s="45"/>
      <c r="E137" s="45"/>
      <c r="F137" s="45" t="s">
        <v>228</v>
      </c>
      <c r="G137" s="46"/>
      <c r="H137" s="18"/>
      <c r="I137" s="4"/>
      <c r="P137" s="4"/>
      <c r="Q137" s="4"/>
      <c r="R137" s="4"/>
      <c r="S137" s="122"/>
      <c r="T137" s="5"/>
      <c r="U137" s="5"/>
      <c r="V137" s="5"/>
      <c r="W137" s="5"/>
      <c r="X137" s="5"/>
      <c r="Y137" s="5"/>
      <c r="Z137" s="5"/>
      <c r="AA137" s="5"/>
      <c r="AB137" s="5"/>
      <c r="AC137" s="5"/>
      <c r="AD137" s="5"/>
      <c r="AE137" s="5"/>
      <c r="AF137" s="5"/>
      <c r="AG137" s="5"/>
      <c r="AH137" s="5"/>
    </row>
    <row r="138" spans="1:34" ht="19.5" customHeight="1">
      <c r="A138" s="17"/>
      <c r="B138" s="7"/>
      <c r="C138" s="7"/>
      <c r="D138" s="7"/>
      <c r="E138" s="7"/>
      <c r="F138" s="7"/>
      <c r="G138" s="7"/>
      <c r="H138" s="18"/>
      <c r="I138" s="4"/>
      <c r="P138" s="4"/>
      <c r="Q138" s="4"/>
      <c r="R138" s="4"/>
      <c r="S138" s="122"/>
      <c r="T138" s="5"/>
      <c r="U138" s="5"/>
      <c r="V138" s="5"/>
      <c r="W138" s="5"/>
      <c r="X138" s="5"/>
      <c r="Y138" s="5"/>
      <c r="Z138" s="5"/>
      <c r="AA138" s="5"/>
      <c r="AB138" s="5"/>
      <c r="AC138" s="5"/>
      <c r="AD138" s="5"/>
      <c r="AE138" s="5"/>
      <c r="AF138" s="5"/>
      <c r="AG138" s="5"/>
      <c r="AH138" s="5"/>
    </row>
    <row r="139" spans="1:34" ht="60" customHeight="1">
      <c r="A139" s="17"/>
      <c r="B139" s="963" t="s">
        <v>109</v>
      </c>
      <c r="C139" s="956" t="s">
        <v>110</v>
      </c>
      <c r="D139" s="957"/>
      <c r="E139" s="964"/>
      <c r="F139" s="963" t="s">
        <v>208</v>
      </c>
      <c r="G139" s="963" t="s">
        <v>209</v>
      </c>
      <c r="H139" s="965" t="s">
        <v>210</v>
      </c>
      <c r="I139" s="1003" t="s">
        <v>211</v>
      </c>
      <c r="J139" s="972" t="s">
        <v>115</v>
      </c>
      <c r="K139" s="970" t="s">
        <v>116</v>
      </c>
      <c r="L139" s="970" t="s">
        <v>229</v>
      </c>
      <c r="M139" s="970"/>
      <c r="N139" s="970" t="s">
        <v>118</v>
      </c>
      <c r="O139" s="970" t="s">
        <v>213</v>
      </c>
      <c r="P139" s="970"/>
      <c r="Q139" s="956" t="s">
        <v>214</v>
      </c>
      <c r="R139" s="957"/>
      <c r="S139" s="960"/>
      <c r="U139" s="10"/>
      <c r="V139" s="10"/>
      <c r="X139" s="10"/>
      <c r="Y139" s="10"/>
      <c r="Z139" s="5"/>
      <c r="AA139" s="5"/>
      <c r="AB139" s="5"/>
      <c r="AC139" s="5"/>
      <c r="AD139" s="5"/>
      <c r="AE139" s="5"/>
      <c r="AF139" s="5"/>
      <c r="AG139" s="5"/>
      <c r="AH139" s="5"/>
    </row>
    <row r="140" spans="1:34" ht="60" customHeight="1">
      <c r="A140" s="17"/>
      <c r="B140" s="955"/>
      <c r="C140" s="187" t="s">
        <v>215</v>
      </c>
      <c r="D140" s="187" t="s">
        <v>216</v>
      </c>
      <c r="E140" s="187" t="s">
        <v>217</v>
      </c>
      <c r="F140" s="955"/>
      <c r="G140" s="955"/>
      <c r="H140" s="966"/>
      <c r="I140" s="975"/>
      <c r="J140" s="973"/>
      <c r="K140" s="954"/>
      <c r="L140" s="194" t="s">
        <v>218</v>
      </c>
      <c r="M140" s="194" t="s">
        <v>125</v>
      </c>
      <c r="N140" s="954"/>
      <c r="O140" s="194" t="s">
        <v>126</v>
      </c>
      <c r="P140" s="194" t="s">
        <v>127</v>
      </c>
      <c r="Q140" s="194" t="s">
        <v>128</v>
      </c>
      <c r="R140" s="194" t="s">
        <v>126</v>
      </c>
      <c r="S140" s="185" t="s">
        <v>127</v>
      </c>
      <c r="U140" s="10"/>
      <c r="V140" s="10"/>
      <c r="W140" s="10"/>
      <c r="X140" s="10"/>
      <c r="Y140" s="10"/>
      <c r="Z140" s="5"/>
      <c r="AA140" s="5"/>
      <c r="AB140" s="5"/>
      <c r="AC140" s="5"/>
      <c r="AD140" s="5"/>
      <c r="AE140" s="5"/>
      <c r="AF140" s="5"/>
      <c r="AG140" s="5"/>
      <c r="AH140" s="5"/>
    </row>
    <row r="141" spans="1:34" ht="19.5" customHeight="1">
      <c r="A141" s="17"/>
      <c r="B141" s="302" t="s">
        <v>219</v>
      </c>
      <c r="C141" s="302">
        <v>230</v>
      </c>
      <c r="D141" s="302">
        <v>186</v>
      </c>
      <c r="E141" s="302">
        <v>176</v>
      </c>
      <c r="F141" s="302">
        <v>0.56799999999999995</v>
      </c>
      <c r="G141" s="302">
        <v>0.125</v>
      </c>
      <c r="H141" s="248">
        <v>27</v>
      </c>
      <c r="I141" s="999" t="s">
        <v>220</v>
      </c>
      <c r="J141" s="189" t="s">
        <v>131</v>
      </c>
      <c r="K141" s="249">
        <v>0.82</v>
      </c>
      <c r="L141" s="303">
        <v>0.9</v>
      </c>
      <c r="M141" s="303">
        <v>0.73</v>
      </c>
      <c r="N141" s="190" t="s">
        <v>132</v>
      </c>
      <c r="O141" s="190" t="s">
        <v>132</v>
      </c>
      <c r="P141" s="190" t="s">
        <v>132</v>
      </c>
      <c r="Q141" s="191"/>
      <c r="R141" s="191"/>
      <c r="S141" s="251"/>
      <c r="U141" s="10"/>
      <c r="V141" s="10"/>
      <c r="W141" s="10"/>
      <c r="X141" s="10"/>
      <c r="Y141" s="10"/>
      <c r="Z141" s="5"/>
      <c r="AA141" s="189" t="s">
        <v>131</v>
      </c>
      <c r="AB141" s="249">
        <v>0.89</v>
      </c>
      <c r="AC141" s="250">
        <v>0.81</v>
      </c>
      <c r="AD141" s="190">
        <v>0.66</v>
      </c>
      <c r="AE141" s="190" t="s">
        <v>132</v>
      </c>
      <c r="AF141" s="190" t="s">
        <v>132</v>
      </c>
      <c r="AG141" s="190" t="s">
        <v>132</v>
      </c>
      <c r="AH141" s="5"/>
    </row>
    <row r="142" spans="1:34" ht="19.5" customHeight="1">
      <c r="A142" s="17"/>
      <c r="B142" s="302" t="s">
        <v>221</v>
      </c>
      <c r="C142" s="302">
        <v>280</v>
      </c>
      <c r="D142" s="302">
        <v>221</v>
      </c>
      <c r="E142" s="302">
        <v>210</v>
      </c>
      <c r="F142" s="302">
        <v>0.41099999999999998</v>
      </c>
      <c r="G142" s="302">
        <v>0.12</v>
      </c>
      <c r="H142" s="248">
        <v>29</v>
      </c>
      <c r="I142" s="1000"/>
      <c r="J142" s="304" t="s">
        <v>123</v>
      </c>
      <c r="K142" s="190" t="s">
        <v>132</v>
      </c>
      <c r="L142" s="303">
        <v>0.64</v>
      </c>
      <c r="M142" s="305">
        <v>0.8</v>
      </c>
      <c r="N142" s="190">
        <v>0.89</v>
      </c>
      <c r="O142" s="190">
        <v>0.95</v>
      </c>
      <c r="P142" s="190">
        <v>0.97</v>
      </c>
      <c r="Q142" s="192">
        <v>120</v>
      </c>
      <c r="R142" s="193">
        <v>1.0900000000000001</v>
      </c>
      <c r="S142" s="255">
        <v>1.05</v>
      </c>
      <c r="U142" s="10"/>
      <c r="V142" s="10"/>
      <c r="W142" s="10"/>
      <c r="X142" s="10"/>
      <c r="Y142" s="10"/>
      <c r="Z142" s="5"/>
      <c r="AA142" s="252" t="s">
        <v>123</v>
      </c>
      <c r="AB142" s="253" t="s">
        <v>132</v>
      </c>
      <c r="AC142" s="254">
        <v>0.74</v>
      </c>
      <c r="AD142" s="253">
        <v>0.71</v>
      </c>
      <c r="AE142" s="253">
        <v>0.96</v>
      </c>
      <c r="AF142" s="253">
        <v>0.98</v>
      </c>
      <c r="AG142" s="253">
        <v>0.98</v>
      </c>
      <c r="AH142" s="5"/>
    </row>
    <row r="143" spans="1:34" ht="19.5" customHeight="1">
      <c r="A143" s="17"/>
      <c r="B143" s="302" t="s">
        <v>222</v>
      </c>
      <c r="C143" s="302">
        <v>324</v>
      </c>
      <c r="D143" s="302">
        <v>252</v>
      </c>
      <c r="E143" s="302">
        <v>240</v>
      </c>
      <c r="F143" s="302">
        <v>0.32500000000000001</v>
      </c>
      <c r="G143" s="302">
        <v>0.115</v>
      </c>
      <c r="H143" s="248">
        <v>30</v>
      </c>
      <c r="I143" s="4"/>
      <c r="J143" s="304" t="s">
        <v>122</v>
      </c>
      <c r="K143" s="190" t="s">
        <v>132</v>
      </c>
      <c r="L143" s="303">
        <v>0.64</v>
      </c>
      <c r="M143" s="305">
        <v>0.8</v>
      </c>
      <c r="N143" s="190">
        <v>0.89</v>
      </c>
      <c r="O143" s="190">
        <v>0.95</v>
      </c>
      <c r="P143" s="190">
        <v>0.96</v>
      </c>
      <c r="Q143" s="192">
        <v>150</v>
      </c>
      <c r="R143" s="193">
        <v>1.0900000000000001</v>
      </c>
      <c r="S143" s="255">
        <v>1.05</v>
      </c>
      <c r="U143" s="10"/>
      <c r="V143" s="10"/>
      <c r="W143" s="10"/>
      <c r="X143" s="10"/>
      <c r="Y143" s="10"/>
      <c r="Z143" s="5"/>
      <c r="AA143" s="256" t="s">
        <v>122</v>
      </c>
      <c r="AB143" s="257" t="s">
        <v>132</v>
      </c>
      <c r="AC143" s="257">
        <v>0.61</v>
      </c>
      <c r="AD143" s="257">
        <v>0.54</v>
      </c>
      <c r="AE143" s="257">
        <v>0.96</v>
      </c>
      <c r="AF143" s="257">
        <v>0.98</v>
      </c>
      <c r="AG143" s="257">
        <v>0.98</v>
      </c>
      <c r="AH143" s="5"/>
    </row>
    <row r="144" spans="1:34" ht="30">
      <c r="A144" s="17"/>
      <c r="B144" s="302" t="s">
        <v>223</v>
      </c>
      <c r="C144" s="302">
        <v>368</v>
      </c>
      <c r="D144" s="302">
        <v>281</v>
      </c>
      <c r="E144" s="302">
        <v>267</v>
      </c>
      <c r="F144" s="302">
        <v>0.26500000000000001</v>
      </c>
      <c r="G144" s="302">
        <v>0.114</v>
      </c>
      <c r="H144" s="248">
        <v>33</v>
      </c>
      <c r="I144" s="4"/>
      <c r="J144" s="306" t="s">
        <v>136</v>
      </c>
      <c r="K144" s="249">
        <v>0.82</v>
      </c>
      <c r="L144" s="303">
        <v>0.9</v>
      </c>
      <c r="M144" s="303">
        <v>0.73</v>
      </c>
      <c r="N144" s="190" t="s">
        <v>132</v>
      </c>
      <c r="O144" s="190" t="s">
        <v>132</v>
      </c>
      <c r="P144" s="190" t="s">
        <v>132</v>
      </c>
      <c r="Q144" s="192">
        <v>185</v>
      </c>
      <c r="R144" s="193">
        <v>1.0900000000000001</v>
      </c>
      <c r="S144" s="255">
        <v>1.05</v>
      </c>
      <c r="U144" s="10"/>
      <c r="V144" s="10"/>
      <c r="W144" s="10"/>
      <c r="X144" s="10"/>
      <c r="Y144" s="10"/>
      <c r="Z144" s="5"/>
      <c r="AA144" s="263" t="s">
        <v>136</v>
      </c>
      <c r="AB144" s="264">
        <v>0.89</v>
      </c>
      <c r="AC144" s="264">
        <v>0.81</v>
      </c>
      <c r="AD144" s="264">
        <v>0.66</v>
      </c>
      <c r="AE144" s="265" t="s">
        <v>132</v>
      </c>
      <c r="AF144" s="265" t="s">
        <v>132</v>
      </c>
      <c r="AG144" s="265" t="s">
        <v>132</v>
      </c>
      <c r="AH144" s="5"/>
    </row>
    <row r="145" spans="1:34">
      <c r="A145" s="17"/>
      <c r="B145" s="302" t="s">
        <v>129</v>
      </c>
      <c r="C145" s="302">
        <v>424</v>
      </c>
      <c r="D145" s="302">
        <v>317</v>
      </c>
      <c r="E145" s="302">
        <v>303</v>
      </c>
      <c r="F145" s="302">
        <v>0.21099999999999999</v>
      </c>
      <c r="G145" s="302">
        <v>0.109</v>
      </c>
      <c r="H145" s="248">
        <v>34</v>
      </c>
      <c r="I145" s="4"/>
      <c r="Q145" s="192">
        <v>240</v>
      </c>
      <c r="R145" s="193">
        <v>1.0900000000000001</v>
      </c>
      <c r="S145" s="255">
        <v>1.05</v>
      </c>
      <c r="U145" s="10"/>
      <c r="V145" s="10"/>
      <c r="W145" s="10"/>
      <c r="X145" s="10"/>
      <c r="Y145" s="10"/>
      <c r="Z145" s="5"/>
      <c r="AA145" s="5"/>
      <c r="AB145" s="5"/>
      <c r="AC145" s="5"/>
      <c r="AD145" s="5"/>
      <c r="AE145" s="5"/>
      <c r="AF145" s="5"/>
      <c r="AG145" s="5"/>
      <c r="AH145" s="5"/>
    </row>
    <row r="146" spans="1:34">
      <c r="A146" s="17"/>
      <c r="B146" s="302" t="s">
        <v>133</v>
      </c>
      <c r="C146" s="302">
        <v>502</v>
      </c>
      <c r="D146" s="302">
        <v>367</v>
      </c>
      <c r="E146" s="302">
        <v>350</v>
      </c>
      <c r="F146" s="302">
        <v>0.161</v>
      </c>
      <c r="G146" s="302">
        <v>0.105</v>
      </c>
      <c r="H146" s="248">
        <v>36</v>
      </c>
      <c r="Q146" s="192">
        <v>300</v>
      </c>
      <c r="R146" s="193">
        <v>1.0900000000000001</v>
      </c>
      <c r="S146" s="255">
        <v>1.05</v>
      </c>
      <c r="U146" s="10"/>
      <c r="V146" s="10"/>
      <c r="W146" s="10"/>
      <c r="X146" s="10"/>
      <c r="Y146" s="10"/>
      <c r="Z146" s="5"/>
      <c r="AA146" s="5"/>
      <c r="AB146" s="5"/>
      <c r="AC146" s="5"/>
      <c r="AD146" s="5"/>
      <c r="AE146" s="5"/>
      <c r="AF146" s="5"/>
      <c r="AG146" s="5"/>
      <c r="AH146" s="5"/>
    </row>
    <row r="147" spans="1:34">
      <c r="A147" s="17"/>
      <c r="B147" s="302" t="s">
        <v>134</v>
      </c>
      <c r="C147" s="302">
        <v>577</v>
      </c>
      <c r="D147" s="302">
        <v>414</v>
      </c>
      <c r="E147" s="302">
        <v>397</v>
      </c>
      <c r="F147" s="302">
        <v>0.13</v>
      </c>
      <c r="G147" s="302">
        <v>0.10199999999999999</v>
      </c>
      <c r="H147" s="248">
        <v>39</v>
      </c>
      <c r="Q147" s="192">
        <v>400</v>
      </c>
      <c r="R147" s="193">
        <v>1.0900000000000001</v>
      </c>
      <c r="S147" s="255">
        <v>1.05</v>
      </c>
      <c r="U147" s="10"/>
      <c r="V147" s="10"/>
      <c r="W147" s="10"/>
      <c r="X147" s="10"/>
      <c r="Y147" s="10"/>
      <c r="Z147" s="5"/>
      <c r="AA147" s="5"/>
      <c r="AB147" s="5"/>
      <c r="AC147" s="5"/>
      <c r="AD147" s="5"/>
      <c r="AE147" s="5"/>
      <c r="AF147" s="5"/>
      <c r="AG147" s="5"/>
      <c r="AH147" s="5"/>
    </row>
    <row r="148" spans="1:34">
      <c r="A148" s="17"/>
      <c r="B148" s="302" t="s">
        <v>135</v>
      </c>
      <c r="C148" s="302">
        <v>673</v>
      </c>
      <c r="D148" s="302">
        <v>470</v>
      </c>
      <c r="E148" s="302">
        <v>451</v>
      </c>
      <c r="F148" s="302">
        <v>0.10199999999999999</v>
      </c>
      <c r="G148" s="302">
        <v>9.8000000000000004E-2</v>
      </c>
      <c r="H148" s="248">
        <v>42</v>
      </c>
      <c r="Q148" s="192">
        <v>500</v>
      </c>
      <c r="R148" s="193">
        <v>1.0900000000000001</v>
      </c>
      <c r="S148" s="255">
        <v>1.05</v>
      </c>
      <c r="U148" s="10"/>
      <c r="V148" s="10"/>
      <c r="W148" s="10"/>
      <c r="X148" s="10"/>
      <c r="Y148" s="10"/>
      <c r="Z148" s="5"/>
      <c r="AA148" s="5"/>
      <c r="AB148" s="5"/>
      <c r="AC148" s="5"/>
      <c r="AD148" s="5"/>
      <c r="AE148" s="5"/>
      <c r="AF148" s="5"/>
      <c r="AG148" s="5"/>
      <c r="AH148" s="5"/>
    </row>
    <row r="149" spans="1:34">
      <c r="A149" s="17"/>
      <c r="B149" s="302" t="s">
        <v>137</v>
      </c>
      <c r="C149" s="302">
        <v>757</v>
      </c>
      <c r="D149" s="302">
        <v>519</v>
      </c>
      <c r="E149" s="302">
        <v>493</v>
      </c>
      <c r="F149" s="302">
        <v>0.08</v>
      </c>
      <c r="G149" s="302">
        <v>9.6000000000000002E-2</v>
      </c>
      <c r="H149" s="248">
        <v>46</v>
      </c>
      <c r="Q149" s="192">
        <v>630</v>
      </c>
      <c r="R149" s="193">
        <v>1.0900000000000001</v>
      </c>
      <c r="S149" s="255">
        <v>1.05</v>
      </c>
      <c r="U149" s="10"/>
      <c r="V149" s="10"/>
      <c r="W149" s="10"/>
      <c r="X149" s="10"/>
      <c r="Y149" s="10"/>
      <c r="Z149" s="5"/>
      <c r="AA149" s="5"/>
      <c r="AB149" s="5"/>
      <c r="AC149" s="5"/>
      <c r="AD149" s="5"/>
      <c r="AE149" s="5"/>
      <c r="AF149" s="5"/>
      <c r="AG149" s="5"/>
      <c r="AH149" s="5"/>
    </row>
    <row r="150" spans="1:34">
      <c r="A150" s="17"/>
      <c r="B150" s="302" t="s">
        <v>138</v>
      </c>
      <c r="C150" s="302">
        <v>876</v>
      </c>
      <c r="D150" s="302">
        <v>586</v>
      </c>
      <c r="E150" s="302">
        <v>557</v>
      </c>
      <c r="F150" s="302">
        <v>6.3E-2</v>
      </c>
      <c r="G150" s="302">
        <v>9.4E-2</v>
      </c>
      <c r="H150" s="248">
        <v>50</v>
      </c>
      <c r="S150" s="123"/>
      <c r="U150" s="10"/>
      <c r="V150" s="10"/>
      <c r="W150" s="10"/>
      <c r="X150" s="10"/>
      <c r="Y150" s="10"/>
      <c r="Z150" s="5"/>
      <c r="AA150" s="5"/>
      <c r="AB150" s="5"/>
      <c r="AC150" s="5"/>
      <c r="AD150" s="5"/>
      <c r="AE150" s="5"/>
      <c r="AF150" s="5"/>
      <c r="AG150" s="5"/>
      <c r="AH150" s="5"/>
    </row>
    <row r="151" spans="1:34">
      <c r="A151" s="17"/>
      <c r="B151" s="302" t="s">
        <v>224</v>
      </c>
      <c r="C151" s="302">
        <v>1005</v>
      </c>
      <c r="D151" s="302">
        <v>655</v>
      </c>
      <c r="E151" s="302">
        <v>622</v>
      </c>
      <c r="F151" s="302">
        <v>5.0999999999999997E-2</v>
      </c>
      <c r="G151" s="302">
        <v>0.09</v>
      </c>
      <c r="H151" s="248">
        <v>54</v>
      </c>
      <c r="S151" s="123"/>
      <c r="U151" s="10"/>
      <c r="V151" s="10"/>
      <c r="W151" s="10"/>
      <c r="X151" s="10"/>
      <c r="Y151" s="10"/>
      <c r="Z151" s="5"/>
      <c r="AA151" s="5"/>
      <c r="AB151" s="5"/>
      <c r="AC151" s="5"/>
      <c r="AD151" s="5"/>
      <c r="AE151" s="5"/>
      <c r="AF151" s="5"/>
      <c r="AG151" s="5"/>
      <c r="AH151" s="5"/>
    </row>
    <row r="152" spans="1:34">
      <c r="A152" s="17"/>
      <c r="B152" s="302" t="s">
        <v>225</v>
      </c>
      <c r="C152" s="302">
        <v>1138</v>
      </c>
      <c r="D152" s="302">
        <v>723</v>
      </c>
      <c r="E152" s="302">
        <v>687</v>
      </c>
      <c r="F152" s="302">
        <v>4.2999999999999997E-2</v>
      </c>
      <c r="G152" s="302">
        <v>8.7999999999999995E-2</v>
      </c>
      <c r="H152" s="248">
        <v>59</v>
      </c>
      <c r="S152" s="123"/>
      <c r="U152" s="10"/>
      <c r="V152" s="10"/>
      <c r="W152" s="10"/>
      <c r="X152" s="10"/>
      <c r="Y152" s="10"/>
      <c r="Z152" s="5"/>
      <c r="AA152" s="5"/>
      <c r="AB152" s="5"/>
      <c r="AC152" s="5"/>
      <c r="AD152" s="5"/>
      <c r="AE152" s="5"/>
      <c r="AF152" s="5"/>
      <c r="AG152" s="5"/>
      <c r="AH152" s="5"/>
    </row>
    <row r="153" spans="1:34">
      <c r="A153" s="17"/>
      <c r="B153" s="302"/>
      <c r="C153" s="302"/>
      <c r="D153" s="302"/>
      <c r="E153" s="302"/>
      <c r="F153" s="302"/>
      <c r="G153" s="302"/>
      <c r="H153" s="307"/>
      <c r="S153" s="123"/>
      <c r="U153" s="10"/>
      <c r="V153" s="10"/>
      <c r="W153" s="10"/>
      <c r="X153" s="10"/>
      <c r="Y153" s="10"/>
      <c r="Z153" s="5"/>
      <c r="AA153" s="5"/>
      <c r="AB153" s="5"/>
      <c r="AC153" s="5"/>
      <c r="AD153" s="5"/>
      <c r="AE153" s="5"/>
      <c r="AF153" s="5"/>
      <c r="AG153" s="5"/>
      <c r="AH153" s="5"/>
    </row>
    <row r="154" spans="1:34" ht="19.5" customHeight="1">
      <c r="A154" s="17"/>
      <c r="H154" s="18"/>
      <c r="I154" s="7"/>
      <c r="J154" s="3"/>
      <c r="O154" s="3"/>
      <c r="S154" s="123"/>
      <c r="T154" s="5"/>
      <c r="U154" s="5"/>
      <c r="V154" s="5"/>
      <c r="W154" s="5"/>
      <c r="X154" s="5"/>
      <c r="Y154" s="5"/>
      <c r="Z154" s="5"/>
      <c r="AA154" s="5"/>
      <c r="AB154" s="5"/>
      <c r="AC154" s="5"/>
      <c r="AD154" s="5"/>
      <c r="AE154" s="5"/>
      <c r="AF154" s="5"/>
      <c r="AG154" s="5"/>
      <c r="AH154" s="5"/>
    </row>
    <row r="155" spans="1:34" ht="19.5" customHeight="1">
      <c r="A155" s="27"/>
      <c r="H155" s="21"/>
      <c r="I155" s="7"/>
      <c r="J155" s="3"/>
      <c r="O155" s="3"/>
      <c r="S155" s="123"/>
    </row>
    <row r="156" spans="1:34" ht="27.75" customHeight="1">
      <c r="A156" s="27"/>
      <c r="B156" s="45" t="s">
        <v>226</v>
      </c>
      <c r="C156" s="44"/>
      <c r="D156" s="45"/>
      <c r="E156" s="45"/>
      <c r="F156" s="45" t="s">
        <v>228</v>
      </c>
      <c r="G156" s="46"/>
      <c r="H156" s="21"/>
      <c r="S156" s="123"/>
    </row>
    <row r="157" spans="1:34" ht="42" customHeight="1">
      <c r="A157" s="27"/>
      <c r="B157" s="963" t="s">
        <v>109</v>
      </c>
      <c r="C157" s="956" t="s">
        <v>110</v>
      </c>
      <c r="D157" s="957"/>
      <c r="E157" s="964"/>
      <c r="F157" s="963" t="s">
        <v>208</v>
      </c>
      <c r="G157" s="963" t="s">
        <v>209</v>
      </c>
      <c r="H157" s="965" t="s">
        <v>210</v>
      </c>
      <c r="S157" s="123"/>
    </row>
    <row r="158" spans="1:34" ht="32.25" customHeight="1">
      <c r="A158" s="27"/>
      <c r="B158" s="955"/>
      <c r="C158" s="187" t="s">
        <v>121</v>
      </c>
      <c r="D158" s="187" t="s">
        <v>122</v>
      </c>
      <c r="E158" s="187" t="s">
        <v>123</v>
      </c>
      <c r="F158" s="955"/>
      <c r="G158" s="955"/>
      <c r="H158" s="966"/>
      <c r="S158" s="123"/>
    </row>
    <row r="159" spans="1:34" ht="32.25" customHeight="1">
      <c r="A159" s="27"/>
      <c r="B159" s="308" t="s">
        <v>159</v>
      </c>
      <c r="C159" s="309">
        <v>28</v>
      </c>
      <c r="D159" s="309">
        <v>34</v>
      </c>
      <c r="E159" s="309">
        <v>28</v>
      </c>
      <c r="F159" s="309">
        <v>9.48</v>
      </c>
      <c r="G159" s="309">
        <v>0.1007</v>
      </c>
      <c r="H159" s="310">
        <v>14</v>
      </c>
      <c r="I159" s="186" t="s">
        <v>230</v>
      </c>
      <c r="S159" s="123"/>
    </row>
    <row r="160" spans="1:34" ht="32.25" customHeight="1">
      <c r="A160" s="27"/>
      <c r="B160" s="308" t="s">
        <v>160</v>
      </c>
      <c r="C160" s="309">
        <v>38</v>
      </c>
      <c r="D160" s="309">
        <v>44</v>
      </c>
      <c r="E160" s="309">
        <v>37</v>
      </c>
      <c r="F160" s="309">
        <v>5.9</v>
      </c>
      <c r="G160" s="309">
        <v>9.4700000000000006E-2</v>
      </c>
      <c r="H160" s="310">
        <v>15</v>
      </c>
      <c r="I160" s="186" t="s">
        <v>230</v>
      </c>
      <c r="S160" s="123"/>
    </row>
    <row r="161" spans="1:19" ht="32.25" customHeight="1">
      <c r="A161" s="27"/>
      <c r="B161" s="850" t="s">
        <v>161</v>
      </c>
      <c r="C161" s="850">
        <v>51</v>
      </c>
      <c r="D161" s="850">
        <v>55</v>
      </c>
      <c r="E161" s="850">
        <v>46</v>
      </c>
      <c r="F161" s="850">
        <v>3.94</v>
      </c>
      <c r="G161" s="850">
        <v>9.0200000000000002E-2</v>
      </c>
      <c r="H161" s="851">
        <v>16</v>
      </c>
      <c r="I161" s="186" t="s">
        <v>230</v>
      </c>
      <c r="S161" s="123"/>
    </row>
    <row r="162" spans="1:19" ht="19.5" customHeight="1">
      <c r="A162" s="27"/>
      <c r="B162" s="302" t="s">
        <v>167</v>
      </c>
      <c r="C162" s="302">
        <v>196</v>
      </c>
      <c r="D162" s="302">
        <v>171</v>
      </c>
      <c r="E162" s="302">
        <v>150</v>
      </c>
      <c r="F162" s="302">
        <v>0.56799999999999995</v>
      </c>
      <c r="G162" s="302">
        <v>0.10299999999999999</v>
      </c>
      <c r="H162" s="311">
        <v>52</v>
      </c>
      <c r="S162" s="123"/>
    </row>
    <row r="163" spans="1:19" ht="32.25" customHeight="1">
      <c r="A163" s="27"/>
      <c r="B163" s="302" t="s">
        <v>168</v>
      </c>
      <c r="C163" s="302">
        <v>238</v>
      </c>
      <c r="D163" s="302">
        <v>204</v>
      </c>
      <c r="E163" s="302">
        <v>180</v>
      </c>
      <c r="F163" s="302">
        <v>0.41099999999999998</v>
      </c>
      <c r="G163" s="302">
        <v>9.9000000000000005E-2</v>
      </c>
      <c r="H163" s="311">
        <v>55</v>
      </c>
      <c r="S163" s="123"/>
    </row>
    <row r="164" spans="1:19" ht="19.5" customHeight="1">
      <c r="A164" s="27"/>
      <c r="B164" s="302" t="s">
        <v>169</v>
      </c>
      <c r="C164" s="302">
        <v>274</v>
      </c>
      <c r="D164" s="302">
        <v>232</v>
      </c>
      <c r="E164" s="302">
        <v>206</v>
      </c>
      <c r="F164" s="302">
        <v>0.32500000000000001</v>
      </c>
      <c r="G164" s="302">
        <v>9.5000000000000001E-2</v>
      </c>
      <c r="H164" s="311">
        <v>59</v>
      </c>
      <c r="S164" s="123"/>
    </row>
    <row r="165" spans="1:19" ht="19.5" customHeight="1">
      <c r="A165" s="27"/>
      <c r="B165" s="302" t="s">
        <v>170</v>
      </c>
      <c r="C165" s="302">
        <v>309</v>
      </c>
      <c r="D165" s="302">
        <v>259</v>
      </c>
      <c r="E165" s="302">
        <v>231</v>
      </c>
      <c r="F165" s="302">
        <v>0.26500000000000001</v>
      </c>
      <c r="G165" s="302">
        <v>9.2999999999999999E-2</v>
      </c>
      <c r="H165" s="311">
        <v>62</v>
      </c>
      <c r="S165" s="123"/>
    </row>
    <row r="166" spans="1:19" ht="19.5" customHeight="1">
      <c r="A166" s="27"/>
      <c r="B166" s="302" t="s">
        <v>171</v>
      </c>
      <c r="C166" s="302">
        <v>354</v>
      </c>
      <c r="D166" s="302">
        <v>293</v>
      </c>
      <c r="E166" s="302">
        <v>262</v>
      </c>
      <c r="F166" s="302">
        <v>0.21099999999999999</v>
      </c>
      <c r="G166" s="302">
        <v>8.8999999999999996E-2</v>
      </c>
      <c r="H166" s="311">
        <v>66</v>
      </c>
      <c r="S166" s="123"/>
    </row>
    <row r="167" spans="1:19" ht="19.5" customHeight="1">
      <c r="A167" s="27"/>
      <c r="B167" s="302" t="s">
        <v>172</v>
      </c>
      <c r="C167" s="302">
        <v>415</v>
      </c>
      <c r="D167" s="302">
        <v>338</v>
      </c>
      <c r="E167" s="302">
        <v>304</v>
      </c>
      <c r="F167" s="302">
        <v>0.16200000000000001</v>
      </c>
      <c r="G167" s="302">
        <v>8.6999999999999994E-2</v>
      </c>
      <c r="H167" s="311">
        <v>72</v>
      </c>
      <c r="S167" s="123"/>
    </row>
    <row r="168" spans="1:19" ht="19.5" customHeight="1">
      <c r="A168" s="27"/>
      <c r="B168" s="302" t="s">
        <v>173</v>
      </c>
      <c r="C168" s="302">
        <v>472</v>
      </c>
      <c r="D168" s="302">
        <v>380</v>
      </c>
      <c r="E168" s="302">
        <v>343</v>
      </c>
      <c r="F168" s="302">
        <v>0.13</v>
      </c>
      <c r="G168" s="302">
        <v>8.4000000000000005E-2</v>
      </c>
      <c r="H168" s="311">
        <v>78</v>
      </c>
      <c r="S168" s="123"/>
    </row>
    <row r="169" spans="1:19" ht="19.5" customHeight="1">
      <c r="A169" s="27"/>
      <c r="B169" s="302" t="s">
        <v>174</v>
      </c>
      <c r="C169" s="302">
        <v>545</v>
      </c>
      <c r="D169" s="302">
        <v>432</v>
      </c>
      <c r="E169" s="302">
        <v>393</v>
      </c>
      <c r="F169" s="302">
        <v>0.10199999999999999</v>
      </c>
      <c r="G169" s="302">
        <v>8.1000000000000003E-2</v>
      </c>
      <c r="H169" s="311">
        <v>84</v>
      </c>
      <c r="S169" s="123"/>
    </row>
    <row r="170" spans="1:19" ht="19.5" customHeight="1">
      <c r="A170" s="27"/>
      <c r="H170" s="21"/>
      <c r="S170" s="123"/>
    </row>
    <row r="171" spans="1:19" ht="19.5" customHeight="1">
      <c r="A171" s="27"/>
      <c r="H171" s="21"/>
      <c r="I171" s="8"/>
      <c r="K171" s="2"/>
      <c r="L171" s="2"/>
      <c r="M171" s="2"/>
      <c r="N171" s="2"/>
      <c r="S171" s="123"/>
    </row>
    <row r="172" spans="1:19" ht="19.5" customHeight="1">
      <c r="A172" s="27"/>
      <c r="H172" s="21"/>
      <c r="I172" s="8"/>
      <c r="K172" s="2"/>
      <c r="L172" s="2"/>
      <c r="M172" s="2"/>
      <c r="N172" s="2"/>
      <c r="S172" s="123"/>
    </row>
    <row r="173" spans="1:19" ht="19.5" customHeight="1" thickBot="1">
      <c r="A173" s="28"/>
      <c r="B173" s="29"/>
      <c r="C173" s="29"/>
      <c r="D173" s="29"/>
      <c r="E173" s="29"/>
      <c r="F173" s="29"/>
      <c r="G173" s="29"/>
      <c r="H173" s="30"/>
      <c r="I173" s="124"/>
      <c r="J173" s="29"/>
      <c r="K173" s="125"/>
      <c r="L173" s="125"/>
      <c r="M173" s="125"/>
      <c r="N173" s="125"/>
      <c r="O173" s="29"/>
      <c r="P173" s="29"/>
      <c r="Q173" s="29"/>
      <c r="R173" s="29"/>
      <c r="S173" s="126"/>
    </row>
    <row r="174" spans="1:19" ht="19.5" customHeight="1" thickBot="1">
      <c r="I174" s="8"/>
    </row>
    <row r="175" spans="1:19" ht="19.5" customHeight="1">
      <c r="A175" s="31"/>
      <c r="B175" s="967" t="s">
        <v>231</v>
      </c>
      <c r="C175" s="968"/>
      <c r="D175" s="968"/>
      <c r="E175" s="968"/>
      <c r="F175" s="969"/>
      <c r="G175" s="32"/>
      <c r="H175" s="33"/>
      <c r="I175" s="127"/>
      <c r="J175" s="32"/>
      <c r="K175" s="128"/>
      <c r="L175" s="128"/>
      <c r="M175" s="128"/>
      <c r="N175" s="128"/>
      <c r="O175" s="32"/>
      <c r="P175" s="32"/>
      <c r="Q175" s="32"/>
      <c r="R175" s="32"/>
      <c r="S175" s="129"/>
    </row>
    <row r="176" spans="1:19" ht="19.5" customHeight="1">
      <c r="A176" s="27"/>
      <c r="H176" s="21"/>
      <c r="I176" s="8"/>
      <c r="S176" s="123"/>
    </row>
    <row r="177" spans="1:34" ht="28.5" customHeight="1">
      <c r="A177" s="27"/>
      <c r="B177" s="312" t="s">
        <v>206</v>
      </c>
      <c r="C177" s="282"/>
      <c r="D177" s="313"/>
      <c r="E177" s="313"/>
      <c r="F177" s="313" t="s">
        <v>232</v>
      </c>
      <c r="G177" s="314"/>
      <c r="H177" s="315"/>
      <c r="S177" s="123"/>
    </row>
    <row r="178" spans="1:34" ht="19.5" customHeight="1">
      <c r="A178" s="17"/>
      <c r="B178" s="7"/>
      <c r="C178" s="7"/>
      <c r="D178" s="7"/>
      <c r="E178" s="7"/>
      <c r="F178" s="7"/>
      <c r="G178" s="7"/>
      <c r="H178" s="18"/>
      <c r="I178" s="4"/>
      <c r="P178" s="4"/>
      <c r="Q178" s="4"/>
      <c r="R178" s="4"/>
      <c r="S178" s="122"/>
      <c r="T178" s="5"/>
      <c r="U178" s="5"/>
      <c r="V178" s="5"/>
      <c r="W178" s="5"/>
      <c r="X178" s="5"/>
      <c r="Y178" s="5"/>
      <c r="Z178" s="5"/>
      <c r="AA178" s="5"/>
      <c r="AB178" s="5"/>
      <c r="AC178" s="5"/>
      <c r="AD178" s="5"/>
      <c r="AE178" s="5"/>
      <c r="AF178" s="5"/>
      <c r="AG178" s="5"/>
      <c r="AH178" s="5"/>
    </row>
    <row r="179" spans="1:34" ht="64.5" customHeight="1">
      <c r="A179" s="27"/>
      <c r="B179" s="963" t="s">
        <v>109</v>
      </c>
      <c r="C179" s="956" t="s">
        <v>110</v>
      </c>
      <c r="D179" s="957"/>
      <c r="E179" s="964"/>
      <c r="F179" s="963" t="s">
        <v>208</v>
      </c>
      <c r="G179" s="963" t="s">
        <v>209</v>
      </c>
      <c r="H179" s="965" t="s">
        <v>210</v>
      </c>
      <c r="I179" s="1001" t="s">
        <v>211</v>
      </c>
      <c r="J179" s="982" t="s">
        <v>115</v>
      </c>
      <c r="K179" s="977" t="s">
        <v>116</v>
      </c>
      <c r="L179" s="977" t="s">
        <v>233</v>
      </c>
      <c r="M179" s="977"/>
      <c r="N179" s="977" t="s">
        <v>118</v>
      </c>
      <c r="O179" s="977" t="s">
        <v>234</v>
      </c>
      <c r="P179" s="977"/>
      <c r="Q179" s="956" t="s">
        <v>235</v>
      </c>
      <c r="R179" s="957"/>
      <c r="S179" s="960"/>
      <c r="U179" s="275" t="s">
        <v>236</v>
      </c>
      <c r="V179" s="275" t="s">
        <v>237</v>
      </c>
      <c r="X179" s="275" t="s">
        <v>236</v>
      </c>
      <c r="Y179" s="275" t="s">
        <v>237</v>
      </c>
    </row>
    <row r="180" spans="1:34" ht="75" customHeight="1">
      <c r="A180" s="27"/>
      <c r="B180" s="955"/>
      <c r="C180" s="187" t="s">
        <v>238</v>
      </c>
      <c r="D180" s="187" t="s">
        <v>216</v>
      </c>
      <c r="E180" s="187" t="s">
        <v>217</v>
      </c>
      <c r="F180" s="955"/>
      <c r="G180" s="955"/>
      <c r="H180" s="966"/>
      <c r="I180" s="1002"/>
      <c r="J180" s="983"/>
      <c r="K180" s="963"/>
      <c r="L180" s="275" t="s">
        <v>218</v>
      </c>
      <c r="M180" s="275" t="s">
        <v>125</v>
      </c>
      <c r="N180" s="963"/>
      <c r="O180" s="275" t="s">
        <v>126</v>
      </c>
      <c r="P180" s="275" t="s">
        <v>127</v>
      </c>
      <c r="Q180" s="275" t="s">
        <v>128</v>
      </c>
      <c r="R180" s="275" t="s">
        <v>126</v>
      </c>
      <c r="S180" s="316" t="s">
        <v>127</v>
      </c>
      <c r="U180" s="275" t="s">
        <v>126</v>
      </c>
      <c r="V180" s="275" t="s">
        <v>126</v>
      </c>
      <c r="X180" s="275" t="s">
        <v>127</v>
      </c>
      <c r="Y180" s="275" t="s">
        <v>127</v>
      </c>
    </row>
    <row r="181" spans="1:34" ht="20.100000000000001" customHeight="1">
      <c r="A181" s="27"/>
      <c r="B181" s="270" t="s">
        <v>219</v>
      </c>
      <c r="C181" s="270">
        <v>230</v>
      </c>
      <c r="D181" s="270">
        <v>186</v>
      </c>
      <c r="E181" s="270">
        <v>176</v>
      </c>
      <c r="F181" s="302">
        <v>0.56799999999999995</v>
      </c>
      <c r="G181" s="302">
        <v>0.14599999999999999</v>
      </c>
      <c r="H181" s="317">
        <v>38</v>
      </c>
      <c r="I181" s="999" t="s">
        <v>239</v>
      </c>
      <c r="J181" s="189" t="s">
        <v>131</v>
      </c>
      <c r="K181" s="249">
        <v>0.82</v>
      </c>
      <c r="L181" s="303">
        <v>0.9</v>
      </c>
      <c r="M181" s="303">
        <v>0.73</v>
      </c>
      <c r="N181" s="190" t="s">
        <v>132</v>
      </c>
      <c r="O181" s="190" t="s">
        <v>132</v>
      </c>
      <c r="P181" s="190" t="s">
        <v>132</v>
      </c>
      <c r="Q181" s="191"/>
      <c r="R181" s="191"/>
      <c r="S181" s="251"/>
      <c r="AA181" s="189" t="s">
        <v>131</v>
      </c>
      <c r="AB181" s="249">
        <v>0.89</v>
      </c>
      <c r="AC181" s="250">
        <v>0.81</v>
      </c>
      <c r="AD181" s="190">
        <v>0.66</v>
      </c>
      <c r="AE181" s="190" t="s">
        <v>132</v>
      </c>
      <c r="AF181" s="190" t="s">
        <v>132</v>
      </c>
      <c r="AG181" s="190" t="s">
        <v>132</v>
      </c>
    </row>
    <row r="182" spans="1:34" ht="20.100000000000001" customHeight="1">
      <c r="A182" s="27"/>
      <c r="B182" s="270" t="s">
        <v>221</v>
      </c>
      <c r="C182" s="270">
        <v>280</v>
      </c>
      <c r="D182" s="270">
        <v>221</v>
      </c>
      <c r="E182" s="270">
        <v>210</v>
      </c>
      <c r="F182" s="302">
        <v>0.41099999999999998</v>
      </c>
      <c r="G182" s="302">
        <v>0.14000000000000001</v>
      </c>
      <c r="H182" s="317">
        <v>39</v>
      </c>
      <c r="I182" s="1000"/>
      <c r="J182" s="304" t="s">
        <v>123</v>
      </c>
      <c r="K182" s="190" t="s">
        <v>132</v>
      </c>
      <c r="L182" s="303">
        <v>0.64</v>
      </c>
      <c r="M182" s="305">
        <v>0.8</v>
      </c>
      <c r="N182" s="190">
        <v>0.89</v>
      </c>
      <c r="O182" s="190">
        <v>0.93</v>
      </c>
      <c r="P182" s="190">
        <v>0.95</v>
      </c>
      <c r="Q182" s="192">
        <v>120</v>
      </c>
      <c r="R182" s="193">
        <v>1.0900000000000001</v>
      </c>
      <c r="S182" s="268">
        <v>1.05</v>
      </c>
      <c r="U182" s="267">
        <v>1.1299999999999999</v>
      </c>
      <c r="V182" s="267">
        <v>0.91</v>
      </c>
      <c r="X182" s="318">
        <v>1.0900000000000001</v>
      </c>
      <c r="Y182" s="318">
        <v>0.93</v>
      </c>
      <c r="AA182" s="252" t="s">
        <v>123</v>
      </c>
      <c r="AB182" s="253" t="s">
        <v>132</v>
      </c>
      <c r="AC182" s="254">
        <v>0.74</v>
      </c>
      <c r="AD182" s="253">
        <v>0.71</v>
      </c>
      <c r="AE182" s="253">
        <v>0.96</v>
      </c>
      <c r="AF182" s="253">
        <v>0.98</v>
      </c>
      <c r="AG182" s="253">
        <v>0.98</v>
      </c>
    </row>
    <row r="183" spans="1:34" ht="20.100000000000001" customHeight="1">
      <c r="A183" s="27"/>
      <c r="B183" s="270" t="s">
        <v>222</v>
      </c>
      <c r="C183" s="270">
        <v>324</v>
      </c>
      <c r="D183" s="270">
        <v>252</v>
      </c>
      <c r="E183" s="270">
        <v>240</v>
      </c>
      <c r="F183" s="302">
        <v>0.32500000000000001</v>
      </c>
      <c r="G183" s="302">
        <v>0.13400000000000001</v>
      </c>
      <c r="H183" s="317">
        <v>41</v>
      </c>
      <c r="I183" s="4"/>
      <c r="J183" s="304" t="s">
        <v>122</v>
      </c>
      <c r="K183" s="190" t="s">
        <v>132</v>
      </c>
      <c r="L183" s="303">
        <v>0.64</v>
      </c>
      <c r="M183" s="305">
        <v>0.8</v>
      </c>
      <c r="N183" s="190">
        <v>0.89</v>
      </c>
      <c r="O183" s="190">
        <v>0.93</v>
      </c>
      <c r="P183" s="190">
        <v>0.96</v>
      </c>
      <c r="Q183" s="192">
        <v>150</v>
      </c>
      <c r="R183" s="193">
        <v>1.0900000000000001</v>
      </c>
      <c r="S183" s="268">
        <v>1.05</v>
      </c>
      <c r="U183" s="267">
        <v>1.1299999999999999</v>
      </c>
      <c r="V183" s="267">
        <v>0.91</v>
      </c>
      <c r="X183" s="318">
        <v>1.0900000000000001</v>
      </c>
      <c r="Y183" s="318">
        <v>0.93</v>
      </c>
      <c r="AA183" s="256" t="s">
        <v>122</v>
      </c>
      <c r="AB183" s="257" t="s">
        <v>132</v>
      </c>
      <c r="AC183" s="257">
        <v>0.61</v>
      </c>
      <c r="AD183" s="257">
        <v>0.54</v>
      </c>
      <c r="AE183" s="257">
        <v>0.96</v>
      </c>
      <c r="AF183" s="257">
        <v>0.98</v>
      </c>
      <c r="AG183" s="257">
        <v>0.98</v>
      </c>
    </row>
    <row r="184" spans="1:34" ht="37.5" customHeight="1">
      <c r="A184" s="27"/>
      <c r="B184" s="270" t="s">
        <v>223</v>
      </c>
      <c r="C184" s="270">
        <v>368</v>
      </c>
      <c r="D184" s="270">
        <v>281</v>
      </c>
      <c r="E184" s="270">
        <v>267</v>
      </c>
      <c r="F184" s="302">
        <v>0.26500000000000001</v>
      </c>
      <c r="G184" s="302">
        <v>0.13200000000000001</v>
      </c>
      <c r="H184" s="317">
        <v>43</v>
      </c>
      <c r="I184" s="4"/>
      <c r="J184" s="306" t="s">
        <v>136</v>
      </c>
      <c r="K184" s="249">
        <v>0.82</v>
      </c>
      <c r="L184" s="303">
        <v>0.9</v>
      </c>
      <c r="M184" s="303">
        <v>0.73</v>
      </c>
      <c r="N184" s="190" t="s">
        <v>132</v>
      </c>
      <c r="O184" s="190" t="s">
        <v>132</v>
      </c>
      <c r="P184" s="190" t="s">
        <v>132</v>
      </c>
      <c r="Q184" s="192">
        <v>185</v>
      </c>
      <c r="R184" s="193">
        <v>1.0900000000000001</v>
      </c>
      <c r="S184" s="255">
        <v>1.05</v>
      </c>
      <c r="U184" s="267">
        <v>1.1299999999999999</v>
      </c>
      <c r="V184" s="267">
        <v>0.91</v>
      </c>
      <c r="X184" s="318">
        <v>1.0900000000000001</v>
      </c>
      <c r="Y184" s="318">
        <v>0.93</v>
      </c>
      <c r="AA184" s="263" t="s">
        <v>136</v>
      </c>
      <c r="AB184" s="264">
        <v>0.89</v>
      </c>
      <c r="AC184" s="264">
        <v>0.81</v>
      </c>
      <c r="AD184" s="264">
        <v>0.66</v>
      </c>
      <c r="AE184" s="265" t="s">
        <v>132</v>
      </c>
      <c r="AF184" s="265" t="s">
        <v>132</v>
      </c>
      <c r="AG184" s="265" t="s">
        <v>132</v>
      </c>
    </row>
    <row r="185" spans="1:34" ht="20.100000000000001" customHeight="1">
      <c r="A185" s="27"/>
      <c r="B185" s="188" t="s">
        <v>129</v>
      </c>
      <c r="C185" s="188">
        <v>424</v>
      </c>
      <c r="D185" s="188">
        <v>317</v>
      </c>
      <c r="E185" s="188">
        <v>303</v>
      </c>
      <c r="F185" s="285">
        <v>0.21099999999999999</v>
      </c>
      <c r="G185" s="285">
        <v>0.126</v>
      </c>
      <c r="H185" s="317">
        <v>45</v>
      </c>
      <c r="I185" s="4"/>
      <c r="Q185" s="192">
        <v>240</v>
      </c>
      <c r="R185" s="193">
        <v>1.0900000000000001</v>
      </c>
      <c r="S185" s="255">
        <v>1.05</v>
      </c>
      <c r="U185" s="267">
        <v>1.1399999999999999</v>
      </c>
      <c r="V185" s="267">
        <v>0.91</v>
      </c>
      <c r="X185" s="318">
        <v>1.1000000000000001</v>
      </c>
      <c r="Y185" s="318">
        <v>0.93</v>
      </c>
    </row>
    <row r="186" spans="1:34" ht="20.100000000000001" customHeight="1">
      <c r="A186" s="27"/>
      <c r="B186" s="188" t="s">
        <v>133</v>
      </c>
      <c r="C186" s="188">
        <v>502</v>
      </c>
      <c r="D186" s="188">
        <v>367</v>
      </c>
      <c r="E186" s="188">
        <v>350</v>
      </c>
      <c r="F186" s="285">
        <v>0.161</v>
      </c>
      <c r="G186" s="285">
        <v>0.122</v>
      </c>
      <c r="H186" s="317">
        <v>47</v>
      </c>
      <c r="Q186" s="192">
        <v>300</v>
      </c>
      <c r="R186" s="193">
        <v>1.0900000000000001</v>
      </c>
      <c r="S186" s="255">
        <v>1.05</v>
      </c>
      <c r="U186" s="267">
        <v>1.1399999999999999</v>
      </c>
      <c r="V186" s="267">
        <v>0.9</v>
      </c>
      <c r="X186" s="318">
        <v>1.1000000000000001</v>
      </c>
      <c r="Y186" s="318">
        <v>0.92</v>
      </c>
    </row>
    <row r="187" spans="1:34" ht="20.100000000000001" customHeight="1">
      <c r="A187" s="27"/>
      <c r="B187" s="188" t="s">
        <v>134</v>
      </c>
      <c r="C187" s="188">
        <v>577</v>
      </c>
      <c r="D187" s="188">
        <v>414</v>
      </c>
      <c r="E187" s="188">
        <v>397</v>
      </c>
      <c r="F187" s="285">
        <v>0.13</v>
      </c>
      <c r="G187" s="285">
        <v>0.11799999999999999</v>
      </c>
      <c r="H187" s="317">
        <v>50</v>
      </c>
      <c r="Q187" s="192">
        <v>400</v>
      </c>
      <c r="R187" s="193">
        <v>1.0900000000000001</v>
      </c>
      <c r="S187" s="255">
        <v>1.05</v>
      </c>
      <c r="U187" s="267">
        <v>1.1399999999999999</v>
      </c>
      <c r="V187" s="267">
        <v>0.9</v>
      </c>
      <c r="X187" s="318">
        <v>1.1000000000000001</v>
      </c>
      <c r="Y187" s="318">
        <v>0.92</v>
      </c>
    </row>
    <row r="188" spans="1:34" ht="20.100000000000001" customHeight="1">
      <c r="A188" s="27"/>
      <c r="B188" s="188" t="s">
        <v>135</v>
      </c>
      <c r="C188" s="188">
        <v>673</v>
      </c>
      <c r="D188" s="188">
        <v>470</v>
      </c>
      <c r="E188" s="188">
        <v>451</v>
      </c>
      <c r="F188" s="285">
        <v>0.10199999999999999</v>
      </c>
      <c r="G188" s="285">
        <v>0.113</v>
      </c>
      <c r="H188" s="317">
        <v>53</v>
      </c>
      <c r="Q188" s="192">
        <v>500</v>
      </c>
      <c r="R188" s="193">
        <v>1.0900000000000001</v>
      </c>
      <c r="S188" s="255">
        <v>1.05</v>
      </c>
      <c r="U188" s="267">
        <v>1.1399999999999999</v>
      </c>
      <c r="V188" s="267">
        <v>0.9</v>
      </c>
      <c r="X188" s="318">
        <v>1.1000000000000001</v>
      </c>
      <c r="Y188" s="318">
        <v>0.92</v>
      </c>
    </row>
    <row r="189" spans="1:34" ht="20.100000000000001" customHeight="1">
      <c r="A189" s="27"/>
      <c r="B189" s="188" t="s">
        <v>137</v>
      </c>
      <c r="C189" s="188">
        <v>757</v>
      </c>
      <c r="D189" s="188">
        <v>519</v>
      </c>
      <c r="E189" s="188">
        <v>493</v>
      </c>
      <c r="F189" s="285">
        <v>0.08</v>
      </c>
      <c r="G189" s="285">
        <v>0.109</v>
      </c>
      <c r="H189" s="317">
        <v>56</v>
      </c>
      <c r="Q189" s="192">
        <v>630</v>
      </c>
      <c r="R189" s="193">
        <v>1.0900000000000001</v>
      </c>
      <c r="S189" s="255">
        <v>1.05</v>
      </c>
      <c r="U189" s="267">
        <v>1.1399999999999999</v>
      </c>
      <c r="V189" s="267">
        <v>0.9</v>
      </c>
      <c r="X189" s="318">
        <v>1.1000000000000001</v>
      </c>
      <c r="Y189" s="318">
        <v>0.92</v>
      </c>
    </row>
    <row r="190" spans="1:34" ht="20.100000000000001" customHeight="1">
      <c r="A190" s="27"/>
      <c r="B190" s="188" t="s">
        <v>138</v>
      </c>
      <c r="C190" s="188">
        <v>876</v>
      </c>
      <c r="D190" s="188">
        <v>586</v>
      </c>
      <c r="E190" s="188">
        <v>557</v>
      </c>
      <c r="F190" s="285">
        <v>6.3E-2</v>
      </c>
      <c r="G190" s="285">
        <v>0.105</v>
      </c>
      <c r="H190" s="317">
        <v>60</v>
      </c>
      <c r="I190" s="4"/>
      <c r="S190" s="123"/>
    </row>
    <row r="191" spans="1:34" ht="20.100000000000001" customHeight="1">
      <c r="A191" s="27"/>
      <c r="B191" s="188" t="s">
        <v>224</v>
      </c>
      <c r="C191" s="188">
        <v>1005</v>
      </c>
      <c r="D191" s="188">
        <v>655</v>
      </c>
      <c r="E191" s="188">
        <v>622</v>
      </c>
      <c r="F191" s="285">
        <v>5.0999999999999997E-2</v>
      </c>
      <c r="G191" s="285">
        <v>0.10100000000000001</v>
      </c>
      <c r="H191" s="317">
        <v>65</v>
      </c>
      <c r="I191" s="4"/>
      <c r="S191" s="123"/>
    </row>
    <row r="192" spans="1:34" ht="20.100000000000001" customHeight="1">
      <c r="A192" s="27"/>
      <c r="B192" s="188" t="s">
        <v>225</v>
      </c>
      <c r="C192" s="188">
        <v>1138</v>
      </c>
      <c r="D192" s="188">
        <v>723</v>
      </c>
      <c r="E192" s="188">
        <v>687</v>
      </c>
      <c r="F192" s="285">
        <v>4.2999999999999997E-2</v>
      </c>
      <c r="G192" s="285">
        <v>9.9000000000000005E-2</v>
      </c>
      <c r="H192" s="317">
        <v>69</v>
      </c>
      <c r="I192" s="4"/>
      <c r="S192" s="123"/>
    </row>
    <row r="193" spans="1:19" ht="20.100000000000001" customHeight="1">
      <c r="A193" s="27"/>
      <c r="B193" s="188"/>
      <c r="C193" s="188"/>
      <c r="D193" s="188"/>
      <c r="E193" s="188"/>
      <c r="F193" s="285"/>
      <c r="G193" s="285"/>
      <c r="H193" s="317"/>
      <c r="I193" s="7"/>
      <c r="S193" s="123"/>
    </row>
    <row r="194" spans="1:19">
      <c r="A194" s="27"/>
      <c r="H194" s="21"/>
      <c r="K194" s="2"/>
      <c r="S194" s="123"/>
    </row>
    <row r="195" spans="1:19">
      <c r="A195" s="27"/>
      <c r="K195" s="2"/>
      <c r="L195" s="2"/>
      <c r="M195" s="2"/>
      <c r="N195" s="2"/>
      <c r="S195" s="123"/>
    </row>
    <row r="196" spans="1:19" ht="30" customHeight="1">
      <c r="A196" s="27"/>
      <c r="B196" s="312" t="s">
        <v>226</v>
      </c>
      <c r="C196" s="282"/>
      <c r="D196" s="313"/>
      <c r="E196" s="313"/>
      <c r="F196" s="313" t="s">
        <v>232</v>
      </c>
      <c r="G196" s="314"/>
      <c r="H196" s="315"/>
      <c r="K196" s="2"/>
      <c r="L196" s="2"/>
      <c r="M196" s="2"/>
      <c r="N196" s="2"/>
      <c r="S196" s="123"/>
    </row>
    <row r="197" spans="1:19" ht="30" customHeight="1">
      <c r="A197" s="27"/>
      <c r="B197" s="954" t="s">
        <v>109</v>
      </c>
      <c r="C197" s="956" t="s">
        <v>110</v>
      </c>
      <c r="D197" s="957"/>
      <c r="E197" s="958"/>
      <c r="F197" s="954" t="s">
        <v>208</v>
      </c>
      <c r="G197" s="954" t="s">
        <v>209</v>
      </c>
      <c r="H197" s="954" t="s">
        <v>210</v>
      </c>
      <c r="K197" s="2"/>
      <c r="L197" s="2"/>
      <c r="M197" s="2"/>
      <c r="N197" s="2"/>
      <c r="S197" s="123"/>
    </row>
    <row r="198" spans="1:19" ht="15" customHeight="1">
      <c r="A198" s="27"/>
      <c r="B198" s="955"/>
      <c r="C198" s="187" t="s">
        <v>121</v>
      </c>
      <c r="D198" s="187" t="s">
        <v>122</v>
      </c>
      <c r="E198" s="187" t="s">
        <v>123</v>
      </c>
      <c r="F198" s="955"/>
      <c r="G198" s="955"/>
      <c r="H198" s="955"/>
      <c r="K198" s="2"/>
      <c r="L198" s="2"/>
      <c r="M198" s="2"/>
      <c r="N198" s="2"/>
      <c r="S198" s="123"/>
    </row>
    <row r="199" spans="1:19">
      <c r="A199" s="27"/>
      <c r="B199" s="285" t="s">
        <v>167</v>
      </c>
      <c r="C199" s="285">
        <v>196</v>
      </c>
      <c r="D199" s="285">
        <v>171</v>
      </c>
      <c r="E199" s="285">
        <v>150</v>
      </c>
      <c r="F199" s="285">
        <v>0.56799999999999995</v>
      </c>
      <c r="G199" s="285">
        <v>0.129</v>
      </c>
      <c r="H199" s="317">
        <v>76</v>
      </c>
      <c r="K199" s="2"/>
      <c r="L199" s="2"/>
      <c r="M199" s="2"/>
      <c r="N199" s="2"/>
      <c r="S199" s="123"/>
    </row>
    <row r="200" spans="1:19">
      <c r="A200" s="27"/>
      <c r="B200" s="285" t="s">
        <v>168</v>
      </c>
      <c r="C200" s="285">
        <v>238</v>
      </c>
      <c r="D200" s="285">
        <v>204</v>
      </c>
      <c r="E200" s="285">
        <v>180</v>
      </c>
      <c r="F200" s="285">
        <v>0.41099999999999998</v>
      </c>
      <c r="G200" s="285">
        <v>0.124</v>
      </c>
      <c r="H200" s="317">
        <v>79</v>
      </c>
      <c r="K200" s="2"/>
      <c r="L200" s="2"/>
      <c r="M200" s="2"/>
      <c r="N200" s="2"/>
      <c r="S200" s="123"/>
    </row>
    <row r="201" spans="1:19">
      <c r="A201" s="27"/>
      <c r="B201" s="285" t="s">
        <v>169</v>
      </c>
      <c r="C201" s="285">
        <v>274</v>
      </c>
      <c r="D201" s="285">
        <v>232</v>
      </c>
      <c r="E201" s="285">
        <v>206</v>
      </c>
      <c r="F201" s="285">
        <v>0.32500000000000001</v>
      </c>
      <c r="G201" s="285">
        <v>0.11899999999999999</v>
      </c>
      <c r="H201" s="317">
        <v>83</v>
      </c>
      <c r="K201" s="2"/>
      <c r="L201" s="2"/>
      <c r="M201" s="2"/>
      <c r="N201" s="2"/>
      <c r="S201" s="123"/>
    </row>
    <row r="202" spans="1:19">
      <c r="A202" s="27"/>
      <c r="B202" s="285" t="s">
        <v>170</v>
      </c>
      <c r="C202" s="285">
        <v>309</v>
      </c>
      <c r="D202" s="285">
        <v>259</v>
      </c>
      <c r="E202" s="285">
        <v>231</v>
      </c>
      <c r="F202" s="285">
        <v>0.26500000000000001</v>
      </c>
      <c r="G202" s="285">
        <v>0.115</v>
      </c>
      <c r="H202" s="317">
        <v>86</v>
      </c>
      <c r="K202" s="2"/>
      <c r="L202" s="2"/>
      <c r="M202" s="2"/>
      <c r="N202" s="2"/>
      <c r="S202" s="123"/>
    </row>
    <row r="203" spans="1:19">
      <c r="A203" s="27"/>
      <c r="B203" s="285" t="s">
        <v>171</v>
      </c>
      <c r="C203" s="285">
        <v>354</v>
      </c>
      <c r="D203" s="285">
        <v>293</v>
      </c>
      <c r="E203" s="285">
        <v>262</v>
      </c>
      <c r="F203" s="285">
        <v>0.21099999999999999</v>
      </c>
      <c r="G203" s="285">
        <v>0.11</v>
      </c>
      <c r="H203" s="317">
        <v>90</v>
      </c>
      <c r="K203" s="2"/>
      <c r="L203" s="2"/>
      <c r="M203" s="2"/>
      <c r="N203" s="2"/>
      <c r="S203" s="123"/>
    </row>
    <row r="204" spans="1:19">
      <c r="A204" s="27"/>
      <c r="B204" s="285" t="s">
        <v>172</v>
      </c>
      <c r="C204" s="285">
        <v>415</v>
      </c>
      <c r="D204" s="285">
        <v>338</v>
      </c>
      <c r="E204" s="285">
        <v>304</v>
      </c>
      <c r="F204" s="285">
        <v>0.16200000000000001</v>
      </c>
      <c r="G204" s="285">
        <v>0.106</v>
      </c>
      <c r="H204" s="319">
        <v>88</v>
      </c>
      <c r="K204" s="2"/>
      <c r="L204" s="2"/>
      <c r="M204" s="2"/>
      <c r="N204" s="2"/>
      <c r="S204" s="123"/>
    </row>
    <row r="205" spans="1:19">
      <c r="A205" s="27"/>
      <c r="B205" s="285" t="s">
        <v>173</v>
      </c>
      <c r="C205" s="285">
        <v>472</v>
      </c>
      <c r="D205" s="285">
        <v>380</v>
      </c>
      <c r="E205" s="285">
        <v>343</v>
      </c>
      <c r="F205" s="285">
        <v>0.13</v>
      </c>
      <c r="G205" s="285">
        <v>0.10299999999999999</v>
      </c>
      <c r="H205" s="319">
        <v>93</v>
      </c>
      <c r="K205" s="2"/>
      <c r="L205" s="2"/>
      <c r="M205" s="2"/>
      <c r="N205" s="2"/>
      <c r="S205" s="123"/>
    </row>
    <row r="206" spans="1:19">
      <c r="A206" s="27"/>
      <c r="B206" s="285" t="s">
        <v>174</v>
      </c>
      <c r="C206" s="285">
        <v>545</v>
      </c>
      <c r="D206" s="285">
        <v>432</v>
      </c>
      <c r="E206" s="285">
        <v>393</v>
      </c>
      <c r="F206" s="285">
        <v>0.10199999999999999</v>
      </c>
      <c r="G206" s="285">
        <v>9.8000000000000004E-2</v>
      </c>
      <c r="H206" s="319">
        <v>100</v>
      </c>
      <c r="K206" s="2"/>
      <c r="L206" s="2"/>
      <c r="M206" s="2"/>
      <c r="N206" s="2"/>
      <c r="S206" s="123"/>
    </row>
    <row r="207" spans="1:19">
      <c r="A207" s="27"/>
      <c r="H207" s="21"/>
      <c r="K207" s="2"/>
      <c r="L207" s="2"/>
      <c r="M207" s="2"/>
      <c r="N207" s="2"/>
      <c r="S207" s="123"/>
    </row>
    <row r="208" spans="1:19">
      <c r="A208" s="27"/>
      <c r="H208" s="21"/>
      <c r="K208" s="2"/>
      <c r="L208" s="2"/>
      <c r="M208" s="2"/>
      <c r="N208" s="2"/>
      <c r="S208" s="123"/>
    </row>
    <row r="209" spans="1:19">
      <c r="A209" s="27"/>
      <c r="H209" s="21"/>
      <c r="K209" s="2"/>
      <c r="L209" s="2"/>
      <c r="M209" s="2"/>
      <c r="N209" s="2"/>
      <c r="S209" s="123"/>
    </row>
    <row r="210" spans="1:19" ht="15.75" thickBot="1">
      <c r="A210" s="28"/>
      <c r="B210" s="29"/>
      <c r="C210" s="29"/>
      <c r="D210" s="29"/>
      <c r="E210" s="29"/>
      <c r="F210" s="29"/>
      <c r="G210" s="29"/>
      <c r="H210" s="30"/>
      <c r="I210" s="29"/>
      <c r="J210" s="29"/>
      <c r="K210" s="29"/>
      <c r="L210" s="29"/>
      <c r="M210" s="29"/>
      <c r="N210" s="29"/>
      <c r="O210" s="29"/>
      <c r="P210" s="29"/>
      <c r="Q210" s="29"/>
      <c r="R210" s="29"/>
      <c r="S210" s="126"/>
    </row>
    <row r="211" spans="1:19">
      <c r="K211" s="2"/>
      <c r="L211" s="2"/>
      <c r="M211" s="2"/>
      <c r="N211" s="2"/>
    </row>
    <row r="212" spans="1:19">
      <c r="K212" s="2"/>
      <c r="L212" s="2"/>
      <c r="M212" s="2"/>
      <c r="N212" s="2"/>
    </row>
    <row r="230" spans="11:24">
      <c r="K230" s="2"/>
      <c r="L230" s="2"/>
      <c r="M230" s="2"/>
      <c r="N230" s="2"/>
      <c r="S230" s="2"/>
      <c r="T230" s="2"/>
      <c r="U230" s="2"/>
      <c r="V230" s="2"/>
      <c r="W230" s="2"/>
      <c r="X230" s="2"/>
    </row>
    <row r="231" spans="11:24">
      <c r="K231" s="2"/>
      <c r="L231" s="2"/>
      <c r="M231" s="2"/>
      <c r="N231" s="2"/>
      <c r="S231" s="2"/>
      <c r="T231" s="2"/>
      <c r="U231" s="2"/>
      <c r="V231" s="2"/>
      <c r="W231" s="2"/>
      <c r="X231" s="2"/>
    </row>
    <row r="232" spans="11:24">
      <c r="K232" s="2"/>
      <c r="L232" s="2"/>
      <c r="M232" s="2"/>
      <c r="N232" s="2"/>
      <c r="S232" s="2"/>
      <c r="T232" s="2"/>
      <c r="U232" s="2"/>
      <c r="V232" s="2"/>
      <c r="W232" s="2"/>
      <c r="X232" s="2"/>
    </row>
    <row r="233" spans="11:24" ht="15" customHeight="1">
      <c r="K233" s="2"/>
      <c r="L233" s="2"/>
      <c r="M233" s="2"/>
      <c r="N233" s="2"/>
      <c r="S233" s="2"/>
      <c r="T233" s="2"/>
      <c r="U233" s="2"/>
      <c r="V233" s="2"/>
      <c r="W233" s="2"/>
      <c r="X233" s="2"/>
    </row>
    <row r="234" spans="11:24">
      <c r="K234" s="2"/>
      <c r="L234" s="2"/>
      <c r="M234" s="2"/>
      <c r="N234" s="2"/>
      <c r="S234" s="2"/>
      <c r="T234" s="2"/>
      <c r="U234" s="2"/>
      <c r="V234" s="2"/>
      <c r="W234" s="2"/>
      <c r="X234" s="2"/>
    </row>
    <row r="235" spans="11:24">
      <c r="K235" s="2"/>
      <c r="L235" s="2"/>
      <c r="M235" s="2"/>
      <c r="N235" s="2"/>
      <c r="S235" s="2"/>
      <c r="T235" s="2"/>
      <c r="U235" s="2"/>
      <c r="V235" s="2"/>
      <c r="W235" s="2"/>
      <c r="X235" s="2"/>
    </row>
    <row r="236" spans="11:24">
      <c r="K236" s="2"/>
      <c r="L236" s="2"/>
      <c r="M236" s="2"/>
      <c r="N236" s="2"/>
      <c r="S236" s="2"/>
      <c r="T236" s="2"/>
      <c r="U236" s="2"/>
      <c r="V236" s="2"/>
      <c r="W236" s="2"/>
      <c r="X236" s="2"/>
    </row>
    <row r="237" spans="11:24">
      <c r="K237" s="2"/>
      <c r="L237" s="2"/>
      <c r="M237" s="2"/>
      <c r="N237" s="2"/>
      <c r="S237" s="2"/>
      <c r="T237" s="2"/>
      <c r="U237" s="2"/>
      <c r="V237" s="2"/>
      <c r="W237" s="2"/>
      <c r="X237" s="2"/>
    </row>
    <row r="238" spans="11:24">
      <c r="K238" s="2"/>
      <c r="L238" s="2"/>
      <c r="M238" s="2"/>
      <c r="N238" s="2"/>
      <c r="S238" s="2"/>
      <c r="T238" s="2"/>
      <c r="U238" s="2"/>
      <c r="V238" s="2"/>
      <c r="W238" s="2"/>
      <c r="X238" s="2"/>
    </row>
    <row r="239" spans="11:24">
      <c r="K239" s="2"/>
      <c r="L239" s="2"/>
      <c r="M239" s="2"/>
      <c r="N239" s="2"/>
      <c r="S239" s="2"/>
      <c r="T239" s="2"/>
      <c r="U239" s="2"/>
      <c r="V239" s="2"/>
      <c r="W239" s="2"/>
      <c r="X239" s="2"/>
    </row>
    <row r="240" spans="11:24">
      <c r="K240" s="2"/>
      <c r="L240" s="2"/>
      <c r="M240" s="2"/>
      <c r="N240" s="2"/>
      <c r="S240" s="2"/>
      <c r="T240" s="2"/>
      <c r="U240" s="2"/>
      <c r="V240" s="2"/>
      <c r="W240" s="2"/>
      <c r="X240" s="2"/>
    </row>
    <row r="241" spans="11:24">
      <c r="K241" s="2"/>
      <c r="L241" s="2"/>
      <c r="M241" s="2"/>
      <c r="N241" s="2"/>
      <c r="S241" s="2"/>
      <c r="T241" s="2"/>
      <c r="U241" s="2"/>
      <c r="V241" s="2"/>
      <c r="W241" s="2"/>
      <c r="X241" s="2"/>
    </row>
  </sheetData>
  <mergeCells count="101">
    <mergeCell ref="I181:I182"/>
    <mergeCell ref="I179:I180"/>
    <mergeCell ref="I139:I140"/>
    <mergeCell ref="J139:J140"/>
    <mergeCell ref="K139:K140"/>
    <mergeCell ref="L139:M139"/>
    <mergeCell ref="I141:I142"/>
    <mergeCell ref="Q179:S179"/>
    <mergeCell ref="O99:P99"/>
    <mergeCell ref="K99:K100"/>
    <mergeCell ref="I99:I100"/>
    <mergeCell ref="J179:J180"/>
    <mergeCell ref="K179:K180"/>
    <mergeCell ref="L179:M179"/>
    <mergeCell ref="N179:N180"/>
    <mergeCell ref="O179:P179"/>
    <mergeCell ref="L99:M99"/>
    <mergeCell ref="N99:N100"/>
    <mergeCell ref="N139:N140"/>
    <mergeCell ref="O139:P139"/>
    <mergeCell ref="Q139:S139"/>
    <mergeCell ref="B175:F175"/>
    <mergeCell ref="F179:F180"/>
    <mergeCell ref="G179:G180"/>
    <mergeCell ref="L74:M74"/>
    <mergeCell ref="C17:E17"/>
    <mergeCell ref="F17:F18"/>
    <mergeCell ref="G17:G18"/>
    <mergeCell ref="H17:H18"/>
    <mergeCell ref="K74:K75"/>
    <mergeCell ref="H179:H180"/>
    <mergeCell ref="H117:H118"/>
    <mergeCell ref="H99:H100"/>
    <mergeCell ref="B3:F3"/>
    <mergeCell ref="H38:H39"/>
    <mergeCell ref="B179:B180"/>
    <mergeCell ref="C179:E179"/>
    <mergeCell ref="B95:F95"/>
    <mergeCell ref="B38:B39"/>
    <mergeCell ref="C38:E38"/>
    <mergeCell ref="F38:F39"/>
    <mergeCell ref="G38:G39"/>
    <mergeCell ref="B59:B60"/>
    <mergeCell ref="C59:E59"/>
    <mergeCell ref="F59:F60"/>
    <mergeCell ref="G59:G60"/>
    <mergeCell ref="B80:B81"/>
    <mergeCell ref="B117:B118"/>
    <mergeCell ref="C117:E117"/>
    <mergeCell ref="F117:F118"/>
    <mergeCell ref="G117:G118"/>
    <mergeCell ref="G99:G100"/>
    <mergeCell ref="H80:H81"/>
    <mergeCell ref="H59:H60"/>
    <mergeCell ref="B4:D4"/>
    <mergeCell ref="B7:B8"/>
    <mergeCell ref="G7:G8"/>
    <mergeCell ref="H7:H8"/>
    <mergeCell ref="L7:M7"/>
    <mergeCell ref="F7:F8"/>
    <mergeCell ref="N7:N8"/>
    <mergeCell ref="J7:J8"/>
    <mergeCell ref="K7:K8"/>
    <mergeCell ref="I7:I8"/>
    <mergeCell ref="AP9:AP10"/>
    <mergeCell ref="B99:B100"/>
    <mergeCell ref="B17:B18"/>
    <mergeCell ref="C99:E99"/>
    <mergeCell ref="F99:F100"/>
    <mergeCell ref="N74:N75"/>
    <mergeCell ref="O74:P74"/>
    <mergeCell ref="Q99:S99"/>
    <mergeCell ref="C80:E80"/>
    <mergeCell ref="F80:F81"/>
    <mergeCell ref="J99:J100"/>
    <mergeCell ref="G80:G81"/>
    <mergeCell ref="I9:I10"/>
    <mergeCell ref="B197:B198"/>
    <mergeCell ref="C197:E197"/>
    <mergeCell ref="F197:F198"/>
    <mergeCell ref="G197:G198"/>
    <mergeCell ref="H197:H198"/>
    <mergeCell ref="AN5:AN6"/>
    <mergeCell ref="AL9:AL10"/>
    <mergeCell ref="AJ9:AJ10"/>
    <mergeCell ref="Q7:S7"/>
    <mergeCell ref="AN9:AN10"/>
    <mergeCell ref="I101:I102"/>
    <mergeCell ref="B157:B158"/>
    <mergeCell ref="C157:E157"/>
    <mergeCell ref="F157:F158"/>
    <mergeCell ref="G157:G158"/>
    <mergeCell ref="H157:H158"/>
    <mergeCell ref="B135:F135"/>
    <mergeCell ref="B139:B140"/>
    <mergeCell ref="C139:E139"/>
    <mergeCell ref="F139:F140"/>
    <mergeCell ref="G139:G140"/>
    <mergeCell ref="H139:H140"/>
    <mergeCell ref="C7:E7"/>
    <mergeCell ref="O7:P7"/>
  </mergeCells>
  <pageMargins left="0.7" right="0.7" top="0.75" bottom="0.75" header="0.3" footer="0.3"/>
  <pageSetup paperSize="9" scale="37"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CCB9-0166-41F9-98C9-CEF4499CF08D}">
  <sheetPr codeName="Sheet6" filterMode="1">
    <tabColor rgb="FFFFFF00"/>
    <pageSetUpPr fitToPage="1"/>
  </sheetPr>
  <dimension ref="A1:GO179"/>
  <sheetViews>
    <sheetView view="pageBreakPreview" zoomScale="70" zoomScaleNormal="70" zoomScaleSheetLayoutView="70" zoomScalePageLayoutView="70" workbookViewId="0">
      <pane xSplit="4" ySplit="5" topLeftCell="E6" activePane="bottomRight" state="frozen"/>
      <selection pane="topRight" activeCell="A29" sqref="A29:XFD29"/>
      <selection pane="bottomLeft" activeCell="A29" sqref="A29:XFD29"/>
      <selection pane="bottomRight" activeCell="O48" sqref="O48"/>
    </sheetView>
  </sheetViews>
  <sheetFormatPr defaultRowHeight="14.25"/>
  <cols>
    <col min="1" max="1" width="7.42578125" style="38" customWidth="1"/>
    <col min="2" max="2" width="13.5703125" style="116" customWidth="1"/>
    <col min="3" max="3" width="22.85546875" style="116" customWidth="1"/>
    <col min="4" max="4" width="56.5703125" style="117" customWidth="1"/>
    <col min="5" max="5" width="32.5703125" style="117" customWidth="1"/>
    <col min="6" max="6" width="6.28515625" style="117" customWidth="1"/>
    <col min="7" max="7" width="10.5703125" style="38" customWidth="1"/>
    <col min="8" max="8" width="10.140625" style="38" customWidth="1"/>
    <col min="9" max="9" width="7.140625" style="38" customWidth="1"/>
    <col min="10" max="10" width="10" style="38" customWidth="1"/>
    <col min="11" max="11" width="8.7109375" style="38" customWidth="1"/>
    <col min="12" max="12" width="9.28515625" style="38" customWidth="1"/>
    <col min="13" max="13" width="11.28515625" style="38" customWidth="1"/>
    <col min="14" max="14" width="10" style="38" customWidth="1"/>
    <col min="15" max="15" width="13.140625" style="38" customWidth="1"/>
    <col min="16" max="16" width="9.5703125" style="38" customWidth="1"/>
    <col min="17" max="17" width="12.28515625" style="38" customWidth="1"/>
    <col min="18" max="18" width="11.5703125" style="38" customWidth="1"/>
    <col min="19" max="19" width="18.140625" style="38" customWidth="1"/>
    <col min="20" max="20" width="10.28515625" style="38" customWidth="1"/>
    <col min="21" max="21" width="8.28515625" style="38" customWidth="1"/>
    <col min="22" max="22" width="9" style="38" customWidth="1"/>
    <col min="23" max="23" width="11.140625" style="38" customWidth="1"/>
    <col min="24" max="24" width="14.28515625" style="38" customWidth="1"/>
    <col min="25" max="25" width="8.5703125" style="38" customWidth="1"/>
    <col min="26" max="26" width="9.85546875" style="38" customWidth="1"/>
    <col min="27" max="27" width="11.5703125" style="38" customWidth="1"/>
    <col min="28" max="28" width="12.5703125" style="38" customWidth="1"/>
    <col min="29" max="29" width="12.7109375" style="40" customWidth="1"/>
    <col min="30" max="30" width="13.7109375" style="40" customWidth="1"/>
    <col min="31" max="31" width="10" style="40" customWidth="1"/>
    <col min="32" max="32" width="16" style="40" customWidth="1"/>
    <col min="33" max="33" width="7.85546875" style="38" customWidth="1"/>
    <col min="34" max="34" width="10.7109375" style="38" customWidth="1"/>
    <col min="35" max="35" width="10" style="38" customWidth="1"/>
    <col min="36" max="36" width="10.28515625" style="38" customWidth="1"/>
    <col min="37" max="37" width="12.140625" style="38" customWidth="1"/>
    <col min="38" max="38" width="9.85546875" style="38" customWidth="1"/>
    <col min="39" max="39" width="12.28515625" style="38" customWidth="1"/>
    <col min="40" max="40" width="9.42578125" style="38" customWidth="1"/>
    <col min="41" max="41" width="11.42578125" style="38" customWidth="1"/>
    <col min="42" max="42" width="7.140625" style="38" customWidth="1"/>
    <col min="43" max="43" width="10.28515625" style="38" customWidth="1"/>
    <col min="44" max="44" width="14.7109375" style="38" customWidth="1"/>
    <col min="45" max="45" width="17" style="38" customWidth="1"/>
    <col min="46" max="46" width="14" style="38" customWidth="1"/>
    <col min="47" max="47" width="17.140625" style="38" customWidth="1"/>
    <col min="48" max="49" width="37.85546875" style="38" customWidth="1"/>
    <col min="50" max="50" width="10.7109375" style="38" customWidth="1"/>
    <col min="51" max="51" width="11.7109375" style="38" customWidth="1"/>
    <col min="52" max="52" width="9.28515625" style="38" customWidth="1"/>
    <col min="53" max="53" width="20.85546875" style="38" customWidth="1"/>
    <col min="54" max="54" width="9.5703125" style="41" customWidth="1"/>
    <col min="55" max="55" width="12.140625" style="38" customWidth="1"/>
    <col min="56" max="56" width="3.85546875" style="38" customWidth="1"/>
    <col min="57" max="95" width="4.5703125" style="38" customWidth="1"/>
    <col min="96" max="96" width="3.42578125" style="38" bestFit="1" customWidth="1"/>
    <col min="97" max="98" width="3.42578125" style="38" customWidth="1"/>
    <col min="99" max="109" width="4.5703125" style="38" customWidth="1"/>
    <col min="110" max="110" width="5.42578125" style="38" customWidth="1"/>
    <col min="111" max="125" width="4.5703125" style="38" customWidth="1"/>
    <col min="126" max="126" width="5.28515625" style="61" customWidth="1"/>
    <col min="127" max="127" width="9.140625" style="61"/>
    <col min="128" max="195" width="7" style="61" customWidth="1"/>
    <col min="196" max="16384" width="9.140625" style="38"/>
  </cols>
  <sheetData>
    <row r="1" spans="1:195" s="34" customFormat="1" ht="24.75" customHeight="1">
      <c r="A1" s="1006"/>
      <c r="B1" s="1006"/>
      <c r="C1" s="1006"/>
      <c r="D1" s="1006"/>
      <c r="E1" s="1006"/>
      <c r="F1" s="1006"/>
      <c r="G1" s="1006"/>
      <c r="H1" s="1006"/>
      <c r="I1" s="1006"/>
      <c r="J1" s="1006"/>
      <c r="K1" s="1006"/>
      <c r="L1" s="1007"/>
      <c r="M1" s="1007"/>
      <c r="N1" s="1007"/>
      <c r="O1" s="1007"/>
      <c r="P1" s="1007"/>
      <c r="Q1" s="1007"/>
      <c r="R1" s="1007"/>
      <c r="S1" s="1007"/>
      <c r="T1" s="1007"/>
      <c r="U1" s="1007"/>
      <c r="V1" s="1007"/>
      <c r="W1" s="1007"/>
      <c r="X1" s="1007"/>
      <c r="Y1" s="1007"/>
      <c r="Z1" s="1007"/>
      <c r="AA1" s="1007"/>
      <c r="AB1" s="1007"/>
      <c r="AC1" s="1007"/>
      <c r="AD1" s="1007"/>
      <c r="AE1" s="1007"/>
      <c r="AF1" s="1007"/>
      <c r="AG1" s="1007"/>
      <c r="AH1" s="1007"/>
      <c r="AI1" s="1007"/>
      <c r="AJ1" s="1007"/>
      <c r="AK1" s="1007"/>
      <c r="AL1" s="1007"/>
      <c r="AM1" s="1007"/>
      <c r="AN1" s="1007"/>
      <c r="AO1" s="1007"/>
      <c r="AP1" s="1007"/>
      <c r="AQ1" s="1007"/>
      <c r="AR1" s="1007"/>
      <c r="AS1" s="1007"/>
      <c r="AT1" s="1006"/>
      <c r="AU1" s="1006"/>
      <c r="AV1" s="1006"/>
      <c r="BB1" s="36"/>
      <c r="DV1" s="61"/>
      <c r="DW1" s="61"/>
      <c r="DX1" s="61"/>
      <c r="DY1" s="61"/>
      <c r="DZ1" s="61"/>
      <c r="EA1" s="61"/>
      <c r="EB1" s="61"/>
      <c r="EC1" s="61"/>
      <c r="ED1" s="61"/>
      <c r="EE1" s="61"/>
      <c r="EF1" s="61"/>
      <c r="EG1" s="61"/>
      <c r="EH1" s="61"/>
      <c r="EI1" s="61"/>
      <c r="EJ1" s="61"/>
      <c r="EK1" s="61"/>
      <c r="EL1" s="61"/>
      <c r="EM1" s="61"/>
      <c r="EN1" s="61"/>
      <c r="EO1" s="61"/>
      <c r="EP1" s="61"/>
      <c r="EQ1" s="61"/>
      <c r="ER1" s="61"/>
      <c r="ES1" s="61"/>
      <c r="ET1" s="61"/>
      <c r="EU1" s="61"/>
      <c r="EV1" s="61"/>
      <c r="EW1" s="61"/>
      <c r="EX1" s="61"/>
      <c r="EY1" s="61"/>
      <c r="EZ1" s="61"/>
      <c r="FA1" s="61"/>
      <c r="FB1" s="61"/>
      <c r="FC1" s="61"/>
      <c r="FD1" s="61"/>
      <c r="FE1" s="61"/>
      <c r="FF1" s="61"/>
      <c r="FG1" s="61"/>
      <c r="FH1" s="61"/>
      <c r="FI1" s="61"/>
      <c r="FJ1" s="61"/>
      <c r="FK1" s="61"/>
      <c r="FL1" s="61"/>
      <c r="FM1" s="61"/>
      <c r="FN1" s="61"/>
      <c r="FO1" s="61"/>
      <c r="FP1" s="61"/>
      <c r="FQ1" s="61"/>
      <c r="FR1" s="61"/>
      <c r="FS1" s="61"/>
      <c r="FT1" s="61"/>
      <c r="FU1" s="61"/>
      <c r="FV1" s="61"/>
      <c r="FW1" s="61"/>
      <c r="FX1" s="61"/>
      <c r="FY1" s="61"/>
      <c r="FZ1" s="61"/>
      <c r="GA1" s="61"/>
      <c r="GB1" s="61"/>
      <c r="GC1" s="61"/>
      <c r="GD1" s="61"/>
      <c r="GE1" s="61"/>
      <c r="GF1" s="61"/>
      <c r="GG1" s="61"/>
      <c r="GH1" s="61"/>
      <c r="GI1" s="61"/>
      <c r="GJ1" s="61"/>
      <c r="GK1" s="61"/>
      <c r="GL1" s="61"/>
      <c r="GM1" s="61"/>
    </row>
    <row r="2" spans="1:195" s="34" customFormat="1" ht="24.75" customHeight="1">
      <c r="A2" s="1008" t="s">
        <v>1603</v>
      </c>
      <c r="B2" s="1009"/>
      <c r="C2" s="1009"/>
      <c r="D2" s="1009"/>
      <c r="E2" s="1009"/>
      <c r="F2" s="1009"/>
      <c r="G2" s="1009"/>
      <c r="H2" s="1009"/>
      <c r="I2" s="1009"/>
      <c r="J2" s="1009"/>
      <c r="K2" s="1009"/>
      <c r="L2" s="1009"/>
      <c r="M2" s="1009"/>
      <c r="N2" s="1009"/>
      <c r="O2" s="1009"/>
      <c r="P2" s="1009"/>
      <c r="Q2" s="1009"/>
      <c r="R2" s="1009"/>
      <c r="S2" s="1009"/>
      <c r="T2" s="1009"/>
      <c r="U2" s="1009"/>
      <c r="V2" s="1009"/>
      <c r="W2" s="1009"/>
      <c r="X2" s="1009"/>
      <c r="Y2" s="1009"/>
      <c r="Z2" s="1009"/>
      <c r="AA2" s="1009"/>
      <c r="AB2" s="1009"/>
      <c r="AC2" s="1009"/>
      <c r="AD2" s="1009"/>
      <c r="AE2" s="1009"/>
      <c r="AF2" s="1009"/>
      <c r="AG2" s="1009"/>
      <c r="AH2" s="1009"/>
      <c r="AI2" s="1009"/>
      <c r="AJ2" s="1009"/>
      <c r="AK2" s="1009"/>
      <c r="AL2" s="1009"/>
      <c r="AM2" s="1009"/>
      <c r="AN2" s="1009"/>
      <c r="AO2" s="1009"/>
      <c r="AP2" s="1009"/>
      <c r="AQ2" s="1009"/>
      <c r="AR2" s="1009"/>
      <c r="AS2" s="1009"/>
      <c r="AT2" s="1009"/>
      <c r="AU2" s="1009"/>
      <c r="AV2" s="1009"/>
      <c r="AW2" s="1009"/>
      <c r="AX2" s="1009"/>
      <c r="AY2" s="1009"/>
      <c r="AZ2" s="1009"/>
      <c r="BA2" s="1010"/>
      <c r="BB2" s="320"/>
      <c r="BC2" s="320"/>
      <c r="DV2" s="61"/>
      <c r="DW2" s="61"/>
      <c r="DX2" s="61"/>
      <c r="DY2" s="61"/>
      <c r="DZ2" s="61"/>
      <c r="EA2" s="61"/>
      <c r="EB2" s="61"/>
      <c r="EC2" s="61"/>
      <c r="ED2" s="61"/>
      <c r="EE2" s="61"/>
      <c r="EF2" s="61"/>
      <c r="EG2" s="61"/>
      <c r="EH2" s="61"/>
      <c r="EI2" s="61"/>
      <c r="EJ2" s="61"/>
      <c r="EK2" s="61"/>
      <c r="EL2" s="61"/>
      <c r="EM2" s="61"/>
      <c r="EN2" s="61"/>
      <c r="EO2" s="61"/>
      <c r="EP2" s="61"/>
      <c r="EQ2" s="61"/>
      <c r="ER2" s="61"/>
      <c r="ES2" s="61"/>
      <c r="ET2" s="61"/>
      <c r="EU2" s="61"/>
      <c r="EV2" s="61"/>
      <c r="EW2" s="61"/>
      <c r="EX2" s="61"/>
      <c r="EY2" s="61"/>
      <c r="EZ2" s="61"/>
      <c r="FA2" s="61"/>
      <c r="FB2" s="61"/>
      <c r="FC2" s="61"/>
      <c r="FD2" s="61"/>
      <c r="FE2" s="61"/>
      <c r="FF2" s="61"/>
      <c r="FG2" s="61"/>
      <c r="FH2" s="61"/>
      <c r="FI2" s="61"/>
      <c r="FJ2" s="61"/>
      <c r="FK2" s="61"/>
      <c r="FL2" s="61"/>
      <c r="FM2" s="61"/>
      <c r="FN2" s="61"/>
      <c r="FO2" s="61"/>
      <c r="FP2" s="61"/>
      <c r="FQ2" s="61"/>
      <c r="FR2" s="61"/>
      <c r="FS2" s="61"/>
      <c r="FT2" s="61"/>
      <c r="FU2" s="61"/>
      <c r="FV2" s="61"/>
      <c r="FW2" s="61"/>
      <c r="FX2" s="61"/>
      <c r="FY2" s="61"/>
      <c r="FZ2" s="61"/>
      <c r="GA2" s="61"/>
      <c r="GB2" s="61"/>
      <c r="GC2" s="61"/>
      <c r="GD2" s="61"/>
      <c r="GE2" s="61"/>
      <c r="GF2" s="61"/>
      <c r="GG2" s="61"/>
      <c r="GH2" s="61"/>
      <c r="GI2" s="61"/>
      <c r="GJ2" s="61"/>
      <c r="GK2" s="61"/>
      <c r="GL2" s="61"/>
      <c r="GM2" s="61"/>
    </row>
    <row r="3" spans="1:195" s="11" customFormat="1" ht="25.5" customHeight="1">
      <c r="A3" s="1011" t="s">
        <v>240</v>
      </c>
      <c r="B3" s="325"/>
      <c r="C3" s="325"/>
      <c r="D3" s="1013" t="s">
        <v>241</v>
      </c>
      <c r="E3" s="1014"/>
      <c r="F3" s="1014"/>
      <c r="G3" s="1014"/>
      <c r="H3" s="1014"/>
      <c r="I3" s="1014"/>
      <c r="J3" s="1014"/>
      <c r="K3" s="1014"/>
      <c r="L3" s="1014"/>
      <c r="M3" s="1014"/>
      <c r="N3" s="1014"/>
      <c r="O3" s="1014"/>
      <c r="P3" s="1015"/>
      <c r="Q3" s="1016" t="s">
        <v>242</v>
      </c>
      <c r="R3" s="1017"/>
      <c r="S3" s="1018"/>
      <c r="T3" s="1016" t="s">
        <v>243</v>
      </c>
      <c r="U3" s="1017"/>
      <c r="V3" s="1017"/>
      <c r="W3" s="1017"/>
      <c r="X3" s="1017"/>
      <c r="Y3" s="1017"/>
      <c r="Z3" s="1017"/>
      <c r="AA3" s="1017"/>
      <c r="AB3" s="1017"/>
      <c r="AC3" s="1017"/>
      <c r="AD3" s="1017"/>
      <c r="AE3" s="1017"/>
      <c r="AF3" s="1017"/>
      <c r="AG3" s="1017"/>
      <c r="AH3" s="1018"/>
      <c r="AI3" s="1016" t="s">
        <v>244</v>
      </c>
      <c r="AJ3" s="1017"/>
      <c r="AK3" s="1017"/>
      <c r="AL3" s="1017"/>
      <c r="AM3" s="1017"/>
      <c r="AN3" s="1018"/>
      <c r="AO3" s="1016" t="s">
        <v>245</v>
      </c>
      <c r="AP3" s="1017"/>
      <c r="AQ3" s="1018"/>
      <c r="AR3" s="1016" t="s">
        <v>246</v>
      </c>
      <c r="AS3" s="1017"/>
      <c r="AT3" s="1016" t="s">
        <v>247</v>
      </c>
      <c r="AU3" s="1018"/>
      <c r="AV3" s="1016" t="s">
        <v>248</v>
      </c>
      <c r="AW3" s="1017"/>
      <c r="AX3" s="1018"/>
      <c r="AY3" s="852"/>
      <c r="AZ3" s="323"/>
      <c r="BA3" s="323"/>
      <c r="BB3" s="323"/>
      <c r="BC3" s="323"/>
    </row>
    <row r="4" spans="1:195" s="11" customFormat="1" ht="89.25" customHeight="1">
      <c r="A4" s="1012"/>
      <c r="B4" s="790" t="s">
        <v>249</v>
      </c>
      <c r="C4" s="790" t="s">
        <v>250</v>
      </c>
      <c r="D4" s="821" t="s">
        <v>251</v>
      </c>
      <c r="E4" s="821" t="s">
        <v>252</v>
      </c>
      <c r="F4" s="323" t="s">
        <v>253</v>
      </c>
      <c r="G4" s="323" t="s">
        <v>254</v>
      </c>
      <c r="H4" s="323" t="s">
        <v>255</v>
      </c>
      <c r="I4" s="323" t="s">
        <v>256</v>
      </c>
      <c r="J4" s="323" t="s">
        <v>257</v>
      </c>
      <c r="K4" s="323" t="s">
        <v>258</v>
      </c>
      <c r="L4" s="323" t="s">
        <v>259</v>
      </c>
      <c r="M4" s="323" t="s">
        <v>260</v>
      </c>
      <c r="N4" s="323" t="s">
        <v>261</v>
      </c>
      <c r="O4" s="323" t="s">
        <v>262</v>
      </c>
      <c r="P4" s="323" t="s">
        <v>263</v>
      </c>
      <c r="Q4" s="323" t="s">
        <v>264</v>
      </c>
      <c r="R4" s="323" t="s">
        <v>265</v>
      </c>
      <c r="S4" s="323" t="s">
        <v>266</v>
      </c>
      <c r="T4" s="323" t="s">
        <v>267</v>
      </c>
      <c r="U4" s="323" t="s">
        <v>268</v>
      </c>
      <c r="V4" s="323" t="s">
        <v>269</v>
      </c>
      <c r="W4" s="323" t="s">
        <v>270</v>
      </c>
      <c r="X4" s="323" t="s">
        <v>271</v>
      </c>
      <c r="Y4" s="323" t="s">
        <v>272</v>
      </c>
      <c r="Z4" s="323" t="s">
        <v>273</v>
      </c>
      <c r="AA4" s="323" t="s">
        <v>274</v>
      </c>
      <c r="AB4" s="323" t="s">
        <v>275</v>
      </c>
      <c r="AC4" s="323" t="s">
        <v>276</v>
      </c>
      <c r="AD4" s="323" t="s">
        <v>277</v>
      </c>
      <c r="AE4" s="323" t="s">
        <v>278</v>
      </c>
      <c r="AF4" s="323" t="s">
        <v>279</v>
      </c>
      <c r="AG4" s="323" t="s">
        <v>280</v>
      </c>
      <c r="AH4" s="323" t="s">
        <v>485</v>
      </c>
      <c r="AI4" s="323" t="s">
        <v>281</v>
      </c>
      <c r="AJ4" s="323" t="s">
        <v>282</v>
      </c>
      <c r="AK4" s="323" t="s">
        <v>283</v>
      </c>
      <c r="AL4" s="323" t="s">
        <v>284</v>
      </c>
      <c r="AM4" s="323" t="s">
        <v>285</v>
      </c>
      <c r="AN4" s="323" t="s">
        <v>286</v>
      </c>
      <c r="AO4" s="323" t="s">
        <v>287</v>
      </c>
      <c r="AP4" s="323" t="s">
        <v>288</v>
      </c>
      <c r="AQ4" s="323" t="s">
        <v>289</v>
      </c>
      <c r="AR4" s="323" t="s">
        <v>290</v>
      </c>
      <c r="AS4" s="323" t="s">
        <v>291</v>
      </c>
      <c r="AT4" s="323" t="s">
        <v>294</v>
      </c>
      <c r="AU4" s="323" t="s">
        <v>295</v>
      </c>
      <c r="AV4" s="849" t="s">
        <v>296</v>
      </c>
      <c r="AW4" s="323" t="s">
        <v>296</v>
      </c>
      <c r="AX4" s="323" t="s">
        <v>1602</v>
      </c>
      <c r="AY4" s="323" t="s">
        <v>297</v>
      </c>
      <c r="AZ4" s="323" t="s">
        <v>299</v>
      </c>
      <c r="BA4" s="323" t="s">
        <v>300</v>
      </c>
      <c r="BB4" s="323" t="s">
        <v>301</v>
      </c>
      <c r="BC4" s="323" t="s">
        <v>302</v>
      </c>
      <c r="BE4" s="323" t="s">
        <v>27</v>
      </c>
      <c r="BF4" s="323" t="s">
        <v>28</v>
      </c>
      <c r="BG4" s="323" t="s">
        <v>29</v>
      </c>
      <c r="BH4" s="323" t="s">
        <v>30</v>
      </c>
      <c r="BI4" s="323" t="s">
        <v>31</v>
      </c>
      <c r="BJ4" s="323" t="s">
        <v>32</v>
      </c>
      <c r="BK4" s="323" t="s">
        <v>33</v>
      </c>
      <c r="BL4" s="323" t="s">
        <v>34</v>
      </c>
      <c r="BM4" s="323" t="s">
        <v>35</v>
      </c>
      <c r="BN4" s="323" t="s">
        <v>36</v>
      </c>
      <c r="BO4" s="323" t="s">
        <v>37</v>
      </c>
      <c r="BP4" s="323" t="s">
        <v>38</v>
      </c>
      <c r="BQ4" s="323" t="s">
        <v>39</v>
      </c>
      <c r="BR4" s="323" t="s">
        <v>40</v>
      </c>
      <c r="BS4" s="323" t="s">
        <v>41</v>
      </c>
      <c r="BT4" s="323" t="s">
        <v>42</v>
      </c>
      <c r="BU4" s="323" t="s">
        <v>43</v>
      </c>
      <c r="BV4" s="323" t="s">
        <v>44</v>
      </c>
      <c r="BW4" s="323" t="s">
        <v>45</v>
      </c>
      <c r="BX4" s="323" t="s">
        <v>50</v>
      </c>
      <c r="BY4" s="323" t="s">
        <v>303</v>
      </c>
      <c r="BZ4" s="323" t="s">
        <v>51</v>
      </c>
      <c r="CA4" s="323" t="s">
        <v>304</v>
      </c>
      <c r="CB4" s="323" t="s">
        <v>1614</v>
      </c>
      <c r="CC4" s="323" t="s">
        <v>305</v>
      </c>
      <c r="CD4" s="323" t="s">
        <v>52</v>
      </c>
      <c r="CE4" s="323" t="s">
        <v>56</v>
      </c>
      <c r="CF4" s="323" t="s">
        <v>57</v>
      </c>
      <c r="CG4" s="323" t="s">
        <v>58</v>
      </c>
      <c r="CH4" s="323" t="s">
        <v>59</v>
      </c>
      <c r="CI4" s="323" t="s">
        <v>60</v>
      </c>
      <c r="CJ4" s="323" t="s">
        <v>61</v>
      </c>
      <c r="CK4" s="323" t="s">
        <v>306</v>
      </c>
      <c r="CL4" s="323" t="s">
        <v>307</v>
      </c>
      <c r="CM4" s="323" t="s">
        <v>308</v>
      </c>
      <c r="CN4" s="323" t="s">
        <v>309</v>
      </c>
      <c r="CO4" s="323" t="s">
        <v>310</v>
      </c>
      <c r="CP4" s="323" t="s">
        <v>62</v>
      </c>
      <c r="CQ4" s="323" t="s">
        <v>311</v>
      </c>
      <c r="CR4" s="323" t="s">
        <v>63</v>
      </c>
      <c r="CS4" s="323" t="s">
        <v>312</v>
      </c>
      <c r="CT4" s="323" t="s">
        <v>313</v>
      </c>
      <c r="CU4" s="323" t="s">
        <v>64</v>
      </c>
      <c r="CV4" s="323" t="s">
        <v>65</v>
      </c>
      <c r="CW4" s="323" t="s">
        <v>66</v>
      </c>
      <c r="CX4" s="323" t="s">
        <v>67</v>
      </c>
      <c r="CY4" s="323" t="s">
        <v>68</v>
      </c>
      <c r="CZ4" s="323" t="s">
        <v>69</v>
      </c>
      <c r="DA4" s="323" t="s">
        <v>70</v>
      </c>
      <c r="DB4" s="323" t="s">
        <v>314</v>
      </c>
      <c r="DC4" s="323" t="s">
        <v>315</v>
      </c>
      <c r="DD4" s="323" t="s">
        <v>1611</v>
      </c>
      <c r="DE4" s="323" t="s">
        <v>1612</v>
      </c>
      <c r="DF4" s="323" t="s">
        <v>1613</v>
      </c>
      <c r="DG4" s="323" t="s">
        <v>71</v>
      </c>
      <c r="DH4" s="323" t="s">
        <v>72</v>
      </c>
      <c r="DI4" s="323" t="s">
        <v>73</v>
      </c>
      <c r="DJ4" s="323" t="s">
        <v>316</v>
      </c>
      <c r="DK4" s="323" t="s">
        <v>317</v>
      </c>
      <c r="DL4" s="323" t="s">
        <v>74</v>
      </c>
      <c r="DM4" s="323" t="s">
        <v>318</v>
      </c>
      <c r="DN4" s="323" t="s">
        <v>319</v>
      </c>
      <c r="DO4" s="323" t="s">
        <v>320</v>
      </c>
      <c r="DP4" s="323" t="s">
        <v>321</v>
      </c>
      <c r="DQ4" s="323" t="s">
        <v>75</v>
      </c>
      <c r="DR4" s="323" t="s">
        <v>323</v>
      </c>
      <c r="DS4" s="323" t="s">
        <v>341</v>
      </c>
      <c r="DT4" s="323" t="s">
        <v>324</v>
      </c>
      <c r="DU4" s="323" t="s">
        <v>325</v>
      </c>
      <c r="DW4" s="323" t="s">
        <v>27</v>
      </c>
      <c r="DX4" s="323" t="s">
        <v>28</v>
      </c>
      <c r="DY4" s="323" t="s">
        <v>29</v>
      </c>
      <c r="DZ4" s="323" t="s">
        <v>30</v>
      </c>
      <c r="EA4" s="323" t="s">
        <v>31</v>
      </c>
      <c r="EB4" s="323" t="s">
        <v>32</v>
      </c>
      <c r="EC4" s="323" t="s">
        <v>33</v>
      </c>
      <c r="ED4" s="323" t="s">
        <v>34</v>
      </c>
      <c r="EE4" s="323" t="s">
        <v>35</v>
      </c>
      <c r="EF4" s="323" t="s">
        <v>36</v>
      </c>
      <c r="EG4" s="323" t="s">
        <v>37</v>
      </c>
      <c r="EH4" s="323" t="s">
        <v>38</v>
      </c>
      <c r="EI4" s="323" t="s">
        <v>39</v>
      </c>
      <c r="EJ4" s="323" t="s">
        <v>40</v>
      </c>
      <c r="EK4" s="323" t="s">
        <v>41</v>
      </c>
      <c r="EL4" s="323" t="s">
        <v>42</v>
      </c>
      <c r="EM4" s="323" t="s">
        <v>43</v>
      </c>
      <c r="EN4" s="323" t="s">
        <v>44</v>
      </c>
      <c r="EO4" s="323" t="s">
        <v>45</v>
      </c>
      <c r="EP4" s="323" t="s">
        <v>50</v>
      </c>
      <c r="EQ4" s="323" t="s">
        <v>303</v>
      </c>
      <c r="ER4" s="323" t="s">
        <v>51</v>
      </c>
      <c r="ES4" s="323" t="s">
        <v>304</v>
      </c>
      <c r="ET4" s="323" t="s">
        <v>1614</v>
      </c>
      <c r="EU4" s="323" t="s">
        <v>305</v>
      </c>
      <c r="EV4" s="323" t="s">
        <v>52</v>
      </c>
      <c r="EW4" s="323" t="s">
        <v>56</v>
      </c>
      <c r="EX4" s="323" t="s">
        <v>57</v>
      </c>
      <c r="EY4" s="323" t="s">
        <v>58</v>
      </c>
      <c r="EZ4" s="323" t="s">
        <v>59</v>
      </c>
      <c r="FA4" s="323" t="s">
        <v>60</v>
      </c>
      <c r="FB4" s="323" t="s">
        <v>61</v>
      </c>
      <c r="FC4" s="323" t="s">
        <v>306</v>
      </c>
      <c r="FD4" s="323" t="s">
        <v>307</v>
      </c>
      <c r="FE4" s="323" t="s">
        <v>308</v>
      </c>
      <c r="FF4" s="323" t="s">
        <v>309</v>
      </c>
      <c r="FG4" s="323" t="s">
        <v>310</v>
      </c>
      <c r="FH4" s="323" t="s">
        <v>62</v>
      </c>
      <c r="FI4" s="323" t="s">
        <v>311</v>
      </c>
      <c r="FJ4" s="323" t="s">
        <v>63</v>
      </c>
      <c r="FK4" s="323" t="s">
        <v>312</v>
      </c>
      <c r="FL4" s="323" t="s">
        <v>313</v>
      </c>
      <c r="FM4" s="323" t="s">
        <v>64</v>
      </c>
      <c r="FN4" s="323" t="s">
        <v>65</v>
      </c>
      <c r="FO4" s="323" t="s">
        <v>66</v>
      </c>
      <c r="FP4" s="323" t="s">
        <v>67</v>
      </c>
      <c r="FQ4" s="323" t="s">
        <v>68</v>
      </c>
      <c r="FR4" s="323" t="s">
        <v>69</v>
      </c>
      <c r="FS4" s="323" t="s">
        <v>70</v>
      </c>
      <c r="FT4" s="323" t="s">
        <v>314</v>
      </c>
      <c r="FU4" s="323" t="s">
        <v>315</v>
      </c>
      <c r="FV4" s="323" t="s">
        <v>1611</v>
      </c>
      <c r="FW4" s="323" t="s">
        <v>1612</v>
      </c>
      <c r="FX4" s="323" t="s">
        <v>1613</v>
      </c>
      <c r="FY4" s="323" t="s">
        <v>71</v>
      </c>
      <c r="FZ4" s="323" t="s">
        <v>72</v>
      </c>
      <c r="GA4" s="323" t="s">
        <v>73</v>
      </c>
      <c r="GB4" s="323" t="s">
        <v>316</v>
      </c>
      <c r="GC4" s="323" t="s">
        <v>317</v>
      </c>
      <c r="GD4" s="323" t="s">
        <v>74</v>
      </c>
      <c r="GE4" s="323" t="s">
        <v>318</v>
      </c>
      <c r="GF4" s="323" t="s">
        <v>319</v>
      </c>
      <c r="GG4" s="323" t="s">
        <v>320</v>
      </c>
      <c r="GH4" s="323" t="s">
        <v>321</v>
      </c>
      <c r="GI4" s="323" t="s">
        <v>75</v>
      </c>
      <c r="GJ4" s="323" t="s">
        <v>323</v>
      </c>
      <c r="GK4" s="323" t="s">
        <v>341</v>
      </c>
      <c r="GL4" s="323" t="s">
        <v>324</v>
      </c>
      <c r="GM4" s="323" t="s">
        <v>325</v>
      </c>
    </row>
    <row r="5" spans="1:195" s="62" customFormat="1" ht="24.75" customHeight="1">
      <c r="A5" s="321"/>
      <c r="B5" s="325"/>
      <c r="C5" s="325"/>
      <c r="D5" s="325" t="s">
        <v>326</v>
      </c>
      <c r="E5" s="412"/>
      <c r="F5" s="412"/>
      <c r="G5" s="321" t="s">
        <v>342</v>
      </c>
      <c r="H5" s="321"/>
      <c r="I5" s="321"/>
      <c r="J5" s="321"/>
      <c r="K5" s="321"/>
      <c r="L5" s="321"/>
      <c r="M5" s="321"/>
      <c r="N5" s="321"/>
      <c r="O5" s="321"/>
      <c r="P5" s="321"/>
      <c r="Q5" s="321"/>
      <c r="R5" s="321"/>
      <c r="S5" s="321"/>
      <c r="T5" s="321"/>
      <c r="U5" s="321"/>
      <c r="V5" s="321"/>
      <c r="W5" s="321"/>
      <c r="X5" s="321"/>
      <c r="Y5" s="321"/>
      <c r="Z5" s="321"/>
      <c r="AA5" s="321"/>
      <c r="AB5" s="321"/>
      <c r="AC5" s="321"/>
      <c r="AD5" s="321"/>
      <c r="AE5" s="321"/>
      <c r="AF5" s="321"/>
      <c r="AG5" s="321"/>
      <c r="AH5" s="321"/>
      <c r="AI5" s="321"/>
      <c r="AJ5" s="321"/>
      <c r="AK5" s="321"/>
      <c r="AL5" s="321"/>
      <c r="AM5" s="321"/>
      <c r="AN5" s="321"/>
      <c r="AO5" s="321" t="s">
        <v>28</v>
      </c>
      <c r="AP5" s="321"/>
      <c r="AQ5" s="321"/>
      <c r="AR5" s="321"/>
      <c r="AS5" s="321"/>
      <c r="AT5" s="321"/>
      <c r="AU5" s="321"/>
      <c r="AV5" s="321"/>
      <c r="AW5" s="321"/>
      <c r="AX5" s="321"/>
      <c r="AY5" s="321"/>
      <c r="AZ5" s="321"/>
      <c r="BA5" s="321"/>
      <c r="BB5" s="321"/>
      <c r="BC5" s="321"/>
      <c r="BE5" s="327"/>
      <c r="BF5" s="327"/>
      <c r="BG5" s="327"/>
      <c r="BH5" s="327"/>
      <c r="BI5" s="327"/>
      <c r="BJ5" s="327"/>
      <c r="BK5" s="327"/>
      <c r="BL5" s="327"/>
      <c r="BM5" s="327"/>
      <c r="BN5" s="327"/>
      <c r="BO5" s="327"/>
      <c r="BP5" s="327"/>
      <c r="BQ5" s="327"/>
      <c r="BR5" s="327"/>
      <c r="BS5" s="327"/>
      <c r="BT5" s="327"/>
      <c r="BU5" s="327"/>
      <c r="BV5" s="327"/>
      <c r="BW5" s="327"/>
      <c r="BX5" s="327"/>
      <c r="BY5" s="327"/>
      <c r="BZ5" s="327"/>
      <c r="CA5" s="327"/>
      <c r="CB5" s="327"/>
      <c r="CC5" s="327"/>
      <c r="CD5" s="327"/>
      <c r="CE5" s="327"/>
      <c r="CF5" s="327"/>
      <c r="CG5" s="327"/>
      <c r="CH5" s="327"/>
      <c r="CI5" s="327"/>
      <c r="CJ5" s="327"/>
      <c r="CK5" s="327"/>
      <c r="CL5" s="327"/>
      <c r="CM5" s="327"/>
      <c r="CN5" s="327"/>
      <c r="CO5" s="327"/>
      <c r="CP5" s="327"/>
      <c r="CQ5" s="327"/>
      <c r="CR5" s="327"/>
      <c r="CS5" s="327"/>
      <c r="CT5" s="327"/>
      <c r="CU5" s="327"/>
      <c r="CV5" s="327"/>
      <c r="CW5" s="327"/>
      <c r="CX5" s="327"/>
      <c r="CY5" s="327"/>
      <c r="CZ5" s="327"/>
      <c r="DA5" s="327"/>
      <c r="DB5" s="327"/>
      <c r="DC5" s="327"/>
      <c r="DD5" s="327"/>
      <c r="DE5" s="327"/>
      <c r="DF5" s="327"/>
      <c r="DG5" s="327"/>
      <c r="DH5" s="327"/>
      <c r="DI5" s="327"/>
      <c r="DJ5" s="327"/>
      <c r="DK5" s="327"/>
      <c r="DL5" s="327"/>
      <c r="DM5" s="327"/>
      <c r="DN5" s="327"/>
      <c r="DO5" s="327"/>
      <c r="DP5" s="327"/>
      <c r="DQ5" s="327"/>
      <c r="DR5" s="327"/>
      <c r="DS5" s="327"/>
      <c r="DT5" s="327"/>
      <c r="DU5" s="321"/>
      <c r="DW5" s="321"/>
      <c r="DX5" s="321"/>
      <c r="DY5" s="321"/>
      <c r="DZ5" s="321"/>
      <c r="EA5" s="321"/>
      <c r="EB5" s="321"/>
      <c r="EC5" s="321"/>
      <c r="ED5" s="321"/>
      <c r="EE5" s="321"/>
      <c r="EF5" s="321"/>
      <c r="EG5" s="321"/>
      <c r="EH5" s="321"/>
      <c r="EI5" s="321"/>
      <c r="EJ5" s="321"/>
      <c r="EK5" s="321"/>
      <c r="EL5" s="321"/>
      <c r="EM5" s="321"/>
      <c r="EN5" s="321"/>
      <c r="EO5" s="321"/>
      <c r="EP5" s="321"/>
      <c r="EQ5" s="321"/>
      <c r="ER5" s="321"/>
      <c r="ES5" s="321"/>
      <c r="ET5" s="321"/>
      <c r="EU5" s="321"/>
      <c r="EV5" s="321"/>
      <c r="EW5" s="321"/>
      <c r="EX5" s="321"/>
      <c r="EY5" s="321"/>
      <c r="EZ5" s="321"/>
      <c r="FA5" s="321"/>
      <c r="FB5" s="321"/>
      <c r="FC5" s="321"/>
      <c r="FD5" s="321"/>
      <c r="FE5" s="321"/>
      <c r="FF5" s="321"/>
      <c r="FG5" s="321"/>
      <c r="FH5" s="321"/>
      <c r="FI5" s="321"/>
      <c r="FJ5" s="321"/>
      <c r="FK5" s="321"/>
      <c r="FL5" s="321"/>
      <c r="FM5" s="321"/>
      <c r="FN5" s="321"/>
      <c r="FO5" s="321"/>
      <c r="FP5" s="321"/>
      <c r="FQ5" s="321"/>
      <c r="FR5" s="321"/>
      <c r="FS5" s="321"/>
      <c r="FT5" s="321"/>
      <c r="FU5" s="321"/>
      <c r="FV5" s="321"/>
      <c r="FW5" s="321"/>
      <c r="FX5" s="321"/>
      <c r="FY5" s="321"/>
      <c r="FZ5" s="321"/>
      <c r="GA5" s="321"/>
      <c r="GB5" s="321"/>
      <c r="GC5" s="321"/>
      <c r="GD5" s="321"/>
      <c r="GE5" s="321"/>
      <c r="GF5" s="321"/>
      <c r="GG5" s="321"/>
      <c r="GH5" s="321"/>
      <c r="GI5" s="321"/>
      <c r="GJ5" s="321"/>
      <c r="GK5" s="321"/>
      <c r="GL5" s="321"/>
      <c r="GM5" s="321"/>
    </row>
    <row r="6" spans="1:195" s="35" customFormat="1" ht="26.25" customHeight="1">
      <c r="A6" s="329"/>
      <c r="B6" s="330"/>
      <c r="C6" s="330"/>
      <c r="D6" s="331" t="s">
        <v>343</v>
      </c>
      <c r="E6" s="332"/>
      <c r="F6" s="332"/>
      <c r="G6" s="333"/>
      <c r="H6" s="334"/>
      <c r="I6" s="329"/>
      <c r="J6" s="329"/>
      <c r="K6" s="329"/>
      <c r="L6" s="329"/>
      <c r="M6" s="329"/>
      <c r="N6" s="329"/>
      <c r="O6" s="329"/>
      <c r="P6" s="329"/>
      <c r="Q6" s="329"/>
      <c r="R6" s="329"/>
      <c r="S6" s="329"/>
      <c r="T6" s="329"/>
      <c r="U6" s="329"/>
      <c r="V6" s="329"/>
      <c r="W6" s="329"/>
      <c r="X6" s="329"/>
      <c r="Y6" s="329"/>
      <c r="Z6" s="329"/>
      <c r="AA6" s="329"/>
      <c r="AB6" s="329"/>
      <c r="AC6" s="329"/>
      <c r="AD6" s="329"/>
      <c r="AE6" s="329"/>
      <c r="AF6" s="329"/>
      <c r="AG6" s="329"/>
      <c r="AH6" s="329"/>
      <c r="AI6" s="329"/>
      <c r="AJ6" s="329"/>
      <c r="AK6" s="329"/>
      <c r="AL6" s="329"/>
      <c r="AM6" s="329"/>
      <c r="AN6" s="329"/>
      <c r="AO6" s="329"/>
      <c r="AP6" s="329"/>
      <c r="AQ6" s="329"/>
      <c r="AR6" s="329"/>
      <c r="AS6" s="329"/>
      <c r="AT6" s="329"/>
      <c r="AU6" s="329"/>
      <c r="AV6" s="329"/>
      <c r="AW6" s="329"/>
      <c r="AX6" s="329"/>
      <c r="AY6" s="329"/>
      <c r="AZ6" s="413"/>
      <c r="BA6" s="329"/>
      <c r="BB6" s="329"/>
      <c r="BC6" s="329"/>
      <c r="BE6" s="335"/>
      <c r="BF6" s="335"/>
      <c r="BG6" s="335"/>
      <c r="BH6" s="335"/>
      <c r="BI6" s="335"/>
      <c r="BJ6" s="335"/>
      <c r="BK6" s="335"/>
      <c r="BL6" s="335"/>
      <c r="BM6" s="335"/>
      <c r="BN6" s="335"/>
      <c r="BO6" s="335"/>
      <c r="BP6" s="335"/>
      <c r="BQ6" s="335"/>
      <c r="BR6" s="335"/>
      <c r="BS6" s="335"/>
      <c r="BT6" s="335"/>
      <c r="BU6" s="335"/>
      <c r="BV6" s="335"/>
      <c r="BW6" s="335"/>
      <c r="BX6" s="335"/>
      <c r="BY6" s="335"/>
      <c r="BZ6" s="335"/>
      <c r="CA6" s="335"/>
      <c r="CB6" s="335"/>
      <c r="CC6" s="335"/>
      <c r="CD6" s="335"/>
      <c r="CE6" s="335"/>
      <c r="CF6" s="335"/>
      <c r="CG6" s="335"/>
      <c r="CH6" s="335"/>
      <c r="CI6" s="335"/>
      <c r="CJ6" s="335"/>
      <c r="CK6" s="335"/>
      <c r="CL6" s="335"/>
      <c r="CM6" s="335"/>
      <c r="CN6" s="335"/>
      <c r="CO6" s="335"/>
      <c r="CP6" s="335"/>
      <c r="CQ6" s="335"/>
      <c r="CR6" s="335"/>
      <c r="CS6" s="335"/>
      <c r="CT6" s="335"/>
      <c r="CU6" s="335"/>
      <c r="CV6" s="335"/>
      <c r="CW6" s="335"/>
      <c r="CX6" s="335"/>
      <c r="CY6" s="335"/>
      <c r="CZ6" s="335"/>
      <c r="DA6" s="335"/>
      <c r="DB6" s="335"/>
      <c r="DC6" s="335"/>
      <c r="DD6" s="335"/>
      <c r="DE6" s="335"/>
      <c r="DF6" s="335"/>
      <c r="DG6" s="335"/>
      <c r="DH6" s="335"/>
      <c r="DI6" s="335"/>
      <c r="DJ6" s="335"/>
      <c r="DK6" s="335"/>
      <c r="DL6" s="335"/>
      <c r="DM6" s="335"/>
      <c r="DN6" s="335"/>
      <c r="DO6" s="335"/>
      <c r="DP6" s="335"/>
      <c r="DQ6" s="335"/>
      <c r="DR6" s="335"/>
      <c r="DS6" s="335"/>
      <c r="DT6" s="335"/>
      <c r="DU6" s="329"/>
      <c r="DV6" s="61"/>
      <c r="DW6" s="336">
        <f>IF(BE6=1,($BC6*BE6),0)</f>
        <v>0</v>
      </c>
      <c r="DX6" s="336">
        <f t="shared" ref="DX6:DX82" si="0">IF(BF6=1,($BC6*BF6),0)</f>
        <v>0</v>
      </c>
      <c r="DY6" s="336">
        <f t="shared" ref="DY6:DY82" si="1">IF(BG6=1,($BC6*BG6),0)</f>
        <v>0</v>
      </c>
      <c r="DZ6" s="336">
        <f t="shared" ref="DZ6:DZ82" si="2">IF(BH6=1,($BC6*BH6),0)</f>
        <v>0</v>
      </c>
      <c r="EA6" s="336">
        <f t="shared" ref="EA6:EA82" si="3">IF(BI6=1,($BC6*BI6),0)</f>
        <v>0</v>
      </c>
      <c r="EB6" s="336">
        <f t="shared" ref="EB6:EB82" si="4">IF(BJ6=1,($BC6*BJ6),0)</f>
        <v>0</v>
      </c>
      <c r="EC6" s="336">
        <f t="shared" ref="EC6:EC82" si="5">IF(BK6=1,($BC6*BK6),0)</f>
        <v>0</v>
      </c>
      <c r="ED6" s="336">
        <f t="shared" ref="ED6:ED82" si="6">IF(BL6=1,($BC6*BL6),0)</f>
        <v>0</v>
      </c>
      <c r="EE6" s="336">
        <f t="shared" ref="EE6:EE82" si="7">IF(BM6=1,($BC6*BM6),0)</f>
        <v>0</v>
      </c>
      <c r="EF6" s="336">
        <f t="shared" ref="EF6:EF82" si="8">IF(BN6=1,($BC6*BN6),0)</f>
        <v>0</v>
      </c>
      <c r="EG6" s="336">
        <f t="shared" ref="EG6:EG82" si="9">IF(BO6=1,($BC6*BO6),0)</f>
        <v>0</v>
      </c>
      <c r="EH6" s="336">
        <f t="shared" ref="EH6:EH82" si="10">IF(BP6=1,($BC6*BP6),0)</f>
        <v>0</v>
      </c>
      <c r="EI6" s="336">
        <f t="shared" ref="EI6:EI82" si="11">IF(BQ6=1,($BC6*BQ6),0)</f>
        <v>0</v>
      </c>
      <c r="EJ6" s="336">
        <f t="shared" ref="EJ6:EJ82" si="12">IF(BR6=1,($BC6*BR6),0)</f>
        <v>0</v>
      </c>
      <c r="EK6" s="336">
        <f t="shared" ref="EK6:EK82" si="13">IF(BS6=1,($BC6*BS6),0)</f>
        <v>0</v>
      </c>
      <c r="EL6" s="336">
        <f t="shared" ref="EL6:EL82" si="14">IF(BT6=1,($BC6*BT6),0)</f>
        <v>0</v>
      </c>
      <c r="EM6" s="336">
        <f t="shared" ref="EM6:EM82" si="15">IF(BU6=1,($BC6*BU6),0)</f>
        <v>0</v>
      </c>
      <c r="EN6" s="336">
        <f t="shared" ref="EN6:EN82" si="16">IF(BV6=1,($BC6*BV6),0)</f>
        <v>0</v>
      </c>
      <c r="EO6" s="336">
        <f t="shared" ref="EO6:EO82" si="17">IF(BW6=1,($BC6*BW6),0)</f>
        <v>0</v>
      </c>
      <c r="EP6" s="336">
        <f t="shared" ref="EP6:EP82" si="18">IF(BX6=1,($BC6*BX6),0)</f>
        <v>0</v>
      </c>
      <c r="EQ6" s="336">
        <f t="shared" ref="EQ6:EQ82" si="19">IF(BY6=1,($BC6*BY6),0)</f>
        <v>0</v>
      </c>
      <c r="ER6" s="336">
        <f t="shared" ref="ER6:ER82" si="20">IF(BZ6=1,($BC6*BZ6),0)</f>
        <v>0</v>
      </c>
      <c r="ES6" s="336">
        <f t="shared" ref="ES6:ES82" si="21">IF(CA6=1,($BC6*CA6),0)</f>
        <v>0</v>
      </c>
      <c r="ET6" s="336">
        <f t="shared" ref="ET6:ET69" si="22">IF(CB6=1,($BC6*CB6),0)</f>
        <v>0</v>
      </c>
      <c r="EU6" s="336">
        <f t="shared" ref="EU6:EU69" si="23">IF(CC6=1,($BC6*CC6),0)</f>
        <v>0</v>
      </c>
      <c r="EV6" s="336">
        <f t="shared" ref="EV6:EV82" si="24">IF(CD6=1,($BC6*CD6),0)</f>
        <v>0</v>
      </c>
      <c r="EW6" s="336">
        <f t="shared" ref="EW6:EW82" si="25">IF(CE6=1,($BC6*CE6),0)</f>
        <v>0</v>
      </c>
      <c r="EX6" s="336">
        <f t="shared" ref="EX6:EX82" si="26">IF(CF6=1,($BC6*CF6),0)</f>
        <v>0</v>
      </c>
      <c r="EY6" s="336">
        <f t="shared" ref="EY6:EY82" si="27">IF(CG6=1,($BC6*CG6),0)</f>
        <v>0</v>
      </c>
      <c r="EZ6" s="336">
        <f t="shared" ref="EZ6:EZ82" si="28">IF(CH6=1,($BC6*CH6),0)</f>
        <v>0</v>
      </c>
      <c r="FA6" s="336">
        <f t="shared" ref="FA6:FA82" si="29">IF(CI6=1,($BC6*CI6),0)</f>
        <v>0</v>
      </c>
      <c r="FB6" s="336">
        <f t="shared" ref="FB6:FB82" si="30">IF(CJ6=1,($BC6*CJ6),0)</f>
        <v>0</v>
      </c>
      <c r="FC6" s="336">
        <f t="shared" ref="FC6:FC82" si="31">IF(CK6=1,($BC6*CK6),0)</f>
        <v>0</v>
      </c>
      <c r="FD6" s="336">
        <f t="shared" ref="FD6:FD82" si="32">IF(CL6=1,($BC6*CL6),0)</f>
        <v>0</v>
      </c>
      <c r="FE6" s="336">
        <f t="shared" ref="FE6:FE82" si="33">IF(CM6=1,($BC6*CM6),0)</f>
        <v>0</v>
      </c>
      <c r="FF6" s="336">
        <f t="shared" ref="FF6:FF82" si="34">IF(CN6=1,($BC6*CN6),0)</f>
        <v>0</v>
      </c>
      <c r="FG6" s="336">
        <f t="shared" ref="FG6:FG82" si="35">IF(CO6=1,($BC6*CO6),0)</f>
        <v>0</v>
      </c>
      <c r="FH6" s="336">
        <f t="shared" ref="FH6:FH82" si="36">IF(CP6=1,($BC6*CP6),0)</f>
        <v>0</v>
      </c>
      <c r="FI6" s="336">
        <f t="shared" ref="FI6:FI82" si="37">IF(CQ6=1,($BC6*CQ6),0)</f>
        <v>0</v>
      </c>
      <c r="FJ6" s="336">
        <f t="shared" ref="FJ6:FJ82" si="38">IF(CR6=1,($BC6*CR6),0)</f>
        <v>0</v>
      </c>
      <c r="FK6" s="336">
        <f t="shared" ref="FK6:FK82" si="39">IF(CS6=1,($BC6*CS6),0)</f>
        <v>0</v>
      </c>
      <c r="FL6" s="336">
        <f t="shared" ref="FL6:FL82" si="40">IF(CT6=1,($BC6*CT6),0)</f>
        <v>0</v>
      </c>
      <c r="FM6" s="336">
        <f t="shared" ref="FM6:FM82" si="41">IF(CU6=1,($BC6*CU6),0)</f>
        <v>0</v>
      </c>
      <c r="FN6" s="336">
        <f t="shared" ref="FN6:FN82" si="42">IF(CV6=1,($BC6*CV6),0)</f>
        <v>0</v>
      </c>
      <c r="FO6" s="336">
        <f t="shared" ref="FO6:FO82" si="43">IF(CW6=1,($BC6*CW6),0)</f>
        <v>0</v>
      </c>
      <c r="FP6" s="336">
        <f t="shared" ref="FP6:FP82" si="44">IF(CX6=1,($BC6*CX6),0)</f>
        <v>0</v>
      </c>
      <c r="FQ6" s="336">
        <f t="shared" ref="FQ6:FQ82" si="45">IF(CY6=1,($BC6*CY6),0)</f>
        <v>0</v>
      </c>
      <c r="FR6" s="336">
        <f t="shared" ref="FR6:FR82" si="46">IF(CZ6=1,($BC6*CZ6),0)</f>
        <v>0</v>
      </c>
      <c r="FS6" s="336">
        <f t="shared" ref="FS6:FS82" si="47">IF(DA6=1,($BC6*DA6),0)</f>
        <v>0</v>
      </c>
      <c r="FT6" s="336">
        <f t="shared" ref="FT6:FT82" si="48">IF(DB6=1,($BC6*DB6),0)</f>
        <v>0</v>
      </c>
      <c r="FU6" s="336">
        <f t="shared" ref="FU6:FU7" si="49">IF(DC6=1,($BC6*DC6),0)</f>
        <v>0</v>
      </c>
      <c r="FV6" s="336">
        <f t="shared" ref="FV6:FV7" si="50">IF(DD6=1,($BC6*DD6),0)</f>
        <v>0</v>
      </c>
      <c r="FW6" s="336">
        <f t="shared" ref="FW6:FW7" si="51">IF(DE6=1,($BC6*DE6),0)</f>
        <v>0</v>
      </c>
      <c r="FX6" s="336">
        <f t="shared" ref="FX6:FX7" si="52">IF(DF6=1,($BC6*DF6),0)</f>
        <v>0</v>
      </c>
      <c r="FY6" s="336">
        <f t="shared" ref="FY6:FY82" si="53">IF(DG6=1,($BC6*DG6),0)</f>
        <v>0</v>
      </c>
      <c r="FZ6" s="336">
        <f t="shared" ref="FZ6:FZ82" si="54">IF(DH6=1,($BC6*DH6),0)</f>
        <v>0</v>
      </c>
      <c r="GA6" s="336">
        <f t="shared" ref="GA6:GA82" si="55">IF(DI6=1,($BC6*DI6),0)</f>
        <v>0</v>
      </c>
      <c r="GB6" s="336">
        <f t="shared" ref="GB6:GB82" si="56">IF(DJ6=1,($BC6*DJ6),0)</f>
        <v>0</v>
      </c>
      <c r="GC6" s="336">
        <f t="shared" ref="GC6:GC82" si="57">IF(DK6=1,($BC6*DK6),0)</f>
        <v>0</v>
      </c>
      <c r="GD6" s="336">
        <f t="shared" ref="GD6:GD82" si="58">IF(DL6=1,($BC6*DL6),0)</f>
        <v>0</v>
      </c>
      <c r="GE6" s="336">
        <f t="shared" ref="GE6:GE82" si="59">IF(DM6=1,($BC6*DM6),0)</f>
        <v>0</v>
      </c>
      <c r="GF6" s="336">
        <f t="shared" ref="GF6:GF82" si="60">IF(DN6=1,($BC6*DN6),0)</f>
        <v>0</v>
      </c>
      <c r="GG6" s="336">
        <f t="shared" ref="GG6:GG82" si="61">IF(DO6=1,($BC6*DO6),0)</f>
        <v>0</v>
      </c>
      <c r="GH6" s="336">
        <f t="shared" ref="GH6:GH82" si="62">IF(DP6=1,($BC6*DP6),0)</f>
        <v>0</v>
      </c>
      <c r="GI6" s="336">
        <f t="shared" ref="GI6:GI82" si="63">IF(DQ6=1,($BC6*DQ6),0)</f>
        <v>0</v>
      </c>
      <c r="GJ6" s="336">
        <f t="shared" ref="GJ6:GJ82" si="64">IF(DR6=1,($BC6*DR6),0)</f>
        <v>0</v>
      </c>
      <c r="GK6" s="336">
        <f t="shared" ref="GK6:GL10" si="65">IF(DS6=1,($BC6*DS6),0)</f>
        <v>0</v>
      </c>
      <c r="GL6" s="336">
        <f t="shared" si="65"/>
        <v>0</v>
      </c>
      <c r="GM6" s="336">
        <f t="shared" ref="GM6:GM82" si="66">IF(DU6=1,($BC6*DU6),0)</f>
        <v>0</v>
      </c>
    </row>
    <row r="7" spans="1:195" ht="18" customHeight="1">
      <c r="A7" s="337">
        <f>A87+1</f>
        <v>1</v>
      </c>
      <c r="B7" s="414" t="s">
        <v>344</v>
      </c>
      <c r="C7" s="337" t="str">
        <f>$D$6</f>
        <v>11kV MV Switchgear-1</v>
      </c>
      <c r="D7" s="415" t="s">
        <v>1615</v>
      </c>
      <c r="E7" s="416" t="s">
        <v>345</v>
      </c>
      <c r="F7" s="417" t="s">
        <v>29</v>
      </c>
      <c r="G7" s="340" t="s">
        <v>329</v>
      </c>
      <c r="H7" s="583">
        <v>3200</v>
      </c>
      <c r="I7" s="337" t="s">
        <v>330</v>
      </c>
      <c r="J7" s="337" t="s">
        <v>331</v>
      </c>
      <c r="K7" s="341">
        <v>11000</v>
      </c>
      <c r="L7" s="342">
        <v>0.85</v>
      </c>
      <c r="M7" s="342">
        <v>0.95</v>
      </c>
      <c r="N7" s="342">
        <f>IF(I7="kVA",IF(J7="3Ph",(H7*1000/(1.732*M7*K7)),(H7*1000/(M7*K7))),IF(I7="kW",IF(J7="3Ph",(H7*1000/(1.732*M7*K7*L7)),(H7*1000/(M7*K7*L7)))))</f>
        <v>208.00169521381596</v>
      </c>
      <c r="O7" s="342">
        <f t="shared" ref="O7:O62" si="67">IF(G7="MOTOR",(6*N7),IF(G7="VFD",(1*N7),0))</f>
        <v>0</v>
      </c>
      <c r="P7" s="343" t="str">
        <f t="shared" ref="P7" si="68">IF(G7="MOTOR",0.2,"0.00")</f>
        <v>0.00</v>
      </c>
      <c r="Q7" s="342">
        <v>31.5</v>
      </c>
      <c r="R7" s="342">
        <v>0.16</v>
      </c>
      <c r="S7" s="342">
        <f>(Q7*1000*SQRT(R7)/94)</f>
        <v>134.04255319148936</v>
      </c>
      <c r="T7" s="344" t="s">
        <v>131</v>
      </c>
      <c r="U7" s="342" t="s">
        <v>333</v>
      </c>
      <c r="V7" s="344">
        <v>150</v>
      </c>
      <c r="W7" s="343" t="str">
        <f t="shared" ref="W7:W58" si="69">CONCATENATE(U7," X ",V7)</f>
        <v>3C X 150</v>
      </c>
      <c r="X7" s="343" t="str">
        <f t="shared" ref="X7:X39" si="70">(IF(J7="1Ph",W7,IF(J7="3Ph",(IF(G7="MOTOR",(CONCATENATE(W7,"+PE")),W7)))))</f>
        <v>3C X 150</v>
      </c>
      <c r="Y7" s="419" t="s">
        <v>346</v>
      </c>
      <c r="Z7" s="344">
        <f>IF(T7="AIR",VLOOKUP(W7,'Catalogue Aluminium'!$B$141:$G$173,2,FALSE),IF(T7="GROUND",VLOOKUP(W7,'Catalogue Aluminium'!$B$141:$G$173,3,FALSE),IF(T7="DUCT",VLOOKUP(W7,'Catalogue Aluminium'!$B$141:$G$173,4,FALSE),IF(T7="TRENCH",VLOOKUP(W7,'Catalogue Aluminium'!$B$141:$G$173,2,FALSE)))))</f>
        <v>309</v>
      </c>
      <c r="AA7" s="345">
        <f>VLOOKUP(W7,'Catalogue Aluminium'!$B$141:$G$173,5,FALSE)</f>
        <v>0.26500000000000001</v>
      </c>
      <c r="AB7" s="345">
        <f>VLOOKUP(W7,'Catalogue Aluminium'!$B$141:$G$173,6,FALSE)</f>
        <v>9.2999999999999999E-2</v>
      </c>
      <c r="AC7" s="349">
        <f>37+30</f>
        <v>67</v>
      </c>
      <c r="AD7" s="337">
        <f>40+50+38+50+17+(27+77)</f>
        <v>299</v>
      </c>
      <c r="AE7" s="420">
        <f>11+8+8+11</f>
        <v>38</v>
      </c>
      <c r="AF7" s="343">
        <f>5+5</f>
        <v>10</v>
      </c>
      <c r="AG7" s="343">
        <f>ROUNDUP(SUM(AC7:AF7)*0.1,0)</f>
        <v>42</v>
      </c>
      <c r="AH7" s="347">
        <f>CEILING(SUM(AC7:AG7),10)</f>
        <v>460</v>
      </c>
      <c r="AI7" s="344">
        <f>IF(T7="AIR",'Catalogue Aluminium'!$K$141,IF(T7="TRENCH",'Catalogue Aluminium'!$K$144,"NA"))</f>
        <v>0.82</v>
      </c>
      <c r="AJ7" s="342">
        <f>IF(T7="Air",(IF(U7="1C",'Catalogue Aluminium'!$L$141,'Catalogue Aluminium'!$M$141)),IF(T7="DUCT",(IF($U7="1C",'Catalogue Aluminium'!$L$142,'Catalogue Aluminium'!$M$142)),IF(T7="GROUND",(IF($U7="1C",'Catalogue Aluminium'!$L$143,'Catalogue Aluminium'!$M$143)),IF(T7="TRENCH",(IF($U7="1C",'Catalogue Aluminium'!$L$144,'Catalogue Aluminium'!$M$144))))))</f>
        <v>0.73</v>
      </c>
      <c r="AK7" s="344" t="str">
        <f>IF(T7="Air",'Catalogue Aluminium'!$N$141,IF(T7="GROUND",'Catalogue Aluminium'!$N$142,IF(T7="DUCT",'Catalogue Aluminium'!$N$143,IF(T7="TRENCH",'Catalogue Aluminium'!$N$144,"NA"))))</f>
        <v>NA</v>
      </c>
      <c r="AL7" s="344" t="str">
        <f>IF(T7="Air",(IF(U7="1C",'Catalogue Aluminium'!$O$141,'Catalogue Aluminium'!$P$141)),IF(T7="DUCT",(IF($U7="1C",'Catalogue Aluminium'!$O$142,'Catalogue Aluminium'!$P$142)),IF(T7="GROUND",(IF($U7="1C",'Catalogue Aluminium'!$O$143,'Catalogue Aluminium'!$P$143)),IF(T7="TRENCH",(IF($U7="1C",'Catalogue Aluminium'!$O$144,'Catalogue Aluminium'!$P$144))))))</f>
        <v>NA</v>
      </c>
      <c r="AM7" s="344" t="str">
        <f>IF(T7="AIR","NA",IF(T7="TRENCH","NA",IF(T7="DUCT",IF(U7="1C",VLOOKUP(V7,'Catalogue Aluminium'!$Q$142:$S$153,2,FALSE),VLOOKUP(V7,'Catalogue Aluminium'!$Q$142:$S$153,3)),IF(T7="GROUND",IF(U7="1C",VLOOKUP(V7,'Catalogue Aluminium'!$Q$142:$S$153,2,FALSE),VLOOKUP(V7,'Catalogue Aluminium'!$Q$142:$S$153,3))))))</f>
        <v>NA</v>
      </c>
      <c r="AN7" s="348">
        <f t="shared" ref="AN7:AN38" si="71">IF(T7="AIR",AI7*AJ7,IF(T7="TRENCH",AI7*AJ7,IF(T7="DUCT",AJ7*AK7*AL7*AM7,IF(T7="GROUND",AJ7*AK7*AL7*AM7))))</f>
        <v>0.59859999999999991</v>
      </c>
      <c r="AO7" s="342">
        <f t="shared" ref="AO7:AO38" si="72">Z7*AN7</f>
        <v>184.96739999999997</v>
      </c>
      <c r="AP7" s="349">
        <f t="shared" ref="AP7:AP38" si="73">CEILING(((N7)/AO7),1)</f>
        <v>2</v>
      </c>
      <c r="AQ7" s="350" t="str">
        <f t="shared" ref="AQ7:AQ38" si="74">IF(AO7*AP7&gt;=N7,"YES","NO")</f>
        <v>YES</v>
      </c>
      <c r="AR7" s="351">
        <f t="shared" ref="AR7:AR38" si="75">SQRT(3)*AH7*N7*((AA7*L7)+(AB7*SIN(ACOS(L7))))*100/(AP7*K7*1000)</f>
        <v>0.20658305896693036</v>
      </c>
      <c r="AS7" s="343" t="str">
        <f>IF(G7="INCOMER",(IF(AR7&lt;=2,"YES","NO")),IF(G7="POWER",(IF(AR7&lt;=2.5,"YES","NO")),IF(G7="MOTOR",(IF(AR7&lt;=3,"YES","NO")))))</f>
        <v>YES</v>
      </c>
      <c r="AT7" s="351" t="str">
        <f t="shared" ref="AT7:AT39" si="76">IF(G7="MOTOR",(SQRT(3)*AH7*O7*((AA7*P7)+(AB7*SIN(ACOS(P7))))*100/(AP7*K7*1000)),"NA")</f>
        <v>NA</v>
      </c>
      <c r="AU7" s="343" t="str">
        <f t="shared" ref="AU7:AU39" si="77">IF(G7="MOTOR",IF(AT7&lt;=15,"YES","NO"),"NA")</f>
        <v>NA</v>
      </c>
      <c r="AV7" s="351" t="str">
        <f t="shared" ref="AV7:AV39" si="78">IF(U7="1C",CONCATENATE(AP7,"R x ",Y7,"kV x ",U7," x ",V7," Sqmm/Phase"),CONCATENATE(AP7,"R x ","6/10 (12)kV x ",U7," x ",V7," Sqmm"))</f>
        <v>2R x 6/10 (12)kV x 3C x 150 Sqmm</v>
      </c>
      <c r="AW7" s="351" t="str">
        <f t="shared" ref="AW7:AW39" si="79">IF(U7="1C",CONCATENATE(AP7,"R x ",Y7,"kV x ",U7," x ",V7," Sqmm/Phase"),CONCATENATE(AP7,"R x ","6/10 (12)kV x ",U7," x ",V7," Sqmm"))</f>
        <v>2R x 6/10 (12)kV x 3C x 150 Sqmm</v>
      </c>
      <c r="AX7" s="343">
        <f>IF(U7="1C",(3*AH7*AP7),(AH7*AP7))</f>
        <v>920</v>
      </c>
      <c r="AY7" s="343"/>
      <c r="AZ7" s="343">
        <f>IF(U7="1C",(3*AP7*2),(AP7*2))</f>
        <v>4</v>
      </c>
      <c r="BA7" s="356" t="str">
        <f t="shared" ref="BA7:BA39" si="80">CONCATENATE(IF(BE7=1,BE$4,""),IF(BF7=1,BF$4,""),IF(BG7=1,BG$4,""),IF(BH7=1,BH$4,""),IF(BI7=1,BI$4,""),IF(BJ7=1,BJ$4,""),IF(BK7=1,BK$4,""),IF(BL7=1,BL$4,""),IF(BM7=1,BM$4,""),IF(BN7=1,BN$4,""),IF(BO7=1,BO$4,""),IF(BP7=1,BP$4,""),IF(BQ7=1,BQ$4,""),IF(BR7=1,BR$4,""),IF(BS7=1,BS$4,""),IF(BT7=1,BT$4,""),IF(BU7=1,BU$4,""),IF(BV7=1,BV$4,""),IF(BW7=1,BW$4,""),IF(BX7=1,BX$4,""),IF(BY7=1,BY$4,""),IF(BZ7=1,BZ$4,""),IF(CA7=1,CA$4,""),IF(CB7=1,CB$4,""),IF(CC7=1,CC$4,""),IF(CD7=1,CD$4,""),IF(CE7=1,CE$4,""),IF(CF7=1,CF$4,""),IF(CG7=1,CG$4,""),IF(CH7=1,CH$4,""),IF(CI7=1,CI$4,""),IF(CJ7=1,CJ$4,""),IF(CK7=1,CK$4,""),IF(CL7=1,CL$4,""),IF(CM7=1,CM$4,""),IF(CN7=1,CN$4,""),IF(CO7=1,CO$4,""),IF(CP7=1,CP$4,""),IF(CQ7=1,CQ$4,""),IF(CR7=1,CR$4,""),IF(CS7=1,CS$4,""),IF(CT7=1,CT$4,""),IF(CU7=1,CU$4,""),IF(CV7=1,CV$4,""),IF(CW7=1,CW$4,""),IF(CX7=1,CX$4,""),IF(CY7=1,CY$4,""),IF(CZ7=1,CZ$4,""),IF(DA7=1,DA$4,""),IF(DB7=1,DB$4,""),IF(DC7=1,DC$4,""),IF(DD7=1,DD$4,""),IF(DE7=1,DE$4,""),IF(DF7=1,DF$4,""),IF(DG7=1,DG$4,""),IF(DH7=1,DH$4,""),IF(DI7=1,DI$4,""),IF(DJ7=1,DJ$4,""),IF(DK7=1,DK$4,""),IF(DL7=1,DL$4,""),IF(DM7=1,DM$4,""),IF(DN7=1,DN$4,""),IF(DO7=1,DO$4,""),IF(DP7=1,DP$4,""),IF(DQ7=1,DQ$4,""),IF(DR7=1,DR$4,""),IF(DS7=1,DS$4,""),IF(DT7=1,DT$4,""),IF(DU7=1,DU$4,""))</f>
        <v>ACDEE1E2E3</v>
      </c>
      <c r="BB7" s="340">
        <f>VLOOKUP(W7,'Catalogue Aluminium'!$B$141:$H$173,7,FALSE)</f>
        <v>62</v>
      </c>
      <c r="BC7" s="328">
        <f>AP7*BB7</f>
        <v>124</v>
      </c>
      <c r="BE7" s="344"/>
      <c r="BF7" s="344">
        <v>1</v>
      </c>
      <c r="BG7" s="344"/>
      <c r="BH7" s="344"/>
      <c r="BI7" s="344">
        <v>1</v>
      </c>
      <c r="BJ7" s="344">
        <v>1</v>
      </c>
      <c r="BK7" s="344"/>
      <c r="BL7" s="344"/>
      <c r="BM7" s="344"/>
      <c r="BN7" s="344">
        <v>1</v>
      </c>
      <c r="BO7" s="344"/>
      <c r="BP7" s="344">
        <v>1</v>
      </c>
      <c r="BQ7" s="344">
        <v>1</v>
      </c>
      <c r="BR7" s="344">
        <v>1</v>
      </c>
      <c r="BS7" s="344"/>
      <c r="BT7" s="416"/>
      <c r="BU7" s="416"/>
      <c r="BV7" s="416"/>
      <c r="BW7" s="416"/>
      <c r="BX7" s="416"/>
      <c r="BY7" s="416"/>
      <c r="BZ7" s="416"/>
      <c r="CA7" s="416"/>
      <c r="CB7" s="416"/>
      <c r="CC7" s="416"/>
      <c r="CD7" s="416"/>
      <c r="CE7" s="416"/>
      <c r="CF7" s="416"/>
      <c r="CG7" s="416"/>
      <c r="CH7" s="416"/>
      <c r="CI7" s="416"/>
      <c r="CJ7" s="416"/>
      <c r="CK7" s="416"/>
      <c r="CL7" s="416"/>
      <c r="CM7" s="416"/>
      <c r="CN7" s="416"/>
      <c r="CO7" s="416"/>
      <c r="CP7" s="416"/>
      <c r="CQ7" s="416"/>
      <c r="CR7" s="416"/>
      <c r="CS7" s="416"/>
      <c r="CT7" s="416"/>
      <c r="CU7" s="416"/>
      <c r="CV7" s="416"/>
      <c r="CW7" s="416"/>
      <c r="CX7" s="416"/>
      <c r="CY7" s="416"/>
      <c r="CZ7" s="416"/>
      <c r="DA7" s="416"/>
      <c r="DB7" s="416"/>
      <c r="DC7" s="416"/>
      <c r="DD7" s="416"/>
      <c r="DE7" s="416"/>
      <c r="DF7" s="416"/>
      <c r="DG7" s="416"/>
      <c r="DH7" s="416"/>
      <c r="DI7" s="416"/>
      <c r="DJ7" s="416"/>
      <c r="DK7" s="416"/>
      <c r="DL7" s="416"/>
      <c r="DM7" s="416"/>
      <c r="DN7" s="416"/>
      <c r="DO7" s="416"/>
      <c r="DP7" s="416"/>
      <c r="DQ7" s="416"/>
      <c r="DR7" s="416"/>
      <c r="DS7" s="416"/>
      <c r="DT7" s="416"/>
      <c r="DU7" s="416"/>
      <c r="DW7" s="336">
        <f t="shared" ref="DW7:DW82" si="81">IF(BE7=1,($BC7*BE7),0)</f>
        <v>0</v>
      </c>
      <c r="DX7" s="336">
        <f t="shared" si="0"/>
        <v>124</v>
      </c>
      <c r="DY7" s="336">
        <f t="shared" si="1"/>
        <v>0</v>
      </c>
      <c r="DZ7" s="336">
        <f t="shared" si="2"/>
        <v>0</v>
      </c>
      <c r="EA7" s="336">
        <f t="shared" si="3"/>
        <v>124</v>
      </c>
      <c r="EB7" s="336">
        <f t="shared" si="4"/>
        <v>124</v>
      </c>
      <c r="EC7" s="336">
        <f t="shared" si="5"/>
        <v>0</v>
      </c>
      <c r="ED7" s="336">
        <f t="shared" si="6"/>
        <v>0</v>
      </c>
      <c r="EE7" s="336">
        <f t="shared" si="7"/>
        <v>0</v>
      </c>
      <c r="EF7" s="336">
        <f t="shared" si="8"/>
        <v>124</v>
      </c>
      <c r="EG7" s="336">
        <f t="shared" si="9"/>
        <v>0</v>
      </c>
      <c r="EH7" s="336">
        <f t="shared" si="10"/>
        <v>124</v>
      </c>
      <c r="EI7" s="336">
        <f t="shared" si="11"/>
        <v>124</v>
      </c>
      <c r="EJ7" s="336">
        <f t="shared" si="12"/>
        <v>124</v>
      </c>
      <c r="EK7" s="336">
        <f t="shared" si="13"/>
        <v>0</v>
      </c>
      <c r="EL7" s="336">
        <f t="shared" si="14"/>
        <v>0</v>
      </c>
      <c r="EM7" s="336">
        <f t="shared" si="15"/>
        <v>0</v>
      </c>
      <c r="EN7" s="336">
        <f t="shared" si="16"/>
        <v>0</v>
      </c>
      <c r="EO7" s="336">
        <f t="shared" si="17"/>
        <v>0</v>
      </c>
      <c r="EP7" s="336">
        <f t="shared" si="18"/>
        <v>0</v>
      </c>
      <c r="EQ7" s="336">
        <f t="shared" si="19"/>
        <v>0</v>
      </c>
      <c r="ER7" s="336">
        <f t="shared" si="20"/>
        <v>0</v>
      </c>
      <c r="ES7" s="336">
        <f t="shared" si="21"/>
        <v>0</v>
      </c>
      <c r="ET7" s="336">
        <f t="shared" si="22"/>
        <v>0</v>
      </c>
      <c r="EU7" s="336">
        <f t="shared" si="23"/>
        <v>0</v>
      </c>
      <c r="EV7" s="336">
        <f t="shared" si="24"/>
        <v>0</v>
      </c>
      <c r="EW7" s="336">
        <f t="shared" si="25"/>
        <v>0</v>
      </c>
      <c r="EX7" s="336">
        <f t="shared" si="26"/>
        <v>0</v>
      </c>
      <c r="EY7" s="336">
        <f t="shared" si="27"/>
        <v>0</v>
      </c>
      <c r="EZ7" s="336">
        <f t="shared" si="28"/>
        <v>0</v>
      </c>
      <c r="FA7" s="336">
        <f t="shared" si="29"/>
        <v>0</v>
      </c>
      <c r="FB7" s="336">
        <f t="shared" si="30"/>
        <v>0</v>
      </c>
      <c r="FC7" s="336">
        <f t="shared" si="31"/>
        <v>0</v>
      </c>
      <c r="FD7" s="336">
        <f t="shared" si="32"/>
        <v>0</v>
      </c>
      <c r="FE7" s="336">
        <f t="shared" si="33"/>
        <v>0</v>
      </c>
      <c r="FF7" s="336">
        <f t="shared" si="34"/>
        <v>0</v>
      </c>
      <c r="FG7" s="336">
        <f t="shared" si="35"/>
        <v>0</v>
      </c>
      <c r="FH7" s="336">
        <f t="shared" si="36"/>
        <v>0</v>
      </c>
      <c r="FI7" s="336">
        <f t="shared" si="37"/>
        <v>0</v>
      </c>
      <c r="FJ7" s="336">
        <f t="shared" si="38"/>
        <v>0</v>
      </c>
      <c r="FK7" s="336">
        <f t="shared" si="39"/>
        <v>0</v>
      </c>
      <c r="FL7" s="336">
        <f t="shared" si="40"/>
        <v>0</v>
      </c>
      <c r="FM7" s="336">
        <f t="shared" si="41"/>
        <v>0</v>
      </c>
      <c r="FN7" s="336">
        <f t="shared" si="42"/>
        <v>0</v>
      </c>
      <c r="FO7" s="336">
        <f t="shared" si="43"/>
        <v>0</v>
      </c>
      <c r="FP7" s="336">
        <f t="shared" si="44"/>
        <v>0</v>
      </c>
      <c r="FQ7" s="336">
        <f t="shared" si="45"/>
        <v>0</v>
      </c>
      <c r="FR7" s="336">
        <f t="shared" si="46"/>
        <v>0</v>
      </c>
      <c r="FS7" s="336">
        <f t="shared" si="47"/>
        <v>0</v>
      </c>
      <c r="FT7" s="336">
        <f t="shared" si="48"/>
        <v>0</v>
      </c>
      <c r="FU7" s="336">
        <f t="shared" si="49"/>
        <v>0</v>
      </c>
      <c r="FV7" s="336">
        <f t="shared" si="50"/>
        <v>0</v>
      </c>
      <c r="FW7" s="336">
        <f t="shared" si="51"/>
        <v>0</v>
      </c>
      <c r="FX7" s="336">
        <f t="shared" si="52"/>
        <v>0</v>
      </c>
      <c r="FY7" s="336">
        <f t="shared" si="53"/>
        <v>0</v>
      </c>
      <c r="FZ7" s="336">
        <f t="shared" si="54"/>
        <v>0</v>
      </c>
      <c r="GA7" s="336">
        <f t="shared" si="55"/>
        <v>0</v>
      </c>
      <c r="GB7" s="336">
        <f t="shared" si="56"/>
        <v>0</v>
      </c>
      <c r="GC7" s="336">
        <f t="shared" si="57"/>
        <v>0</v>
      </c>
      <c r="GD7" s="336">
        <f t="shared" si="58"/>
        <v>0</v>
      </c>
      <c r="GE7" s="336">
        <f t="shared" si="59"/>
        <v>0</v>
      </c>
      <c r="GF7" s="336">
        <f t="shared" si="60"/>
        <v>0</v>
      </c>
      <c r="GG7" s="336">
        <f t="shared" si="61"/>
        <v>0</v>
      </c>
      <c r="GH7" s="336">
        <f t="shared" si="62"/>
        <v>0</v>
      </c>
      <c r="GI7" s="336">
        <f t="shared" si="63"/>
        <v>0</v>
      </c>
      <c r="GJ7" s="336">
        <f t="shared" si="64"/>
        <v>0</v>
      </c>
      <c r="GK7" s="336">
        <f t="shared" si="65"/>
        <v>0</v>
      </c>
      <c r="GL7" s="336">
        <f t="shared" si="65"/>
        <v>0</v>
      </c>
      <c r="GM7" s="336">
        <f t="shared" si="66"/>
        <v>0</v>
      </c>
    </row>
    <row r="8" spans="1:195" s="157" customFormat="1" ht="18" hidden="1" customHeight="1">
      <c r="A8" s="357" t="s">
        <v>334</v>
      </c>
      <c r="B8" s="421" t="s">
        <v>347</v>
      </c>
      <c r="C8" s="357" t="str">
        <f t="shared" ref="C8:C39" si="82">$D$6</f>
        <v>11kV MV Switchgear-1</v>
      </c>
      <c r="D8" s="422" t="s">
        <v>348</v>
      </c>
      <c r="E8" s="423" t="s">
        <v>349</v>
      </c>
      <c r="F8" s="424" t="s">
        <v>28</v>
      </c>
      <c r="G8" s="358" t="s">
        <v>350</v>
      </c>
      <c r="H8" s="352">
        <v>500</v>
      </c>
      <c r="I8" s="357" t="s">
        <v>330</v>
      </c>
      <c r="J8" s="357" t="s">
        <v>331</v>
      </c>
      <c r="K8" s="369">
        <v>11000</v>
      </c>
      <c r="L8" s="359">
        <v>0.87</v>
      </c>
      <c r="M8" s="359">
        <v>0.95499999999999996</v>
      </c>
      <c r="N8" s="359">
        <f t="shared" ref="N8:N39" si="83">IF(I8="kVA",IF(J8="3Ph",(H8*1000/(1.732*M8*K8)),(H8*1000/(M8*K8))),IF(I8="kW",IF(J8="3Ph",(H8*1000/(1.732*M8*K8*L8)),(H8*1000/(M8*K8*L8)))))</f>
        <v>31.586885585010158</v>
      </c>
      <c r="O8" s="359">
        <f t="shared" si="67"/>
        <v>189.52131351006096</v>
      </c>
      <c r="P8" s="360">
        <f t="shared" ref="P8:P39" si="84">IF(G8="MOTOR",0.2,"0.00")</f>
        <v>0.2</v>
      </c>
      <c r="Q8" s="359">
        <v>31.5</v>
      </c>
      <c r="R8" s="359">
        <v>0.16</v>
      </c>
      <c r="S8" s="359">
        <f t="shared" ref="S8:S44" si="85">(Q8*1000*SQRT(R8)/94)</f>
        <v>134.04255319148936</v>
      </c>
      <c r="T8" s="361" t="s">
        <v>131</v>
      </c>
      <c r="U8" s="359" t="s">
        <v>333</v>
      </c>
      <c r="V8" s="361">
        <v>150</v>
      </c>
      <c r="W8" s="360" t="str">
        <f t="shared" si="69"/>
        <v>3C X 150</v>
      </c>
      <c r="X8" s="343" t="str">
        <f t="shared" si="70"/>
        <v>3C X 150+PE</v>
      </c>
      <c r="Y8" s="425" t="s">
        <v>346</v>
      </c>
      <c r="Z8" s="361">
        <f>IF(T8="AIR",VLOOKUP(W8,'Catalogue Aluminium'!$B$141:$G$173,2,FALSE),IF(T8="GROUND",VLOOKUP(W8,'Catalogue Aluminium'!$B$141:$G$173,3,FALSE),IF(T8="DUCT",VLOOKUP(W8,'Catalogue Aluminium'!$B$141:$G$173,4,FALSE),IF(T8="TRENCH",VLOOKUP(W8,'Catalogue Aluminium'!$B$141:$G$173,2,FALSE)))))</f>
        <v>309</v>
      </c>
      <c r="AA8" s="362">
        <f>VLOOKUP(W8,'Catalogue Aluminium'!$B$141:$G$173,5,FALSE)</f>
        <v>0.26500000000000001</v>
      </c>
      <c r="AB8" s="362">
        <f>VLOOKUP(W8,'Catalogue Aluminium'!$B$141:$G$173,6,FALSE)</f>
        <v>9.2999999999999999E-2</v>
      </c>
      <c r="AC8" s="353">
        <f>18+30</f>
        <v>48</v>
      </c>
      <c r="AD8" s="357">
        <f>11+34+48+35+30+51+5</f>
        <v>214</v>
      </c>
      <c r="AE8" s="360">
        <v>20</v>
      </c>
      <c r="AF8" s="360">
        <v>6</v>
      </c>
      <c r="AG8" s="360">
        <f t="shared" ref="AG8:AG38" si="86">ROUNDUP(SUM(AC8:AF8)*0.1,0)</f>
        <v>29</v>
      </c>
      <c r="AH8" s="363">
        <f t="shared" ref="AH8:AH44" si="87">CEILING(SUM(AC8:AG8),10)</f>
        <v>320</v>
      </c>
      <c r="AI8" s="361">
        <f>IF(T8="AIR",'Catalogue Aluminium'!$K$141,IF(T8="TRENCH",'Catalogue Aluminium'!$K$144,"NA"))</f>
        <v>0.82</v>
      </c>
      <c r="AJ8" s="359">
        <f>IF(T8="Air",(IF(U8="1C",'Catalogue Aluminium'!$L$141,'Catalogue Aluminium'!$M$141)),IF(T8="DUCT",(IF($U8="1C",'Catalogue Aluminium'!$L$142,'Catalogue Aluminium'!$M$142)),IF(T8="GROUND",(IF($U8="1C",'Catalogue Aluminium'!$L$143,'Catalogue Aluminium'!$M$143)),IF(T8="TRENCH",(IF($U8="1C",'Catalogue Aluminium'!$L$144,'Catalogue Aluminium'!$M$144))))))</f>
        <v>0.73</v>
      </c>
      <c r="AK8" s="361" t="str">
        <f>IF(T8="Air",'Catalogue Aluminium'!$N$141,IF(T8="GROUND",'Catalogue Aluminium'!$N$142,IF(T8="DUCT",'Catalogue Aluminium'!$N$143,IF(T8="TRENCH",'Catalogue Aluminium'!$N$144,"NA"))))</f>
        <v>NA</v>
      </c>
      <c r="AL8" s="361" t="str">
        <f>IF(T8="Air",(IF(U8="1C",'Catalogue Aluminium'!$O$141,'Catalogue Aluminium'!$P$141)),IF(T8="DUCT",(IF($U8="1C",'Catalogue Aluminium'!$O$142,'Catalogue Aluminium'!$P$142)),IF(T8="GROUND",(IF($U8="1C",'Catalogue Aluminium'!$O$143,'Catalogue Aluminium'!$P$143)),IF(T8="TRENCH",(IF($U8="1C",'Catalogue Aluminium'!$O$144,'Catalogue Aluminium'!$P$144))))))</f>
        <v>NA</v>
      </c>
      <c r="AM8" s="361" t="str">
        <f>IF(T8="AIR","NA",IF(T8="TRENCH","NA",IF(T8="DUCT",IF(U8="1C",VLOOKUP(V8,'Catalogue Aluminium'!$Q$142:$S$153,2,FALSE),VLOOKUP(V8,'Catalogue Aluminium'!$Q$142:$S$153,3)),IF(T8="GROUND",IF(U8="1C",VLOOKUP(V8,'Catalogue Aluminium'!$Q$142:$S$153,2,FALSE),VLOOKUP(V8,'Catalogue Aluminium'!$Q$142:$S$153,3))))))</f>
        <v>NA</v>
      </c>
      <c r="AN8" s="364">
        <f t="shared" si="71"/>
        <v>0.59859999999999991</v>
      </c>
      <c r="AO8" s="359">
        <f t="shared" si="72"/>
        <v>184.96739999999997</v>
      </c>
      <c r="AP8" s="353">
        <f t="shared" si="73"/>
        <v>1</v>
      </c>
      <c r="AQ8" s="352" t="str">
        <f t="shared" si="74"/>
        <v>YES</v>
      </c>
      <c r="AR8" s="365">
        <f t="shared" si="75"/>
        <v>4.3991498228786945E-2</v>
      </c>
      <c r="AS8" s="360" t="str">
        <f t="shared" ref="AS8:AS9" si="88">IF(G8="INCOMER",(IF(AR8&lt;=2,"YES","NO")),IF(G8="POWER",(IF(AR8&lt;=2,"YES","NO")),IF(G8="MOTOR",(IF(AR8&lt;=3,"YES","NO")))))</f>
        <v>YES</v>
      </c>
      <c r="AT8" s="365">
        <f t="shared" si="76"/>
        <v>0.13762689142974893</v>
      </c>
      <c r="AU8" s="360" t="str">
        <f t="shared" si="77"/>
        <v>YES</v>
      </c>
      <c r="AV8" s="365" t="str">
        <f t="shared" si="78"/>
        <v>1R x 6/10 (12)kV x 3C x 150 Sqmm</v>
      </c>
      <c r="AW8" s="365" t="str">
        <f t="shared" si="79"/>
        <v>1R x 6/10 (12)kV x 3C x 150 Sqmm</v>
      </c>
      <c r="AX8" s="360"/>
      <c r="AY8" s="360"/>
      <c r="AZ8" s="360"/>
      <c r="BA8" s="356" t="str">
        <f t="shared" si="80"/>
        <v/>
      </c>
      <c r="BB8" s="358"/>
      <c r="BC8" s="426"/>
      <c r="BE8" s="423"/>
      <c r="BF8" s="368"/>
      <c r="BG8" s="368"/>
      <c r="BH8" s="423"/>
      <c r="BI8" s="368"/>
      <c r="BJ8" s="368"/>
      <c r="BK8" s="423"/>
      <c r="BL8" s="423"/>
      <c r="BM8" s="423"/>
      <c r="BN8" s="368"/>
      <c r="BO8" s="368"/>
      <c r="BP8" s="423"/>
      <c r="BQ8" s="423"/>
      <c r="BR8" s="423"/>
      <c r="BS8" s="423"/>
      <c r="BT8" s="423"/>
      <c r="BU8" s="423"/>
      <c r="BV8" s="368"/>
      <c r="BW8" s="423"/>
      <c r="BX8" s="423"/>
      <c r="BY8" s="423"/>
      <c r="BZ8" s="423"/>
      <c r="CA8" s="423"/>
      <c r="CB8" s="423"/>
      <c r="CC8" s="423"/>
      <c r="CD8" s="423"/>
      <c r="CE8" s="423"/>
      <c r="CF8" s="423"/>
      <c r="CG8" s="423"/>
      <c r="CH8" s="423"/>
      <c r="CI8" s="423"/>
      <c r="CJ8" s="423"/>
      <c r="CK8" s="423"/>
      <c r="CL8" s="423"/>
      <c r="CM8" s="423"/>
      <c r="CN8" s="423"/>
      <c r="CO8" s="423"/>
      <c r="CP8" s="423"/>
      <c r="CQ8" s="423"/>
      <c r="CR8" s="423"/>
      <c r="CS8" s="423"/>
      <c r="CT8" s="423"/>
      <c r="CU8" s="423"/>
      <c r="CV8" s="423"/>
      <c r="CW8" s="423"/>
      <c r="CX8" s="423"/>
      <c r="CY8" s="423"/>
      <c r="CZ8" s="423"/>
      <c r="DA8" s="423"/>
      <c r="DB8" s="423"/>
      <c r="DC8" s="423"/>
      <c r="DD8" s="423"/>
      <c r="DE8" s="423"/>
      <c r="DF8" s="423"/>
      <c r="DG8" s="423"/>
      <c r="DH8" s="423"/>
      <c r="DI8" s="423"/>
      <c r="DJ8" s="423"/>
      <c r="DK8" s="423"/>
      <c r="DL8" s="423"/>
      <c r="DM8" s="423"/>
      <c r="DN8" s="423"/>
      <c r="DO8" s="423"/>
      <c r="DP8" s="423"/>
      <c r="DQ8" s="423"/>
      <c r="DR8" s="423"/>
      <c r="DS8" s="423"/>
      <c r="DT8" s="423"/>
      <c r="DU8" s="423"/>
      <c r="DV8" s="83"/>
      <c r="DW8" s="336">
        <f t="shared" si="81"/>
        <v>0</v>
      </c>
      <c r="DX8" s="336">
        <f t="shared" si="0"/>
        <v>0</v>
      </c>
      <c r="DY8" s="336">
        <f t="shared" si="1"/>
        <v>0</v>
      </c>
      <c r="DZ8" s="336">
        <f t="shared" si="2"/>
        <v>0</v>
      </c>
      <c r="EA8" s="336">
        <f t="shared" si="3"/>
        <v>0</v>
      </c>
      <c r="EB8" s="336">
        <f t="shared" si="4"/>
        <v>0</v>
      </c>
      <c r="EC8" s="336">
        <f t="shared" si="5"/>
        <v>0</v>
      </c>
      <c r="ED8" s="336">
        <f t="shared" si="6"/>
        <v>0</v>
      </c>
      <c r="EE8" s="336">
        <f t="shared" si="7"/>
        <v>0</v>
      </c>
      <c r="EF8" s="336">
        <f t="shared" si="8"/>
        <v>0</v>
      </c>
      <c r="EG8" s="336">
        <f t="shared" si="9"/>
        <v>0</v>
      </c>
      <c r="EH8" s="336">
        <f t="shared" si="10"/>
        <v>0</v>
      </c>
      <c r="EI8" s="336">
        <f t="shared" si="11"/>
        <v>0</v>
      </c>
      <c r="EJ8" s="336">
        <f t="shared" si="12"/>
        <v>0</v>
      </c>
      <c r="EK8" s="336">
        <f t="shared" si="13"/>
        <v>0</v>
      </c>
      <c r="EL8" s="336">
        <f t="shared" si="14"/>
        <v>0</v>
      </c>
      <c r="EM8" s="336">
        <f t="shared" si="15"/>
        <v>0</v>
      </c>
      <c r="EN8" s="336">
        <f t="shared" si="16"/>
        <v>0</v>
      </c>
      <c r="EO8" s="336">
        <f t="shared" si="17"/>
        <v>0</v>
      </c>
      <c r="EP8" s="336">
        <f t="shared" si="18"/>
        <v>0</v>
      </c>
      <c r="EQ8" s="336">
        <f t="shared" si="19"/>
        <v>0</v>
      </c>
      <c r="ER8" s="336">
        <f t="shared" si="20"/>
        <v>0</v>
      </c>
      <c r="ES8" s="336">
        <f t="shared" si="21"/>
        <v>0</v>
      </c>
      <c r="ET8" s="336">
        <f t="shared" si="22"/>
        <v>0</v>
      </c>
      <c r="EU8" s="336">
        <f t="shared" si="23"/>
        <v>0</v>
      </c>
      <c r="EV8" s="336">
        <f t="shared" si="24"/>
        <v>0</v>
      </c>
      <c r="EW8" s="336">
        <f t="shared" si="25"/>
        <v>0</v>
      </c>
      <c r="EX8" s="336">
        <f t="shared" si="26"/>
        <v>0</v>
      </c>
      <c r="EY8" s="336">
        <f t="shared" si="27"/>
        <v>0</v>
      </c>
      <c r="EZ8" s="336">
        <f t="shared" si="28"/>
        <v>0</v>
      </c>
      <c r="FA8" s="336">
        <f t="shared" si="29"/>
        <v>0</v>
      </c>
      <c r="FB8" s="336">
        <f t="shared" si="30"/>
        <v>0</v>
      </c>
      <c r="FC8" s="336">
        <f t="shared" si="31"/>
        <v>0</v>
      </c>
      <c r="FD8" s="336">
        <f t="shared" si="32"/>
        <v>0</v>
      </c>
      <c r="FE8" s="336">
        <f t="shared" si="33"/>
        <v>0</v>
      </c>
      <c r="FF8" s="336">
        <f t="shared" si="34"/>
        <v>0</v>
      </c>
      <c r="FG8" s="336">
        <f t="shared" si="35"/>
        <v>0</v>
      </c>
      <c r="FH8" s="336">
        <f t="shared" si="36"/>
        <v>0</v>
      </c>
      <c r="FI8" s="336">
        <f t="shared" si="37"/>
        <v>0</v>
      </c>
      <c r="FJ8" s="336">
        <f t="shared" si="38"/>
        <v>0</v>
      </c>
      <c r="FK8" s="336">
        <f t="shared" si="39"/>
        <v>0</v>
      </c>
      <c r="FL8" s="336">
        <f t="shared" si="40"/>
        <v>0</v>
      </c>
      <c r="FM8" s="336">
        <f t="shared" si="41"/>
        <v>0</v>
      </c>
      <c r="FN8" s="336">
        <f t="shared" si="42"/>
        <v>0</v>
      </c>
      <c r="FO8" s="336">
        <f t="shared" si="43"/>
        <v>0</v>
      </c>
      <c r="FP8" s="336">
        <f t="shared" si="44"/>
        <v>0</v>
      </c>
      <c r="FQ8" s="336">
        <f t="shared" si="45"/>
        <v>0</v>
      </c>
      <c r="FR8" s="336">
        <f t="shared" si="46"/>
        <v>0</v>
      </c>
      <c r="FS8" s="336">
        <f t="shared" si="47"/>
        <v>0</v>
      </c>
      <c r="FT8" s="336">
        <f t="shared" si="48"/>
        <v>0</v>
      </c>
      <c r="FU8" s="336"/>
      <c r="FV8" s="336"/>
      <c r="FW8" s="336"/>
      <c r="FX8" s="336"/>
      <c r="FY8" s="336">
        <f t="shared" si="53"/>
        <v>0</v>
      </c>
      <c r="FZ8" s="336">
        <f t="shared" si="54"/>
        <v>0</v>
      </c>
      <c r="GA8" s="336">
        <f t="shared" si="55"/>
        <v>0</v>
      </c>
      <c r="GB8" s="336">
        <f t="shared" si="56"/>
        <v>0</v>
      </c>
      <c r="GC8" s="336">
        <f t="shared" si="57"/>
        <v>0</v>
      </c>
      <c r="GD8" s="336">
        <f t="shared" si="58"/>
        <v>0</v>
      </c>
      <c r="GE8" s="336">
        <f t="shared" si="59"/>
        <v>0</v>
      </c>
      <c r="GF8" s="336">
        <f t="shared" si="60"/>
        <v>0</v>
      </c>
      <c r="GG8" s="336">
        <f t="shared" si="61"/>
        <v>0</v>
      </c>
      <c r="GH8" s="336">
        <f t="shared" si="62"/>
        <v>0</v>
      </c>
      <c r="GI8" s="336">
        <f t="shared" si="63"/>
        <v>0</v>
      </c>
      <c r="GJ8" s="336">
        <f t="shared" si="64"/>
        <v>0</v>
      </c>
      <c r="GK8" s="336">
        <f t="shared" si="65"/>
        <v>0</v>
      </c>
      <c r="GL8" s="336">
        <f t="shared" si="65"/>
        <v>0</v>
      </c>
      <c r="GM8" s="336">
        <f t="shared" si="66"/>
        <v>0</v>
      </c>
    </row>
    <row r="9" spans="1:195" s="157" customFormat="1" ht="18" hidden="1" customHeight="1">
      <c r="A9" s="357" t="s">
        <v>334</v>
      </c>
      <c r="B9" s="421" t="s">
        <v>351</v>
      </c>
      <c r="C9" s="357" t="str">
        <f t="shared" si="82"/>
        <v>11kV MV Switchgear-1</v>
      </c>
      <c r="D9" s="422" t="s">
        <v>352</v>
      </c>
      <c r="E9" s="423" t="s">
        <v>349</v>
      </c>
      <c r="F9" s="424" t="s">
        <v>29</v>
      </c>
      <c r="G9" s="358" t="s">
        <v>350</v>
      </c>
      <c r="H9" s="352">
        <v>500</v>
      </c>
      <c r="I9" s="357" t="s">
        <v>330</v>
      </c>
      <c r="J9" s="357" t="s">
        <v>331</v>
      </c>
      <c r="K9" s="369">
        <v>11000</v>
      </c>
      <c r="L9" s="359">
        <v>0.87</v>
      </c>
      <c r="M9" s="359">
        <v>0.95499999999999996</v>
      </c>
      <c r="N9" s="359">
        <f t="shared" si="83"/>
        <v>31.586885585010158</v>
      </c>
      <c r="O9" s="359">
        <f t="shared" si="67"/>
        <v>189.52131351006096</v>
      </c>
      <c r="P9" s="360">
        <f t="shared" si="84"/>
        <v>0.2</v>
      </c>
      <c r="Q9" s="359">
        <v>31.5</v>
      </c>
      <c r="R9" s="359">
        <v>0.16</v>
      </c>
      <c r="S9" s="359">
        <f t="shared" si="85"/>
        <v>134.04255319148936</v>
      </c>
      <c r="T9" s="361" t="s">
        <v>131</v>
      </c>
      <c r="U9" s="359" t="s">
        <v>333</v>
      </c>
      <c r="V9" s="361">
        <v>150</v>
      </c>
      <c r="W9" s="360" t="str">
        <f t="shared" si="69"/>
        <v>3C X 150</v>
      </c>
      <c r="X9" s="343" t="str">
        <f t="shared" si="70"/>
        <v>3C X 150+PE</v>
      </c>
      <c r="Y9" s="425" t="s">
        <v>346</v>
      </c>
      <c r="Z9" s="361">
        <f>IF(T9="AIR",VLOOKUP(W9,'Catalogue Aluminium'!$B$141:$G$173,2,FALSE),IF(T9="GROUND",VLOOKUP(W9,'Catalogue Aluminium'!$B$141:$G$173,3,FALSE),IF(T9="DUCT",VLOOKUP(W9,'Catalogue Aluminium'!$B$141:$G$173,4,FALSE),IF(T9="TRENCH",VLOOKUP(W9,'Catalogue Aluminium'!$B$141:$G$173,2,FALSE)))))</f>
        <v>309</v>
      </c>
      <c r="AA9" s="362">
        <f>VLOOKUP(W9,'Catalogue Aluminium'!$B$141:$G$173,5,FALSE)</f>
        <v>0.26500000000000001</v>
      </c>
      <c r="AB9" s="362">
        <f>VLOOKUP(W9,'Catalogue Aluminium'!$B$141:$G$173,6,FALSE)</f>
        <v>9.2999999999999999E-2</v>
      </c>
      <c r="AC9" s="353">
        <f>19+30</f>
        <v>49</v>
      </c>
      <c r="AD9" s="357">
        <f>11+34+48+35+30+51+5</f>
        <v>214</v>
      </c>
      <c r="AE9" s="360">
        <v>20</v>
      </c>
      <c r="AF9" s="360">
        <v>6</v>
      </c>
      <c r="AG9" s="360">
        <f t="shared" si="86"/>
        <v>29</v>
      </c>
      <c r="AH9" s="363">
        <f t="shared" si="87"/>
        <v>320</v>
      </c>
      <c r="AI9" s="361">
        <f>IF(T9="AIR",'Catalogue Aluminium'!$K$141,IF(T9="TRENCH",'Catalogue Aluminium'!$K$144,"NA"))</f>
        <v>0.82</v>
      </c>
      <c r="AJ9" s="359">
        <f>IF(T9="Air",(IF(U9="1C",'Catalogue Aluminium'!$L$141,'Catalogue Aluminium'!$M$141)),IF(T9="DUCT",(IF($U9="1C",'Catalogue Aluminium'!$L$142,'Catalogue Aluminium'!$M$142)),IF(T9="GROUND",(IF($U9="1C",'Catalogue Aluminium'!$L$143,'Catalogue Aluminium'!$M$143)),IF(T9="TRENCH",(IF($U9="1C",'Catalogue Aluminium'!$L$144,'Catalogue Aluminium'!$M$144))))))</f>
        <v>0.73</v>
      </c>
      <c r="AK9" s="361" t="str">
        <f>IF(T9="Air",'Catalogue Aluminium'!$N$141,IF(T9="GROUND",'Catalogue Aluminium'!$N$142,IF(T9="DUCT",'Catalogue Aluminium'!$N$143,IF(T9="TRENCH",'Catalogue Aluminium'!$N$144,"NA"))))</f>
        <v>NA</v>
      </c>
      <c r="AL9" s="361" t="str">
        <f>IF(T9="Air",(IF(U9="1C",'Catalogue Aluminium'!$O$141,'Catalogue Aluminium'!$P$141)),IF(T9="DUCT",(IF($U9="1C",'Catalogue Aluminium'!$O$142,'Catalogue Aluminium'!$P$142)),IF(T9="GROUND",(IF($U9="1C",'Catalogue Aluminium'!$O$143,'Catalogue Aluminium'!$P$143)),IF(T9="TRENCH",(IF($U9="1C",'Catalogue Aluminium'!$O$144,'Catalogue Aluminium'!$P$144))))))</f>
        <v>NA</v>
      </c>
      <c r="AM9" s="361" t="str">
        <f>IF(T9="AIR","NA",IF(T9="TRENCH","NA",IF(T9="DUCT",IF(U9="1C",VLOOKUP(V9,'Catalogue Aluminium'!$Q$142:$S$153,2,FALSE),VLOOKUP(V9,'Catalogue Aluminium'!$Q$142:$S$153,3)),IF(T9="GROUND",IF(U9="1C",VLOOKUP(V9,'Catalogue Aluminium'!$Q$142:$S$153,2,FALSE),VLOOKUP(V9,'Catalogue Aluminium'!$Q$142:$S$153,3))))))</f>
        <v>NA</v>
      </c>
      <c r="AN9" s="364">
        <f t="shared" si="71"/>
        <v>0.59859999999999991</v>
      </c>
      <c r="AO9" s="359">
        <f t="shared" si="72"/>
        <v>184.96739999999997</v>
      </c>
      <c r="AP9" s="353">
        <f t="shared" si="73"/>
        <v>1</v>
      </c>
      <c r="AQ9" s="352" t="str">
        <f t="shared" si="74"/>
        <v>YES</v>
      </c>
      <c r="AR9" s="365">
        <f t="shared" si="75"/>
        <v>4.3991498228786945E-2</v>
      </c>
      <c r="AS9" s="360" t="str">
        <f t="shared" si="88"/>
        <v>YES</v>
      </c>
      <c r="AT9" s="365">
        <f t="shared" si="76"/>
        <v>0.13762689142974893</v>
      </c>
      <c r="AU9" s="360" t="str">
        <f t="shared" si="77"/>
        <v>YES</v>
      </c>
      <c r="AV9" s="365" t="str">
        <f t="shared" si="78"/>
        <v>1R x 6/10 (12)kV x 3C x 150 Sqmm</v>
      </c>
      <c r="AW9" s="365" t="str">
        <f t="shared" si="79"/>
        <v>1R x 6/10 (12)kV x 3C x 150 Sqmm</v>
      </c>
      <c r="AX9" s="360"/>
      <c r="AY9" s="360"/>
      <c r="AZ9" s="360"/>
      <c r="BA9" s="356" t="str">
        <f t="shared" si="80"/>
        <v/>
      </c>
      <c r="BB9" s="358"/>
      <c r="BC9" s="426"/>
      <c r="BE9" s="423"/>
      <c r="BF9" s="368"/>
      <c r="BG9" s="368"/>
      <c r="BH9" s="423"/>
      <c r="BI9" s="368"/>
      <c r="BJ9" s="368"/>
      <c r="BK9" s="423"/>
      <c r="BL9" s="423"/>
      <c r="BM9" s="423"/>
      <c r="BN9" s="368"/>
      <c r="BO9" s="368"/>
      <c r="BP9" s="423"/>
      <c r="BQ9" s="423"/>
      <c r="BR9" s="423"/>
      <c r="BS9" s="423"/>
      <c r="BT9" s="423"/>
      <c r="BU9" s="423"/>
      <c r="BV9" s="423"/>
      <c r="BW9" s="423"/>
      <c r="BX9" s="423"/>
      <c r="BY9" s="423"/>
      <c r="BZ9" s="423"/>
      <c r="CA9" s="423"/>
      <c r="CB9" s="423"/>
      <c r="CC9" s="423"/>
      <c r="CD9" s="423"/>
      <c r="CE9" s="423"/>
      <c r="CF9" s="423"/>
      <c r="CG9" s="423"/>
      <c r="CH9" s="423"/>
      <c r="CI9" s="423"/>
      <c r="CJ9" s="423"/>
      <c r="CK9" s="423"/>
      <c r="CL9" s="423"/>
      <c r="CM9" s="423"/>
      <c r="CN9" s="423"/>
      <c r="CO9" s="423"/>
      <c r="CP9" s="423"/>
      <c r="CQ9" s="423"/>
      <c r="CR9" s="423"/>
      <c r="CS9" s="423"/>
      <c r="CT9" s="423"/>
      <c r="CU9" s="423"/>
      <c r="CV9" s="423"/>
      <c r="CW9" s="423"/>
      <c r="CX9" s="423"/>
      <c r="CY9" s="423"/>
      <c r="CZ9" s="423"/>
      <c r="DA9" s="423"/>
      <c r="DB9" s="423"/>
      <c r="DC9" s="423"/>
      <c r="DD9" s="423"/>
      <c r="DE9" s="423"/>
      <c r="DF9" s="423"/>
      <c r="DG9" s="423"/>
      <c r="DH9" s="423"/>
      <c r="DI9" s="423"/>
      <c r="DJ9" s="423"/>
      <c r="DK9" s="423"/>
      <c r="DL9" s="423"/>
      <c r="DM9" s="423"/>
      <c r="DN9" s="423"/>
      <c r="DO9" s="423"/>
      <c r="DP9" s="423"/>
      <c r="DQ9" s="423"/>
      <c r="DR9" s="423"/>
      <c r="DS9" s="423"/>
      <c r="DT9" s="423"/>
      <c r="DU9" s="423"/>
      <c r="DV9" s="83"/>
      <c r="DW9" s="336">
        <f t="shared" si="81"/>
        <v>0</v>
      </c>
      <c r="DX9" s="336">
        <f t="shared" si="0"/>
        <v>0</v>
      </c>
      <c r="DY9" s="336">
        <f t="shared" si="1"/>
        <v>0</v>
      </c>
      <c r="DZ9" s="336">
        <f t="shared" si="2"/>
        <v>0</v>
      </c>
      <c r="EA9" s="336">
        <f t="shared" si="3"/>
        <v>0</v>
      </c>
      <c r="EB9" s="336">
        <f t="shared" si="4"/>
        <v>0</v>
      </c>
      <c r="EC9" s="336">
        <f t="shared" si="5"/>
        <v>0</v>
      </c>
      <c r="ED9" s="336">
        <f t="shared" si="6"/>
        <v>0</v>
      </c>
      <c r="EE9" s="336">
        <f t="shared" si="7"/>
        <v>0</v>
      </c>
      <c r="EF9" s="336">
        <f t="shared" si="8"/>
        <v>0</v>
      </c>
      <c r="EG9" s="336">
        <f t="shared" si="9"/>
        <v>0</v>
      </c>
      <c r="EH9" s="336">
        <f t="shared" si="10"/>
        <v>0</v>
      </c>
      <c r="EI9" s="336">
        <f t="shared" si="11"/>
        <v>0</v>
      </c>
      <c r="EJ9" s="336">
        <f t="shared" si="12"/>
        <v>0</v>
      </c>
      <c r="EK9" s="336">
        <f t="shared" si="13"/>
        <v>0</v>
      </c>
      <c r="EL9" s="336">
        <f t="shared" si="14"/>
        <v>0</v>
      </c>
      <c r="EM9" s="336">
        <f t="shared" si="15"/>
        <v>0</v>
      </c>
      <c r="EN9" s="336">
        <f t="shared" si="16"/>
        <v>0</v>
      </c>
      <c r="EO9" s="336">
        <f t="shared" si="17"/>
        <v>0</v>
      </c>
      <c r="EP9" s="336">
        <f t="shared" si="18"/>
        <v>0</v>
      </c>
      <c r="EQ9" s="336">
        <f t="shared" si="19"/>
        <v>0</v>
      </c>
      <c r="ER9" s="336">
        <f t="shared" si="20"/>
        <v>0</v>
      </c>
      <c r="ES9" s="336">
        <f t="shared" si="21"/>
        <v>0</v>
      </c>
      <c r="ET9" s="336">
        <f t="shared" si="22"/>
        <v>0</v>
      </c>
      <c r="EU9" s="336">
        <f t="shared" si="23"/>
        <v>0</v>
      </c>
      <c r="EV9" s="336">
        <f t="shared" si="24"/>
        <v>0</v>
      </c>
      <c r="EW9" s="336">
        <f t="shared" si="25"/>
        <v>0</v>
      </c>
      <c r="EX9" s="336">
        <f t="shared" si="26"/>
        <v>0</v>
      </c>
      <c r="EY9" s="336">
        <f t="shared" si="27"/>
        <v>0</v>
      </c>
      <c r="EZ9" s="336">
        <f t="shared" si="28"/>
        <v>0</v>
      </c>
      <c r="FA9" s="336">
        <f t="shared" si="29"/>
        <v>0</v>
      </c>
      <c r="FB9" s="336">
        <f t="shared" si="30"/>
        <v>0</v>
      </c>
      <c r="FC9" s="336">
        <f t="shared" si="31"/>
        <v>0</v>
      </c>
      <c r="FD9" s="336">
        <f t="shared" si="32"/>
        <v>0</v>
      </c>
      <c r="FE9" s="336">
        <f t="shared" si="33"/>
        <v>0</v>
      </c>
      <c r="FF9" s="336">
        <f t="shared" si="34"/>
        <v>0</v>
      </c>
      <c r="FG9" s="336">
        <f t="shared" si="35"/>
        <v>0</v>
      </c>
      <c r="FH9" s="336">
        <f t="shared" si="36"/>
        <v>0</v>
      </c>
      <c r="FI9" s="336">
        <f t="shared" si="37"/>
        <v>0</v>
      </c>
      <c r="FJ9" s="336">
        <f t="shared" si="38"/>
        <v>0</v>
      </c>
      <c r="FK9" s="336">
        <f t="shared" si="39"/>
        <v>0</v>
      </c>
      <c r="FL9" s="336">
        <f t="shared" si="40"/>
        <v>0</v>
      </c>
      <c r="FM9" s="336">
        <f t="shared" si="41"/>
        <v>0</v>
      </c>
      <c r="FN9" s="336">
        <f t="shared" si="42"/>
        <v>0</v>
      </c>
      <c r="FO9" s="336">
        <f t="shared" si="43"/>
        <v>0</v>
      </c>
      <c r="FP9" s="336">
        <f t="shared" si="44"/>
        <v>0</v>
      </c>
      <c r="FQ9" s="336">
        <f t="shared" si="45"/>
        <v>0</v>
      </c>
      <c r="FR9" s="336">
        <f t="shared" si="46"/>
        <v>0</v>
      </c>
      <c r="FS9" s="336">
        <f t="shared" si="47"/>
        <v>0</v>
      </c>
      <c r="FT9" s="336">
        <f t="shared" si="48"/>
        <v>0</v>
      </c>
      <c r="FU9" s="336"/>
      <c r="FV9" s="336"/>
      <c r="FW9" s="336"/>
      <c r="FX9" s="336"/>
      <c r="FY9" s="336">
        <f t="shared" si="53"/>
        <v>0</v>
      </c>
      <c r="FZ9" s="336">
        <f t="shared" si="54"/>
        <v>0</v>
      </c>
      <c r="GA9" s="336">
        <f t="shared" si="55"/>
        <v>0</v>
      </c>
      <c r="GB9" s="336">
        <f t="shared" si="56"/>
        <v>0</v>
      </c>
      <c r="GC9" s="336">
        <f t="shared" si="57"/>
        <v>0</v>
      </c>
      <c r="GD9" s="336">
        <f t="shared" si="58"/>
        <v>0</v>
      </c>
      <c r="GE9" s="336">
        <f t="shared" si="59"/>
        <v>0</v>
      </c>
      <c r="GF9" s="336">
        <f t="shared" si="60"/>
        <v>0</v>
      </c>
      <c r="GG9" s="336">
        <f t="shared" si="61"/>
        <v>0</v>
      </c>
      <c r="GH9" s="336">
        <f t="shared" si="62"/>
        <v>0</v>
      </c>
      <c r="GI9" s="336">
        <f t="shared" si="63"/>
        <v>0</v>
      </c>
      <c r="GJ9" s="336">
        <f t="shared" si="64"/>
        <v>0</v>
      </c>
      <c r="GK9" s="336">
        <f t="shared" si="65"/>
        <v>0</v>
      </c>
      <c r="GL9" s="336">
        <f t="shared" si="65"/>
        <v>0</v>
      </c>
      <c r="GM9" s="336">
        <f t="shared" si="66"/>
        <v>0</v>
      </c>
    </row>
    <row r="10" spans="1:195" ht="18" customHeight="1">
      <c r="A10" s="337">
        <f>A7+1</f>
        <v>2</v>
      </c>
      <c r="B10" s="427" t="s">
        <v>353</v>
      </c>
      <c r="C10" s="337" t="str">
        <f t="shared" si="82"/>
        <v>11kV MV Switchgear-1</v>
      </c>
      <c r="D10" s="415" t="s">
        <v>354</v>
      </c>
      <c r="E10" s="416" t="s">
        <v>355</v>
      </c>
      <c r="F10" s="417" t="s">
        <v>28</v>
      </c>
      <c r="G10" s="340" t="s">
        <v>350</v>
      </c>
      <c r="H10" s="418">
        <v>355</v>
      </c>
      <c r="I10" s="337" t="s">
        <v>330</v>
      </c>
      <c r="J10" s="337" t="s">
        <v>331</v>
      </c>
      <c r="K10" s="341">
        <v>11000</v>
      </c>
      <c r="L10" s="342">
        <v>0.86</v>
      </c>
      <c r="M10" s="342">
        <v>0.96400000000000008</v>
      </c>
      <c r="N10" s="342">
        <f t="shared" si="83"/>
        <v>22.475651790862972</v>
      </c>
      <c r="O10" s="342">
        <f t="shared" si="67"/>
        <v>134.85391074517784</v>
      </c>
      <c r="P10" s="343">
        <f t="shared" si="84"/>
        <v>0.2</v>
      </c>
      <c r="Q10" s="342">
        <v>31.5</v>
      </c>
      <c r="R10" s="342">
        <v>0.16</v>
      </c>
      <c r="S10" s="342">
        <f t="shared" si="85"/>
        <v>134.04255319148936</v>
      </c>
      <c r="T10" s="344" t="s">
        <v>131</v>
      </c>
      <c r="U10" s="342" t="s">
        <v>333</v>
      </c>
      <c r="V10" s="344">
        <v>150</v>
      </c>
      <c r="W10" s="343" t="str">
        <f t="shared" si="69"/>
        <v>3C X 150</v>
      </c>
      <c r="X10" s="343" t="str">
        <f t="shared" si="70"/>
        <v>3C X 150+PE</v>
      </c>
      <c r="Y10" s="419" t="s">
        <v>346</v>
      </c>
      <c r="Z10" s="344">
        <f>IF(T10="AIR",VLOOKUP(W10,'Catalogue Aluminium'!$B$141:$G$173,2,FALSE),IF(T10="GROUND",VLOOKUP(W10,'Catalogue Aluminium'!$B$141:$G$173,3,FALSE),IF(T10="DUCT",VLOOKUP(W10,'Catalogue Aluminium'!$B$141:$G$173,4,FALSE),IF(T10="TRENCH",VLOOKUP(W10,'Catalogue Aluminium'!$B$141:$G$173,2,FALSE)))))</f>
        <v>309</v>
      </c>
      <c r="AA10" s="345">
        <f>VLOOKUP(W10,'Catalogue Aluminium'!$B$141:$G$173,5,FALSE)</f>
        <v>0.26500000000000001</v>
      </c>
      <c r="AB10" s="345">
        <f>VLOOKUP(W10,'Catalogue Aluminium'!$B$141:$G$173,6,FALSE)</f>
        <v>9.2999999999999999E-2</v>
      </c>
      <c r="AC10" s="349">
        <f>37+30</f>
        <v>67</v>
      </c>
      <c r="AD10" s="337">
        <f>40+50+38+50+58+60+20+31+47</f>
        <v>394</v>
      </c>
      <c r="AE10" s="343">
        <f>11+8+3+10+10</f>
        <v>42</v>
      </c>
      <c r="AF10" s="343">
        <f>5+5</f>
        <v>10</v>
      </c>
      <c r="AG10" s="343">
        <f t="shared" si="86"/>
        <v>52</v>
      </c>
      <c r="AH10" s="347">
        <f t="shared" si="87"/>
        <v>570</v>
      </c>
      <c r="AI10" s="344">
        <f>IF(T10="AIR",'Catalogue Aluminium'!$K$141,IF(T10="TRENCH",'Catalogue Aluminium'!$K$144,"NA"))</f>
        <v>0.82</v>
      </c>
      <c r="AJ10" s="342">
        <f>IF(T10="Air",(IF(U10="1C",'Catalogue Aluminium'!$L$141,'Catalogue Aluminium'!$M$141)),IF(T10="DUCT",(IF($U10="1C",'Catalogue Aluminium'!$L$142,'Catalogue Aluminium'!$M$142)),IF(T10="GROUND",(IF($U10="1C",'Catalogue Aluminium'!$L$143,'Catalogue Aluminium'!$M$143)),IF(T10="TRENCH",(IF($U10="1C",'Catalogue Aluminium'!$L$144,'Catalogue Aluminium'!$M$144))))))</f>
        <v>0.73</v>
      </c>
      <c r="AK10" s="344" t="str">
        <f>IF(T10="Air",'Catalogue Aluminium'!$N$141,IF(T10="GROUND",'Catalogue Aluminium'!$N$142,IF(T10="DUCT",'Catalogue Aluminium'!$N$143,IF(T10="TRENCH",'Catalogue Aluminium'!$N$144,"NA"))))</f>
        <v>NA</v>
      </c>
      <c r="AL10" s="344" t="str">
        <f>IF(T10="Air",(IF(U10="1C",'Catalogue Aluminium'!$O$141,'Catalogue Aluminium'!$P$141)),IF(T10="DUCT",(IF($U10="1C",'Catalogue Aluminium'!$O$142,'Catalogue Aluminium'!$P$142)),IF(T10="GROUND",(IF($U10="1C",'Catalogue Aluminium'!$O$143,'Catalogue Aluminium'!$P$143)),IF(T10="TRENCH",(IF($U10="1C",'Catalogue Aluminium'!$O$144,'Catalogue Aluminium'!$P$144))))))</f>
        <v>NA</v>
      </c>
      <c r="AM10" s="344" t="str">
        <f>IF(T10="AIR","NA",IF(T10="TRENCH","NA",IF(T10="DUCT",IF(U10="1C",VLOOKUP(V10,'Catalogue Aluminium'!$Q$142:$S$153,2,FALSE),VLOOKUP(V10,'Catalogue Aluminium'!$Q$142:$S$153,3)),IF(T10="GROUND",IF(U10="1C",VLOOKUP(V10,'Catalogue Aluminium'!$Q$142:$S$153,2,FALSE),VLOOKUP(V10,'Catalogue Aluminium'!$Q$142:$S$153,3))))))</f>
        <v>NA</v>
      </c>
      <c r="AN10" s="348">
        <f t="shared" si="71"/>
        <v>0.59859999999999991</v>
      </c>
      <c r="AO10" s="342">
        <f t="shared" si="72"/>
        <v>184.96739999999997</v>
      </c>
      <c r="AP10" s="349">
        <f t="shared" si="73"/>
        <v>1</v>
      </c>
      <c r="AQ10" s="350" t="str">
        <f t="shared" si="74"/>
        <v>YES</v>
      </c>
      <c r="AR10" s="351">
        <f t="shared" si="75"/>
        <v>5.554586810310435E-2</v>
      </c>
      <c r="AS10" s="343" t="str">
        <f t="shared" ref="AS10:AS56" si="89">IF(G10="INCOMER",(IF(AR10&lt;=2,"YES","NO")),IF(G10="POWER",(IF(AR10&lt;=2.5,"YES","NO")),IF(G10="MOTOR",(IF(AR10&lt;=3,"YES","NO")))))</f>
        <v>YES</v>
      </c>
      <c r="AT10" s="351">
        <f t="shared" si="76"/>
        <v>0.17443501452229937</v>
      </c>
      <c r="AU10" s="343" t="str">
        <f t="shared" si="77"/>
        <v>YES</v>
      </c>
      <c r="AV10" s="351" t="str">
        <f t="shared" si="78"/>
        <v>1R x 6/10 (12)kV x 3C x 150 Sqmm</v>
      </c>
      <c r="AW10" s="351" t="str">
        <f t="shared" si="79"/>
        <v>1R x 6/10 (12)kV x 3C x 150 Sqmm</v>
      </c>
      <c r="AX10" s="343">
        <f t="shared" ref="AX10:AX39" si="90">IF(U10="1C",(3*AH10*AP10),(AH10*AP10))</f>
        <v>570</v>
      </c>
      <c r="AY10" s="343"/>
      <c r="AZ10" s="343">
        <f t="shared" ref="AZ10:AZ39" si="91">IF(U10="1C",(3*AP10*2),(AP10*2))</f>
        <v>2</v>
      </c>
      <c r="BA10" s="356" t="str">
        <f t="shared" si="80"/>
        <v>ACDEFGIJ</v>
      </c>
      <c r="BB10" s="340">
        <f>VLOOKUP(W10,'Catalogue Aluminium'!$B$141:$H$173,7,FALSE)</f>
        <v>62</v>
      </c>
      <c r="BC10" s="328">
        <f t="shared" ref="BC10:BC39" si="92">AP10*BB10</f>
        <v>62</v>
      </c>
      <c r="BE10" s="344"/>
      <c r="BF10" s="344">
        <v>1</v>
      </c>
      <c r="BG10" s="344"/>
      <c r="BH10" s="344"/>
      <c r="BI10" s="344">
        <v>1</v>
      </c>
      <c r="BJ10" s="344">
        <v>1</v>
      </c>
      <c r="BK10" s="344"/>
      <c r="BL10" s="344"/>
      <c r="BM10" s="344"/>
      <c r="BN10" s="344">
        <v>1</v>
      </c>
      <c r="BO10" s="344"/>
      <c r="BP10" s="344"/>
      <c r="BQ10" s="344"/>
      <c r="BR10" s="344"/>
      <c r="BS10" s="344"/>
      <c r="BT10" s="344"/>
      <c r="BU10" s="344"/>
      <c r="BV10" s="344">
        <v>1</v>
      </c>
      <c r="BW10" s="344">
        <v>1</v>
      </c>
      <c r="BX10" s="344"/>
      <c r="BY10" s="344"/>
      <c r="BZ10" s="344">
        <v>1</v>
      </c>
      <c r="CA10" s="344"/>
      <c r="CB10" s="344"/>
      <c r="CC10" s="344"/>
      <c r="CD10" s="344">
        <v>1</v>
      </c>
      <c r="CE10" s="416"/>
      <c r="CF10" s="416"/>
      <c r="CG10" s="416"/>
      <c r="CH10" s="416"/>
      <c r="CI10" s="416"/>
      <c r="CJ10" s="416"/>
      <c r="CK10" s="416"/>
      <c r="CL10" s="416"/>
      <c r="CM10" s="416"/>
      <c r="CN10" s="416"/>
      <c r="CO10" s="416"/>
      <c r="CP10" s="416"/>
      <c r="CQ10" s="416"/>
      <c r="CR10" s="416"/>
      <c r="CS10" s="416"/>
      <c r="CT10" s="416"/>
      <c r="CU10" s="416"/>
      <c r="CV10" s="416"/>
      <c r="CW10" s="416"/>
      <c r="CX10" s="416"/>
      <c r="CY10" s="416"/>
      <c r="CZ10" s="416"/>
      <c r="DA10" s="416"/>
      <c r="DB10" s="416"/>
      <c r="DC10" s="416"/>
      <c r="DD10" s="416"/>
      <c r="DE10" s="416"/>
      <c r="DF10" s="416"/>
      <c r="DG10" s="416"/>
      <c r="DH10" s="416"/>
      <c r="DI10" s="416"/>
      <c r="DJ10" s="416"/>
      <c r="DK10" s="416"/>
      <c r="DL10" s="416"/>
      <c r="DM10" s="416"/>
      <c r="DN10" s="416"/>
      <c r="DO10" s="416"/>
      <c r="DP10" s="416"/>
      <c r="DQ10" s="416"/>
      <c r="DR10" s="416"/>
      <c r="DS10" s="416"/>
      <c r="DT10" s="416"/>
      <c r="DU10" s="416"/>
      <c r="DW10" s="336">
        <f t="shared" si="81"/>
        <v>0</v>
      </c>
      <c r="DX10" s="336">
        <f t="shared" si="0"/>
        <v>62</v>
      </c>
      <c r="DY10" s="336">
        <f t="shared" si="1"/>
        <v>0</v>
      </c>
      <c r="DZ10" s="336">
        <f t="shared" si="2"/>
        <v>0</v>
      </c>
      <c r="EA10" s="336">
        <f t="shared" si="3"/>
        <v>62</v>
      </c>
      <c r="EB10" s="336">
        <f t="shared" si="4"/>
        <v>62</v>
      </c>
      <c r="EC10" s="336">
        <f t="shared" si="5"/>
        <v>0</v>
      </c>
      <c r="ED10" s="336">
        <f t="shared" si="6"/>
        <v>0</v>
      </c>
      <c r="EE10" s="336">
        <f t="shared" si="7"/>
        <v>0</v>
      </c>
      <c r="EF10" s="336">
        <f t="shared" si="8"/>
        <v>62</v>
      </c>
      <c r="EG10" s="336">
        <f t="shared" si="9"/>
        <v>0</v>
      </c>
      <c r="EH10" s="336">
        <f t="shared" si="10"/>
        <v>0</v>
      </c>
      <c r="EI10" s="336">
        <f t="shared" si="11"/>
        <v>0</v>
      </c>
      <c r="EJ10" s="336">
        <f t="shared" si="12"/>
        <v>0</v>
      </c>
      <c r="EK10" s="336">
        <f t="shared" si="13"/>
        <v>0</v>
      </c>
      <c r="EL10" s="336">
        <f t="shared" si="14"/>
        <v>0</v>
      </c>
      <c r="EM10" s="336">
        <f t="shared" si="15"/>
        <v>0</v>
      </c>
      <c r="EN10" s="336">
        <f t="shared" si="16"/>
        <v>62</v>
      </c>
      <c r="EO10" s="336">
        <f t="shared" si="17"/>
        <v>62</v>
      </c>
      <c r="EP10" s="336">
        <f t="shared" si="18"/>
        <v>0</v>
      </c>
      <c r="EQ10" s="336">
        <f t="shared" si="19"/>
        <v>0</v>
      </c>
      <c r="ER10" s="336">
        <f t="shared" si="20"/>
        <v>62</v>
      </c>
      <c r="ES10" s="336">
        <f t="shared" si="21"/>
        <v>0</v>
      </c>
      <c r="ET10" s="336">
        <f t="shared" si="22"/>
        <v>0</v>
      </c>
      <c r="EU10" s="336">
        <f t="shared" si="23"/>
        <v>0</v>
      </c>
      <c r="EV10" s="336">
        <f t="shared" si="24"/>
        <v>62</v>
      </c>
      <c r="EW10" s="336">
        <f t="shared" si="25"/>
        <v>0</v>
      </c>
      <c r="EX10" s="336">
        <f t="shared" si="26"/>
        <v>0</v>
      </c>
      <c r="EY10" s="336">
        <f t="shared" si="27"/>
        <v>0</v>
      </c>
      <c r="EZ10" s="336">
        <f t="shared" si="28"/>
        <v>0</v>
      </c>
      <c r="FA10" s="336">
        <f t="shared" si="29"/>
        <v>0</v>
      </c>
      <c r="FB10" s="336">
        <f t="shared" si="30"/>
        <v>0</v>
      </c>
      <c r="FC10" s="336">
        <f t="shared" si="31"/>
        <v>0</v>
      </c>
      <c r="FD10" s="336">
        <f t="shared" si="32"/>
        <v>0</v>
      </c>
      <c r="FE10" s="336">
        <f t="shared" si="33"/>
        <v>0</v>
      </c>
      <c r="FF10" s="336">
        <f t="shared" si="34"/>
        <v>0</v>
      </c>
      <c r="FG10" s="336">
        <f t="shared" si="35"/>
        <v>0</v>
      </c>
      <c r="FH10" s="336">
        <f t="shared" si="36"/>
        <v>0</v>
      </c>
      <c r="FI10" s="336">
        <f t="shared" si="37"/>
        <v>0</v>
      </c>
      <c r="FJ10" s="336">
        <f t="shared" si="38"/>
        <v>0</v>
      </c>
      <c r="FK10" s="336">
        <f t="shared" si="39"/>
        <v>0</v>
      </c>
      <c r="FL10" s="336">
        <f t="shared" si="40"/>
        <v>0</v>
      </c>
      <c r="FM10" s="336">
        <f t="shared" si="41"/>
        <v>0</v>
      </c>
      <c r="FN10" s="336">
        <f t="shared" si="42"/>
        <v>0</v>
      </c>
      <c r="FO10" s="336">
        <f t="shared" si="43"/>
        <v>0</v>
      </c>
      <c r="FP10" s="336">
        <f t="shared" si="44"/>
        <v>0</v>
      </c>
      <c r="FQ10" s="336">
        <f t="shared" si="45"/>
        <v>0</v>
      </c>
      <c r="FR10" s="336">
        <f t="shared" si="46"/>
        <v>0</v>
      </c>
      <c r="FS10" s="336">
        <f t="shared" si="47"/>
        <v>0</v>
      </c>
      <c r="FT10" s="336">
        <f t="shared" si="48"/>
        <v>0</v>
      </c>
      <c r="FU10" s="336">
        <f t="shared" ref="FU10:FU44" si="93">IF(DC10=1,($BC10*DC10),0)</f>
        <v>0</v>
      </c>
      <c r="FV10" s="336">
        <f t="shared" ref="FV10:FV44" si="94">IF(DD10=1,($BC10*DD10),0)</f>
        <v>0</v>
      </c>
      <c r="FW10" s="336">
        <f t="shared" ref="FW10:FW44" si="95">IF(DE10=1,($BC10*DE10),0)</f>
        <v>0</v>
      </c>
      <c r="FX10" s="336">
        <f t="shared" ref="FX10:FX44" si="96">IF(DF10=1,($BC10*DF10),0)</f>
        <v>0</v>
      </c>
      <c r="FY10" s="336">
        <f t="shared" si="53"/>
        <v>0</v>
      </c>
      <c r="FZ10" s="336">
        <f t="shared" si="54"/>
        <v>0</v>
      </c>
      <c r="GA10" s="336">
        <f t="shared" si="55"/>
        <v>0</v>
      </c>
      <c r="GB10" s="336">
        <f t="shared" si="56"/>
        <v>0</v>
      </c>
      <c r="GC10" s="336">
        <f t="shared" si="57"/>
        <v>0</v>
      </c>
      <c r="GD10" s="336">
        <f t="shared" si="58"/>
        <v>0</v>
      </c>
      <c r="GE10" s="336">
        <f t="shared" si="59"/>
        <v>0</v>
      </c>
      <c r="GF10" s="336">
        <f t="shared" si="60"/>
        <v>0</v>
      </c>
      <c r="GG10" s="336">
        <f t="shared" si="61"/>
        <v>0</v>
      </c>
      <c r="GH10" s="336">
        <f t="shared" si="62"/>
        <v>0</v>
      </c>
      <c r="GI10" s="336">
        <f t="shared" si="63"/>
        <v>0</v>
      </c>
      <c r="GJ10" s="336">
        <f t="shared" si="64"/>
        <v>0</v>
      </c>
      <c r="GK10" s="336">
        <f t="shared" si="65"/>
        <v>0</v>
      </c>
      <c r="GL10" s="336">
        <f t="shared" si="65"/>
        <v>0</v>
      </c>
      <c r="GM10" s="336">
        <f t="shared" si="66"/>
        <v>0</v>
      </c>
    </row>
    <row r="11" spans="1:195" ht="18" customHeight="1">
      <c r="A11" s="388">
        <f>A10+1</f>
        <v>3</v>
      </c>
      <c r="B11" s="430" t="s">
        <v>353</v>
      </c>
      <c r="C11" s="388" t="str">
        <f t="shared" si="82"/>
        <v>11kV MV Switchgear-1</v>
      </c>
      <c r="D11" s="431" t="s">
        <v>356</v>
      </c>
      <c r="E11" s="432" t="s">
        <v>355</v>
      </c>
      <c r="F11" s="433" t="s">
        <v>28</v>
      </c>
      <c r="G11" s="390" t="s">
        <v>329</v>
      </c>
      <c r="H11" s="396">
        <v>0.15</v>
      </c>
      <c r="I11" s="388" t="s">
        <v>330</v>
      </c>
      <c r="J11" s="388" t="s">
        <v>357</v>
      </c>
      <c r="K11" s="434">
        <v>230</v>
      </c>
      <c r="L11" s="401">
        <v>0.85</v>
      </c>
      <c r="M11" s="418">
        <v>0.95</v>
      </c>
      <c r="N11" s="392">
        <f t="shared" si="83"/>
        <v>0.80764571274734154</v>
      </c>
      <c r="O11" s="392">
        <f t="shared" si="67"/>
        <v>0</v>
      </c>
      <c r="P11" s="401" t="str">
        <f t="shared" si="84"/>
        <v>0.00</v>
      </c>
      <c r="Q11" s="418">
        <v>65</v>
      </c>
      <c r="R11" s="418">
        <v>0</v>
      </c>
      <c r="S11" s="418">
        <f t="shared" si="85"/>
        <v>0</v>
      </c>
      <c r="T11" s="401" t="s">
        <v>131</v>
      </c>
      <c r="U11" s="418" t="s">
        <v>333</v>
      </c>
      <c r="V11" s="401">
        <v>4</v>
      </c>
      <c r="W11" s="401" t="str">
        <f t="shared" si="69"/>
        <v>3C X 4</v>
      </c>
      <c r="X11" s="401" t="str">
        <f t="shared" si="70"/>
        <v>3C X 4</v>
      </c>
      <c r="Y11" s="435" t="s">
        <v>358</v>
      </c>
      <c r="Z11" s="393">
        <f>IF(T11="AIR",VLOOKUP(W11,'Catalogue Aluminium'!$B$141:$G$173,2,FALSE),IF(T11="GROUND",VLOOKUP(W11,'Catalogue Aluminium'!$B$141:$G$173,3,FALSE),IF(T11="DUCT",VLOOKUP(W11,'Catalogue Aluminium'!$B$141:$G$173,4,FALSE),IF(T11="TRENCH",VLOOKUP(W11,'Catalogue Aluminium'!$B$141:$G$173,2,FALSE)))))</f>
        <v>38</v>
      </c>
      <c r="AA11" s="402">
        <f>VLOOKUP(W11,'Catalogue Aluminium'!$B$141:$G$173,5,FALSE)</f>
        <v>5.9</v>
      </c>
      <c r="AB11" s="402">
        <f>VLOOKUP(W11,'Catalogue Aluminium'!$B$141:$G$173,6,FALSE)</f>
        <v>9.4700000000000006E-2</v>
      </c>
      <c r="AC11" s="434">
        <f>37+30</f>
        <v>67</v>
      </c>
      <c r="AD11" s="388">
        <f>40+50+38+50+58+60+20+31+47</f>
        <v>394</v>
      </c>
      <c r="AE11" s="401">
        <f>11+8+3+10+10</f>
        <v>42</v>
      </c>
      <c r="AF11" s="401">
        <f>5+5</f>
        <v>10</v>
      </c>
      <c r="AG11" s="401">
        <f t="shared" ref="AG11" si="97">ROUNDUP(SUM(AC11:AF11)*0.1,0)</f>
        <v>52</v>
      </c>
      <c r="AH11" s="436">
        <f t="shared" si="87"/>
        <v>570</v>
      </c>
      <c r="AI11" s="393">
        <f>IF(T11="AIR",'Catalogue Aluminium'!$K$141,IF(T11="TRENCH",'Catalogue Aluminium'!$K$144,"NA"))</f>
        <v>0.82</v>
      </c>
      <c r="AJ11" s="392">
        <f>IF(T11="Air",(IF(U11="1C",'Catalogue Aluminium'!$L$141,'Catalogue Aluminium'!$M$141)),IF(T11="DUCT",(IF($U11="1C",'Catalogue Aluminium'!$L$142,'Catalogue Aluminium'!$M$142)),IF(T11="GROUND",(IF($U11="1C",'Catalogue Aluminium'!$L$143,'Catalogue Aluminium'!$M$143)),IF(T11="TRENCH",(IF($U11="1C",'Catalogue Aluminium'!$L$144,'Catalogue Aluminium'!$M$144))))))</f>
        <v>0.73</v>
      </c>
      <c r="AK11" s="393" t="str">
        <f>IF(T11="Air",'Catalogue Aluminium'!$N$141,IF(T11="GROUND",'Catalogue Aluminium'!$N$142,IF(T11="DUCT",'Catalogue Aluminium'!$N$143,IF(T11="TRENCH",'Catalogue Aluminium'!$N$144,"NA"))))</f>
        <v>NA</v>
      </c>
      <c r="AL11" s="393" t="str">
        <f>IF(T11="Air",(IF(U11="1C",'Catalogue Aluminium'!$O$141,'Catalogue Aluminium'!$P$141)),IF(T11="DUCT",(IF($U11="1C",'Catalogue Aluminium'!$O$142,'Catalogue Aluminium'!$P$142)),IF(T11="GROUND",(IF($U11="1C",'Catalogue Aluminium'!$O$143,'Catalogue Aluminium'!$P$143)),IF(T11="TRENCH",(IF($U11="1C",'Catalogue Aluminium'!$O$144,'Catalogue Aluminium'!$P$144))))))</f>
        <v>NA</v>
      </c>
      <c r="AM11" s="393" t="str">
        <f>IF(T11="AIR","NA",IF(T11="TRENCH","NA",IF(T11="DUCT",IF(U11="1C",VLOOKUP(V11,'Catalogue Aluminium'!$Q$142:$S$153,2,FALSE),VLOOKUP(V11,'Catalogue Aluminium'!$Q$142:$S$153,3)),IF(T11="GROUND",IF(U11="1C",VLOOKUP(V11,'Catalogue Aluminium'!$Q$142:$S$153,2,FALSE),VLOOKUP(V11,'Catalogue Aluminium'!$Q$142:$S$153,3))))))</f>
        <v>NA</v>
      </c>
      <c r="AN11" s="404">
        <f t="shared" ref="AN11" si="98">IF(T11="AIR",AI11*AJ11,IF(T11="TRENCH",AI11*AJ11,IF(T11="DUCT",AJ11*AK11*AL11*AM11,IF(T11="GROUND",AJ11*AK11*AL11*AM11))))</f>
        <v>0.59859999999999991</v>
      </c>
      <c r="AO11" s="392">
        <f t="shared" ref="AO11" si="99">Z11*AN11</f>
        <v>22.746799999999997</v>
      </c>
      <c r="AP11" s="434">
        <f t="shared" ref="AP11" si="100">CEILING(((N11)/AO11),1)</f>
        <v>1</v>
      </c>
      <c r="AQ11" s="418" t="str">
        <f t="shared" ref="AQ11" si="101">IF(AO11*AP11&gt;=N11,"YES","NO")</f>
        <v>YES</v>
      </c>
      <c r="AR11" s="437">
        <f t="shared" ref="AR11" si="102">SQRT(3)*AH11*N11*((AA11*L11)+(AB11*SIN(ACOS(L11))))*100/(AP11*K11*1000)</f>
        <v>1.7558937835051096</v>
      </c>
      <c r="AS11" s="401" t="str">
        <f t="shared" si="89"/>
        <v>YES</v>
      </c>
      <c r="AT11" s="437" t="str">
        <f t="shared" si="76"/>
        <v>NA</v>
      </c>
      <c r="AU11" s="401" t="str">
        <f t="shared" si="77"/>
        <v>NA</v>
      </c>
      <c r="AV11" s="437" t="str">
        <f t="shared" si="78"/>
        <v>1R x 6/10 (12)kV x 3C x 4 Sqmm</v>
      </c>
      <c r="AW11" s="437" t="str">
        <f t="shared" si="79"/>
        <v>1R x 6/10 (12)kV x 3C x 4 Sqmm</v>
      </c>
      <c r="AX11" s="401">
        <f t="shared" si="90"/>
        <v>570</v>
      </c>
      <c r="AY11" s="401"/>
      <c r="AZ11" s="401">
        <f t="shared" si="91"/>
        <v>2</v>
      </c>
      <c r="BA11" s="438" t="str">
        <f t="shared" si="80"/>
        <v>ACDEFGIJ</v>
      </c>
      <c r="BB11" s="390">
        <f>VLOOKUP(W11,'Catalogue Aluminium'!$B$141:$H$173,7,FALSE)</f>
        <v>15</v>
      </c>
      <c r="BC11" s="439">
        <f t="shared" si="92"/>
        <v>15</v>
      </c>
      <c r="BE11" s="344"/>
      <c r="BF11" s="344">
        <v>1</v>
      </c>
      <c r="BG11" s="344"/>
      <c r="BH11" s="344"/>
      <c r="BI11" s="344">
        <v>1</v>
      </c>
      <c r="BJ11" s="344">
        <v>1</v>
      </c>
      <c r="BK11" s="344"/>
      <c r="BL11" s="344"/>
      <c r="BM11" s="344"/>
      <c r="BN11" s="344">
        <v>1</v>
      </c>
      <c r="BO11" s="344"/>
      <c r="BP11" s="344"/>
      <c r="BQ11" s="344"/>
      <c r="BR11" s="344"/>
      <c r="BS11" s="344"/>
      <c r="BT11" s="344"/>
      <c r="BU11" s="344"/>
      <c r="BV11" s="344">
        <v>1</v>
      </c>
      <c r="BW11" s="344">
        <v>1</v>
      </c>
      <c r="BX11" s="344"/>
      <c r="BY11" s="344"/>
      <c r="BZ11" s="344">
        <v>1</v>
      </c>
      <c r="CA11" s="344"/>
      <c r="CB11" s="344"/>
      <c r="CC11" s="344"/>
      <c r="CD11" s="344">
        <v>1</v>
      </c>
      <c r="CE11" s="416"/>
      <c r="CF11" s="416"/>
      <c r="CG11" s="416"/>
      <c r="CH11" s="416"/>
      <c r="CI11" s="416"/>
      <c r="CJ11" s="416"/>
      <c r="CK11" s="416"/>
      <c r="CL11" s="416"/>
      <c r="CM11" s="416"/>
      <c r="CN11" s="416"/>
      <c r="CO11" s="416"/>
      <c r="CP11" s="416"/>
      <c r="CQ11" s="416"/>
      <c r="CR11" s="416"/>
      <c r="CS11" s="416"/>
      <c r="CT11" s="416"/>
      <c r="CU11" s="416"/>
      <c r="CV11" s="416"/>
      <c r="CW11" s="416"/>
      <c r="CX11" s="416"/>
      <c r="CY11" s="416"/>
      <c r="CZ11" s="416"/>
      <c r="DA11" s="416"/>
      <c r="DB11" s="416"/>
      <c r="DC11" s="416"/>
      <c r="DD11" s="416"/>
      <c r="DE11" s="416"/>
      <c r="DF11" s="416"/>
      <c r="DG11" s="416"/>
      <c r="DH11" s="416"/>
      <c r="DI11" s="416"/>
      <c r="DJ11" s="416"/>
      <c r="DK11" s="416"/>
      <c r="DL11" s="416"/>
      <c r="DM11" s="416"/>
      <c r="DN11" s="416"/>
      <c r="DO11" s="416"/>
      <c r="DP11" s="416"/>
      <c r="DQ11" s="416"/>
      <c r="DR11" s="416"/>
      <c r="DS11" s="416"/>
      <c r="DT11" s="416"/>
      <c r="DU11" s="416"/>
      <c r="DW11" s="336">
        <f t="shared" ref="DW11" si="103">IF(BE11=1,($BC11*BE11),0)</f>
        <v>0</v>
      </c>
      <c r="DX11" s="336">
        <f t="shared" ref="DX11" si="104">IF(BF11=1,($BC11*BF11),0)</f>
        <v>15</v>
      </c>
      <c r="DY11" s="336">
        <f t="shared" ref="DY11" si="105">IF(BG11=1,($BC11*BG11),0)</f>
        <v>0</v>
      </c>
      <c r="DZ11" s="336">
        <f t="shared" ref="DZ11" si="106">IF(BH11=1,($BC11*BH11),0)</f>
        <v>0</v>
      </c>
      <c r="EA11" s="336">
        <f t="shared" ref="EA11" si="107">IF(BI11=1,($BC11*BI11),0)</f>
        <v>15</v>
      </c>
      <c r="EB11" s="336">
        <f t="shared" ref="EB11" si="108">IF(BJ11=1,($BC11*BJ11),0)</f>
        <v>15</v>
      </c>
      <c r="EC11" s="336">
        <f t="shared" ref="EC11" si="109">IF(BK11=1,($BC11*BK11),0)</f>
        <v>0</v>
      </c>
      <c r="ED11" s="336">
        <f t="shared" ref="ED11" si="110">IF(BL11=1,($BC11*BL11),0)</f>
        <v>0</v>
      </c>
      <c r="EE11" s="336">
        <f t="shared" ref="EE11" si="111">IF(BM11=1,($BC11*BM11),0)</f>
        <v>0</v>
      </c>
      <c r="EF11" s="336">
        <f t="shared" ref="EF11" si="112">IF(BN11=1,($BC11*BN11),0)</f>
        <v>15</v>
      </c>
      <c r="EG11" s="336">
        <f t="shared" ref="EG11" si="113">IF(BO11=1,($BC11*BO11),0)</f>
        <v>0</v>
      </c>
      <c r="EH11" s="336">
        <f t="shared" ref="EH11" si="114">IF(BP11=1,($BC11*BP11),0)</f>
        <v>0</v>
      </c>
      <c r="EI11" s="336">
        <f t="shared" ref="EI11" si="115">IF(BQ11=1,($BC11*BQ11),0)</f>
        <v>0</v>
      </c>
      <c r="EJ11" s="336">
        <f t="shared" ref="EJ11" si="116">IF(BR11=1,($BC11*BR11),0)</f>
        <v>0</v>
      </c>
      <c r="EK11" s="336">
        <f t="shared" ref="EK11" si="117">IF(BS11=1,($BC11*BS11),0)</f>
        <v>0</v>
      </c>
      <c r="EL11" s="336">
        <f t="shared" ref="EL11" si="118">IF(BT11=1,($BC11*BT11),0)</f>
        <v>0</v>
      </c>
      <c r="EM11" s="336">
        <f t="shared" ref="EM11" si="119">IF(BU11=1,($BC11*BU11),0)</f>
        <v>0</v>
      </c>
      <c r="EN11" s="336">
        <f t="shared" ref="EN11" si="120">IF(BV11=1,($BC11*BV11),0)</f>
        <v>15</v>
      </c>
      <c r="EO11" s="336">
        <f t="shared" ref="EO11" si="121">IF(BW11=1,($BC11*BW11),0)</f>
        <v>15</v>
      </c>
      <c r="EP11" s="336">
        <f t="shared" ref="EP11" si="122">IF(BX11=1,($BC11*BX11),0)</f>
        <v>0</v>
      </c>
      <c r="EQ11" s="336">
        <f t="shared" ref="EQ11" si="123">IF(BY11=1,($BC11*BY11),0)</f>
        <v>0</v>
      </c>
      <c r="ER11" s="336">
        <f t="shared" ref="ER11" si="124">IF(BZ11=1,($BC11*BZ11),0)</f>
        <v>15</v>
      </c>
      <c r="ES11" s="336">
        <f t="shared" ref="ES11" si="125">IF(CA11=1,($BC11*CA11),0)</f>
        <v>0</v>
      </c>
      <c r="ET11" s="336">
        <f t="shared" si="22"/>
        <v>0</v>
      </c>
      <c r="EU11" s="336">
        <f t="shared" si="23"/>
        <v>0</v>
      </c>
      <c r="EV11" s="336">
        <f t="shared" ref="EV11" si="126">IF(CD11=1,($BC11*CD11),0)</f>
        <v>15</v>
      </c>
      <c r="EW11" s="336">
        <f t="shared" ref="EW11" si="127">IF(CE11=1,($BC11*CE11),0)</f>
        <v>0</v>
      </c>
      <c r="EX11" s="336">
        <f t="shared" ref="EX11" si="128">IF(CF11=1,($BC11*CF11),0)</f>
        <v>0</v>
      </c>
      <c r="EY11" s="336">
        <f t="shared" ref="EY11" si="129">IF(CG11=1,($BC11*CG11),0)</f>
        <v>0</v>
      </c>
      <c r="EZ11" s="336">
        <f t="shared" ref="EZ11" si="130">IF(CH11=1,($BC11*CH11),0)</f>
        <v>0</v>
      </c>
      <c r="FA11" s="336">
        <f t="shared" ref="FA11" si="131">IF(CI11=1,($BC11*CI11),0)</f>
        <v>0</v>
      </c>
      <c r="FB11" s="336">
        <f t="shared" ref="FB11" si="132">IF(CJ11=1,($BC11*CJ11),0)</f>
        <v>0</v>
      </c>
      <c r="FC11" s="336">
        <f t="shared" ref="FC11" si="133">IF(CK11=1,($BC11*CK11),0)</f>
        <v>0</v>
      </c>
      <c r="FD11" s="336">
        <f t="shared" ref="FD11" si="134">IF(CL11=1,($BC11*CL11),0)</f>
        <v>0</v>
      </c>
      <c r="FE11" s="336">
        <f t="shared" ref="FE11" si="135">IF(CM11=1,($BC11*CM11),0)</f>
        <v>0</v>
      </c>
      <c r="FF11" s="336">
        <f t="shared" ref="FF11" si="136">IF(CN11=1,($BC11*CN11),0)</f>
        <v>0</v>
      </c>
      <c r="FG11" s="336">
        <f t="shared" ref="FG11" si="137">IF(CO11=1,($BC11*CO11),0)</f>
        <v>0</v>
      </c>
      <c r="FH11" s="336">
        <f t="shared" ref="FH11" si="138">IF(CP11=1,($BC11*CP11),0)</f>
        <v>0</v>
      </c>
      <c r="FI11" s="336">
        <f t="shared" ref="FI11" si="139">IF(CQ11=1,($BC11*CQ11),0)</f>
        <v>0</v>
      </c>
      <c r="FJ11" s="336">
        <f t="shared" ref="FJ11" si="140">IF(CR11=1,($BC11*CR11),0)</f>
        <v>0</v>
      </c>
      <c r="FK11" s="336">
        <f t="shared" ref="FK11" si="141">IF(CS11=1,($BC11*CS11),0)</f>
        <v>0</v>
      </c>
      <c r="FL11" s="336">
        <f t="shared" ref="FL11" si="142">IF(CT11=1,($BC11*CT11),0)</f>
        <v>0</v>
      </c>
      <c r="FM11" s="336">
        <f t="shared" ref="FM11" si="143">IF(CU11=1,($BC11*CU11),0)</f>
        <v>0</v>
      </c>
      <c r="FN11" s="336">
        <f t="shared" ref="FN11" si="144">IF(CV11=1,($BC11*CV11),0)</f>
        <v>0</v>
      </c>
      <c r="FO11" s="336">
        <f t="shared" ref="FO11" si="145">IF(CW11=1,($BC11*CW11),0)</f>
        <v>0</v>
      </c>
      <c r="FP11" s="336">
        <f t="shared" ref="FP11" si="146">IF(CX11=1,($BC11*CX11),0)</f>
        <v>0</v>
      </c>
      <c r="FQ11" s="336">
        <f t="shared" ref="FQ11" si="147">IF(CY11=1,($BC11*CY11),0)</f>
        <v>0</v>
      </c>
      <c r="FR11" s="336">
        <f t="shared" ref="FR11" si="148">IF(CZ11=1,($BC11*CZ11),0)</f>
        <v>0</v>
      </c>
      <c r="FS11" s="336">
        <f t="shared" ref="FS11" si="149">IF(DA11=1,($BC11*DA11),0)</f>
        <v>0</v>
      </c>
      <c r="FT11" s="336">
        <f t="shared" ref="FT11" si="150">IF(DB11=1,($BC11*DB11),0)</f>
        <v>0</v>
      </c>
      <c r="FU11" s="336">
        <f t="shared" si="93"/>
        <v>0</v>
      </c>
      <c r="FV11" s="336">
        <f t="shared" si="94"/>
        <v>0</v>
      </c>
      <c r="FW11" s="336">
        <f t="shared" si="95"/>
        <v>0</v>
      </c>
      <c r="FX11" s="336">
        <f t="shared" si="96"/>
        <v>0</v>
      </c>
      <c r="FY11" s="336">
        <f t="shared" ref="FY11" si="151">IF(DG11=1,($BC11*DG11),0)</f>
        <v>0</v>
      </c>
      <c r="FZ11" s="336">
        <f t="shared" ref="FZ11" si="152">IF(DH11=1,($BC11*DH11),0)</f>
        <v>0</v>
      </c>
      <c r="GA11" s="336">
        <f t="shared" ref="GA11" si="153">IF(DI11=1,($BC11*DI11),0)</f>
        <v>0</v>
      </c>
      <c r="GB11" s="336">
        <f t="shared" ref="GB11" si="154">IF(DJ11=1,($BC11*DJ11),0)</f>
        <v>0</v>
      </c>
      <c r="GC11" s="336">
        <f t="shared" ref="GC11" si="155">IF(DK11=1,($BC11*DK11),0)</f>
        <v>0</v>
      </c>
      <c r="GD11" s="336">
        <f t="shared" ref="GD11" si="156">IF(DL11=1,($BC11*DL11),0)</f>
        <v>0</v>
      </c>
      <c r="GE11" s="336">
        <f t="shared" ref="GE11" si="157">IF(DM11=1,($BC11*DM11),0)</f>
        <v>0</v>
      </c>
      <c r="GF11" s="336">
        <f t="shared" ref="GF11" si="158">IF(DN11=1,($BC11*DN11),0)</f>
        <v>0</v>
      </c>
      <c r="GG11" s="336">
        <f t="shared" ref="GG11" si="159">IF(DO11=1,($BC11*DO11),0)</f>
        <v>0</v>
      </c>
      <c r="GH11" s="336">
        <f t="shared" ref="GH11" si="160">IF(DP11=1,($BC11*DP11),0)</f>
        <v>0</v>
      </c>
      <c r="GI11" s="336">
        <f t="shared" ref="GI11" si="161">IF(DQ11=1,($BC11*DQ11),0)</f>
        <v>0</v>
      </c>
      <c r="GJ11" s="336">
        <f t="shared" ref="GJ11" si="162">IF(DR11=1,($BC11*DR11),0)</f>
        <v>0</v>
      </c>
      <c r="GK11" s="336">
        <f t="shared" ref="GK11" si="163">IF(DS11=1,($BC11*DS11),0)</f>
        <v>0</v>
      </c>
      <c r="GL11" s="336">
        <f t="shared" ref="GL11:GL42" si="164">IF(DT11=1,($BC11*DT11),0)</f>
        <v>0</v>
      </c>
      <c r="GM11" s="336">
        <f t="shared" ref="GM11" si="165">IF(DU11=1,($BC11*DU11),0)</f>
        <v>0</v>
      </c>
    </row>
    <row r="12" spans="1:195" ht="29.25" customHeight="1">
      <c r="A12" s="337">
        <f>A11+1</f>
        <v>4</v>
      </c>
      <c r="B12" s="427" t="s">
        <v>359</v>
      </c>
      <c r="C12" s="337" t="str">
        <f t="shared" si="82"/>
        <v>11kV MV Switchgear-1</v>
      </c>
      <c r="D12" s="415" t="s">
        <v>354</v>
      </c>
      <c r="E12" s="416" t="s">
        <v>355</v>
      </c>
      <c r="F12" s="417" t="s">
        <v>29</v>
      </c>
      <c r="G12" s="340" t="s">
        <v>350</v>
      </c>
      <c r="H12" s="418">
        <v>355</v>
      </c>
      <c r="I12" s="337" t="s">
        <v>330</v>
      </c>
      <c r="J12" s="337" t="s">
        <v>331</v>
      </c>
      <c r="K12" s="341">
        <v>11000</v>
      </c>
      <c r="L12" s="342">
        <v>0.86</v>
      </c>
      <c r="M12" s="342">
        <v>0.96400000000000008</v>
      </c>
      <c r="N12" s="342">
        <f t="shared" si="83"/>
        <v>22.475651790862972</v>
      </c>
      <c r="O12" s="342">
        <f t="shared" si="67"/>
        <v>134.85391074517784</v>
      </c>
      <c r="P12" s="343">
        <f t="shared" si="84"/>
        <v>0.2</v>
      </c>
      <c r="Q12" s="342">
        <v>31.5</v>
      </c>
      <c r="R12" s="342">
        <v>0.16</v>
      </c>
      <c r="S12" s="342">
        <f t="shared" si="85"/>
        <v>134.04255319148936</v>
      </c>
      <c r="T12" s="344" t="s">
        <v>131</v>
      </c>
      <c r="U12" s="342" t="s">
        <v>333</v>
      </c>
      <c r="V12" s="344">
        <v>150</v>
      </c>
      <c r="W12" s="343" t="str">
        <f t="shared" si="69"/>
        <v>3C X 150</v>
      </c>
      <c r="X12" s="343" t="str">
        <f t="shared" si="70"/>
        <v>3C X 150+PE</v>
      </c>
      <c r="Y12" s="419" t="s">
        <v>346</v>
      </c>
      <c r="Z12" s="344">
        <f>IF(T12="AIR",VLOOKUP(W12,'Catalogue Aluminium'!$B$141:$G$173,2,FALSE),IF(T12="GROUND",VLOOKUP(W12,'Catalogue Aluminium'!$B$141:$G$173,3,FALSE),IF(T12="DUCT",VLOOKUP(W12,'Catalogue Aluminium'!$B$141:$G$173,4,FALSE),IF(T12="TRENCH",VLOOKUP(W12,'Catalogue Aluminium'!$B$141:$G$173,2,FALSE)))))</f>
        <v>309</v>
      </c>
      <c r="AA12" s="345">
        <f>VLOOKUP(W12,'Catalogue Aluminium'!$B$141:$G$173,5,FALSE)</f>
        <v>0.26500000000000001</v>
      </c>
      <c r="AB12" s="345">
        <f>VLOOKUP(W12,'Catalogue Aluminium'!$B$141:$G$173,6,FALSE)</f>
        <v>9.2999999999999999E-2</v>
      </c>
      <c r="AC12" s="349">
        <f>23+30</f>
        <v>53</v>
      </c>
      <c r="AD12" s="337">
        <f>40+50+38+50+58+60+20+31+45</f>
        <v>392</v>
      </c>
      <c r="AE12" s="343">
        <f t="shared" ref="AE12:AE17" si="166">11+8+3+10+10</f>
        <v>42</v>
      </c>
      <c r="AF12" s="343">
        <f t="shared" ref="AF12:AF31" si="167">5+5</f>
        <v>10</v>
      </c>
      <c r="AG12" s="343">
        <f t="shared" si="86"/>
        <v>50</v>
      </c>
      <c r="AH12" s="347">
        <f t="shared" si="87"/>
        <v>550</v>
      </c>
      <c r="AI12" s="344">
        <f>IF(T12="AIR",'Catalogue Aluminium'!$K$141,IF(T12="TRENCH",'Catalogue Aluminium'!$K$144,"NA"))</f>
        <v>0.82</v>
      </c>
      <c r="AJ12" s="342">
        <f>IF(T12="Air",(IF(U12="1C",'Catalogue Aluminium'!$L$141,'Catalogue Aluminium'!$M$141)),IF(T12="DUCT",(IF($U12="1C",'Catalogue Aluminium'!$L$142,'Catalogue Aluminium'!$M$142)),IF(T12="GROUND",(IF($U12="1C",'Catalogue Aluminium'!$L$143,'Catalogue Aluminium'!$M$143)),IF(T12="TRENCH",(IF($U12="1C",'Catalogue Aluminium'!$L$144,'Catalogue Aluminium'!$M$144))))))</f>
        <v>0.73</v>
      </c>
      <c r="AK12" s="344" t="str">
        <f>IF(T12="Air",'Catalogue Aluminium'!$N$141,IF(T12="GROUND",'Catalogue Aluminium'!$N$142,IF(T12="DUCT",'Catalogue Aluminium'!$N$143,IF(T12="TRENCH",'Catalogue Aluminium'!$N$144,"NA"))))</f>
        <v>NA</v>
      </c>
      <c r="AL12" s="344" t="str">
        <f>IF(T12="Air",(IF(U12="1C",'Catalogue Aluminium'!$O$141,'Catalogue Aluminium'!$P$141)),IF(T12="DUCT",(IF($U12="1C",'Catalogue Aluminium'!$O$142,'Catalogue Aluminium'!$P$142)),IF(T12="GROUND",(IF($U12="1C",'Catalogue Aluminium'!$O$143,'Catalogue Aluminium'!$P$143)),IF(T12="TRENCH",(IF($U12="1C",'Catalogue Aluminium'!$O$144,'Catalogue Aluminium'!$P$144))))))</f>
        <v>NA</v>
      </c>
      <c r="AM12" s="344" t="str">
        <f>IF(T12="AIR","NA",IF(T12="TRENCH","NA",IF(T12="DUCT",IF(U12="1C",VLOOKUP(V12,'Catalogue Aluminium'!$Q$142:$S$153,2,FALSE),VLOOKUP(V12,'Catalogue Aluminium'!$Q$142:$S$153,3)),IF(T12="GROUND",IF(U12="1C",VLOOKUP(V12,'Catalogue Aluminium'!$Q$142:$S$153,2,FALSE),VLOOKUP(V12,'Catalogue Aluminium'!$Q$142:$S$153,3))))))</f>
        <v>NA</v>
      </c>
      <c r="AN12" s="348">
        <f t="shared" si="71"/>
        <v>0.59859999999999991</v>
      </c>
      <c r="AO12" s="342">
        <f t="shared" si="72"/>
        <v>184.96739999999997</v>
      </c>
      <c r="AP12" s="349">
        <f t="shared" si="73"/>
        <v>1</v>
      </c>
      <c r="AQ12" s="350" t="str">
        <f t="shared" si="74"/>
        <v>YES</v>
      </c>
      <c r="AR12" s="351">
        <f t="shared" si="75"/>
        <v>5.359689027492525E-2</v>
      </c>
      <c r="AS12" s="343" t="str">
        <f t="shared" si="89"/>
        <v>YES</v>
      </c>
      <c r="AT12" s="351">
        <f t="shared" si="76"/>
        <v>0.16831448769695556</v>
      </c>
      <c r="AU12" s="343" t="str">
        <f t="shared" si="77"/>
        <v>YES</v>
      </c>
      <c r="AV12" s="351" t="str">
        <f t="shared" si="78"/>
        <v>1R x 6/10 (12)kV x 3C x 150 Sqmm</v>
      </c>
      <c r="AW12" s="351" t="str">
        <f t="shared" si="79"/>
        <v>1R x 6/10 (12)kV x 3C x 150 Sqmm</v>
      </c>
      <c r="AX12" s="343">
        <f t="shared" si="90"/>
        <v>550</v>
      </c>
      <c r="AY12" s="343"/>
      <c r="AZ12" s="343">
        <f t="shared" si="91"/>
        <v>2</v>
      </c>
      <c r="BA12" s="356" t="str">
        <f t="shared" si="80"/>
        <v>ACDEFGIJ</v>
      </c>
      <c r="BB12" s="340">
        <f>VLOOKUP(W12,'Catalogue Aluminium'!$B$141:$H$173,7,FALSE)</f>
        <v>62</v>
      </c>
      <c r="BC12" s="328">
        <f t="shared" si="92"/>
        <v>62</v>
      </c>
      <c r="BE12" s="344"/>
      <c r="BF12" s="344">
        <v>1</v>
      </c>
      <c r="BG12" s="344"/>
      <c r="BH12" s="344"/>
      <c r="BI12" s="344">
        <v>1</v>
      </c>
      <c r="BJ12" s="344">
        <v>1</v>
      </c>
      <c r="BK12" s="344"/>
      <c r="BL12" s="344"/>
      <c r="BM12" s="344"/>
      <c r="BN12" s="344">
        <v>1</v>
      </c>
      <c r="BO12" s="344"/>
      <c r="BP12" s="344"/>
      <c r="BQ12" s="344"/>
      <c r="BR12" s="344"/>
      <c r="BS12" s="344"/>
      <c r="BT12" s="344"/>
      <c r="BU12" s="344"/>
      <c r="BV12" s="344">
        <v>1</v>
      </c>
      <c r="BW12" s="344">
        <v>1</v>
      </c>
      <c r="BX12" s="344"/>
      <c r="BY12" s="344"/>
      <c r="BZ12" s="344">
        <v>1</v>
      </c>
      <c r="CA12" s="344"/>
      <c r="CB12" s="344"/>
      <c r="CC12" s="344"/>
      <c r="CD12" s="344">
        <v>1</v>
      </c>
      <c r="CE12" s="416"/>
      <c r="CF12" s="416"/>
      <c r="CG12" s="416"/>
      <c r="CH12" s="416"/>
      <c r="CI12" s="416"/>
      <c r="CJ12" s="416"/>
      <c r="CK12" s="416"/>
      <c r="CL12" s="416"/>
      <c r="CM12" s="416"/>
      <c r="CN12" s="416"/>
      <c r="CO12" s="416"/>
      <c r="CP12" s="416"/>
      <c r="CQ12" s="416"/>
      <c r="CR12" s="416"/>
      <c r="CS12" s="416"/>
      <c r="CT12" s="416"/>
      <c r="CU12" s="416"/>
      <c r="CV12" s="416"/>
      <c r="CW12" s="416"/>
      <c r="CX12" s="416"/>
      <c r="CY12" s="416"/>
      <c r="CZ12" s="416"/>
      <c r="DA12" s="416"/>
      <c r="DB12" s="416"/>
      <c r="DC12" s="416"/>
      <c r="DD12" s="416"/>
      <c r="DE12" s="416"/>
      <c r="DF12" s="416"/>
      <c r="DG12" s="416"/>
      <c r="DH12" s="416"/>
      <c r="DI12" s="416"/>
      <c r="DJ12" s="416"/>
      <c r="DK12" s="416"/>
      <c r="DL12" s="416"/>
      <c r="DM12" s="416"/>
      <c r="DN12" s="416"/>
      <c r="DO12" s="416"/>
      <c r="DP12" s="416"/>
      <c r="DQ12" s="416"/>
      <c r="DR12" s="416"/>
      <c r="DS12" s="416"/>
      <c r="DT12" s="416"/>
      <c r="DU12" s="416"/>
      <c r="DW12" s="336">
        <f t="shared" si="81"/>
        <v>0</v>
      </c>
      <c r="DX12" s="336">
        <f t="shared" si="0"/>
        <v>62</v>
      </c>
      <c r="DY12" s="336">
        <f t="shared" si="1"/>
        <v>0</v>
      </c>
      <c r="DZ12" s="336">
        <f t="shared" si="2"/>
        <v>0</v>
      </c>
      <c r="EA12" s="336">
        <f t="shared" si="3"/>
        <v>62</v>
      </c>
      <c r="EB12" s="336">
        <f t="shared" si="4"/>
        <v>62</v>
      </c>
      <c r="EC12" s="336">
        <f t="shared" si="5"/>
        <v>0</v>
      </c>
      <c r="ED12" s="336">
        <f t="shared" si="6"/>
        <v>0</v>
      </c>
      <c r="EE12" s="336">
        <f t="shared" si="7"/>
        <v>0</v>
      </c>
      <c r="EF12" s="336">
        <f t="shared" si="8"/>
        <v>62</v>
      </c>
      <c r="EG12" s="336">
        <f t="shared" si="9"/>
        <v>0</v>
      </c>
      <c r="EH12" s="336">
        <f t="shared" si="10"/>
        <v>0</v>
      </c>
      <c r="EI12" s="336">
        <f t="shared" si="11"/>
        <v>0</v>
      </c>
      <c r="EJ12" s="336">
        <f t="shared" si="12"/>
        <v>0</v>
      </c>
      <c r="EK12" s="336">
        <f t="shared" si="13"/>
        <v>0</v>
      </c>
      <c r="EL12" s="336">
        <f t="shared" si="14"/>
        <v>0</v>
      </c>
      <c r="EM12" s="336">
        <f t="shared" si="15"/>
        <v>0</v>
      </c>
      <c r="EN12" s="336">
        <f t="shared" si="16"/>
        <v>62</v>
      </c>
      <c r="EO12" s="336">
        <f t="shared" si="17"/>
        <v>62</v>
      </c>
      <c r="EP12" s="336">
        <f t="shared" si="18"/>
        <v>0</v>
      </c>
      <c r="EQ12" s="336">
        <f t="shared" si="19"/>
        <v>0</v>
      </c>
      <c r="ER12" s="336">
        <f t="shared" si="20"/>
        <v>62</v>
      </c>
      <c r="ES12" s="336">
        <f t="shared" si="21"/>
        <v>0</v>
      </c>
      <c r="ET12" s="336">
        <f t="shared" si="22"/>
        <v>0</v>
      </c>
      <c r="EU12" s="336">
        <f t="shared" si="23"/>
        <v>0</v>
      </c>
      <c r="EV12" s="336">
        <f t="shared" si="24"/>
        <v>62</v>
      </c>
      <c r="EW12" s="336">
        <f t="shared" si="25"/>
        <v>0</v>
      </c>
      <c r="EX12" s="336">
        <f t="shared" si="26"/>
        <v>0</v>
      </c>
      <c r="EY12" s="336">
        <f t="shared" si="27"/>
        <v>0</v>
      </c>
      <c r="EZ12" s="336">
        <f t="shared" si="28"/>
        <v>0</v>
      </c>
      <c r="FA12" s="336">
        <f t="shared" si="29"/>
        <v>0</v>
      </c>
      <c r="FB12" s="336">
        <f t="shared" si="30"/>
        <v>0</v>
      </c>
      <c r="FC12" s="336">
        <f t="shared" si="31"/>
        <v>0</v>
      </c>
      <c r="FD12" s="336">
        <f t="shared" si="32"/>
        <v>0</v>
      </c>
      <c r="FE12" s="336">
        <f t="shared" si="33"/>
        <v>0</v>
      </c>
      <c r="FF12" s="336">
        <f t="shared" si="34"/>
        <v>0</v>
      </c>
      <c r="FG12" s="336">
        <f t="shared" si="35"/>
        <v>0</v>
      </c>
      <c r="FH12" s="336">
        <f t="shared" si="36"/>
        <v>0</v>
      </c>
      <c r="FI12" s="336">
        <f t="shared" si="37"/>
        <v>0</v>
      </c>
      <c r="FJ12" s="336">
        <f t="shared" si="38"/>
        <v>0</v>
      </c>
      <c r="FK12" s="336">
        <f t="shared" si="39"/>
        <v>0</v>
      </c>
      <c r="FL12" s="336">
        <f t="shared" si="40"/>
        <v>0</v>
      </c>
      <c r="FM12" s="336">
        <f t="shared" si="41"/>
        <v>0</v>
      </c>
      <c r="FN12" s="336">
        <f t="shared" si="42"/>
        <v>0</v>
      </c>
      <c r="FO12" s="336">
        <f t="shared" si="43"/>
        <v>0</v>
      </c>
      <c r="FP12" s="336">
        <f t="shared" si="44"/>
        <v>0</v>
      </c>
      <c r="FQ12" s="336">
        <f t="shared" si="45"/>
        <v>0</v>
      </c>
      <c r="FR12" s="336">
        <f t="shared" si="46"/>
        <v>0</v>
      </c>
      <c r="FS12" s="336">
        <f t="shared" si="47"/>
        <v>0</v>
      </c>
      <c r="FT12" s="336">
        <f t="shared" si="48"/>
        <v>0</v>
      </c>
      <c r="FU12" s="336">
        <f t="shared" si="93"/>
        <v>0</v>
      </c>
      <c r="FV12" s="336">
        <f t="shared" si="94"/>
        <v>0</v>
      </c>
      <c r="FW12" s="336">
        <f t="shared" si="95"/>
        <v>0</v>
      </c>
      <c r="FX12" s="336">
        <f t="shared" si="96"/>
        <v>0</v>
      </c>
      <c r="FY12" s="336">
        <f t="shared" si="53"/>
        <v>0</v>
      </c>
      <c r="FZ12" s="336">
        <f t="shared" si="54"/>
        <v>0</v>
      </c>
      <c r="GA12" s="336">
        <f t="shared" si="55"/>
        <v>0</v>
      </c>
      <c r="GB12" s="336">
        <f t="shared" si="56"/>
        <v>0</v>
      </c>
      <c r="GC12" s="336">
        <f t="shared" si="57"/>
        <v>0</v>
      </c>
      <c r="GD12" s="336">
        <f t="shared" si="58"/>
        <v>0</v>
      </c>
      <c r="GE12" s="336">
        <f t="shared" si="59"/>
        <v>0</v>
      </c>
      <c r="GF12" s="336">
        <f t="shared" si="60"/>
        <v>0</v>
      </c>
      <c r="GG12" s="336">
        <f t="shared" si="61"/>
        <v>0</v>
      </c>
      <c r="GH12" s="336">
        <f t="shared" si="62"/>
        <v>0</v>
      </c>
      <c r="GI12" s="336">
        <f t="shared" si="63"/>
        <v>0</v>
      </c>
      <c r="GJ12" s="336">
        <f t="shared" si="64"/>
        <v>0</v>
      </c>
      <c r="GK12" s="336">
        <f>IF(DS12=1,($BC12*DS12),0)</f>
        <v>0</v>
      </c>
      <c r="GL12" s="336">
        <f t="shared" si="164"/>
        <v>0</v>
      </c>
      <c r="GM12" s="336">
        <f t="shared" si="66"/>
        <v>0</v>
      </c>
    </row>
    <row r="13" spans="1:195" ht="29.25" customHeight="1">
      <c r="A13" s="388">
        <f>A12+1</f>
        <v>5</v>
      </c>
      <c r="B13" s="430" t="s">
        <v>359</v>
      </c>
      <c r="C13" s="388" t="str">
        <f t="shared" si="82"/>
        <v>11kV MV Switchgear-1</v>
      </c>
      <c r="D13" s="431" t="s">
        <v>356</v>
      </c>
      <c r="E13" s="432" t="s">
        <v>355</v>
      </c>
      <c r="F13" s="433" t="s">
        <v>29</v>
      </c>
      <c r="G13" s="390" t="s">
        <v>329</v>
      </c>
      <c r="H13" s="396">
        <v>0.15</v>
      </c>
      <c r="I13" s="388" t="s">
        <v>330</v>
      </c>
      <c r="J13" s="388" t="s">
        <v>357</v>
      </c>
      <c r="K13" s="434">
        <v>230</v>
      </c>
      <c r="L13" s="401">
        <v>0.85</v>
      </c>
      <c r="M13" s="418">
        <v>0.95</v>
      </c>
      <c r="N13" s="392">
        <f t="shared" si="83"/>
        <v>0.80764571274734154</v>
      </c>
      <c r="O13" s="392">
        <f t="shared" si="67"/>
        <v>0</v>
      </c>
      <c r="P13" s="401" t="str">
        <f t="shared" si="84"/>
        <v>0.00</v>
      </c>
      <c r="Q13" s="418">
        <v>65</v>
      </c>
      <c r="R13" s="418">
        <v>0</v>
      </c>
      <c r="S13" s="418">
        <f t="shared" si="85"/>
        <v>0</v>
      </c>
      <c r="T13" s="401" t="s">
        <v>131</v>
      </c>
      <c r="U13" s="418" t="s">
        <v>333</v>
      </c>
      <c r="V13" s="401">
        <v>4</v>
      </c>
      <c r="W13" s="401" t="str">
        <f t="shared" si="69"/>
        <v>3C X 4</v>
      </c>
      <c r="X13" s="401" t="str">
        <f t="shared" si="70"/>
        <v>3C X 4</v>
      </c>
      <c r="Y13" s="435" t="s">
        <v>358</v>
      </c>
      <c r="Z13" s="393">
        <f>IF(T13="AIR",VLOOKUP(W13,'Catalogue Aluminium'!$B$141:$G$173,2,FALSE),IF(T13="GROUND",VLOOKUP(W13,'Catalogue Aluminium'!$B$141:$G$173,3,FALSE),IF(T13="DUCT",VLOOKUP(W13,'Catalogue Aluminium'!$B$141:$G$173,4,FALSE),IF(T13="TRENCH",VLOOKUP(W13,'Catalogue Aluminium'!$B$141:$G$173,2,FALSE)))))</f>
        <v>38</v>
      </c>
      <c r="AA13" s="402">
        <f>VLOOKUP(W13,'Catalogue Aluminium'!$B$141:$G$173,5,FALSE)</f>
        <v>5.9</v>
      </c>
      <c r="AB13" s="402">
        <f>VLOOKUP(W13,'Catalogue Aluminium'!$B$141:$G$173,6,FALSE)</f>
        <v>9.4700000000000006E-2</v>
      </c>
      <c r="AC13" s="434">
        <f>23+30</f>
        <v>53</v>
      </c>
      <c r="AD13" s="388">
        <f>40+50+38+50+58+60+20+31+45</f>
        <v>392</v>
      </c>
      <c r="AE13" s="401">
        <f t="shared" si="166"/>
        <v>42</v>
      </c>
      <c r="AF13" s="401">
        <f t="shared" si="167"/>
        <v>10</v>
      </c>
      <c r="AG13" s="401">
        <f t="shared" ref="AG13" si="168">ROUNDUP(SUM(AC13:AF13)*0.1,0)</f>
        <v>50</v>
      </c>
      <c r="AH13" s="436">
        <f t="shared" si="87"/>
        <v>550</v>
      </c>
      <c r="AI13" s="393">
        <f>IF(T13="AIR",'Catalogue Aluminium'!$K$141,IF(T13="TRENCH",'Catalogue Aluminium'!$K$144,"NA"))</f>
        <v>0.82</v>
      </c>
      <c r="AJ13" s="392">
        <f>IF(T13="Air",(IF(U13="1C",'Catalogue Aluminium'!$L$141,'Catalogue Aluminium'!$M$141)),IF(T13="DUCT",(IF($U13="1C",'Catalogue Aluminium'!$L$142,'Catalogue Aluminium'!$M$142)),IF(T13="GROUND",(IF($U13="1C",'Catalogue Aluminium'!$L$143,'Catalogue Aluminium'!$M$143)),IF(T13="TRENCH",(IF($U13="1C",'Catalogue Aluminium'!$L$144,'Catalogue Aluminium'!$M$144))))))</f>
        <v>0.73</v>
      </c>
      <c r="AK13" s="393" t="str">
        <f>IF(T13="Air",'Catalogue Aluminium'!$N$141,IF(T13="GROUND",'Catalogue Aluminium'!$N$142,IF(T13="DUCT",'Catalogue Aluminium'!$N$143,IF(T13="TRENCH",'Catalogue Aluminium'!$N$144,"NA"))))</f>
        <v>NA</v>
      </c>
      <c r="AL13" s="393" t="str">
        <f>IF(T13="Air",(IF(U13="1C",'Catalogue Aluminium'!$O$141,'Catalogue Aluminium'!$P$141)),IF(T13="DUCT",(IF($U13="1C",'Catalogue Aluminium'!$O$142,'Catalogue Aluminium'!$P$142)),IF(T13="GROUND",(IF($U13="1C",'Catalogue Aluminium'!$O$143,'Catalogue Aluminium'!$P$143)),IF(T13="TRENCH",(IF($U13="1C",'Catalogue Aluminium'!$O$144,'Catalogue Aluminium'!$P$144))))))</f>
        <v>NA</v>
      </c>
      <c r="AM13" s="393" t="str">
        <f>IF(T13="AIR","NA",IF(T13="TRENCH","NA",IF(T13="DUCT",IF(U13="1C",VLOOKUP(V13,'Catalogue Aluminium'!$Q$142:$S$153,2,FALSE),VLOOKUP(V13,'Catalogue Aluminium'!$Q$142:$S$153,3)),IF(T13="GROUND",IF(U13="1C",VLOOKUP(V13,'Catalogue Aluminium'!$Q$142:$S$153,2,FALSE),VLOOKUP(V13,'Catalogue Aluminium'!$Q$142:$S$153,3))))))</f>
        <v>NA</v>
      </c>
      <c r="AN13" s="404">
        <f t="shared" ref="AN13" si="169">IF(T13="AIR",AI13*AJ13,IF(T13="TRENCH",AI13*AJ13,IF(T13="DUCT",AJ13*AK13*AL13*AM13,IF(T13="GROUND",AJ13*AK13*AL13*AM13))))</f>
        <v>0.59859999999999991</v>
      </c>
      <c r="AO13" s="392">
        <f t="shared" ref="AO13" si="170">Z13*AN13</f>
        <v>22.746799999999997</v>
      </c>
      <c r="AP13" s="434">
        <f t="shared" ref="AP13" si="171">CEILING(((N13)/AO13),1)</f>
        <v>1</v>
      </c>
      <c r="AQ13" s="418" t="str">
        <f t="shared" ref="AQ13" si="172">IF(AO13*AP13&gt;=N13,"YES","NO")</f>
        <v>YES</v>
      </c>
      <c r="AR13" s="437">
        <f t="shared" ref="AR13" si="173">SQRT(3)*AH13*N13*((AA13*L13)+(AB13*SIN(ACOS(L13))))*100/(AP13*K13*1000)</f>
        <v>1.694283475311948</v>
      </c>
      <c r="AS13" s="401" t="str">
        <f t="shared" si="89"/>
        <v>YES</v>
      </c>
      <c r="AT13" s="437" t="str">
        <f t="shared" si="76"/>
        <v>NA</v>
      </c>
      <c r="AU13" s="401" t="str">
        <f t="shared" si="77"/>
        <v>NA</v>
      </c>
      <c r="AV13" s="437" t="str">
        <f t="shared" si="78"/>
        <v>1R x 6/10 (12)kV x 3C x 4 Sqmm</v>
      </c>
      <c r="AW13" s="437" t="str">
        <f t="shared" si="79"/>
        <v>1R x 6/10 (12)kV x 3C x 4 Sqmm</v>
      </c>
      <c r="AX13" s="401">
        <f t="shared" si="90"/>
        <v>550</v>
      </c>
      <c r="AY13" s="401"/>
      <c r="AZ13" s="401">
        <f t="shared" si="91"/>
        <v>2</v>
      </c>
      <c r="BA13" s="438" t="str">
        <f t="shared" si="80"/>
        <v>ACDEFGIJ</v>
      </c>
      <c r="BB13" s="390">
        <f>VLOOKUP(W13,'Catalogue Aluminium'!$B$141:$H$173,7,FALSE)</f>
        <v>15</v>
      </c>
      <c r="BC13" s="439">
        <f t="shared" si="92"/>
        <v>15</v>
      </c>
      <c r="BE13" s="344"/>
      <c r="BF13" s="344">
        <v>1</v>
      </c>
      <c r="BG13" s="344"/>
      <c r="BH13" s="344"/>
      <c r="BI13" s="344">
        <v>1</v>
      </c>
      <c r="BJ13" s="344">
        <v>1</v>
      </c>
      <c r="BK13" s="344"/>
      <c r="BL13" s="344"/>
      <c r="BM13" s="344"/>
      <c r="BN13" s="344">
        <v>1</v>
      </c>
      <c r="BO13" s="344"/>
      <c r="BP13" s="344"/>
      <c r="BQ13" s="344"/>
      <c r="BR13" s="344"/>
      <c r="BS13" s="344"/>
      <c r="BT13" s="344"/>
      <c r="BU13" s="344"/>
      <c r="BV13" s="344">
        <v>1</v>
      </c>
      <c r="BW13" s="344">
        <v>1</v>
      </c>
      <c r="BX13" s="344"/>
      <c r="BY13" s="344"/>
      <c r="BZ13" s="344">
        <v>1</v>
      </c>
      <c r="CA13" s="344"/>
      <c r="CB13" s="344"/>
      <c r="CC13" s="344"/>
      <c r="CD13" s="344">
        <v>1</v>
      </c>
      <c r="CE13" s="416"/>
      <c r="CF13" s="416"/>
      <c r="CG13" s="416"/>
      <c r="CH13" s="416"/>
      <c r="CI13" s="416"/>
      <c r="CJ13" s="416"/>
      <c r="CK13" s="416"/>
      <c r="CL13" s="416"/>
      <c r="CM13" s="416"/>
      <c r="CN13" s="416"/>
      <c r="CO13" s="416"/>
      <c r="CP13" s="416"/>
      <c r="CQ13" s="416"/>
      <c r="CR13" s="416"/>
      <c r="CS13" s="416"/>
      <c r="CT13" s="416"/>
      <c r="CU13" s="416"/>
      <c r="CV13" s="416"/>
      <c r="CW13" s="416"/>
      <c r="CX13" s="416"/>
      <c r="CY13" s="416"/>
      <c r="CZ13" s="416"/>
      <c r="DA13" s="416"/>
      <c r="DB13" s="416"/>
      <c r="DC13" s="416"/>
      <c r="DD13" s="416"/>
      <c r="DE13" s="416"/>
      <c r="DF13" s="416"/>
      <c r="DG13" s="416"/>
      <c r="DH13" s="416"/>
      <c r="DI13" s="416"/>
      <c r="DJ13" s="416"/>
      <c r="DK13" s="416"/>
      <c r="DL13" s="416"/>
      <c r="DM13" s="416"/>
      <c r="DN13" s="416"/>
      <c r="DO13" s="416"/>
      <c r="DP13" s="416"/>
      <c r="DQ13" s="416"/>
      <c r="DR13" s="416"/>
      <c r="DS13" s="416"/>
      <c r="DT13" s="416"/>
      <c r="DU13" s="416"/>
      <c r="DW13" s="336">
        <f t="shared" ref="DW13" si="174">IF(BE13=1,($BC13*BE13),0)</f>
        <v>0</v>
      </c>
      <c r="DX13" s="336">
        <f t="shared" ref="DX13" si="175">IF(BF13=1,($BC13*BF13),0)</f>
        <v>15</v>
      </c>
      <c r="DY13" s="336">
        <f t="shared" ref="DY13" si="176">IF(BG13=1,($BC13*BG13),0)</f>
        <v>0</v>
      </c>
      <c r="DZ13" s="336">
        <f t="shared" ref="DZ13" si="177">IF(BH13=1,($BC13*BH13),0)</f>
        <v>0</v>
      </c>
      <c r="EA13" s="336">
        <f t="shared" ref="EA13" si="178">IF(BI13=1,($BC13*BI13),0)</f>
        <v>15</v>
      </c>
      <c r="EB13" s="336">
        <f t="shared" ref="EB13" si="179">IF(BJ13=1,($BC13*BJ13),0)</f>
        <v>15</v>
      </c>
      <c r="EC13" s="336">
        <f t="shared" ref="EC13" si="180">IF(BK13=1,($BC13*BK13),0)</f>
        <v>0</v>
      </c>
      <c r="ED13" s="336">
        <f t="shared" ref="ED13" si="181">IF(BL13=1,($BC13*BL13),0)</f>
        <v>0</v>
      </c>
      <c r="EE13" s="336">
        <f t="shared" ref="EE13" si="182">IF(BM13=1,($BC13*BM13),0)</f>
        <v>0</v>
      </c>
      <c r="EF13" s="336">
        <f t="shared" ref="EF13" si="183">IF(BN13=1,($BC13*BN13),0)</f>
        <v>15</v>
      </c>
      <c r="EG13" s="336">
        <f t="shared" ref="EG13" si="184">IF(BO13=1,($BC13*BO13),0)</f>
        <v>0</v>
      </c>
      <c r="EH13" s="336">
        <f t="shared" ref="EH13" si="185">IF(BP13=1,($BC13*BP13),0)</f>
        <v>0</v>
      </c>
      <c r="EI13" s="336">
        <f t="shared" ref="EI13" si="186">IF(BQ13=1,($BC13*BQ13),0)</f>
        <v>0</v>
      </c>
      <c r="EJ13" s="336">
        <f t="shared" ref="EJ13" si="187">IF(BR13=1,($BC13*BR13),0)</f>
        <v>0</v>
      </c>
      <c r="EK13" s="336">
        <f t="shared" ref="EK13" si="188">IF(BS13=1,($BC13*BS13),0)</f>
        <v>0</v>
      </c>
      <c r="EL13" s="336">
        <f t="shared" ref="EL13" si="189">IF(BT13=1,($BC13*BT13),0)</f>
        <v>0</v>
      </c>
      <c r="EM13" s="336">
        <f t="shared" ref="EM13" si="190">IF(BU13=1,($BC13*BU13),0)</f>
        <v>0</v>
      </c>
      <c r="EN13" s="336">
        <f t="shared" ref="EN13" si="191">IF(BV13=1,($BC13*BV13),0)</f>
        <v>15</v>
      </c>
      <c r="EO13" s="336">
        <f t="shared" ref="EO13" si="192">IF(BW13=1,($BC13*BW13),0)</f>
        <v>15</v>
      </c>
      <c r="EP13" s="336">
        <f t="shared" ref="EP13" si="193">IF(BX13=1,($BC13*BX13),0)</f>
        <v>0</v>
      </c>
      <c r="EQ13" s="336">
        <f t="shared" ref="EQ13" si="194">IF(BY13=1,($BC13*BY13),0)</f>
        <v>0</v>
      </c>
      <c r="ER13" s="336">
        <f t="shared" ref="ER13" si="195">IF(BZ13=1,($BC13*BZ13),0)</f>
        <v>15</v>
      </c>
      <c r="ES13" s="336">
        <f t="shared" ref="ES13" si="196">IF(CA13=1,($BC13*CA13),0)</f>
        <v>0</v>
      </c>
      <c r="ET13" s="336">
        <f t="shared" si="22"/>
        <v>0</v>
      </c>
      <c r="EU13" s="336">
        <f t="shared" si="23"/>
        <v>0</v>
      </c>
      <c r="EV13" s="336">
        <f t="shared" ref="EV13" si="197">IF(CD13=1,($BC13*CD13),0)</f>
        <v>15</v>
      </c>
      <c r="EW13" s="336">
        <f t="shared" ref="EW13" si="198">IF(CE13=1,($BC13*CE13),0)</f>
        <v>0</v>
      </c>
      <c r="EX13" s="336">
        <f t="shared" ref="EX13" si="199">IF(CF13=1,($BC13*CF13),0)</f>
        <v>0</v>
      </c>
      <c r="EY13" s="336">
        <f t="shared" ref="EY13" si="200">IF(CG13=1,($BC13*CG13),0)</f>
        <v>0</v>
      </c>
      <c r="EZ13" s="336">
        <f t="shared" ref="EZ13" si="201">IF(CH13=1,($BC13*CH13),0)</f>
        <v>0</v>
      </c>
      <c r="FA13" s="336">
        <f t="shared" ref="FA13" si="202">IF(CI13=1,($BC13*CI13),0)</f>
        <v>0</v>
      </c>
      <c r="FB13" s="336">
        <f t="shared" ref="FB13" si="203">IF(CJ13=1,($BC13*CJ13),0)</f>
        <v>0</v>
      </c>
      <c r="FC13" s="336">
        <f t="shared" ref="FC13" si="204">IF(CK13=1,($BC13*CK13),0)</f>
        <v>0</v>
      </c>
      <c r="FD13" s="336">
        <f t="shared" ref="FD13" si="205">IF(CL13=1,($BC13*CL13),0)</f>
        <v>0</v>
      </c>
      <c r="FE13" s="336">
        <f t="shared" ref="FE13" si="206">IF(CM13=1,($BC13*CM13),0)</f>
        <v>0</v>
      </c>
      <c r="FF13" s="336">
        <f t="shared" ref="FF13" si="207">IF(CN13=1,($BC13*CN13),0)</f>
        <v>0</v>
      </c>
      <c r="FG13" s="336">
        <f t="shared" ref="FG13" si="208">IF(CO13=1,($BC13*CO13),0)</f>
        <v>0</v>
      </c>
      <c r="FH13" s="336">
        <f t="shared" ref="FH13" si="209">IF(CP13=1,($BC13*CP13),0)</f>
        <v>0</v>
      </c>
      <c r="FI13" s="336">
        <f t="shared" ref="FI13" si="210">IF(CQ13=1,($BC13*CQ13),0)</f>
        <v>0</v>
      </c>
      <c r="FJ13" s="336">
        <f t="shared" ref="FJ13" si="211">IF(CR13=1,($BC13*CR13),0)</f>
        <v>0</v>
      </c>
      <c r="FK13" s="336">
        <f t="shared" ref="FK13" si="212">IF(CS13=1,($BC13*CS13),0)</f>
        <v>0</v>
      </c>
      <c r="FL13" s="336">
        <f t="shared" ref="FL13" si="213">IF(CT13=1,($BC13*CT13),0)</f>
        <v>0</v>
      </c>
      <c r="FM13" s="336">
        <f t="shared" ref="FM13" si="214">IF(CU13=1,($BC13*CU13),0)</f>
        <v>0</v>
      </c>
      <c r="FN13" s="336">
        <f t="shared" ref="FN13" si="215">IF(CV13=1,($BC13*CV13),0)</f>
        <v>0</v>
      </c>
      <c r="FO13" s="336">
        <f t="shared" ref="FO13" si="216">IF(CW13=1,($BC13*CW13),0)</f>
        <v>0</v>
      </c>
      <c r="FP13" s="336">
        <f t="shared" ref="FP13" si="217">IF(CX13=1,($BC13*CX13),0)</f>
        <v>0</v>
      </c>
      <c r="FQ13" s="336">
        <f t="shared" ref="FQ13" si="218">IF(CY13=1,($BC13*CY13),0)</f>
        <v>0</v>
      </c>
      <c r="FR13" s="336">
        <f t="shared" ref="FR13" si="219">IF(CZ13=1,($BC13*CZ13),0)</f>
        <v>0</v>
      </c>
      <c r="FS13" s="336">
        <f t="shared" ref="FS13" si="220">IF(DA13=1,($BC13*DA13),0)</f>
        <v>0</v>
      </c>
      <c r="FT13" s="336">
        <f t="shared" ref="FT13" si="221">IF(DB13=1,($BC13*DB13),0)</f>
        <v>0</v>
      </c>
      <c r="FU13" s="336">
        <f t="shared" si="93"/>
        <v>0</v>
      </c>
      <c r="FV13" s="336">
        <f t="shared" si="94"/>
        <v>0</v>
      </c>
      <c r="FW13" s="336">
        <f t="shared" si="95"/>
        <v>0</v>
      </c>
      <c r="FX13" s="336">
        <f t="shared" si="96"/>
        <v>0</v>
      </c>
      <c r="FY13" s="336">
        <f t="shared" ref="FY13" si="222">IF(DG13=1,($BC13*DG13),0)</f>
        <v>0</v>
      </c>
      <c r="FZ13" s="336">
        <f t="shared" ref="FZ13" si="223">IF(DH13=1,($BC13*DH13),0)</f>
        <v>0</v>
      </c>
      <c r="GA13" s="336">
        <f t="shared" ref="GA13" si="224">IF(DI13=1,($BC13*DI13),0)</f>
        <v>0</v>
      </c>
      <c r="GB13" s="336">
        <f t="shared" ref="GB13" si="225">IF(DJ13=1,($BC13*DJ13),0)</f>
        <v>0</v>
      </c>
      <c r="GC13" s="336">
        <f t="shared" ref="GC13" si="226">IF(DK13=1,($BC13*DK13),0)</f>
        <v>0</v>
      </c>
      <c r="GD13" s="336">
        <f t="shared" ref="GD13" si="227">IF(DL13=1,($BC13*DL13),0)</f>
        <v>0</v>
      </c>
      <c r="GE13" s="336">
        <f t="shared" ref="GE13" si="228">IF(DM13=1,($BC13*DM13),0)</f>
        <v>0</v>
      </c>
      <c r="GF13" s="336">
        <f t="shared" ref="GF13" si="229">IF(DN13=1,($BC13*DN13),0)</f>
        <v>0</v>
      </c>
      <c r="GG13" s="336">
        <f t="shared" ref="GG13" si="230">IF(DO13=1,($BC13*DO13),0)</f>
        <v>0</v>
      </c>
      <c r="GH13" s="336">
        <f t="shared" ref="GH13" si="231">IF(DP13=1,($BC13*DP13),0)</f>
        <v>0</v>
      </c>
      <c r="GI13" s="336">
        <f t="shared" ref="GI13" si="232">IF(DQ13=1,($BC13*DQ13),0)</f>
        <v>0</v>
      </c>
      <c r="GJ13" s="336">
        <f t="shared" ref="GJ13" si="233">IF(DR13=1,($BC13*DR13),0)</f>
        <v>0</v>
      </c>
      <c r="GK13" s="336">
        <f t="shared" ref="GK13" si="234">IF(DS13=1,($BC13*DS13),0)</f>
        <v>0</v>
      </c>
      <c r="GL13" s="336">
        <f t="shared" si="164"/>
        <v>0</v>
      </c>
      <c r="GM13" s="336">
        <f t="shared" ref="GM13" si="235">IF(DU13=1,($BC13*DU13),0)</f>
        <v>0</v>
      </c>
    </row>
    <row r="14" spans="1:195" ht="18" customHeight="1">
      <c r="A14" s="337">
        <f>A13+1</f>
        <v>6</v>
      </c>
      <c r="B14" s="427" t="s">
        <v>360</v>
      </c>
      <c r="C14" s="337" t="str">
        <f t="shared" si="82"/>
        <v>11kV MV Switchgear-1</v>
      </c>
      <c r="D14" s="415" t="s">
        <v>361</v>
      </c>
      <c r="E14" s="416" t="s">
        <v>355</v>
      </c>
      <c r="F14" s="417" t="s">
        <v>28</v>
      </c>
      <c r="G14" s="340" t="s">
        <v>350</v>
      </c>
      <c r="H14" s="418">
        <v>620</v>
      </c>
      <c r="I14" s="337" t="s">
        <v>330</v>
      </c>
      <c r="J14" s="337" t="s">
        <v>331</v>
      </c>
      <c r="K14" s="341">
        <v>11000</v>
      </c>
      <c r="L14" s="342">
        <v>0.84</v>
      </c>
      <c r="M14" s="342">
        <v>0.95</v>
      </c>
      <c r="N14" s="342">
        <f t="shared" si="83"/>
        <v>40.780094262530142</v>
      </c>
      <c r="O14" s="342">
        <f t="shared" si="67"/>
        <v>244.68056557518085</v>
      </c>
      <c r="P14" s="343">
        <f t="shared" si="84"/>
        <v>0.2</v>
      </c>
      <c r="Q14" s="342">
        <v>31.5</v>
      </c>
      <c r="R14" s="342">
        <v>0.16</v>
      </c>
      <c r="S14" s="342">
        <f t="shared" si="85"/>
        <v>134.04255319148936</v>
      </c>
      <c r="T14" s="344" t="s">
        <v>131</v>
      </c>
      <c r="U14" s="342" t="s">
        <v>333</v>
      </c>
      <c r="V14" s="344">
        <v>150</v>
      </c>
      <c r="W14" s="343" t="str">
        <f t="shared" si="69"/>
        <v>3C X 150</v>
      </c>
      <c r="X14" s="343" t="str">
        <f t="shared" si="70"/>
        <v>3C X 150+PE</v>
      </c>
      <c r="Y14" s="419" t="s">
        <v>346</v>
      </c>
      <c r="Z14" s="344">
        <f>IF(T14="AIR",VLOOKUP(W14,'Catalogue Aluminium'!$B$141:$G$173,2,FALSE),IF(T14="GROUND",VLOOKUP(W14,'Catalogue Aluminium'!$B$141:$G$173,3,FALSE),IF(T14="DUCT",VLOOKUP(W14,'Catalogue Aluminium'!$B$141:$G$173,4,FALSE),IF(T14="TRENCH",VLOOKUP(W14,'Catalogue Aluminium'!$B$141:$G$173,2,FALSE)))))</f>
        <v>309</v>
      </c>
      <c r="AA14" s="345">
        <f>VLOOKUP(W14,'Catalogue Aluminium'!$B$141:$G$173,5,FALSE)</f>
        <v>0.26500000000000001</v>
      </c>
      <c r="AB14" s="345">
        <f>VLOOKUP(W14,'Catalogue Aluminium'!$B$141:$G$173,6,FALSE)</f>
        <v>9.2999999999999999E-2</v>
      </c>
      <c r="AC14" s="349">
        <f t="shared" ref="AC14:AC37" si="236">37+30</f>
        <v>67</v>
      </c>
      <c r="AD14" s="337">
        <f>40+50+38+50+58+60+20+31+48</f>
        <v>395</v>
      </c>
      <c r="AE14" s="343">
        <f t="shared" si="166"/>
        <v>42</v>
      </c>
      <c r="AF14" s="343">
        <f t="shared" si="167"/>
        <v>10</v>
      </c>
      <c r="AG14" s="343">
        <f t="shared" si="86"/>
        <v>52</v>
      </c>
      <c r="AH14" s="347">
        <f t="shared" si="87"/>
        <v>570</v>
      </c>
      <c r="AI14" s="344">
        <f>IF(T14="AIR",'Catalogue Aluminium'!$K$141,IF(T14="TRENCH",'Catalogue Aluminium'!$K$144,"NA"))</f>
        <v>0.82</v>
      </c>
      <c r="AJ14" s="342">
        <f>IF(T14="Air",(IF(U14="1C",'Catalogue Aluminium'!$L$141,'Catalogue Aluminium'!$M$141)),IF(T14="DUCT",(IF($U14="1C",'Catalogue Aluminium'!$L$142,'Catalogue Aluminium'!$M$142)),IF(T14="GROUND",(IF($U14="1C",'Catalogue Aluminium'!$L$143,'Catalogue Aluminium'!$M$143)),IF(T14="TRENCH",(IF($U14="1C",'Catalogue Aluminium'!$L$144,'Catalogue Aluminium'!$M$144))))))</f>
        <v>0.73</v>
      </c>
      <c r="AK14" s="344" t="str">
        <f>IF(T14="Air",'Catalogue Aluminium'!$N$141,IF(T14="GROUND",'Catalogue Aluminium'!$N$142,IF(T14="DUCT",'Catalogue Aluminium'!$N$143,IF(T14="TRENCH",'Catalogue Aluminium'!$N$144,"NA"))))</f>
        <v>NA</v>
      </c>
      <c r="AL14" s="344" t="str">
        <f>IF(T14="Air",(IF(U14="1C",'Catalogue Aluminium'!$O$141,'Catalogue Aluminium'!$P$141)),IF(T14="DUCT",(IF($U14="1C",'Catalogue Aluminium'!$O$142,'Catalogue Aluminium'!$P$142)),IF(T14="GROUND",(IF($U14="1C",'Catalogue Aluminium'!$O$143,'Catalogue Aluminium'!$P$143)),IF(T14="TRENCH",(IF($U14="1C",'Catalogue Aluminium'!$O$144,'Catalogue Aluminium'!$P$144))))))</f>
        <v>NA</v>
      </c>
      <c r="AM14" s="344" t="str">
        <f>IF(T14="AIR","NA",IF(T14="TRENCH","NA",IF(T14="DUCT",IF(U14="1C",VLOOKUP(V14,'Catalogue Aluminium'!$Q$142:$S$153,2,FALSE),VLOOKUP(V14,'Catalogue Aluminium'!$Q$142:$S$153,3)),IF(T14="GROUND",IF(U14="1C",VLOOKUP(V14,'Catalogue Aluminium'!$Q$142:$S$153,2,FALSE),VLOOKUP(V14,'Catalogue Aluminium'!$Q$142:$S$153,3))))))</f>
        <v>NA</v>
      </c>
      <c r="AN14" s="348">
        <f t="shared" si="71"/>
        <v>0.59859999999999991</v>
      </c>
      <c r="AO14" s="342">
        <f t="shared" si="72"/>
        <v>184.96739999999997</v>
      </c>
      <c r="AP14" s="349">
        <f t="shared" si="73"/>
        <v>1</v>
      </c>
      <c r="AQ14" s="350" t="str">
        <f t="shared" si="74"/>
        <v>YES</v>
      </c>
      <c r="AR14" s="351">
        <f t="shared" si="75"/>
        <v>9.9942442754196448E-2</v>
      </c>
      <c r="AS14" s="343" t="str">
        <f t="shared" si="89"/>
        <v>YES</v>
      </c>
      <c r="AT14" s="351">
        <f t="shared" si="76"/>
        <v>0.31649699866755471</v>
      </c>
      <c r="AU14" s="343" t="str">
        <f t="shared" si="77"/>
        <v>YES</v>
      </c>
      <c r="AV14" s="351" t="str">
        <f t="shared" si="78"/>
        <v>1R x 6/10 (12)kV x 3C x 150 Sqmm</v>
      </c>
      <c r="AW14" s="351" t="str">
        <f t="shared" si="79"/>
        <v>1R x 6/10 (12)kV x 3C x 150 Sqmm</v>
      </c>
      <c r="AX14" s="343">
        <f t="shared" si="90"/>
        <v>570</v>
      </c>
      <c r="AY14" s="343"/>
      <c r="AZ14" s="343">
        <f t="shared" si="91"/>
        <v>2</v>
      </c>
      <c r="BA14" s="356" t="str">
        <f t="shared" si="80"/>
        <v>ACDEFGIJ</v>
      </c>
      <c r="BB14" s="340">
        <f>VLOOKUP(W14,'Catalogue Aluminium'!$B$141:$H$173,7,FALSE)</f>
        <v>62</v>
      </c>
      <c r="BC14" s="328">
        <f t="shared" si="92"/>
        <v>62</v>
      </c>
      <c r="BE14" s="344"/>
      <c r="BF14" s="344">
        <v>1</v>
      </c>
      <c r="BG14" s="344"/>
      <c r="BH14" s="344"/>
      <c r="BI14" s="344">
        <v>1</v>
      </c>
      <c r="BJ14" s="344">
        <v>1</v>
      </c>
      <c r="BK14" s="344"/>
      <c r="BL14" s="344"/>
      <c r="BM14" s="344"/>
      <c r="BN14" s="344">
        <v>1</v>
      </c>
      <c r="BO14" s="344"/>
      <c r="BP14" s="344"/>
      <c r="BQ14" s="344"/>
      <c r="BR14" s="344"/>
      <c r="BS14" s="344"/>
      <c r="BT14" s="344"/>
      <c r="BU14" s="344"/>
      <c r="BV14" s="344">
        <v>1</v>
      </c>
      <c r="BW14" s="344">
        <v>1</v>
      </c>
      <c r="BX14" s="344"/>
      <c r="BY14" s="344"/>
      <c r="BZ14" s="344">
        <v>1</v>
      </c>
      <c r="CA14" s="344"/>
      <c r="CB14" s="344"/>
      <c r="CC14" s="344"/>
      <c r="CD14" s="344">
        <v>1</v>
      </c>
      <c r="CE14" s="416"/>
      <c r="CF14" s="416"/>
      <c r="CG14" s="416"/>
      <c r="CH14" s="416"/>
      <c r="CI14" s="416"/>
      <c r="CJ14" s="416"/>
      <c r="CK14" s="416"/>
      <c r="CL14" s="416"/>
      <c r="CM14" s="416"/>
      <c r="CN14" s="416"/>
      <c r="CO14" s="416"/>
      <c r="CP14" s="416"/>
      <c r="CQ14" s="416"/>
      <c r="CR14" s="416"/>
      <c r="CS14" s="416"/>
      <c r="CT14" s="416"/>
      <c r="CU14" s="416"/>
      <c r="CV14" s="416"/>
      <c r="CW14" s="416"/>
      <c r="CX14" s="416"/>
      <c r="CY14" s="416"/>
      <c r="CZ14" s="416"/>
      <c r="DA14" s="416"/>
      <c r="DB14" s="416"/>
      <c r="DC14" s="416"/>
      <c r="DD14" s="416"/>
      <c r="DE14" s="416"/>
      <c r="DF14" s="416"/>
      <c r="DG14" s="416"/>
      <c r="DH14" s="416"/>
      <c r="DI14" s="416"/>
      <c r="DJ14" s="416"/>
      <c r="DK14" s="416"/>
      <c r="DL14" s="416"/>
      <c r="DM14" s="416"/>
      <c r="DN14" s="416"/>
      <c r="DO14" s="416"/>
      <c r="DP14" s="416"/>
      <c r="DQ14" s="416"/>
      <c r="DR14" s="416"/>
      <c r="DS14" s="416"/>
      <c r="DT14" s="416"/>
      <c r="DU14" s="416"/>
      <c r="DW14" s="336">
        <f t="shared" si="81"/>
        <v>0</v>
      </c>
      <c r="DX14" s="336">
        <f t="shared" si="0"/>
        <v>62</v>
      </c>
      <c r="DY14" s="336">
        <f t="shared" si="1"/>
        <v>0</v>
      </c>
      <c r="DZ14" s="336">
        <f t="shared" si="2"/>
        <v>0</v>
      </c>
      <c r="EA14" s="336">
        <f t="shared" si="3"/>
        <v>62</v>
      </c>
      <c r="EB14" s="336">
        <f t="shared" si="4"/>
        <v>62</v>
      </c>
      <c r="EC14" s="336">
        <f t="shared" si="5"/>
        <v>0</v>
      </c>
      <c r="ED14" s="336">
        <f t="shared" si="6"/>
        <v>0</v>
      </c>
      <c r="EE14" s="336">
        <f t="shared" si="7"/>
        <v>0</v>
      </c>
      <c r="EF14" s="336">
        <f t="shared" si="8"/>
        <v>62</v>
      </c>
      <c r="EG14" s="336">
        <f t="shared" si="9"/>
        <v>0</v>
      </c>
      <c r="EH14" s="336">
        <f t="shared" si="10"/>
        <v>0</v>
      </c>
      <c r="EI14" s="336">
        <f t="shared" si="11"/>
        <v>0</v>
      </c>
      <c r="EJ14" s="336">
        <f t="shared" si="12"/>
        <v>0</v>
      </c>
      <c r="EK14" s="336">
        <f t="shared" si="13"/>
        <v>0</v>
      </c>
      <c r="EL14" s="336">
        <f t="shared" si="14"/>
        <v>0</v>
      </c>
      <c r="EM14" s="336">
        <f t="shared" si="15"/>
        <v>0</v>
      </c>
      <c r="EN14" s="336">
        <f t="shared" si="16"/>
        <v>62</v>
      </c>
      <c r="EO14" s="336">
        <f t="shared" si="17"/>
        <v>62</v>
      </c>
      <c r="EP14" s="336">
        <f t="shared" si="18"/>
        <v>0</v>
      </c>
      <c r="EQ14" s="336">
        <f t="shared" si="19"/>
        <v>0</v>
      </c>
      <c r="ER14" s="336">
        <f t="shared" si="20"/>
        <v>62</v>
      </c>
      <c r="ES14" s="336">
        <f t="shared" si="21"/>
        <v>0</v>
      </c>
      <c r="ET14" s="336">
        <f t="shared" si="22"/>
        <v>0</v>
      </c>
      <c r="EU14" s="336">
        <f t="shared" si="23"/>
        <v>0</v>
      </c>
      <c r="EV14" s="336">
        <f t="shared" si="24"/>
        <v>62</v>
      </c>
      <c r="EW14" s="336">
        <f t="shared" si="25"/>
        <v>0</v>
      </c>
      <c r="EX14" s="336">
        <f t="shared" si="26"/>
        <v>0</v>
      </c>
      <c r="EY14" s="336">
        <f t="shared" si="27"/>
        <v>0</v>
      </c>
      <c r="EZ14" s="336">
        <f t="shared" si="28"/>
        <v>0</v>
      </c>
      <c r="FA14" s="336">
        <f t="shared" si="29"/>
        <v>0</v>
      </c>
      <c r="FB14" s="336">
        <f t="shared" si="30"/>
        <v>0</v>
      </c>
      <c r="FC14" s="336">
        <f t="shared" si="31"/>
        <v>0</v>
      </c>
      <c r="FD14" s="336">
        <f t="shared" si="32"/>
        <v>0</v>
      </c>
      <c r="FE14" s="336">
        <f t="shared" si="33"/>
        <v>0</v>
      </c>
      <c r="FF14" s="336">
        <f t="shared" si="34"/>
        <v>0</v>
      </c>
      <c r="FG14" s="336">
        <f t="shared" si="35"/>
        <v>0</v>
      </c>
      <c r="FH14" s="336">
        <f t="shared" si="36"/>
        <v>0</v>
      </c>
      <c r="FI14" s="336">
        <f t="shared" si="37"/>
        <v>0</v>
      </c>
      <c r="FJ14" s="336">
        <f t="shared" si="38"/>
        <v>0</v>
      </c>
      <c r="FK14" s="336">
        <f t="shared" si="39"/>
        <v>0</v>
      </c>
      <c r="FL14" s="336">
        <f t="shared" si="40"/>
        <v>0</v>
      </c>
      <c r="FM14" s="336">
        <f t="shared" si="41"/>
        <v>0</v>
      </c>
      <c r="FN14" s="336">
        <f t="shared" si="42"/>
        <v>0</v>
      </c>
      <c r="FO14" s="336">
        <f t="shared" si="43"/>
        <v>0</v>
      </c>
      <c r="FP14" s="336">
        <f t="shared" si="44"/>
        <v>0</v>
      </c>
      <c r="FQ14" s="336">
        <f t="shared" si="45"/>
        <v>0</v>
      </c>
      <c r="FR14" s="336">
        <f t="shared" si="46"/>
        <v>0</v>
      </c>
      <c r="FS14" s="336">
        <f t="shared" si="47"/>
        <v>0</v>
      </c>
      <c r="FT14" s="336">
        <f t="shared" si="48"/>
        <v>0</v>
      </c>
      <c r="FU14" s="336">
        <f t="shared" si="93"/>
        <v>0</v>
      </c>
      <c r="FV14" s="336">
        <f t="shared" si="94"/>
        <v>0</v>
      </c>
      <c r="FW14" s="336">
        <f t="shared" si="95"/>
        <v>0</v>
      </c>
      <c r="FX14" s="336">
        <f t="shared" si="96"/>
        <v>0</v>
      </c>
      <c r="FY14" s="336">
        <f t="shared" si="53"/>
        <v>0</v>
      </c>
      <c r="FZ14" s="336">
        <f t="shared" si="54"/>
        <v>0</v>
      </c>
      <c r="GA14" s="336">
        <f t="shared" si="55"/>
        <v>0</v>
      </c>
      <c r="GB14" s="336">
        <f t="shared" si="56"/>
        <v>0</v>
      </c>
      <c r="GC14" s="336">
        <f t="shared" si="57"/>
        <v>0</v>
      </c>
      <c r="GD14" s="336">
        <f t="shared" si="58"/>
        <v>0</v>
      </c>
      <c r="GE14" s="336">
        <f t="shared" si="59"/>
        <v>0</v>
      </c>
      <c r="GF14" s="336">
        <f t="shared" si="60"/>
        <v>0</v>
      </c>
      <c r="GG14" s="336">
        <f t="shared" si="61"/>
        <v>0</v>
      </c>
      <c r="GH14" s="336">
        <f t="shared" si="62"/>
        <v>0</v>
      </c>
      <c r="GI14" s="336">
        <f t="shared" si="63"/>
        <v>0</v>
      </c>
      <c r="GJ14" s="336">
        <f t="shared" si="64"/>
        <v>0</v>
      </c>
      <c r="GK14" s="336">
        <f>IF(DS14=1,($BC14*DS14),0)</f>
        <v>0</v>
      </c>
      <c r="GL14" s="336">
        <f t="shared" si="164"/>
        <v>0</v>
      </c>
      <c r="GM14" s="336">
        <f t="shared" si="66"/>
        <v>0</v>
      </c>
    </row>
    <row r="15" spans="1:195" ht="18" customHeight="1">
      <c r="A15" s="388">
        <f>A14+1</f>
        <v>7</v>
      </c>
      <c r="B15" s="430" t="s">
        <v>360</v>
      </c>
      <c r="C15" s="388" t="str">
        <f t="shared" si="82"/>
        <v>11kV MV Switchgear-1</v>
      </c>
      <c r="D15" s="431" t="s">
        <v>362</v>
      </c>
      <c r="E15" s="432" t="s">
        <v>355</v>
      </c>
      <c r="F15" s="433" t="s">
        <v>28</v>
      </c>
      <c r="G15" s="390" t="s">
        <v>329</v>
      </c>
      <c r="H15" s="396">
        <v>0.15</v>
      </c>
      <c r="I15" s="388" t="s">
        <v>330</v>
      </c>
      <c r="J15" s="388" t="s">
        <v>357</v>
      </c>
      <c r="K15" s="434">
        <v>230</v>
      </c>
      <c r="L15" s="401">
        <v>0.85</v>
      </c>
      <c r="M15" s="418">
        <v>0.95</v>
      </c>
      <c r="N15" s="392">
        <f t="shared" si="83"/>
        <v>0.80764571274734154</v>
      </c>
      <c r="O15" s="392">
        <f t="shared" si="67"/>
        <v>0</v>
      </c>
      <c r="P15" s="401" t="str">
        <f t="shared" si="84"/>
        <v>0.00</v>
      </c>
      <c r="Q15" s="418">
        <v>65</v>
      </c>
      <c r="R15" s="418">
        <v>0</v>
      </c>
      <c r="S15" s="418">
        <f t="shared" si="85"/>
        <v>0</v>
      </c>
      <c r="T15" s="401" t="s">
        <v>131</v>
      </c>
      <c r="U15" s="418" t="s">
        <v>333</v>
      </c>
      <c r="V15" s="401">
        <v>4</v>
      </c>
      <c r="W15" s="401" t="str">
        <f t="shared" si="69"/>
        <v>3C X 4</v>
      </c>
      <c r="X15" s="401" t="str">
        <f t="shared" si="70"/>
        <v>3C X 4</v>
      </c>
      <c r="Y15" s="435" t="s">
        <v>358</v>
      </c>
      <c r="Z15" s="393">
        <f>IF(T15="AIR",VLOOKUP(W15,'Catalogue Aluminium'!$B$141:$G$173,2,FALSE),IF(T15="GROUND",VLOOKUP(W15,'Catalogue Aluminium'!$B$141:$G$173,3,FALSE),IF(T15="DUCT",VLOOKUP(W15,'Catalogue Aluminium'!$B$141:$G$173,4,FALSE),IF(T15="TRENCH",VLOOKUP(W15,'Catalogue Aluminium'!$B$141:$G$173,2,FALSE)))))</f>
        <v>38</v>
      </c>
      <c r="AA15" s="402">
        <f>VLOOKUP(W15,'Catalogue Aluminium'!$B$141:$G$173,5,FALSE)</f>
        <v>5.9</v>
      </c>
      <c r="AB15" s="402">
        <f>VLOOKUP(W15,'Catalogue Aluminium'!$B$141:$G$173,6,FALSE)</f>
        <v>9.4700000000000006E-2</v>
      </c>
      <c r="AC15" s="434">
        <f t="shared" si="236"/>
        <v>67</v>
      </c>
      <c r="AD15" s="388">
        <f>40+50+38+50+58+60+20+31+48</f>
        <v>395</v>
      </c>
      <c r="AE15" s="401">
        <f t="shared" si="166"/>
        <v>42</v>
      </c>
      <c r="AF15" s="401">
        <f t="shared" si="167"/>
        <v>10</v>
      </c>
      <c r="AG15" s="401">
        <f t="shared" ref="AG15" si="237">ROUNDUP(SUM(AC15:AF15)*0.1,0)</f>
        <v>52</v>
      </c>
      <c r="AH15" s="436">
        <f t="shared" si="87"/>
        <v>570</v>
      </c>
      <c r="AI15" s="393">
        <f>IF(T15="AIR",'Catalogue Aluminium'!$K$141,IF(T15="TRENCH",'Catalogue Aluminium'!$K$144,"NA"))</f>
        <v>0.82</v>
      </c>
      <c r="AJ15" s="392">
        <f>IF(T15="Air",(IF(U15="1C",'Catalogue Aluminium'!$L$141,'Catalogue Aluminium'!$M$141)),IF(T15="DUCT",(IF($U15="1C",'Catalogue Aluminium'!$L$142,'Catalogue Aluminium'!$M$142)),IF(T15="GROUND",(IF($U15="1C",'Catalogue Aluminium'!$L$143,'Catalogue Aluminium'!$M$143)),IF(T15="TRENCH",(IF($U15="1C",'Catalogue Aluminium'!$L$144,'Catalogue Aluminium'!$M$144))))))</f>
        <v>0.73</v>
      </c>
      <c r="AK15" s="393" t="str">
        <f>IF(T15="Air",'Catalogue Aluminium'!$N$141,IF(T15="GROUND",'Catalogue Aluminium'!$N$142,IF(T15="DUCT",'Catalogue Aluminium'!$N$143,IF(T15="TRENCH",'Catalogue Aluminium'!$N$144,"NA"))))</f>
        <v>NA</v>
      </c>
      <c r="AL15" s="393" t="str">
        <f>IF(T15="Air",(IF(U15="1C",'Catalogue Aluminium'!$O$141,'Catalogue Aluminium'!$P$141)),IF(T15="DUCT",(IF($U15="1C",'Catalogue Aluminium'!$O$142,'Catalogue Aluminium'!$P$142)),IF(T15="GROUND",(IF($U15="1C",'Catalogue Aluminium'!$O$143,'Catalogue Aluminium'!$P$143)),IF(T15="TRENCH",(IF($U15="1C",'Catalogue Aluminium'!$O$144,'Catalogue Aluminium'!$P$144))))))</f>
        <v>NA</v>
      </c>
      <c r="AM15" s="393" t="str">
        <f>IF(T15="AIR","NA",IF(T15="TRENCH","NA",IF(T15="DUCT",IF(U15="1C",VLOOKUP(V15,'Catalogue Aluminium'!$Q$142:$S$153,2,FALSE),VLOOKUP(V15,'Catalogue Aluminium'!$Q$142:$S$153,3)),IF(T15="GROUND",IF(U15="1C",VLOOKUP(V15,'Catalogue Aluminium'!$Q$142:$S$153,2,FALSE),VLOOKUP(V15,'Catalogue Aluminium'!$Q$142:$S$153,3))))))</f>
        <v>NA</v>
      </c>
      <c r="AN15" s="404">
        <f t="shared" ref="AN15" si="238">IF(T15="AIR",AI15*AJ15,IF(T15="TRENCH",AI15*AJ15,IF(T15="DUCT",AJ15*AK15*AL15*AM15,IF(T15="GROUND",AJ15*AK15*AL15*AM15))))</f>
        <v>0.59859999999999991</v>
      </c>
      <c r="AO15" s="392">
        <f t="shared" ref="AO15" si="239">Z15*AN15</f>
        <v>22.746799999999997</v>
      </c>
      <c r="AP15" s="434">
        <f t="shared" ref="AP15" si="240">CEILING(((N15)/AO15),1)</f>
        <v>1</v>
      </c>
      <c r="AQ15" s="418" t="str">
        <f t="shared" ref="AQ15" si="241">IF(AO15*AP15&gt;=N15,"YES","NO")</f>
        <v>YES</v>
      </c>
      <c r="AR15" s="437">
        <f t="shared" ref="AR15" si="242">SQRT(3)*AH15*N15*((AA15*L15)+(AB15*SIN(ACOS(L15))))*100/(AP15*K15*1000)</f>
        <v>1.7558937835051096</v>
      </c>
      <c r="AS15" s="401" t="str">
        <f t="shared" si="89"/>
        <v>YES</v>
      </c>
      <c r="AT15" s="437" t="str">
        <f t="shared" si="76"/>
        <v>NA</v>
      </c>
      <c r="AU15" s="401" t="str">
        <f t="shared" si="77"/>
        <v>NA</v>
      </c>
      <c r="AV15" s="437" t="str">
        <f t="shared" si="78"/>
        <v>1R x 6/10 (12)kV x 3C x 4 Sqmm</v>
      </c>
      <c r="AW15" s="437" t="str">
        <f t="shared" si="79"/>
        <v>1R x 6/10 (12)kV x 3C x 4 Sqmm</v>
      </c>
      <c r="AX15" s="401">
        <f t="shared" si="90"/>
        <v>570</v>
      </c>
      <c r="AY15" s="401"/>
      <c r="AZ15" s="401">
        <f t="shared" si="91"/>
        <v>2</v>
      </c>
      <c r="BA15" s="438" t="str">
        <f t="shared" si="80"/>
        <v>ACDEFGIJ</v>
      </c>
      <c r="BB15" s="390">
        <f>VLOOKUP(W15,'Catalogue Aluminium'!$B$141:$H$173,7,FALSE)</f>
        <v>15</v>
      </c>
      <c r="BC15" s="439">
        <f t="shared" si="92"/>
        <v>15</v>
      </c>
      <c r="BE15" s="344"/>
      <c r="BF15" s="344">
        <v>1</v>
      </c>
      <c r="BG15" s="344"/>
      <c r="BH15" s="344"/>
      <c r="BI15" s="344">
        <v>1</v>
      </c>
      <c r="BJ15" s="344">
        <v>1</v>
      </c>
      <c r="BK15" s="344"/>
      <c r="BL15" s="344"/>
      <c r="BM15" s="344"/>
      <c r="BN15" s="344">
        <v>1</v>
      </c>
      <c r="BO15" s="344"/>
      <c r="BP15" s="344"/>
      <c r="BQ15" s="344"/>
      <c r="BR15" s="344"/>
      <c r="BS15" s="344"/>
      <c r="BT15" s="344"/>
      <c r="BU15" s="344"/>
      <c r="BV15" s="344">
        <v>1</v>
      </c>
      <c r="BW15" s="344">
        <v>1</v>
      </c>
      <c r="BX15" s="344"/>
      <c r="BY15" s="344"/>
      <c r="BZ15" s="344">
        <v>1</v>
      </c>
      <c r="CA15" s="344"/>
      <c r="CB15" s="344"/>
      <c r="CC15" s="344"/>
      <c r="CD15" s="344">
        <v>1</v>
      </c>
      <c r="CE15" s="416"/>
      <c r="CF15" s="416"/>
      <c r="CG15" s="416"/>
      <c r="CH15" s="416"/>
      <c r="CI15" s="416"/>
      <c r="CJ15" s="416"/>
      <c r="CK15" s="416"/>
      <c r="CL15" s="416"/>
      <c r="CM15" s="416"/>
      <c r="CN15" s="416"/>
      <c r="CO15" s="416"/>
      <c r="CP15" s="416"/>
      <c r="CQ15" s="416"/>
      <c r="CR15" s="416"/>
      <c r="CS15" s="416"/>
      <c r="CT15" s="416"/>
      <c r="CU15" s="416"/>
      <c r="CV15" s="416"/>
      <c r="CW15" s="416"/>
      <c r="CX15" s="416"/>
      <c r="CY15" s="416"/>
      <c r="CZ15" s="416"/>
      <c r="DA15" s="416"/>
      <c r="DB15" s="416"/>
      <c r="DC15" s="416"/>
      <c r="DD15" s="416"/>
      <c r="DE15" s="416"/>
      <c r="DF15" s="416"/>
      <c r="DG15" s="416"/>
      <c r="DH15" s="416"/>
      <c r="DI15" s="416"/>
      <c r="DJ15" s="416"/>
      <c r="DK15" s="416"/>
      <c r="DL15" s="416"/>
      <c r="DM15" s="416"/>
      <c r="DN15" s="416"/>
      <c r="DO15" s="416"/>
      <c r="DP15" s="416"/>
      <c r="DQ15" s="416"/>
      <c r="DR15" s="416"/>
      <c r="DS15" s="416"/>
      <c r="DT15" s="416"/>
      <c r="DU15" s="416"/>
      <c r="DW15" s="336">
        <f t="shared" ref="DW15" si="243">IF(BE15=1,($BC15*BE15),0)</f>
        <v>0</v>
      </c>
      <c r="DX15" s="336">
        <f t="shared" ref="DX15" si="244">IF(BF15=1,($BC15*BF15),0)</f>
        <v>15</v>
      </c>
      <c r="DY15" s="336">
        <f t="shared" ref="DY15" si="245">IF(BG15=1,($BC15*BG15),0)</f>
        <v>0</v>
      </c>
      <c r="DZ15" s="336">
        <f t="shared" ref="DZ15" si="246">IF(BH15=1,($BC15*BH15),0)</f>
        <v>0</v>
      </c>
      <c r="EA15" s="336">
        <f t="shared" ref="EA15" si="247">IF(BI15=1,($BC15*BI15),0)</f>
        <v>15</v>
      </c>
      <c r="EB15" s="336">
        <f t="shared" ref="EB15" si="248">IF(BJ15=1,($BC15*BJ15),0)</f>
        <v>15</v>
      </c>
      <c r="EC15" s="336">
        <f t="shared" ref="EC15" si="249">IF(BK15=1,($BC15*BK15),0)</f>
        <v>0</v>
      </c>
      <c r="ED15" s="336">
        <f t="shared" ref="ED15" si="250">IF(BL15=1,($BC15*BL15),0)</f>
        <v>0</v>
      </c>
      <c r="EE15" s="336">
        <f t="shared" ref="EE15" si="251">IF(BM15=1,($BC15*BM15),0)</f>
        <v>0</v>
      </c>
      <c r="EF15" s="336">
        <f t="shared" ref="EF15" si="252">IF(BN15=1,($BC15*BN15),0)</f>
        <v>15</v>
      </c>
      <c r="EG15" s="336">
        <f t="shared" ref="EG15" si="253">IF(BO15=1,($BC15*BO15),0)</f>
        <v>0</v>
      </c>
      <c r="EH15" s="336">
        <f t="shared" ref="EH15" si="254">IF(BP15=1,($BC15*BP15),0)</f>
        <v>0</v>
      </c>
      <c r="EI15" s="336">
        <f t="shared" ref="EI15" si="255">IF(BQ15=1,($BC15*BQ15),0)</f>
        <v>0</v>
      </c>
      <c r="EJ15" s="336">
        <f t="shared" ref="EJ15" si="256">IF(BR15=1,($BC15*BR15),0)</f>
        <v>0</v>
      </c>
      <c r="EK15" s="336">
        <f t="shared" ref="EK15" si="257">IF(BS15=1,($BC15*BS15),0)</f>
        <v>0</v>
      </c>
      <c r="EL15" s="336">
        <f t="shared" ref="EL15" si="258">IF(BT15=1,($BC15*BT15),0)</f>
        <v>0</v>
      </c>
      <c r="EM15" s="336">
        <f t="shared" ref="EM15" si="259">IF(BU15=1,($BC15*BU15),0)</f>
        <v>0</v>
      </c>
      <c r="EN15" s="336">
        <f t="shared" ref="EN15" si="260">IF(BV15=1,($BC15*BV15),0)</f>
        <v>15</v>
      </c>
      <c r="EO15" s="336">
        <f t="shared" ref="EO15" si="261">IF(BW15=1,($BC15*BW15),0)</f>
        <v>15</v>
      </c>
      <c r="EP15" s="336">
        <f t="shared" ref="EP15" si="262">IF(BX15=1,($BC15*BX15),0)</f>
        <v>0</v>
      </c>
      <c r="EQ15" s="336">
        <f t="shared" ref="EQ15" si="263">IF(BY15=1,($BC15*BY15),0)</f>
        <v>0</v>
      </c>
      <c r="ER15" s="336">
        <f t="shared" ref="ER15" si="264">IF(BZ15=1,($BC15*BZ15),0)</f>
        <v>15</v>
      </c>
      <c r="ES15" s="336">
        <f t="shared" ref="ES15" si="265">IF(CA15=1,($BC15*CA15),0)</f>
        <v>0</v>
      </c>
      <c r="ET15" s="336">
        <f t="shared" si="22"/>
        <v>0</v>
      </c>
      <c r="EU15" s="336">
        <f t="shared" si="23"/>
        <v>0</v>
      </c>
      <c r="EV15" s="336">
        <f t="shared" ref="EV15" si="266">IF(CD15=1,($BC15*CD15),0)</f>
        <v>15</v>
      </c>
      <c r="EW15" s="336">
        <f t="shared" ref="EW15" si="267">IF(CE15=1,($BC15*CE15),0)</f>
        <v>0</v>
      </c>
      <c r="EX15" s="336">
        <f t="shared" ref="EX15" si="268">IF(CF15=1,($BC15*CF15),0)</f>
        <v>0</v>
      </c>
      <c r="EY15" s="336">
        <f t="shared" ref="EY15" si="269">IF(CG15=1,($BC15*CG15),0)</f>
        <v>0</v>
      </c>
      <c r="EZ15" s="336">
        <f t="shared" ref="EZ15" si="270">IF(CH15=1,($BC15*CH15),0)</f>
        <v>0</v>
      </c>
      <c r="FA15" s="336">
        <f t="shared" ref="FA15" si="271">IF(CI15=1,($BC15*CI15),0)</f>
        <v>0</v>
      </c>
      <c r="FB15" s="336">
        <f t="shared" ref="FB15" si="272">IF(CJ15=1,($BC15*CJ15),0)</f>
        <v>0</v>
      </c>
      <c r="FC15" s="336">
        <f t="shared" ref="FC15" si="273">IF(CK15=1,($BC15*CK15),0)</f>
        <v>0</v>
      </c>
      <c r="FD15" s="336">
        <f t="shared" ref="FD15" si="274">IF(CL15=1,($BC15*CL15),0)</f>
        <v>0</v>
      </c>
      <c r="FE15" s="336">
        <f t="shared" ref="FE15" si="275">IF(CM15=1,($BC15*CM15),0)</f>
        <v>0</v>
      </c>
      <c r="FF15" s="336">
        <f t="shared" ref="FF15" si="276">IF(CN15=1,($BC15*CN15),0)</f>
        <v>0</v>
      </c>
      <c r="FG15" s="336">
        <f t="shared" ref="FG15" si="277">IF(CO15=1,($BC15*CO15),0)</f>
        <v>0</v>
      </c>
      <c r="FH15" s="336">
        <f t="shared" ref="FH15" si="278">IF(CP15=1,($BC15*CP15),0)</f>
        <v>0</v>
      </c>
      <c r="FI15" s="336">
        <f t="shared" ref="FI15" si="279">IF(CQ15=1,($BC15*CQ15),0)</f>
        <v>0</v>
      </c>
      <c r="FJ15" s="336">
        <f t="shared" ref="FJ15" si="280">IF(CR15=1,($BC15*CR15),0)</f>
        <v>0</v>
      </c>
      <c r="FK15" s="336">
        <f t="shared" ref="FK15" si="281">IF(CS15=1,($BC15*CS15),0)</f>
        <v>0</v>
      </c>
      <c r="FL15" s="336">
        <f t="shared" ref="FL15" si="282">IF(CT15=1,($BC15*CT15),0)</f>
        <v>0</v>
      </c>
      <c r="FM15" s="336">
        <f t="shared" ref="FM15" si="283">IF(CU15=1,($BC15*CU15),0)</f>
        <v>0</v>
      </c>
      <c r="FN15" s="336">
        <f t="shared" ref="FN15" si="284">IF(CV15=1,($BC15*CV15),0)</f>
        <v>0</v>
      </c>
      <c r="FO15" s="336">
        <f t="shared" ref="FO15" si="285">IF(CW15=1,($BC15*CW15),0)</f>
        <v>0</v>
      </c>
      <c r="FP15" s="336">
        <f t="shared" ref="FP15" si="286">IF(CX15=1,($BC15*CX15),0)</f>
        <v>0</v>
      </c>
      <c r="FQ15" s="336">
        <f t="shared" ref="FQ15" si="287">IF(CY15=1,($BC15*CY15),0)</f>
        <v>0</v>
      </c>
      <c r="FR15" s="336">
        <f t="shared" ref="FR15" si="288">IF(CZ15=1,($BC15*CZ15),0)</f>
        <v>0</v>
      </c>
      <c r="FS15" s="336">
        <f t="shared" ref="FS15" si="289">IF(DA15=1,($BC15*DA15),0)</f>
        <v>0</v>
      </c>
      <c r="FT15" s="336">
        <f t="shared" ref="FT15" si="290">IF(DB15=1,($BC15*DB15),0)</f>
        <v>0</v>
      </c>
      <c r="FU15" s="336">
        <f t="shared" si="93"/>
        <v>0</v>
      </c>
      <c r="FV15" s="336">
        <f t="shared" si="94"/>
        <v>0</v>
      </c>
      <c r="FW15" s="336">
        <f t="shared" si="95"/>
        <v>0</v>
      </c>
      <c r="FX15" s="336">
        <f t="shared" si="96"/>
        <v>0</v>
      </c>
      <c r="FY15" s="336">
        <f t="shared" ref="FY15" si="291">IF(DG15=1,($BC15*DG15),0)</f>
        <v>0</v>
      </c>
      <c r="FZ15" s="336">
        <f t="shared" ref="FZ15" si="292">IF(DH15=1,($BC15*DH15),0)</f>
        <v>0</v>
      </c>
      <c r="GA15" s="336">
        <f t="shared" ref="GA15" si="293">IF(DI15=1,($BC15*DI15),0)</f>
        <v>0</v>
      </c>
      <c r="GB15" s="336">
        <f t="shared" ref="GB15" si="294">IF(DJ15=1,($BC15*DJ15),0)</f>
        <v>0</v>
      </c>
      <c r="GC15" s="336">
        <f t="shared" ref="GC15" si="295">IF(DK15=1,($BC15*DK15),0)</f>
        <v>0</v>
      </c>
      <c r="GD15" s="336">
        <f t="shared" ref="GD15" si="296">IF(DL15=1,($BC15*DL15),0)</f>
        <v>0</v>
      </c>
      <c r="GE15" s="336">
        <f t="shared" ref="GE15" si="297">IF(DM15=1,($BC15*DM15),0)</f>
        <v>0</v>
      </c>
      <c r="GF15" s="336">
        <f t="shared" ref="GF15" si="298">IF(DN15=1,($BC15*DN15),0)</f>
        <v>0</v>
      </c>
      <c r="GG15" s="336">
        <f t="shared" ref="GG15" si="299">IF(DO15=1,($BC15*DO15),0)</f>
        <v>0</v>
      </c>
      <c r="GH15" s="336">
        <f t="shared" ref="GH15" si="300">IF(DP15=1,($BC15*DP15),0)</f>
        <v>0</v>
      </c>
      <c r="GI15" s="336">
        <f t="shared" ref="GI15" si="301">IF(DQ15=1,($BC15*DQ15),0)</f>
        <v>0</v>
      </c>
      <c r="GJ15" s="336">
        <f t="shared" ref="GJ15" si="302">IF(DR15=1,($BC15*DR15),0)</f>
        <v>0</v>
      </c>
      <c r="GK15" s="336">
        <f t="shared" ref="GK15" si="303">IF(DS15=1,($BC15*DS15),0)</f>
        <v>0</v>
      </c>
      <c r="GL15" s="336">
        <f t="shared" si="164"/>
        <v>0</v>
      </c>
      <c r="GM15" s="336">
        <f t="shared" ref="GM15" si="304">IF(DU15=1,($BC15*DU15),0)</f>
        <v>0</v>
      </c>
    </row>
    <row r="16" spans="1:195" ht="18" customHeight="1">
      <c r="A16" s="337">
        <f t="shared" ref="A16:A39" si="305">A15+1</f>
        <v>8</v>
      </c>
      <c r="B16" s="427" t="s">
        <v>363</v>
      </c>
      <c r="C16" s="337" t="str">
        <f t="shared" si="82"/>
        <v>11kV MV Switchgear-1</v>
      </c>
      <c r="D16" s="415" t="s">
        <v>361</v>
      </c>
      <c r="E16" s="416" t="s">
        <v>355</v>
      </c>
      <c r="F16" s="417" t="s">
        <v>29</v>
      </c>
      <c r="G16" s="340" t="s">
        <v>350</v>
      </c>
      <c r="H16" s="418">
        <v>620</v>
      </c>
      <c r="I16" s="337" t="s">
        <v>330</v>
      </c>
      <c r="J16" s="337" t="s">
        <v>331</v>
      </c>
      <c r="K16" s="341">
        <v>11000</v>
      </c>
      <c r="L16" s="342">
        <v>0.84</v>
      </c>
      <c r="M16" s="342">
        <v>0.95</v>
      </c>
      <c r="N16" s="342">
        <f t="shared" si="83"/>
        <v>40.780094262530142</v>
      </c>
      <c r="O16" s="342">
        <f t="shared" si="67"/>
        <v>244.68056557518085</v>
      </c>
      <c r="P16" s="343">
        <f t="shared" si="84"/>
        <v>0.2</v>
      </c>
      <c r="Q16" s="342">
        <v>31.5</v>
      </c>
      <c r="R16" s="342">
        <v>0.16</v>
      </c>
      <c r="S16" s="342">
        <f t="shared" si="85"/>
        <v>134.04255319148936</v>
      </c>
      <c r="T16" s="344" t="s">
        <v>131</v>
      </c>
      <c r="U16" s="342" t="s">
        <v>333</v>
      </c>
      <c r="V16" s="344">
        <v>150</v>
      </c>
      <c r="W16" s="343" t="str">
        <f t="shared" si="69"/>
        <v>3C X 150</v>
      </c>
      <c r="X16" s="343" t="str">
        <f t="shared" si="70"/>
        <v>3C X 150+PE</v>
      </c>
      <c r="Y16" s="419" t="s">
        <v>346</v>
      </c>
      <c r="Z16" s="344">
        <f>IF(T16="AIR",VLOOKUP(W16,'Catalogue Aluminium'!$B$141:$G$173,2,FALSE),IF(T16="GROUND",VLOOKUP(W16,'Catalogue Aluminium'!$B$141:$G$173,3,FALSE),IF(T16="DUCT",VLOOKUP(W16,'Catalogue Aluminium'!$B$141:$G$173,4,FALSE),IF(T16="TRENCH",VLOOKUP(W16,'Catalogue Aluminium'!$B$141:$G$173,2,FALSE)))))</f>
        <v>309</v>
      </c>
      <c r="AA16" s="345">
        <f>VLOOKUP(W16,'Catalogue Aluminium'!$B$141:$G$173,5,FALSE)</f>
        <v>0.26500000000000001</v>
      </c>
      <c r="AB16" s="345">
        <f>VLOOKUP(W16,'Catalogue Aluminium'!$B$141:$G$173,6,FALSE)</f>
        <v>9.2999999999999999E-2</v>
      </c>
      <c r="AC16" s="349">
        <f>23+30</f>
        <v>53</v>
      </c>
      <c r="AD16" s="337">
        <f>40+50+38+50+58+60+20+31+51</f>
        <v>398</v>
      </c>
      <c r="AE16" s="343">
        <f t="shared" si="166"/>
        <v>42</v>
      </c>
      <c r="AF16" s="343">
        <f t="shared" si="167"/>
        <v>10</v>
      </c>
      <c r="AG16" s="343">
        <f t="shared" si="86"/>
        <v>51</v>
      </c>
      <c r="AH16" s="347">
        <f t="shared" si="87"/>
        <v>560</v>
      </c>
      <c r="AI16" s="344">
        <f>IF(T16="AIR",'Catalogue Aluminium'!$K$141,IF(T16="TRENCH",'Catalogue Aluminium'!$K$144,"NA"))</f>
        <v>0.82</v>
      </c>
      <c r="AJ16" s="342">
        <f>IF(T16="Air",(IF(U16="1C",'Catalogue Aluminium'!$L$141,'Catalogue Aluminium'!$M$141)),IF(T16="DUCT",(IF($U16="1C",'Catalogue Aluminium'!$L$142,'Catalogue Aluminium'!$M$142)),IF(T16="GROUND",(IF($U16="1C",'Catalogue Aluminium'!$L$143,'Catalogue Aluminium'!$M$143)),IF(T16="TRENCH",(IF($U16="1C",'Catalogue Aluminium'!$L$144,'Catalogue Aluminium'!$M$144))))))</f>
        <v>0.73</v>
      </c>
      <c r="AK16" s="344" t="str">
        <f>IF(T16="Air",'Catalogue Aluminium'!$N$141,IF(T16="GROUND",'Catalogue Aluminium'!$N$142,IF(T16="DUCT",'Catalogue Aluminium'!$N$143,IF(T16="TRENCH",'Catalogue Aluminium'!$N$144,"NA"))))</f>
        <v>NA</v>
      </c>
      <c r="AL16" s="344" t="str">
        <f>IF(T16="Air",(IF(U16="1C",'Catalogue Aluminium'!$O$141,'Catalogue Aluminium'!$P$141)),IF(T16="DUCT",(IF($U16="1C",'Catalogue Aluminium'!$O$142,'Catalogue Aluminium'!$P$142)),IF(T16="GROUND",(IF($U16="1C",'Catalogue Aluminium'!$O$143,'Catalogue Aluminium'!$P$143)),IF(T16="TRENCH",(IF($U16="1C",'Catalogue Aluminium'!$O$144,'Catalogue Aluminium'!$P$144))))))</f>
        <v>NA</v>
      </c>
      <c r="AM16" s="344" t="str">
        <f>IF(T16="AIR","NA",IF(T16="TRENCH","NA",IF(T16="DUCT",IF(U16="1C",VLOOKUP(V16,'Catalogue Aluminium'!$Q$142:$S$153,2,FALSE),VLOOKUP(V16,'Catalogue Aluminium'!$Q$142:$S$153,3)),IF(T16="GROUND",IF(U16="1C",VLOOKUP(V16,'Catalogue Aluminium'!$Q$142:$S$153,2,FALSE),VLOOKUP(V16,'Catalogue Aluminium'!$Q$142:$S$153,3))))))</f>
        <v>NA</v>
      </c>
      <c r="AN16" s="348">
        <f t="shared" si="71"/>
        <v>0.59859999999999991</v>
      </c>
      <c r="AO16" s="342">
        <f t="shared" si="72"/>
        <v>184.96739999999997</v>
      </c>
      <c r="AP16" s="349">
        <f t="shared" si="73"/>
        <v>1</v>
      </c>
      <c r="AQ16" s="350" t="str">
        <f t="shared" si="74"/>
        <v>YES</v>
      </c>
      <c r="AR16" s="351">
        <f t="shared" si="75"/>
        <v>9.8189066565526353E-2</v>
      </c>
      <c r="AS16" s="343" t="str">
        <f t="shared" si="89"/>
        <v>YES</v>
      </c>
      <c r="AT16" s="351">
        <f t="shared" si="76"/>
        <v>0.31094441974356257</v>
      </c>
      <c r="AU16" s="343" t="str">
        <f t="shared" si="77"/>
        <v>YES</v>
      </c>
      <c r="AV16" s="351" t="str">
        <f t="shared" si="78"/>
        <v>1R x 6/10 (12)kV x 3C x 150 Sqmm</v>
      </c>
      <c r="AW16" s="351" t="str">
        <f t="shared" si="79"/>
        <v>1R x 6/10 (12)kV x 3C x 150 Sqmm</v>
      </c>
      <c r="AX16" s="343">
        <f t="shared" si="90"/>
        <v>560</v>
      </c>
      <c r="AY16" s="343"/>
      <c r="AZ16" s="343">
        <f t="shared" si="91"/>
        <v>2</v>
      </c>
      <c r="BA16" s="356" t="str">
        <f t="shared" si="80"/>
        <v>ACDEFGIJ</v>
      </c>
      <c r="BB16" s="340">
        <f>VLOOKUP(W16,'Catalogue Aluminium'!$B$141:$H$173,7,FALSE)</f>
        <v>62</v>
      </c>
      <c r="BC16" s="328">
        <f t="shared" si="92"/>
        <v>62</v>
      </c>
      <c r="BE16" s="344"/>
      <c r="BF16" s="344">
        <v>1</v>
      </c>
      <c r="BG16" s="344"/>
      <c r="BH16" s="344"/>
      <c r="BI16" s="344">
        <v>1</v>
      </c>
      <c r="BJ16" s="344">
        <v>1</v>
      </c>
      <c r="BK16" s="344"/>
      <c r="BL16" s="344"/>
      <c r="BM16" s="344"/>
      <c r="BN16" s="344">
        <v>1</v>
      </c>
      <c r="BO16" s="344"/>
      <c r="BP16" s="344"/>
      <c r="BQ16" s="344"/>
      <c r="BR16" s="344"/>
      <c r="BS16" s="344"/>
      <c r="BT16" s="344"/>
      <c r="BU16" s="344"/>
      <c r="BV16" s="344">
        <v>1</v>
      </c>
      <c r="BW16" s="344">
        <v>1</v>
      </c>
      <c r="BX16" s="344"/>
      <c r="BY16" s="344"/>
      <c r="BZ16" s="344">
        <v>1</v>
      </c>
      <c r="CA16" s="344"/>
      <c r="CB16" s="344"/>
      <c r="CC16" s="344"/>
      <c r="CD16" s="344">
        <v>1</v>
      </c>
      <c r="CE16" s="416"/>
      <c r="CF16" s="416"/>
      <c r="CG16" s="416"/>
      <c r="CH16" s="416"/>
      <c r="CI16" s="416"/>
      <c r="CJ16" s="416"/>
      <c r="CK16" s="416"/>
      <c r="CL16" s="416"/>
      <c r="CM16" s="416"/>
      <c r="CN16" s="416"/>
      <c r="CO16" s="416"/>
      <c r="CP16" s="416"/>
      <c r="CQ16" s="416"/>
      <c r="CR16" s="416"/>
      <c r="CS16" s="416"/>
      <c r="CT16" s="416"/>
      <c r="CU16" s="416"/>
      <c r="CV16" s="416"/>
      <c r="CW16" s="416"/>
      <c r="CX16" s="416"/>
      <c r="CY16" s="416"/>
      <c r="CZ16" s="416"/>
      <c r="DA16" s="416"/>
      <c r="DB16" s="416"/>
      <c r="DC16" s="416"/>
      <c r="DD16" s="416"/>
      <c r="DE16" s="416"/>
      <c r="DF16" s="416"/>
      <c r="DG16" s="416"/>
      <c r="DH16" s="416"/>
      <c r="DI16" s="416"/>
      <c r="DJ16" s="416"/>
      <c r="DK16" s="416"/>
      <c r="DL16" s="416"/>
      <c r="DM16" s="416"/>
      <c r="DN16" s="416"/>
      <c r="DO16" s="416"/>
      <c r="DP16" s="416"/>
      <c r="DQ16" s="416"/>
      <c r="DR16" s="416"/>
      <c r="DS16" s="416"/>
      <c r="DT16" s="416"/>
      <c r="DU16" s="416"/>
      <c r="DW16" s="336">
        <f t="shared" si="81"/>
        <v>0</v>
      </c>
      <c r="DX16" s="336">
        <f t="shared" si="0"/>
        <v>62</v>
      </c>
      <c r="DY16" s="336">
        <f t="shared" si="1"/>
        <v>0</v>
      </c>
      <c r="DZ16" s="336">
        <f t="shared" si="2"/>
        <v>0</v>
      </c>
      <c r="EA16" s="336">
        <f t="shared" si="3"/>
        <v>62</v>
      </c>
      <c r="EB16" s="336">
        <f t="shared" si="4"/>
        <v>62</v>
      </c>
      <c r="EC16" s="336">
        <f t="shared" si="5"/>
        <v>0</v>
      </c>
      <c r="ED16" s="336">
        <f t="shared" si="6"/>
        <v>0</v>
      </c>
      <c r="EE16" s="336">
        <f t="shared" si="7"/>
        <v>0</v>
      </c>
      <c r="EF16" s="336">
        <f t="shared" si="8"/>
        <v>62</v>
      </c>
      <c r="EG16" s="336">
        <f t="shared" si="9"/>
        <v>0</v>
      </c>
      <c r="EH16" s="336">
        <f t="shared" si="10"/>
        <v>0</v>
      </c>
      <c r="EI16" s="336">
        <f t="shared" si="11"/>
        <v>0</v>
      </c>
      <c r="EJ16" s="336">
        <f t="shared" si="12"/>
        <v>0</v>
      </c>
      <c r="EK16" s="336">
        <f t="shared" si="13"/>
        <v>0</v>
      </c>
      <c r="EL16" s="336">
        <f t="shared" si="14"/>
        <v>0</v>
      </c>
      <c r="EM16" s="336">
        <f t="shared" si="15"/>
        <v>0</v>
      </c>
      <c r="EN16" s="336">
        <f t="shared" si="16"/>
        <v>62</v>
      </c>
      <c r="EO16" s="336">
        <f t="shared" si="17"/>
        <v>62</v>
      </c>
      <c r="EP16" s="336">
        <f t="shared" si="18"/>
        <v>0</v>
      </c>
      <c r="EQ16" s="336">
        <f t="shared" si="19"/>
        <v>0</v>
      </c>
      <c r="ER16" s="336">
        <f t="shared" si="20"/>
        <v>62</v>
      </c>
      <c r="ES16" s="336">
        <f t="shared" si="21"/>
        <v>0</v>
      </c>
      <c r="ET16" s="336">
        <f t="shared" si="22"/>
        <v>0</v>
      </c>
      <c r="EU16" s="336">
        <f t="shared" si="23"/>
        <v>0</v>
      </c>
      <c r="EV16" s="336">
        <f t="shared" si="24"/>
        <v>62</v>
      </c>
      <c r="EW16" s="336">
        <f t="shared" si="25"/>
        <v>0</v>
      </c>
      <c r="EX16" s="336">
        <f t="shared" si="26"/>
        <v>0</v>
      </c>
      <c r="EY16" s="336">
        <f t="shared" si="27"/>
        <v>0</v>
      </c>
      <c r="EZ16" s="336">
        <f t="shared" si="28"/>
        <v>0</v>
      </c>
      <c r="FA16" s="336">
        <f t="shared" si="29"/>
        <v>0</v>
      </c>
      <c r="FB16" s="336">
        <f t="shared" si="30"/>
        <v>0</v>
      </c>
      <c r="FC16" s="336">
        <f t="shared" si="31"/>
        <v>0</v>
      </c>
      <c r="FD16" s="336">
        <f t="shared" si="32"/>
        <v>0</v>
      </c>
      <c r="FE16" s="336">
        <f t="shared" si="33"/>
        <v>0</v>
      </c>
      <c r="FF16" s="336">
        <f t="shared" si="34"/>
        <v>0</v>
      </c>
      <c r="FG16" s="336">
        <f t="shared" si="35"/>
        <v>0</v>
      </c>
      <c r="FH16" s="336">
        <f t="shared" si="36"/>
        <v>0</v>
      </c>
      <c r="FI16" s="336">
        <f t="shared" si="37"/>
        <v>0</v>
      </c>
      <c r="FJ16" s="336">
        <f t="shared" si="38"/>
        <v>0</v>
      </c>
      <c r="FK16" s="336">
        <f t="shared" si="39"/>
        <v>0</v>
      </c>
      <c r="FL16" s="336">
        <f t="shared" si="40"/>
        <v>0</v>
      </c>
      <c r="FM16" s="336">
        <f t="shared" si="41"/>
        <v>0</v>
      </c>
      <c r="FN16" s="336">
        <f t="shared" si="42"/>
        <v>0</v>
      </c>
      <c r="FO16" s="336">
        <f t="shared" si="43"/>
        <v>0</v>
      </c>
      <c r="FP16" s="336">
        <f t="shared" si="44"/>
        <v>0</v>
      </c>
      <c r="FQ16" s="336">
        <f t="shared" si="45"/>
        <v>0</v>
      </c>
      <c r="FR16" s="336">
        <f t="shared" si="46"/>
        <v>0</v>
      </c>
      <c r="FS16" s="336">
        <f t="shared" si="47"/>
        <v>0</v>
      </c>
      <c r="FT16" s="336">
        <f t="shared" si="48"/>
        <v>0</v>
      </c>
      <c r="FU16" s="336">
        <f t="shared" si="93"/>
        <v>0</v>
      </c>
      <c r="FV16" s="336">
        <f t="shared" si="94"/>
        <v>0</v>
      </c>
      <c r="FW16" s="336">
        <f t="shared" si="95"/>
        <v>0</v>
      </c>
      <c r="FX16" s="336">
        <f t="shared" si="96"/>
        <v>0</v>
      </c>
      <c r="FY16" s="336">
        <f t="shared" si="53"/>
        <v>0</v>
      </c>
      <c r="FZ16" s="336">
        <f t="shared" si="54"/>
        <v>0</v>
      </c>
      <c r="GA16" s="336">
        <f t="shared" si="55"/>
        <v>0</v>
      </c>
      <c r="GB16" s="336">
        <f t="shared" si="56"/>
        <v>0</v>
      </c>
      <c r="GC16" s="336">
        <f t="shared" si="57"/>
        <v>0</v>
      </c>
      <c r="GD16" s="336">
        <f t="shared" si="58"/>
        <v>0</v>
      </c>
      <c r="GE16" s="336">
        <f t="shared" si="59"/>
        <v>0</v>
      </c>
      <c r="GF16" s="336">
        <f t="shared" si="60"/>
        <v>0</v>
      </c>
      <c r="GG16" s="336">
        <f t="shared" si="61"/>
        <v>0</v>
      </c>
      <c r="GH16" s="336">
        <f t="shared" si="62"/>
        <v>0</v>
      </c>
      <c r="GI16" s="336">
        <f t="shared" si="63"/>
        <v>0</v>
      </c>
      <c r="GJ16" s="336">
        <f t="shared" si="64"/>
        <v>0</v>
      </c>
      <c r="GK16" s="336">
        <f>IF(DS16=1,($BC16*DS16),0)</f>
        <v>0</v>
      </c>
      <c r="GL16" s="336">
        <f t="shared" si="164"/>
        <v>0</v>
      </c>
      <c r="GM16" s="336">
        <f t="shared" si="66"/>
        <v>0</v>
      </c>
    </row>
    <row r="17" spans="1:195" ht="18" customHeight="1">
      <c r="A17" s="388">
        <f t="shared" si="305"/>
        <v>9</v>
      </c>
      <c r="B17" s="430" t="s">
        <v>363</v>
      </c>
      <c r="C17" s="388" t="str">
        <f t="shared" si="82"/>
        <v>11kV MV Switchgear-1</v>
      </c>
      <c r="D17" s="431" t="s">
        <v>362</v>
      </c>
      <c r="E17" s="432" t="s">
        <v>355</v>
      </c>
      <c r="F17" s="433" t="s">
        <v>29</v>
      </c>
      <c r="G17" s="390" t="s">
        <v>329</v>
      </c>
      <c r="H17" s="396">
        <v>0.15</v>
      </c>
      <c r="I17" s="388" t="s">
        <v>330</v>
      </c>
      <c r="J17" s="388" t="s">
        <v>357</v>
      </c>
      <c r="K17" s="434">
        <v>230</v>
      </c>
      <c r="L17" s="401">
        <v>0.85</v>
      </c>
      <c r="M17" s="418">
        <v>0.95</v>
      </c>
      <c r="N17" s="392">
        <f t="shared" si="83"/>
        <v>0.80764571274734154</v>
      </c>
      <c r="O17" s="392">
        <f t="shared" si="67"/>
        <v>0</v>
      </c>
      <c r="P17" s="401" t="str">
        <f t="shared" si="84"/>
        <v>0.00</v>
      </c>
      <c r="Q17" s="418">
        <v>65</v>
      </c>
      <c r="R17" s="418">
        <v>0</v>
      </c>
      <c r="S17" s="418">
        <f t="shared" si="85"/>
        <v>0</v>
      </c>
      <c r="T17" s="401" t="s">
        <v>131</v>
      </c>
      <c r="U17" s="418" t="s">
        <v>333</v>
      </c>
      <c r="V17" s="401">
        <v>4</v>
      </c>
      <c r="W17" s="401" t="str">
        <f t="shared" si="69"/>
        <v>3C X 4</v>
      </c>
      <c r="X17" s="401" t="str">
        <f t="shared" si="70"/>
        <v>3C X 4</v>
      </c>
      <c r="Y17" s="435" t="s">
        <v>358</v>
      </c>
      <c r="Z17" s="393">
        <f>IF(T17="AIR",VLOOKUP(W17,'Catalogue Aluminium'!$B$141:$G$173,2,FALSE),IF(T17="GROUND",VLOOKUP(W17,'Catalogue Aluminium'!$B$141:$G$173,3,FALSE),IF(T17="DUCT",VLOOKUP(W17,'Catalogue Aluminium'!$B$141:$G$173,4,FALSE),IF(T17="TRENCH",VLOOKUP(W17,'Catalogue Aluminium'!$B$141:$G$173,2,FALSE)))))</f>
        <v>38</v>
      </c>
      <c r="AA17" s="402">
        <f>VLOOKUP(W17,'Catalogue Aluminium'!$B$141:$G$173,5,FALSE)</f>
        <v>5.9</v>
      </c>
      <c r="AB17" s="402">
        <f>VLOOKUP(W17,'Catalogue Aluminium'!$B$141:$G$173,6,FALSE)</f>
        <v>9.4700000000000006E-2</v>
      </c>
      <c r="AC17" s="434">
        <f>23+30</f>
        <v>53</v>
      </c>
      <c r="AD17" s="388">
        <f>40+50+38+50+58+60+20+31+51</f>
        <v>398</v>
      </c>
      <c r="AE17" s="401">
        <f t="shared" si="166"/>
        <v>42</v>
      </c>
      <c r="AF17" s="401">
        <f t="shared" si="167"/>
        <v>10</v>
      </c>
      <c r="AG17" s="401">
        <f t="shared" ref="AG17" si="306">ROUNDUP(SUM(AC17:AF17)*0.1,0)</f>
        <v>51</v>
      </c>
      <c r="AH17" s="436">
        <f t="shared" si="87"/>
        <v>560</v>
      </c>
      <c r="AI17" s="393">
        <f>IF(T17="AIR",'Catalogue Aluminium'!$K$141,IF(T17="TRENCH",'Catalogue Aluminium'!$K$144,"NA"))</f>
        <v>0.82</v>
      </c>
      <c r="AJ17" s="392">
        <f>IF(T17="Air",(IF(U17="1C",'Catalogue Aluminium'!$L$141,'Catalogue Aluminium'!$M$141)),IF(T17="DUCT",(IF($U17="1C",'Catalogue Aluminium'!$L$142,'Catalogue Aluminium'!$M$142)),IF(T17="GROUND",(IF($U17="1C",'Catalogue Aluminium'!$L$143,'Catalogue Aluminium'!$M$143)),IF(T17="TRENCH",(IF($U17="1C",'Catalogue Aluminium'!$L$144,'Catalogue Aluminium'!$M$144))))))</f>
        <v>0.73</v>
      </c>
      <c r="AK17" s="393" t="str">
        <f>IF(T17="Air",'Catalogue Aluminium'!$N$141,IF(T17="GROUND",'Catalogue Aluminium'!$N$142,IF(T17="DUCT",'Catalogue Aluminium'!$N$143,IF(T17="TRENCH",'Catalogue Aluminium'!$N$144,"NA"))))</f>
        <v>NA</v>
      </c>
      <c r="AL17" s="393" t="str">
        <f>IF(T17="Air",(IF(U17="1C",'Catalogue Aluminium'!$O$141,'Catalogue Aluminium'!$P$141)),IF(T17="DUCT",(IF($U17="1C",'Catalogue Aluminium'!$O$142,'Catalogue Aluminium'!$P$142)),IF(T17="GROUND",(IF($U17="1C",'Catalogue Aluminium'!$O$143,'Catalogue Aluminium'!$P$143)),IF(T17="TRENCH",(IF($U17="1C",'Catalogue Aluminium'!$O$144,'Catalogue Aluminium'!$P$144))))))</f>
        <v>NA</v>
      </c>
      <c r="AM17" s="393" t="str">
        <f>IF(T17="AIR","NA",IF(T17="TRENCH","NA",IF(T17="DUCT",IF(U17="1C",VLOOKUP(V17,'Catalogue Aluminium'!$Q$142:$S$153,2,FALSE),VLOOKUP(V17,'Catalogue Aluminium'!$Q$142:$S$153,3)),IF(T17="GROUND",IF(U17="1C",VLOOKUP(V17,'Catalogue Aluminium'!$Q$142:$S$153,2,FALSE),VLOOKUP(V17,'Catalogue Aluminium'!$Q$142:$S$153,3))))))</f>
        <v>NA</v>
      </c>
      <c r="AN17" s="404">
        <f t="shared" ref="AN17" si="307">IF(T17="AIR",AI17*AJ17,IF(T17="TRENCH",AI17*AJ17,IF(T17="DUCT",AJ17*AK17*AL17*AM17,IF(T17="GROUND",AJ17*AK17*AL17*AM17))))</f>
        <v>0.59859999999999991</v>
      </c>
      <c r="AO17" s="392">
        <f t="shared" ref="AO17" si="308">Z17*AN17</f>
        <v>22.746799999999997</v>
      </c>
      <c r="AP17" s="434">
        <f t="shared" ref="AP17" si="309">CEILING(((N17)/AO17),1)</f>
        <v>1</v>
      </c>
      <c r="AQ17" s="418" t="str">
        <f t="shared" ref="AQ17" si="310">IF(AO17*AP17&gt;=N17,"YES","NO")</f>
        <v>YES</v>
      </c>
      <c r="AR17" s="437">
        <f t="shared" ref="AR17" si="311">SQRT(3)*AH17*N17*((AA17*L17)+(AB17*SIN(ACOS(L17))))*100/(AP17*K17*1000)</f>
        <v>1.725088629408529</v>
      </c>
      <c r="AS17" s="401" t="str">
        <f t="shared" si="89"/>
        <v>YES</v>
      </c>
      <c r="AT17" s="437" t="str">
        <f t="shared" si="76"/>
        <v>NA</v>
      </c>
      <c r="AU17" s="401" t="str">
        <f t="shared" si="77"/>
        <v>NA</v>
      </c>
      <c r="AV17" s="437" t="str">
        <f t="shared" si="78"/>
        <v>1R x 6/10 (12)kV x 3C x 4 Sqmm</v>
      </c>
      <c r="AW17" s="437" t="str">
        <f t="shared" si="79"/>
        <v>1R x 6/10 (12)kV x 3C x 4 Sqmm</v>
      </c>
      <c r="AX17" s="401">
        <f t="shared" si="90"/>
        <v>560</v>
      </c>
      <c r="AY17" s="401"/>
      <c r="AZ17" s="401">
        <f t="shared" si="91"/>
        <v>2</v>
      </c>
      <c r="BA17" s="438" t="str">
        <f t="shared" si="80"/>
        <v>ACDEFGIJ</v>
      </c>
      <c r="BB17" s="390">
        <f>VLOOKUP(W17,'Catalogue Aluminium'!$B$141:$H$173,7,FALSE)</f>
        <v>15</v>
      </c>
      <c r="BC17" s="439">
        <f t="shared" si="92"/>
        <v>15</v>
      </c>
      <c r="BE17" s="344"/>
      <c r="BF17" s="344">
        <v>1</v>
      </c>
      <c r="BG17" s="344"/>
      <c r="BH17" s="344"/>
      <c r="BI17" s="344">
        <v>1</v>
      </c>
      <c r="BJ17" s="344">
        <v>1</v>
      </c>
      <c r="BK17" s="344"/>
      <c r="BL17" s="344"/>
      <c r="BM17" s="344"/>
      <c r="BN17" s="344">
        <v>1</v>
      </c>
      <c r="BO17" s="344"/>
      <c r="BP17" s="344"/>
      <c r="BQ17" s="344"/>
      <c r="BR17" s="344"/>
      <c r="BS17" s="344"/>
      <c r="BT17" s="344"/>
      <c r="BU17" s="344"/>
      <c r="BV17" s="344">
        <v>1</v>
      </c>
      <c r="BW17" s="344">
        <v>1</v>
      </c>
      <c r="BX17" s="344"/>
      <c r="BY17" s="344"/>
      <c r="BZ17" s="344">
        <v>1</v>
      </c>
      <c r="CA17" s="344"/>
      <c r="CB17" s="344"/>
      <c r="CC17" s="344"/>
      <c r="CD17" s="344">
        <v>1</v>
      </c>
      <c r="CE17" s="416"/>
      <c r="CF17" s="416"/>
      <c r="CG17" s="416"/>
      <c r="CH17" s="416"/>
      <c r="CI17" s="416"/>
      <c r="CJ17" s="416"/>
      <c r="CK17" s="416"/>
      <c r="CL17" s="416"/>
      <c r="CM17" s="416"/>
      <c r="CN17" s="416"/>
      <c r="CO17" s="416"/>
      <c r="CP17" s="416"/>
      <c r="CQ17" s="416"/>
      <c r="CR17" s="416"/>
      <c r="CS17" s="416"/>
      <c r="CT17" s="416"/>
      <c r="CU17" s="416"/>
      <c r="CV17" s="416"/>
      <c r="CW17" s="416"/>
      <c r="CX17" s="416"/>
      <c r="CY17" s="416"/>
      <c r="CZ17" s="416"/>
      <c r="DA17" s="416"/>
      <c r="DB17" s="416"/>
      <c r="DC17" s="416"/>
      <c r="DD17" s="416"/>
      <c r="DE17" s="416"/>
      <c r="DF17" s="416"/>
      <c r="DG17" s="416"/>
      <c r="DH17" s="416"/>
      <c r="DI17" s="416"/>
      <c r="DJ17" s="416"/>
      <c r="DK17" s="416"/>
      <c r="DL17" s="416"/>
      <c r="DM17" s="416"/>
      <c r="DN17" s="416"/>
      <c r="DO17" s="416"/>
      <c r="DP17" s="416"/>
      <c r="DQ17" s="416"/>
      <c r="DR17" s="416"/>
      <c r="DS17" s="416"/>
      <c r="DT17" s="416"/>
      <c r="DU17" s="416"/>
      <c r="DW17" s="336">
        <f t="shared" ref="DW17" si="312">IF(BE17=1,($BC17*BE17),0)</f>
        <v>0</v>
      </c>
      <c r="DX17" s="336">
        <f t="shared" ref="DX17" si="313">IF(BF17=1,($BC17*BF17),0)</f>
        <v>15</v>
      </c>
      <c r="DY17" s="336">
        <f t="shared" ref="DY17" si="314">IF(BG17=1,($BC17*BG17),0)</f>
        <v>0</v>
      </c>
      <c r="DZ17" s="336">
        <f t="shared" ref="DZ17" si="315">IF(BH17=1,($BC17*BH17),0)</f>
        <v>0</v>
      </c>
      <c r="EA17" s="336">
        <f t="shared" ref="EA17" si="316">IF(BI17=1,($BC17*BI17),0)</f>
        <v>15</v>
      </c>
      <c r="EB17" s="336">
        <f t="shared" ref="EB17" si="317">IF(BJ17=1,($BC17*BJ17),0)</f>
        <v>15</v>
      </c>
      <c r="EC17" s="336">
        <f t="shared" ref="EC17" si="318">IF(BK17=1,($BC17*BK17),0)</f>
        <v>0</v>
      </c>
      <c r="ED17" s="336">
        <f t="shared" ref="ED17" si="319">IF(BL17=1,($BC17*BL17),0)</f>
        <v>0</v>
      </c>
      <c r="EE17" s="336">
        <f t="shared" ref="EE17" si="320">IF(BM17=1,($BC17*BM17),0)</f>
        <v>0</v>
      </c>
      <c r="EF17" s="336">
        <f t="shared" ref="EF17" si="321">IF(BN17=1,($BC17*BN17),0)</f>
        <v>15</v>
      </c>
      <c r="EG17" s="336">
        <f t="shared" ref="EG17" si="322">IF(BO17=1,($BC17*BO17),0)</f>
        <v>0</v>
      </c>
      <c r="EH17" s="336">
        <f t="shared" ref="EH17" si="323">IF(BP17=1,($BC17*BP17),0)</f>
        <v>0</v>
      </c>
      <c r="EI17" s="336">
        <f t="shared" ref="EI17" si="324">IF(BQ17=1,($BC17*BQ17),0)</f>
        <v>0</v>
      </c>
      <c r="EJ17" s="336">
        <f t="shared" ref="EJ17" si="325">IF(BR17=1,($BC17*BR17),0)</f>
        <v>0</v>
      </c>
      <c r="EK17" s="336">
        <f t="shared" ref="EK17" si="326">IF(BS17=1,($BC17*BS17),0)</f>
        <v>0</v>
      </c>
      <c r="EL17" s="336">
        <f t="shared" ref="EL17" si="327">IF(BT17=1,($BC17*BT17),0)</f>
        <v>0</v>
      </c>
      <c r="EM17" s="336">
        <f t="shared" ref="EM17" si="328">IF(BU17=1,($BC17*BU17),0)</f>
        <v>0</v>
      </c>
      <c r="EN17" s="336">
        <f t="shared" ref="EN17" si="329">IF(BV17=1,($BC17*BV17),0)</f>
        <v>15</v>
      </c>
      <c r="EO17" s="336">
        <f t="shared" ref="EO17" si="330">IF(BW17=1,($BC17*BW17),0)</f>
        <v>15</v>
      </c>
      <c r="EP17" s="336">
        <f t="shared" ref="EP17" si="331">IF(BX17=1,($BC17*BX17),0)</f>
        <v>0</v>
      </c>
      <c r="EQ17" s="336">
        <f t="shared" ref="EQ17" si="332">IF(BY17=1,($BC17*BY17),0)</f>
        <v>0</v>
      </c>
      <c r="ER17" s="336">
        <f t="shared" ref="ER17" si="333">IF(BZ17=1,($BC17*BZ17),0)</f>
        <v>15</v>
      </c>
      <c r="ES17" s="336">
        <f t="shared" ref="ES17" si="334">IF(CA17=1,($BC17*CA17),0)</f>
        <v>0</v>
      </c>
      <c r="ET17" s="336">
        <f t="shared" si="22"/>
        <v>0</v>
      </c>
      <c r="EU17" s="336">
        <f t="shared" si="23"/>
        <v>0</v>
      </c>
      <c r="EV17" s="336">
        <f t="shared" ref="EV17" si="335">IF(CD17=1,($BC17*CD17),0)</f>
        <v>15</v>
      </c>
      <c r="EW17" s="336">
        <f t="shared" ref="EW17" si="336">IF(CE17=1,($BC17*CE17),0)</f>
        <v>0</v>
      </c>
      <c r="EX17" s="336">
        <f t="shared" ref="EX17" si="337">IF(CF17=1,($BC17*CF17),0)</f>
        <v>0</v>
      </c>
      <c r="EY17" s="336">
        <f t="shared" ref="EY17" si="338">IF(CG17=1,($BC17*CG17),0)</f>
        <v>0</v>
      </c>
      <c r="EZ17" s="336">
        <f t="shared" ref="EZ17" si="339">IF(CH17=1,($BC17*CH17),0)</f>
        <v>0</v>
      </c>
      <c r="FA17" s="336">
        <f t="shared" ref="FA17" si="340">IF(CI17=1,($BC17*CI17),0)</f>
        <v>0</v>
      </c>
      <c r="FB17" s="336">
        <f t="shared" ref="FB17" si="341">IF(CJ17=1,($BC17*CJ17),0)</f>
        <v>0</v>
      </c>
      <c r="FC17" s="336">
        <f t="shared" ref="FC17" si="342">IF(CK17=1,($BC17*CK17),0)</f>
        <v>0</v>
      </c>
      <c r="FD17" s="336">
        <f t="shared" ref="FD17" si="343">IF(CL17=1,($BC17*CL17),0)</f>
        <v>0</v>
      </c>
      <c r="FE17" s="336">
        <f t="shared" ref="FE17" si="344">IF(CM17=1,($BC17*CM17),0)</f>
        <v>0</v>
      </c>
      <c r="FF17" s="336">
        <f t="shared" ref="FF17" si="345">IF(CN17=1,($BC17*CN17),0)</f>
        <v>0</v>
      </c>
      <c r="FG17" s="336">
        <f t="shared" ref="FG17" si="346">IF(CO17=1,($BC17*CO17),0)</f>
        <v>0</v>
      </c>
      <c r="FH17" s="336">
        <f t="shared" ref="FH17" si="347">IF(CP17=1,($BC17*CP17),0)</f>
        <v>0</v>
      </c>
      <c r="FI17" s="336">
        <f t="shared" ref="FI17" si="348">IF(CQ17=1,($BC17*CQ17),0)</f>
        <v>0</v>
      </c>
      <c r="FJ17" s="336">
        <f t="shared" ref="FJ17" si="349">IF(CR17=1,($BC17*CR17),0)</f>
        <v>0</v>
      </c>
      <c r="FK17" s="336">
        <f t="shared" ref="FK17" si="350">IF(CS17=1,($BC17*CS17),0)</f>
        <v>0</v>
      </c>
      <c r="FL17" s="336">
        <f t="shared" ref="FL17" si="351">IF(CT17=1,($BC17*CT17),0)</f>
        <v>0</v>
      </c>
      <c r="FM17" s="336">
        <f t="shared" ref="FM17" si="352">IF(CU17=1,($BC17*CU17),0)</f>
        <v>0</v>
      </c>
      <c r="FN17" s="336">
        <f t="shared" ref="FN17" si="353">IF(CV17=1,($BC17*CV17),0)</f>
        <v>0</v>
      </c>
      <c r="FO17" s="336">
        <f t="shared" ref="FO17" si="354">IF(CW17=1,($BC17*CW17),0)</f>
        <v>0</v>
      </c>
      <c r="FP17" s="336">
        <f t="shared" ref="FP17" si="355">IF(CX17=1,($BC17*CX17),0)</f>
        <v>0</v>
      </c>
      <c r="FQ17" s="336">
        <f t="shared" ref="FQ17" si="356">IF(CY17=1,($BC17*CY17),0)</f>
        <v>0</v>
      </c>
      <c r="FR17" s="336">
        <f t="shared" ref="FR17" si="357">IF(CZ17=1,($BC17*CZ17),0)</f>
        <v>0</v>
      </c>
      <c r="FS17" s="336">
        <f t="shared" ref="FS17" si="358">IF(DA17=1,($BC17*DA17),0)</f>
        <v>0</v>
      </c>
      <c r="FT17" s="336">
        <f t="shared" ref="FT17" si="359">IF(DB17=1,($BC17*DB17),0)</f>
        <v>0</v>
      </c>
      <c r="FU17" s="336">
        <f t="shared" si="93"/>
        <v>0</v>
      </c>
      <c r="FV17" s="336">
        <f t="shared" si="94"/>
        <v>0</v>
      </c>
      <c r="FW17" s="336">
        <f t="shared" si="95"/>
        <v>0</v>
      </c>
      <c r="FX17" s="336">
        <f t="shared" si="96"/>
        <v>0</v>
      </c>
      <c r="FY17" s="336">
        <f t="shared" ref="FY17" si="360">IF(DG17=1,($BC17*DG17),0)</f>
        <v>0</v>
      </c>
      <c r="FZ17" s="336">
        <f t="shared" ref="FZ17" si="361">IF(DH17=1,($BC17*DH17),0)</f>
        <v>0</v>
      </c>
      <c r="GA17" s="336">
        <f t="shared" ref="GA17" si="362">IF(DI17=1,($BC17*DI17),0)</f>
        <v>0</v>
      </c>
      <c r="GB17" s="336">
        <f t="shared" ref="GB17" si="363">IF(DJ17=1,($BC17*DJ17),0)</f>
        <v>0</v>
      </c>
      <c r="GC17" s="336">
        <f t="shared" ref="GC17" si="364">IF(DK17=1,($BC17*DK17),0)</f>
        <v>0</v>
      </c>
      <c r="GD17" s="336">
        <f t="shared" ref="GD17" si="365">IF(DL17=1,($BC17*DL17),0)</f>
        <v>0</v>
      </c>
      <c r="GE17" s="336">
        <f t="shared" ref="GE17" si="366">IF(DM17=1,($BC17*DM17),0)</f>
        <v>0</v>
      </c>
      <c r="GF17" s="336">
        <f t="shared" ref="GF17" si="367">IF(DN17=1,($BC17*DN17),0)</f>
        <v>0</v>
      </c>
      <c r="GG17" s="336">
        <f t="shared" ref="GG17" si="368">IF(DO17=1,($BC17*DO17),0)</f>
        <v>0</v>
      </c>
      <c r="GH17" s="336">
        <f t="shared" ref="GH17" si="369">IF(DP17=1,($BC17*DP17),0)</f>
        <v>0</v>
      </c>
      <c r="GI17" s="336">
        <f t="shared" ref="GI17" si="370">IF(DQ17=1,($BC17*DQ17),0)</f>
        <v>0</v>
      </c>
      <c r="GJ17" s="336">
        <f t="shared" ref="GJ17" si="371">IF(DR17=1,($BC17*DR17),0)</f>
        <v>0</v>
      </c>
      <c r="GK17" s="336">
        <f t="shared" ref="GK17" si="372">IF(DS17=1,($BC17*DS17),0)</f>
        <v>0</v>
      </c>
      <c r="GL17" s="336">
        <f t="shared" si="164"/>
        <v>0</v>
      </c>
      <c r="GM17" s="336">
        <f t="shared" ref="GM17" si="373">IF(DU17=1,($BC17*DU17),0)</f>
        <v>0</v>
      </c>
    </row>
    <row r="18" spans="1:195" ht="18" customHeight="1">
      <c r="A18" s="337">
        <f t="shared" si="305"/>
        <v>10</v>
      </c>
      <c r="B18" s="372" t="s">
        <v>364</v>
      </c>
      <c r="C18" s="337" t="str">
        <f t="shared" si="82"/>
        <v>11kV MV Switchgear-1</v>
      </c>
      <c r="D18" s="440" t="s">
        <v>365</v>
      </c>
      <c r="E18" s="416" t="s">
        <v>345</v>
      </c>
      <c r="F18" s="417" t="s">
        <v>28</v>
      </c>
      <c r="G18" s="340" t="s">
        <v>350</v>
      </c>
      <c r="H18" s="418">
        <v>2300</v>
      </c>
      <c r="I18" s="337" t="s">
        <v>330</v>
      </c>
      <c r="J18" s="337" t="s">
        <v>331</v>
      </c>
      <c r="K18" s="341">
        <v>11000</v>
      </c>
      <c r="L18" s="342">
        <v>0.85</v>
      </c>
      <c r="M18" s="342">
        <v>0.95</v>
      </c>
      <c r="N18" s="342">
        <f t="shared" si="83"/>
        <v>149.50121843493022</v>
      </c>
      <c r="O18" s="342">
        <f t="shared" si="67"/>
        <v>897.00731060958128</v>
      </c>
      <c r="P18" s="343">
        <f t="shared" si="84"/>
        <v>0.2</v>
      </c>
      <c r="Q18" s="342">
        <v>31.5</v>
      </c>
      <c r="R18" s="342">
        <v>0.16</v>
      </c>
      <c r="S18" s="342">
        <f t="shared" si="85"/>
        <v>134.04255319148936</v>
      </c>
      <c r="T18" s="344" t="s">
        <v>131</v>
      </c>
      <c r="U18" s="342" t="s">
        <v>333</v>
      </c>
      <c r="V18" s="344">
        <v>150</v>
      </c>
      <c r="W18" s="343" t="str">
        <f t="shared" si="69"/>
        <v>3C X 150</v>
      </c>
      <c r="X18" s="343" t="str">
        <f t="shared" si="70"/>
        <v>3C X 150+PE</v>
      </c>
      <c r="Y18" s="419" t="s">
        <v>346</v>
      </c>
      <c r="Z18" s="344">
        <f>IF(T18="AIR",VLOOKUP(W18,'Catalogue Aluminium'!$B$141:$G$173,2,FALSE),IF(T18="GROUND",VLOOKUP(W18,'Catalogue Aluminium'!$B$141:$G$173,3,FALSE),IF(T18="DUCT",VLOOKUP(W18,'Catalogue Aluminium'!$B$141:$G$173,4,FALSE),IF(T18="TRENCH",VLOOKUP(W18,'Catalogue Aluminium'!$B$141:$G$173,2,FALSE)))))</f>
        <v>309</v>
      </c>
      <c r="AA18" s="345">
        <f>VLOOKUP(W18,'Catalogue Aluminium'!$B$141:$G$173,5,FALSE)</f>
        <v>0.26500000000000001</v>
      </c>
      <c r="AB18" s="345">
        <f>VLOOKUP(W18,'Catalogue Aluminium'!$B$141:$G$173,6,FALSE)</f>
        <v>9.2999999999999999E-2</v>
      </c>
      <c r="AC18" s="349">
        <f t="shared" si="236"/>
        <v>67</v>
      </c>
      <c r="AD18" s="343">
        <f>40+50+38+50+17+(27+42+30+21+20)</f>
        <v>335</v>
      </c>
      <c r="AE18" s="343">
        <f>11+8+8+11</f>
        <v>38</v>
      </c>
      <c r="AF18" s="343">
        <f t="shared" si="167"/>
        <v>10</v>
      </c>
      <c r="AG18" s="343">
        <f t="shared" si="86"/>
        <v>45</v>
      </c>
      <c r="AH18" s="347">
        <f t="shared" si="87"/>
        <v>500</v>
      </c>
      <c r="AI18" s="344">
        <f>IF(T18="AIR",'Catalogue Aluminium'!$K$141,IF(T18="TRENCH",'Catalogue Aluminium'!$K$144,"NA"))</f>
        <v>0.82</v>
      </c>
      <c r="AJ18" s="342">
        <f>IF(T18="Air",(IF(U18="1C",'Catalogue Aluminium'!$L$141,'Catalogue Aluminium'!$M$141)),IF(T18="DUCT",(IF($U18="1C",'Catalogue Aluminium'!$L$142,'Catalogue Aluminium'!$M$142)),IF(T18="GROUND",(IF($U18="1C",'Catalogue Aluminium'!$L$143,'Catalogue Aluminium'!$M$143)),IF(T18="TRENCH",(IF($U18="1C",'Catalogue Aluminium'!$L$144,'Catalogue Aluminium'!$M$144))))))</f>
        <v>0.73</v>
      </c>
      <c r="AK18" s="344" t="str">
        <f>IF(T18="Air",'Catalogue Aluminium'!$N$141,IF(T18="GROUND",'Catalogue Aluminium'!$N$142,IF(T18="DUCT",'Catalogue Aluminium'!$N$143,IF(T18="TRENCH",'Catalogue Aluminium'!$N$144,"NA"))))</f>
        <v>NA</v>
      </c>
      <c r="AL18" s="344" t="str">
        <f>IF(T18="Air",(IF(U18="1C",'Catalogue Aluminium'!$O$141,'Catalogue Aluminium'!$P$141)),IF(T18="DUCT",(IF($U18="1C",'Catalogue Aluminium'!$O$142,'Catalogue Aluminium'!$P$142)),IF(T18="GROUND",(IF($U18="1C",'Catalogue Aluminium'!$O$143,'Catalogue Aluminium'!$P$143)),IF(T18="TRENCH",(IF($U18="1C",'Catalogue Aluminium'!$O$144,'Catalogue Aluminium'!$P$144))))))</f>
        <v>NA</v>
      </c>
      <c r="AM18" s="344" t="str">
        <f>IF(T18="AIR","NA",IF(T18="TRENCH","NA",IF(T18="DUCT",IF(U18="1C",VLOOKUP(V18,'Catalogue Aluminium'!$Q$142:$S$153,2,FALSE),VLOOKUP(V18,'Catalogue Aluminium'!$Q$142:$S$153,3)),IF(T18="GROUND",IF(U18="1C",VLOOKUP(V18,'Catalogue Aluminium'!$Q$142:$S$153,2,FALSE),VLOOKUP(V18,'Catalogue Aluminium'!$Q$142:$S$153,3))))))</f>
        <v>NA</v>
      </c>
      <c r="AN18" s="348">
        <f t="shared" si="71"/>
        <v>0.59859999999999991</v>
      </c>
      <c r="AO18" s="342">
        <f t="shared" si="72"/>
        <v>184.96739999999997</v>
      </c>
      <c r="AP18" s="349">
        <f t="shared" si="73"/>
        <v>1</v>
      </c>
      <c r="AQ18" s="350" t="str">
        <f t="shared" si="74"/>
        <v>YES</v>
      </c>
      <c r="AR18" s="351">
        <f t="shared" ref="AR18" si="374">SQRT(3)*AH18*N18*((AA18*L18)+(AB18*SIN(ACOS(L18))))*100/(AP18*K18*1000)</f>
        <v>0.3227860296358287</v>
      </c>
      <c r="AS18" s="343" t="str">
        <f t="shared" si="89"/>
        <v>YES</v>
      </c>
      <c r="AT18" s="351">
        <f t="shared" si="76"/>
        <v>1.0177971993503705</v>
      </c>
      <c r="AU18" s="343" t="str">
        <f t="shared" si="77"/>
        <v>YES</v>
      </c>
      <c r="AV18" s="351" t="str">
        <f t="shared" si="78"/>
        <v>1R x 6/10 (12)kV x 3C x 150 Sqmm</v>
      </c>
      <c r="AW18" s="351" t="str">
        <f t="shared" si="79"/>
        <v>1R x 6/10 (12)kV x 3C x 150 Sqmm</v>
      </c>
      <c r="AX18" s="343">
        <f t="shared" si="90"/>
        <v>500</v>
      </c>
      <c r="AY18" s="343"/>
      <c r="AZ18" s="343">
        <f t="shared" si="91"/>
        <v>2</v>
      </c>
      <c r="BA18" s="356" t="str">
        <f t="shared" si="80"/>
        <v>ACDEE1E2E3E4E5</v>
      </c>
      <c r="BB18" s="340">
        <f>VLOOKUP(W18,'Catalogue Aluminium'!$B$141:$H$173,7,FALSE)</f>
        <v>62</v>
      </c>
      <c r="BC18" s="328">
        <f t="shared" si="92"/>
        <v>62</v>
      </c>
      <c r="BE18" s="344"/>
      <c r="BF18" s="344">
        <v>1</v>
      </c>
      <c r="BG18" s="344"/>
      <c r="BH18" s="344"/>
      <c r="BI18" s="344">
        <v>1</v>
      </c>
      <c r="BJ18" s="344">
        <v>1</v>
      </c>
      <c r="BK18" s="344"/>
      <c r="BL18" s="344"/>
      <c r="BM18" s="344"/>
      <c r="BN18" s="344">
        <v>1</v>
      </c>
      <c r="BO18" s="344"/>
      <c r="BP18" s="344">
        <v>1</v>
      </c>
      <c r="BQ18" s="344">
        <v>1</v>
      </c>
      <c r="BR18" s="344">
        <v>1</v>
      </c>
      <c r="BS18" s="344">
        <v>1</v>
      </c>
      <c r="BT18" s="344">
        <v>1</v>
      </c>
      <c r="BU18" s="344"/>
      <c r="BV18" s="344"/>
      <c r="BW18" s="344"/>
      <c r="BX18" s="344"/>
      <c r="BY18" s="344"/>
      <c r="BZ18" s="344"/>
      <c r="CA18" s="344"/>
      <c r="CB18" s="344"/>
      <c r="CC18" s="344"/>
      <c r="CD18" s="344"/>
      <c r="CE18" s="416"/>
      <c r="CF18" s="416"/>
      <c r="CG18" s="416"/>
      <c r="CH18" s="416"/>
      <c r="CI18" s="416"/>
      <c r="CJ18" s="416"/>
      <c r="CK18" s="416"/>
      <c r="CL18" s="416"/>
      <c r="CM18" s="416"/>
      <c r="CN18" s="416"/>
      <c r="CO18" s="416"/>
      <c r="CP18" s="416"/>
      <c r="CQ18" s="416"/>
      <c r="CR18" s="416"/>
      <c r="CS18" s="416"/>
      <c r="CT18" s="416"/>
      <c r="CU18" s="416"/>
      <c r="CV18" s="416"/>
      <c r="CW18" s="416"/>
      <c r="CX18" s="416"/>
      <c r="CY18" s="416"/>
      <c r="CZ18" s="416"/>
      <c r="DA18" s="416"/>
      <c r="DB18" s="416"/>
      <c r="DC18" s="416"/>
      <c r="DD18" s="416"/>
      <c r="DE18" s="416"/>
      <c r="DF18" s="416"/>
      <c r="DG18" s="416"/>
      <c r="DH18" s="416"/>
      <c r="DI18" s="416"/>
      <c r="DJ18" s="416"/>
      <c r="DK18" s="416"/>
      <c r="DL18" s="416"/>
      <c r="DM18" s="416"/>
      <c r="DN18" s="416"/>
      <c r="DO18" s="416"/>
      <c r="DP18" s="416"/>
      <c r="DQ18" s="416"/>
      <c r="DR18" s="416"/>
      <c r="DS18" s="416"/>
      <c r="DT18" s="416"/>
      <c r="DU18" s="416"/>
      <c r="DW18" s="336">
        <f t="shared" si="81"/>
        <v>0</v>
      </c>
      <c r="DX18" s="336">
        <f t="shared" si="0"/>
        <v>62</v>
      </c>
      <c r="DY18" s="336">
        <f t="shared" si="1"/>
        <v>0</v>
      </c>
      <c r="DZ18" s="336">
        <f t="shared" si="2"/>
        <v>0</v>
      </c>
      <c r="EA18" s="336">
        <f t="shared" si="3"/>
        <v>62</v>
      </c>
      <c r="EB18" s="336">
        <f t="shared" si="4"/>
        <v>62</v>
      </c>
      <c r="EC18" s="336">
        <f t="shared" si="5"/>
        <v>0</v>
      </c>
      <c r="ED18" s="336">
        <f t="shared" si="6"/>
        <v>0</v>
      </c>
      <c r="EE18" s="336">
        <f t="shared" si="7"/>
        <v>0</v>
      </c>
      <c r="EF18" s="336">
        <f t="shared" si="8"/>
        <v>62</v>
      </c>
      <c r="EG18" s="336">
        <f t="shared" si="9"/>
        <v>0</v>
      </c>
      <c r="EH18" s="336">
        <f t="shared" si="10"/>
        <v>62</v>
      </c>
      <c r="EI18" s="336">
        <f t="shared" si="11"/>
        <v>62</v>
      </c>
      <c r="EJ18" s="336">
        <f t="shared" si="12"/>
        <v>62</v>
      </c>
      <c r="EK18" s="336">
        <f t="shared" si="13"/>
        <v>62</v>
      </c>
      <c r="EL18" s="336">
        <f t="shared" si="14"/>
        <v>62</v>
      </c>
      <c r="EM18" s="336">
        <f t="shared" si="15"/>
        <v>0</v>
      </c>
      <c r="EN18" s="336">
        <f t="shared" si="16"/>
        <v>0</v>
      </c>
      <c r="EO18" s="336">
        <f t="shared" si="17"/>
        <v>0</v>
      </c>
      <c r="EP18" s="336">
        <f t="shared" si="18"/>
        <v>0</v>
      </c>
      <c r="EQ18" s="336">
        <f t="shared" si="19"/>
        <v>0</v>
      </c>
      <c r="ER18" s="336">
        <f t="shared" si="20"/>
        <v>0</v>
      </c>
      <c r="ES18" s="336">
        <f t="shared" si="21"/>
        <v>0</v>
      </c>
      <c r="ET18" s="336">
        <f t="shared" si="22"/>
        <v>0</v>
      </c>
      <c r="EU18" s="336">
        <f t="shared" si="23"/>
        <v>0</v>
      </c>
      <c r="EV18" s="336">
        <f t="shared" si="24"/>
        <v>0</v>
      </c>
      <c r="EW18" s="336">
        <f t="shared" si="25"/>
        <v>0</v>
      </c>
      <c r="EX18" s="336">
        <f t="shared" si="26"/>
        <v>0</v>
      </c>
      <c r="EY18" s="336">
        <f t="shared" si="27"/>
        <v>0</v>
      </c>
      <c r="EZ18" s="336">
        <f t="shared" si="28"/>
        <v>0</v>
      </c>
      <c r="FA18" s="336">
        <f t="shared" si="29"/>
        <v>0</v>
      </c>
      <c r="FB18" s="336">
        <f t="shared" si="30"/>
        <v>0</v>
      </c>
      <c r="FC18" s="336">
        <f t="shared" si="31"/>
        <v>0</v>
      </c>
      <c r="FD18" s="336">
        <f t="shared" si="32"/>
        <v>0</v>
      </c>
      <c r="FE18" s="336">
        <f t="shared" si="33"/>
        <v>0</v>
      </c>
      <c r="FF18" s="336">
        <f t="shared" si="34"/>
        <v>0</v>
      </c>
      <c r="FG18" s="336">
        <f t="shared" si="35"/>
        <v>0</v>
      </c>
      <c r="FH18" s="336">
        <f t="shared" si="36"/>
        <v>0</v>
      </c>
      <c r="FI18" s="336">
        <f t="shared" si="37"/>
        <v>0</v>
      </c>
      <c r="FJ18" s="336">
        <f t="shared" si="38"/>
        <v>0</v>
      </c>
      <c r="FK18" s="336">
        <f t="shared" si="39"/>
        <v>0</v>
      </c>
      <c r="FL18" s="336">
        <f t="shared" si="40"/>
        <v>0</v>
      </c>
      <c r="FM18" s="336">
        <f t="shared" si="41"/>
        <v>0</v>
      </c>
      <c r="FN18" s="336">
        <f t="shared" si="42"/>
        <v>0</v>
      </c>
      <c r="FO18" s="336">
        <f t="shared" si="43"/>
        <v>0</v>
      </c>
      <c r="FP18" s="336">
        <f t="shared" si="44"/>
        <v>0</v>
      </c>
      <c r="FQ18" s="336">
        <f t="shared" si="45"/>
        <v>0</v>
      </c>
      <c r="FR18" s="336">
        <f t="shared" si="46"/>
        <v>0</v>
      </c>
      <c r="FS18" s="336">
        <f t="shared" si="47"/>
        <v>0</v>
      </c>
      <c r="FT18" s="336">
        <f t="shared" si="48"/>
        <v>0</v>
      </c>
      <c r="FU18" s="336">
        <f t="shared" si="93"/>
        <v>0</v>
      </c>
      <c r="FV18" s="336">
        <f t="shared" si="94"/>
        <v>0</v>
      </c>
      <c r="FW18" s="336">
        <f t="shared" si="95"/>
        <v>0</v>
      </c>
      <c r="FX18" s="336">
        <f t="shared" si="96"/>
        <v>0</v>
      </c>
      <c r="FY18" s="336">
        <f t="shared" si="53"/>
        <v>0</v>
      </c>
      <c r="FZ18" s="336">
        <f t="shared" si="54"/>
        <v>0</v>
      </c>
      <c r="GA18" s="336">
        <f t="shared" si="55"/>
        <v>0</v>
      </c>
      <c r="GB18" s="336">
        <f t="shared" si="56"/>
        <v>0</v>
      </c>
      <c r="GC18" s="336">
        <f t="shared" si="57"/>
        <v>0</v>
      </c>
      <c r="GD18" s="336">
        <f t="shared" si="58"/>
        <v>0</v>
      </c>
      <c r="GE18" s="336">
        <f t="shared" si="59"/>
        <v>0</v>
      </c>
      <c r="GF18" s="336">
        <f t="shared" si="60"/>
        <v>0</v>
      </c>
      <c r="GG18" s="336">
        <f t="shared" si="61"/>
        <v>0</v>
      </c>
      <c r="GH18" s="336">
        <f t="shared" si="62"/>
        <v>0</v>
      </c>
      <c r="GI18" s="336">
        <f t="shared" si="63"/>
        <v>0</v>
      </c>
      <c r="GJ18" s="336">
        <f t="shared" si="64"/>
        <v>0</v>
      </c>
      <c r="GK18" s="336">
        <f>IF(DS18=1,($BC18*DS18),0)</f>
        <v>0</v>
      </c>
      <c r="GL18" s="336">
        <f t="shared" si="164"/>
        <v>0</v>
      </c>
      <c r="GM18" s="336">
        <f t="shared" si="66"/>
        <v>0</v>
      </c>
    </row>
    <row r="19" spans="1:195" ht="18" customHeight="1">
      <c r="A19" s="388">
        <f t="shared" si="305"/>
        <v>11</v>
      </c>
      <c r="B19" s="338" t="s">
        <v>364</v>
      </c>
      <c r="C19" s="388" t="str">
        <f t="shared" si="82"/>
        <v>11kV MV Switchgear-1</v>
      </c>
      <c r="D19" s="441" t="s">
        <v>366</v>
      </c>
      <c r="E19" s="432" t="s">
        <v>345</v>
      </c>
      <c r="F19" s="433" t="s">
        <v>28</v>
      </c>
      <c r="G19" s="390" t="s">
        <v>329</v>
      </c>
      <c r="H19" s="396">
        <v>0.15</v>
      </c>
      <c r="I19" s="388" t="s">
        <v>330</v>
      </c>
      <c r="J19" s="388" t="s">
        <v>357</v>
      </c>
      <c r="K19" s="434">
        <v>230</v>
      </c>
      <c r="L19" s="401">
        <v>0.85</v>
      </c>
      <c r="M19" s="418">
        <v>0.95</v>
      </c>
      <c r="N19" s="392">
        <f t="shared" si="83"/>
        <v>0.80764571274734154</v>
      </c>
      <c r="O19" s="392">
        <f t="shared" si="67"/>
        <v>0</v>
      </c>
      <c r="P19" s="401" t="str">
        <f t="shared" si="84"/>
        <v>0.00</v>
      </c>
      <c r="Q19" s="418">
        <v>65</v>
      </c>
      <c r="R19" s="418">
        <v>0</v>
      </c>
      <c r="S19" s="418">
        <f t="shared" si="85"/>
        <v>0</v>
      </c>
      <c r="T19" s="401" t="s">
        <v>131</v>
      </c>
      <c r="U19" s="418" t="s">
        <v>333</v>
      </c>
      <c r="V19" s="401">
        <v>4</v>
      </c>
      <c r="W19" s="401" t="str">
        <f t="shared" si="69"/>
        <v>3C X 4</v>
      </c>
      <c r="X19" s="401" t="str">
        <f t="shared" si="70"/>
        <v>3C X 4</v>
      </c>
      <c r="Y19" s="435" t="s">
        <v>358</v>
      </c>
      <c r="Z19" s="393">
        <f>IF(T19="AIR",VLOOKUP(W19,'Catalogue Aluminium'!$B$141:$G$173,2,FALSE),IF(T19="GROUND",VLOOKUP(W19,'Catalogue Aluminium'!$B$141:$G$173,3,FALSE),IF(T19="DUCT",VLOOKUP(W19,'Catalogue Aluminium'!$B$141:$G$173,4,FALSE),IF(T19="TRENCH",VLOOKUP(W19,'Catalogue Aluminium'!$B$141:$G$173,2,FALSE)))))</f>
        <v>38</v>
      </c>
      <c r="AA19" s="402">
        <f>VLOOKUP(W19,'Catalogue Aluminium'!$B$141:$G$173,5,FALSE)</f>
        <v>5.9</v>
      </c>
      <c r="AB19" s="402">
        <f>VLOOKUP(W19,'Catalogue Aluminium'!$B$141:$G$173,6,FALSE)</f>
        <v>9.4700000000000006E-2</v>
      </c>
      <c r="AC19" s="434">
        <f t="shared" si="236"/>
        <v>67</v>
      </c>
      <c r="AD19" s="401">
        <f>40+50+38+50+17+(27+42+30+21+20)</f>
        <v>335</v>
      </c>
      <c r="AE19" s="401">
        <f>11+8+8+11</f>
        <v>38</v>
      </c>
      <c r="AF19" s="401">
        <f t="shared" si="167"/>
        <v>10</v>
      </c>
      <c r="AG19" s="401">
        <f t="shared" ref="AG19" si="375">ROUNDUP(SUM(AC19:AF19)*0.1,0)</f>
        <v>45</v>
      </c>
      <c r="AH19" s="436">
        <f t="shared" si="87"/>
        <v>500</v>
      </c>
      <c r="AI19" s="393">
        <f>IF(T19="AIR",'Catalogue Aluminium'!$K$141,IF(T19="TRENCH",'Catalogue Aluminium'!$K$144,"NA"))</f>
        <v>0.82</v>
      </c>
      <c r="AJ19" s="392">
        <f>IF(T19="Air",(IF(U19="1C",'Catalogue Aluminium'!$L$141,'Catalogue Aluminium'!$M$141)),IF(T19="DUCT",(IF($U19="1C",'Catalogue Aluminium'!$L$142,'Catalogue Aluminium'!$M$142)),IF(T19="GROUND",(IF($U19="1C",'Catalogue Aluminium'!$L$143,'Catalogue Aluminium'!$M$143)),IF(T19="TRENCH",(IF($U19="1C",'Catalogue Aluminium'!$L$144,'Catalogue Aluminium'!$M$144))))))</f>
        <v>0.73</v>
      </c>
      <c r="AK19" s="393" t="str">
        <f>IF(T19="Air",'Catalogue Aluminium'!$N$141,IF(T19="GROUND",'Catalogue Aluminium'!$N$142,IF(T19="DUCT",'Catalogue Aluminium'!$N$143,IF(T19="TRENCH",'Catalogue Aluminium'!$N$144,"NA"))))</f>
        <v>NA</v>
      </c>
      <c r="AL19" s="393" t="str">
        <f>IF(T19="Air",(IF(U19="1C",'Catalogue Aluminium'!$O$141,'Catalogue Aluminium'!$P$141)),IF(T19="DUCT",(IF($U19="1C",'Catalogue Aluminium'!$O$142,'Catalogue Aluminium'!$P$142)),IF(T19="GROUND",(IF($U19="1C",'Catalogue Aluminium'!$O$143,'Catalogue Aluminium'!$P$143)),IF(T19="TRENCH",(IF($U19="1C",'Catalogue Aluminium'!$O$144,'Catalogue Aluminium'!$P$144))))))</f>
        <v>NA</v>
      </c>
      <c r="AM19" s="393" t="str">
        <f>IF(T19="AIR","NA",IF(T19="TRENCH","NA",IF(T19="DUCT",IF(U19="1C",VLOOKUP(V19,'Catalogue Aluminium'!$Q$142:$S$153,2,FALSE),VLOOKUP(V19,'Catalogue Aluminium'!$Q$142:$S$153,3)),IF(T19="GROUND",IF(U19="1C",VLOOKUP(V19,'Catalogue Aluminium'!$Q$142:$S$153,2,FALSE),VLOOKUP(V19,'Catalogue Aluminium'!$Q$142:$S$153,3))))))</f>
        <v>NA</v>
      </c>
      <c r="AN19" s="404">
        <f t="shared" ref="AN19" si="376">IF(T19="AIR",AI19*AJ19,IF(T19="TRENCH",AI19*AJ19,IF(T19="DUCT",AJ19*AK19*AL19*AM19,IF(T19="GROUND",AJ19*AK19*AL19*AM19))))</f>
        <v>0.59859999999999991</v>
      </c>
      <c r="AO19" s="392">
        <f t="shared" ref="AO19" si="377">Z19*AN19</f>
        <v>22.746799999999997</v>
      </c>
      <c r="AP19" s="434">
        <f t="shared" ref="AP19" si="378">CEILING(((N19)/AO19),1)</f>
        <v>1</v>
      </c>
      <c r="AQ19" s="418" t="str">
        <f t="shared" ref="AQ19" si="379">IF(AO19*AP19&gt;=N19,"YES","NO")</f>
        <v>YES</v>
      </c>
      <c r="AR19" s="437">
        <f t="shared" ref="AR19" si="380">SQRT(3)*AH19*N19*((AA19*L19)+(AB19*SIN(ACOS(L19))))*100/(AP19*K19*1000)</f>
        <v>1.5402577048290433</v>
      </c>
      <c r="AS19" s="401" t="str">
        <f t="shared" si="89"/>
        <v>YES</v>
      </c>
      <c r="AT19" s="437" t="str">
        <f t="shared" si="76"/>
        <v>NA</v>
      </c>
      <c r="AU19" s="401" t="str">
        <f t="shared" si="77"/>
        <v>NA</v>
      </c>
      <c r="AV19" s="437" t="str">
        <f t="shared" si="78"/>
        <v>1R x 6/10 (12)kV x 3C x 4 Sqmm</v>
      </c>
      <c r="AW19" s="437" t="str">
        <f t="shared" si="79"/>
        <v>1R x 6/10 (12)kV x 3C x 4 Sqmm</v>
      </c>
      <c r="AX19" s="401">
        <f t="shared" si="90"/>
        <v>500</v>
      </c>
      <c r="AY19" s="401"/>
      <c r="AZ19" s="401">
        <f t="shared" si="91"/>
        <v>2</v>
      </c>
      <c r="BA19" s="438" t="str">
        <f t="shared" si="80"/>
        <v>ACDEE1E2E3E4E5</v>
      </c>
      <c r="BB19" s="390">
        <f>VLOOKUP(W19,'Catalogue Aluminium'!$B$141:$H$173,7,FALSE)</f>
        <v>15</v>
      </c>
      <c r="BC19" s="439">
        <f t="shared" si="92"/>
        <v>15</v>
      </c>
      <c r="BE19" s="344"/>
      <c r="BF19" s="344">
        <v>1</v>
      </c>
      <c r="BG19" s="344"/>
      <c r="BH19" s="344"/>
      <c r="BI19" s="344">
        <v>1</v>
      </c>
      <c r="BJ19" s="344">
        <v>1</v>
      </c>
      <c r="BK19" s="344"/>
      <c r="BL19" s="344"/>
      <c r="BM19" s="344"/>
      <c r="BN19" s="344">
        <v>1</v>
      </c>
      <c r="BO19" s="344"/>
      <c r="BP19" s="344">
        <v>1</v>
      </c>
      <c r="BQ19" s="344">
        <v>1</v>
      </c>
      <c r="BR19" s="344">
        <v>1</v>
      </c>
      <c r="BS19" s="344">
        <v>1</v>
      </c>
      <c r="BT19" s="344">
        <v>1</v>
      </c>
      <c r="BU19" s="344"/>
      <c r="BV19" s="344"/>
      <c r="BW19" s="344"/>
      <c r="BX19" s="344"/>
      <c r="BY19" s="344"/>
      <c r="BZ19" s="344"/>
      <c r="CA19" s="344"/>
      <c r="CB19" s="344"/>
      <c r="CC19" s="344"/>
      <c r="CD19" s="344"/>
      <c r="CE19" s="416"/>
      <c r="CF19" s="416"/>
      <c r="CG19" s="416"/>
      <c r="CH19" s="416"/>
      <c r="CI19" s="416"/>
      <c r="CJ19" s="416"/>
      <c r="CK19" s="416"/>
      <c r="CL19" s="416"/>
      <c r="CM19" s="416"/>
      <c r="CN19" s="416"/>
      <c r="CO19" s="416"/>
      <c r="CP19" s="416"/>
      <c r="CQ19" s="416"/>
      <c r="CR19" s="416"/>
      <c r="CS19" s="416"/>
      <c r="CT19" s="416"/>
      <c r="CU19" s="416"/>
      <c r="CV19" s="416"/>
      <c r="CW19" s="416"/>
      <c r="CX19" s="416"/>
      <c r="CY19" s="416"/>
      <c r="CZ19" s="416"/>
      <c r="DA19" s="416"/>
      <c r="DB19" s="416"/>
      <c r="DC19" s="416"/>
      <c r="DD19" s="416"/>
      <c r="DE19" s="416"/>
      <c r="DF19" s="416"/>
      <c r="DG19" s="416"/>
      <c r="DH19" s="416"/>
      <c r="DI19" s="416"/>
      <c r="DJ19" s="416"/>
      <c r="DK19" s="416"/>
      <c r="DL19" s="416"/>
      <c r="DM19" s="416"/>
      <c r="DN19" s="416"/>
      <c r="DO19" s="416"/>
      <c r="DP19" s="416"/>
      <c r="DQ19" s="416"/>
      <c r="DR19" s="416"/>
      <c r="DS19" s="416"/>
      <c r="DT19" s="416"/>
      <c r="DU19" s="416"/>
      <c r="DW19" s="336">
        <f t="shared" ref="DW19" si="381">IF(BE19=1,($BC19*BE19),0)</f>
        <v>0</v>
      </c>
      <c r="DX19" s="336">
        <f t="shared" ref="DX19" si="382">IF(BF19=1,($BC19*BF19),0)</f>
        <v>15</v>
      </c>
      <c r="DY19" s="336">
        <f t="shared" ref="DY19" si="383">IF(BG19=1,($BC19*BG19),0)</f>
        <v>0</v>
      </c>
      <c r="DZ19" s="336">
        <f t="shared" ref="DZ19" si="384">IF(BH19=1,($BC19*BH19),0)</f>
        <v>0</v>
      </c>
      <c r="EA19" s="336">
        <f t="shared" ref="EA19" si="385">IF(BI19=1,($BC19*BI19),0)</f>
        <v>15</v>
      </c>
      <c r="EB19" s="336">
        <f t="shared" ref="EB19" si="386">IF(BJ19=1,($BC19*BJ19),0)</f>
        <v>15</v>
      </c>
      <c r="EC19" s="336">
        <f t="shared" ref="EC19" si="387">IF(BK19=1,($BC19*BK19),0)</f>
        <v>0</v>
      </c>
      <c r="ED19" s="336">
        <f t="shared" ref="ED19" si="388">IF(BL19=1,($BC19*BL19),0)</f>
        <v>0</v>
      </c>
      <c r="EE19" s="336">
        <f t="shared" ref="EE19" si="389">IF(BM19=1,($BC19*BM19),0)</f>
        <v>0</v>
      </c>
      <c r="EF19" s="336">
        <f t="shared" ref="EF19" si="390">IF(BN19=1,($BC19*BN19),0)</f>
        <v>15</v>
      </c>
      <c r="EG19" s="336">
        <f t="shared" ref="EG19" si="391">IF(BO19=1,($BC19*BO19),0)</f>
        <v>0</v>
      </c>
      <c r="EH19" s="336">
        <f t="shared" ref="EH19" si="392">IF(BP19=1,($BC19*BP19),0)</f>
        <v>15</v>
      </c>
      <c r="EI19" s="336">
        <f t="shared" ref="EI19" si="393">IF(BQ19=1,($BC19*BQ19),0)</f>
        <v>15</v>
      </c>
      <c r="EJ19" s="336">
        <f t="shared" ref="EJ19" si="394">IF(BR19=1,($BC19*BR19),0)</f>
        <v>15</v>
      </c>
      <c r="EK19" s="336">
        <f t="shared" ref="EK19" si="395">IF(BS19=1,($BC19*BS19),0)</f>
        <v>15</v>
      </c>
      <c r="EL19" s="336">
        <f t="shared" ref="EL19" si="396">IF(BT19=1,($BC19*BT19),0)</f>
        <v>15</v>
      </c>
      <c r="EM19" s="336">
        <f t="shared" ref="EM19" si="397">IF(BU19=1,($BC19*BU19),0)</f>
        <v>0</v>
      </c>
      <c r="EN19" s="336">
        <f t="shared" ref="EN19" si="398">IF(BV19=1,($BC19*BV19),0)</f>
        <v>0</v>
      </c>
      <c r="EO19" s="336">
        <f t="shared" ref="EO19" si="399">IF(BW19=1,($BC19*BW19),0)</f>
        <v>0</v>
      </c>
      <c r="EP19" s="336">
        <f t="shared" ref="EP19" si="400">IF(BX19=1,($BC19*BX19),0)</f>
        <v>0</v>
      </c>
      <c r="EQ19" s="336">
        <f t="shared" ref="EQ19" si="401">IF(BY19=1,($BC19*BY19),0)</f>
        <v>0</v>
      </c>
      <c r="ER19" s="336">
        <f t="shared" ref="ER19" si="402">IF(BZ19=1,($BC19*BZ19),0)</f>
        <v>0</v>
      </c>
      <c r="ES19" s="336">
        <f t="shared" ref="ES19" si="403">IF(CA19=1,($BC19*CA19),0)</f>
        <v>0</v>
      </c>
      <c r="ET19" s="336">
        <f t="shared" si="22"/>
        <v>0</v>
      </c>
      <c r="EU19" s="336">
        <f t="shared" si="23"/>
        <v>0</v>
      </c>
      <c r="EV19" s="336">
        <f t="shared" ref="EV19" si="404">IF(CD19=1,($BC19*CD19),0)</f>
        <v>0</v>
      </c>
      <c r="EW19" s="336">
        <f t="shared" ref="EW19" si="405">IF(CE19=1,($BC19*CE19),0)</f>
        <v>0</v>
      </c>
      <c r="EX19" s="336">
        <f t="shared" ref="EX19" si="406">IF(CF19=1,($BC19*CF19),0)</f>
        <v>0</v>
      </c>
      <c r="EY19" s="336">
        <f t="shared" ref="EY19" si="407">IF(CG19=1,($BC19*CG19),0)</f>
        <v>0</v>
      </c>
      <c r="EZ19" s="336">
        <f t="shared" ref="EZ19" si="408">IF(CH19=1,($BC19*CH19),0)</f>
        <v>0</v>
      </c>
      <c r="FA19" s="336">
        <f t="shared" ref="FA19" si="409">IF(CI19=1,($BC19*CI19),0)</f>
        <v>0</v>
      </c>
      <c r="FB19" s="336">
        <f t="shared" ref="FB19" si="410">IF(CJ19=1,($BC19*CJ19),0)</f>
        <v>0</v>
      </c>
      <c r="FC19" s="336">
        <f t="shared" ref="FC19" si="411">IF(CK19=1,($BC19*CK19),0)</f>
        <v>0</v>
      </c>
      <c r="FD19" s="336">
        <f t="shared" ref="FD19" si="412">IF(CL19=1,($BC19*CL19),0)</f>
        <v>0</v>
      </c>
      <c r="FE19" s="336">
        <f t="shared" ref="FE19" si="413">IF(CM19=1,($BC19*CM19),0)</f>
        <v>0</v>
      </c>
      <c r="FF19" s="336">
        <f t="shared" ref="FF19" si="414">IF(CN19=1,($BC19*CN19),0)</f>
        <v>0</v>
      </c>
      <c r="FG19" s="336">
        <f t="shared" ref="FG19" si="415">IF(CO19=1,($BC19*CO19),0)</f>
        <v>0</v>
      </c>
      <c r="FH19" s="336">
        <f t="shared" ref="FH19" si="416">IF(CP19=1,($BC19*CP19),0)</f>
        <v>0</v>
      </c>
      <c r="FI19" s="336">
        <f t="shared" ref="FI19" si="417">IF(CQ19=1,($BC19*CQ19),0)</f>
        <v>0</v>
      </c>
      <c r="FJ19" s="336">
        <f t="shared" ref="FJ19" si="418">IF(CR19=1,($BC19*CR19),0)</f>
        <v>0</v>
      </c>
      <c r="FK19" s="336">
        <f t="shared" ref="FK19" si="419">IF(CS19=1,($BC19*CS19),0)</f>
        <v>0</v>
      </c>
      <c r="FL19" s="336">
        <f t="shared" ref="FL19" si="420">IF(CT19=1,($BC19*CT19),0)</f>
        <v>0</v>
      </c>
      <c r="FM19" s="336">
        <f t="shared" ref="FM19" si="421">IF(CU19=1,($BC19*CU19),0)</f>
        <v>0</v>
      </c>
      <c r="FN19" s="336">
        <f t="shared" ref="FN19" si="422">IF(CV19=1,($BC19*CV19),0)</f>
        <v>0</v>
      </c>
      <c r="FO19" s="336">
        <f t="shared" ref="FO19" si="423">IF(CW19=1,($BC19*CW19),0)</f>
        <v>0</v>
      </c>
      <c r="FP19" s="336">
        <f t="shared" ref="FP19" si="424">IF(CX19=1,($BC19*CX19),0)</f>
        <v>0</v>
      </c>
      <c r="FQ19" s="336">
        <f t="shared" ref="FQ19" si="425">IF(CY19=1,($BC19*CY19),0)</f>
        <v>0</v>
      </c>
      <c r="FR19" s="336">
        <f t="shared" ref="FR19" si="426">IF(CZ19=1,($BC19*CZ19),0)</f>
        <v>0</v>
      </c>
      <c r="FS19" s="336">
        <f t="shared" ref="FS19" si="427">IF(DA19=1,($BC19*DA19),0)</f>
        <v>0</v>
      </c>
      <c r="FT19" s="336">
        <f t="shared" ref="FT19" si="428">IF(DB19=1,($BC19*DB19),0)</f>
        <v>0</v>
      </c>
      <c r="FU19" s="336">
        <f t="shared" si="93"/>
        <v>0</v>
      </c>
      <c r="FV19" s="336">
        <f t="shared" si="94"/>
        <v>0</v>
      </c>
      <c r="FW19" s="336">
        <f t="shared" si="95"/>
        <v>0</v>
      </c>
      <c r="FX19" s="336">
        <f t="shared" si="96"/>
        <v>0</v>
      </c>
      <c r="FY19" s="336">
        <f t="shared" ref="FY19" si="429">IF(DG19=1,($BC19*DG19),0)</f>
        <v>0</v>
      </c>
      <c r="FZ19" s="336">
        <f t="shared" ref="FZ19" si="430">IF(DH19=1,($BC19*DH19),0)</f>
        <v>0</v>
      </c>
      <c r="GA19" s="336">
        <f t="shared" ref="GA19" si="431">IF(DI19=1,($BC19*DI19),0)</f>
        <v>0</v>
      </c>
      <c r="GB19" s="336">
        <f t="shared" ref="GB19" si="432">IF(DJ19=1,($BC19*DJ19),0)</f>
        <v>0</v>
      </c>
      <c r="GC19" s="336">
        <f t="shared" ref="GC19" si="433">IF(DK19=1,($BC19*DK19),0)</f>
        <v>0</v>
      </c>
      <c r="GD19" s="336">
        <f t="shared" ref="GD19" si="434">IF(DL19=1,($BC19*DL19),0)</f>
        <v>0</v>
      </c>
      <c r="GE19" s="336">
        <f t="shared" ref="GE19" si="435">IF(DM19=1,($BC19*DM19),0)</f>
        <v>0</v>
      </c>
      <c r="GF19" s="336">
        <f t="shared" ref="GF19" si="436">IF(DN19=1,($BC19*DN19),0)</f>
        <v>0</v>
      </c>
      <c r="GG19" s="336">
        <f t="shared" ref="GG19" si="437">IF(DO19=1,($BC19*DO19),0)</f>
        <v>0</v>
      </c>
      <c r="GH19" s="336">
        <f t="shared" ref="GH19" si="438">IF(DP19=1,($BC19*DP19),0)</f>
        <v>0</v>
      </c>
      <c r="GI19" s="336">
        <f t="shared" ref="GI19" si="439">IF(DQ19=1,($BC19*DQ19),0)</f>
        <v>0</v>
      </c>
      <c r="GJ19" s="336">
        <f t="shared" ref="GJ19" si="440">IF(DR19=1,($BC19*DR19),0)</f>
        <v>0</v>
      </c>
      <c r="GK19" s="336">
        <f t="shared" ref="GK19" si="441">IF(DS19=1,($BC19*DS19),0)</f>
        <v>0</v>
      </c>
      <c r="GL19" s="336">
        <f t="shared" si="164"/>
        <v>0</v>
      </c>
      <c r="GM19" s="336">
        <f t="shared" ref="GM19" si="442">IF(DU19=1,($BC19*DU19),0)</f>
        <v>0</v>
      </c>
    </row>
    <row r="20" spans="1:195" ht="18" customHeight="1">
      <c r="A20" s="337">
        <f t="shared" si="305"/>
        <v>12</v>
      </c>
      <c r="B20" s="414" t="s">
        <v>367</v>
      </c>
      <c r="C20" s="337" t="str">
        <f t="shared" si="82"/>
        <v>11kV MV Switchgear-1</v>
      </c>
      <c r="D20" s="415" t="s">
        <v>368</v>
      </c>
      <c r="E20" s="416" t="s">
        <v>345</v>
      </c>
      <c r="F20" s="417" t="s">
        <v>28</v>
      </c>
      <c r="G20" s="340" t="s">
        <v>342</v>
      </c>
      <c r="H20" s="418">
        <v>5400</v>
      </c>
      <c r="I20" s="337" t="s">
        <v>330</v>
      </c>
      <c r="J20" s="337" t="s">
        <v>331</v>
      </c>
      <c r="K20" s="341">
        <v>11000</v>
      </c>
      <c r="L20" s="342">
        <v>0.88</v>
      </c>
      <c r="M20" s="342">
        <v>0.97</v>
      </c>
      <c r="N20" s="342">
        <f t="shared" si="83"/>
        <v>332.04640346028759</v>
      </c>
      <c r="O20" s="342">
        <f t="shared" si="67"/>
        <v>332.04640346028759</v>
      </c>
      <c r="P20" s="343" t="str">
        <f t="shared" si="84"/>
        <v>0.00</v>
      </c>
      <c r="Q20" s="342">
        <v>31.5</v>
      </c>
      <c r="R20" s="342">
        <v>0.16</v>
      </c>
      <c r="S20" s="342">
        <f t="shared" si="85"/>
        <v>134.04255319148936</v>
      </c>
      <c r="T20" s="344" t="s">
        <v>131</v>
      </c>
      <c r="U20" s="342" t="s">
        <v>333</v>
      </c>
      <c r="V20" s="344">
        <v>150</v>
      </c>
      <c r="W20" s="343" t="str">
        <f t="shared" si="69"/>
        <v>3C X 150</v>
      </c>
      <c r="X20" s="343" t="str">
        <f t="shared" si="70"/>
        <v>3C X 150</v>
      </c>
      <c r="Y20" s="419" t="s">
        <v>346</v>
      </c>
      <c r="Z20" s="344">
        <f>IF(T20="AIR",VLOOKUP(W20,'Catalogue Aluminium'!$B$141:$G$173,2,FALSE),IF(T20="GROUND",VLOOKUP(W20,'Catalogue Aluminium'!$B$141:$G$173,3,FALSE),IF(T20="DUCT",VLOOKUP(W20,'Catalogue Aluminium'!$B$141:$G$173,4,FALSE),IF(T20="TRENCH",VLOOKUP(W20,'Catalogue Aluminium'!$B$141:$G$173,2,FALSE)))))</f>
        <v>309</v>
      </c>
      <c r="AA20" s="345">
        <f>VLOOKUP(W20,'Catalogue Aluminium'!$B$141:$G$173,5,FALSE)</f>
        <v>0.26500000000000001</v>
      </c>
      <c r="AB20" s="345">
        <f>VLOOKUP(W20,'Catalogue Aluminium'!$B$141:$G$173,6,FALSE)</f>
        <v>9.2999999999999999E-2</v>
      </c>
      <c r="AC20" s="349">
        <f t="shared" si="236"/>
        <v>67</v>
      </c>
      <c r="AD20" s="343">
        <f>40+50+38+50+17+(27+42+33)</f>
        <v>297</v>
      </c>
      <c r="AE20" s="343">
        <f t="shared" ref="AE20:AE31" si="443">11+8+8+11</f>
        <v>38</v>
      </c>
      <c r="AF20" s="343">
        <f t="shared" si="167"/>
        <v>10</v>
      </c>
      <c r="AG20" s="343">
        <f t="shared" si="86"/>
        <v>42</v>
      </c>
      <c r="AH20" s="347">
        <f t="shared" si="87"/>
        <v>460</v>
      </c>
      <c r="AI20" s="344">
        <f>IF(T20="AIR",'Catalogue Aluminium'!$K$141,IF(T20="TRENCH",'Catalogue Aluminium'!$K$144,"NA"))</f>
        <v>0.82</v>
      </c>
      <c r="AJ20" s="342">
        <f>IF(T20="Air",(IF(U20="1C",'Catalogue Aluminium'!$L$141,'Catalogue Aluminium'!$M$141)),IF(T20="DUCT",(IF($U20="1C",'Catalogue Aluminium'!$L$142,'Catalogue Aluminium'!$M$142)),IF(T20="GROUND",(IF($U20="1C",'Catalogue Aluminium'!$L$143,'Catalogue Aluminium'!$M$143)),IF(T20="TRENCH",(IF($U20="1C",'Catalogue Aluminium'!$L$144,'Catalogue Aluminium'!$M$144))))))</f>
        <v>0.73</v>
      </c>
      <c r="AK20" s="344" t="str">
        <f>IF(T20="Air",'Catalogue Aluminium'!$N$141,IF(T20="GROUND",'Catalogue Aluminium'!$N$142,IF(T20="DUCT",'Catalogue Aluminium'!$N$143,IF(T20="TRENCH",'Catalogue Aluminium'!$N$144,"NA"))))</f>
        <v>NA</v>
      </c>
      <c r="AL20" s="344" t="str">
        <f>IF(T20="Air",(IF(U20="1C",'Catalogue Aluminium'!$O$141,'Catalogue Aluminium'!$P$141)),IF(T20="DUCT",(IF($U20="1C",'Catalogue Aluminium'!$O$142,'Catalogue Aluminium'!$P$142)),IF(T20="GROUND",(IF($U20="1C",'Catalogue Aluminium'!$O$143,'Catalogue Aluminium'!$P$143)),IF(T20="TRENCH",(IF($U20="1C",'Catalogue Aluminium'!$O$144,'Catalogue Aluminium'!$P$144))))))</f>
        <v>NA</v>
      </c>
      <c r="AM20" s="344" t="str">
        <f>IF(T20="AIR","NA",IF(T20="TRENCH","NA",IF(T20="DUCT",IF(U20="1C",VLOOKUP(V20,'Catalogue Aluminium'!$Q$142:$S$153,2,FALSE),VLOOKUP(V20,'Catalogue Aluminium'!$Q$142:$S$153,3)),IF(T20="GROUND",IF(U20="1C",VLOOKUP(V20,'Catalogue Aluminium'!$Q$142:$S$153,2,FALSE),VLOOKUP(V20,'Catalogue Aluminium'!$Q$142:$S$153,3))))))</f>
        <v>NA</v>
      </c>
      <c r="AN20" s="348">
        <f t="shared" si="71"/>
        <v>0.59859999999999991</v>
      </c>
      <c r="AO20" s="342">
        <f t="shared" si="72"/>
        <v>184.96739999999997</v>
      </c>
      <c r="AP20" s="349">
        <f t="shared" si="73"/>
        <v>2</v>
      </c>
      <c r="AQ20" s="350" t="str">
        <f t="shared" si="74"/>
        <v>YES</v>
      </c>
      <c r="AR20" s="351">
        <f t="shared" si="75"/>
        <v>0.33354777042075884</v>
      </c>
      <c r="AS20" s="343" t="b">
        <f t="shared" si="89"/>
        <v>0</v>
      </c>
      <c r="AT20" s="351" t="str">
        <f t="shared" si="76"/>
        <v>NA</v>
      </c>
      <c r="AU20" s="343" t="str">
        <f t="shared" si="77"/>
        <v>NA</v>
      </c>
      <c r="AV20" s="351" t="str">
        <f t="shared" si="78"/>
        <v>2R x 6/10 (12)kV x 3C x 150 Sqmm</v>
      </c>
      <c r="AW20" s="351" t="str">
        <f t="shared" si="79"/>
        <v>2R x 6/10 (12)kV x 3C x 150 Sqmm</v>
      </c>
      <c r="AX20" s="343">
        <f t="shared" si="90"/>
        <v>920</v>
      </c>
      <c r="AY20" s="343"/>
      <c r="AZ20" s="343">
        <f t="shared" si="91"/>
        <v>4</v>
      </c>
      <c r="BA20" s="356" t="str">
        <f t="shared" si="80"/>
        <v>ACDEE1E2E3E4</v>
      </c>
      <c r="BB20" s="340">
        <f>VLOOKUP(W20,'Catalogue Aluminium'!$B$141:$H$173,7,FALSE)</f>
        <v>62</v>
      </c>
      <c r="BC20" s="328">
        <f t="shared" si="92"/>
        <v>124</v>
      </c>
      <c r="BE20" s="344"/>
      <c r="BF20" s="344">
        <v>1</v>
      </c>
      <c r="BG20" s="344"/>
      <c r="BH20" s="344"/>
      <c r="BI20" s="344">
        <v>1</v>
      </c>
      <c r="BJ20" s="344">
        <v>1</v>
      </c>
      <c r="BK20" s="344"/>
      <c r="BL20" s="344"/>
      <c r="BM20" s="344"/>
      <c r="BN20" s="344">
        <v>1</v>
      </c>
      <c r="BO20" s="344"/>
      <c r="BP20" s="344">
        <v>1</v>
      </c>
      <c r="BQ20" s="344">
        <v>1</v>
      </c>
      <c r="BR20" s="344">
        <v>1</v>
      </c>
      <c r="BS20" s="344">
        <v>1</v>
      </c>
      <c r="BT20" s="344"/>
      <c r="BU20" s="344"/>
      <c r="BV20" s="344"/>
      <c r="BW20" s="344"/>
      <c r="BX20" s="344"/>
      <c r="BY20" s="344"/>
      <c r="BZ20" s="344"/>
      <c r="CA20" s="344"/>
      <c r="CB20" s="344"/>
      <c r="CC20" s="344"/>
      <c r="CD20" s="344"/>
      <c r="CE20" s="416"/>
      <c r="CF20" s="416"/>
      <c r="CG20" s="416"/>
      <c r="CH20" s="416"/>
      <c r="CI20" s="416"/>
      <c r="CJ20" s="416"/>
      <c r="CK20" s="416"/>
      <c r="CL20" s="416"/>
      <c r="CM20" s="416"/>
      <c r="CN20" s="416"/>
      <c r="CO20" s="416"/>
      <c r="CP20" s="416"/>
      <c r="CQ20" s="416"/>
      <c r="CR20" s="416"/>
      <c r="CS20" s="416"/>
      <c r="CT20" s="416"/>
      <c r="CU20" s="416"/>
      <c r="CV20" s="416"/>
      <c r="CW20" s="416"/>
      <c r="CX20" s="416"/>
      <c r="CY20" s="416"/>
      <c r="CZ20" s="416"/>
      <c r="DA20" s="416"/>
      <c r="DB20" s="416"/>
      <c r="DC20" s="416"/>
      <c r="DD20" s="416"/>
      <c r="DE20" s="416"/>
      <c r="DF20" s="416"/>
      <c r="DG20" s="416"/>
      <c r="DH20" s="416"/>
      <c r="DI20" s="416"/>
      <c r="DJ20" s="416"/>
      <c r="DK20" s="416"/>
      <c r="DL20" s="416"/>
      <c r="DM20" s="416"/>
      <c r="DN20" s="416"/>
      <c r="DO20" s="416"/>
      <c r="DP20" s="416"/>
      <c r="DQ20" s="416"/>
      <c r="DR20" s="416"/>
      <c r="DS20" s="416"/>
      <c r="DT20" s="416"/>
      <c r="DU20" s="416"/>
      <c r="DW20" s="336">
        <f t="shared" si="81"/>
        <v>0</v>
      </c>
      <c r="DX20" s="336">
        <f t="shared" si="0"/>
        <v>124</v>
      </c>
      <c r="DY20" s="336">
        <f t="shared" si="1"/>
        <v>0</v>
      </c>
      <c r="DZ20" s="336">
        <f t="shared" si="2"/>
        <v>0</v>
      </c>
      <c r="EA20" s="336">
        <f t="shared" si="3"/>
        <v>124</v>
      </c>
      <c r="EB20" s="336">
        <f t="shared" si="4"/>
        <v>124</v>
      </c>
      <c r="EC20" s="336">
        <f t="shared" si="5"/>
        <v>0</v>
      </c>
      <c r="ED20" s="336">
        <f t="shared" si="6"/>
        <v>0</v>
      </c>
      <c r="EE20" s="336">
        <f t="shared" si="7"/>
        <v>0</v>
      </c>
      <c r="EF20" s="336">
        <f t="shared" si="8"/>
        <v>124</v>
      </c>
      <c r="EG20" s="336">
        <f t="shared" si="9"/>
        <v>0</v>
      </c>
      <c r="EH20" s="336">
        <f t="shared" si="10"/>
        <v>124</v>
      </c>
      <c r="EI20" s="336">
        <f t="shared" si="11"/>
        <v>124</v>
      </c>
      <c r="EJ20" s="336">
        <f t="shared" si="12"/>
        <v>124</v>
      </c>
      <c r="EK20" s="336">
        <f t="shared" si="13"/>
        <v>124</v>
      </c>
      <c r="EL20" s="336">
        <f t="shared" si="14"/>
        <v>0</v>
      </c>
      <c r="EM20" s="336">
        <f t="shared" si="15"/>
        <v>0</v>
      </c>
      <c r="EN20" s="336">
        <f t="shared" si="16"/>
        <v>0</v>
      </c>
      <c r="EO20" s="336">
        <f t="shared" si="17"/>
        <v>0</v>
      </c>
      <c r="EP20" s="336">
        <f t="shared" si="18"/>
        <v>0</v>
      </c>
      <c r="EQ20" s="336">
        <f t="shared" si="19"/>
        <v>0</v>
      </c>
      <c r="ER20" s="336">
        <f t="shared" si="20"/>
        <v>0</v>
      </c>
      <c r="ES20" s="336">
        <f t="shared" si="21"/>
        <v>0</v>
      </c>
      <c r="ET20" s="336">
        <f t="shared" si="22"/>
        <v>0</v>
      </c>
      <c r="EU20" s="336">
        <f t="shared" si="23"/>
        <v>0</v>
      </c>
      <c r="EV20" s="336">
        <f t="shared" si="24"/>
        <v>0</v>
      </c>
      <c r="EW20" s="336">
        <f t="shared" si="25"/>
        <v>0</v>
      </c>
      <c r="EX20" s="336">
        <f t="shared" si="26"/>
        <v>0</v>
      </c>
      <c r="EY20" s="336">
        <f t="shared" si="27"/>
        <v>0</v>
      </c>
      <c r="EZ20" s="336">
        <f t="shared" si="28"/>
        <v>0</v>
      </c>
      <c r="FA20" s="336">
        <f t="shared" si="29"/>
        <v>0</v>
      </c>
      <c r="FB20" s="336">
        <f t="shared" si="30"/>
        <v>0</v>
      </c>
      <c r="FC20" s="336">
        <f t="shared" si="31"/>
        <v>0</v>
      </c>
      <c r="FD20" s="336">
        <f t="shared" si="32"/>
        <v>0</v>
      </c>
      <c r="FE20" s="336">
        <f t="shared" si="33"/>
        <v>0</v>
      </c>
      <c r="FF20" s="336">
        <f t="shared" si="34"/>
        <v>0</v>
      </c>
      <c r="FG20" s="336">
        <f t="shared" si="35"/>
        <v>0</v>
      </c>
      <c r="FH20" s="336">
        <f t="shared" si="36"/>
        <v>0</v>
      </c>
      <c r="FI20" s="336">
        <f t="shared" si="37"/>
        <v>0</v>
      </c>
      <c r="FJ20" s="336">
        <f t="shared" si="38"/>
        <v>0</v>
      </c>
      <c r="FK20" s="336">
        <f t="shared" si="39"/>
        <v>0</v>
      </c>
      <c r="FL20" s="336">
        <f t="shared" si="40"/>
        <v>0</v>
      </c>
      <c r="FM20" s="336">
        <f t="shared" si="41"/>
        <v>0</v>
      </c>
      <c r="FN20" s="336">
        <f t="shared" si="42"/>
        <v>0</v>
      </c>
      <c r="FO20" s="336">
        <f t="shared" si="43"/>
        <v>0</v>
      </c>
      <c r="FP20" s="336">
        <f t="shared" si="44"/>
        <v>0</v>
      </c>
      <c r="FQ20" s="336">
        <f t="shared" si="45"/>
        <v>0</v>
      </c>
      <c r="FR20" s="336">
        <f t="shared" si="46"/>
        <v>0</v>
      </c>
      <c r="FS20" s="336">
        <f t="shared" si="47"/>
        <v>0</v>
      </c>
      <c r="FT20" s="336">
        <f t="shared" si="48"/>
        <v>0</v>
      </c>
      <c r="FU20" s="336">
        <f t="shared" si="93"/>
        <v>0</v>
      </c>
      <c r="FV20" s="336">
        <f t="shared" si="94"/>
        <v>0</v>
      </c>
      <c r="FW20" s="336">
        <f t="shared" si="95"/>
        <v>0</v>
      </c>
      <c r="FX20" s="336">
        <f t="shared" si="96"/>
        <v>0</v>
      </c>
      <c r="FY20" s="336">
        <f t="shared" si="53"/>
        <v>0</v>
      </c>
      <c r="FZ20" s="336">
        <f t="shared" si="54"/>
        <v>0</v>
      </c>
      <c r="GA20" s="336">
        <f t="shared" si="55"/>
        <v>0</v>
      </c>
      <c r="GB20" s="336">
        <f t="shared" si="56"/>
        <v>0</v>
      </c>
      <c r="GC20" s="336">
        <f t="shared" si="57"/>
        <v>0</v>
      </c>
      <c r="GD20" s="336">
        <f t="shared" si="58"/>
        <v>0</v>
      </c>
      <c r="GE20" s="336">
        <f t="shared" si="59"/>
        <v>0</v>
      </c>
      <c r="GF20" s="336">
        <f t="shared" si="60"/>
        <v>0</v>
      </c>
      <c r="GG20" s="336">
        <f t="shared" si="61"/>
        <v>0</v>
      </c>
      <c r="GH20" s="336">
        <f t="shared" si="62"/>
        <v>0</v>
      </c>
      <c r="GI20" s="336">
        <f t="shared" si="63"/>
        <v>0</v>
      </c>
      <c r="GJ20" s="336">
        <f t="shared" si="64"/>
        <v>0</v>
      </c>
      <c r="GK20" s="336">
        <f>IF(DS20=1,($BC20*DS20),0)</f>
        <v>0</v>
      </c>
      <c r="GL20" s="336">
        <f t="shared" si="164"/>
        <v>0</v>
      </c>
      <c r="GM20" s="336">
        <f t="shared" si="66"/>
        <v>0</v>
      </c>
    </row>
    <row r="21" spans="1:195" ht="18" customHeight="1">
      <c r="A21" s="337">
        <f t="shared" si="305"/>
        <v>13</v>
      </c>
      <c r="B21" s="427" t="s">
        <v>369</v>
      </c>
      <c r="C21" s="337" t="str">
        <f t="shared" si="82"/>
        <v>11kV MV Switchgear-1</v>
      </c>
      <c r="D21" s="415" t="s">
        <v>368</v>
      </c>
      <c r="E21" s="416" t="s">
        <v>345</v>
      </c>
      <c r="F21" s="417" t="s">
        <v>29</v>
      </c>
      <c r="G21" s="340" t="s">
        <v>342</v>
      </c>
      <c r="H21" s="418">
        <v>2000</v>
      </c>
      <c r="I21" s="337" t="s">
        <v>330</v>
      </c>
      <c r="J21" s="337" t="s">
        <v>331</v>
      </c>
      <c r="K21" s="341">
        <v>11000</v>
      </c>
      <c r="L21" s="342">
        <v>0.88</v>
      </c>
      <c r="M21" s="342">
        <v>0.97</v>
      </c>
      <c r="N21" s="342">
        <f t="shared" si="83"/>
        <v>122.98014942973613</v>
      </c>
      <c r="O21" s="342">
        <f t="shared" si="67"/>
        <v>122.98014942973613</v>
      </c>
      <c r="P21" s="343" t="str">
        <f t="shared" si="84"/>
        <v>0.00</v>
      </c>
      <c r="Q21" s="342">
        <v>31.5</v>
      </c>
      <c r="R21" s="342">
        <v>0.16</v>
      </c>
      <c r="S21" s="342">
        <f t="shared" si="85"/>
        <v>134.04255319148936</v>
      </c>
      <c r="T21" s="344" t="s">
        <v>131</v>
      </c>
      <c r="U21" s="342" t="s">
        <v>333</v>
      </c>
      <c r="V21" s="344">
        <v>150</v>
      </c>
      <c r="W21" s="343" t="str">
        <f t="shared" si="69"/>
        <v>3C X 150</v>
      </c>
      <c r="X21" s="343" t="str">
        <f t="shared" si="70"/>
        <v>3C X 150</v>
      </c>
      <c r="Y21" s="419" t="s">
        <v>346</v>
      </c>
      <c r="Z21" s="344">
        <f>IF(T21="AIR",VLOOKUP(W21,'Catalogue Aluminium'!$B$141:$G$173,2,FALSE),IF(T21="GROUND",VLOOKUP(W21,'Catalogue Aluminium'!$B$141:$G$173,3,FALSE),IF(T21="DUCT",VLOOKUP(W21,'Catalogue Aluminium'!$B$141:$G$173,4,FALSE),IF(T21="TRENCH",VLOOKUP(W21,'Catalogue Aluminium'!$B$141:$G$173,2,FALSE)))))</f>
        <v>309</v>
      </c>
      <c r="AA21" s="345">
        <f>VLOOKUP(W21,'Catalogue Aluminium'!$B$141:$G$173,5,FALSE)</f>
        <v>0.26500000000000001</v>
      </c>
      <c r="AB21" s="345">
        <f>VLOOKUP(W21,'Catalogue Aluminium'!$B$141:$G$173,6,FALSE)</f>
        <v>9.2999999999999999E-2</v>
      </c>
      <c r="AC21" s="349">
        <f>23+30</f>
        <v>53</v>
      </c>
      <c r="AD21" s="343">
        <f t="shared" ref="AD21" si="444">40+50+38+50+17+(27+42+30+20)</f>
        <v>314</v>
      </c>
      <c r="AE21" s="343">
        <f t="shared" si="443"/>
        <v>38</v>
      </c>
      <c r="AF21" s="343">
        <f t="shared" si="167"/>
        <v>10</v>
      </c>
      <c r="AG21" s="343">
        <f t="shared" si="86"/>
        <v>42</v>
      </c>
      <c r="AH21" s="347">
        <f t="shared" si="87"/>
        <v>460</v>
      </c>
      <c r="AI21" s="344">
        <f>IF(T21="AIR",'Catalogue Aluminium'!$K$141,IF(T21="TRENCH",'Catalogue Aluminium'!$K$144,"NA"))</f>
        <v>0.82</v>
      </c>
      <c r="AJ21" s="342">
        <f>IF(T21="Air",(IF(U21="1C",'Catalogue Aluminium'!$L$141,'Catalogue Aluminium'!$M$141)),IF(T21="DUCT",(IF($U21="1C",'Catalogue Aluminium'!$L$142,'Catalogue Aluminium'!$M$142)),IF(T21="GROUND",(IF($U21="1C",'Catalogue Aluminium'!$L$143,'Catalogue Aluminium'!$M$143)),IF(T21="TRENCH",(IF($U21="1C",'Catalogue Aluminium'!$L$144,'Catalogue Aluminium'!$M$144))))))</f>
        <v>0.73</v>
      </c>
      <c r="AK21" s="344" t="str">
        <f>IF(T21="Air",'Catalogue Aluminium'!$N$141,IF(T21="GROUND",'Catalogue Aluminium'!$N$142,IF(T21="DUCT",'Catalogue Aluminium'!$N$143,IF(T21="TRENCH",'Catalogue Aluminium'!$N$144,"NA"))))</f>
        <v>NA</v>
      </c>
      <c r="AL21" s="344" t="str">
        <f>IF(T21="Air",(IF(U21="1C",'Catalogue Aluminium'!$O$141,'Catalogue Aluminium'!$P$141)),IF(T21="DUCT",(IF($U21="1C",'Catalogue Aluminium'!$O$142,'Catalogue Aluminium'!$P$142)),IF(T21="GROUND",(IF($U21="1C",'Catalogue Aluminium'!$O$143,'Catalogue Aluminium'!$P$143)),IF(T21="TRENCH",(IF($U21="1C",'Catalogue Aluminium'!$O$144,'Catalogue Aluminium'!$P$144))))))</f>
        <v>NA</v>
      </c>
      <c r="AM21" s="344" t="str">
        <f>IF(T21="AIR","NA",IF(T21="TRENCH","NA",IF(T21="DUCT",IF(U21="1C",VLOOKUP(V21,'Catalogue Aluminium'!$Q$142:$S$153,2,FALSE),VLOOKUP(V21,'Catalogue Aluminium'!$Q$142:$S$153,3)),IF(T21="GROUND",IF(U21="1C",VLOOKUP(V21,'Catalogue Aluminium'!$Q$142:$S$153,2,FALSE),VLOOKUP(V21,'Catalogue Aluminium'!$Q$142:$S$153,3))))))</f>
        <v>NA</v>
      </c>
      <c r="AN21" s="348">
        <f t="shared" si="71"/>
        <v>0.59859999999999991</v>
      </c>
      <c r="AO21" s="342">
        <f t="shared" si="72"/>
        <v>184.96739999999997</v>
      </c>
      <c r="AP21" s="349">
        <f t="shared" si="73"/>
        <v>1</v>
      </c>
      <c r="AQ21" s="350" t="str">
        <f t="shared" si="74"/>
        <v>YES</v>
      </c>
      <c r="AR21" s="351">
        <f t="shared" si="75"/>
        <v>0.24707242253389539</v>
      </c>
      <c r="AS21" s="343" t="b">
        <f t="shared" si="89"/>
        <v>0</v>
      </c>
      <c r="AT21" s="351" t="str">
        <f t="shared" si="76"/>
        <v>NA</v>
      </c>
      <c r="AU21" s="343" t="str">
        <f t="shared" si="77"/>
        <v>NA</v>
      </c>
      <c r="AV21" s="351" t="str">
        <f t="shared" si="78"/>
        <v>1R x 6/10 (12)kV x 3C x 150 Sqmm</v>
      </c>
      <c r="AW21" s="351" t="str">
        <f t="shared" si="79"/>
        <v>1R x 6/10 (12)kV x 3C x 150 Sqmm</v>
      </c>
      <c r="AX21" s="343">
        <f t="shared" si="90"/>
        <v>460</v>
      </c>
      <c r="AY21" s="343"/>
      <c r="AZ21" s="343">
        <f t="shared" si="91"/>
        <v>2</v>
      </c>
      <c r="BA21" s="356" t="str">
        <f t="shared" si="80"/>
        <v>ACDEE1E2E3E4E5</v>
      </c>
      <c r="BB21" s="340">
        <f>VLOOKUP(W21,'Catalogue Aluminium'!$B$141:$H$173,7,FALSE)</f>
        <v>62</v>
      </c>
      <c r="BC21" s="328">
        <f t="shared" si="92"/>
        <v>62</v>
      </c>
      <c r="BE21" s="344"/>
      <c r="BF21" s="344">
        <v>1</v>
      </c>
      <c r="BG21" s="344"/>
      <c r="BH21" s="344"/>
      <c r="BI21" s="344">
        <v>1</v>
      </c>
      <c r="BJ21" s="344">
        <v>1</v>
      </c>
      <c r="BK21" s="344"/>
      <c r="BL21" s="344"/>
      <c r="BM21" s="344"/>
      <c r="BN21" s="344">
        <v>1</v>
      </c>
      <c r="BO21" s="344"/>
      <c r="BP21" s="344">
        <v>1</v>
      </c>
      <c r="BQ21" s="344">
        <v>1</v>
      </c>
      <c r="BR21" s="344">
        <v>1</v>
      </c>
      <c r="BS21" s="344">
        <v>1</v>
      </c>
      <c r="BT21" s="344">
        <v>1</v>
      </c>
      <c r="BU21" s="344"/>
      <c r="BV21" s="344"/>
      <c r="BW21" s="344"/>
      <c r="BX21" s="344"/>
      <c r="BY21" s="344"/>
      <c r="BZ21" s="344"/>
      <c r="CA21" s="344"/>
      <c r="CB21" s="344"/>
      <c r="CC21" s="344"/>
      <c r="CD21" s="344"/>
      <c r="CE21" s="416"/>
      <c r="CF21" s="416"/>
      <c r="CG21" s="416"/>
      <c r="CH21" s="416"/>
      <c r="CI21" s="416"/>
      <c r="CJ21" s="416"/>
      <c r="CK21" s="416"/>
      <c r="CL21" s="416"/>
      <c r="CM21" s="416"/>
      <c r="CN21" s="416"/>
      <c r="CO21" s="416"/>
      <c r="CP21" s="416"/>
      <c r="CQ21" s="416"/>
      <c r="CR21" s="416"/>
      <c r="CS21" s="416"/>
      <c r="CT21" s="416"/>
      <c r="CU21" s="416"/>
      <c r="CV21" s="416"/>
      <c r="CW21" s="416"/>
      <c r="CX21" s="416"/>
      <c r="CY21" s="416"/>
      <c r="CZ21" s="416"/>
      <c r="DA21" s="416"/>
      <c r="DB21" s="416"/>
      <c r="DC21" s="416"/>
      <c r="DD21" s="416"/>
      <c r="DE21" s="416"/>
      <c r="DF21" s="416"/>
      <c r="DG21" s="416"/>
      <c r="DH21" s="416"/>
      <c r="DI21" s="416"/>
      <c r="DJ21" s="416"/>
      <c r="DK21" s="416"/>
      <c r="DL21" s="416"/>
      <c r="DM21" s="416"/>
      <c r="DN21" s="416"/>
      <c r="DO21" s="416"/>
      <c r="DP21" s="416"/>
      <c r="DQ21" s="416"/>
      <c r="DR21" s="416"/>
      <c r="DS21" s="416"/>
      <c r="DT21" s="416"/>
      <c r="DU21" s="416"/>
      <c r="DW21" s="336">
        <f t="shared" si="81"/>
        <v>0</v>
      </c>
      <c r="DX21" s="336">
        <f t="shared" si="0"/>
        <v>62</v>
      </c>
      <c r="DY21" s="336">
        <f t="shared" si="1"/>
        <v>0</v>
      </c>
      <c r="DZ21" s="336">
        <f t="shared" si="2"/>
        <v>0</v>
      </c>
      <c r="EA21" s="336">
        <f t="shared" si="3"/>
        <v>62</v>
      </c>
      <c r="EB21" s="336">
        <f t="shared" si="4"/>
        <v>62</v>
      </c>
      <c r="EC21" s="336">
        <f t="shared" si="5"/>
        <v>0</v>
      </c>
      <c r="ED21" s="336">
        <f t="shared" si="6"/>
        <v>0</v>
      </c>
      <c r="EE21" s="336">
        <f t="shared" si="7"/>
        <v>0</v>
      </c>
      <c r="EF21" s="336">
        <f t="shared" si="8"/>
        <v>62</v>
      </c>
      <c r="EG21" s="336">
        <f t="shared" si="9"/>
        <v>0</v>
      </c>
      <c r="EH21" s="336">
        <f t="shared" si="10"/>
        <v>62</v>
      </c>
      <c r="EI21" s="336">
        <f t="shared" si="11"/>
        <v>62</v>
      </c>
      <c r="EJ21" s="336">
        <f t="shared" si="12"/>
        <v>62</v>
      </c>
      <c r="EK21" s="336">
        <f t="shared" si="13"/>
        <v>62</v>
      </c>
      <c r="EL21" s="336">
        <f t="shared" si="14"/>
        <v>62</v>
      </c>
      <c r="EM21" s="336">
        <f t="shared" si="15"/>
        <v>0</v>
      </c>
      <c r="EN21" s="336">
        <f t="shared" si="16"/>
        <v>0</v>
      </c>
      <c r="EO21" s="336">
        <f t="shared" si="17"/>
        <v>0</v>
      </c>
      <c r="EP21" s="336">
        <f t="shared" si="18"/>
        <v>0</v>
      </c>
      <c r="EQ21" s="336">
        <f t="shared" si="19"/>
        <v>0</v>
      </c>
      <c r="ER21" s="336">
        <f t="shared" si="20"/>
        <v>0</v>
      </c>
      <c r="ES21" s="336">
        <f t="shared" si="21"/>
        <v>0</v>
      </c>
      <c r="ET21" s="336">
        <f t="shared" si="22"/>
        <v>0</v>
      </c>
      <c r="EU21" s="336">
        <f t="shared" si="23"/>
        <v>0</v>
      </c>
      <c r="EV21" s="336">
        <f t="shared" si="24"/>
        <v>0</v>
      </c>
      <c r="EW21" s="336">
        <f t="shared" si="25"/>
        <v>0</v>
      </c>
      <c r="EX21" s="336">
        <f t="shared" si="26"/>
        <v>0</v>
      </c>
      <c r="EY21" s="336">
        <f t="shared" si="27"/>
        <v>0</v>
      </c>
      <c r="EZ21" s="336">
        <f t="shared" si="28"/>
        <v>0</v>
      </c>
      <c r="FA21" s="336">
        <f t="shared" si="29"/>
        <v>0</v>
      </c>
      <c r="FB21" s="336">
        <f t="shared" si="30"/>
        <v>0</v>
      </c>
      <c r="FC21" s="336">
        <f t="shared" si="31"/>
        <v>0</v>
      </c>
      <c r="FD21" s="336">
        <f t="shared" si="32"/>
        <v>0</v>
      </c>
      <c r="FE21" s="336">
        <f t="shared" si="33"/>
        <v>0</v>
      </c>
      <c r="FF21" s="336">
        <f t="shared" si="34"/>
        <v>0</v>
      </c>
      <c r="FG21" s="336">
        <f t="shared" si="35"/>
        <v>0</v>
      </c>
      <c r="FH21" s="336">
        <f t="shared" si="36"/>
        <v>0</v>
      </c>
      <c r="FI21" s="336">
        <f t="shared" si="37"/>
        <v>0</v>
      </c>
      <c r="FJ21" s="336">
        <f t="shared" si="38"/>
        <v>0</v>
      </c>
      <c r="FK21" s="336">
        <f t="shared" si="39"/>
        <v>0</v>
      </c>
      <c r="FL21" s="336">
        <f t="shared" si="40"/>
        <v>0</v>
      </c>
      <c r="FM21" s="336">
        <f t="shared" si="41"/>
        <v>0</v>
      </c>
      <c r="FN21" s="336">
        <f t="shared" si="42"/>
        <v>0</v>
      </c>
      <c r="FO21" s="336">
        <f t="shared" si="43"/>
        <v>0</v>
      </c>
      <c r="FP21" s="336">
        <f t="shared" si="44"/>
        <v>0</v>
      </c>
      <c r="FQ21" s="336">
        <f t="shared" si="45"/>
        <v>0</v>
      </c>
      <c r="FR21" s="336">
        <f t="shared" si="46"/>
        <v>0</v>
      </c>
      <c r="FS21" s="336">
        <f t="shared" si="47"/>
        <v>0</v>
      </c>
      <c r="FT21" s="336">
        <f t="shared" si="48"/>
        <v>0</v>
      </c>
      <c r="FU21" s="336">
        <f t="shared" si="93"/>
        <v>0</v>
      </c>
      <c r="FV21" s="336">
        <f t="shared" si="94"/>
        <v>0</v>
      </c>
      <c r="FW21" s="336">
        <f t="shared" si="95"/>
        <v>0</v>
      </c>
      <c r="FX21" s="336">
        <f t="shared" si="96"/>
        <v>0</v>
      </c>
      <c r="FY21" s="336">
        <f t="shared" si="53"/>
        <v>0</v>
      </c>
      <c r="FZ21" s="336">
        <f t="shared" si="54"/>
        <v>0</v>
      </c>
      <c r="GA21" s="336">
        <f t="shared" si="55"/>
        <v>0</v>
      </c>
      <c r="GB21" s="336">
        <f t="shared" si="56"/>
        <v>0</v>
      </c>
      <c r="GC21" s="336">
        <f t="shared" si="57"/>
        <v>0</v>
      </c>
      <c r="GD21" s="336">
        <f t="shared" si="58"/>
        <v>0</v>
      </c>
      <c r="GE21" s="336">
        <f t="shared" si="59"/>
        <v>0</v>
      </c>
      <c r="GF21" s="336">
        <f t="shared" si="60"/>
        <v>0</v>
      </c>
      <c r="GG21" s="336">
        <f t="shared" si="61"/>
        <v>0</v>
      </c>
      <c r="GH21" s="336">
        <f t="shared" si="62"/>
        <v>0</v>
      </c>
      <c r="GI21" s="336">
        <f t="shared" si="63"/>
        <v>0</v>
      </c>
      <c r="GJ21" s="336">
        <f t="shared" si="64"/>
        <v>0</v>
      </c>
      <c r="GK21" s="336">
        <f>IF(DS21=1,($BC21*DS21),0)</f>
        <v>0</v>
      </c>
      <c r="GL21" s="336">
        <f t="shared" si="164"/>
        <v>0</v>
      </c>
      <c r="GM21" s="336">
        <f t="shared" si="66"/>
        <v>0</v>
      </c>
    </row>
    <row r="22" spans="1:195" ht="23.25" customHeight="1">
      <c r="A22" s="337">
        <f t="shared" si="305"/>
        <v>14</v>
      </c>
      <c r="B22" s="427" t="s">
        <v>370</v>
      </c>
      <c r="C22" s="337" t="str">
        <f t="shared" si="82"/>
        <v>11kV MV Switchgear-1</v>
      </c>
      <c r="D22" s="415" t="s">
        <v>371</v>
      </c>
      <c r="E22" s="416" t="s">
        <v>345</v>
      </c>
      <c r="F22" s="417" t="s">
        <v>29</v>
      </c>
      <c r="G22" s="340" t="s">
        <v>350</v>
      </c>
      <c r="H22" s="418">
        <v>600</v>
      </c>
      <c r="I22" s="337" t="s">
        <v>330</v>
      </c>
      <c r="J22" s="337" t="s">
        <v>331</v>
      </c>
      <c r="K22" s="341">
        <v>11000</v>
      </c>
      <c r="L22" s="342">
        <v>0.85</v>
      </c>
      <c r="M22" s="342">
        <v>0.95899999999999996</v>
      </c>
      <c r="N22" s="342">
        <f t="shared" si="83"/>
        <v>38.634308613097993</v>
      </c>
      <c r="O22" s="342">
        <f t="shared" si="67"/>
        <v>231.80585167858794</v>
      </c>
      <c r="P22" s="343">
        <f t="shared" si="84"/>
        <v>0.2</v>
      </c>
      <c r="Q22" s="342">
        <v>31.5</v>
      </c>
      <c r="R22" s="342">
        <v>0.16</v>
      </c>
      <c r="S22" s="342">
        <f t="shared" si="85"/>
        <v>134.04255319148936</v>
      </c>
      <c r="T22" s="344" t="s">
        <v>131</v>
      </c>
      <c r="U22" s="342" t="s">
        <v>333</v>
      </c>
      <c r="V22" s="344">
        <v>150</v>
      </c>
      <c r="W22" s="343" t="str">
        <f t="shared" si="69"/>
        <v>3C X 150</v>
      </c>
      <c r="X22" s="343" t="str">
        <f t="shared" si="70"/>
        <v>3C X 150+PE</v>
      </c>
      <c r="Y22" s="419" t="s">
        <v>346</v>
      </c>
      <c r="Z22" s="344">
        <f>IF(T22="AIR",VLOOKUP(W22,'Catalogue Aluminium'!$B$141:$G$173,2,FALSE),IF(T22="GROUND",VLOOKUP(W22,'Catalogue Aluminium'!$B$141:$G$173,3,FALSE),IF(T22="DUCT",VLOOKUP(W22,'Catalogue Aluminium'!$B$141:$G$173,4,FALSE),IF(T22="TRENCH",VLOOKUP(W22,'Catalogue Aluminium'!$B$141:$G$173,2,FALSE)))))</f>
        <v>309</v>
      </c>
      <c r="AA22" s="345">
        <f>VLOOKUP(W22,'Catalogue Aluminium'!$B$141:$G$173,5,FALSE)</f>
        <v>0.26500000000000001</v>
      </c>
      <c r="AB22" s="345">
        <f>VLOOKUP(W22,'Catalogue Aluminium'!$B$141:$G$173,6,FALSE)</f>
        <v>9.2999999999999999E-2</v>
      </c>
      <c r="AC22" s="349">
        <f>23+30</f>
        <v>53</v>
      </c>
      <c r="AD22" s="343">
        <f>40+50+38+50+17+(27+42+19)</f>
        <v>283</v>
      </c>
      <c r="AE22" s="343">
        <f t="shared" si="443"/>
        <v>38</v>
      </c>
      <c r="AF22" s="343">
        <f t="shared" si="167"/>
        <v>10</v>
      </c>
      <c r="AG22" s="343">
        <f t="shared" si="86"/>
        <v>39</v>
      </c>
      <c r="AH22" s="347">
        <f t="shared" si="87"/>
        <v>430</v>
      </c>
      <c r="AI22" s="344">
        <f>IF(T22="AIR",'Catalogue Aluminium'!$K$141,IF(T22="TRENCH",'Catalogue Aluminium'!$K$144,"NA"))</f>
        <v>0.82</v>
      </c>
      <c r="AJ22" s="342">
        <f>IF(T22="Air",(IF(U22="1C",'Catalogue Aluminium'!$L$141,'Catalogue Aluminium'!$M$141)),IF(T22="DUCT",(IF($U22="1C",'Catalogue Aluminium'!$L$142,'Catalogue Aluminium'!$M$142)),IF(T22="GROUND",(IF($U22="1C",'Catalogue Aluminium'!$L$143,'Catalogue Aluminium'!$M$143)),IF(T22="TRENCH",(IF($U22="1C",'Catalogue Aluminium'!$L$144,'Catalogue Aluminium'!$M$144))))))</f>
        <v>0.73</v>
      </c>
      <c r="AK22" s="344" t="str">
        <f>IF(T22="Air",'Catalogue Aluminium'!$N$141,IF(T22="GROUND",'Catalogue Aluminium'!$N$142,IF(T22="DUCT",'Catalogue Aluminium'!$N$143,IF(T22="TRENCH",'Catalogue Aluminium'!$N$144,"NA"))))</f>
        <v>NA</v>
      </c>
      <c r="AL22" s="344" t="str">
        <f>IF(T22="Air",(IF(U22="1C",'Catalogue Aluminium'!$O$141,'Catalogue Aluminium'!$P$141)),IF(T22="DUCT",(IF($U22="1C",'Catalogue Aluminium'!$O$142,'Catalogue Aluminium'!$P$142)),IF(T22="GROUND",(IF($U22="1C",'Catalogue Aluminium'!$O$143,'Catalogue Aluminium'!$P$143)),IF(T22="TRENCH",(IF($U22="1C",'Catalogue Aluminium'!$O$144,'Catalogue Aluminium'!$P$144))))))</f>
        <v>NA</v>
      </c>
      <c r="AM22" s="344" t="str">
        <f>IF(T22="AIR","NA",IF(T22="TRENCH","NA",IF(T22="DUCT",IF(U22="1C",VLOOKUP(V22,'Catalogue Aluminium'!$Q$142:$S$153,2,FALSE),VLOOKUP(V22,'Catalogue Aluminium'!$Q$142:$S$153,3)),IF(T22="GROUND",IF(U22="1C",VLOOKUP(V22,'Catalogue Aluminium'!$Q$142:$S$153,2,FALSE),VLOOKUP(V22,'Catalogue Aluminium'!$Q$142:$S$153,3))))))</f>
        <v>NA</v>
      </c>
      <c r="AN22" s="348">
        <f t="shared" si="71"/>
        <v>0.59859999999999991</v>
      </c>
      <c r="AO22" s="342">
        <f t="shared" si="72"/>
        <v>184.96739999999997</v>
      </c>
      <c r="AP22" s="349">
        <f t="shared" si="73"/>
        <v>1</v>
      </c>
      <c r="AQ22" s="350" t="str">
        <f t="shared" si="74"/>
        <v>YES</v>
      </c>
      <c r="AR22" s="351">
        <f t="shared" si="75"/>
        <v>7.1736732886377691E-2</v>
      </c>
      <c r="AS22" s="343" t="str">
        <f t="shared" si="89"/>
        <v>YES</v>
      </c>
      <c r="AT22" s="351">
        <f t="shared" si="76"/>
        <v>0.22619766383531384</v>
      </c>
      <c r="AU22" s="343" t="str">
        <f t="shared" si="77"/>
        <v>YES</v>
      </c>
      <c r="AV22" s="351" t="str">
        <f t="shared" si="78"/>
        <v>1R x 6/10 (12)kV x 3C x 150 Sqmm</v>
      </c>
      <c r="AW22" s="351" t="str">
        <f t="shared" si="79"/>
        <v>1R x 6/10 (12)kV x 3C x 150 Sqmm</v>
      </c>
      <c r="AX22" s="343">
        <f t="shared" si="90"/>
        <v>430</v>
      </c>
      <c r="AY22" s="343"/>
      <c r="AZ22" s="343">
        <f t="shared" si="91"/>
        <v>2</v>
      </c>
      <c r="BA22" s="356" t="str">
        <f t="shared" si="80"/>
        <v>ACDEE1E2E3</v>
      </c>
      <c r="BB22" s="340">
        <f>VLOOKUP(W22,'Catalogue Aluminium'!$B$141:$H$173,7,FALSE)</f>
        <v>62</v>
      </c>
      <c r="BC22" s="328">
        <f t="shared" si="92"/>
        <v>62</v>
      </c>
      <c r="BE22" s="344"/>
      <c r="BF22" s="344">
        <v>1</v>
      </c>
      <c r="BG22" s="344"/>
      <c r="BH22" s="344"/>
      <c r="BI22" s="344">
        <v>1</v>
      </c>
      <c r="BJ22" s="344">
        <v>1</v>
      </c>
      <c r="BK22" s="344"/>
      <c r="BL22" s="344"/>
      <c r="BM22" s="344"/>
      <c r="BN22" s="344">
        <v>1</v>
      </c>
      <c r="BO22" s="344"/>
      <c r="BP22" s="344">
        <v>1</v>
      </c>
      <c r="BQ22" s="344">
        <v>1</v>
      </c>
      <c r="BR22" s="344">
        <v>1</v>
      </c>
      <c r="BS22" s="344"/>
      <c r="BT22" s="344"/>
      <c r="BU22" s="344"/>
      <c r="BV22" s="344"/>
      <c r="BW22" s="344"/>
      <c r="BX22" s="344"/>
      <c r="BY22" s="344"/>
      <c r="BZ22" s="344"/>
      <c r="CA22" s="344"/>
      <c r="CB22" s="344"/>
      <c r="CC22" s="344"/>
      <c r="CD22" s="344"/>
      <c r="CE22" s="416"/>
      <c r="CF22" s="416"/>
      <c r="CG22" s="416"/>
      <c r="CH22" s="416"/>
      <c r="CI22" s="416"/>
      <c r="CJ22" s="416"/>
      <c r="CK22" s="416"/>
      <c r="CL22" s="416"/>
      <c r="CM22" s="416"/>
      <c r="CN22" s="416"/>
      <c r="CO22" s="416"/>
      <c r="CP22" s="416"/>
      <c r="CQ22" s="416"/>
      <c r="CR22" s="416"/>
      <c r="CS22" s="416"/>
      <c r="CT22" s="416"/>
      <c r="CU22" s="416"/>
      <c r="CV22" s="416"/>
      <c r="CW22" s="416"/>
      <c r="CX22" s="416"/>
      <c r="CY22" s="416"/>
      <c r="CZ22" s="416"/>
      <c r="DA22" s="416"/>
      <c r="DB22" s="416"/>
      <c r="DC22" s="416"/>
      <c r="DD22" s="416"/>
      <c r="DE22" s="416"/>
      <c r="DF22" s="416"/>
      <c r="DG22" s="416"/>
      <c r="DH22" s="416"/>
      <c r="DI22" s="416"/>
      <c r="DJ22" s="416"/>
      <c r="DK22" s="416"/>
      <c r="DL22" s="416"/>
      <c r="DM22" s="416"/>
      <c r="DN22" s="416"/>
      <c r="DO22" s="416"/>
      <c r="DP22" s="416"/>
      <c r="DQ22" s="416"/>
      <c r="DR22" s="416"/>
      <c r="DS22" s="416"/>
      <c r="DT22" s="416"/>
      <c r="DU22" s="416"/>
      <c r="DW22" s="336">
        <f t="shared" si="81"/>
        <v>0</v>
      </c>
      <c r="DX22" s="336">
        <f t="shared" si="0"/>
        <v>62</v>
      </c>
      <c r="DY22" s="336">
        <f t="shared" si="1"/>
        <v>0</v>
      </c>
      <c r="DZ22" s="336">
        <f t="shared" si="2"/>
        <v>0</v>
      </c>
      <c r="EA22" s="336">
        <f t="shared" si="3"/>
        <v>62</v>
      </c>
      <c r="EB22" s="336">
        <f t="shared" si="4"/>
        <v>62</v>
      </c>
      <c r="EC22" s="336">
        <f t="shared" si="5"/>
        <v>0</v>
      </c>
      <c r="ED22" s="336">
        <f t="shared" si="6"/>
        <v>0</v>
      </c>
      <c r="EE22" s="336">
        <f t="shared" si="7"/>
        <v>0</v>
      </c>
      <c r="EF22" s="336">
        <f t="shared" si="8"/>
        <v>62</v>
      </c>
      <c r="EG22" s="336">
        <f t="shared" si="9"/>
        <v>0</v>
      </c>
      <c r="EH22" s="336">
        <f t="shared" si="10"/>
        <v>62</v>
      </c>
      <c r="EI22" s="336">
        <f t="shared" si="11"/>
        <v>62</v>
      </c>
      <c r="EJ22" s="336">
        <f t="shared" si="12"/>
        <v>62</v>
      </c>
      <c r="EK22" s="336">
        <f t="shared" si="13"/>
        <v>0</v>
      </c>
      <c r="EL22" s="336">
        <f t="shared" si="14"/>
        <v>0</v>
      </c>
      <c r="EM22" s="336">
        <f t="shared" si="15"/>
        <v>0</v>
      </c>
      <c r="EN22" s="336">
        <f t="shared" si="16"/>
        <v>0</v>
      </c>
      <c r="EO22" s="336">
        <f t="shared" si="17"/>
        <v>0</v>
      </c>
      <c r="EP22" s="336">
        <f t="shared" si="18"/>
        <v>0</v>
      </c>
      <c r="EQ22" s="336">
        <f t="shared" si="19"/>
        <v>0</v>
      </c>
      <c r="ER22" s="336">
        <f t="shared" si="20"/>
        <v>0</v>
      </c>
      <c r="ES22" s="336">
        <f t="shared" si="21"/>
        <v>0</v>
      </c>
      <c r="ET22" s="336">
        <f t="shared" si="22"/>
        <v>0</v>
      </c>
      <c r="EU22" s="336">
        <f t="shared" si="23"/>
        <v>0</v>
      </c>
      <c r="EV22" s="336">
        <f t="shared" si="24"/>
        <v>0</v>
      </c>
      <c r="EW22" s="336">
        <f t="shared" si="25"/>
        <v>0</v>
      </c>
      <c r="EX22" s="336">
        <f t="shared" si="26"/>
        <v>0</v>
      </c>
      <c r="EY22" s="336">
        <f t="shared" si="27"/>
        <v>0</v>
      </c>
      <c r="EZ22" s="336">
        <f t="shared" si="28"/>
        <v>0</v>
      </c>
      <c r="FA22" s="336">
        <f t="shared" si="29"/>
        <v>0</v>
      </c>
      <c r="FB22" s="336">
        <f t="shared" si="30"/>
        <v>0</v>
      </c>
      <c r="FC22" s="336">
        <f t="shared" si="31"/>
        <v>0</v>
      </c>
      <c r="FD22" s="336">
        <f t="shared" si="32"/>
        <v>0</v>
      </c>
      <c r="FE22" s="336">
        <f t="shared" si="33"/>
        <v>0</v>
      </c>
      <c r="FF22" s="336">
        <f t="shared" si="34"/>
        <v>0</v>
      </c>
      <c r="FG22" s="336">
        <f t="shared" si="35"/>
        <v>0</v>
      </c>
      <c r="FH22" s="336">
        <f t="shared" si="36"/>
        <v>0</v>
      </c>
      <c r="FI22" s="336">
        <f t="shared" si="37"/>
        <v>0</v>
      </c>
      <c r="FJ22" s="336">
        <f t="shared" si="38"/>
        <v>0</v>
      </c>
      <c r="FK22" s="336">
        <f t="shared" si="39"/>
        <v>0</v>
      </c>
      <c r="FL22" s="336">
        <f t="shared" si="40"/>
        <v>0</v>
      </c>
      <c r="FM22" s="336">
        <f t="shared" si="41"/>
        <v>0</v>
      </c>
      <c r="FN22" s="336">
        <f t="shared" si="42"/>
        <v>0</v>
      </c>
      <c r="FO22" s="336">
        <f t="shared" si="43"/>
        <v>0</v>
      </c>
      <c r="FP22" s="336">
        <f t="shared" si="44"/>
        <v>0</v>
      </c>
      <c r="FQ22" s="336">
        <f t="shared" si="45"/>
        <v>0</v>
      </c>
      <c r="FR22" s="336">
        <f t="shared" si="46"/>
        <v>0</v>
      </c>
      <c r="FS22" s="336">
        <f t="shared" si="47"/>
        <v>0</v>
      </c>
      <c r="FT22" s="336">
        <f t="shared" si="48"/>
        <v>0</v>
      </c>
      <c r="FU22" s="336">
        <f t="shared" si="93"/>
        <v>0</v>
      </c>
      <c r="FV22" s="336">
        <f t="shared" si="94"/>
        <v>0</v>
      </c>
      <c r="FW22" s="336">
        <f t="shared" si="95"/>
        <v>0</v>
      </c>
      <c r="FX22" s="336">
        <f t="shared" si="96"/>
        <v>0</v>
      </c>
      <c r="FY22" s="336">
        <f t="shared" si="53"/>
        <v>0</v>
      </c>
      <c r="FZ22" s="336">
        <f t="shared" si="54"/>
        <v>0</v>
      </c>
      <c r="GA22" s="336">
        <f t="shared" si="55"/>
        <v>0</v>
      </c>
      <c r="GB22" s="336">
        <f t="shared" si="56"/>
        <v>0</v>
      </c>
      <c r="GC22" s="336">
        <f t="shared" si="57"/>
        <v>0</v>
      </c>
      <c r="GD22" s="336">
        <f t="shared" si="58"/>
        <v>0</v>
      </c>
      <c r="GE22" s="336">
        <f t="shared" si="59"/>
        <v>0</v>
      </c>
      <c r="GF22" s="336">
        <f t="shared" si="60"/>
        <v>0</v>
      </c>
      <c r="GG22" s="336">
        <f t="shared" si="61"/>
        <v>0</v>
      </c>
      <c r="GH22" s="336">
        <f t="shared" si="62"/>
        <v>0</v>
      </c>
      <c r="GI22" s="336">
        <f t="shared" si="63"/>
        <v>0</v>
      </c>
      <c r="GJ22" s="336">
        <f t="shared" si="64"/>
        <v>0</v>
      </c>
      <c r="GK22" s="336">
        <f>IF(DS22=1,($BC22*DS22),0)</f>
        <v>0</v>
      </c>
      <c r="GL22" s="336">
        <f t="shared" si="164"/>
        <v>0</v>
      </c>
      <c r="GM22" s="336">
        <f t="shared" si="66"/>
        <v>0</v>
      </c>
    </row>
    <row r="23" spans="1:195" ht="37.5" customHeight="1">
      <c r="A23" s="388">
        <f t="shared" si="305"/>
        <v>15</v>
      </c>
      <c r="B23" s="430" t="s">
        <v>370</v>
      </c>
      <c r="C23" s="388" t="str">
        <f t="shared" si="82"/>
        <v>11kV MV Switchgear-1</v>
      </c>
      <c r="D23" s="431" t="s">
        <v>372</v>
      </c>
      <c r="E23" s="432" t="s">
        <v>345</v>
      </c>
      <c r="F23" s="433" t="s">
        <v>29</v>
      </c>
      <c r="G23" s="390" t="s">
        <v>329</v>
      </c>
      <c r="H23" s="396">
        <v>0.2</v>
      </c>
      <c r="I23" s="388" t="s">
        <v>330</v>
      </c>
      <c r="J23" s="388" t="s">
        <v>357</v>
      </c>
      <c r="K23" s="434">
        <v>230</v>
      </c>
      <c r="L23" s="401">
        <v>0.85</v>
      </c>
      <c r="M23" s="418">
        <v>0.95</v>
      </c>
      <c r="N23" s="392">
        <f t="shared" ref="N23" si="445">IF(I23="kVA",IF(J23="3Ph",(H23*1000/(1.732*M23*K23)),(H23*1000/(M23*K23))),IF(I23="kW",IF(J23="3Ph",(H23*1000/(1.732*M23*K23*L23)),(H23*1000/(M23*K23*L23)))))</f>
        <v>1.0768609503297888</v>
      </c>
      <c r="O23" s="392">
        <f t="shared" ref="O23" si="446">IF(G23="MOTOR",(6*N23),IF(G23="VFD",(1*N23),0))</f>
        <v>0</v>
      </c>
      <c r="P23" s="401" t="str">
        <f t="shared" ref="P23" si="447">IF(G23="MOTOR",0.2,"0.00")</f>
        <v>0.00</v>
      </c>
      <c r="Q23" s="418">
        <v>65</v>
      </c>
      <c r="R23" s="418">
        <v>0</v>
      </c>
      <c r="S23" s="418">
        <f t="shared" si="85"/>
        <v>0</v>
      </c>
      <c r="T23" s="401" t="s">
        <v>131</v>
      </c>
      <c r="U23" s="418" t="s">
        <v>333</v>
      </c>
      <c r="V23" s="401">
        <v>4</v>
      </c>
      <c r="W23" s="401" t="str">
        <f t="shared" ref="W23" si="448">CONCATENATE(U23," X ",V23)</f>
        <v>3C X 4</v>
      </c>
      <c r="X23" s="401" t="str">
        <f t="shared" si="70"/>
        <v>3C X 4</v>
      </c>
      <c r="Y23" s="435" t="s">
        <v>358</v>
      </c>
      <c r="Z23" s="393">
        <f>IF(T23="AIR",VLOOKUP(W23,'Catalogue Aluminium'!$B$141:$G$173,2,FALSE),IF(T23="GROUND",VLOOKUP(W23,'Catalogue Aluminium'!$B$141:$G$173,3,FALSE),IF(T23="DUCT",VLOOKUP(W23,'Catalogue Aluminium'!$B$141:$G$173,4,FALSE),IF(T23="TRENCH",VLOOKUP(W23,'Catalogue Aluminium'!$B$141:$G$173,2,FALSE)))))</f>
        <v>38</v>
      </c>
      <c r="AA23" s="402">
        <f>VLOOKUP(W23,'Catalogue Aluminium'!$B$141:$G$173,5,FALSE)</f>
        <v>5.9</v>
      </c>
      <c r="AB23" s="402">
        <f>VLOOKUP(W23,'Catalogue Aluminium'!$B$141:$G$173,6,FALSE)</f>
        <v>9.4700000000000006E-2</v>
      </c>
      <c r="AC23" s="434">
        <f>23+30</f>
        <v>53</v>
      </c>
      <c r="AD23" s="401">
        <f>40+50+38+50+17+(27+42+19)</f>
        <v>283</v>
      </c>
      <c r="AE23" s="401">
        <f t="shared" si="443"/>
        <v>38</v>
      </c>
      <c r="AF23" s="401">
        <f t="shared" si="167"/>
        <v>10</v>
      </c>
      <c r="AG23" s="401">
        <f t="shared" ref="AG23" si="449">ROUNDUP(SUM(AC23:AF23)*0.1,0)</f>
        <v>39</v>
      </c>
      <c r="AH23" s="436">
        <f t="shared" si="87"/>
        <v>430</v>
      </c>
      <c r="AI23" s="393">
        <f>IF(T23="AIR",'Catalogue Aluminium'!$K$141,IF(T23="TRENCH",'Catalogue Aluminium'!$K$144,"NA"))</f>
        <v>0.82</v>
      </c>
      <c r="AJ23" s="392">
        <f>IF(T23="Air",(IF(U23="1C",'Catalogue Aluminium'!$L$141,'Catalogue Aluminium'!$M$141)),IF(T23="DUCT",(IF($U23="1C",'Catalogue Aluminium'!$L$142,'Catalogue Aluminium'!$M$142)),IF(T23="GROUND",(IF($U23="1C",'Catalogue Aluminium'!$L$143,'Catalogue Aluminium'!$M$143)),IF(T23="TRENCH",(IF($U23="1C",'Catalogue Aluminium'!$L$144,'Catalogue Aluminium'!$M$144))))))</f>
        <v>0.73</v>
      </c>
      <c r="AK23" s="393" t="str">
        <f>IF(T23="Air",'Catalogue Aluminium'!$N$141,IF(T23="GROUND",'Catalogue Aluminium'!$N$142,IF(T23="DUCT",'Catalogue Aluminium'!$N$143,IF(T23="TRENCH",'Catalogue Aluminium'!$N$144,"NA"))))</f>
        <v>NA</v>
      </c>
      <c r="AL23" s="393" t="str">
        <f>IF(T23="Air",(IF(U23="1C",'Catalogue Aluminium'!$O$141,'Catalogue Aluminium'!$P$141)),IF(T23="DUCT",(IF($U23="1C",'Catalogue Aluminium'!$O$142,'Catalogue Aluminium'!$P$142)),IF(T23="GROUND",(IF($U23="1C",'Catalogue Aluminium'!$O$143,'Catalogue Aluminium'!$P$143)),IF(T23="TRENCH",(IF($U23="1C",'Catalogue Aluminium'!$O$144,'Catalogue Aluminium'!$P$144))))))</f>
        <v>NA</v>
      </c>
      <c r="AM23" s="393" t="str">
        <f>IF(T23="AIR","NA",IF(T23="TRENCH","NA",IF(T23="DUCT",IF(U23="1C",VLOOKUP(V23,'Catalogue Aluminium'!$Q$142:$S$153,2,FALSE),VLOOKUP(V23,'Catalogue Aluminium'!$Q$142:$S$153,3)),IF(T23="GROUND",IF(U23="1C",VLOOKUP(V23,'Catalogue Aluminium'!$Q$142:$S$153,2,FALSE),VLOOKUP(V23,'Catalogue Aluminium'!$Q$142:$S$153,3))))))</f>
        <v>NA</v>
      </c>
      <c r="AN23" s="404">
        <f t="shared" ref="AN23" si="450">IF(T23="AIR",AI23*AJ23,IF(T23="TRENCH",AI23*AJ23,IF(T23="DUCT",AJ23*AK23*AL23*AM23,IF(T23="GROUND",AJ23*AK23*AL23*AM23))))</f>
        <v>0.59859999999999991</v>
      </c>
      <c r="AO23" s="392">
        <f t="shared" ref="AO23" si="451">Z23*AN23</f>
        <v>22.746799999999997</v>
      </c>
      <c r="AP23" s="434">
        <f t="shared" ref="AP23" si="452">CEILING(((N23)/AO23),1)</f>
        <v>1</v>
      </c>
      <c r="AQ23" s="418" t="str">
        <f t="shared" ref="AQ23" si="453">IF(AO23*AP23&gt;=N23,"YES","NO")</f>
        <v>YES</v>
      </c>
      <c r="AR23" s="437">
        <f t="shared" ref="AR23" si="454">SQRT(3)*AH23*N23*((AA23*L23)+(AB23*SIN(ACOS(L23))))*100/(AP23*K23*1000)</f>
        <v>1.7661621682039703</v>
      </c>
      <c r="AS23" s="401" t="str">
        <f t="shared" si="89"/>
        <v>YES</v>
      </c>
      <c r="AT23" s="437" t="str">
        <f t="shared" si="76"/>
        <v>NA</v>
      </c>
      <c r="AU23" s="401" t="str">
        <f t="shared" si="77"/>
        <v>NA</v>
      </c>
      <c r="AV23" s="437" t="str">
        <f t="shared" si="78"/>
        <v>1R x 6/10 (12)kV x 3C x 4 Sqmm</v>
      </c>
      <c r="AW23" s="437" t="str">
        <f t="shared" si="79"/>
        <v>1R x 6/10 (12)kV x 3C x 4 Sqmm</v>
      </c>
      <c r="AX23" s="401">
        <f t="shared" si="90"/>
        <v>430</v>
      </c>
      <c r="AY23" s="401"/>
      <c r="AZ23" s="401">
        <f t="shared" si="91"/>
        <v>2</v>
      </c>
      <c r="BA23" s="438" t="str">
        <f t="shared" si="80"/>
        <v>ACDEE1E2E3</v>
      </c>
      <c r="BB23" s="390">
        <f>VLOOKUP(W23,'Catalogue Aluminium'!$B$141:$H$173,7,FALSE)</f>
        <v>15</v>
      </c>
      <c r="BC23" s="439">
        <f t="shared" si="92"/>
        <v>15</v>
      </c>
      <c r="BE23" s="344"/>
      <c r="BF23" s="344">
        <v>1</v>
      </c>
      <c r="BG23" s="344"/>
      <c r="BH23" s="344"/>
      <c r="BI23" s="344">
        <v>1</v>
      </c>
      <c r="BJ23" s="344">
        <v>1</v>
      </c>
      <c r="BK23" s="344"/>
      <c r="BL23" s="344"/>
      <c r="BM23" s="344"/>
      <c r="BN23" s="344">
        <v>1</v>
      </c>
      <c r="BO23" s="344"/>
      <c r="BP23" s="344">
        <v>1</v>
      </c>
      <c r="BQ23" s="344">
        <v>1</v>
      </c>
      <c r="BR23" s="344">
        <v>1</v>
      </c>
      <c r="BS23" s="344"/>
      <c r="BT23" s="344"/>
      <c r="BU23" s="344"/>
      <c r="BV23" s="344"/>
      <c r="BW23" s="344"/>
      <c r="BX23" s="344"/>
      <c r="BY23" s="344"/>
      <c r="BZ23" s="344"/>
      <c r="CA23" s="344"/>
      <c r="CB23" s="344"/>
      <c r="CC23" s="344"/>
      <c r="CD23" s="344"/>
      <c r="CE23" s="416"/>
      <c r="CF23" s="416"/>
      <c r="CG23" s="416"/>
      <c r="CH23" s="416"/>
      <c r="CI23" s="416"/>
      <c r="CJ23" s="416"/>
      <c r="CK23" s="416"/>
      <c r="CL23" s="416"/>
      <c r="CM23" s="416"/>
      <c r="CN23" s="416"/>
      <c r="CO23" s="416"/>
      <c r="CP23" s="416"/>
      <c r="CQ23" s="416"/>
      <c r="CR23" s="416"/>
      <c r="CS23" s="416"/>
      <c r="CT23" s="416"/>
      <c r="CU23" s="416"/>
      <c r="CV23" s="416"/>
      <c r="CW23" s="416"/>
      <c r="CX23" s="416"/>
      <c r="CY23" s="416"/>
      <c r="CZ23" s="416"/>
      <c r="DA23" s="416"/>
      <c r="DB23" s="416"/>
      <c r="DC23" s="416"/>
      <c r="DD23" s="416"/>
      <c r="DE23" s="416"/>
      <c r="DF23" s="416"/>
      <c r="DG23" s="416"/>
      <c r="DH23" s="416"/>
      <c r="DI23" s="416"/>
      <c r="DJ23" s="416"/>
      <c r="DK23" s="416"/>
      <c r="DL23" s="416"/>
      <c r="DM23" s="416"/>
      <c r="DN23" s="416"/>
      <c r="DO23" s="416"/>
      <c r="DP23" s="416"/>
      <c r="DQ23" s="416"/>
      <c r="DR23" s="416"/>
      <c r="DS23" s="416"/>
      <c r="DT23" s="416"/>
      <c r="DU23" s="416"/>
      <c r="DW23" s="336">
        <f t="shared" ref="DW23" si="455">IF(BE23=1,($BC23*BE23),0)</f>
        <v>0</v>
      </c>
      <c r="DX23" s="336">
        <f t="shared" ref="DX23" si="456">IF(BF23=1,($BC23*BF23),0)</f>
        <v>15</v>
      </c>
      <c r="DY23" s="336">
        <f t="shared" ref="DY23" si="457">IF(BG23=1,($BC23*BG23),0)</f>
        <v>0</v>
      </c>
      <c r="DZ23" s="336">
        <f t="shared" ref="DZ23" si="458">IF(BH23=1,($BC23*BH23),0)</f>
        <v>0</v>
      </c>
      <c r="EA23" s="336">
        <f t="shared" ref="EA23" si="459">IF(BI23=1,($BC23*BI23),0)</f>
        <v>15</v>
      </c>
      <c r="EB23" s="336">
        <f t="shared" ref="EB23" si="460">IF(BJ23=1,($BC23*BJ23),0)</f>
        <v>15</v>
      </c>
      <c r="EC23" s="336">
        <f t="shared" ref="EC23" si="461">IF(BK23=1,($BC23*BK23),0)</f>
        <v>0</v>
      </c>
      <c r="ED23" s="336">
        <f t="shared" ref="ED23" si="462">IF(BL23=1,($BC23*BL23),0)</f>
        <v>0</v>
      </c>
      <c r="EE23" s="336">
        <f t="shared" ref="EE23" si="463">IF(BM23=1,($BC23*BM23),0)</f>
        <v>0</v>
      </c>
      <c r="EF23" s="336">
        <f t="shared" ref="EF23" si="464">IF(BN23=1,($BC23*BN23),0)</f>
        <v>15</v>
      </c>
      <c r="EG23" s="336">
        <f t="shared" ref="EG23" si="465">IF(BO23=1,($BC23*BO23),0)</f>
        <v>0</v>
      </c>
      <c r="EH23" s="336">
        <f t="shared" ref="EH23" si="466">IF(BP23=1,($BC23*BP23),0)</f>
        <v>15</v>
      </c>
      <c r="EI23" s="336">
        <f t="shared" ref="EI23" si="467">IF(BQ23=1,($BC23*BQ23),0)</f>
        <v>15</v>
      </c>
      <c r="EJ23" s="336">
        <f t="shared" ref="EJ23" si="468">IF(BR23=1,($BC23*BR23),0)</f>
        <v>15</v>
      </c>
      <c r="EK23" s="336">
        <f t="shared" ref="EK23" si="469">IF(BS23=1,($BC23*BS23),0)</f>
        <v>0</v>
      </c>
      <c r="EL23" s="336">
        <f t="shared" ref="EL23" si="470">IF(BT23=1,($BC23*BT23),0)</f>
        <v>0</v>
      </c>
      <c r="EM23" s="336">
        <f t="shared" ref="EM23" si="471">IF(BU23=1,($BC23*BU23),0)</f>
        <v>0</v>
      </c>
      <c r="EN23" s="336">
        <f t="shared" ref="EN23" si="472">IF(BV23=1,($BC23*BV23),0)</f>
        <v>0</v>
      </c>
      <c r="EO23" s="336">
        <f t="shared" ref="EO23" si="473">IF(BW23=1,($BC23*BW23),0)</f>
        <v>0</v>
      </c>
      <c r="EP23" s="336">
        <f t="shared" ref="EP23" si="474">IF(BX23=1,($BC23*BX23),0)</f>
        <v>0</v>
      </c>
      <c r="EQ23" s="336">
        <f t="shared" ref="EQ23" si="475">IF(BY23=1,($BC23*BY23),0)</f>
        <v>0</v>
      </c>
      <c r="ER23" s="336">
        <f t="shared" ref="ER23" si="476">IF(BZ23=1,($BC23*BZ23),0)</f>
        <v>0</v>
      </c>
      <c r="ES23" s="336">
        <f t="shared" ref="ES23" si="477">IF(CA23=1,($BC23*CA23),0)</f>
        <v>0</v>
      </c>
      <c r="ET23" s="336">
        <f t="shared" si="22"/>
        <v>0</v>
      </c>
      <c r="EU23" s="336">
        <f t="shared" si="23"/>
        <v>0</v>
      </c>
      <c r="EV23" s="336">
        <f t="shared" ref="EV23" si="478">IF(CD23=1,($BC23*CD23),0)</f>
        <v>0</v>
      </c>
      <c r="EW23" s="336">
        <f t="shared" ref="EW23" si="479">IF(CE23=1,($BC23*CE23),0)</f>
        <v>0</v>
      </c>
      <c r="EX23" s="336">
        <f t="shared" ref="EX23" si="480">IF(CF23=1,($BC23*CF23),0)</f>
        <v>0</v>
      </c>
      <c r="EY23" s="336">
        <f t="shared" ref="EY23" si="481">IF(CG23=1,($BC23*CG23),0)</f>
        <v>0</v>
      </c>
      <c r="EZ23" s="336">
        <f t="shared" ref="EZ23" si="482">IF(CH23=1,($BC23*CH23),0)</f>
        <v>0</v>
      </c>
      <c r="FA23" s="336">
        <f t="shared" ref="FA23" si="483">IF(CI23=1,($BC23*CI23),0)</f>
        <v>0</v>
      </c>
      <c r="FB23" s="336">
        <f t="shared" ref="FB23" si="484">IF(CJ23=1,($BC23*CJ23),0)</f>
        <v>0</v>
      </c>
      <c r="FC23" s="336">
        <f t="shared" ref="FC23" si="485">IF(CK23=1,($BC23*CK23),0)</f>
        <v>0</v>
      </c>
      <c r="FD23" s="336">
        <f t="shared" ref="FD23" si="486">IF(CL23=1,($BC23*CL23),0)</f>
        <v>0</v>
      </c>
      <c r="FE23" s="336">
        <f t="shared" ref="FE23" si="487">IF(CM23=1,($BC23*CM23),0)</f>
        <v>0</v>
      </c>
      <c r="FF23" s="336">
        <f t="shared" ref="FF23" si="488">IF(CN23=1,($BC23*CN23),0)</f>
        <v>0</v>
      </c>
      <c r="FG23" s="336">
        <f t="shared" ref="FG23" si="489">IF(CO23=1,($BC23*CO23),0)</f>
        <v>0</v>
      </c>
      <c r="FH23" s="336">
        <f t="shared" ref="FH23" si="490">IF(CP23=1,($BC23*CP23),0)</f>
        <v>0</v>
      </c>
      <c r="FI23" s="336">
        <f t="shared" ref="FI23" si="491">IF(CQ23=1,($BC23*CQ23),0)</f>
        <v>0</v>
      </c>
      <c r="FJ23" s="336">
        <f t="shared" ref="FJ23" si="492">IF(CR23=1,($BC23*CR23),0)</f>
        <v>0</v>
      </c>
      <c r="FK23" s="336">
        <f t="shared" ref="FK23" si="493">IF(CS23=1,($BC23*CS23),0)</f>
        <v>0</v>
      </c>
      <c r="FL23" s="336">
        <f t="shared" ref="FL23" si="494">IF(CT23=1,($BC23*CT23),0)</f>
        <v>0</v>
      </c>
      <c r="FM23" s="336">
        <f t="shared" ref="FM23" si="495">IF(CU23=1,($BC23*CU23),0)</f>
        <v>0</v>
      </c>
      <c r="FN23" s="336">
        <f t="shared" ref="FN23" si="496">IF(CV23=1,($BC23*CV23),0)</f>
        <v>0</v>
      </c>
      <c r="FO23" s="336">
        <f t="shared" ref="FO23" si="497">IF(CW23=1,($BC23*CW23),0)</f>
        <v>0</v>
      </c>
      <c r="FP23" s="336">
        <f t="shared" ref="FP23" si="498">IF(CX23=1,($BC23*CX23),0)</f>
        <v>0</v>
      </c>
      <c r="FQ23" s="336">
        <f t="shared" ref="FQ23" si="499">IF(CY23=1,($BC23*CY23),0)</f>
        <v>0</v>
      </c>
      <c r="FR23" s="336">
        <f t="shared" ref="FR23" si="500">IF(CZ23=1,($BC23*CZ23),0)</f>
        <v>0</v>
      </c>
      <c r="FS23" s="336">
        <f t="shared" ref="FS23" si="501">IF(DA23=1,($BC23*DA23),0)</f>
        <v>0</v>
      </c>
      <c r="FT23" s="336">
        <f t="shared" ref="FT23" si="502">IF(DB23=1,($BC23*DB23),0)</f>
        <v>0</v>
      </c>
      <c r="FU23" s="336">
        <f t="shared" si="93"/>
        <v>0</v>
      </c>
      <c r="FV23" s="336">
        <f t="shared" si="94"/>
        <v>0</v>
      </c>
      <c r="FW23" s="336">
        <f t="shared" si="95"/>
        <v>0</v>
      </c>
      <c r="FX23" s="336">
        <f t="shared" si="96"/>
        <v>0</v>
      </c>
      <c r="FY23" s="336">
        <f t="shared" ref="FY23" si="503">IF(DG23=1,($BC23*DG23),0)</f>
        <v>0</v>
      </c>
      <c r="FZ23" s="336">
        <f t="shared" ref="FZ23" si="504">IF(DH23=1,($BC23*DH23),0)</f>
        <v>0</v>
      </c>
      <c r="GA23" s="336">
        <f t="shared" ref="GA23" si="505">IF(DI23=1,($BC23*DI23),0)</f>
        <v>0</v>
      </c>
      <c r="GB23" s="336">
        <f t="shared" ref="GB23" si="506">IF(DJ23=1,($BC23*DJ23),0)</f>
        <v>0</v>
      </c>
      <c r="GC23" s="336">
        <f t="shared" ref="GC23" si="507">IF(DK23=1,($BC23*DK23),0)</f>
        <v>0</v>
      </c>
      <c r="GD23" s="336">
        <f t="shared" ref="GD23" si="508">IF(DL23=1,($BC23*DL23),0)</f>
        <v>0</v>
      </c>
      <c r="GE23" s="336">
        <f t="shared" ref="GE23" si="509">IF(DM23=1,($BC23*DM23),0)</f>
        <v>0</v>
      </c>
      <c r="GF23" s="336">
        <f t="shared" ref="GF23" si="510">IF(DN23=1,($BC23*DN23),0)</f>
        <v>0</v>
      </c>
      <c r="GG23" s="336">
        <f t="shared" ref="GG23" si="511">IF(DO23=1,($BC23*DO23),0)</f>
        <v>0</v>
      </c>
      <c r="GH23" s="336">
        <f t="shared" ref="GH23" si="512">IF(DP23=1,($BC23*DP23),0)</f>
        <v>0</v>
      </c>
      <c r="GI23" s="336">
        <f t="shared" ref="GI23" si="513">IF(DQ23=1,($BC23*DQ23),0)</f>
        <v>0</v>
      </c>
      <c r="GJ23" s="336">
        <f t="shared" ref="GJ23" si="514">IF(DR23=1,($BC23*DR23),0)</f>
        <v>0</v>
      </c>
      <c r="GK23" s="336">
        <f t="shared" ref="GK23" si="515">IF(DS23=1,($BC23*DS23),0)</f>
        <v>0</v>
      </c>
      <c r="GL23" s="336">
        <f t="shared" si="164"/>
        <v>0</v>
      </c>
      <c r="GM23" s="336">
        <f t="shared" ref="GM23" si="516">IF(DU23=1,($BC23*DU23),0)</f>
        <v>0</v>
      </c>
    </row>
    <row r="24" spans="1:195" ht="25.5" customHeight="1">
      <c r="A24" s="337">
        <f t="shared" si="305"/>
        <v>16</v>
      </c>
      <c r="B24" s="414" t="s">
        <v>373</v>
      </c>
      <c r="C24" s="337" t="str">
        <f t="shared" si="82"/>
        <v>11kV MV Switchgear-1</v>
      </c>
      <c r="D24" s="415" t="s">
        <v>374</v>
      </c>
      <c r="E24" s="416" t="s">
        <v>345</v>
      </c>
      <c r="F24" s="417" t="s">
        <v>28</v>
      </c>
      <c r="G24" s="340" t="s">
        <v>350</v>
      </c>
      <c r="H24" s="418">
        <v>2450</v>
      </c>
      <c r="I24" s="337" t="s">
        <v>330</v>
      </c>
      <c r="J24" s="337" t="s">
        <v>331</v>
      </c>
      <c r="K24" s="341">
        <v>11000</v>
      </c>
      <c r="L24" s="342">
        <v>0.88</v>
      </c>
      <c r="M24" s="342">
        <v>0.97</v>
      </c>
      <c r="N24" s="342">
        <f t="shared" si="83"/>
        <v>150.65068305142677</v>
      </c>
      <c r="O24" s="342">
        <f t="shared" si="67"/>
        <v>903.90409830856061</v>
      </c>
      <c r="P24" s="343">
        <f t="shared" si="84"/>
        <v>0.2</v>
      </c>
      <c r="Q24" s="342">
        <v>31.5</v>
      </c>
      <c r="R24" s="342">
        <v>0.16</v>
      </c>
      <c r="S24" s="342">
        <f t="shared" si="85"/>
        <v>134.04255319148936</v>
      </c>
      <c r="T24" s="344" t="s">
        <v>131</v>
      </c>
      <c r="U24" s="342" t="s">
        <v>333</v>
      </c>
      <c r="V24" s="344">
        <v>150</v>
      </c>
      <c r="W24" s="343" t="str">
        <f t="shared" si="69"/>
        <v>3C X 150</v>
      </c>
      <c r="X24" s="343" t="str">
        <f t="shared" si="70"/>
        <v>3C X 150+PE</v>
      </c>
      <c r="Y24" s="419" t="s">
        <v>346</v>
      </c>
      <c r="Z24" s="344">
        <f>IF(T24="AIR",VLOOKUP(W24,'Catalogue Aluminium'!$B$141:$G$173,2,FALSE),IF(T24="GROUND",VLOOKUP(W24,'Catalogue Aluminium'!$B$141:$G$173,3,FALSE),IF(T24="DUCT",VLOOKUP(W24,'Catalogue Aluminium'!$B$141:$G$173,4,FALSE),IF(T24="TRENCH",VLOOKUP(W24,'Catalogue Aluminium'!$B$141:$G$173,2,FALSE)))))</f>
        <v>309</v>
      </c>
      <c r="AA24" s="345">
        <f>VLOOKUP(W24,'Catalogue Aluminium'!$B$141:$G$173,5,FALSE)</f>
        <v>0.26500000000000001</v>
      </c>
      <c r="AB24" s="345">
        <f>VLOOKUP(W24,'Catalogue Aluminium'!$B$141:$G$173,6,FALSE)</f>
        <v>9.2999999999999999E-2</v>
      </c>
      <c r="AC24" s="349">
        <f t="shared" si="236"/>
        <v>67</v>
      </c>
      <c r="AD24" s="343">
        <f>40+50+38+50+17+(27+45)</f>
        <v>267</v>
      </c>
      <c r="AE24" s="343">
        <f t="shared" si="443"/>
        <v>38</v>
      </c>
      <c r="AF24" s="343">
        <f t="shared" si="167"/>
        <v>10</v>
      </c>
      <c r="AG24" s="343">
        <f t="shared" si="86"/>
        <v>39</v>
      </c>
      <c r="AH24" s="347">
        <f t="shared" si="87"/>
        <v>430</v>
      </c>
      <c r="AI24" s="344">
        <f>IF(T24="AIR",'Catalogue Aluminium'!$K$141,IF(T24="TRENCH",'Catalogue Aluminium'!$K$144,"NA"))</f>
        <v>0.82</v>
      </c>
      <c r="AJ24" s="342">
        <f>IF(T24="Air",(IF(U24="1C",'Catalogue Aluminium'!$L$141,'Catalogue Aluminium'!$M$141)),IF(T24="DUCT",(IF($U24="1C",'Catalogue Aluminium'!$L$142,'Catalogue Aluminium'!$M$142)),IF(T24="GROUND",(IF($U24="1C",'Catalogue Aluminium'!$L$143,'Catalogue Aluminium'!$M$143)),IF(T24="TRENCH",(IF($U24="1C",'Catalogue Aluminium'!$L$144,'Catalogue Aluminium'!$M$144))))))</f>
        <v>0.73</v>
      </c>
      <c r="AK24" s="344" t="str">
        <f>IF(T24="Air",'Catalogue Aluminium'!$N$141,IF(T24="GROUND",'Catalogue Aluminium'!$N$142,IF(T24="DUCT",'Catalogue Aluminium'!$N$143,IF(T24="TRENCH",'Catalogue Aluminium'!$N$144,"NA"))))</f>
        <v>NA</v>
      </c>
      <c r="AL24" s="344" t="str">
        <f>IF(T24="Air",(IF(U24="1C",'Catalogue Aluminium'!$O$141,'Catalogue Aluminium'!$P$141)),IF(T24="DUCT",(IF($U24="1C",'Catalogue Aluminium'!$O$142,'Catalogue Aluminium'!$P$142)),IF(T24="GROUND",(IF($U24="1C",'Catalogue Aluminium'!$O$143,'Catalogue Aluminium'!$P$143)),IF(T24="TRENCH",(IF($U24="1C",'Catalogue Aluminium'!$O$144,'Catalogue Aluminium'!$P$144))))))</f>
        <v>NA</v>
      </c>
      <c r="AM24" s="344" t="str">
        <f>IF(T24="AIR","NA",IF(T24="TRENCH","NA",IF(T24="DUCT",IF(U24="1C",VLOOKUP(V24,'Catalogue Aluminium'!$Q$142:$S$153,2,FALSE),VLOOKUP(V24,'Catalogue Aluminium'!$Q$142:$S$153,3)),IF(T24="GROUND",IF(U24="1C",VLOOKUP(V24,'Catalogue Aluminium'!$Q$142:$S$153,2,FALSE),VLOOKUP(V24,'Catalogue Aluminium'!$Q$142:$S$153,3))))))</f>
        <v>NA</v>
      </c>
      <c r="AN24" s="348">
        <f t="shared" si="71"/>
        <v>0.59859999999999991</v>
      </c>
      <c r="AO24" s="342">
        <f t="shared" si="72"/>
        <v>184.96739999999997</v>
      </c>
      <c r="AP24" s="349">
        <f t="shared" si="73"/>
        <v>1</v>
      </c>
      <c r="AQ24" s="350" t="str">
        <f t="shared" si="74"/>
        <v>YES</v>
      </c>
      <c r="AR24" s="351">
        <f t="shared" si="75"/>
        <v>0.28292477949941175</v>
      </c>
      <c r="AS24" s="343" t="str">
        <f t="shared" si="89"/>
        <v>YES</v>
      </c>
      <c r="AT24" s="351">
        <f t="shared" si="76"/>
        <v>0.88203552191624202</v>
      </c>
      <c r="AU24" s="343" t="str">
        <f t="shared" si="77"/>
        <v>YES</v>
      </c>
      <c r="AV24" s="351" t="str">
        <f t="shared" si="78"/>
        <v>1R x 6/10 (12)kV x 3C x 150 Sqmm</v>
      </c>
      <c r="AW24" s="351" t="str">
        <f t="shared" si="79"/>
        <v>1R x 6/10 (12)kV x 3C x 150 Sqmm</v>
      </c>
      <c r="AX24" s="343">
        <f t="shared" si="90"/>
        <v>430</v>
      </c>
      <c r="AY24" s="343"/>
      <c r="AZ24" s="343">
        <f t="shared" si="91"/>
        <v>2</v>
      </c>
      <c r="BA24" s="356" t="str">
        <f t="shared" si="80"/>
        <v>ACDEE1</v>
      </c>
      <c r="BB24" s="340">
        <f>VLOOKUP(W24,'Catalogue Aluminium'!$B$141:$H$173,7,FALSE)</f>
        <v>62</v>
      </c>
      <c r="BC24" s="328">
        <f t="shared" si="92"/>
        <v>62</v>
      </c>
      <c r="BE24" s="344"/>
      <c r="BF24" s="344">
        <v>1</v>
      </c>
      <c r="BG24" s="344"/>
      <c r="BH24" s="344"/>
      <c r="BI24" s="344">
        <v>1</v>
      </c>
      <c r="BJ24" s="344">
        <v>1</v>
      </c>
      <c r="BK24" s="344"/>
      <c r="BL24" s="344"/>
      <c r="BM24" s="344"/>
      <c r="BN24" s="344">
        <v>1</v>
      </c>
      <c r="BO24" s="344"/>
      <c r="BP24" s="344">
        <v>1</v>
      </c>
      <c r="BQ24" s="344"/>
      <c r="BR24" s="344"/>
      <c r="BS24" s="344"/>
      <c r="BT24" s="344"/>
      <c r="BU24" s="344"/>
      <c r="BV24" s="344"/>
      <c r="BW24" s="344"/>
      <c r="BX24" s="344"/>
      <c r="BY24" s="344"/>
      <c r="BZ24" s="344"/>
      <c r="CA24" s="344"/>
      <c r="CB24" s="344"/>
      <c r="CC24" s="344"/>
      <c r="CD24" s="344"/>
      <c r="CE24" s="416"/>
      <c r="CF24" s="416"/>
      <c r="CG24" s="416"/>
      <c r="CH24" s="416"/>
      <c r="CI24" s="416"/>
      <c r="CJ24" s="416"/>
      <c r="CK24" s="416"/>
      <c r="CL24" s="416"/>
      <c r="CM24" s="416"/>
      <c r="CN24" s="416"/>
      <c r="CO24" s="416"/>
      <c r="CP24" s="416"/>
      <c r="CQ24" s="416"/>
      <c r="CR24" s="416"/>
      <c r="CS24" s="416"/>
      <c r="CT24" s="416"/>
      <c r="CU24" s="416"/>
      <c r="CV24" s="416"/>
      <c r="CW24" s="416"/>
      <c r="CX24" s="416"/>
      <c r="CY24" s="416"/>
      <c r="CZ24" s="416"/>
      <c r="DA24" s="416"/>
      <c r="DB24" s="416"/>
      <c r="DC24" s="416"/>
      <c r="DD24" s="416"/>
      <c r="DE24" s="416"/>
      <c r="DF24" s="416"/>
      <c r="DG24" s="416"/>
      <c r="DH24" s="416"/>
      <c r="DI24" s="416"/>
      <c r="DJ24" s="416"/>
      <c r="DK24" s="416"/>
      <c r="DL24" s="416"/>
      <c r="DM24" s="416"/>
      <c r="DN24" s="416"/>
      <c r="DO24" s="416"/>
      <c r="DP24" s="416"/>
      <c r="DQ24" s="416"/>
      <c r="DR24" s="416"/>
      <c r="DS24" s="416"/>
      <c r="DT24" s="416"/>
      <c r="DU24" s="416"/>
      <c r="DW24" s="336">
        <f t="shared" si="81"/>
        <v>0</v>
      </c>
      <c r="DX24" s="336">
        <f t="shared" si="0"/>
        <v>62</v>
      </c>
      <c r="DY24" s="336">
        <f t="shared" si="1"/>
        <v>0</v>
      </c>
      <c r="DZ24" s="336">
        <f t="shared" si="2"/>
        <v>0</v>
      </c>
      <c r="EA24" s="336">
        <f t="shared" si="3"/>
        <v>62</v>
      </c>
      <c r="EB24" s="336">
        <f t="shared" si="4"/>
        <v>62</v>
      </c>
      <c r="EC24" s="336">
        <f t="shared" si="5"/>
        <v>0</v>
      </c>
      <c r="ED24" s="336">
        <f t="shared" si="6"/>
        <v>0</v>
      </c>
      <c r="EE24" s="336">
        <f t="shared" si="7"/>
        <v>0</v>
      </c>
      <c r="EF24" s="336">
        <f t="shared" si="8"/>
        <v>62</v>
      </c>
      <c r="EG24" s="336">
        <f t="shared" si="9"/>
        <v>0</v>
      </c>
      <c r="EH24" s="336">
        <f t="shared" si="10"/>
        <v>62</v>
      </c>
      <c r="EI24" s="336">
        <f t="shared" si="11"/>
        <v>0</v>
      </c>
      <c r="EJ24" s="336">
        <f t="shared" si="12"/>
        <v>0</v>
      </c>
      <c r="EK24" s="336">
        <f t="shared" si="13"/>
        <v>0</v>
      </c>
      <c r="EL24" s="336">
        <f t="shared" si="14"/>
        <v>0</v>
      </c>
      <c r="EM24" s="336">
        <f t="shared" si="15"/>
        <v>0</v>
      </c>
      <c r="EN24" s="336">
        <f t="shared" si="16"/>
        <v>0</v>
      </c>
      <c r="EO24" s="336">
        <f t="shared" si="17"/>
        <v>0</v>
      </c>
      <c r="EP24" s="336">
        <f t="shared" si="18"/>
        <v>0</v>
      </c>
      <c r="EQ24" s="336">
        <f t="shared" si="19"/>
        <v>0</v>
      </c>
      <c r="ER24" s="336">
        <f t="shared" si="20"/>
        <v>0</v>
      </c>
      <c r="ES24" s="336">
        <f t="shared" si="21"/>
        <v>0</v>
      </c>
      <c r="ET24" s="336">
        <f t="shared" si="22"/>
        <v>0</v>
      </c>
      <c r="EU24" s="336">
        <f t="shared" si="23"/>
        <v>0</v>
      </c>
      <c r="EV24" s="336">
        <f t="shared" si="24"/>
        <v>0</v>
      </c>
      <c r="EW24" s="336">
        <f t="shared" si="25"/>
        <v>0</v>
      </c>
      <c r="EX24" s="336">
        <f t="shared" si="26"/>
        <v>0</v>
      </c>
      <c r="EY24" s="336">
        <f t="shared" si="27"/>
        <v>0</v>
      </c>
      <c r="EZ24" s="336">
        <f t="shared" si="28"/>
        <v>0</v>
      </c>
      <c r="FA24" s="336">
        <f t="shared" si="29"/>
        <v>0</v>
      </c>
      <c r="FB24" s="336">
        <f t="shared" si="30"/>
        <v>0</v>
      </c>
      <c r="FC24" s="336">
        <f t="shared" si="31"/>
        <v>0</v>
      </c>
      <c r="FD24" s="336">
        <f t="shared" si="32"/>
        <v>0</v>
      </c>
      <c r="FE24" s="336">
        <f t="shared" si="33"/>
        <v>0</v>
      </c>
      <c r="FF24" s="336">
        <f t="shared" si="34"/>
        <v>0</v>
      </c>
      <c r="FG24" s="336">
        <f t="shared" si="35"/>
        <v>0</v>
      </c>
      <c r="FH24" s="336">
        <f t="shared" si="36"/>
        <v>0</v>
      </c>
      <c r="FI24" s="336">
        <f t="shared" si="37"/>
        <v>0</v>
      </c>
      <c r="FJ24" s="336">
        <f t="shared" si="38"/>
        <v>0</v>
      </c>
      <c r="FK24" s="336">
        <f t="shared" si="39"/>
        <v>0</v>
      </c>
      <c r="FL24" s="336">
        <f t="shared" si="40"/>
        <v>0</v>
      </c>
      <c r="FM24" s="336">
        <f t="shared" si="41"/>
        <v>0</v>
      </c>
      <c r="FN24" s="336">
        <f t="shared" si="42"/>
        <v>0</v>
      </c>
      <c r="FO24" s="336">
        <f t="shared" si="43"/>
        <v>0</v>
      </c>
      <c r="FP24" s="336">
        <f t="shared" si="44"/>
        <v>0</v>
      </c>
      <c r="FQ24" s="336">
        <f t="shared" si="45"/>
        <v>0</v>
      </c>
      <c r="FR24" s="336">
        <f t="shared" si="46"/>
        <v>0</v>
      </c>
      <c r="FS24" s="336">
        <f t="shared" si="47"/>
        <v>0</v>
      </c>
      <c r="FT24" s="336">
        <f t="shared" si="48"/>
        <v>0</v>
      </c>
      <c r="FU24" s="336">
        <f t="shared" si="93"/>
        <v>0</v>
      </c>
      <c r="FV24" s="336">
        <f t="shared" si="94"/>
        <v>0</v>
      </c>
      <c r="FW24" s="336">
        <f t="shared" si="95"/>
        <v>0</v>
      </c>
      <c r="FX24" s="336">
        <f t="shared" si="96"/>
        <v>0</v>
      </c>
      <c r="FY24" s="336">
        <f t="shared" si="53"/>
        <v>0</v>
      </c>
      <c r="FZ24" s="336">
        <f t="shared" si="54"/>
        <v>0</v>
      </c>
      <c r="GA24" s="336">
        <f t="shared" si="55"/>
        <v>0</v>
      </c>
      <c r="GB24" s="336">
        <f t="shared" si="56"/>
        <v>0</v>
      </c>
      <c r="GC24" s="336">
        <f t="shared" si="57"/>
        <v>0</v>
      </c>
      <c r="GD24" s="336">
        <f t="shared" si="58"/>
        <v>0</v>
      </c>
      <c r="GE24" s="336">
        <f t="shared" si="59"/>
        <v>0</v>
      </c>
      <c r="GF24" s="336">
        <f t="shared" si="60"/>
        <v>0</v>
      </c>
      <c r="GG24" s="336">
        <f t="shared" si="61"/>
        <v>0</v>
      </c>
      <c r="GH24" s="336">
        <f t="shared" si="62"/>
        <v>0</v>
      </c>
      <c r="GI24" s="336">
        <f t="shared" si="63"/>
        <v>0</v>
      </c>
      <c r="GJ24" s="336">
        <f t="shared" si="64"/>
        <v>0</v>
      </c>
      <c r="GK24" s="336">
        <f>IF(DS24=1,($BC24*DS24),0)</f>
        <v>0</v>
      </c>
      <c r="GL24" s="336">
        <f t="shared" si="164"/>
        <v>0</v>
      </c>
      <c r="GM24" s="336">
        <f t="shared" si="66"/>
        <v>0</v>
      </c>
    </row>
    <row r="25" spans="1:195" ht="25.5" customHeight="1">
      <c r="A25" s="388">
        <f t="shared" si="305"/>
        <v>17</v>
      </c>
      <c r="B25" s="442" t="s">
        <v>373</v>
      </c>
      <c r="C25" s="388" t="str">
        <f t="shared" si="82"/>
        <v>11kV MV Switchgear-1</v>
      </c>
      <c r="D25" s="431" t="s">
        <v>375</v>
      </c>
      <c r="E25" s="432" t="s">
        <v>345</v>
      </c>
      <c r="F25" s="433" t="s">
        <v>28</v>
      </c>
      <c r="G25" s="390" t="s">
        <v>329</v>
      </c>
      <c r="H25" s="396">
        <v>0.2</v>
      </c>
      <c r="I25" s="388" t="s">
        <v>330</v>
      </c>
      <c r="J25" s="388" t="s">
        <v>357</v>
      </c>
      <c r="K25" s="434">
        <v>230</v>
      </c>
      <c r="L25" s="401">
        <v>0.85</v>
      </c>
      <c r="M25" s="418">
        <v>0.95</v>
      </c>
      <c r="N25" s="392">
        <f t="shared" ref="N25" si="517">IF(I25="kVA",IF(J25="3Ph",(H25*1000/(1.732*M25*K25)),(H25*1000/(M25*K25))),IF(I25="kW",IF(J25="3Ph",(H25*1000/(1.732*M25*K25*L25)),(H25*1000/(M25*K25*L25)))))</f>
        <v>1.0768609503297888</v>
      </c>
      <c r="O25" s="392">
        <f t="shared" ref="O25" si="518">IF(G25="MOTOR",(6*N25),IF(G25="VFD",(1*N25),0))</f>
        <v>0</v>
      </c>
      <c r="P25" s="401" t="str">
        <f t="shared" ref="P25" si="519">IF(G25="MOTOR",0.2,"0.00")</f>
        <v>0.00</v>
      </c>
      <c r="Q25" s="418">
        <v>65</v>
      </c>
      <c r="R25" s="418">
        <v>0</v>
      </c>
      <c r="S25" s="418">
        <f t="shared" si="85"/>
        <v>0</v>
      </c>
      <c r="T25" s="401" t="s">
        <v>131</v>
      </c>
      <c r="U25" s="418" t="s">
        <v>333</v>
      </c>
      <c r="V25" s="401">
        <v>4</v>
      </c>
      <c r="W25" s="401" t="str">
        <f t="shared" ref="W25" si="520">CONCATENATE(U25," X ",V25)</f>
        <v>3C X 4</v>
      </c>
      <c r="X25" s="401" t="str">
        <f t="shared" si="70"/>
        <v>3C X 4</v>
      </c>
      <c r="Y25" s="435" t="s">
        <v>358</v>
      </c>
      <c r="Z25" s="393">
        <f>IF(T25="AIR",VLOOKUP(W25,'Catalogue Aluminium'!$B$141:$G$173,2,FALSE),IF(T25="GROUND",VLOOKUP(W25,'Catalogue Aluminium'!$B$141:$G$173,3,FALSE),IF(T25="DUCT",VLOOKUP(W25,'Catalogue Aluminium'!$B$141:$G$173,4,FALSE),IF(T25="TRENCH",VLOOKUP(W25,'Catalogue Aluminium'!$B$141:$G$173,2,FALSE)))))</f>
        <v>38</v>
      </c>
      <c r="AA25" s="402">
        <f>VLOOKUP(W25,'Catalogue Aluminium'!$B$141:$G$173,5,FALSE)</f>
        <v>5.9</v>
      </c>
      <c r="AB25" s="402">
        <f>VLOOKUP(W25,'Catalogue Aluminium'!$B$141:$G$173,6,FALSE)</f>
        <v>9.4700000000000006E-2</v>
      </c>
      <c r="AC25" s="434">
        <f t="shared" si="236"/>
        <v>67</v>
      </c>
      <c r="AD25" s="401">
        <f>40+50+38+50+17+(27+45)</f>
        <v>267</v>
      </c>
      <c r="AE25" s="401">
        <f t="shared" si="443"/>
        <v>38</v>
      </c>
      <c r="AF25" s="401">
        <f t="shared" si="167"/>
        <v>10</v>
      </c>
      <c r="AG25" s="401">
        <f t="shared" ref="AG25" si="521">ROUNDUP(SUM(AC25:AF25)*0.1,0)</f>
        <v>39</v>
      </c>
      <c r="AH25" s="436">
        <f t="shared" si="87"/>
        <v>430</v>
      </c>
      <c r="AI25" s="393">
        <f>IF(T25="AIR",'Catalogue Aluminium'!$K$141,IF(T25="TRENCH",'Catalogue Aluminium'!$K$144,"NA"))</f>
        <v>0.82</v>
      </c>
      <c r="AJ25" s="392">
        <f>IF(T25="Air",(IF(U25="1C",'Catalogue Aluminium'!$L$141,'Catalogue Aluminium'!$M$141)),IF(T25="DUCT",(IF($U25="1C",'Catalogue Aluminium'!$L$142,'Catalogue Aluminium'!$M$142)),IF(T25="GROUND",(IF($U25="1C",'Catalogue Aluminium'!$L$143,'Catalogue Aluminium'!$M$143)),IF(T25="TRENCH",(IF($U25="1C",'Catalogue Aluminium'!$L$144,'Catalogue Aluminium'!$M$144))))))</f>
        <v>0.73</v>
      </c>
      <c r="AK25" s="393" t="str">
        <f>IF(T25="Air",'Catalogue Aluminium'!$N$141,IF(T25="GROUND",'Catalogue Aluminium'!$N$142,IF(T25="DUCT",'Catalogue Aluminium'!$N$143,IF(T25="TRENCH",'Catalogue Aluminium'!$N$144,"NA"))))</f>
        <v>NA</v>
      </c>
      <c r="AL25" s="393" t="str">
        <f>IF(T25="Air",(IF(U25="1C",'Catalogue Aluminium'!$O$141,'Catalogue Aluminium'!$P$141)),IF(T25="DUCT",(IF($U25="1C",'Catalogue Aluminium'!$O$142,'Catalogue Aluminium'!$P$142)),IF(T25="GROUND",(IF($U25="1C",'Catalogue Aluminium'!$O$143,'Catalogue Aluminium'!$P$143)),IF(T25="TRENCH",(IF($U25="1C",'Catalogue Aluminium'!$O$144,'Catalogue Aluminium'!$P$144))))))</f>
        <v>NA</v>
      </c>
      <c r="AM25" s="393" t="str">
        <f>IF(T25="AIR","NA",IF(T25="TRENCH","NA",IF(T25="DUCT",IF(U25="1C",VLOOKUP(V25,'Catalogue Aluminium'!$Q$142:$S$153,2,FALSE),VLOOKUP(V25,'Catalogue Aluminium'!$Q$142:$S$153,3)),IF(T25="GROUND",IF(U25="1C",VLOOKUP(V25,'Catalogue Aluminium'!$Q$142:$S$153,2,FALSE),VLOOKUP(V25,'Catalogue Aluminium'!$Q$142:$S$153,3))))))</f>
        <v>NA</v>
      </c>
      <c r="AN25" s="404">
        <f t="shared" ref="AN25" si="522">IF(T25="AIR",AI25*AJ25,IF(T25="TRENCH",AI25*AJ25,IF(T25="DUCT",AJ25*AK25*AL25*AM25,IF(T25="GROUND",AJ25*AK25*AL25*AM25))))</f>
        <v>0.59859999999999991</v>
      </c>
      <c r="AO25" s="392">
        <f t="shared" ref="AO25" si="523">Z25*AN25</f>
        <v>22.746799999999997</v>
      </c>
      <c r="AP25" s="434">
        <f t="shared" ref="AP25" si="524">CEILING(((N25)/AO25),1)</f>
        <v>1</v>
      </c>
      <c r="AQ25" s="418" t="str">
        <f t="shared" ref="AQ25" si="525">IF(AO25*AP25&gt;=N25,"YES","NO")</f>
        <v>YES</v>
      </c>
      <c r="AR25" s="437">
        <f t="shared" ref="AR25" si="526">SQRT(3)*AH25*N25*((AA25*L25)+(AB25*SIN(ACOS(L25))))*100/(AP25*K25*1000)</f>
        <v>1.7661621682039703</v>
      </c>
      <c r="AS25" s="401" t="str">
        <f t="shared" si="89"/>
        <v>YES</v>
      </c>
      <c r="AT25" s="437" t="str">
        <f t="shared" si="76"/>
        <v>NA</v>
      </c>
      <c r="AU25" s="401" t="str">
        <f t="shared" si="77"/>
        <v>NA</v>
      </c>
      <c r="AV25" s="437" t="str">
        <f t="shared" si="78"/>
        <v>1R x 6/10 (12)kV x 3C x 4 Sqmm</v>
      </c>
      <c r="AW25" s="437" t="str">
        <f t="shared" si="79"/>
        <v>1R x 6/10 (12)kV x 3C x 4 Sqmm</v>
      </c>
      <c r="AX25" s="401">
        <f t="shared" si="90"/>
        <v>430</v>
      </c>
      <c r="AY25" s="401"/>
      <c r="AZ25" s="401">
        <f t="shared" si="91"/>
        <v>2</v>
      </c>
      <c r="BA25" s="438" t="str">
        <f t="shared" si="80"/>
        <v>ACDEE1</v>
      </c>
      <c r="BB25" s="390">
        <f>VLOOKUP(W25,'Catalogue Aluminium'!$B$141:$H$173,7,FALSE)</f>
        <v>15</v>
      </c>
      <c r="BC25" s="439">
        <f t="shared" si="92"/>
        <v>15</v>
      </c>
      <c r="BE25" s="344"/>
      <c r="BF25" s="344">
        <v>1</v>
      </c>
      <c r="BG25" s="344"/>
      <c r="BH25" s="344"/>
      <c r="BI25" s="344">
        <v>1</v>
      </c>
      <c r="BJ25" s="344">
        <v>1</v>
      </c>
      <c r="BK25" s="344"/>
      <c r="BL25" s="344"/>
      <c r="BM25" s="344"/>
      <c r="BN25" s="344">
        <v>1</v>
      </c>
      <c r="BO25" s="344"/>
      <c r="BP25" s="344">
        <v>1</v>
      </c>
      <c r="BQ25" s="344"/>
      <c r="BR25" s="344"/>
      <c r="BS25" s="344"/>
      <c r="BT25" s="344"/>
      <c r="BU25" s="344"/>
      <c r="BV25" s="344"/>
      <c r="BW25" s="344"/>
      <c r="BX25" s="344"/>
      <c r="BY25" s="344"/>
      <c r="BZ25" s="344"/>
      <c r="CA25" s="344"/>
      <c r="CB25" s="344"/>
      <c r="CC25" s="344"/>
      <c r="CD25" s="344"/>
      <c r="CE25" s="416"/>
      <c r="CF25" s="416"/>
      <c r="CG25" s="416"/>
      <c r="CH25" s="416"/>
      <c r="CI25" s="416"/>
      <c r="CJ25" s="416"/>
      <c r="CK25" s="416"/>
      <c r="CL25" s="416"/>
      <c r="CM25" s="416"/>
      <c r="CN25" s="416"/>
      <c r="CO25" s="416"/>
      <c r="CP25" s="416"/>
      <c r="CQ25" s="416"/>
      <c r="CR25" s="416"/>
      <c r="CS25" s="416"/>
      <c r="CT25" s="416"/>
      <c r="CU25" s="416"/>
      <c r="CV25" s="416"/>
      <c r="CW25" s="416"/>
      <c r="CX25" s="416"/>
      <c r="CY25" s="416"/>
      <c r="CZ25" s="416"/>
      <c r="DA25" s="416"/>
      <c r="DB25" s="416"/>
      <c r="DC25" s="416"/>
      <c r="DD25" s="416"/>
      <c r="DE25" s="416"/>
      <c r="DF25" s="416"/>
      <c r="DG25" s="416"/>
      <c r="DH25" s="416"/>
      <c r="DI25" s="416"/>
      <c r="DJ25" s="416"/>
      <c r="DK25" s="416"/>
      <c r="DL25" s="416"/>
      <c r="DM25" s="416"/>
      <c r="DN25" s="416"/>
      <c r="DO25" s="416"/>
      <c r="DP25" s="416"/>
      <c r="DQ25" s="416"/>
      <c r="DR25" s="416"/>
      <c r="DS25" s="416"/>
      <c r="DT25" s="416"/>
      <c r="DU25" s="416"/>
      <c r="DW25" s="336">
        <f t="shared" ref="DW25" si="527">IF(BE25=1,($BC25*BE25),0)</f>
        <v>0</v>
      </c>
      <c r="DX25" s="336">
        <f t="shared" ref="DX25" si="528">IF(BF25=1,($BC25*BF25),0)</f>
        <v>15</v>
      </c>
      <c r="DY25" s="336">
        <f t="shared" ref="DY25" si="529">IF(BG25=1,($BC25*BG25),0)</f>
        <v>0</v>
      </c>
      <c r="DZ25" s="336">
        <f t="shared" ref="DZ25" si="530">IF(BH25=1,($BC25*BH25),0)</f>
        <v>0</v>
      </c>
      <c r="EA25" s="336">
        <f t="shared" ref="EA25" si="531">IF(BI25=1,($BC25*BI25),0)</f>
        <v>15</v>
      </c>
      <c r="EB25" s="336">
        <f t="shared" ref="EB25" si="532">IF(BJ25=1,($BC25*BJ25),0)</f>
        <v>15</v>
      </c>
      <c r="EC25" s="336">
        <f t="shared" ref="EC25" si="533">IF(BK25=1,($BC25*BK25),0)</f>
        <v>0</v>
      </c>
      <c r="ED25" s="336">
        <f t="shared" ref="ED25" si="534">IF(BL25=1,($BC25*BL25),0)</f>
        <v>0</v>
      </c>
      <c r="EE25" s="336">
        <f t="shared" ref="EE25" si="535">IF(BM25=1,($BC25*BM25),0)</f>
        <v>0</v>
      </c>
      <c r="EF25" s="336">
        <f t="shared" ref="EF25" si="536">IF(BN25=1,($BC25*BN25),0)</f>
        <v>15</v>
      </c>
      <c r="EG25" s="336">
        <f t="shared" ref="EG25" si="537">IF(BO25=1,($BC25*BO25),0)</f>
        <v>0</v>
      </c>
      <c r="EH25" s="336">
        <f t="shared" ref="EH25" si="538">IF(BP25=1,($BC25*BP25),0)</f>
        <v>15</v>
      </c>
      <c r="EI25" s="336">
        <f t="shared" ref="EI25" si="539">IF(BQ25=1,($BC25*BQ25),0)</f>
        <v>0</v>
      </c>
      <c r="EJ25" s="336">
        <f t="shared" ref="EJ25" si="540">IF(BR25=1,($BC25*BR25),0)</f>
        <v>0</v>
      </c>
      <c r="EK25" s="336">
        <f t="shared" ref="EK25" si="541">IF(BS25=1,($BC25*BS25),0)</f>
        <v>0</v>
      </c>
      <c r="EL25" s="336">
        <f t="shared" ref="EL25" si="542">IF(BT25=1,($BC25*BT25),0)</f>
        <v>0</v>
      </c>
      <c r="EM25" s="336">
        <f t="shared" ref="EM25" si="543">IF(BU25=1,($BC25*BU25),0)</f>
        <v>0</v>
      </c>
      <c r="EN25" s="336">
        <f t="shared" ref="EN25" si="544">IF(BV25=1,($BC25*BV25),0)</f>
        <v>0</v>
      </c>
      <c r="EO25" s="336">
        <f t="shared" ref="EO25" si="545">IF(BW25=1,($BC25*BW25),0)</f>
        <v>0</v>
      </c>
      <c r="EP25" s="336">
        <f t="shared" ref="EP25" si="546">IF(BX25=1,($BC25*BX25),0)</f>
        <v>0</v>
      </c>
      <c r="EQ25" s="336">
        <f t="shared" ref="EQ25" si="547">IF(BY25=1,($BC25*BY25),0)</f>
        <v>0</v>
      </c>
      <c r="ER25" s="336">
        <f t="shared" ref="ER25" si="548">IF(BZ25=1,($BC25*BZ25),0)</f>
        <v>0</v>
      </c>
      <c r="ES25" s="336">
        <f t="shared" ref="ES25" si="549">IF(CA25=1,($BC25*CA25),0)</f>
        <v>0</v>
      </c>
      <c r="ET25" s="336">
        <f t="shared" si="22"/>
        <v>0</v>
      </c>
      <c r="EU25" s="336">
        <f t="shared" si="23"/>
        <v>0</v>
      </c>
      <c r="EV25" s="336">
        <f t="shared" ref="EV25" si="550">IF(CD25=1,($BC25*CD25),0)</f>
        <v>0</v>
      </c>
      <c r="EW25" s="336">
        <f t="shared" ref="EW25" si="551">IF(CE25=1,($BC25*CE25),0)</f>
        <v>0</v>
      </c>
      <c r="EX25" s="336">
        <f t="shared" ref="EX25" si="552">IF(CF25=1,($BC25*CF25),0)</f>
        <v>0</v>
      </c>
      <c r="EY25" s="336">
        <f t="shared" ref="EY25" si="553">IF(CG25=1,($BC25*CG25),0)</f>
        <v>0</v>
      </c>
      <c r="EZ25" s="336">
        <f t="shared" ref="EZ25" si="554">IF(CH25=1,($BC25*CH25),0)</f>
        <v>0</v>
      </c>
      <c r="FA25" s="336">
        <f t="shared" ref="FA25" si="555">IF(CI25=1,($BC25*CI25),0)</f>
        <v>0</v>
      </c>
      <c r="FB25" s="336">
        <f t="shared" ref="FB25" si="556">IF(CJ25=1,($BC25*CJ25),0)</f>
        <v>0</v>
      </c>
      <c r="FC25" s="336">
        <f t="shared" ref="FC25" si="557">IF(CK25=1,($BC25*CK25),0)</f>
        <v>0</v>
      </c>
      <c r="FD25" s="336">
        <f t="shared" ref="FD25" si="558">IF(CL25=1,($BC25*CL25),0)</f>
        <v>0</v>
      </c>
      <c r="FE25" s="336">
        <f t="shared" ref="FE25" si="559">IF(CM25=1,($BC25*CM25),0)</f>
        <v>0</v>
      </c>
      <c r="FF25" s="336">
        <f t="shared" ref="FF25" si="560">IF(CN25=1,($BC25*CN25),0)</f>
        <v>0</v>
      </c>
      <c r="FG25" s="336">
        <f t="shared" ref="FG25" si="561">IF(CO25=1,($BC25*CO25),0)</f>
        <v>0</v>
      </c>
      <c r="FH25" s="336">
        <f t="shared" ref="FH25" si="562">IF(CP25=1,($BC25*CP25),0)</f>
        <v>0</v>
      </c>
      <c r="FI25" s="336">
        <f t="shared" ref="FI25" si="563">IF(CQ25=1,($BC25*CQ25),0)</f>
        <v>0</v>
      </c>
      <c r="FJ25" s="336">
        <f t="shared" ref="FJ25" si="564">IF(CR25=1,($BC25*CR25),0)</f>
        <v>0</v>
      </c>
      <c r="FK25" s="336">
        <f t="shared" ref="FK25" si="565">IF(CS25=1,($BC25*CS25),0)</f>
        <v>0</v>
      </c>
      <c r="FL25" s="336">
        <f t="shared" ref="FL25" si="566">IF(CT25=1,($BC25*CT25),0)</f>
        <v>0</v>
      </c>
      <c r="FM25" s="336">
        <f t="shared" ref="FM25" si="567">IF(CU25=1,($BC25*CU25),0)</f>
        <v>0</v>
      </c>
      <c r="FN25" s="336">
        <f t="shared" ref="FN25" si="568">IF(CV25=1,($BC25*CV25),0)</f>
        <v>0</v>
      </c>
      <c r="FO25" s="336">
        <f t="shared" ref="FO25" si="569">IF(CW25=1,($BC25*CW25),0)</f>
        <v>0</v>
      </c>
      <c r="FP25" s="336">
        <f t="shared" ref="FP25" si="570">IF(CX25=1,($BC25*CX25),0)</f>
        <v>0</v>
      </c>
      <c r="FQ25" s="336">
        <f t="shared" ref="FQ25" si="571">IF(CY25=1,($BC25*CY25),0)</f>
        <v>0</v>
      </c>
      <c r="FR25" s="336">
        <f t="shared" ref="FR25" si="572">IF(CZ25=1,($BC25*CZ25),0)</f>
        <v>0</v>
      </c>
      <c r="FS25" s="336">
        <f t="shared" ref="FS25" si="573">IF(DA25=1,($BC25*DA25),0)</f>
        <v>0</v>
      </c>
      <c r="FT25" s="336">
        <f t="shared" ref="FT25" si="574">IF(DB25=1,($BC25*DB25),0)</f>
        <v>0</v>
      </c>
      <c r="FU25" s="336">
        <f t="shared" si="93"/>
        <v>0</v>
      </c>
      <c r="FV25" s="336">
        <f t="shared" si="94"/>
        <v>0</v>
      </c>
      <c r="FW25" s="336">
        <f t="shared" si="95"/>
        <v>0</v>
      </c>
      <c r="FX25" s="336">
        <f t="shared" si="96"/>
        <v>0</v>
      </c>
      <c r="FY25" s="336">
        <f t="shared" ref="FY25" si="575">IF(DG25=1,($BC25*DG25),0)</f>
        <v>0</v>
      </c>
      <c r="FZ25" s="336">
        <f t="shared" ref="FZ25" si="576">IF(DH25=1,($BC25*DH25),0)</f>
        <v>0</v>
      </c>
      <c r="GA25" s="336">
        <f t="shared" ref="GA25" si="577">IF(DI25=1,($BC25*DI25),0)</f>
        <v>0</v>
      </c>
      <c r="GB25" s="336">
        <f t="shared" ref="GB25" si="578">IF(DJ25=1,($BC25*DJ25),0)</f>
        <v>0</v>
      </c>
      <c r="GC25" s="336">
        <f t="shared" ref="GC25" si="579">IF(DK25=1,($BC25*DK25),0)</f>
        <v>0</v>
      </c>
      <c r="GD25" s="336">
        <f t="shared" ref="GD25" si="580">IF(DL25=1,($BC25*DL25),0)</f>
        <v>0</v>
      </c>
      <c r="GE25" s="336">
        <f t="shared" ref="GE25" si="581">IF(DM25=1,($BC25*DM25),0)</f>
        <v>0</v>
      </c>
      <c r="GF25" s="336">
        <f t="shared" ref="GF25" si="582">IF(DN25=1,($BC25*DN25),0)</f>
        <v>0</v>
      </c>
      <c r="GG25" s="336">
        <f t="shared" ref="GG25" si="583">IF(DO25=1,($BC25*DO25),0)</f>
        <v>0</v>
      </c>
      <c r="GH25" s="336">
        <f t="shared" ref="GH25" si="584">IF(DP25=1,($BC25*DP25),0)</f>
        <v>0</v>
      </c>
      <c r="GI25" s="336">
        <f t="shared" ref="GI25" si="585">IF(DQ25=1,($BC25*DQ25),0)</f>
        <v>0</v>
      </c>
      <c r="GJ25" s="336">
        <f t="shared" ref="GJ25" si="586">IF(DR25=1,($BC25*DR25),0)</f>
        <v>0</v>
      </c>
      <c r="GK25" s="336">
        <f t="shared" ref="GK25" si="587">IF(DS25=1,($BC25*DS25),0)</f>
        <v>0</v>
      </c>
      <c r="GL25" s="336">
        <f t="shared" si="164"/>
        <v>0</v>
      </c>
      <c r="GM25" s="336">
        <f t="shared" ref="GM25" si="588">IF(DU25=1,($BC25*DU25),0)</f>
        <v>0</v>
      </c>
    </row>
    <row r="26" spans="1:195" ht="36" customHeight="1">
      <c r="A26" s="337">
        <f t="shared" si="305"/>
        <v>18</v>
      </c>
      <c r="B26" s="414" t="s">
        <v>376</v>
      </c>
      <c r="C26" s="337" t="str">
        <f t="shared" si="82"/>
        <v>11kV MV Switchgear-1</v>
      </c>
      <c r="D26" s="440" t="s">
        <v>377</v>
      </c>
      <c r="E26" s="416" t="s">
        <v>345</v>
      </c>
      <c r="F26" s="417" t="s">
        <v>29</v>
      </c>
      <c r="G26" s="340" t="s">
        <v>350</v>
      </c>
      <c r="H26" s="418">
        <v>2450</v>
      </c>
      <c r="I26" s="337" t="s">
        <v>330</v>
      </c>
      <c r="J26" s="337" t="s">
        <v>331</v>
      </c>
      <c r="K26" s="341">
        <v>11000</v>
      </c>
      <c r="L26" s="342">
        <v>0.88</v>
      </c>
      <c r="M26" s="342">
        <v>0.97</v>
      </c>
      <c r="N26" s="342">
        <f t="shared" si="83"/>
        <v>150.65068305142677</v>
      </c>
      <c r="O26" s="342">
        <f t="shared" si="67"/>
        <v>903.90409830856061</v>
      </c>
      <c r="P26" s="343">
        <f t="shared" si="84"/>
        <v>0.2</v>
      </c>
      <c r="Q26" s="342">
        <v>31.5</v>
      </c>
      <c r="R26" s="342">
        <v>0.16</v>
      </c>
      <c r="S26" s="342">
        <f t="shared" si="85"/>
        <v>134.04255319148936</v>
      </c>
      <c r="T26" s="344" t="s">
        <v>131</v>
      </c>
      <c r="U26" s="342" t="s">
        <v>333</v>
      </c>
      <c r="V26" s="344">
        <v>150</v>
      </c>
      <c r="W26" s="343" t="str">
        <f t="shared" si="69"/>
        <v>3C X 150</v>
      </c>
      <c r="X26" s="343" t="str">
        <f t="shared" si="70"/>
        <v>3C X 150+PE</v>
      </c>
      <c r="Y26" s="419" t="s">
        <v>346</v>
      </c>
      <c r="Z26" s="344">
        <f>IF(T26="AIR",VLOOKUP(W26,'Catalogue Aluminium'!$B$141:$G$173,2,FALSE),IF(T26="GROUND",VLOOKUP(W26,'Catalogue Aluminium'!$B$141:$G$173,3,FALSE),IF(T26="DUCT",VLOOKUP(W26,'Catalogue Aluminium'!$B$141:$G$173,4,FALSE),IF(T26="TRENCH",VLOOKUP(W26,'Catalogue Aluminium'!$B$141:$G$173,2,FALSE)))))</f>
        <v>309</v>
      </c>
      <c r="AA26" s="345">
        <f>VLOOKUP(W26,'Catalogue Aluminium'!$B$141:$G$173,5,FALSE)</f>
        <v>0.26500000000000001</v>
      </c>
      <c r="AB26" s="345">
        <f>VLOOKUP(W26,'Catalogue Aluminium'!$B$141:$G$173,6,FALSE)</f>
        <v>9.2999999999999999E-2</v>
      </c>
      <c r="AC26" s="349">
        <f>23+30</f>
        <v>53</v>
      </c>
      <c r="AD26" s="343">
        <f>40+50+38+50+17+(27+48)</f>
        <v>270</v>
      </c>
      <c r="AE26" s="343">
        <f t="shared" si="443"/>
        <v>38</v>
      </c>
      <c r="AF26" s="343">
        <f t="shared" si="167"/>
        <v>10</v>
      </c>
      <c r="AG26" s="343">
        <f t="shared" si="86"/>
        <v>38</v>
      </c>
      <c r="AH26" s="347">
        <f t="shared" si="87"/>
        <v>410</v>
      </c>
      <c r="AI26" s="344">
        <f>IF(T26="AIR",'Catalogue Aluminium'!$K$141,IF(T26="TRENCH",'Catalogue Aluminium'!$K$144,"NA"))</f>
        <v>0.82</v>
      </c>
      <c r="AJ26" s="342">
        <f>IF(T26="Air",(IF(U26="1C",'Catalogue Aluminium'!$L$141,'Catalogue Aluminium'!$M$141)),IF(T26="DUCT",(IF($U26="1C",'Catalogue Aluminium'!$L$142,'Catalogue Aluminium'!$M$142)),IF(T26="GROUND",(IF($U26="1C",'Catalogue Aluminium'!$L$143,'Catalogue Aluminium'!$M$143)),IF(T26="TRENCH",(IF($U26="1C",'Catalogue Aluminium'!$L$144,'Catalogue Aluminium'!$M$144))))))</f>
        <v>0.73</v>
      </c>
      <c r="AK26" s="344" t="str">
        <f>IF(T26="Air",'Catalogue Aluminium'!$N$141,IF(T26="GROUND",'Catalogue Aluminium'!$N$142,IF(T26="DUCT",'Catalogue Aluminium'!$N$143,IF(T26="TRENCH",'Catalogue Aluminium'!$N$144,"NA"))))</f>
        <v>NA</v>
      </c>
      <c r="AL26" s="344" t="str">
        <f>IF(T26="Air",(IF(U26="1C",'Catalogue Aluminium'!$O$141,'Catalogue Aluminium'!$P$141)),IF(T26="DUCT",(IF($U26="1C",'Catalogue Aluminium'!$O$142,'Catalogue Aluminium'!$P$142)),IF(T26="GROUND",(IF($U26="1C",'Catalogue Aluminium'!$O$143,'Catalogue Aluminium'!$P$143)),IF(T26="TRENCH",(IF($U26="1C",'Catalogue Aluminium'!$O$144,'Catalogue Aluminium'!$P$144))))))</f>
        <v>NA</v>
      </c>
      <c r="AM26" s="344" t="str">
        <f>IF(T26="AIR","NA",IF(T26="TRENCH","NA",IF(T26="DUCT",IF(U26="1C",VLOOKUP(V26,'Catalogue Aluminium'!$Q$142:$S$153,2,FALSE),VLOOKUP(V26,'Catalogue Aluminium'!$Q$142:$S$153,3)),IF(T26="GROUND",IF(U26="1C",VLOOKUP(V26,'Catalogue Aluminium'!$Q$142:$S$153,2,FALSE),VLOOKUP(V26,'Catalogue Aluminium'!$Q$142:$S$153,3))))))</f>
        <v>NA</v>
      </c>
      <c r="AN26" s="348">
        <f t="shared" si="71"/>
        <v>0.59859999999999991</v>
      </c>
      <c r="AO26" s="342">
        <f t="shared" si="72"/>
        <v>184.96739999999997</v>
      </c>
      <c r="AP26" s="349">
        <f t="shared" si="73"/>
        <v>1</v>
      </c>
      <c r="AQ26" s="350" t="str">
        <f t="shared" si="74"/>
        <v>YES</v>
      </c>
      <c r="AR26" s="351">
        <f t="shared" si="75"/>
        <v>0.26976548742967166</v>
      </c>
      <c r="AS26" s="343" t="str">
        <f t="shared" si="89"/>
        <v>YES</v>
      </c>
      <c r="AT26" s="351">
        <f t="shared" si="76"/>
        <v>0.84101061392013776</v>
      </c>
      <c r="AU26" s="343" t="str">
        <f t="shared" si="77"/>
        <v>YES</v>
      </c>
      <c r="AV26" s="351" t="str">
        <f t="shared" si="78"/>
        <v>1R x 6/10 (12)kV x 3C x 150 Sqmm</v>
      </c>
      <c r="AW26" s="351" t="str">
        <f t="shared" si="79"/>
        <v>1R x 6/10 (12)kV x 3C x 150 Sqmm</v>
      </c>
      <c r="AX26" s="343">
        <f t="shared" si="90"/>
        <v>410</v>
      </c>
      <c r="AY26" s="343"/>
      <c r="AZ26" s="343">
        <f t="shared" si="91"/>
        <v>2</v>
      </c>
      <c r="BA26" s="356" t="str">
        <f t="shared" si="80"/>
        <v>ACDEE1E2</v>
      </c>
      <c r="BB26" s="340">
        <f>VLOOKUP(W26,'Catalogue Aluminium'!$B$141:$H$173,7,FALSE)</f>
        <v>62</v>
      </c>
      <c r="BC26" s="328">
        <f t="shared" si="92"/>
        <v>62</v>
      </c>
      <c r="BE26" s="344"/>
      <c r="BF26" s="344">
        <v>1</v>
      </c>
      <c r="BG26" s="344"/>
      <c r="BH26" s="344"/>
      <c r="BI26" s="344">
        <v>1</v>
      </c>
      <c r="BJ26" s="344">
        <v>1</v>
      </c>
      <c r="BK26" s="344"/>
      <c r="BL26" s="344"/>
      <c r="BM26" s="344"/>
      <c r="BN26" s="344">
        <v>1</v>
      </c>
      <c r="BO26" s="344"/>
      <c r="BP26" s="344">
        <v>1</v>
      </c>
      <c r="BQ26" s="344">
        <v>1</v>
      </c>
      <c r="BR26" s="344"/>
      <c r="BS26" s="344"/>
      <c r="BT26" s="344"/>
      <c r="BU26" s="344"/>
      <c r="BV26" s="344"/>
      <c r="BW26" s="344"/>
      <c r="BX26" s="344"/>
      <c r="BY26" s="344"/>
      <c r="BZ26" s="344"/>
      <c r="CA26" s="344"/>
      <c r="CB26" s="344"/>
      <c r="CC26" s="344"/>
      <c r="CD26" s="344"/>
      <c r="CE26" s="416"/>
      <c r="CF26" s="416"/>
      <c r="CG26" s="416"/>
      <c r="CH26" s="416"/>
      <c r="CI26" s="416"/>
      <c r="CJ26" s="416"/>
      <c r="CK26" s="416"/>
      <c r="CL26" s="416"/>
      <c r="CM26" s="416"/>
      <c r="CN26" s="416"/>
      <c r="CO26" s="416"/>
      <c r="CP26" s="416"/>
      <c r="CQ26" s="416"/>
      <c r="CR26" s="416"/>
      <c r="CS26" s="416"/>
      <c r="CT26" s="416"/>
      <c r="CU26" s="416"/>
      <c r="CV26" s="416"/>
      <c r="CW26" s="416"/>
      <c r="CX26" s="416"/>
      <c r="CY26" s="416"/>
      <c r="CZ26" s="416"/>
      <c r="DA26" s="416"/>
      <c r="DB26" s="416"/>
      <c r="DC26" s="416"/>
      <c r="DD26" s="416"/>
      <c r="DE26" s="416"/>
      <c r="DF26" s="416"/>
      <c r="DG26" s="416"/>
      <c r="DH26" s="416"/>
      <c r="DI26" s="416"/>
      <c r="DJ26" s="416"/>
      <c r="DK26" s="416"/>
      <c r="DL26" s="416"/>
      <c r="DM26" s="416"/>
      <c r="DN26" s="416"/>
      <c r="DO26" s="416"/>
      <c r="DP26" s="416"/>
      <c r="DQ26" s="416"/>
      <c r="DR26" s="416"/>
      <c r="DS26" s="416"/>
      <c r="DT26" s="416"/>
      <c r="DU26" s="416"/>
      <c r="DW26" s="336">
        <f t="shared" si="81"/>
        <v>0</v>
      </c>
      <c r="DX26" s="336">
        <f t="shared" si="0"/>
        <v>62</v>
      </c>
      <c r="DY26" s="336">
        <f t="shared" si="1"/>
        <v>0</v>
      </c>
      <c r="DZ26" s="336">
        <f t="shared" si="2"/>
        <v>0</v>
      </c>
      <c r="EA26" s="336">
        <f t="shared" si="3"/>
        <v>62</v>
      </c>
      <c r="EB26" s="336">
        <f t="shared" si="4"/>
        <v>62</v>
      </c>
      <c r="EC26" s="336">
        <f t="shared" si="5"/>
        <v>0</v>
      </c>
      <c r="ED26" s="336">
        <f t="shared" si="6"/>
        <v>0</v>
      </c>
      <c r="EE26" s="336">
        <f t="shared" si="7"/>
        <v>0</v>
      </c>
      <c r="EF26" s="336">
        <f t="shared" si="8"/>
        <v>62</v>
      </c>
      <c r="EG26" s="336">
        <f t="shared" si="9"/>
        <v>0</v>
      </c>
      <c r="EH26" s="336">
        <f t="shared" si="10"/>
        <v>62</v>
      </c>
      <c r="EI26" s="336">
        <f t="shared" si="11"/>
        <v>62</v>
      </c>
      <c r="EJ26" s="336">
        <f t="shared" si="12"/>
        <v>0</v>
      </c>
      <c r="EK26" s="336">
        <f t="shared" si="13"/>
        <v>0</v>
      </c>
      <c r="EL26" s="336">
        <f t="shared" si="14"/>
        <v>0</v>
      </c>
      <c r="EM26" s="336">
        <f t="shared" si="15"/>
        <v>0</v>
      </c>
      <c r="EN26" s="336">
        <f t="shared" si="16"/>
        <v>0</v>
      </c>
      <c r="EO26" s="336">
        <f t="shared" si="17"/>
        <v>0</v>
      </c>
      <c r="EP26" s="336">
        <f t="shared" si="18"/>
        <v>0</v>
      </c>
      <c r="EQ26" s="336">
        <f t="shared" si="19"/>
        <v>0</v>
      </c>
      <c r="ER26" s="336">
        <f t="shared" si="20"/>
        <v>0</v>
      </c>
      <c r="ES26" s="336">
        <f t="shared" si="21"/>
        <v>0</v>
      </c>
      <c r="ET26" s="336">
        <f t="shared" si="22"/>
        <v>0</v>
      </c>
      <c r="EU26" s="336">
        <f t="shared" si="23"/>
        <v>0</v>
      </c>
      <c r="EV26" s="336">
        <f t="shared" si="24"/>
        <v>0</v>
      </c>
      <c r="EW26" s="336">
        <f t="shared" si="25"/>
        <v>0</v>
      </c>
      <c r="EX26" s="336">
        <f t="shared" si="26"/>
        <v>0</v>
      </c>
      <c r="EY26" s="336">
        <f t="shared" si="27"/>
        <v>0</v>
      </c>
      <c r="EZ26" s="336">
        <f t="shared" si="28"/>
        <v>0</v>
      </c>
      <c r="FA26" s="336">
        <f t="shared" si="29"/>
        <v>0</v>
      </c>
      <c r="FB26" s="336">
        <f t="shared" si="30"/>
        <v>0</v>
      </c>
      <c r="FC26" s="336">
        <f t="shared" si="31"/>
        <v>0</v>
      </c>
      <c r="FD26" s="336">
        <f t="shared" si="32"/>
        <v>0</v>
      </c>
      <c r="FE26" s="336">
        <f t="shared" si="33"/>
        <v>0</v>
      </c>
      <c r="FF26" s="336">
        <f t="shared" si="34"/>
        <v>0</v>
      </c>
      <c r="FG26" s="336">
        <f t="shared" si="35"/>
        <v>0</v>
      </c>
      <c r="FH26" s="336">
        <f t="shared" si="36"/>
        <v>0</v>
      </c>
      <c r="FI26" s="336">
        <f t="shared" si="37"/>
        <v>0</v>
      </c>
      <c r="FJ26" s="336">
        <f t="shared" si="38"/>
        <v>0</v>
      </c>
      <c r="FK26" s="336">
        <f t="shared" si="39"/>
        <v>0</v>
      </c>
      <c r="FL26" s="336">
        <f t="shared" si="40"/>
        <v>0</v>
      </c>
      <c r="FM26" s="336">
        <f t="shared" si="41"/>
        <v>0</v>
      </c>
      <c r="FN26" s="336">
        <f t="shared" si="42"/>
        <v>0</v>
      </c>
      <c r="FO26" s="336">
        <f t="shared" si="43"/>
        <v>0</v>
      </c>
      <c r="FP26" s="336">
        <f t="shared" si="44"/>
        <v>0</v>
      </c>
      <c r="FQ26" s="336">
        <f t="shared" si="45"/>
        <v>0</v>
      </c>
      <c r="FR26" s="336">
        <f t="shared" si="46"/>
        <v>0</v>
      </c>
      <c r="FS26" s="336">
        <f t="shared" si="47"/>
        <v>0</v>
      </c>
      <c r="FT26" s="336">
        <f t="shared" si="48"/>
        <v>0</v>
      </c>
      <c r="FU26" s="336">
        <f t="shared" si="93"/>
        <v>0</v>
      </c>
      <c r="FV26" s="336">
        <f t="shared" si="94"/>
        <v>0</v>
      </c>
      <c r="FW26" s="336">
        <f t="shared" si="95"/>
        <v>0</v>
      </c>
      <c r="FX26" s="336">
        <f t="shared" si="96"/>
        <v>0</v>
      </c>
      <c r="FY26" s="336">
        <f t="shared" si="53"/>
        <v>0</v>
      </c>
      <c r="FZ26" s="336">
        <f t="shared" si="54"/>
        <v>0</v>
      </c>
      <c r="GA26" s="336">
        <f t="shared" si="55"/>
        <v>0</v>
      </c>
      <c r="GB26" s="336">
        <f t="shared" si="56"/>
        <v>0</v>
      </c>
      <c r="GC26" s="336">
        <f t="shared" si="57"/>
        <v>0</v>
      </c>
      <c r="GD26" s="336">
        <f t="shared" si="58"/>
        <v>0</v>
      </c>
      <c r="GE26" s="336">
        <f t="shared" si="59"/>
        <v>0</v>
      </c>
      <c r="GF26" s="336">
        <f t="shared" si="60"/>
        <v>0</v>
      </c>
      <c r="GG26" s="336">
        <f t="shared" si="61"/>
        <v>0</v>
      </c>
      <c r="GH26" s="336">
        <f t="shared" si="62"/>
        <v>0</v>
      </c>
      <c r="GI26" s="336">
        <f t="shared" si="63"/>
        <v>0</v>
      </c>
      <c r="GJ26" s="336">
        <f t="shared" si="64"/>
        <v>0</v>
      </c>
      <c r="GK26" s="336">
        <f>IF(DS26=1,($BC26*DS26),0)</f>
        <v>0</v>
      </c>
      <c r="GL26" s="336">
        <f t="shared" si="164"/>
        <v>0</v>
      </c>
      <c r="GM26" s="336">
        <f t="shared" si="66"/>
        <v>0</v>
      </c>
    </row>
    <row r="27" spans="1:195" ht="36" customHeight="1">
      <c r="A27" s="388">
        <f t="shared" si="305"/>
        <v>19</v>
      </c>
      <c r="B27" s="442" t="s">
        <v>376</v>
      </c>
      <c r="C27" s="388" t="str">
        <f t="shared" si="82"/>
        <v>11kV MV Switchgear-1</v>
      </c>
      <c r="D27" s="441" t="s">
        <v>378</v>
      </c>
      <c r="E27" s="432" t="s">
        <v>345</v>
      </c>
      <c r="F27" s="433" t="s">
        <v>29</v>
      </c>
      <c r="G27" s="390" t="s">
        <v>329</v>
      </c>
      <c r="H27" s="396">
        <v>0.2</v>
      </c>
      <c r="I27" s="388" t="s">
        <v>330</v>
      </c>
      <c r="J27" s="388" t="s">
        <v>357</v>
      </c>
      <c r="K27" s="434">
        <v>230</v>
      </c>
      <c r="L27" s="401">
        <v>0.85</v>
      </c>
      <c r="M27" s="418">
        <v>0.95</v>
      </c>
      <c r="N27" s="392">
        <f t="shared" ref="N27" si="589">IF(I27="kVA",IF(J27="3Ph",(H27*1000/(1.732*M27*K27)),(H27*1000/(M27*K27))),IF(I27="kW",IF(J27="3Ph",(H27*1000/(1.732*M27*K27*L27)),(H27*1000/(M27*K27*L27)))))</f>
        <v>1.0768609503297888</v>
      </c>
      <c r="O27" s="392">
        <f t="shared" ref="O27" si="590">IF(G27="MOTOR",(6*N27),IF(G27="VFD",(1*N27),0))</f>
        <v>0</v>
      </c>
      <c r="P27" s="401" t="str">
        <f t="shared" ref="P27" si="591">IF(G27="MOTOR",0.2,"0.00")</f>
        <v>0.00</v>
      </c>
      <c r="Q27" s="418">
        <v>65</v>
      </c>
      <c r="R27" s="418">
        <v>0</v>
      </c>
      <c r="S27" s="418">
        <f t="shared" si="85"/>
        <v>0</v>
      </c>
      <c r="T27" s="401" t="s">
        <v>131</v>
      </c>
      <c r="U27" s="418" t="s">
        <v>333</v>
      </c>
      <c r="V27" s="401">
        <v>4</v>
      </c>
      <c r="W27" s="401" t="str">
        <f t="shared" ref="W27" si="592">CONCATENATE(U27," X ",V27)</f>
        <v>3C X 4</v>
      </c>
      <c r="X27" s="401" t="str">
        <f t="shared" si="70"/>
        <v>3C X 4</v>
      </c>
      <c r="Y27" s="435" t="s">
        <v>358</v>
      </c>
      <c r="Z27" s="393">
        <f>IF(T27="AIR",VLOOKUP(W27,'Catalogue Aluminium'!$B$141:$G$173,2,FALSE),IF(T27="GROUND",VLOOKUP(W27,'Catalogue Aluminium'!$B$141:$G$173,3,FALSE),IF(T27="DUCT",VLOOKUP(W27,'Catalogue Aluminium'!$B$141:$G$173,4,FALSE),IF(T27="TRENCH",VLOOKUP(W27,'Catalogue Aluminium'!$B$141:$G$173,2,FALSE)))))</f>
        <v>38</v>
      </c>
      <c r="AA27" s="402">
        <f>VLOOKUP(W27,'Catalogue Aluminium'!$B$141:$G$173,5,FALSE)</f>
        <v>5.9</v>
      </c>
      <c r="AB27" s="402">
        <f>VLOOKUP(W27,'Catalogue Aluminium'!$B$141:$G$173,6,FALSE)</f>
        <v>9.4700000000000006E-2</v>
      </c>
      <c r="AC27" s="434">
        <f>23+30</f>
        <v>53</v>
      </c>
      <c r="AD27" s="401">
        <f>40+50+38+50+17+(27+48)</f>
        <v>270</v>
      </c>
      <c r="AE27" s="401">
        <f t="shared" si="443"/>
        <v>38</v>
      </c>
      <c r="AF27" s="401">
        <f t="shared" si="167"/>
        <v>10</v>
      </c>
      <c r="AG27" s="401">
        <f t="shared" ref="AG27" si="593">ROUNDUP(SUM(AC27:AF27)*0.1,0)</f>
        <v>38</v>
      </c>
      <c r="AH27" s="436">
        <f t="shared" si="87"/>
        <v>410</v>
      </c>
      <c r="AI27" s="393">
        <f>IF(T27="AIR",'Catalogue Aluminium'!$K$141,IF(T27="TRENCH",'Catalogue Aluminium'!$K$144,"NA"))</f>
        <v>0.82</v>
      </c>
      <c r="AJ27" s="392">
        <f>IF(T27="Air",(IF(U27="1C",'Catalogue Aluminium'!$L$141,'Catalogue Aluminium'!$M$141)),IF(T27="DUCT",(IF($U27="1C",'Catalogue Aluminium'!$L$142,'Catalogue Aluminium'!$M$142)),IF(T27="GROUND",(IF($U27="1C",'Catalogue Aluminium'!$L$143,'Catalogue Aluminium'!$M$143)),IF(T27="TRENCH",(IF($U27="1C",'Catalogue Aluminium'!$L$144,'Catalogue Aluminium'!$M$144))))))</f>
        <v>0.73</v>
      </c>
      <c r="AK27" s="393" t="str">
        <f>IF(T27="Air",'Catalogue Aluminium'!$N$141,IF(T27="GROUND",'Catalogue Aluminium'!$N$142,IF(T27="DUCT",'Catalogue Aluminium'!$N$143,IF(T27="TRENCH",'Catalogue Aluminium'!$N$144,"NA"))))</f>
        <v>NA</v>
      </c>
      <c r="AL27" s="393" t="str">
        <f>IF(T27="Air",(IF(U27="1C",'Catalogue Aluminium'!$O$141,'Catalogue Aluminium'!$P$141)),IF(T27="DUCT",(IF($U27="1C",'Catalogue Aluminium'!$O$142,'Catalogue Aluminium'!$P$142)),IF(T27="GROUND",(IF($U27="1C",'Catalogue Aluminium'!$O$143,'Catalogue Aluminium'!$P$143)),IF(T27="TRENCH",(IF($U27="1C",'Catalogue Aluminium'!$O$144,'Catalogue Aluminium'!$P$144))))))</f>
        <v>NA</v>
      </c>
      <c r="AM27" s="393" t="str">
        <f>IF(T27="AIR","NA",IF(T27="TRENCH","NA",IF(T27="DUCT",IF(U27="1C",VLOOKUP(V27,'Catalogue Aluminium'!$Q$142:$S$153,2,FALSE),VLOOKUP(V27,'Catalogue Aluminium'!$Q$142:$S$153,3)),IF(T27="GROUND",IF(U27="1C",VLOOKUP(V27,'Catalogue Aluminium'!$Q$142:$S$153,2,FALSE),VLOOKUP(V27,'Catalogue Aluminium'!$Q$142:$S$153,3))))))</f>
        <v>NA</v>
      </c>
      <c r="AN27" s="404">
        <f t="shared" ref="AN27" si="594">IF(T27="AIR",AI27*AJ27,IF(T27="TRENCH",AI27*AJ27,IF(T27="DUCT",AJ27*AK27*AL27*AM27,IF(T27="GROUND",AJ27*AK27*AL27*AM27))))</f>
        <v>0.59859999999999991</v>
      </c>
      <c r="AO27" s="392">
        <f t="shared" ref="AO27" si="595">Z27*AN27</f>
        <v>22.746799999999997</v>
      </c>
      <c r="AP27" s="434">
        <f t="shared" ref="AP27" si="596">CEILING(((N27)/AO27),1)</f>
        <v>1</v>
      </c>
      <c r="AQ27" s="418" t="str">
        <f t="shared" ref="AQ27" si="597">IF(AO27*AP27&gt;=N27,"YES","NO")</f>
        <v>YES</v>
      </c>
      <c r="AR27" s="437">
        <f t="shared" ref="AR27" si="598">SQRT(3)*AH27*N27*((AA27*L27)+(AB27*SIN(ACOS(L27))))*100/(AP27*K27*1000)</f>
        <v>1.684015090613088</v>
      </c>
      <c r="AS27" s="401" t="str">
        <f t="shared" si="89"/>
        <v>YES</v>
      </c>
      <c r="AT27" s="437" t="str">
        <f t="shared" si="76"/>
        <v>NA</v>
      </c>
      <c r="AU27" s="401" t="str">
        <f t="shared" si="77"/>
        <v>NA</v>
      </c>
      <c r="AV27" s="437" t="str">
        <f t="shared" si="78"/>
        <v>1R x 6/10 (12)kV x 3C x 4 Sqmm</v>
      </c>
      <c r="AW27" s="437" t="str">
        <f t="shared" si="79"/>
        <v>1R x 6/10 (12)kV x 3C x 4 Sqmm</v>
      </c>
      <c r="AX27" s="401">
        <f t="shared" si="90"/>
        <v>410</v>
      </c>
      <c r="AY27" s="401"/>
      <c r="AZ27" s="401">
        <f t="shared" si="91"/>
        <v>2</v>
      </c>
      <c r="BA27" s="438" t="str">
        <f t="shared" si="80"/>
        <v>ACDEE1E2</v>
      </c>
      <c r="BB27" s="390">
        <f>VLOOKUP(W27,'Catalogue Aluminium'!$B$141:$H$173,7,FALSE)</f>
        <v>15</v>
      </c>
      <c r="BC27" s="439">
        <f t="shared" si="92"/>
        <v>15</v>
      </c>
      <c r="BE27" s="344"/>
      <c r="BF27" s="344">
        <v>1</v>
      </c>
      <c r="BG27" s="344"/>
      <c r="BH27" s="344"/>
      <c r="BI27" s="344">
        <v>1</v>
      </c>
      <c r="BJ27" s="344">
        <v>1</v>
      </c>
      <c r="BK27" s="344"/>
      <c r="BL27" s="344"/>
      <c r="BM27" s="344"/>
      <c r="BN27" s="344">
        <v>1</v>
      </c>
      <c r="BO27" s="344"/>
      <c r="BP27" s="344">
        <v>1</v>
      </c>
      <c r="BQ27" s="344">
        <v>1</v>
      </c>
      <c r="BR27" s="344"/>
      <c r="BS27" s="344"/>
      <c r="BT27" s="344"/>
      <c r="BU27" s="344"/>
      <c r="BV27" s="344"/>
      <c r="BW27" s="344"/>
      <c r="BX27" s="344"/>
      <c r="BY27" s="344"/>
      <c r="BZ27" s="344"/>
      <c r="CA27" s="344"/>
      <c r="CB27" s="344"/>
      <c r="CC27" s="344"/>
      <c r="CD27" s="344"/>
      <c r="CE27" s="416"/>
      <c r="CF27" s="416"/>
      <c r="CG27" s="416"/>
      <c r="CH27" s="416"/>
      <c r="CI27" s="416"/>
      <c r="CJ27" s="416"/>
      <c r="CK27" s="416"/>
      <c r="CL27" s="416"/>
      <c r="CM27" s="416"/>
      <c r="CN27" s="416"/>
      <c r="CO27" s="416"/>
      <c r="CP27" s="416"/>
      <c r="CQ27" s="416"/>
      <c r="CR27" s="416"/>
      <c r="CS27" s="416"/>
      <c r="CT27" s="416"/>
      <c r="CU27" s="416"/>
      <c r="CV27" s="416"/>
      <c r="CW27" s="416"/>
      <c r="CX27" s="416"/>
      <c r="CY27" s="416"/>
      <c r="CZ27" s="416"/>
      <c r="DA27" s="416"/>
      <c r="DB27" s="416"/>
      <c r="DC27" s="416"/>
      <c r="DD27" s="416"/>
      <c r="DE27" s="416"/>
      <c r="DF27" s="416"/>
      <c r="DG27" s="416"/>
      <c r="DH27" s="416"/>
      <c r="DI27" s="416"/>
      <c r="DJ27" s="416"/>
      <c r="DK27" s="416"/>
      <c r="DL27" s="416"/>
      <c r="DM27" s="416"/>
      <c r="DN27" s="416"/>
      <c r="DO27" s="416"/>
      <c r="DP27" s="416"/>
      <c r="DQ27" s="416"/>
      <c r="DR27" s="416"/>
      <c r="DS27" s="416"/>
      <c r="DT27" s="416"/>
      <c r="DU27" s="416"/>
      <c r="DW27" s="336">
        <f t="shared" ref="DW27" si="599">IF(BE27=1,($BC27*BE27),0)</f>
        <v>0</v>
      </c>
      <c r="DX27" s="336">
        <f t="shared" ref="DX27" si="600">IF(BF27=1,($BC27*BF27),0)</f>
        <v>15</v>
      </c>
      <c r="DY27" s="336">
        <f t="shared" ref="DY27" si="601">IF(BG27=1,($BC27*BG27),0)</f>
        <v>0</v>
      </c>
      <c r="DZ27" s="336">
        <f t="shared" ref="DZ27" si="602">IF(BH27=1,($BC27*BH27),0)</f>
        <v>0</v>
      </c>
      <c r="EA27" s="336">
        <f t="shared" ref="EA27" si="603">IF(BI27=1,($BC27*BI27),0)</f>
        <v>15</v>
      </c>
      <c r="EB27" s="336">
        <f t="shared" ref="EB27" si="604">IF(BJ27=1,($BC27*BJ27),0)</f>
        <v>15</v>
      </c>
      <c r="EC27" s="336">
        <f t="shared" ref="EC27" si="605">IF(BK27=1,($BC27*BK27),0)</f>
        <v>0</v>
      </c>
      <c r="ED27" s="336">
        <f t="shared" ref="ED27" si="606">IF(BL27=1,($BC27*BL27),0)</f>
        <v>0</v>
      </c>
      <c r="EE27" s="336">
        <f t="shared" ref="EE27" si="607">IF(BM27=1,($BC27*BM27),0)</f>
        <v>0</v>
      </c>
      <c r="EF27" s="336">
        <f t="shared" ref="EF27" si="608">IF(BN27=1,($BC27*BN27),0)</f>
        <v>15</v>
      </c>
      <c r="EG27" s="336">
        <f t="shared" ref="EG27" si="609">IF(BO27=1,($BC27*BO27),0)</f>
        <v>0</v>
      </c>
      <c r="EH27" s="336">
        <f t="shared" ref="EH27" si="610">IF(BP27=1,($BC27*BP27),0)</f>
        <v>15</v>
      </c>
      <c r="EI27" s="336">
        <f t="shared" ref="EI27" si="611">IF(BQ27=1,($BC27*BQ27),0)</f>
        <v>15</v>
      </c>
      <c r="EJ27" s="336">
        <f t="shared" ref="EJ27" si="612">IF(BR27=1,($BC27*BR27),0)</f>
        <v>0</v>
      </c>
      <c r="EK27" s="336">
        <f t="shared" ref="EK27" si="613">IF(BS27=1,($BC27*BS27),0)</f>
        <v>0</v>
      </c>
      <c r="EL27" s="336">
        <f t="shared" ref="EL27" si="614">IF(BT27=1,($BC27*BT27),0)</f>
        <v>0</v>
      </c>
      <c r="EM27" s="336">
        <f t="shared" ref="EM27" si="615">IF(BU27=1,($BC27*BU27),0)</f>
        <v>0</v>
      </c>
      <c r="EN27" s="336">
        <f t="shared" ref="EN27" si="616">IF(BV27=1,($BC27*BV27),0)</f>
        <v>0</v>
      </c>
      <c r="EO27" s="336">
        <f t="shared" ref="EO27" si="617">IF(BW27=1,($BC27*BW27),0)</f>
        <v>0</v>
      </c>
      <c r="EP27" s="336">
        <f t="shared" ref="EP27" si="618">IF(BX27=1,($BC27*BX27),0)</f>
        <v>0</v>
      </c>
      <c r="EQ27" s="336">
        <f t="shared" ref="EQ27" si="619">IF(BY27=1,($BC27*BY27),0)</f>
        <v>0</v>
      </c>
      <c r="ER27" s="336">
        <f t="shared" ref="ER27" si="620">IF(BZ27=1,($BC27*BZ27),0)</f>
        <v>0</v>
      </c>
      <c r="ES27" s="336">
        <f t="shared" ref="ES27" si="621">IF(CA27=1,($BC27*CA27),0)</f>
        <v>0</v>
      </c>
      <c r="ET27" s="336">
        <f t="shared" si="22"/>
        <v>0</v>
      </c>
      <c r="EU27" s="336">
        <f t="shared" si="23"/>
        <v>0</v>
      </c>
      <c r="EV27" s="336">
        <f t="shared" ref="EV27" si="622">IF(CD27=1,($BC27*CD27),0)</f>
        <v>0</v>
      </c>
      <c r="EW27" s="336">
        <f t="shared" ref="EW27" si="623">IF(CE27=1,($BC27*CE27),0)</f>
        <v>0</v>
      </c>
      <c r="EX27" s="336">
        <f t="shared" ref="EX27" si="624">IF(CF27=1,($BC27*CF27),0)</f>
        <v>0</v>
      </c>
      <c r="EY27" s="336">
        <f t="shared" ref="EY27" si="625">IF(CG27=1,($BC27*CG27),0)</f>
        <v>0</v>
      </c>
      <c r="EZ27" s="336">
        <f t="shared" ref="EZ27" si="626">IF(CH27=1,($BC27*CH27),0)</f>
        <v>0</v>
      </c>
      <c r="FA27" s="336">
        <f t="shared" ref="FA27" si="627">IF(CI27=1,($BC27*CI27),0)</f>
        <v>0</v>
      </c>
      <c r="FB27" s="336">
        <f t="shared" ref="FB27" si="628">IF(CJ27=1,($BC27*CJ27),0)</f>
        <v>0</v>
      </c>
      <c r="FC27" s="336">
        <f t="shared" ref="FC27" si="629">IF(CK27=1,($BC27*CK27),0)</f>
        <v>0</v>
      </c>
      <c r="FD27" s="336">
        <f t="shared" ref="FD27" si="630">IF(CL27=1,($BC27*CL27),0)</f>
        <v>0</v>
      </c>
      <c r="FE27" s="336">
        <f t="shared" ref="FE27" si="631">IF(CM27=1,($BC27*CM27),0)</f>
        <v>0</v>
      </c>
      <c r="FF27" s="336">
        <f t="shared" ref="FF27" si="632">IF(CN27=1,($BC27*CN27),0)</f>
        <v>0</v>
      </c>
      <c r="FG27" s="336">
        <f t="shared" ref="FG27" si="633">IF(CO27=1,($BC27*CO27),0)</f>
        <v>0</v>
      </c>
      <c r="FH27" s="336">
        <f t="shared" ref="FH27" si="634">IF(CP27=1,($BC27*CP27),0)</f>
        <v>0</v>
      </c>
      <c r="FI27" s="336">
        <f t="shared" ref="FI27" si="635">IF(CQ27=1,($BC27*CQ27),0)</f>
        <v>0</v>
      </c>
      <c r="FJ27" s="336">
        <f t="shared" ref="FJ27" si="636">IF(CR27=1,($BC27*CR27),0)</f>
        <v>0</v>
      </c>
      <c r="FK27" s="336">
        <f t="shared" ref="FK27" si="637">IF(CS27=1,($BC27*CS27),0)</f>
        <v>0</v>
      </c>
      <c r="FL27" s="336">
        <f t="shared" ref="FL27" si="638">IF(CT27=1,($BC27*CT27),0)</f>
        <v>0</v>
      </c>
      <c r="FM27" s="336">
        <f t="shared" ref="FM27" si="639">IF(CU27=1,($BC27*CU27),0)</f>
        <v>0</v>
      </c>
      <c r="FN27" s="336">
        <f t="shared" ref="FN27" si="640">IF(CV27=1,($BC27*CV27),0)</f>
        <v>0</v>
      </c>
      <c r="FO27" s="336">
        <f t="shared" ref="FO27" si="641">IF(CW27=1,($BC27*CW27),0)</f>
        <v>0</v>
      </c>
      <c r="FP27" s="336">
        <f t="shared" ref="FP27" si="642">IF(CX27=1,($BC27*CX27),0)</f>
        <v>0</v>
      </c>
      <c r="FQ27" s="336">
        <f t="shared" ref="FQ27" si="643">IF(CY27=1,($BC27*CY27),0)</f>
        <v>0</v>
      </c>
      <c r="FR27" s="336">
        <f t="shared" ref="FR27" si="644">IF(CZ27=1,($BC27*CZ27),0)</f>
        <v>0</v>
      </c>
      <c r="FS27" s="336">
        <f t="shared" ref="FS27" si="645">IF(DA27=1,($BC27*DA27),0)</f>
        <v>0</v>
      </c>
      <c r="FT27" s="336">
        <f t="shared" ref="FT27" si="646">IF(DB27=1,($BC27*DB27),0)</f>
        <v>0</v>
      </c>
      <c r="FU27" s="336">
        <f t="shared" si="93"/>
        <v>0</v>
      </c>
      <c r="FV27" s="336">
        <f t="shared" si="94"/>
        <v>0</v>
      </c>
      <c r="FW27" s="336">
        <f t="shared" si="95"/>
        <v>0</v>
      </c>
      <c r="FX27" s="336">
        <f t="shared" si="96"/>
        <v>0</v>
      </c>
      <c r="FY27" s="336">
        <f t="shared" ref="FY27" si="647">IF(DG27=1,($BC27*DG27),0)</f>
        <v>0</v>
      </c>
      <c r="FZ27" s="336">
        <f t="shared" ref="FZ27" si="648">IF(DH27=1,($BC27*DH27),0)</f>
        <v>0</v>
      </c>
      <c r="GA27" s="336">
        <f t="shared" ref="GA27" si="649">IF(DI27=1,($BC27*DI27),0)</f>
        <v>0</v>
      </c>
      <c r="GB27" s="336">
        <f t="shared" ref="GB27" si="650">IF(DJ27=1,($BC27*DJ27),0)</f>
        <v>0</v>
      </c>
      <c r="GC27" s="336">
        <f t="shared" ref="GC27" si="651">IF(DK27=1,($BC27*DK27),0)</f>
        <v>0</v>
      </c>
      <c r="GD27" s="336">
        <f t="shared" ref="GD27" si="652">IF(DL27=1,($BC27*DL27),0)</f>
        <v>0</v>
      </c>
      <c r="GE27" s="336">
        <f t="shared" ref="GE27" si="653">IF(DM27=1,($BC27*DM27),0)</f>
        <v>0</v>
      </c>
      <c r="GF27" s="336">
        <f t="shared" ref="GF27" si="654">IF(DN27=1,($BC27*DN27),0)</f>
        <v>0</v>
      </c>
      <c r="GG27" s="336">
        <f t="shared" ref="GG27" si="655">IF(DO27=1,($BC27*DO27),0)</f>
        <v>0</v>
      </c>
      <c r="GH27" s="336">
        <f t="shared" ref="GH27" si="656">IF(DP27=1,($BC27*DP27),0)</f>
        <v>0</v>
      </c>
      <c r="GI27" s="336">
        <f t="shared" ref="GI27" si="657">IF(DQ27=1,($BC27*DQ27),0)</f>
        <v>0</v>
      </c>
      <c r="GJ27" s="336">
        <f t="shared" ref="GJ27" si="658">IF(DR27=1,($BC27*DR27),0)</f>
        <v>0</v>
      </c>
      <c r="GK27" s="336">
        <f t="shared" ref="GK27" si="659">IF(DS27=1,($BC27*DS27),0)</f>
        <v>0</v>
      </c>
      <c r="GL27" s="336">
        <f t="shared" si="164"/>
        <v>0</v>
      </c>
      <c r="GM27" s="336">
        <f t="shared" ref="GM27" si="660">IF(DU27=1,($BC27*DU27),0)</f>
        <v>0</v>
      </c>
    </row>
    <row r="28" spans="1:195" ht="37.5" customHeight="1">
      <c r="A28" s="337">
        <f t="shared" si="305"/>
        <v>20</v>
      </c>
      <c r="B28" s="414" t="s">
        <v>379</v>
      </c>
      <c r="C28" s="337" t="str">
        <f t="shared" si="82"/>
        <v>11kV MV Switchgear-1</v>
      </c>
      <c r="D28" s="415" t="s">
        <v>380</v>
      </c>
      <c r="E28" s="416" t="s">
        <v>345</v>
      </c>
      <c r="F28" s="417" t="s">
        <v>28</v>
      </c>
      <c r="G28" s="340" t="s">
        <v>350</v>
      </c>
      <c r="H28" s="418">
        <v>2450</v>
      </c>
      <c r="I28" s="337" t="s">
        <v>330</v>
      </c>
      <c r="J28" s="337" t="s">
        <v>331</v>
      </c>
      <c r="K28" s="341">
        <v>11000</v>
      </c>
      <c r="L28" s="342">
        <v>0.88</v>
      </c>
      <c r="M28" s="342">
        <v>0.97</v>
      </c>
      <c r="N28" s="342">
        <f t="shared" si="83"/>
        <v>150.65068305142677</v>
      </c>
      <c r="O28" s="342">
        <f t="shared" si="67"/>
        <v>903.90409830856061</v>
      </c>
      <c r="P28" s="343">
        <f t="shared" si="84"/>
        <v>0.2</v>
      </c>
      <c r="Q28" s="342">
        <v>31.5</v>
      </c>
      <c r="R28" s="342">
        <v>0.16</v>
      </c>
      <c r="S28" s="342">
        <f t="shared" si="85"/>
        <v>134.04255319148936</v>
      </c>
      <c r="T28" s="344" t="s">
        <v>131</v>
      </c>
      <c r="U28" s="342" t="s">
        <v>333</v>
      </c>
      <c r="V28" s="344">
        <v>150</v>
      </c>
      <c r="W28" s="343" t="str">
        <f t="shared" si="69"/>
        <v>3C X 150</v>
      </c>
      <c r="X28" s="343" t="str">
        <f t="shared" si="70"/>
        <v>3C X 150+PE</v>
      </c>
      <c r="Y28" s="419" t="s">
        <v>346</v>
      </c>
      <c r="Z28" s="344">
        <f>IF(T28="AIR",VLOOKUP(W28,'Catalogue Aluminium'!$B$141:$G$173,2,FALSE),IF(T28="GROUND",VLOOKUP(W28,'Catalogue Aluminium'!$B$141:$G$173,3,FALSE),IF(T28="DUCT",VLOOKUP(W28,'Catalogue Aluminium'!$B$141:$G$173,4,FALSE),IF(T28="TRENCH",VLOOKUP(W28,'Catalogue Aluminium'!$B$141:$G$173,2,FALSE)))))</f>
        <v>309</v>
      </c>
      <c r="AA28" s="345">
        <f>VLOOKUP(W28,'Catalogue Aluminium'!$B$141:$G$173,5,FALSE)</f>
        <v>0.26500000000000001</v>
      </c>
      <c r="AB28" s="345">
        <f>VLOOKUP(W28,'Catalogue Aluminium'!$B$141:$G$173,6,FALSE)</f>
        <v>9.2999999999999999E-2</v>
      </c>
      <c r="AC28" s="349">
        <f t="shared" si="236"/>
        <v>67</v>
      </c>
      <c r="AD28" s="343">
        <f>40+50+38+50+17+(27+34)</f>
        <v>256</v>
      </c>
      <c r="AE28" s="343">
        <f t="shared" si="443"/>
        <v>38</v>
      </c>
      <c r="AF28" s="343">
        <f t="shared" si="167"/>
        <v>10</v>
      </c>
      <c r="AG28" s="343">
        <f t="shared" si="86"/>
        <v>38</v>
      </c>
      <c r="AH28" s="347">
        <f t="shared" si="87"/>
        <v>410</v>
      </c>
      <c r="AI28" s="344">
        <f>IF(T28="AIR",'Catalogue Aluminium'!$K$141,IF(T28="TRENCH",'Catalogue Aluminium'!$K$144,"NA"))</f>
        <v>0.82</v>
      </c>
      <c r="AJ28" s="342">
        <f>IF(T28="Air",(IF(U28="1C",'Catalogue Aluminium'!$L$141,'Catalogue Aluminium'!$M$141)),IF(T28="DUCT",(IF($U28="1C",'Catalogue Aluminium'!$L$142,'Catalogue Aluminium'!$M$142)),IF(T28="GROUND",(IF($U28="1C",'Catalogue Aluminium'!$L$143,'Catalogue Aluminium'!$M$143)),IF(T28="TRENCH",(IF($U28="1C",'Catalogue Aluminium'!$L$144,'Catalogue Aluminium'!$M$144))))))</f>
        <v>0.73</v>
      </c>
      <c r="AK28" s="344" t="str">
        <f>IF(T28="Air",'Catalogue Aluminium'!$N$141,IF(T28="GROUND",'Catalogue Aluminium'!$N$142,IF(T28="DUCT",'Catalogue Aluminium'!$N$143,IF(T28="TRENCH",'Catalogue Aluminium'!$N$144,"NA"))))</f>
        <v>NA</v>
      </c>
      <c r="AL28" s="344" t="str">
        <f>IF(T28="Air",(IF(U28="1C",'Catalogue Aluminium'!$O$141,'Catalogue Aluminium'!$P$141)),IF(T28="DUCT",(IF($U28="1C",'Catalogue Aluminium'!$O$142,'Catalogue Aluminium'!$P$142)),IF(T28="GROUND",(IF($U28="1C",'Catalogue Aluminium'!$O$143,'Catalogue Aluminium'!$P$143)),IF(T28="TRENCH",(IF($U28="1C",'Catalogue Aluminium'!$O$144,'Catalogue Aluminium'!$P$144))))))</f>
        <v>NA</v>
      </c>
      <c r="AM28" s="344" t="str">
        <f>IF(T28="AIR","NA",IF(T28="TRENCH","NA",IF(T28="DUCT",IF(U28="1C",VLOOKUP(V28,'Catalogue Aluminium'!$Q$142:$S$153,2,FALSE),VLOOKUP(V28,'Catalogue Aluminium'!$Q$142:$S$153,3)),IF(T28="GROUND",IF(U28="1C",VLOOKUP(V28,'Catalogue Aluminium'!$Q$142:$S$153,2,FALSE),VLOOKUP(V28,'Catalogue Aluminium'!$Q$142:$S$153,3))))))</f>
        <v>NA</v>
      </c>
      <c r="AN28" s="348">
        <f t="shared" si="71"/>
        <v>0.59859999999999991</v>
      </c>
      <c r="AO28" s="342">
        <f t="shared" si="72"/>
        <v>184.96739999999997</v>
      </c>
      <c r="AP28" s="349">
        <f t="shared" si="73"/>
        <v>1</v>
      </c>
      <c r="AQ28" s="350" t="str">
        <f t="shared" si="74"/>
        <v>YES</v>
      </c>
      <c r="AR28" s="351">
        <f t="shared" si="75"/>
        <v>0.26976548742967166</v>
      </c>
      <c r="AS28" s="343" t="str">
        <f t="shared" si="89"/>
        <v>YES</v>
      </c>
      <c r="AT28" s="351">
        <f t="shared" si="76"/>
        <v>0.84101061392013776</v>
      </c>
      <c r="AU28" s="343" t="str">
        <f t="shared" si="77"/>
        <v>YES</v>
      </c>
      <c r="AV28" s="351" t="str">
        <f t="shared" si="78"/>
        <v>1R x 6/10 (12)kV x 3C x 150 Sqmm</v>
      </c>
      <c r="AW28" s="351" t="str">
        <f t="shared" si="79"/>
        <v>1R x 6/10 (12)kV x 3C x 150 Sqmm</v>
      </c>
      <c r="AX28" s="343">
        <f t="shared" si="90"/>
        <v>410</v>
      </c>
      <c r="AY28" s="343"/>
      <c r="AZ28" s="343">
        <f t="shared" si="91"/>
        <v>2</v>
      </c>
      <c r="BA28" s="356" t="str">
        <f t="shared" si="80"/>
        <v>ACDEE1</v>
      </c>
      <c r="BB28" s="340">
        <f>VLOOKUP(W28,'Catalogue Aluminium'!$B$141:$H$173,7,FALSE)</f>
        <v>62</v>
      </c>
      <c r="BC28" s="328">
        <f t="shared" si="92"/>
        <v>62</v>
      </c>
      <c r="BE28" s="344"/>
      <c r="BF28" s="344">
        <v>1</v>
      </c>
      <c r="BG28" s="344"/>
      <c r="BH28" s="344"/>
      <c r="BI28" s="344">
        <v>1</v>
      </c>
      <c r="BJ28" s="344">
        <v>1</v>
      </c>
      <c r="BK28" s="344"/>
      <c r="BL28" s="344"/>
      <c r="BM28" s="344"/>
      <c r="BN28" s="344">
        <v>1</v>
      </c>
      <c r="BO28" s="344"/>
      <c r="BP28" s="344">
        <v>1</v>
      </c>
      <c r="BQ28" s="344"/>
      <c r="BR28" s="344"/>
      <c r="BS28" s="344"/>
      <c r="BT28" s="344"/>
      <c r="BU28" s="344"/>
      <c r="BV28" s="344"/>
      <c r="BW28" s="344"/>
      <c r="BX28" s="344"/>
      <c r="BY28" s="344"/>
      <c r="BZ28" s="344"/>
      <c r="CA28" s="344"/>
      <c r="CB28" s="344"/>
      <c r="CC28" s="344"/>
      <c r="CD28" s="344"/>
      <c r="CE28" s="416"/>
      <c r="CF28" s="416"/>
      <c r="CG28" s="416"/>
      <c r="CH28" s="416"/>
      <c r="CI28" s="416"/>
      <c r="CJ28" s="416"/>
      <c r="CK28" s="416"/>
      <c r="CL28" s="416"/>
      <c r="CM28" s="416"/>
      <c r="CN28" s="416"/>
      <c r="CO28" s="416"/>
      <c r="CP28" s="416"/>
      <c r="CQ28" s="416"/>
      <c r="CR28" s="416"/>
      <c r="CS28" s="416"/>
      <c r="CT28" s="416"/>
      <c r="CU28" s="416"/>
      <c r="CV28" s="416"/>
      <c r="CW28" s="416"/>
      <c r="CX28" s="416"/>
      <c r="CY28" s="416"/>
      <c r="CZ28" s="416"/>
      <c r="DA28" s="416"/>
      <c r="DB28" s="416"/>
      <c r="DC28" s="416"/>
      <c r="DD28" s="416"/>
      <c r="DE28" s="416"/>
      <c r="DF28" s="416"/>
      <c r="DG28" s="416"/>
      <c r="DH28" s="416"/>
      <c r="DI28" s="416"/>
      <c r="DJ28" s="416"/>
      <c r="DK28" s="416"/>
      <c r="DL28" s="416"/>
      <c r="DM28" s="416"/>
      <c r="DN28" s="416"/>
      <c r="DO28" s="416"/>
      <c r="DP28" s="416"/>
      <c r="DQ28" s="416"/>
      <c r="DR28" s="416"/>
      <c r="DS28" s="416"/>
      <c r="DT28" s="416"/>
      <c r="DU28" s="416"/>
      <c r="DW28" s="336">
        <f t="shared" si="81"/>
        <v>0</v>
      </c>
      <c r="DX28" s="336">
        <f t="shared" si="0"/>
        <v>62</v>
      </c>
      <c r="DY28" s="336">
        <f t="shared" si="1"/>
        <v>0</v>
      </c>
      <c r="DZ28" s="336">
        <f t="shared" si="2"/>
        <v>0</v>
      </c>
      <c r="EA28" s="336">
        <f t="shared" si="3"/>
        <v>62</v>
      </c>
      <c r="EB28" s="336">
        <f t="shared" si="4"/>
        <v>62</v>
      </c>
      <c r="EC28" s="336">
        <f t="shared" si="5"/>
        <v>0</v>
      </c>
      <c r="ED28" s="336">
        <f t="shared" si="6"/>
        <v>0</v>
      </c>
      <c r="EE28" s="336">
        <f t="shared" si="7"/>
        <v>0</v>
      </c>
      <c r="EF28" s="336">
        <f t="shared" si="8"/>
        <v>62</v>
      </c>
      <c r="EG28" s="336">
        <f t="shared" si="9"/>
        <v>0</v>
      </c>
      <c r="EH28" s="336">
        <f t="shared" si="10"/>
        <v>62</v>
      </c>
      <c r="EI28" s="336">
        <f t="shared" si="11"/>
        <v>0</v>
      </c>
      <c r="EJ28" s="336">
        <f t="shared" si="12"/>
        <v>0</v>
      </c>
      <c r="EK28" s="336">
        <f t="shared" si="13"/>
        <v>0</v>
      </c>
      <c r="EL28" s="336">
        <f t="shared" si="14"/>
        <v>0</v>
      </c>
      <c r="EM28" s="336">
        <f t="shared" si="15"/>
        <v>0</v>
      </c>
      <c r="EN28" s="336">
        <f t="shared" si="16"/>
        <v>0</v>
      </c>
      <c r="EO28" s="336">
        <f t="shared" si="17"/>
        <v>0</v>
      </c>
      <c r="EP28" s="336">
        <f t="shared" si="18"/>
        <v>0</v>
      </c>
      <c r="EQ28" s="336">
        <f t="shared" si="19"/>
        <v>0</v>
      </c>
      <c r="ER28" s="336">
        <f t="shared" si="20"/>
        <v>0</v>
      </c>
      <c r="ES28" s="336">
        <f t="shared" si="21"/>
        <v>0</v>
      </c>
      <c r="ET28" s="336">
        <f t="shared" si="22"/>
        <v>0</v>
      </c>
      <c r="EU28" s="336">
        <f t="shared" si="23"/>
        <v>0</v>
      </c>
      <c r="EV28" s="336">
        <f t="shared" si="24"/>
        <v>0</v>
      </c>
      <c r="EW28" s="336">
        <f t="shared" si="25"/>
        <v>0</v>
      </c>
      <c r="EX28" s="336">
        <f t="shared" si="26"/>
        <v>0</v>
      </c>
      <c r="EY28" s="336">
        <f t="shared" si="27"/>
        <v>0</v>
      </c>
      <c r="EZ28" s="336">
        <f t="shared" si="28"/>
        <v>0</v>
      </c>
      <c r="FA28" s="336">
        <f t="shared" si="29"/>
        <v>0</v>
      </c>
      <c r="FB28" s="336">
        <f t="shared" si="30"/>
        <v>0</v>
      </c>
      <c r="FC28" s="336">
        <f t="shared" si="31"/>
        <v>0</v>
      </c>
      <c r="FD28" s="336">
        <f t="shared" si="32"/>
        <v>0</v>
      </c>
      <c r="FE28" s="336">
        <f t="shared" si="33"/>
        <v>0</v>
      </c>
      <c r="FF28" s="336">
        <f t="shared" si="34"/>
        <v>0</v>
      </c>
      <c r="FG28" s="336">
        <f t="shared" si="35"/>
        <v>0</v>
      </c>
      <c r="FH28" s="336">
        <f t="shared" si="36"/>
        <v>0</v>
      </c>
      <c r="FI28" s="336">
        <f t="shared" si="37"/>
        <v>0</v>
      </c>
      <c r="FJ28" s="336">
        <f t="shared" si="38"/>
        <v>0</v>
      </c>
      <c r="FK28" s="336">
        <f t="shared" si="39"/>
        <v>0</v>
      </c>
      <c r="FL28" s="336">
        <f t="shared" si="40"/>
        <v>0</v>
      </c>
      <c r="FM28" s="336">
        <f t="shared" si="41"/>
        <v>0</v>
      </c>
      <c r="FN28" s="336">
        <f t="shared" si="42"/>
        <v>0</v>
      </c>
      <c r="FO28" s="336">
        <f t="shared" si="43"/>
        <v>0</v>
      </c>
      <c r="FP28" s="336">
        <f t="shared" si="44"/>
        <v>0</v>
      </c>
      <c r="FQ28" s="336">
        <f t="shared" si="45"/>
        <v>0</v>
      </c>
      <c r="FR28" s="336">
        <f t="shared" si="46"/>
        <v>0</v>
      </c>
      <c r="FS28" s="336">
        <f t="shared" si="47"/>
        <v>0</v>
      </c>
      <c r="FT28" s="336">
        <f t="shared" si="48"/>
        <v>0</v>
      </c>
      <c r="FU28" s="336">
        <f t="shared" si="93"/>
        <v>0</v>
      </c>
      <c r="FV28" s="336">
        <f t="shared" si="94"/>
        <v>0</v>
      </c>
      <c r="FW28" s="336">
        <f t="shared" si="95"/>
        <v>0</v>
      </c>
      <c r="FX28" s="336">
        <f t="shared" si="96"/>
        <v>0</v>
      </c>
      <c r="FY28" s="336">
        <f t="shared" si="53"/>
        <v>0</v>
      </c>
      <c r="FZ28" s="336">
        <f t="shared" si="54"/>
        <v>0</v>
      </c>
      <c r="GA28" s="336">
        <f t="shared" si="55"/>
        <v>0</v>
      </c>
      <c r="GB28" s="336">
        <f t="shared" si="56"/>
        <v>0</v>
      </c>
      <c r="GC28" s="336">
        <f t="shared" si="57"/>
        <v>0</v>
      </c>
      <c r="GD28" s="336">
        <f t="shared" si="58"/>
        <v>0</v>
      </c>
      <c r="GE28" s="336">
        <f t="shared" si="59"/>
        <v>0</v>
      </c>
      <c r="GF28" s="336">
        <f t="shared" si="60"/>
        <v>0</v>
      </c>
      <c r="GG28" s="336">
        <f t="shared" si="61"/>
        <v>0</v>
      </c>
      <c r="GH28" s="336">
        <f t="shared" si="62"/>
        <v>0</v>
      </c>
      <c r="GI28" s="336">
        <f t="shared" si="63"/>
        <v>0</v>
      </c>
      <c r="GJ28" s="336">
        <f t="shared" si="64"/>
        <v>0</v>
      </c>
      <c r="GK28" s="336">
        <f>IF(DS28=1,($BC28*DS28),0)</f>
        <v>0</v>
      </c>
      <c r="GL28" s="336">
        <f t="shared" si="164"/>
        <v>0</v>
      </c>
      <c r="GM28" s="336">
        <f t="shared" si="66"/>
        <v>0</v>
      </c>
    </row>
    <row r="29" spans="1:195" ht="37.5" customHeight="1">
      <c r="A29" s="388">
        <f t="shared" si="305"/>
        <v>21</v>
      </c>
      <c r="B29" s="442" t="s">
        <v>379</v>
      </c>
      <c r="C29" s="388" t="str">
        <f t="shared" si="82"/>
        <v>11kV MV Switchgear-1</v>
      </c>
      <c r="D29" s="431" t="s">
        <v>381</v>
      </c>
      <c r="E29" s="432" t="s">
        <v>345</v>
      </c>
      <c r="F29" s="433" t="s">
        <v>28</v>
      </c>
      <c r="G29" s="390" t="s">
        <v>329</v>
      </c>
      <c r="H29" s="396">
        <v>0.2</v>
      </c>
      <c r="I29" s="388" t="s">
        <v>330</v>
      </c>
      <c r="J29" s="388" t="s">
        <v>357</v>
      </c>
      <c r="K29" s="434">
        <v>230</v>
      </c>
      <c r="L29" s="401">
        <v>0.85</v>
      </c>
      <c r="M29" s="418">
        <v>0.95</v>
      </c>
      <c r="N29" s="392">
        <f t="shared" ref="N29" si="661">IF(I29="kVA",IF(J29="3Ph",(H29*1000/(1.732*M29*K29)),(H29*1000/(M29*K29))),IF(I29="kW",IF(J29="3Ph",(H29*1000/(1.732*M29*K29*L29)),(H29*1000/(M29*K29*L29)))))</f>
        <v>1.0768609503297888</v>
      </c>
      <c r="O29" s="392">
        <f t="shared" ref="O29" si="662">IF(G29="MOTOR",(6*N29),IF(G29="VFD",(1*N29),0))</f>
        <v>0</v>
      </c>
      <c r="P29" s="401" t="str">
        <f t="shared" ref="P29" si="663">IF(G29="MOTOR",0.2,"0.00")</f>
        <v>0.00</v>
      </c>
      <c r="Q29" s="418">
        <v>65</v>
      </c>
      <c r="R29" s="418">
        <v>0</v>
      </c>
      <c r="S29" s="418">
        <f t="shared" si="85"/>
        <v>0</v>
      </c>
      <c r="T29" s="401" t="s">
        <v>131</v>
      </c>
      <c r="U29" s="418" t="s">
        <v>333</v>
      </c>
      <c r="V29" s="401">
        <v>4</v>
      </c>
      <c r="W29" s="401" t="str">
        <f t="shared" ref="W29" si="664">CONCATENATE(U29," X ",V29)</f>
        <v>3C X 4</v>
      </c>
      <c r="X29" s="401" t="str">
        <f t="shared" si="70"/>
        <v>3C X 4</v>
      </c>
      <c r="Y29" s="435" t="s">
        <v>358</v>
      </c>
      <c r="Z29" s="393">
        <f>IF(T29="AIR",VLOOKUP(W29,'Catalogue Aluminium'!$B$141:$G$173,2,FALSE),IF(T29="GROUND",VLOOKUP(W29,'Catalogue Aluminium'!$B$141:$G$173,3,FALSE),IF(T29="DUCT",VLOOKUP(W29,'Catalogue Aluminium'!$B$141:$G$173,4,FALSE),IF(T29="TRENCH",VLOOKUP(W29,'Catalogue Aluminium'!$B$141:$G$173,2,FALSE)))))</f>
        <v>38</v>
      </c>
      <c r="AA29" s="402">
        <f>VLOOKUP(W29,'Catalogue Aluminium'!$B$141:$G$173,5,FALSE)</f>
        <v>5.9</v>
      </c>
      <c r="AB29" s="402">
        <f>VLOOKUP(W29,'Catalogue Aluminium'!$B$141:$G$173,6,FALSE)</f>
        <v>9.4700000000000006E-2</v>
      </c>
      <c r="AC29" s="434">
        <f t="shared" si="236"/>
        <v>67</v>
      </c>
      <c r="AD29" s="401">
        <f>40+50+38+50+17+(27+34)</f>
        <v>256</v>
      </c>
      <c r="AE29" s="401">
        <f t="shared" si="443"/>
        <v>38</v>
      </c>
      <c r="AF29" s="401">
        <f t="shared" si="167"/>
        <v>10</v>
      </c>
      <c r="AG29" s="401">
        <f t="shared" ref="AG29" si="665">ROUNDUP(SUM(AC29:AF29)*0.1,0)</f>
        <v>38</v>
      </c>
      <c r="AH29" s="436">
        <f t="shared" si="87"/>
        <v>410</v>
      </c>
      <c r="AI29" s="393">
        <f>IF(T29="AIR",'Catalogue Aluminium'!$K$141,IF(T29="TRENCH",'Catalogue Aluminium'!$K$144,"NA"))</f>
        <v>0.82</v>
      </c>
      <c r="AJ29" s="392">
        <f>IF(T29="Air",(IF(U29="1C",'Catalogue Aluminium'!$L$141,'Catalogue Aluminium'!$M$141)),IF(T29="DUCT",(IF($U29="1C",'Catalogue Aluminium'!$L$142,'Catalogue Aluminium'!$M$142)),IF(T29="GROUND",(IF($U29="1C",'Catalogue Aluminium'!$L$143,'Catalogue Aluminium'!$M$143)),IF(T29="TRENCH",(IF($U29="1C",'Catalogue Aluminium'!$L$144,'Catalogue Aluminium'!$M$144))))))</f>
        <v>0.73</v>
      </c>
      <c r="AK29" s="393" t="str">
        <f>IF(T29="Air",'Catalogue Aluminium'!$N$141,IF(T29="GROUND",'Catalogue Aluminium'!$N$142,IF(T29="DUCT",'Catalogue Aluminium'!$N$143,IF(T29="TRENCH",'Catalogue Aluminium'!$N$144,"NA"))))</f>
        <v>NA</v>
      </c>
      <c r="AL29" s="393" t="str">
        <f>IF(T29="Air",(IF(U29="1C",'Catalogue Aluminium'!$O$141,'Catalogue Aluminium'!$P$141)),IF(T29="DUCT",(IF($U29="1C",'Catalogue Aluminium'!$O$142,'Catalogue Aluminium'!$P$142)),IF(T29="GROUND",(IF($U29="1C",'Catalogue Aluminium'!$O$143,'Catalogue Aluminium'!$P$143)),IF(T29="TRENCH",(IF($U29="1C",'Catalogue Aluminium'!$O$144,'Catalogue Aluminium'!$P$144))))))</f>
        <v>NA</v>
      </c>
      <c r="AM29" s="393" t="str">
        <f>IF(T29="AIR","NA",IF(T29="TRENCH","NA",IF(T29="DUCT",IF(U29="1C",VLOOKUP(V29,'Catalogue Aluminium'!$Q$142:$S$153,2,FALSE),VLOOKUP(V29,'Catalogue Aluminium'!$Q$142:$S$153,3)),IF(T29="GROUND",IF(U29="1C",VLOOKUP(V29,'Catalogue Aluminium'!$Q$142:$S$153,2,FALSE),VLOOKUP(V29,'Catalogue Aluminium'!$Q$142:$S$153,3))))))</f>
        <v>NA</v>
      </c>
      <c r="AN29" s="404">
        <f t="shared" ref="AN29" si="666">IF(T29="AIR",AI29*AJ29,IF(T29="TRENCH",AI29*AJ29,IF(T29="DUCT",AJ29*AK29*AL29*AM29,IF(T29="GROUND",AJ29*AK29*AL29*AM29))))</f>
        <v>0.59859999999999991</v>
      </c>
      <c r="AO29" s="392">
        <f t="shared" ref="AO29" si="667">Z29*AN29</f>
        <v>22.746799999999997</v>
      </c>
      <c r="AP29" s="434">
        <f t="shared" ref="AP29" si="668">CEILING(((N29)/AO29),1)</f>
        <v>1</v>
      </c>
      <c r="AQ29" s="418" t="str">
        <f t="shared" ref="AQ29" si="669">IF(AO29*AP29&gt;=N29,"YES","NO")</f>
        <v>YES</v>
      </c>
      <c r="AR29" s="437">
        <f t="shared" ref="AR29" si="670">SQRT(3)*AH29*N29*((AA29*L29)+(AB29*SIN(ACOS(L29))))*100/(AP29*K29*1000)</f>
        <v>1.684015090613088</v>
      </c>
      <c r="AS29" s="401" t="str">
        <f t="shared" si="89"/>
        <v>YES</v>
      </c>
      <c r="AT29" s="437" t="str">
        <f t="shared" si="76"/>
        <v>NA</v>
      </c>
      <c r="AU29" s="401" t="str">
        <f t="shared" si="77"/>
        <v>NA</v>
      </c>
      <c r="AV29" s="437" t="str">
        <f t="shared" si="78"/>
        <v>1R x 6/10 (12)kV x 3C x 4 Sqmm</v>
      </c>
      <c r="AW29" s="437" t="str">
        <f t="shared" si="79"/>
        <v>1R x 6/10 (12)kV x 3C x 4 Sqmm</v>
      </c>
      <c r="AX29" s="401">
        <f t="shared" si="90"/>
        <v>410</v>
      </c>
      <c r="AY29" s="401"/>
      <c r="AZ29" s="401">
        <f t="shared" si="91"/>
        <v>2</v>
      </c>
      <c r="BA29" s="438" t="str">
        <f t="shared" si="80"/>
        <v>ACDEE1</v>
      </c>
      <c r="BB29" s="390">
        <f>VLOOKUP(W29,'Catalogue Aluminium'!$B$141:$H$173,7,FALSE)</f>
        <v>15</v>
      </c>
      <c r="BC29" s="439">
        <f t="shared" si="92"/>
        <v>15</v>
      </c>
      <c r="BE29" s="344"/>
      <c r="BF29" s="344">
        <v>1</v>
      </c>
      <c r="BG29" s="344"/>
      <c r="BH29" s="344"/>
      <c r="BI29" s="344">
        <v>1</v>
      </c>
      <c r="BJ29" s="344">
        <v>1</v>
      </c>
      <c r="BK29" s="344"/>
      <c r="BL29" s="344"/>
      <c r="BM29" s="344"/>
      <c r="BN29" s="344">
        <v>1</v>
      </c>
      <c r="BO29" s="344"/>
      <c r="BP29" s="344">
        <v>1</v>
      </c>
      <c r="BQ29" s="344"/>
      <c r="BR29" s="344"/>
      <c r="BS29" s="344"/>
      <c r="BT29" s="344"/>
      <c r="BU29" s="344"/>
      <c r="BV29" s="344"/>
      <c r="BW29" s="344"/>
      <c r="BX29" s="344"/>
      <c r="BY29" s="344"/>
      <c r="BZ29" s="344"/>
      <c r="CA29" s="344"/>
      <c r="CB29" s="344"/>
      <c r="CC29" s="344"/>
      <c r="CD29" s="344"/>
      <c r="CE29" s="416"/>
      <c r="CF29" s="416"/>
      <c r="CG29" s="416"/>
      <c r="CH29" s="416"/>
      <c r="CI29" s="416"/>
      <c r="CJ29" s="416"/>
      <c r="CK29" s="416"/>
      <c r="CL29" s="416"/>
      <c r="CM29" s="416"/>
      <c r="CN29" s="416"/>
      <c r="CO29" s="416"/>
      <c r="CP29" s="416"/>
      <c r="CQ29" s="416"/>
      <c r="CR29" s="416"/>
      <c r="CS29" s="416"/>
      <c r="CT29" s="416"/>
      <c r="CU29" s="416"/>
      <c r="CV29" s="416"/>
      <c r="CW29" s="416"/>
      <c r="CX29" s="416"/>
      <c r="CY29" s="416"/>
      <c r="CZ29" s="416"/>
      <c r="DA29" s="416"/>
      <c r="DB29" s="416"/>
      <c r="DC29" s="416"/>
      <c r="DD29" s="416"/>
      <c r="DE29" s="416"/>
      <c r="DF29" s="416"/>
      <c r="DG29" s="416"/>
      <c r="DH29" s="416"/>
      <c r="DI29" s="416"/>
      <c r="DJ29" s="416"/>
      <c r="DK29" s="416"/>
      <c r="DL29" s="416"/>
      <c r="DM29" s="416"/>
      <c r="DN29" s="416"/>
      <c r="DO29" s="416"/>
      <c r="DP29" s="416"/>
      <c r="DQ29" s="416"/>
      <c r="DR29" s="416"/>
      <c r="DS29" s="416"/>
      <c r="DT29" s="416"/>
      <c r="DU29" s="416"/>
      <c r="DW29" s="336">
        <f t="shared" ref="DW29" si="671">IF(BE29=1,($BC29*BE29),0)</f>
        <v>0</v>
      </c>
      <c r="DX29" s="336">
        <f t="shared" ref="DX29" si="672">IF(BF29=1,($BC29*BF29),0)</f>
        <v>15</v>
      </c>
      <c r="DY29" s="336">
        <f t="shared" ref="DY29" si="673">IF(BG29=1,($BC29*BG29),0)</f>
        <v>0</v>
      </c>
      <c r="DZ29" s="336">
        <f t="shared" ref="DZ29" si="674">IF(BH29=1,($BC29*BH29),0)</f>
        <v>0</v>
      </c>
      <c r="EA29" s="336">
        <f t="shared" ref="EA29" si="675">IF(BI29=1,($BC29*BI29),0)</f>
        <v>15</v>
      </c>
      <c r="EB29" s="336">
        <f t="shared" ref="EB29" si="676">IF(BJ29=1,($BC29*BJ29),0)</f>
        <v>15</v>
      </c>
      <c r="EC29" s="336">
        <f t="shared" ref="EC29" si="677">IF(BK29=1,($BC29*BK29),0)</f>
        <v>0</v>
      </c>
      <c r="ED29" s="336">
        <f t="shared" ref="ED29" si="678">IF(BL29=1,($BC29*BL29),0)</f>
        <v>0</v>
      </c>
      <c r="EE29" s="336">
        <f t="shared" ref="EE29" si="679">IF(BM29=1,($BC29*BM29),0)</f>
        <v>0</v>
      </c>
      <c r="EF29" s="336">
        <f t="shared" ref="EF29" si="680">IF(BN29=1,($BC29*BN29),0)</f>
        <v>15</v>
      </c>
      <c r="EG29" s="336">
        <f t="shared" ref="EG29" si="681">IF(BO29=1,($BC29*BO29),0)</f>
        <v>0</v>
      </c>
      <c r="EH29" s="336">
        <f t="shared" ref="EH29" si="682">IF(BP29=1,($BC29*BP29),0)</f>
        <v>15</v>
      </c>
      <c r="EI29" s="336">
        <f t="shared" ref="EI29" si="683">IF(BQ29=1,($BC29*BQ29),0)</f>
        <v>0</v>
      </c>
      <c r="EJ29" s="336">
        <f t="shared" ref="EJ29" si="684">IF(BR29=1,($BC29*BR29),0)</f>
        <v>0</v>
      </c>
      <c r="EK29" s="336">
        <f t="shared" ref="EK29" si="685">IF(BS29=1,($BC29*BS29),0)</f>
        <v>0</v>
      </c>
      <c r="EL29" s="336">
        <f t="shared" ref="EL29" si="686">IF(BT29=1,($BC29*BT29),0)</f>
        <v>0</v>
      </c>
      <c r="EM29" s="336">
        <f t="shared" ref="EM29" si="687">IF(BU29=1,($BC29*BU29),0)</f>
        <v>0</v>
      </c>
      <c r="EN29" s="336">
        <f t="shared" ref="EN29" si="688">IF(BV29=1,($BC29*BV29),0)</f>
        <v>0</v>
      </c>
      <c r="EO29" s="336">
        <f t="shared" ref="EO29" si="689">IF(BW29=1,($BC29*BW29),0)</f>
        <v>0</v>
      </c>
      <c r="EP29" s="336">
        <f t="shared" ref="EP29" si="690">IF(BX29=1,($BC29*BX29),0)</f>
        <v>0</v>
      </c>
      <c r="EQ29" s="336">
        <f t="shared" ref="EQ29" si="691">IF(BY29=1,($BC29*BY29),0)</f>
        <v>0</v>
      </c>
      <c r="ER29" s="336">
        <f t="shared" ref="ER29" si="692">IF(BZ29=1,($BC29*BZ29),0)</f>
        <v>0</v>
      </c>
      <c r="ES29" s="336">
        <f t="shared" ref="ES29" si="693">IF(CA29=1,($BC29*CA29),0)</f>
        <v>0</v>
      </c>
      <c r="ET29" s="336">
        <f t="shared" si="22"/>
        <v>0</v>
      </c>
      <c r="EU29" s="336">
        <f t="shared" si="23"/>
        <v>0</v>
      </c>
      <c r="EV29" s="336">
        <f t="shared" ref="EV29" si="694">IF(CD29=1,($BC29*CD29),0)</f>
        <v>0</v>
      </c>
      <c r="EW29" s="336">
        <f t="shared" ref="EW29" si="695">IF(CE29=1,($BC29*CE29),0)</f>
        <v>0</v>
      </c>
      <c r="EX29" s="336">
        <f t="shared" ref="EX29" si="696">IF(CF29=1,($BC29*CF29),0)</f>
        <v>0</v>
      </c>
      <c r="EY29" s="336">
        <f t="shared" ref="EY29" si="697">IF(CG29=1,($BC29*CG29),0)</f>
        <v>0</v>
      </c>
      <c r="EZ29" s="336">
        <f t="shared" ref="EZ29" si="698">IF(CH29=1,($BC29*CH29),0)</f>
        <v>0</v>
      </c>
      <c r="FA29" s="336">
        <f t="shared" ref="FA29" si="699">IF(CI29=1,($BC29*CI29),0)</f>
        <v>0</v>
      </c>
      <c r="FB29" s="336">
        <f t="shared" ref="FB29" si="700">IF(CJ29=1,($BC29*CJ29),0)</f>
        <v>0</v>
      </c>
      <c r="FC29" s="336">
        <f t="shared" ref="FC29" si="701">IF(CK29=1,($BC29*CK29),0)</f>
        <v>0</v>
      </c>
      <c r="FD29" s="336">
        <f t="shared" ref="FD29" si="702">IF(CL29=1,($BC29*CL29),0)</f>
        <v>0</v>
      </c>
      <c r="FE29" s="336">
        <f t="shared" ref="FE29" si="703">IF(CM29=1,($BC29*CM29),0)</f>
        <v>0</v>
      </c>
      <c r="FF29" s="336">
        <f t="shared" ref="FF29" si="704">IF(CN29=1,($BC29*CN29),0)</f>
        <v>0</v>
      </c>
      <c r="FG29" s="336">
        <f t="shared" ref="FG29" si="705">IF(CO29=1,($BC29*CO29),0)</f>
        <v>0</v>
      </c>
      <c r="FH29" s="336">
        <f t="shared" ref="FH29" si="706">IF(CP29=1,($BC29*CP29),0)</f>
        <v>0</v>
      </c>
      <c r="FI29" s="336">
        <f t="shared" ref="FI29" si="707">IF(CQ29=1,($BC29*CQ29),0)</f>
        <v>0</v>
      </c>
      <c r="FJ29" s="336">
        <f t="shared" ref="FJ29" si="708">IF(CR29=1,($BC29*CR29),0)</f>
        <v>0</v>
      </c>
      <c r="FK29" s="336">
        <f t="shared" ref="FK29" si="709">IF(CS29=1,($BC29*CS29),0)</f>
        <v>0</v>
      </c>
      <c r="FL29" s="336">
        <f t="shared" ref="FL29" si="710">IF(CT29=1,($BC29*CT29),0)</f>
        <v>0</v>
      </c>
      <c r="FM29" s="336">
        <f t="shared" ref="FM29" si="711">IF(CU29=1,($BC29*CU29),0)</f>
        <v>0</v>
      </c>
      <c r="FN29" s="336">
        <f t="shared" ref="FN29" si="712">IF(CV29=1,($BC29*CV29),0)</f>
        <v>0</v>
      </c>
      <c r="FO29" s="336">
        <f t="shared" ref="FO29" si="713">IF(CW29=1,($BC29*CW29),0)</f>
        <v>0</v>
      </c>
      <c r="FP29" s="336">
        <f t="shared" ref="FP29" si="714">IF(CX29=1,($BC29*CX29),0)</f>
        <v>0</v>
      </c>
      <c r="FQ29" s="336">
        <f t="shared" ref="FQ29" si="715">IF(CY29=1,($BC29*CY29),0)</f>
        <v>0</v>
      </c>
      <c r="FR29" s="336">
        <f t="shared" ref="FR29" si="716">IF(CZ29=1,($BC29*CZ29),0)</f>
        <v>0</v>
      </c>
      <c r="FS29" s="336">
        <f t="shared" ref="FS29" si="717">IF(DA29=1,($BC29*DA29),0)</f>
        <v>0</v>
      </c>
      <c r="FT29" s="336">
        <f t="shared" ref="FT29" si="718">IF(DB29=1,($BC29*DB29),0)</f>
        <v>0</v>
      </c>
      <c r="FU29" s="336">
        <f t="shared" si="93"/>
        <v>0</v>
      </c>
      <c r="FV29" s="336">
        <f t="shared" si="94"/>
        <v>0</v>
      </c>
      <c r="FW29" s="336">
        <f t="shared" si="95"/>
        <v>0</v>
      </c>
      <c r="FX29" s="336">
        <f t="shared" si="96"/>
        <v>0</v>
      </c>
      <c r="FY29" s="336">
        <f t="shared" ref="FY29" si="719">IF(DG29=1,($BC29*DG29),0)</f>
        <v>0</v>
      </c>
      <c r="FZ29" s="336">
        <f t="shared" ref="FZ29" si="720">IF(DH29=1,($BC29*DH29),0)</f>
        <v>0</v>
      </c>
      <c r="GA29" s="336">
        <f t="shared" ref="GA29" si="721">IF(DI29=1,($BC29*DI29),0)</f>
        <v>0</v>
      </c>
      <c r="GB29" s="336">
        <f t="shared" ref="GB29" si="722">IF(DJ29=1,($BC29*DJ29),0)</f>
        <v>0</v>
      </c>
      <c r="GC29" s="336">
        <f t="shared" ref="GC29" si="723">IF(DK29=1,($BC29*DK29),0)</f>
        <v>0</v>
      </c>
      <c r="GD29" s="336">
        <f t="shared" ref="GD29" si="724">IF(DL29=1,($BC29*DL29),0)</f>
        <v>0</v>
      </c>
      <c r="GE29" s="336">
        <f t="shared" ref="GE29" si="725">IF(DM29=1,($BC29*DM29),0)</f>
        <v>0</v>
      </c>
      <c r="GF29" s="336">
        <f t="shared" ref="GF29" si="726">IF(DN29=1,($BC29*DN29),0)</f>
        <v>0</v>
      </c>
      <c r="GG29" s="336">
        <f t="shared" ref="GG29" si="727">IF(DO29=1,($BC29*DO29),0)</f>
        <v>0</v>
      </c>
      <c r="GH29" s="336">
        <f t="shared" ref="GH29" si="728">IF(DP29=1,($BC29*DP29),0)</f>
        <v>0</v>
      </c>
      <c r="GI29" s="336">
        <f t="shared" ref="GI29" si="729">IF(DQ29=1,($BC29*DQ29),0)</f>
        <v>0</v>
      </c>
      <c r="GJ29" s="336">
        <f t="shared" ref="GJ29" si="730">IF(DR29=1,($BC29*DR29),0)</f>
        <v>0</v>
      </c>
      <c r="GK29" s="336">
        <f t="shared" ref="GK29" si="731">IF(DS29=1,($BC29*DS29),0)</f>
        <v>0</v>
      </c>
      <c r="GL29" s="336">
        <f t="shared" si="164"/>
        <v>0</v>
      </c>
      <c r="GM29" s="336">
        <f t="shared" ref="GM29" si="732">IF(DU29=1,($BC29*DU29),0)</f>
        <v>0</v>
      </c>
    </row>
    <row r="30" spans="1:195" ht="26.25" customHeight="1">
      <c r="A30" s="337">
        <f t="shared" si="305"/>
        <v>22</v>
      </c>
      <c r="B30" s="414" t="s">
        <v>382</v>
      </c>
      <c r="C30" s="337" t="str">
        <f t="shared" si="82"/>
        <v>11kV MV Switchgear-1</v>
      </c>
      <c r="D30" s="440" t="s">
        <v>383</v>
      </c>
      <c r="E30" s="416" t="s">
        <v>345</v>
      </c>
      <c r="F30" s="417" t="s">
        <v>29</v>
      </c>
      <c r="G30" s="340" t="s">
        <v>350</v>
      </c>
      <c r="H30" s="418">
        <v>2450</v>
      </c>
      <c r="I30" s="337" t="s">
        <v>330</v>
      </c>
      <c r="J30" s="337" t="s">
        <v>331</v>
      </c>
      <c r="K30" s="341">
        <v>11000</v>
      </c>
      <c r="L30" s="342">
        <v>0.88</v>
      </c>
      <c r="M30" s="342">
        <v>0.97</v>
      </c>
      <c r="N30" s="342">
        <f t="shared" si="83"/>
        <v>150.65068305142677</v>
      </c>
      <c r="O30" s="342">
        <f t="shared" si="67"/>
        <v>903.90409830856061</v>
      </c>
      <c r="P30" s="343">
        <f t="shared" si="84"/>
        <v>0.2</v>
      </c>
      <c r="Q30" s="342">
        <v>31.5</v>
      </c>
      <c r="R30" s="342">
        <v>0.16</v>
      </c>
      <c r="S30" s="342">
        <f t="shared" si="85"/>
        <v>134.04255319148936</v>
      </c>
      <c r="T30" s="344" t="s">
        <v>131</v>
      </c>
      <c r="U30" s="342" t="s">
        <v>333</v>
      </c>
      <c r="V30" s="344">
        <v>150</v>
      </c>
      <c r="W30" s="343" t="str">
        <f t="shared" si="69"/>
        <v>3C X 150</v>
      </c>
      <c r="X30" s="343" t="str">
        <f t="shared" si="70"/>
        <v>3C X 150+PE</v>
      </c>
      <c r="Y30" s="419" t="s">
        <v>346</v>
      </c>
      <c r="Z30" s="344">
        <f>IF(T30="AIR",VLOOKUP(W30,'Catalogue Aluminium'!$B$141:$G$173,2,FALSE),IF(T30="GROUND",VLOOKUP(W30,'Catalogue Aluminium'!$B$141:$G$173,3,FALSE),IF(T30="DUCT",VLOOKUP(W30,'Catalogue Aluminium'!$B$141:$G$173,4,FALSE),IF(T30="TRENCH",VLOOKUP(W30,'Catalogue Aluminium'!$B$141:$G$173,2,FALSE)))))</f>
        <v>309</v>
      </c>
      <c r="AA30" s="345">
        <f>VLOOKUP(W30,'Catalogue Aluminium'!$B$141:$G$173,5,FALSE)</f>
        <v>0.26500000000000001</v>
      </c>
      <c r="AB30" s="345">
        <f>VLOOKUP(W30,'Catalogue Aluminium'!$B$141:$G$173,6,FALSE)</f>
        <v>9.2999999999999999E-2</v>
      </c>
      <c r="AC30" s="349">
        <f>23+30</f>
        <v>53</v>
      </c>
      <c r="AD30" s="343">
        <f>40+50+38+50+17+(27+40)</f>
        <v>262</v>
      </c>
      <c r="AE30" s="343">
        <f t="shared" si="443"/>
        <v>38</v>
      </c>
      <c r="AF30" s="343">
        <f t="shared" si="167"/>
        <v>10</v>
      </c>
      <c r="AG30" s="343">
        <f t="shared" si="86"/>
        <v>37</v>
      </c>
      <c r="AH30" s="347">
        <f t="shared" si="87"/>
        <v>400</v>
      </c>
      <c r="AI30" s="344">
        <f>IF(T30="AIR",'Catalogue Aluminium'!$K$141,IF(T30="TRENCH",'Catalogue Aluminium'!$K$144,"NA"))</f>
        <v>0.82</v>
      </c>
      <c r="AJ30" s="342">
        <f>IF(T30="Air",(IF(U30="1C",'Catalogue Aluminium'!$L$141,'Catalogue Aluminium'!$M$141)),IF(T30="DUCT",(IF($U30="1C",'Catalogue Aluminium'!$L$142,'Catalogue Aluminium'!$M$142)),IF(T30="GROUND",(IF($U30="1C",'Catalogue Aluminium'!$L$143,'Catalogue Aluminium'!$M$143)),IF(T30="TRENCH",(IF($U30="1C",'Catalogue Aluminium'!$L$144,'Catalogue Aluminium'!$M$144))))))</f>
        <v>0.73</v>
      </c>
      <c r="AK30" s="344" t="str">
        <f>IF(T30="Air",'Catalogue Aluminium'!$N$141,IF(T30="GROUND",'Catalogue Aluminium'!$N$142,IF(T30="DUCT",'Catalogue Aluminium'!$N$143,IF(T30="TRENCH",'Catalogue Aluminium'!$N$144,"NA"))))</f>
        <v>NA</v>
      </c>
      <c r="AL30" s="344" t="str">
        <f>IF(T30="Air",(IF(U30="1C",'Catalogue Aluminium'!$O$141,'Catalogue Aluminium'!$P$141)),IF(T30="DUCT",(IF($U30="1C",'Catalogue Aluminium'!$O$142,'Catalogue Aluminium'!$P$142)),IF(T30="GROUND",(IF($U30="1C",'Catalogue Aluminium'!$O$143,'Catalogue Aluminium'!$P$143)),IF(T30="TRENCH",(IF($U30="1C",'Catalogue Aluminium'!$O$144,'Catalogue Aluminium'!$P$144))))))</f>
        <v>NA</v>
      </c>
      <c r="AM30" s="344" t="str">
        <f>IF(T30="AIR","NA",IF(T30="TRENCH","NA",IF(T30="DUCT",IF(U30="1C",VLOOKUP(V30,'Catalogue Aluminium'!$Q$142:$S$153,2,FALSE),VLOOKUP(V30,'Catalogue Aluminium'!$Q$142:$S$153,3)),IF(T30="GROUND",IF(U30="1C",VLOOKUP(V30,'Catalogue Aluminium'!$Q$142:$S$153,2,FALSE),VLOOKUP(V30,'Catalogue Aluminium'!$Q$142:$S$153,3))))))</f>
        <v>NA</v>
      </c>
      <c r="AN30" s="348">
        <f t="shared" si="71"/>
        <v>0.59859999999999991</v>
      </c>
      <c r="AO30" s="342">
        <f t="shared" si="72"/>
        <v>184.96739999999997</v>
      </c>
      <c r="AP30" s="349">
        <f t="shared" si="73"/>
        <v>1</v>
      </c>
      <c r="AQ30" s="350" t="str">
        <f t="shared" si="74"/>
        <v>YES</v>
      </c>
      <c r="AR30" s="351">
        <f t="shared" si="75"/>
        <v>0.26318584139480167</v>
      </c>
      <c r="AS30" s="343" t="str">
        <f t="shared" si="89"/>
        <v>YES</v>
      </c>
      <c r="AT30" s="351">
        <f t="shared" si="76"/>
        <v>0.82049815992208552</v>
      </c>
      <c r="AU30" s="343" t="str">
        <f t="shared" si="77"/>
        <v>YES</v>
      </c>
      <c r="AV30" s="351" t="str">
        <f t="shared" si="78"/>
        <v>1R x 6/10 (12)kV x 3C x 150 Sqmm</v>
      </c>
      <c r="AW30" s="351" t="str">
        <f t="shared" si="79"/>
        <v>1R x 6/10 (12)kV x 3C x 150 Sqmm</v>
      </c>
      <c r="AX30" s="343">
        <f t="shared" si="90"/>
        <v>400</v>
      </c>
      <c r="AY30" s="343"/>
      <c r="AZ30" s="343">
        <f t="shared" si="91"/>
        <v>2</v>
      </c>
      <c r="BA30" s="356" t="str">
        <f t="shared" si="80"/>
        <v>ACDEE1E2</v>
      </c>
      <c r="BB30" s="340">
        <f>VLOOKUP(W30,'Catalogue Aluminium'!$B$141:$H$173,7,FALSE)</f>
        <v>62</v>
      </c>
      <c r="BC30" s="328">
        <f t="shared" si="92"/>
        <v>62</v>
      </c>
      <c r="BE30" s="344"/>
      <c r="BF30" s="344">
        <v>1</v>
      </c>
      <c r="BG30" s="344"/>
      <c r="BH30" s="344"/>
      <c r="BI30" s="344">
        <v>1</v>
      </c>
      <c r="BJ30" s="344">
        <v>1</v>
      </c>
      <c r="BK30" s="344"/>
      <c r="BL30" s="344"/>
      <c r="BM30" s="344"/>
      <c r="BN30" s="344">
        <v>1</v>
      </c>
      <c r="BO30" s="344"/>
      <c r="BP30" s="344">
        <v>1</v>
      </c>
      <c r="BQ30" s="344">
        <v>1</v>
      </c>
      <c r="BR30" s="344"/>
      <c r="BS30" s="344"/>
      <c r="BT30" s="344"/>
      <c r="BU30" s="344"/>
      <c r="BV30" s="344"/>
      <c r="BW30" s="344"/>
      <c r="BX30" s="344"/>
      <c r="BY30" s="344"/>
      <c r="BZ30" s="344"/>
      <c r="CA30" s="344"/>
      <c r="CB30" s="344"/>
      <c r="CC30" s="344"/>
      <c r="CD30" s="344"/>
      <c r="CE30" s="416"/>
      <c r="CF30" s="416"/>
      <c r="CG30" s="416"/>
      <c r="CH30" s="416"/>
      <c r="CI30" s="416"/>
      <c r="CJ30" s="416"/>
      <c r="CK30" s="416"/>
      <c r="CL30" s="416"/>
      <c r="CM30" s="416"/>
      <c r="CN30" s="416"/>
      <c r="CO30" s="416"/>
      <c r="CP30" s="416"/>
      <c r="CQ30" s="416"/>
      <c r="CR30" s="416"/>
      <c r="CS30" s="416"/>
      <c r="CT30" s="416"/>
      <c r="CU30" s="416"/>
      <c r="CV30" s="416"/>
      <c r="CW30" s="416"/>
      <c r="CX30" s="416"/>
      <c r="CY30" s="416"/>
      <c r="CZ30" s="416"/>
      <c r="DA30" s="416"/>
      <c r="DB30" s="416"/>
      <c r="DC30" s="416"/>
      <c r="DD30" s="416"/>
      <c r="DE30" s="416"/>
      <c r="DF30" s="416"/>
      <c r="DG30" s="416"/>
      <c r="DH30" s="416"/>
      <c r="DI30" s="416"/>
      <c r="DJ30" s="416"/>
      <c r="DK30" s="416"/>
      <c r="DL30" s="416"/>
      <c r="DM30" s="416"/>
      <c r="DN30" s="416"/>
      <c r="DO30" s="416"/>
      <c r="DP30" s="416"/>
      <c r="DQ30" s="416"/>
      <c r="DR30" s="416"/>
      <c r="DS30" s="416"/>
      <c r="DT30" s="416"/>
      <c r="DU30" s="416"/>
      <c r="DW30" s="336">
        <f t="shared" si="81"/>
        <v>0</v>
      </c>
      <c r="DX30" s="336">
        <f t="shared" si="0"/>
        <v>62</v>
      </c>
      <c r="DY30" s="336">
        <f t="shared" si="1"/>
        <v>0</v>
      </c>
      <c r="DZ30" s="336">
        <f t="shared" si="2"/>
        <v>0</v>
      </c>
      <c r="EA30" s="336">
        <f t="shared" si="3"/>
        <v>62</v>
      </c>
      <c r="EB30" s="336">
        <f t="shared" si="4"/>
        <v>62</v>
      </c>
      <c r="EC30" s="336">
        <f t="shared" si="5"/>
        <v>0</v>
      </c>
      <c r="ED30" s="336">
        <f t="shared" si="6"/>
        <v>0</v>
      </c>
      <c r="EE30" s="336">
        <f t="shared" si="7"/>
        <v>0</v>
      </c>
      <c r="EF30" s="336">
        <f t="shared" si="8"/>
        <v>62</v>
      </c>
      <c r="EG30" s="336">
        <f t="shared" si="9"/>
        <v>0</v>
      </c>
      <c r="EH30" s="336">
        <f t="shared" si="10"/>
        <v>62</v>
      </c>
      <c r="EI30" s="336">
        <f t="shared" si="11"/>
        <v>62</v>
      </c>
      <c r="EJ30" s="336">
        <f t="shared" si="12"/>
        <v>0</v>
      </c>
      <c r="EK30" s="336">
        <f t="shared" si="13"/>
        <v>0</v>
      </c>
      <c r="EL30" s="336">
        <f t="shared" si="14"/>
        <v>0</v>
      </c>
      <c r="EM30" s="336">
        <f t="shared" si="15"/>
        <v>0</v>
      </c>
      <c r="EN30" s="336">
        <f t="shared" si="16"/>
        <v>0</v>
      </c>
      <c r="EO30" s="336">
        <f t="shared" si="17"/>
        <v>0</v>
      </c>
      <c r="EP30" s="336">
        <f t="shared" si="18"/>
        <v>0</v>
      </c>
      <c r="EQ30" s="336">
        <f t="shared" si="19"/>
        <v>0</v>
      </c>
      <c r="ER30" s="336">
        <f t="shared" si="20"/>
        <v>0</v>
      </c>
      <c r="ES30" s="336">
        <f t="shared" si="21"/>
        <v>0</v>
      </c>
      <c r="ET30" s="336">
        <f t="shared" si="22"/>
        <v>0</v>
      </c>
      <c r="EU30" s="336">
        <f t="shared" si="23"/>
        <v>0</v>
      </c>
      <c r="EV30" s="336">
        <f t="shared" si="24"/>
        <v>0</v>
      </c>
      <c r="EW30" s="336">
        <f t="shared" si="25"/>
        <v>0</v>
      </c>
      <c r="EX30" s="336">
        <f t="shared" si="26"/>
        <v>0</v>
      </c>
      <c r="EY30" s="336">
        <f t="shared" si="27"/>
        <v>0</v>
      </c>
      <c r="EZ30" s="336">
        <f t="shared" si="28"/>
        <v>0</v>
      </c>
      <c r="FA30" s="336">
        <f t="shared" si="29"/>
        <v>0</v>
      </c>
      <c r="FB30" s="336">
        <f t="shared" si="30"/>
        <v>0</v>
      </c>
      <c r="FC30" s="336">
        <f t="shared" si="31"/>
        <v>0</v>
      </c>
      <c r="FD30" s="336">
        <f t="shared" si="32"/>
        <v>0</v>
      </c>
      <c r="FE30" s="336">
        <f t="shared" si="33"/>
        <v>0</v>
      </c>
      <c r="FF30" s="336">
        <f t="shared" si="34"/>
        <v>0</v>
      </c>
      <c r="FG30" s="336">
        <f t="shared" si="35"/>
        <v>0</v>
      </c>
      <c r="FH30" s="336">
        <f t="shared" si="36"/>
        <v>0</v>
      </c>
      <c r="FI30" s="336">
        <f t="shared" si="37"/>
        <v>0</v>
      </c>
      <c r="FJ30" s="336">
        <f t="shared" si="38"/>
        <v>0</v>
      </c>
      <c r="FK30" s="336">
        <f t="shared" si="39"/>
        <v>0</v>
      </c>
      <c r="FL30" s="336">
        <f t="shared" si="40"/>
        <v>0</v>
      </c>
      <c r="FM30" s="336">
        <f t="shared" si="41"/>
        <v>0</v>
      </c>
      <c r="FN30" s="336">
        <f t="shared" si="42"/>
        <v>0</v>
      </c>
      <c r="FO30" s="336">
        <f t="shared" si="43"/>
        <v>0</v>
      </c>
      <c r="FP30" s="336">
        <f t="shared" si="44"/>
        <v>0</v>
      </c>
      <c r="FQ30" s="336">
        <f t="shared" si="45"/>
        <v>0</v>
      </c>
      <c r="FR30" s="336">
        <f t="shared" si="46"/>
        <v>0</v>
      </c>
      <c r="FS30" s="336">
        <f t="shared" si="47"/>
        <v>0</v>
      </c>
      <c r="FT30" s="336">
        <f t="shared" si="48"/>
        <v>0</v>
      </c>
      <c r="FU30" s="336">
        <f t="shared" si="93"/>
        <v>0</v>
      </c>
      <c r="FV30" s="336">
        <f t="shared" si="94"/>
        <v>0</v>
      </c>
      <c r="FW30" s="336">
        <f t="shared" si="95"/>
        <v>0</v>
      </c>
      <c r="FX30" s="336">
        <f t="shared" si="96"/>
        <v>0</v>
      </c>
      <c r="FY30" s="336">
        <f t="shared" si="53"/>
        <v>0</v>
      </c>
      <c r="FZ30" s="336">
        <f t="shared" si="54"/>
        <v>0</v>
      </c>
      <c r="GA30" s="336">
        <f t="shared" si="55"/>
        <v>0</v>
      </c>
      <c r="GB30" s="336">
        <f t="shared" si="56"/>
        <v>0</v>
      </c>
      <c r="GC30" s="336">
        <f t="shared" si="57"/>
        <v>0</v>
      </c>
      <c r="GD30" s="336">
        <f t="shared" si="58"/>
        <v>0</v>
      </c>
      <c r="GE30" s="336">
        <f t="shared" si="59"/>
        <v>0</v>
      </c>
      <c r="GF30" s="336">
        <f t="shared" si="60"/>
        <v>0</v>
      </c>
      <c r="GG30" s="336">
        <f t="shared" si="61"/>
        <v>0</v>
      </c>
      <c r="GH30" s="336">
        <f t="shared" si="62"/>
        <v>0</v>
      </c>
      <c r="GI30" s="336">
        <f t="shared" si="63"/>
        <v>0</v>
      </c>
      <c r="GJ30" s="336">
        <f t="shared" si="64"/>
        <v>0</v>
      </c>
      <c r="GK30" s="336">
        <f>IF(DS30=1,($BC30*DS30),0)</f>
        <v>0</v>
      </c>
      <c r="GL30" s="336">
        <f t="shared" si="164"/>
        <v>0</v>
      </c>
      <c r="GM30" s="336">
        <f t="shared" si="66"/>
        <v>0</v>
      </c>
    </row>
    <row r="31" spans="1:195" ht="26.25" customHeight="1">
      <c r="A31" s="388">
        <f t="shared" si="305"/>
        <v>23</v>
      </c>
      <c r="B31" s="442" t="s">
        <v>382</v>
      </c>
      <c r="C31" s="388" t="str">
        <f t="shared" si="82"/>
        <v>11kV MV Switchgear-1</v>
      </c>
      <c r="D31" s="441" t="s">
        <v>384</v>
      </c>
      <c r="E31" s="432" t="s">
        <v>345</v>
      </c>
      <c r="F31" s="433" t="s">
        <v>29</v>
      </c>
      <c r="G31" s="390" t="s">
        <v>329</v>
      </c>
      <c r="H31" s="396">
        <v>0.2</v>
      </c>
      <c r="I31" s="388" t="s">
        <v>330</v>
      </c>
      <c r="J31" s="388" t="s">
        <v>357</v>
      </c>
      <c r="K31" s="434">
        <v>230</v>
      </c>
      <c r="L31" s="401">
        <v>0.85</v>
      </c>
      <c r="M31" s="418">
        <v>0.95</v>
      </c>
      <c r="N31" s="392">
        <f t="shared" si="83"/>
        <v>1.0768609503297888</v>
      </c>
      <c r="O31" s="392">
        <f t="shared" si="67"/>
        <v>0</v>
      </c>
      <c r="P31" s="401" t="str">
        <f t="shared" si="84"/>
        <v>0.00</v>
      </c>
      <c r="Q31" s="418">
        <v>65</v>
      </c>
      <c r="R31" s="418">
        <v>0</v>
      </c>
      <c r="S31" s="418">
        <f t="shared" si="85"/>
        <v>0</v>
      </c>
      <c r="T31" s="401" t="s">
        <v>131</v>
      </c>
      <c r="U31" s="418" t="s">
        <v>333</v>
      </c>
      <c r="V31" s="401">
        <v>4</v>
      </c>
      <c r="W31" s="401" t="str">
        <f t="shared" si="69"/>
        <v>3C X 4</v>
      </c>
      <c r="X31" s="401" t="str">
        <f t="shared" si="70"/>
        <v>3C X 4</v>
      </c>
      <c r="Y31" s="435" t="s">
        <v>358</v>
      </c>
      <c r="Z31" s="393">
        <f>IF(T31="AIR",VLOOKUP(W31,'Catalogue Aluminium'!$B$141:$G$173,2,FALSE),IF(T31="GROUND",VLOOKUP(W31,'Catalogue Aluminium'!$B$141:$G$173,3,FALSE),IF(T31="DUCT",VLOOKUP(W31,'Catalogue Aluminium'!$B$141:$G$173,4,FALSE),IF(T31="TRENCH",VLOOKUP(W31,'Catalogue Aluminium'!$B$141:$G$173,2,FALSE)))))</f>
        <v>38</v>
      </c>
      <c r="AA31" s="402">
        <f>VLOOKUP(W31,'Catalogue Aluminium'!$B$141:$G$173,5,FALSE)</f>
        <v>5.9</v>
      </c>
      <c r="AB31" s="402">
        <f>VLOOKUP(W31,'Catalogue Aluminium'!$B$141:$G$173,6,FALSE)</f>
        <v>9.4700000000000006E-2</v>
      </c>
      <c r="AC31" s="434">
        <f>23+30</f>
        <v>53</v>
      </c>
      <c r="AD31" s="401">
        <f>40+50+38+50+17+(27+40)</f>
        <v>262</v>
      </c>
      <c r="AE31" s="401">
        <f t="shared" si="443"/>
        <v>38</v>
      </c>
      <c r="AF31" s="401">
        <f t="shared" si="167"/>
        <v>10</v>
      </c>
      <c r="AG31" s="401">
        <f t="shared" ref="AG31" si="733">ROUNDUP(SUM(AC31:AF31)*0.1,0)</f>
        <v>37</v>
      </c>
      <c r="AH31" s="436">
        <f t="shared" si="87"/>
        <v>400</v>
      </c>
      <c r="AI31" s="393">
        <f>IF(T31="AIR",'Catalogue Aluminium'!$K$141,IF(T31="TRENCH",'Catalogue Aluminium'!$K$144,"NA"))</f>
        <v>0.82</v>
      </c>
      <c r="AJ31" s="392">
        <f>IF(T31="Air",(IF(U31="1C",'Catalogue Aluminium'!$L$141,'Catalogue Aluminium'!$M$141)),IF(T31="DUCT",(IF($U31="1C",'Catalogue Aluminium'!$L$142,'Catalogue Aluminium'!$M$142)),IF(T31="GROUND",(IF($U31="1C",'Catalogue Aluminium'!$L$143,'Catalogue Aluminium'!$M$143)),IF(T31="TRENCH",(IF($U31="1C",'Catalogue Aluminium'!$L$144,'Catalogue Aluminium'!$M$144))))))</f>
        <v>0.73</v>
      </c>
      <c r="AK31" s="393" t="str">
        <f>IF(T31="Air",'Catalogue Aluminium'!$N$141,IF(T31="GROUND",'Catalogue Aluminium'!$N$142,IF(T31="DUCT",'Catalogue Aluminium'!$N$143,IF(T31="TRENCH",'Catalogue Aluminium'!$N$144,"NA"))))</f>
        <v>NA</v>
      </c>
      <c r="AL31" s="393" t="str">
        <f>IF(T31="Air",(IF(U31="1C",'Catalogue Aluminium'!$O$141,'Catalogue Aluminium'!$P$141)),IF(T31="DUCT",(IF($U31="1C",'Catalogue Aluminium'!$O$142,'Catalogue Aluminium'!$P$142)),IF(T31="GROUND",(IF($U31="1C",'Catalogue Aluminium'!$O$143,'Catalogue Aluminium'!$P$143)),IF(T31="TRENCH",(IF($U31="1C",'Catalogue Aluminium'!$O$144,'Catalogue Aluminium'!$P$144))))))</f>
        <v>NA</v>
      </c>
      <c r="AM31" s="393" t="str">
        <f>IF(T31="AIR","NA",IF(T31="TRENCH","NA",IF(T31="DUCT",IF(U31="1C",VLOOKUP(V31,'Catalogue Aluminium'!$Q$142:$S$153,2,FALSE),VLOOKUP(V31,'Catalogue Aluminium'!$Q$142:$S$153,3)),IF(T31="GROUND",IF(U31="1C",VLOOKUP(V31,'Catalogue Aluminium'!$Q$142:$S$153,2,FALSE),VLOOKUP(V31,'Catalogue Aluminium'!$Q$142:$S$153,3))))))</f>
        <v>NA</v>
      </c>
      <c r="AN31" s="404">
        <f t="shared" ref="AN31" si="734">IF(T31="AIR",AI31*AJ31,IF(T31="TRENCH",AI31*AJ31,IF(T31="DUCT",AJ31*AK31*AL31*AM31,IF(T31="GROUND",AJ31*AK31*AL31*AM31))))</f>
        <v>0.59859999999999991</v>
      </c>
      <c r="AO31" s="392">
        <f t="shared" ref="AO31" si="735">Z31*AN31</f>
        <v>22.746799999999997</v>
      </c>
      <c r="AP31" s="434">
        <f t="shared" ref="AP31" si="736">CEILING(((N31)/AO31),1)</f>
        <v>1</v>
      </c>
      <c r="AQ31" s="418" t="str">
        <f t="shared" ref="AQ31" si="737">IF(AO31*AP31&gt;=N31,"YES","NO")</f>
        <v>YES</v>
      </c>
      <c r="AR31" s="437">
        <f t="shared" ref="AR31" si="738">SQRT(3)*AH31*N31*((AA31*L31)+(AB31*SIN(ACOS(L31))))*100/(AP31*K31*1000)</f>
        <v>1.6429415518176467</v>
      </c>
      <c r="AS31" s="401" t="str">
        <f t="shared" si="89"/>
        <v>YES</v>
      </c>
      <c r="AT31" s="437" t="str">
        <f t="shared" si="76"/>
        <v>NA</v>
      </c>
      <c r="AU31" s="401" t="str">
        <f t="shared" si="77"/>
        <v>NA</v>
      </c>
      <c r="AV31" s="437" t="str">
        <f t="shared" si="78"/>
        <v>1R x 6/10 (12)kV x 3C x 4 Sqmm</v>
      </c>
      <c r="AW31" s="437" t="str">
        <f t="shared" si="79"/>
        <v>1R x 6/10 (12)kV x 3C x 4 Sqmm</v>
      </c>
      <c r="AX31" s="401">
        <f t="shared" si="90"/>
        <v>400</v>
      </c>
      <c r="AY31" s="401"/>
      <c r="AZ31" s="401">
        <f t="shared" si="91"/>
        <v>2</v>
      </c>
      <c r="BA31" s="438" t="str">
        <f t="shared" si="80"/>
        <v>ACDEE1E2</v>
      </c>
      <c r="BB31" s="390">
        <f>VLOOKUP(W31,'Catalogue Aluminium'!$B$141:$H$173,7,FALSE)</f>
        <v>15</v>
      </c>
      <c r="BC31" s="439">
        <f t="shared" si="92"/>
        <v>15</v>
      </c>
      <c r="BE31" s="344"/>
      <c r="BF31" s="344">
        <v>1</v>
      </c>
      <c r="BG31" s="344"/>
      <c r="BH31" s="344"/>
      <c r="BI31" s="344">
        <v>1</v>
      </c>
      <c r="BJ31" s="344">
        <v>1</v>
      </c>
      <c r="BK31" s="344"/>
      <c r="BL31" s="344"/>
      <c r="BM31" s="344"/>
      <c r="BN31" s="344">
        <v>1</v>
      </c>
      <c r="BO31" s="344"/>
      <c r="BP31" s="344">
        <v>1</v>
      </c>
      <c r="BQ31" s="344">
        <v>1</v>
      </c>
      <c r="BR31" s="344"/>
      <c r="BS31" s="344"/>
      <c r="BT31" s="344"/>
      <c r="BU31" s="344"/>
      <c r="BV31" s="344"/>
      <c r="BW31" s="344"/>
      <c r="BX31" s="344"/>
      <c r="BY31" s="344"/>
      <c r="BZ31" s="344"/>
      <c r="CA31" s="344"/>
      <c r="CB31" s="344"/>
      <c r="CC31" s="344"/>
      <c r="CD31" s="344"/>
      <c r="CE31" s="416"/>
      <c r="CF31" s="416"/>
      <c r="CG31" s="416"/>
      <c r="CH31" s="416"/>
      <c r="CI31" s="416"/>
      <c r="CJ31" s="416"/>
      <c r="CK31" s="416"/>
      <c r="CL31" s="416"/>
      <c r="CM31" s="416"/>
      <c r="CN31" s="416"/>
      <c r="CO31" s="416"/>
      <c r="CP31" s="416"/>
      <c r="CQ31" s="416"/>
      <c r="CR31" s="416"/>
      <c r="CS31" s="416"/>
      <c r="CT31" s="416"/>
      <c r="CU31" s="416"/>
      <c r="CV31" s="416"/>
      <c r="CW31" s="416"/>
      <c r="CX31" s="416"/>
      <c r="CY31" s="416"/>
      <c r="CZ31" s="416"/>
      <c r="DA31" s="416"/>
      <c r="DB31" s="416"/>
      <c r="DC31" s="416"/>
      <c r="DD31" s="416"/>
      <c r="DE31" s="416"/>
      <c r="DF31" s="416"/>
      <c r="DG31" s="416"/>
      <c r="DH31" s="416"/>
      <c r="DI31" s="416"/>
      <c r="DJ31" s="416"/>
      <c r="DK31" s="416"/>
      <c r="DL31" s="416"/>
      <c r="DM31" s="416"/>
      <c r="DN31" s="416"/>
      <c r="DO31" s="416"/>
      <c r="DP31" s="416"/>
      <c r="DQ31" s="416"/>
      <c r="DR31" s="416"/>
      <c r="DS31" s="416"/>
      <c r="DT31" s="416"/>
      <c r="DU31" s="416"/>
      <c r="DW31" s="336">
        <f t="shared" ref="DW31" si="739">IF(BE31=1,($BC31*BE31),0)</f>
        <v>0</v>
      </c>
      <c r="DX31" s="336">
        <f t="shared" ref="DX31" si="740">IF(BF31=1,($BC31*BF31),0)</f>
        <v>15</v>
      </c>
      <c r="DY31" s="336">
        <f t="shared" ref="DY31" si="741">IF(BG31=1,($BC31*BG31),0)</f>
        <v>0</v>
      </c>
      <c r="DZ31" s="336">
        <f t="shared" ref="DZ31" si="742">IF(BH31=1,($BC31*BH31),0)</f>
        <v>0</v>
      </c>
      <c r="EA31" s="336">
        <f t="shared" ref="EA31" si="743">IF(BI31=1,($BC31*BI31),0)</f>
        <v>15</v>
      </c>
      <c r="EB31" s="336">
        <f t="shared" ref="EB31" si="744">IF(BJ31=1,($BC31*BJ31),0)</f>
        <v>15</v>
      </c>
      <c r="EC31" s="336">
        <f t="shared" ref="EC31" si="745">IF(BK31=1,($BC31*BK31),0)</f>
        <v>0</v>
      </c>
      <c r="ED31" s="336">
        <f t="shared" ref="ED31" si="746">IF(BL31=1,($BC31*BL31),0)</f>
        <v>0</v>
      </c>
      <c r="EE31" s="336">
        <f t="shared" ref="EE31" si="747">IF(BM31=1,($BC31*BM31),0)</f>
        <v>0</v>
      </c>
      <c r="EF31" s="336">
        <f t="shared" ref="EF31" si="748">IF(BN31=1,($BC31*BN31),0)</f>
        <v>15</v>
      </c>
      <c r="EG31" s="336">
        <f t="shared" ref="EG31" si="749">IF(BO31=1,($BC31*BO31),0)</f>
        <v>0</v>
      </c>
      <c r="EH31" s="336">
        <f t="shared" ref="EH31" si="750">IF(BP31=1,($BC31*BP31),0)</f>
        <v>15</v>
      </c>
      <c r="EI31" s="336">
        <f t="shared" ref="EI31" si="751">IF(BQ31=1,($BC31*BQ31),0)</f>
        <v>15</v>
      </c>
      <c r="EJ31" s="336">
        <f t="shared" ref="EJ31" si="752">IF(BR31=1,($BC31*BR31),0)</f>
        <v>0</v>
      </c>
      <c r="EK31" s="336">
        <f t="shared" ref="EK31" si="753">IF(BS31=1,($BC31*BS31),0)</f>
        <v>0</v>
      </c>
      <c r="EL31" s="336">
        <f t="shared" ref="EL31" si="754">IF(BT31=1,($BC31*BT31),0)</f>
        <v>0</v>
      </c>
      <c r="EM31" s="336">
        <f t="shared" ref="EM31" si="755">IF(BU31=1,($BC31*BU31),0)</f>
        <v>0</v>
      </c>
      <c r="EN31" s="336">
        <f t="shared" ref="EN31" si="756">IF(BV31=1,($BC31*BV31),0)</f>
        <v>0</v>
      </c>
      <c r="EO31" s="336">
        <f t="shared" ref="EO31" si="757">IF(BW31=1,($BC31*BW31),0)</f>
        <v>0</v>
      </c>
      <c r="EP31" s="336">
        <f t="shared" ref="EP31" si="758">IF(BX31=1,($BC31*BX31),0)</f>
        <v>0</v>
      </c>
      <c r="EQ31" s="336">
        <f t="shared" ref="EQ31" si="759">IF(BY31=1,($BC31*BY31),0)</f>
        <v>0</v>
      </c>
      <c r="ER31" s="336">
        <f t="shared" ref="ER31" si="760">IF(BZ31=1,($BC31*BZ31),0)</f>
        <v>0</v>
      </c>
      <c r="ES31" s="336">
        <f t="shared" ref="ES31" si="761">IF(CA31=1,($BC31*CA31),0)</f>
        <v>0</v>
      </c>
      <c r="ET31" s="336">
        <f t="shared" si="22"/>
        <v>0</v>
      </c>
      <c r="EU31" s="336">
        <f t="shared" si="23"/>
        <v>0</v>
      </c>
      <c r="EV31" s="336">
        <f t="shared" ref="EV31" si="762">IF(CD31=1,($BC31*CD31),0)</f>
        <v>0</v>
      </c>
      <c r="EW31" s="336">
        <f t="shared" ref="EW31" si="763">IF(CE31=1,($BC31*CE31),0)</f>
        <v>0</v>
      </c>
      <c r="EX31" s="336">
        <f t="shared" ref="EX31" si="764">IF(CF31=1,($BC31*CF31),0)</f>
        <v>0</v>
      </c>
      <c r="EY31" s="336">
        <f t="shared" ref="EY31" si="765">IF(CG31=1,($BC31*CG31),0)</f>
        <v>0</v>
      </c>
      <c r="EZ31" s="336">
        <f t="shared" ref="EZ31" si="766">IF(CH31=1,($BC31*CH31),0)</f>
        <v>0</v>
      </c>
      <c r="FA31" s="336">
        <f t="shared" ref="FA31" si="767">IF(CI31=1,($BC31*CI31),0)</f>
        <v>0</v>
      </c>
      <c r="FB31" s="336">
        <f t="shared" ref="FB31" si="768">IF(CJ31=1,($BC31*CJ31),0)</f>
        <v>0</v>
      </c>
      <c r="FC31" s="336">
        <f t="shared" ref="FC31" si="769">IF(CK31=1,($BC31*CK31),0)</f>
        <v>0</v>
      </c>
      <c r="FD31" s="336">
        <f t="shared" ref="FD31" si="770">IF(CL31=1,($BC31*CL31),0)</f>
        <v>0</v>
      </c>
      <c r="FE31" s="336">
        <f t="shared" ref="FE31" si="771">IF(CM31=1,($BC31*CM31),0)</f>
        <v>0</v>
      </c>
      <c r="FF31" s="336">
        <f t="shared" ref="FF31" si="772">IF(CN31=1,($BC31*CN31),0)</f>
        <v>0</v>
      </c>
      <c r="FG31" s="336">
        <f t="shared" ref="FG31" si="773">IF(CO31=1,($BC31*CO31),0)</f>
        <v>0</v>
      </c>
      <c r="FH31" s="336">
        <f t="shared" ref="FH31" si="774">IF(CP31=1,($BC31*CP31),0)</f>
        <v>0</v>
      </c>
      <c r="FI31" s="336">
        <f t="shared" ref="FI31" si="775">IF(CQ31=1,($BC31*CQ31),0)</f>
        <v>0</v>
      </c>
      <c r="FJ31" s="336">
        <f t="shared" ref="FJ31" si="776">IF(CR31=1,($BC31*CR31),0)</f>
        <v>0</v>
      </c>
      <c r="FK31" s="336">
        <f t="shared" ref="FK31" si="777">IF(CS31=1,($BC31*CS31),0)</f>
        <v>0</v>
      </c>
      <c r="FL31" s="336">
        <f t="shared" ref="FL31" si="778">IF(CT31=1,($BC31*CT31),0)</f>
        <v>0</v>
      </c>
      <c r="FM31" s="336">
        <f t="shared" ref="FM31" si="779">IF(CU31=1,($BC31*CU31),0)</f>
        <v>0</v>
      </c>
      <c r="FN31" s="336">
        <f t="shared" ref="FN31" si="780">IF(CV31=1,($BC31*CV31),0)</f>
        <v>0</v>
      </c>
      <c r="FO31" s="336">
        <f t="shared" ref="FO31" si="781">IF(CW31=1,($BC31*CW31),0)</f>
        <v>0</v>
      </c>
      <c r="FP31" s="336">
        <f t="shared" ref="FP31" si="782">IF(CX31=1,($BC31*CX31),0)</f>
        <v>0</v>
      </c>
      <c r="FQ31" s="336">
        <f t="shared" ref="FQ31" si="783">IF(CY31=1,($BC31*CY31),0)</f>
        <v>0</v>
      </c>
      <c r="FR31" s="336">
        <f t="shared" ref="FR31" si="784">IF(CZ31=1,($BC31*CZ31),0)</f>
        <v>0</v>
      </c>
      <c r="FS31" s="336">
        <f t="shared" ref="FS31" si="785">IF(DA31=1,($BC31*DA31),0)</f>
        <v>0</v>
      </c>
      <c r="FT31" s="336">
        <f t="shared" ref="FT31" si="786">IF(DB31=1,($BC31*DB31),0)</f>
        <v>0</v>
      </c>
      <c r="FU31" s="336">
        <f t="shared" si="93"/>
        <v>0</v>
      </c>
      <c r="FV31" s="336">
        <f t="shared" si="94"/>
        <v>0</v>
      </c>
      <c r="FW31" s="336">
        <f t="shared" si="95"/>
        <v>0</v>
      </c>
      <c r="FX31" s="336">
        <f t="shared" si="96"/>
        <v>0</v>
      </c>
      <c r="FY31" s="336">
        <f t="shared" ref="FY31" si="787">IF(DG31=1,($BC31*DG31),0)</f>
        <v>0</v>
      </c>
      <c r="FZ31" s="336">
        <f t="shared" ref="FZ31" si="788">IF(DH31=1,($BC31*DH31),0)</f>
        <v>0</v>
      </c>
      <c r="GA31" s="336">
        <f t="shared" ref="GA31" si="789">IF(DI31=1,($BC31*DI31),0)</f>
        <v>0</v>
      </c>
      <c r="GB31" s="336">
        <f t="shared" ref="GB31" si="790">IF(DJ31=1,($BC31*DJ31),0)</f>
        <v>0</v>
      </c>
      <c r="GC31" s="336">
        <f t="shared" ref="GC31" si="791">IF(DK31=1,($BC31*DK31),0)</f>
        <v>0</v>
      </c>
      <c r="GD31" s="336">
        <f t="shared" ref="GD31" si="792">IF(DL31=1,($BC31*DL31),0)</f>
        <v>0</v>
      </c>
      <c r="GE31" s="336">
        <f t="shared" ref="GE31" si="793">IF(DM31=1,($BC31*DM31),0)</f>
        <v>0</v>
      </c>
      <c r="GF31" s="336">
        <f t="shared" ref="GF31" si="794">IF(DN31=1,($BC31*DN31),0)</f>
        <v>0</v>
      </c>
      <c r="GG31" s="336">
        <f t="shared" ref="GG31" si="795">IF(DO31=1,($BC31*DO31),0)</f>
        <v>0</v>
      </c>
      <c r="GH31" s="336">
        <f t="shared" ref="GH31" si="796">IF(DP31=1,($BC31*DP31),0)</f>
        <v>0</v>
      </c>
      <c r="GI31" s="336">
        <f t="shared" ref="GI31" si="797">IF(DQ31=1,($BC31*DQ31),0)</f>
        <v>0</v>
      </c>
      <c r="GJ31" s="336">
        <f t="shared" ref="GJ31" si="798">IF(DR31=1,($BC31*DR31),0)</f>
        <v>0</v>
      </c>
      <c r="GK31" s="336">
        <f t="shared" ref="GK31" si="799">IF(DS31=1,($BC31*DS31),0)</f>
        <v>0</v>
      </c>
      <c r="GL31" s="336">
        <f t="shared" si="164"/>
        <v>0</v>
      </c>
      <c r="GM31" s="336">
        <f t="shared" ref="GM31" si="800">IF(DU31=1,($BC31*DU31),0)</f>
        <v>0</v>
      </c>
    </row>
    <row r="32" spans="1:195" ht="18" customHeight="1">
      <c r="A32" s="337">
        <f t="shared" si="305"/>
        <v>24</v>
      </c>
      <c r="B32" s="444" t="s">
        <v>385</v>
      </c>
      <c r="C32" s="337" t="str">
        <f t="shared" si="82"/>
        <v>11kV MV Switchgear-1</v>
      </c>
      <c r="D32" s="440" t="s">
        <v>386</v>
      </c>
      <c r="E32" s="416" t="s">
        <v>387</v>
      </c>
      <c r="F32" s="417" t="s">
        <v>28</v>
      </c>
      <c r="G32" s="340" t="s">
        <v>350</v>
      </c>
      <c r="H32" s="418">
        <v>1100</v>
      </c>
      <c r="I32" s="337" t="s">
        <v>330</v>
      </c>
      <c r="J32" s="337" t="s">
        <v>331</v>
      </c>
      <c r="K32" s="341">
        <v>11000</v>
      </c>
      <c r="L32" s="342">
        <v>0.87</v>
      </c>
      <c r="M32" s="342">
        <v>0.96699999999999997</v>
      </c>
      <c r="N32" s="342">
        <f t="shared" si="83"/>
        <v>68.628796912209253</v>
      </c>
      <c r="O32" s="342">
        <f t="shared" si="67"/>
        <v>411.77278147325552</v>
      </c>
      <c r="P32" s="343">
        <f t="shared" si="84"/>
        <v>0.2</v>
      </c>
      <c r="Q32" s="342">
        <v>31.5</v>
      </c>
      <c r="R32" s="342">
        <v>0.16</v>
      </c>
      <c r="S32" s="342">
        <f t="shared" si="85"/>
        <v>134.04255319148936</v>
      </c>
      <c r="T32" s="344" t="s">
        <v>332</v>
      </c>
      <c r="U32" s="342" t="s">
        <v>333</v>
      </c>
      <c r="V32" s="344">
        <v>150</v>
      </c>
      <c r="W32" s="343" t="str">
        <f t="shared" si="69"/>
        <v>3C X 150</v>
      </c>
      <c r="X32" s="343" t="str">
        <f t="shared" si="70"/>
        <v>3C X 150+PE</v>
      </c>
      <c r="Y32" s="419" t="s">
        <v>346</v>
      </c>
      <c r="Z32" s="344">
        <f>IF(T32="AIR",VLOOKUP(W32,'Catalogue Aluminium'!$B$141:$G$173,2,FALSE),IF(T32="GROUND",VLOOKUP(W32,'Catalogue Aluminium'!$B$141:$G$173,3,FALSE),IF(T32="DUCT",VLOOKUP(W32,'Catalogue Aluminium'!$B$141:$G$173,4,FALSE),IF(T32="TRENCH",VLOOKUP(W32,'Catalogue Aluminium'!$B$141:$G$173,2,FALSE)))))</f>
        <v>309</v>
      </c>
      <c r="AA32" s="345">
        <f>VLOOKUP(W32,'Catalogue Aluminium'!$B$141:$G$173,5,FALSE)</f>
        <v>0.26500000000000001</v>
      </c>
      <c r="AB32" s="345">
        <f>VLOOKUP(W32,'Catalogue Aluminium'!$B$141:$G$173,6,FALSE)</f>
        <v>9.2999999999999999E-2</v>
      </c>
      <c r="AC32" s="349">
        <f t="shared" si="236"/>
        <v>67</v>
      </c>
      <c r="AD32" s="343">
        <f>50+30+28+29+12+12+15</f>
        <v>176</v>
      </c>
      <c r="AE32" s="343">
        <v>20</v>
      </c>
      <c r="AF32" s="343">
        <v>6</v>
      </c>
      <c r="AG32" s="343">
        <f t="shared" si="86"/>
        <v>27</v>
      </c>
      <c r="AH32" s="347">
        <f t="shared" si="87"/>
        <v>300</v>
      </c>
      <c r="AI32" s="344">
        <f>IF(T32="AIR",'Catalogue Aluminium'!$K$141,IF(T32="TRENCH",'Catalogue Aluminium'!$K$144,"NA"))</f>
        <v>0.82</v>
      </c>
      <c r="AJ32" s="342">
        <f>IF(T32="Air",(IF(U32="1C",'Catalogue Aluminium'!$L$141,'Catalogue Aluminium'!$M$141)),IF(T32="DUCT",(IF($U32="1C",'Catalogue Aluminium'!$L$142,'Catalogue Aluminium'!$M$142)),IF(T32="GROUND",(IF($U32="1C",'Catalogue Aluminium'!$L$143,'Catalogue Aluminium'!$M$143)),IF(T32="TRENCH",(IF($U32="1C",'Catalogue Aluminium'!$L$144,'Catalogue Aluminium'!$M$144))))))</f>
        <v>0.73</v>
      </c>
      <c r="AK32" s="344" t="str">
        <f>IF(T32="Air",'Catalogue Aluminium'!$N$141,IF(T32="GROUND",'Catalogue Aluminium'!$N$142,IF(T32="DUCT",'Catalogue Aluminium'!$N$143,IF(T32="TRENCH",'Catalogue Aluminium'!$N$144,"NA"))))</f>
        <v>NA</v>
      </c>
      <c r="AL32" s="344" t="str">
        <f>IF(T32="Air",(IF(U32="1C",'Catalogue Aluminium'!$O$141,'Catalogue Aluminium'!$P$141)),IF(T32="DUCT",(IF($U32="1C",'Catalogue Aluminium'!$O$142,'Catalogue Aluminium'!$P$142)),IF(T32="GROUND",(IF($U32="1C",'Catalogue Aluminium'!$O$143,'Catalogue Aluminium'!$P$143)),IF(T32="TRENCH",(IF($U32="1C",'Catalogue Aluminium'!$O$144,'Catalogue Aluminium'!$P$144))))))</f>
        <v>NA</v>
      </c>
      <c r="AM32" s="344" t="str">
        <f>IF(T32="AIR","NA",IF(T32="TRENCH","NA",IF(T32="DUCT",IF(U32="1C",VLOOKUP(V32,'Catalogue Aluminium'!$Q$142:$S$153,2,FALSE),VLOOKUP(V32,'Catalogue Aluminium'!$Q$142:$S$153,3)),IF(T32="GROUND",IF(U32="1C",VLOOKUP(V32,'Catalogue Aluminium'!$Q$142:$S$153,2,FALSE),VLOOKUP(V32,'Catalogue Aluminium'!$Q$142:$S$153,3))))))</f>
        <v>NA</v>
      </c>
      <c r="AN32" s="348">
        <f t="shared" si="71"/>
        <v>0.59859999999999991</v>
      </c>
      <c r="AO32" s="342">
        <f t="shared" si="72"/>
        <v>184.96739999999997</v>
      </c>
      <c r="AP32" s="349">
        <f>CEILING(((N32)/AO32),1)</f>
        <v>1</v>
      </c>
      <c r="AQ32" s="350" t="str">
        <f t="shared" si="74"/>
        <v>YES</v>
      </c>
      <c r="AR32" s="351">
        <f t="shared" si="75"/>
        <v>8.9606519304564425E-2</v>
      </c>
      <c r="AS32" s="343" t="str">
        <f t="shared" si="89"/>
        <v>YES</v>
      </c>
      <c r="AT32" s="351">
        <f t="shared" si="76"/>
        <v>0.28033295523581553</v>
      </c>
      <c r="AU32" s="343" t="str">
        <f t="shared" si="77"/>
        <v>YES</v>
      </c>
      <c r="AV32" s="351" t="str">
        <f t="shared" si="78"/>
        <v>1R x 6/10 (12)kV x 3C x 150 Sqmm</v>
      </c>
      <c r="AW32" s="351" t="str">
        <f t="shared" si="79"/>
        <v>1R x 6/10 (12)kV x 3C x 150 Sqmm</v>
      </c>
      <c r="AX32" s="343">
        <f t="shared" si="90"/>
        <v>300</v>
      </c>
      <c r="AY32" s="343"/>
      <c r="AZ32" s="343">
        <f t="shared" si="91"/>
        <v>2</v>
      </c>
      <c r="BA32" s="356" t="str">
        <f t="shared" si="80"/>
        <v>AQQ2RR1</v>
      </c>
      <c r="BB32" s="340">
        <f>VLOOKUP(W32,'Catalogue Aluminium'!$B$141:$H$173,7,FALSE)</f>
        <v>62</v>
      </c>
      <c r="BC32" s="328">
        <f t="shared" si="92"/>
        <v>62</v>
      </c>
      <c r="BE32" s="416"/>
      <c r="BF32" s="336">
        <v>1</v>
      </c>
      <c r="BG32" s="416"/>
      <c r="BH32" s="416"/>
      <c r="BI32" s="416"/>
      <c r="BJ32" s="416"/>
      <c r="BK32" s="416"/>
      <c r="BL32" s="416"/>
      <c r="BM32" s="416"/>
      <c r="BN32" s="416"/>
      <c r="BO32" s="416"/>
      <c r="BP32" s="416"/>
      <c r="BQ32" s="416"/>
      <c r="BR32" s="416"/>
      <c r="BS32" s="416"/>
      <c r="BT32" s="416"/>
      <c r="BU32" s="416"/>
      <c r="BV32" s="416"/>
      <c r="BW32" s="416"/>
      <c r="BX32" s="416"/>
      <c r="BY32" s="416"/>
      <c r="BZ32" s="416"/>
      <c r="CA32" s="416"/>
      <c r="CB32" s="416"/>
      <c r="CC32" s="416"/>
      <c r="CD32" s="416"/>
      <c r="CE32" s="416"/>
      <c r="CF32" s="416"/>
      <c r="CG32" s="416"/>
      <c r="CH32" s="416"/>
      <c r="CI32" s="416"/>
      <c r="CJ32" s="416"/>
      <c r="CK32" s="416"/>
      <c r="CL32" s="416"/>
      <c r="CM32" s="416"/>
      <c r="CN32" s="416"/>
      <c r="CO32" s="416"/>
      <c r="CP32" s="416"/>
      <c r="CQ32" s="416"/>
      <c r="CR32" s="416"/>
      <c r="CS32" s="416"/>
      <c r="CT32" s="416"/>
      <c r="CU32" s="416"/>
      <c r="CV32" s="416"/>
      <c r="CW32" s="416"/>
      <c r="CX32" s="336">
        <v>1</v>
      </c>
      <c r="CY32" s="416"/>
      <c r="CZ32" s="336">
        <v>1</v>
      </c>
      <c r="DA32" s="416"/>
      <c r="DB32" s="416"/>
      <c r="DC32" s="416"/>
      <c r="DD32" s="416"/>
      <c r="DE32" s="416"/>
      <c r="DF32" s="416"/>
      <c r="DG32" s="336">
        <v>1</v>
      </c>
      <c r="DH32" s="336">
        <v>1</v>
      </c>
      <c r="DI32" s="336"/>
      <c r="DJ32" s="336"/>
      <c r="DK32" s="336"/>
      <c r="DL32" s="416"/>
      <c r="DM32" s="416"/>
      <c r="DN32" s="416"/>
      <c r="DO32" s="416"/>
      <c r="DP32" s="416"/>
      <c r="DQ32" s="416"/>
      <c r="DR32" s="416"/>
      <c r="DS32" s="416"/>
      <c r="DT32" s="416"/>
      <c r="DU32" s="416"/>
      <c r="DW32" s="336">
        <f t="shared" si="81"/>
        <v>0</v>
      </c>
      <c r="DX32" s="336">
        <f t="shared" si="0"/>
        <v>62</v>
      </c>
      <c r="DY32" s="336">
        <f t="shared" si="1"/>
        <v>0</v>
      </c>
      <c r="DZ32" s="336">
        <f t="shared" si="2"/>
        <v>0</v>
      </c>
      <c r="EA32" s="336">
        <f t="shared" si="3"/>
        <v>0</v>
      </c>
      <c r="EB32" s="336">
        <f t="shared" si="4"/>
        <v>0</v>
      </c>
      <c r="EC32" s="336">
        <f t="shared" si="5"/>
        <v>0</v>
      </c>
      <c r="ED32" s="336">
        <f t="shared" si="6"/>
        <v>0</v>
      </c>
      <c r="EE32" s="336">
        <f t="shared" si="7"/>
        <v>0</v>
      </c>
      <c r="EF32" s="336">
        <f t="shared" si="8"/>
        <v>0</v>
      </c>
      <c r="EG32" s="336">
        <f t="shared" si="9"/>
        <v>0</v>
      </c>
      <c r="EH32" s="336">
        <f t="shared" si="10"/>
        <v>0</v>
      </c>
      <c r="EI32" s="336">
        <f t="shared" si="11"/>
        <v>0</v>
      </c>
      <c r="EJ32" s="336">
        <f t="shared" si="12"/>
        <v>0</v>
      </c>
      <c r="EK32" s="336">
        <f t="shared" si="13"/>
        <v>0</v>
      </c>
      <c r="EL32" s="336">
        <f t="shared" si="14"/>
        <v>0</v>
      </c>
      <c r="EM32" s="336">
        <f t="shared" si="15"/>
        <v>0</v>
      </c>
      <c r="EN32" s="336">
        <f t="shared" si="16"/>
        <v>0</v>
      </c>
      <c r="EO32" s="336">
        <f t="shared" si="17"/>
        <v>0</v>
      </c>
      <c r="EP32" s="336">
        <f t="shared" si="18"/>
        <v>0</v>
      </c>
      <c r="EQ32" s="336">
        <f t="shared" si="19"/>
        <v>0</v>
      </c>
      <c r="ER32" s="336">
        <f t="shared" si="20"/>
        <v>0</v>
      </c>
      <c r="ES32" s="336">
        <f t="shared" si="21"/>
        <v>0</v>
      </c>
      <c r="ET32" s="336">
        <f t="shared" si="22"/>
        <v>0</v>
      </c>
      <c r="EU32" s="336">
        <f t="shared" si="23"/>
        <v>0</v>
      </c>
      <c r="EV32" s="336">
        <f t="shared" si="24"/>
        <v>0</v>
      </c>
      <c r="EW32" s="336">
        <f t="shared" si="25"/>
        <v>0</v>
      </c>
      <c r="EX32" s="336">
        <f t="shared" si="26"/>
        <v>0</v>
      </c>
      <c r="EY32" s="336">
        <f t="shared" si="27"/>
        <v>0</v>
      </c>
      <c r="EZ32" s="336">
        <f t="shared" si="28"/>
        <v>0</v>
      </c>
      <c r="FA32" s="336">
        <f t="shared" si="29"/>
        <v>0</v>
      </c>
      <c r="FB32" s="336">
        <f t="shared" si="30"/>
        <v>0</v>
      </c>
      <c r="FC32" s="336">
        <f t="shared" si="31"/>
        <v>0</v>
      </c>
      <c r="FD32" s="336">
        <f t="shared" si="32"/>
        <v>0</v>
      </c>
      <c r="FE32" s="336">
        <f t="shared" si="33"/>
        <v>0</v>
      </c>
      <c r="FF32" s="336">
        <f t="shared" si="34"/>
        <v>0</v>
      </c>
      <c r="FG32" s="336">
        <f t="shared" si="35"/>
        <v>0</v>
      </c>
      <c r="FH32" s="336">
        <f t="shared" si="36"/>
        <v>0</v>
      </c>
      <c r="FI32" s="336">
        <f t="shared" si="37"/>
        <v>0</v>
      </c>
      <c r="FJ32" s="336">
        <f t="shared" si="38"/>
        <v>0</v>
      </c>
      <c r="FK32" s="336">
        <f t="shared" si="39"/>
        <v>0</v>
      </c>
      <c r="FL32" s="336">
        <f t="shared" si="40"/>
        <v>0</v>
      </c>
      <c r="FM32" s="336">
        <f t="shared" si="41"/>
        <v>0</v>
      </c>
      <c r="FN32" s="336">
        <f t="shared" si="42"/>
        <v>0</v>
      </c>
      <c r="FO32" s="336">
        <f t="shared" si="43"/>
        <v>0</v>
      </c>
      <c r="FP32" s="336">
        <f t="shared" si="44"/>
        <v>62</v>
      </c>
      <c r="FQ32" s="336">
        <f t="shared" si="45"/>
        <v>0</v>
      </c>
      <c r="FR32" s="336">
        <f t="shared" si="46"/>
        <v>62</v>
      </c>
      <c r="FS32" s="336">
        <f t="shared" si="47"/>
        <v>0</v>
      </c>
      <c r="FT32" s="336">
        <f t="shared" si="48"/>
        <v>0</v>
      </c>
      <c r="FU32" s="336">
        <f t="shared" si="93"/>
        <v>0</v>
      </c>
      <c r="FV32" s="336">
        <f t="shared" si="94"/>
        <v>0</v>
      </c>
      <c r="FW32" s="336">
        <f t="shared" si="95"/>
        <v>0</v>
      </c>
      <c r="FX32" s="336">
        <f t="shared" si="96"/>
        <v>0</v>
      </c>
      <c r="FY32" s="336">
        <f t="shared" si="53"/>
        <v>62</v>
      </c>
      <c r="FZ32" s="336">
        <f t="shared" si="54"/>
        <v>62</v>
      </c>
      <c r="GA32" s="336">
        <f t="shared" si="55"/>
        <v>0</v>
      </c>
      <c r="GB32" s="336">
        <f t="shared" si="56"/>
        <v>0</v>
      </c>
      <c r="GC32" s="336">
        <f t="shared" si="57"/>
        <v>0</v>
      </c>
      <c r="GD32" s="336">
        <f t="shared" si="58"/>
        <v>0</v>
      </c>
      <c r="GE32" s="336">
        <f t="shared" si="59"/>
        <v>0</v>
      </c>
      <c r="GF32" s="336">
        <f t="shared" si="60"/>
        <v>0</v>
      </c>
      <c r="GG32" s="336">
        <f t="shared" si="61"/>
        <v>0</v>
      </c>
      <c r="GH32" s="336">
        <f t="shared" si="62"/>
        <v>0</v>
      </c>
      <c r="GI32" s="336">
        <f t="shared" si="63"/>
        <v>0</v>
      </c>
      <c r="GJ32" s="336">
        <f t="shared" si="64"/>
        <v>0</v>
      </c>
      <c r="GK32" s="336">
        <f>IF(DS32=1,($BC32*DS32),0)</f>
        <v>0</v>
      </c>
      <c r="GL32" s="336">
        <f t="shared" si="164"/>
        <v>0</v>
      </c>
      <c r="GM32" s="336">
        <f t="shared" si="66"/>
        <v>0</v>
      </c>
    </row>
    <row r="33" spans="1:195" ht="18" customHeight="1">
      <c r="A33" s="388">
        <f t="shared" si="305"/>
        <v>25</v>
      </c>
      <c r="B33" s="445" t="s">
        <v>385</v>
      </c>
      <c r="C33" s="388" t="str">
        <f t="shared" si="82"/>
        <v>11kV MV Switchgear-1</v>
      </c>
      <c r="D33" s="441" t="s">
        <v>388</v>
      </c>
      <c r="E33" s="432" t="s">
        <v>387</v>
      </c>
      <c r="F33" s="433" t="s">
        <v>28</v>
      </c>
      <c r="G33" s="390" t="s">
        <v>329</v>
      </c>
      <c r="H33" s="396">
        <v>0.2</v>
      </c>
      <c r="I33" s="388" t="s">
        <v>330</v>
      </c>
      <c r="J33" s="388" t="s">
        <v>357</v>
      </c>
      <c r="K33" s="434">
        <v>230</v>
      </c>
      <c r="L33" s="401">
        <v>0.85</v>
      </c>
      <c r="M33" s="418">
        <v>0.95</v>
      </c>
      <c r="N33" s="392">
        <f t="shared" si="83"/>
        <v>1.0768609503297888</v>
      </c>
      <c r="O33" s="392">
        <f t="shared" si="67"/>
        <v>0</v>
      </c>
      <c r="P33" s="401" t="str">
        <f t="shared" si="84"/>
        <v>0.00</v>
      </c>
      <c r="Q33" s="418">
        <v>65</v>
      </c>
      <c r="R33" s="418">
        <v>0</v>
      </c>
      <c r="S33" s="418">
        <f t="shared" si="85"/>
        <v>0</v>
      </c>
      <c r="T33" s="401" t="s">
        <v>332</v>
      </c>
      <c r="U33" s="418" t="s">
        <v>333</v>
      </c>
      <c r="V33" s="401">
        <v>2.5</v>
      </c>
      <c r="W33" s="401" t="str">
        <f t="shared" si="69"/>
        <v>3C X 2.5</v>
      </c>
      <c r="X33" s="401" t="str">
        <f t="shared" si="70"/>
        <v>3C X 2.5</v>
      </c>
      <c r="Y33" s="435" t="s">
        <v>358</v>
      </c>
      <c r="Z33" s="393">
        <f>IF(T33="AIR",VLOOKUP(W33,'Catalogue Aluminium'!$B$141:$G$173,2,FALSE),IF(T33="GROUND",VLOOKUP(W33,'Catalogue Aluminium'!$B$141:$G$173,3,FALSE),IF(T33="DUCT",VLOOKUP(W33,'Catalogue Aluminium'!$B$141:$G$173,4,FALSE),IF(T33="TRENCH",VLOOKUP(W33,'Catalogue Aluminium'!$B$141:$G$173,2,FALSE)))))</f>
        <v>28</v>
      </c>
      <c r="AA33" s="402">
        <f>VLOOKUP(W33,'Catalogue Aluminium'!$B$141:$G$173,5,FALSE)</f>
        <v>9.48</v>
      </c>
      <c r="AB33" s="402">
        <f>VLOOKUP(W33,'Catalogue Aluminium'!$B$141:$G$173,6,FALSE)</f>
        <v>0.1007</v>
      </c>
      <c r="AC33" s="434">
        <f t="shared" si="236"/>
        <v>67</v>
      </c>
      <c r="AD33" s="401">
        <f>50+30+28+29+12+12+15</f>
        <v>176</v>
      </c>
      <c r="AE33" s="401">
        <v>20</v>
      </c>
      <c r="AF33" s="401">
        <v>6</v>
      </c>
      <c r="AG33" s="401">
        <f t="shared" ref="AG33" si="801">ROUNDUP(SUM(AC33:AF33)*0.1,0)</f>
        <v>27</v>
      </c>
      <c r="AH33" s="436">
        <f t="shared" si="87"/>
        <v>300</v>
      </c>
      <c r="AI33" s="393">
        <f>IF(T33="AIR",'Catalogue Aluminium'!$K$141,IF(T33="TRENCH",'Catalogue Aluminium'!$K$144,"NA"))</f>
        <v>0.82</v>
      </c>
      <c r="AJ33" s="392">
        <f>IF(T33="Air",(IF(U33="1C",'Catalogue Aluminium'!$L$141,'Catalogue Aluminium'!$M$141)),IF(T33="DUCT",(IF($U33="1C",'Catalogue Aluminium'!$L$142,'Catalogue Aluminium'!$M$142)),IF(T33="GROUND",(IF($U33="1C",'Catalogue Aluminium'!$L$143,'Catalogue Aluminium'!$M$143)),IF(T33="TRENCH",(IF($U33="1C",'Catalogue Aluminium'!$L$144,'Catalogue Aluminium'!$M$144))))))</f>
        <v>0.73</v>
      </c>
      <c r="AK33" s="393" t="str">
        <f>IF(T33="Air",'Catalogue Aluminium'!$N$141,IF(T33="GROUND",'Catalogue Aluminium'!$N$142,IF(T33="DUCT",'Catalogue Aluminium'!$N$143,IF(T33="TRENCH",'Catalogue Aluminium'!$N$144,"NA"))))</f>
        <v>NA</v>
      </c>
      <c r="AL33" s="393" t="str">
        <f>IF(T33="Air",(IF(U33="1C",'Catalogue Aluminium'!$O$141,'Catalogue Aluminium'!$P$141)),IF(T33="DUCT",(IF($U33="1C",'Catalogue Aluminium'!$O$142,'Catalogue Aluminium'!$P$142)),IF(T33="GROUND",(IF($U33="1C",'Catalogue Aluminium'!$O$143,'Catalogue Aluminium'!$P$143)),IF(T33="TRENCH",(IF($U33="1C",'Catalogue Aluminium'!$O$144,'Catalogue Aluminium'!$P$144))))))</f>
        <v>NA</v>
      </c>
      <c r="AM33" s="393" t="str">
        <f>IF(T33="AIR","NA",IF(T33="TRENCH","NA",IF(T33="DUCT",IF(U33="1C",VLOOKUP(V33,'Catalogue Aluminium'!$Q$142:$S$153,2,FALSE),VLOOKUP(V33,'Catalogue Aluminium'!$Q$142:$S$153,3)),IF(T33="GROUND",IF(U33="1C",VLOOKUP(V33,'Catalogue Aluminium'!$Q$142:$S$153,2,FALSE),VLOOKUP(V33,'Catalogue Aluminium'!$Q$142:$S$153,3))))))</f>
        <v>NA</v>
      </c>
      <c r="AN33" s="404">
        <f t="shared" ref="AN33" si="802">IF(T33="AIR",AI33*AJ33,IF(T33="TRENCH",AI33*AJ33,IF(T33="DUCT",AJ33*AK33*AL33*AM33,IF(T33="GROUND",AJ33*AK33*AL33*AM33))))</f>
        <v>0.59859999999999991</v>
      </c>
      <c r="AO33" s="392">
        <f t="shared" ref="AO33" si="803">Z33*AN33</f>
        <v>16.760799999999996</v>
      </c>
      <c r="AP33" s="434">
        <f>CEILING(((N33)/AO33),1)</f>
        <v>1</v>
      </c>
      <c r="AQ33" s="418" t="str">
        <f t="shared" ref="AQ33" si="804">IF(AO33*AP33&gt;=N33,"YES","NO")</f>
        <v>YES</v>
      </c>
      <c r="AR33" s="437">
        <f t="shared" ref="AR33" si="805">SQRT(3)*AH33*N33*((AA33*L33)+(AB33*SIN(ACOS(L33))))*100/(AP33*K33*1000)</f>
        <v>1.9732885393308484</v>
      </c>
      <c r="AS33" s="401" t="str">
        <f t="shared" si="89"/>
        <v>YES</v>
      </c>
      <c r="AT33" s="437" t="str">
        <f t="shared" si="76"/>
        <v>NA</v>
      </c>
      <c r="AU33" s="401" t="str">
        <f t="shared" si="77"/>
        <v>NA</v>
      </c>
      <c r="AV33" s="437" t="str">
        <f t="shared" si="78"/>
        <v>1R x 6/10 (12)kV x 3C x 2.5 Sqmm</v>
      </c>
      <c r="AW33" s="437" t="str">
        <f t="shared" si="79"/>
        <v>1R x 6/10 (12)kV x 3C x 2.5 Sqmm</v>
      </c>
      <c r="AX33" s="401">
        <f t="shared" si="90"/>
        <v>300</v>
      </c>
      <c r="AY33" s="401"/>
      <c r="AZ33" s="401">
        <f t="shared" si="91"/>
        <v>2</v>
      </c>
      <c r="BA33" s="438" t="str">
        <f t="shared" si="80"/>
        <v>AQQ2RR1</v>
      </c>
      <c r="BB33" s="390">
        <f>VLOOKUP(W33,'Catalogue Aluminium'!$B$141:$H$173,7,FALSE)</f>
        <v>14</v>
      </c>
      <c r="BC33" s="439">
        <f t="shared" si="92"/>
        <v>14</v>
      </c>
      <c r="BE33" s="416"/>
      <c r="BF33" s="336">
        <v>1</v>
      </c>
      <c r="BG33" s="416"/>
      <c r="BH33" s="416"/>
      <c r="BI33" s="416"/>
      <c r="BJ33" s="416"/>
      <c r="BK33" s="416"/>
      <c r="BL33" s="416"/>
      <c r="BM33" s="416"/>
      <c r="BN33" s="416"/>
      <c r="BO33" s="416"/>
      <c r="BP33" s="416"/>
      <c r="BQ33" s="416"/>
      <c r="BR33" s="416"/>
      <c r="BS33" s="416"/>
      <c r="BT33" s="416"/>
      <c r="BU33" s="416"/>
      <c r="BV33" s="416"/>
      <c r="BW33" s="416"/>
      <c r="BX33" s="416"/>
      <c r="BY33" s="416"/>
      <c r="BZ33" s="416"/>
      <c r="CA33" s="416"/>
      <c r="CB33" s="416"/>
      <c r="CC33" s="416"/>
      <c r="CD33" s="416"/>
      <c r="CE33" s="416"/>
      <c r="CF33" s="416"/>
      <c r="CG33" s="416"/>
      <c r="CH33" s="416"/>
      <c r="CI33" s="416"/>
      <c r="CJ33" s="416"/>
      <c r="CK33" s="416"/>
      <c r="CL33" s="416"/>
      <c r="CM33" s="416"/>
      <c r="CN33" s="416"/>
      <c r="CO33" s="416"/>
      <c r="CP33" s="416"/>
      <c r="CQ33" s="416"/>
      <c r="CR33" s="416"/>
      <c r="CS33" s="416"/>
      <c r="CT33" s="416"/>
      <c r="CU33" s="416"/>
      <c r="CV33" s="416"/>
      <c r="CW33" s="416"/>
      <c r="CX33" s="336">
        <v>1</v>
      </c>
      <c r="CY33" s="416"/>
      <c r="CZ33" s="336">
        <v>1</v>
      </c>
      <c r="DA33" s="416"/>
      <c r="DB33" s="416"/>
      <c r="DC33" s="416"/>
      <c r="DD33" s="416"/>
      <c r="DE33" s="416"/>
      <c r="DF33" s="416"/>
      <c r="DG33" s="336">
        <v>1</v>
      </c>
      <c r="DH33" s="336">
        <v>1</v>
      </c>
      <c r="DI33" s="336"/>
      <c r="DJ33" s="336"/>
      <c r="DK33" s="336"/>
      <c r="DL33" s="416"/>
      <c r="DM33" s="416"/>
      <c r="DN33" s="416"/>
      <c r="DO33" s="416"/>
      <c r="DP33" s="416"/>
      <c r="DQ33" s="416"/>
      <c r="DR33" s="416"/>
      <c r="DS33" s="416"/>
      <c r="DT33" s="416"/>
      <c r="DU33" s="416"/>
      <c r="DW33" s="336">
        <f t="shared" ref="DW33" si="806">IF(BE33=1,($BC33*BE33),0)</f>
        <v>0</v>
      </c>
      <c r="DX33" s="336">
        <f t="shared" ref="DX33" si="807">IF(BF33=1,($BC33*BF33),0)</f>
        <v>14</v>
      </c>
      <c r="DY33" s="336">
        <f t="shared" ref="DY33" si="808">IF(BG33=1,($BC33*BG33),0)</f>
        <v>0</v>
      </c>
      <c r="DZ33" s="336">
        <f t="shared" ref="DZ33" si="809">IF(BH33=1,($BC33*BH33),0)</f>
        <v>0</v>
      </c>
      <c r="EA33" s="336">
        <f t="shared" ref="EA33" si="810">IF(BI33=1,($BC33*BI33),0)</f>
        <v>0</v>
      </c>
      <c r="EB33" s="336">
        <f t="shared" ref="EB33" si="811">IF(BJ33=1,($BC33*BJ33),0)</f>
        <v>0</v>
      </c>
      <c r="EC33" s="336">
        <f t="shared" ref="EC33" si="812">IF(BK33=1,($BC33*BK33),0)</f>
        <v>0</v>
      </c>
      <c r="ED33" s="336">
        <f t="shared" ref="ED33" si="813">IF(BL33=1,($BC33*BL33),0)</f>
        <v>0</v>
      </c>
      <c r="EE33" s="336">
        <f t="shared" ref="EE33" si="814">IF(BM33=1,($BC33*BM33),0)</f>
        <v>0</v>
      </c>
      <c r="EF33" s="336">
        <f t="shared" ref="EF33" si="815">IF(BN33=1,($BC33*BN33),0)</f>
        <v>0</v>
      </c>
      <c r="EG33" s="336">
        <f t="shared" ref="EG33" si="816">IF(BO33=1,($BC33*BO33),0)</f>
        <v>0</v>
      </c>
      <c r="EH33" s="336">
        <f t="shared" ref="EH33" si="817">IF(BP33=1,($BC33*BP33),0)</f>
        <v>0</v>
      </c>
      <c r="EI33" s="336">
        <f t="shared" ref="EI33" si="818">IF(BQ33=1,($BC33*BQ33),0)</f>
        <v>0</v>
      </c>
      <c r="EJ33" s="336">
        <f t="shared" ref="EJ33" si="819">IF(BR33=1,($BC33*BR33),0)</f>
        <v>0</v>
      </c>
      <c r="EK33" s="336">
        <f t="shared" ref="EK33" si="820">IF(BS33=1,($BC33*BS33),0)</f>
        <v>0</v>
      </c>
      <c r="EL33" s="336">
        <f t="shared" ref="EL33" si="821">IF(BT33=1,($BC33*BT33),0)</f>
        <v>0</v>
      </c>
      <c r="EM33" s="336">
        <f t="shared" ref="EM33" si="822">IF(BU33=1,($BC33*BU33),0)</f>
        <v>0</v>
      </c>
      <c r="EN33" s="336">
        <f t="shared" ref="EN33" si="823">IF(BV33=1,($BC33*BV33),0)</f>
        <v>0</v>
      </c>
      <c r="EO33" s="336">
        <f t="shared" ref="EO33" si="824">IF(BW33=1,($BC33*BW33),0)</f>
        <v>0</v>
      </c>
      <c r="EP33" s="336">
        <f t="shared" ref="EP33" si="825">IF(BX33=1,($BC33*BX33),0)</f>
        <v>0</v>
      </c>
      <c r="EQ33" s="336">
        <f t="shared" ref="EQ33" si="826">IF(BY33=1,($BC33*BY33),0)</f>
        <v>0</v>
      </c>
      <c r="ER33" s="336">
        <f t="shared" ref="ER33" si="827">IF(BZ33=1,($BC33*BZ33),0)</f>
        <v>0</v>
      </c>
      <c r="ES33" s="336">
        <f t="shared" ref="ES33" si="828">IF(CA33=1,($BC33*CA33),0)</f>
        <v>0</v>
      </c>
      <c r="ET33" s="336">
        <f t="shared" si="22"/>
        <v>0</v>
      </c>
      <c r="EU33" s="336">
        <f t="shared" si="23"/>
        <v>0</v>
      </c>
      <c r="EV33" s="336">
        <f t="shared" ref="EV33" si="829">IF(CD33=1,($BC33*CD33),0)</f>
        <v>0</v>
      </c>
      <c r="EW33" s="336">
        <f t="shared" ref="EW33" si="830">IF(CE33=1,($BC33*CE33),0)</f>
        <v>0</v>
      </c>
      <c r="EX33" s="336">
        <f t="shared" ref="EX33" si="831">IF(CF33=1,($BC33*CF33),0)</f>
        <v>0</v>
      </c>
      <c r="EY33" s="336">
        <f t="shared" ref="EY33" si="832">IF(CG33=1,($BC33*CG33),0)</f>
        <v>0</v>
      </c>
      <c r="EZ33" s="336">
        <f t="shared" ref="EZ33" si="833">IF(CH33=1,($BC33*CH33),0)</f>
        <v>0</v>
      </c>
      <c r="FA33" s="336">
        <f t="shared" ref="FA33" si="834">IF(CI33=1,($BC33*CI33),0)</f>
        <v>0</v>
      </c>
      <c r="FB33" s="336">
        <f t="shared" ref="FB33" si="835">IF(CJ33=1,($BC33*CJ33),0)</f>
        <v>0</v>
      </c>
      <c r="FC33" s="336">
        <f t="shared" ref="FC33" si="836">IF(CK33=1,($BC33*CK33),0)</f>
        <v>0</v>
      </c>
      <c r="FD33" s="336">
        <f t="shared" ref="FD33" si="837">IF(CL33=1,($BC33*CL33),0)</f>
        <v>0</v>
      </c>
      <c r="FE33" s="336">
        <f t="shared" ref="FE33" si="838">IF(CM33=1,($BC33*CM33),0)</f>
        <v>0</v>
      </c>
      <c r="FF33" s="336">
        <f t="shared" ref="FF33" si="839">IF(CN33=1,($BC33*CN33),0)</f>
        <v>0</v>
      </c>
      <c r="FG33" s="336">
        <f t="shared" ref="FG33" si="840">IF(CO33=1,($BC33*CO33),0)</f>
        <v>0</v>
      </c>
      <c r="FH33" s="336">
        <f t="shared" ref="FH33" si="841">IF(CP33=1,($BC33*CP33),0)</f>
        <v>0</v>
      </c>
      <c r="FI33" s="336">
        <f t="shared" ref="FI33" si="842">IF(CQ33=1,($BC33*CQ33),0)</f>
        <v>0</v>
      </c>
      <c r="FJ33" s="336">
        <f t="shared" ref="FJ33" si="843">IF(CR33=1,($BC33*CR33),0)</f>
        <v>0</v>
      </c>
      <c r="FK33" s="336">
        <f t="shared" ref="FK33" si="844">IF(CS33=1,($BC33*CS33),0)</f>
        <v>0</v>
      </c>
      <c r="FL33" s="336">
        <f t="shared" ref="FL33" si="845">IF(CT33=1,($BC33*CT33),0)</f>
        <v>0</v>
      </c>
      <c r="FM33" s="336">
        <f t="shared" ref="FM33" si="846">IF(CU33=1,($BC33*CU33),0)</f>
        <v>0</v>
      </c>
      <c r="FN33" s="336">
        <f t="shared" ref="FN33" si="847">IF(CV33=1,($BC33*CV33),0)</f>
        <v>0</v>
      </c>
      <c r="FO33" s="336">
        <f t="shared" ref="FO33" si="848">IF(CW33=1,($BC33*CW33),0)</f>
        <v>0</v>
      </c>
      <c r="FP33" s="336">
        <f t="shared" ref="FP33" si="849">IF(CX33=1,($BC33*CX33),0)</f>
        <v>14</v>
      </c>
      <c r="FQ33" s="336">
        <f t="shared" ref="FQ33" si="850">IF(CY33=1,($BC33*CY33),0)</f>
        <v>0</v>
      </c>
      <c r="FR33" s="336">
        <f t="shared" ref="FR33" si="851">IF(CZ33=1,($BC33*CZ33),0)</f>
        <v>14</v>
      </c>
      <c r="FS33" s="336">
        <f t="shared" ref="FS33" si="852">IF(DA33=1,($BC33*DA33),0)</f>
        <v>0</v>
      </c>
      <c r="FT33" s="336">
        <f t="shared" ref="FT33" si="853">IF(DB33=1,($BC33*DB33),0)</f>
        <v>0</v>
      </c>
      <c r="FU33" s="336">
        <f t="shared" si="93"/>
        <v>0</v>
      </c>
      <c r="FV33" s="336">
        <f t="shared" si="94"/>
        <v>0</v>
      </c>
      <c r="FW33" s="336">
        <f t="shared" si="95"/>
        <v>0</v>
      </c>
      <c r="FX33" s="336">
        <f t="shared" si="96"/>
        <v>0</v>
      </c>
      <c r="FY33" s="336">
        <f t="shared" ref="FY33" si="854">IF(DG33=1,($BC33*DG33),0)</f>
        <v>14</v>
      </c>
      <c r="FZ33" s="336">
        <f t="shared" ref="FZ33" si="855">IF(DH33=1,($BC33*DH33),0)</f>
        <v>14</v>
      </c>
      <c r="GA33" s="336">
        <f t="shared" ref="GA33" si="856">IF(DI33=1,($BC33*DI33),0)</f>
        <v>0</v>
      </c>
      <c r="GB33" s="336">
        <f t="shared" ref="GB33" si="857">IF(DJ33=1,($BC33*DJ33),0)</f>
        <v>0</v>
      </c>
      <c r="GC33" s="336">
        <f t="shared" ref="GC33" si="858">IF(DK33=1,($BC33*DK33),0)</f>
        <v>0</v>
      </c>
      <c r="GD33" s="336">
        <f t="shared" ref="GD33" si="859">IF(DL33=1,($BC33*DL33),0)</f>
        <v>0</v>
      </c>
      <c r="GE33" s="336">
        <f t="shared" ref="GE33" si="860">IF(DM33=1,($BC33*DM33),0)</f>
        <v>0</v>
      </c>
      <c r="GF33" s="336">
        <f t="shared" ref="GF33" si="861">IF(DN33=1,($BC33*DN33),0)</f>
        <v>0</v>
      </c>
      <c r="GG33" s="336">
        <f t="shared" ref="GG33" si="862">IF(DO33=1,($BC33*DO33),0)</f>
        <v>0</v>
      </c>
      <c r="GH33" s="336">
        <f t="shared" ref="GH33" si="863">IF(DP33=1,($BC33*DP33),0)</f>
        <v>0</v>
      </c>
      <c r="GI33" s="336">
        <f t="shared" ref="GI33" si="864">IF(DQ33=1,($BC33*DQ33),0)</f>
        <v>0</v>
      </c>
      <c r="GJ33" s="336">
        <f t="shared" ref="GJ33" si="865">IF(DR33=1,($BC33*DR33),0)</f>
        <v>0</v>
      </c>
      <c r="GK33" s="336">
        <f t="shared" ref="GK33" si="866">IF(DS33=1,($BC33*DS33),0)</f>
        <v>0</v>
      </c>
      <c r="GL33" s="336">
        <f t="shared" si="164"/>
        <v>0</v>
      </c>
      <c r="GM33" s="336">
        <f t="shared" ref="GM33" si="867">IF(DU33=1,($BC33*DU33),0)</f>
        <v>0</v>
      </c>
    </row>
    <row r="34" spans="1:195" ht="18" customHeight="1">
      <c r="A34" s="337">
        <f t="shared" si="305"/>
        <v>26</v>
      </c>
      <c r="B34" s="444" t="s">
        <v>389</v>
      </c>
      <c r="C34" s="337" t="str">
        <f t="shared" si="82"/>
        <v>11kV MV Switchgear-1</v>
      </c>
      <c r="D34" s="440" t="s">
        <v>390</v>
      </c>
      <c r="E34" s="416" t="s">
        <v>387</v>
      </c>
      <c r="F34" s="417" t="s">
        <v>29</v>
      </c>
      <c r="G34" s="340" t="s">
        <v>350</v>
      </c>
      <c r="H34" s="418">
        <v>1100</v>
      </c>
      <c r="I34" s="337" t="s">
        <v>330</v>
      </c>
      <c r="J34" s="337" t="s">
        <v>331</v>
      </c>
      <c r="K34" s="341">
        <v>11000</v>
      </c>
      <c r="L34" s="342">
        <v>0.87</v>
      </c>
      <c r="M34" s="342">
        <v>0.96699999999999997</v>
      </c>
      <c r="N34" s="342">
        <f t="shared" si="83"/>
        <v>68.628796912209253</v>
      </c>
      <c r="O34" s="342">
        <f t="shared" si="67"/>
        <v>411.77278147325552</v>
      </c>
      <c r="P34" s="343">
        <f t="shared" si="84"/>
        <v>0.2</v>
      </c>
      <c r="Q34" s="342">
        <v>31.5</v>
      </c>
      <c r="R34" s="342">
        <v>0.16</v>
      </c>
      <c r="S34" s="342">
        <f t="shared" si="85"/>
        <v>134.04255319148936</v>
      </c>
      <c r="T34" s="344" t="s">
        <v>332</v>
      </c>
      <c r="U34" s="342" t="s">
        <v>333</v>
      </c>
      <c r="V34" s="344">
        <v>150</v>
      </c>
      <c r="W34" s="343" t="str">
        <f t="shared" si="69"/>
        <v>3C X 150</v>
      </c>
      <c r="X34" s="343" t="str">
        <f t="shared" si="70"/>
        <v>3C X 150+PE</v>
      </c>
      <c r="Y34" s="419" t="s">
        <v>346</v>
      </c>
      <c r="Z34" s="344">
        <f>IF(T34="AIR",VLOOKUP(W34,'Catalogue Aluminium'!$B$141:$G$173,2,FALSE),IF(T34="GROUND",VLOOKUP(W34,'Catalogue Aluminium'!$B$141:$G$173,3,FALSE),IF(T34="DUCT",VLOOKUP(W34,'Catalogue Aluminium'!$B$141:$G$173,4,FALSE),IF(T34="TRENCH",VLOOKUP(W34,'Catalogue Aluminium'!$B$141:$G$173,2,FALSE)))))</f>
        <v>309</v>
      </c>
      <c r="AA34" s="345">
        <f>VLOOKUP(W34,'Catalogue Aluminium'!$B$141:$G$173,5,FALSE)</f>
        <v>0.26500000000000001</v>
      </c>
      <c r="AB34" s="345">
        <f>VLOOKUP(W34,'Catalogue Aluminium'!$B$141:$G$173,6,FALSE)</f>
        <v>9.2999999999999999E-2</v>
      </c>
      <c r="AC34" s="349">
        <f t="shared" ref="AC34:AC35" si="868">23+30</f>
        <v>53</v>
      </c>
      <c r="AD34" s="343">
        <f>50+30+28+29+12+12+20</f>
        <v>181</v>
      </c>
      <c r="AE34" s="343">
        <v>20</v>
      </c>
      <c r="AF34" s="343">
        <v>6</v>
      </c>
      <c r="AG34" s="343">
        <f t="shared" si="86"/>
        <v>26</v>
      </c>
      <c r="AH34" s="347">
        <f t="shared" si="87"/>
        <v>290</v>
      </c>
      <c r="AI34" s="344">
        <f>IF(T34="AIR",'Catalogue Aluminium'!$K$141,IF(T34="TRENCH",'Catalogue Aluminium'!$K$144,"NA"))</f>
        <v>0.82</v>
      </c>
      <c r="AJ34" s="342">
        <f>IF(T34="Air",(IF(U34="1C",'Catalogue Aluminium'!$L$141,'Catalogue Aluminium'!$M$141)),IF(T34="DUCT",(IF($U34="1C",'Catalogue Aluminium'!$L$142,'Catalogue Aluminium'!$M$142)),IF(T34="GROUND",(IF($U34="1C",'Catalogue Aluminium'!$L$143,'Catalogue Aluminium'!$M$143)),IF(T34="TRENCH",(IF($U34="1C",'Catalogue Aluminium'!$L$144,'Catalogue Aluminium'!$M$144))))))</f>
        <v>0.73</v>
      </c>
      <c r="AK34" s="344" t="str">
        <f>IF(T34="Air",'Catalogue Aluminium'!$N$141,IF(T34="GROUND",'Catalogue Aluminium'!$N$142,IF(T34="DUCT",'Catalogue Aluminium'!$N$143,IF(T34="TRENCH",'Catalogue Aluminium'!$N$144,"NA"))))</f>
        <v>NA</v>
      </c>
      <c r="AL34" s="344" t="str">
        <f>IF(T34="Air",(IF(U34="1C",'Catalogue Aluminium'!$O$141,'Catalogue Aluminium'!$P$141)),IF(T34="DUCT",(IF($U34="1C",'Catalogue Aluminium'!$O$142,'Catalogue Aluminium'!$P$142)),IF(T34="GROUND",(IF($U34="1C",'Catalogue Aluminium'!$O$143,'Catalogue Aluminium'!$P$143)),IF(T34="TRENCH",(IF($U34="1C",'Catalogue Aluminium'!$O$144,'Catalogue Aluminium'!$P$144))))))</f>
        <v>NA</v>
      </c>
      <c r="AM34" s="344" t="str">
        <f>IF(T34="AIR","NA",IF(T34="TRENCH","NA",IF(T34="DUCT",IF(U34="1C",VLOOKUP(V34,'Catalogue Aluminium'!$Q$142:$S$153,2,FALSE),VLOOKUP(V34,'Catalogue Aluminium'!$Q$142:$S$153,3)),IF(T34="GROUND",IF(U34="1C",VLOOKUP(V34,'Catalogue Aluminium'!$Q$142:$S$153,2,FALSE),VLOOKUP(V34,'Catalogue Aluminium'!$Q$142:$S$153,3))))))</f>
        <v>NA</v>
      </c>
      <c r="AN34" s="348">
        <f t="shared" si="71"/>
        <v>0.59859999999999991</v>
      </c>
      <c r="AO34" s="342">
        <f t="shared" si="72"/>
        <v>184.96739999999997</v>
      </c>
      <c r="AP34" s="349">
        <f t="shared" si="73"/>
        <v>1</v>
      </c>
      <c r="AQ34" s="350" t="str">
        <f t="shared" si="74"/>
        <v>YES</v>
      </c>
      <c r="AR34" s="351">
        <f t="shared" si="75"/>
        <v>8.6619635327745595E-2</v>
      </c>
      <c r="AS34" s="343" t="str">
        <f t="shared" si="89"/>
        <v>YES</v>
      </c>
      <c r="AT34" s="351">
        <f t="shared" si="76"/>
        <v>0.27098852339462165</v>
      </c>
      <c r="AU34" s="343" t="str">
        <f t="shared" si="77"/>
        <v>YES</v>
      </c>
      <c r="AV34" s="351" t="str">
        <f t="shared" si="78"/>
        <v>1R x 6/10 (12)kV x 3C x 150 Sqmm</v>
      </c>
      <c r="AW34" s="351" t="str">
        <f t="shared" si="79"/>
        <v>1R x 6/10 (12)kV x 3C x 150 Sqmm</v>
      </c>
      <c r="AX34" s="343">
        <f t="shared" si="90"/>
        <v>290</v>
      </c>
      <c r="AY34" s="343"/>
      <c r="AZ34" s="343">
        <f t="shared" si="91"/>
        <v>2</v>
      </c>
      <c r="BA34" s="356" t="str">
        <f t="shared" si="80"/>
        <v>AQQ2RR1</v>
      </c>
      <c r="BB34" s="340">
        <f>VLOOKUP(W34,'Catalogue Aluminium'!$B$141:$H$173,7,FALSE)</f>
        <v>62</v>
      </c>
      <c r="BC34" s="328">
        <f t="shared" si="92"/>
        <v>62</v>
      </c>
      <c r="BE34" s="416"/>
      <c r="BF34" s="336">
        <v>1</v>
      </c>
      <c r="BG34" s="416"/>
      <c r="BH34" s="416"/>
      <c r="BI34" s="416"/>
      <c r="BJ34" s="416"/>
      <c r="BK34" s="416"/>
      <c r="BL34" s="416"/>
      <c r="BM34" s="416"/>
      <c r="BN34" s="416"/>
      <c r="BO34" s="416"/>
      <c r="BP34" s="416"/>
      <c r="BQ34" s="416"/>
      <c r="BR34" s="416"/>
      <c r="BS34" s="416"/>
      <c r="BT34" s="416"/>
      <c r="BU34" s="416"/>
      <c r="BV34" s="416"/>
      <c r="BW34" s="416"/>
      <c r="BX34" s="416"/>
      <c r="BY34" s="416"/>
      <c r="BZ34" s="416"/>
      <c r="CA34" s="416"/>
      <c r="CB34" s="416"/>
      <c r="CC34" s="416"/>
      <c r="CD34" s="416"/>
      <c r="CE34" s="416"/>
      <c r="CF34" s="416"/>
      <c r="CG34" s="416"/>
      <c r="CH34" s="416"/>
      <c r="CI34" s="416"/>
      <c r="CJ34" s="416"/>
      <c r="CK34" s="416"/>
      <c r="CL34" s="416"/>
      <c r="CM34" s="416"/>
      <c r="CN34" s="416"/>
      <c r="CO34" s="416"/>
      <c r="CP34" s="416"/>
      <c r="CQ34" s="416"/>
      <c r="CR34" s="416"/>
      <c r="CS34" s="416"/>
      <c r="CT34" s="416"/>
      <c r="CU34" s="416"/>
      <c r="CV34" s="416"/>
      <c r="CW34" s="416"/>
      <c r="CX34" s="336">
        <v>1</v>
      </c>
      <c r="CY34" s="416"/>
      <c r="CZ34" s="336">
        <v>1</v>
      </c>
      <c r="DA34" s="416"/>
      <c r="DB34" s="416"/>
      <c r="DC34" s="416"/>
      <c r="DD34" s="416"/>
      <c r="DE34" s="416"/>
      <c r="DF34" s="416"/>
      <c r="DG34" s="336">
        <v>1</v>
      </c>
      <c r="DH34" s="336">
        <v>1</v>
      </c>
      <c r="DI34" s="336"/>
      <c r="DJ34" s="336"/>
      <c r="DK34" s="336"/>
      <c r="DL34" s="416"/>
      <c r="DM34" s="416"/>
      <c r="DN34" s="416"/>
      <c r="DO34" s="416"/>
      <c r="DP34" s="416"/>
      <c r="DQ34" s="416"/>
      <c r="DR34" s="416"/>
      <c r="DS34" s="416"/>
      <c r="DT34" s="416"/>
      <c r="DU34" s="416"/>
      <c r="DW34" s="336">
        <f t="shared" si="81"/>
        <v>0</v>
      </c>
      <c r="DX34" s="336">
        <f t="shared" si="0"/>
        <v>62</v>
      </c>
      <c r="DY34" s="336">
        <f t="shared" si="1"/>
        <v>0</v>
      </c>
      <c r="DZ34" s="336">
        <f t="shared" si="2"/>
        <v>0</v>
      </c>
      <c r="EA34" s="336">
        <f t="shared" si="3"/>
        <v>0</v>
      </c>
      <c r="EB34" s="336">
        <f t="shared" si="4"/>
        <v>0</v>
      </c>
      <c r="EC34" s="336">
        <f t="shared" si="5"/>
        <v>0</v>
      </c>
      <c r="ED34" s="336">
        <f t="shared" si="6"/>
        <v>0</v>
      </c>
      <c r="EE34" s="336">
        <f t="shared" si="7"/>
        <v>0</v>
      </c>
      <c r="EF34" s="336">
        <f t="shared" si="8"/>
        <v>0</v>
      </c>
      <c r="EG34" s="336">
        <f t="shared" si="9"/>
        <v>0</v>
      </c>
      <c r="EH34" s="336">
        <f t="shared" si="10"/>
        <v>0</v>
      </c>
      <c r="EI34" s="336">
        <f t="shared" si="11"/>
        <v>0</v>
      </c>
      <c r="EJ34" s="336">
        <f t="shared" si="12"/>
        <v>0</v>
      </c>
      <c r="EK34" s="336">
        <f t="shared" si="13"/>
        <v>0</v>
      </c>
      <c r="EL34" s="336">
        <f t="shared" si="14"/>
        <v>0</v>
      </c>
      <c r="EM34" s="336">
        <f t="shared" si="15"/>
        <v>0</v>
      </c>
      <c r="EN34" s="336">
        <f t="shared" si="16"/>
        <v>0</v>
      </c>
      <c r="EO34" s="336">
        <f t="shared" si="17"/>
        <v>0</v>
      </c>
      <c r="EP34" s="336">
        <f t="shared" si="18"/>
        <v>0</v>
      </c>
      <c r="EQ34" s="336">
        <f t="shared" si="19"/>
        <v>0</v>
      </c>
      <c r="ER34" s="336">
        <f t="shared" si="20"/>
        <v>0</v>
      </c>
      <c r="ES34" s="336">
        <f t="shared" si="21"/>
        <v>0</v>
      </c>
      <c r="ET34" s="336">
        <f t="shared" si="22"/>
        <v>0</v>
      </c>
      <c r="EU34" s="336">
        <f t="shared" si="23"/>
        <v>0</v>
      </c>
      <c r="EV34" s="336">
        <f t="shared" si="24"/>
        <v>0</v>
      </c>
      <c r="EW34" s="336">
        <f t="shared" si="25"/>
        <v>0</v>
      </c>
      <c r="EX34" s="336">
        <f t="shared" si="26"/>
        <v>0</v>
      </c>
      <c r="EY34" s="336">
        <f t="shared" si="27"/>
        <v>0</v>
      </c>
      <c r="EZ34" s="336">
        <f t="shared" si="28"/>
        <v>0</v>
      </c>
      <c r="FA34" s="336">
        <f t="shared" si="29"/>
        <v>0</v>
      </c>
      <c r="FB34" s="336">
        <f t="shared" si="30"/>
        <v>0</v>
      </c>
      <c r="FC34" s="336">
        <f t="shared" si="31"/>
        <v>0</v>
      </c>
      <c r="FD34" s="336">
        <f t="shared" si="32"/>
        <v>0</v>
      </c>
      <c r="FE34" s="336">
        <f t="shared" si="33"/>
        <v>0</v>
      </c>
      <c r="FF34" s="336">
        <f t="shared" si="34"/>
        <v>0</v>
      </c>
      <c r="FG34" s="336">
        <f t="shared" si="35"/>
        <v>0</v>
      </c>
      <c r="FH34" s="336">
        <f t="shared" si="36"/>
        <v>0</v>
      </c>
      <c r="FI34" s="336">
        <f t="shared" si="37"/>
        <v>0</v>
      </c>
      <c r="FJ34" s="336">
        <f t="shared" si="38"/>
        <v>0</v>
      </c>
      <c r="FK34" s="336">
        <f t="shared" si="39"/>
        <v>0</v>
      </c>
      <c r="FL34" s="336">
        <f t="shared" si="40"/>
        <v>0</v>
      </c>
      <c r="FM34" s="336">
        <f t="shared" si="41"/>
        <v>0</v>
      </c>
      <c r="FN34" s="336">
        <f t="shared" si="42"/>
        <v>0</v>
      </c>
      <c r="FO34" s="336">
        <f t="shared" si="43"/>
        <v>0</v>
      </c>
      <c r="FP34" s="336">
        <f t="shared" si="44"/>
        <v>62</v>
      </c>
      <c r="FQ34" s="336">
        <f t="shared" si="45"/>
        <v>0</v>
      </c>
      <c r="FR34" s="336">
        <f t="shared" si="46"/>
        <v>62</v>
      </c>
      <c r="FS34" s="336">
        <f t="shared" si="47"/>
        <v>0</v>
      </c>
      <c r="FT34" s="336">
        <f t="shared" si="48"/>
        <v>0</v>
      </c>
      <c r="FU34" s="336">
        <f t="shared" si="93"/>
        <v>0</v>
      </c>
      <c r="FV34" s="336">
        <f t="shared" si="94"/>
        <v>0</v>
      </c>
      <c r="FW34" s="336">
        <f t="shared" si="95"/>
        <v>0</v>
      </c>
      <c r="FX34" s="336">
        <f t="shared" si="96"/>
        <v>0</v>
      </c>
      <c r="FY34" s="336">
        <f t="shared" si="53"/>
        <v>62</v>
      </c>
      <c r="FZ34" s="336">
        <f t="shared" si="54"/>
        <v>62</v>
      </c>
      <c r="GA34" s="336">
        <f t="shared" si="55"/>
        <v>0</v>
      </c>
      <c r="GB34" s="336">
        <f t="shared" si="56"/>
        <v>0</v>
      </c>
      <c r="GC34" s="336">
        <f t="shared" si="57"/>
        <v>0</v>
      </c>
      <c r="GD34" s="336">
        <f t="shared" si="58"/>
        <v>0</v>
      </c>
      <c r="GE34" s="336">
        <f t="shared" si="59"/>
        <v>0</v>
      </c>
      <c r="GF34" s="336">
        <f t="shared" si="60"/>
        <v>0</v>
      </c>
      <c r="GG34" s="336">
        <f t="shared" si="61"/>
        <v>0</v>
      </c>
      <c r="GH34" s="336">
        <f t="shared" si="62"/>
        <v>0</v>
      </c>
      <c r="GI34" s="336">
        <f t="shared" si="63"/>
        <v>0</v>
      </c>
      <c r="GJ34" s="336">
        <f t="shared" si="64"/>
        <v>0</v>
      </c>
      <c r="GK34" s="336">
        <f>IF(DS34=1,($BC34*DS34),0)</f>
        <v>0</v>
      </c>
      <c r="GL34" s="336">
        <f t="shared" si="164"/>
        <v>0</v>
      </c>
      <c r="GM34" s="336">
        <f t="shared" si="66"/>
        <v>0</v>
      </c>
    </row>
    <row r="35" spans="1:195" ht="18" customHeight="1">
      <c r="A35" s="388">
        <f t="shared" si="305"/>
        <v>27</v>
      </c>
      <c r="B35" s="445" t="s">
        <v>389</v>
      </c>
      <c r="C35" s="388" t="str">
        <f t="shared" si="82"/>
        <v>11kV MV Switchgear-1</v>
      </c>
      <c r="D35" s="441" t="s">
        <v>391</v>
      </c>
      <c r="E35" s="432" t="s">
        <v>387</v>
      </c>
      <c r="F35" s="433" t="s">
        <v>29</v>
      </c>
      <c r="G35" s="390" t="s">
        <v>329</v>
      </c>
      <c r="H35" s="396">
        <v>0.2</v>
      </c>
      <c r="I35" s="388" t="s">
        <v>330</v>
      </c>
      <c r="J35" s="388" t="s">
        <v>357</v>
      </c>
      <c r="K35" s="434">
        <v>230</v>
      </c>
      <c r="L35" s="401">
        <v>0.85</v>
      </c>
      <c r="M35" s="418">
        <v>0.95</v>
      </c>
      <c r="N35" s="392">
        <f t="shared" si="83"/>
        <v>1.0768609503297888</v>
      </c>
      <c r="O35" s="392">
        <f t="shared" si="67"/>
        <v>0</v>
      </c>
      <c r="P35" s="401" t="str">
        <f t="shared" si="84"/>
        <v>0.00</v>
      </c>
      <c r="Q35" s="418">
        <v>65</v>
      </c>
      <c r="R35" s="418">
        <v>0</v>
      </c>
      <c r="S35" s="418">
        <f t="shared" si="85"/>
        <v>0</v>
      </c>
      <c r="T35" s="401" t="s">
        <v>332</v>
      </c>
      <c r="U35" s="418" t="s">
        <v>333</v>
      </c>
      <c r="V35" s="401">
        <v>2.5</v>
      </c>
      <c r="W35" s="401" t="str">
        <f t="shared" si="69"/>
        <v>3C X 2.5</v>
      </c>
      <c r="X35" s="401" t="str">
        <f t="shared" si="70"/>
        <v>3C X 2.5</v>
      </c>
      <c r="Y35" s="435" t="s">
        <v>358</v>
      </c>
      <c r="Z35" s="393">
        <f>IF(T35="AIR",VLOOKUP(W35,'Catalogue Aluminium'!$B$141:$G$173,2,FALSE),IF(T35="GROUND",VLOOKUP(W35,'Catalogue Aluminium'!$B$141:$G$173,3,FALSE),IF(T35="DUCT",VLOOKUP(W35,'Catalogue Aluminium'!$B$141:$G$173,4,FALSE),IF(T35="TRENCH",VLOOKUP(W35,'Catalogue Aluminium'!$B$141:$G$173,2,FALSE)))))</f>
        <v>28</v>
      </c>
      <c r="AA35" s="402">
        <f>VLOOKUP(W35,'Catalogue Aluminium'!$B$141:$G$173,5,FALSE)</f>
        <v>9.48</v>
      </c>
      <c r="AB35" s="402">
        <f>VLOOKUP(W35,'Catalogue Aluminium'!$B$141:$G$173,6,FALSE)</f>
        <v>0.1007</v>
      </c>
      <c r="AC35" s="434">
        <f t="shared" si="868"/>
        <v>53</v>
      </c>
      <c r="AD35" s="401">
        <f>50+30+28+29+12+12+20</f>
        <v>181</v>
      </c>
      <c r="AE35" s="401">
        <v>20</v>
      </c>
      <c r="AF35" s="401">
        <v>6</v>
      </c>
      <c r="AG35" s="401">
        <f t="shared" ref="AG35" si="869">ROUNDUP(SUM(AC35:AF35)*0.1,0)</f>
        <v>26</v>
      </c>
      <c r="AH35" s="436">
        <f t="shared" si="87"/>
        <v>290</v>
      </c>
      <c r="AI35" s="393">
        <f>IF(T35="AIR",'Catalogue Aluminium'!$K$141,IF(T35="TRENCH",'Catalogue Aluminium'!$K$144,"NA"))</f>
        <v>0.82</v>
      </c>
      <c r="AJ35" s="392">
        <f>IF(T35="Air",(IF(U35="1C",'Catalogue Aluminium'!$L$141,'Catalogue Aluminium'!$M$141)),IF(T35="DUCT",(IF($U35="1C",'Catalogue Aluminium'!$L$142,'Catalogue Aluminium'!$M$142)),IF(T35="GROUND",(IF($U35="1C",'Catalogue Aluminium'!$L$143,'Catalogue Aluminium'!$M$143)),IF(T35="TRENCH",(IF($U35="1C",'Catalogue Aluminium'!$L$144,'Catalogue Aluminium'!$M$144))))))</f>
        <v>0.73</v>
      </c>
      <c r="AK35" s="393" t="str">
        <f>IF(T35="Air",'Catalogue Aluminium'!$N$141,IF(T35="GROUND",'Catalogue Aluminium'!$N$142,IF(T35="DUCT",'Catalogue Aluminium'!$N$143,IF(T35="TRENCH",'Catalogue Aluminium'!$N$144,"NA"))))</f>
        <v>NA</v>
      </c>
      <c r="AL35" s="393" t="str">
        <f>IF(T35="Air",(IF(U35="1C",'Catalogue Aluminium'!$O$141,'Catalogue Aluminium'!$P$141)),IF(T35="DUCT",(IF($U35="1C",'Catalogue Aluminium'!$O$142,'Catalogue Aluminium'!$P$142)),IF(T35="GROUND",(IF($U35="1C",'Catalogue Aluminium'!$O$143,'Catalogue Aluminium'!$P$143)),IF(T35="TRENCH",(IF($U35="1C",'Catalogue Aluminium'!$O$144,'Catalogue Aluminium'!$P$144))))))</f>
        <v>NA</v>
      </c>
      <c r="AM35" s="393" t="str">
        <f>IF(T35="AIR","NA",IF(T35="TRENCH","NA",IF(T35="DUCT",IF(U35="1C",VLOOKUP(V35,'Catalogue Aluminium'!$Q$142:$S$153,2,FALSE),VLOOKUP(V35,'Catalogue Aluminium'!$Q$142:$S$153,3)),IF(T35="GROUND",IF(U35="1C",VLOOKUP(V35,'Catalogue Aluminium'!$Q$142:$S$153,2,FALSE),VLOOKUP(V35,'Catalogue Aluminium'!$Q$142:$S$153,3))))))</f>
        <v>NA</v>
      </c>
      <c r="AN35" s="404">
        <f t="shared" ref="AN35" si="870">IF(T35="AIR",AI35*AJ35,IF(T35="TRENCH",AI35*AJ35,IF(T35="DUCT",AJ35*AK35*AL35*AM35,IF(T35="GROUND",AJ35*AK35*AL35*AM35))))</f>
        <v>0.59859999999999991</v>
      </c>
      <c r="AO35" s="392">
        <f t="shared" ref="AO35" si="871">Z35*AN35</f>
        <v>16.760799999999996</v>
      </c>
      <c r="AP35" s="434">
        <f t="shared" ref="AP35" si="872">CEILING(((N35)/AO35),1)</f>
        <v>1</v>
      </c>
      <c r="AQ35" s="418" t="str">
        <f t="shared" ref="AQ35" si="873">IF(AO35*AP35&gt;=N35,"YES","NO")</f>
        <v>YES</v>
      </c>
      <c r="AR35" s="437">
        <f t="shared" ref="AR35" si="874">SQRT(3)*AH35*N35*((AA35*L35)+(AB35*SIN(ACOS(L35))))*100/(AP35*K35*1000)</f>
        <v>1.9075122546864869</v>
      </c>
      <c r="AS35" s="401" t="str">
        <f t="shared" si="89"/>
        <v>YES</v>
      </c>
      <c r="AT35" s="437" t="str">
        <f t="shared" si="76"/>
        <v>NA</v>
      </c>
      <c r="AU35" s="401" t="str">
        <f t="shared" si="77"/>
        <v>NA</v>
      </c>
      <c r="AV35" s="437" t="str">
        <f t="shared" si="78"/>
        <v>1R x 6/10 (12)kV x 3C x 2.5 Sqmm</v>
      </c>
      <c r="AW35" s="437" t="str">
        <f t="shared" si="79"/>
        <v>1R x 6/10 (12)kV x 3C x 2.5 Sqmm</v>
      </c>
      <c r="AX35" s="401">
        <f t="shared" si="90"/>
        <v>290</v>
      </c>
      <c r="AY35" s="401"/>
      <c r="AZ35" s="401">
        <f t="shared" si="91"/>
        <v>2</v>
      </c>
      <c r="BA35" s="438" t="str">
        <f t="shared" si="80"/>
        <v>AQQ2RR1</v>
      </c>
      <c r="BB35" s="390">
        <f>VLOOKUP(W35,'Catalogue Aluminium'!$B$141:$H$173,7,FALSE)</f>
        <v>14</v>
      </c>
      <c r="BC35" s="439">
        <f t="shared" si="92"/>
        <v>14</v>
      </c>
      <c r="BE35" s="416"/>
      <c r="BF35" s="336">
        <v>1</v>
      </c>
      <c r="BG35" s="416"/>
      <c r="BH35" s="416"/>
      <c r="BI35" s="416"/>
      <c r="BJ35" s="416"/>
      <c r="BK35" s="416"/>
      <c r="BL35" s="416"/>
      <c r="BM35" s="416"/>
      <c r="BN35" s="416"/>
      <c r="BO35" s="416"/>
      <c r="BP35" s="416"/>
      <c r="BQ35" s="416"/>
      <c r="BR35" s="416"/>
      <c r="BS35" s="416"/>
      <c r="BT35" s="416"/>
      <c r="BU35" s="416"/>
      <c r="BV35" s="416"/>
      <c r="BW35" s="416"/>
      <c r="BX35" s="416"/>
      <c r="BY35" s="416"/>
      <c r="BZ35" s="416"/>
      <c r="CA35" s="416"/>
      <c r="CB35" s="416"/>
      <c r="CC35" s="416"/>
      <c r="CD35" s="416"/>
      <c r="CE35" s="416"/>
      <c r="CF35" s="416"/>
      <c r="CG35" s="416"/>
      <c r="CH35" s="416"/>
      <c r="CI35" s="416"/>
      <c r="CJ35" s="416"/>
      <c r="CK35" s="416"/>
      <c r="CL35" s="416"/>
      <c r="CM35" s="416"/>
      <c r="CN35" s="416"/>
      <c r="CO35" s="416"/>
      <c r="CP35" s="416"/>
      <c r="CQ35" s="416"/>
      <c r="CR35" s="416"/>
      <c r="CS35" s="416"/>
      <c r="CT35" s="416"/>
      <c r="CU35" s="416"/>
      <c r="CV35" s="416"/>
      <c r="CW35" s="416"/>
      <c r="CX35" s="336">
        <v>1</v>
      </c>
      <c r="CY35" s="416"/>
      <c r="CZ35" s="336">
        <v>1</v>
      </c>
      <c r="DA35" s="416"/>
      <c r="DB35" s="416"/>
      <c r="DC35" s="416"/>
      <c r="DD35" s="416"/>
      <c r="DE35" s="416"/>
      <c r="DF35" s="416"/>
      <c r="DG35" s="336">
        <v>1</v>
      </c>
      <c r="DH35" s="336">
        <v>1</v>
      </c>
      <c r="DI35" s="336"/>
      <c r="DJ35" s="336"/>
      <c r="DK35" s="336"/>
      <c r="DL35" s="416"/>
      <c r="DM35" s="416"/>
      <c r="DN35" s="416"/>
      <c r="DO35" s="416"/>
      <c r="DP35" s="416"/>
      <c r="DQ35" s="416"/>
      <c r="DR35" s="416"/>
      <c r="DS35" s="416"/>
      <c r="DT35" s="416"/>
      <c r="DU35" s="416"/>
      <c r="DW35" s="336">
        <f t="shared" ref="DW35" si="875">IF(BE35=1,($BC35*BE35),0)</f>
        <v>0</v>
      </c>
      <c r="DX35" s="336">
        <f t="shared" ref="DX35" si="876">IF(BF35=1,($BC35*BF35),0)</f>
        <v>14</v>
      </c>
      <c r="DY35" s="336">
        <f t="shared" ref="DY35" si="877">IF(BG35=1,($BC35*BG35),0)</f>
        <v>0</v>
      </c>
      <c r="DZ35" s="336">
        <f t="shared" ref="DZ35" si="878">IF(BH35=1,($BC35*BH35),0)</f>
        <v>0</v>
      </c>
      <c r="EA35" s="336">
        <f t="shared" ref="EA35" si="879">IF(BI35=1,($BC35*BI35),0)</f>
        <v>0</v>
      </c>
      <c r="EB35" s="336">
        <f t="shared" ref="EB35" si="880">IF(BJ35=1,($BC35*BJ35),0)</f>
        <v>0</v>
      </c>
      <c r="EC35" s="336">
        <f t="shared" ref="EC35" si="881">IF(BK35=1,($BC35*BK35),0)</f>
        <v>0</v>
      </c>
      <c r="ED35" s="336">
        <f t="shared" ref="ED35" si="882">IF(BL35=1,($BC35*BL35),0)</f>
        <v>0</v>
      </c>
      <c r="EE35" s="336">
        <f t="shared" ref="EE35" si="883">IF(BM35=1,($BC35*BM35),0)</f>
        <v>0</v>
      </c>
      <c r="EF35" s="336">
        <f t="shared" ref="EF35" si="884">IF(BN35=1,($BC35*BN35),0)</f>
        <v>0</v>
      </c>
      <c r="EG35" s="336">
        <f t="shared" ref="EG35" si="885">IF(BO35=1,($BC35*BO35),0)</f>
        <v>0</v>
      </c>
      <c r="EH35" s="336">
        <f t="shared" ref="EH35" si="886">IF(BP35=1,($BC35*BP35),0)</f>
        <v>0</v>
      </c>
      <c r="EI35" s="336">
        <f t="shared" ref="EI35" si="887">IF(BQ35=1,($BC35*BQ35),0)</f>
        <v>0</v>
      </c>
      <c r="EJ35" s="336">
        <f t="shared" ref="EJ35" si="888">IF(BR35=1,($BC35*BR35),0)</f>
        <v>0</v>
      </c>
      <c r="EK35" s="336">
        <f t="shared" ref="EK35" si="889">IF(BS35=1,($BC35*BS35),0)</f>
        <v>0</v>
      </c>
      <c r="EL35" s="336">
        <f t="shared" ref="EL35" si="890">IF(BT35=1,($BC35*BT35),0)</f>
        <v>0</v>
      </c>
      <c r="EM35" s="336">
        <f t="shared" ref="EM35" si="891">IF(BU35=1,($BC35*BU35),0)</f>
        <v>0</v>
      </c>
      <c r="EN35" s="336">
        <f t="shared" ref="EN35" si="892">IF(BV35=1,($BC35*BV35),0)</f>
        <v>0</v>
      </c>
      <c r="EO35" s="336">
        <f t="shared" ref="EO35" si="893">IF(BW35=1,($BC35*BW35),0)</f>
        <v>0</v>
      </c>
      <c r="EP35" s="336">
        <f t="shared" ref="EP35" si="894">IF(BX35=1,($BC35*BX35),0)</f>
        <v>0</v>
      </c>
      <c r="EQ35" s="336">
        <f t="shared" ref="EQ35" si="895">IF(BY35=1,($BC35*BY35),0)</f>
        <v>0</v>
      </c>
      <c r="ER35" s="336">
        <f t="shared" ref="ER35" si="896">IF(BZ35=1,($BC35*BZ35),0)</f>
        <v>0</v>
      </c>
      <c r="ES35" s="336">
        <f t="shared" ref="ES35" si="897">IF(CA35=1,($BC35*CA35),0)</f>
        <v>0</v>
      </c>
      <c r="ET35" s="336">
        <f t="shared" si="22"/>
        <v>0</v>
      </c>
      <c r="EU35" s="336">
        <f t="shared" si="23"/>
        <v>0</v>
      </c>
      <c r="EV35" s="336">
        <f t="shared" ref="EV35" si="898">IF(CD35=1,($BC35*CD35),0)</f>
        <v>0</v>
      </c>
      <c r="EW35" s="336">
        <f t="shared" ref="EW35" si="899">IF(CE35=1,($BC35*CE35),0)</f>
        <v>0</v>
      </c>
      <c r="EX35" s="336">
        <f t="shared" ref="EX35" si="900">IF(CF35=1,($BC35*CF35),0)</f>
        <v>0</v>
      </c>
      <c r="EY35" s="336">
        <f t="shared" ref="EY35" si="901">IF(CG35=1,($BC35*CG35),0)</f>
        <v>0</v>
      </c>
      <c r="EZ35" s="336">
        <f t="shared" ref="EZ35" si="902">IF(CH35=1,($BC35*CH35),0)</f>
        <v>0</v>
      </c>
      <c r="FA35" s="336">
        <f t="shared" ref="FA35" si="903">IF(CI35=1,($BC35*CI35),0)</f>
        <v>0</v>
      </c>
      <c r="FB35" s="336">
        <f t="shared" ref="FB35" si="904">IF(CJ35=1,($BC35*CJ35),0)</f>
        <v>0</v>
      </c>
      <c r="FC35" s="336">
        <f t="shared" ref="FC35" si="905">IF(CK35=1,($BC35*CK35),0)</f>
        <v>0</v>
      </c>
      <c r="FD35" s="336">
        <f t="shared" ref="FD35" si="906">IF(CL35=1,($BC35*CL35),0)</f>
        <v>0</v>
      </c>
      <c r="FE35" s="336">
        <f t="shared" ref="FE35" si="907">IF(CM35=1,($BC35*CM35),0)</f>
        <v>0</v>
      </c>
      <c r="FF35" s="336">
        <f t="shared" ref="FF35" si="908">IF(CN35=1,($BC35*CN35),0)</f>
        <v>0</v>
      </c>
      <c r="FG35" s="336">
        <f t="shared" ref="FG35" si="909">IF(CO35=1,($BC35*CO35),0)</f>
        <v>0</v>
      </c>
      <c r="FH35" s="336">
        <f t="shared" ref="FH35" si="910">IF(CP35=1,($BC35*CP35),0)</f>
        <v>0</v>
      </c>
      <c r="FI35" s="336">
        <f t="shared" ref="FI35" si="911">IF(CQ35=1,($BC35*CQ35),0)</f>
        <v>0</v>
      </c>
      <c r="FJ35" s="336">
        <f t="shared" ref="FJ35" si="912">IF(CR35=1,($BC35*CR35),0)</f>
        <v>0</v>
      </c>
      <c r="FK35" s="336">
        <f t="shared" ref="FK35" si="913">IF(CS35=1,($BC35*CS35),0)</f>
        <v>0</v>
      </c>
      <c r="FL35" s="336">
        <f t="shared" ref="FL35" si="914">IF(CT35=1,($BC35*CT35),0)</f>
        <v>0</v>
      </c>
      <c r="FM35" s="336">
        <f t="shared" ref="FM35" si="915">IF(CU35=1,($BC35*CU35),0)</f>
        <v>0</v>
      </c>
      <c r="FN35" s="336">
        <f t="shared" ref="FN35" si="916">IF(CV35=1,($BC35*CV35),0)</f>
        <v>0</v>
      </c>
      <c r="FO35" s="336">
        <f t="shared" ref="FO35" si="917">IF(CW35=1,($BC35*CW35),0)</f>
        <v>0</v>
      </c>
      <c r="FP35" s="336">
        <f t="shared" ref="FP35" si="918">IF(CX35=1,($BC35*CX35),0)</f>
        <v>14</v>
      </c>
      <c r="FQ35" s="336">
        <f t="shared" ref="FQ35" si="919">IF(CY35=1,($BC35*CY35),0)</f>
        <v>0</v>
      </c>
      <c r="FR35" s="336">
        <f t="shared" ref="FR35" si="920">IF(CZ35=1,($BC35*CZ35),0)</f>
        <v>14</v>
      </c>
      <c r="FS35" s="336">
        <f t="shared" ref="FS35" si="921">IF(DA35=1,($BC35*DA35),0)</f>
        <v>0</v>
      </c>
      <c r="FT35" s="336">
        <f t="shared" ref="FT35" si="922">IF(DB35=1,($BC35*DB35),0)</f>
        <v>0</v>
      </c>
      <c r="FU35" s="336">
        <f t="shared" si="93"/>
        <v>0</v>
      </c>
      <c r="FV35" s="336">
        <f t="shared" si="94"/>
        <v>0</v>
      </c>
      <c r="FW35" s="336">
        <f t="shared" si="95"/>
        <v>0</v>
      </c>
      <c r="FX35" s="336">
        <f t="shared" si="96"/>
        <v>0</v>
      </c>
      <c r="FY35" s="336">
        <f t="shared" ref="FY35" si="923">IF(DG35=1,($BC35*DG35),0)</f>
        <v>14</v>
      </c>
      <c r="FZ35" s="336">
        <f t="shared" ref="FZ35" si="924">IF(DH35=1,($BC35*DH35),0)</f>
        <v>14</v>
      </c>
      <c r="GA35" s="336">
        <f t="shared" ref="GA35" si="925">IF(DI35=1,($BC35*DI35),0)</f>
        <v>0</v>
      </c>
      <c r="GB35" s="336">
        <f t="shared" ref="GB35" si="926">IF(DJ35=1,($BC35*DJ35),0)</f>
        <v>0</v>
      </c>
      <c r="GC35" s="336">
        <f t="shared" ref="GC35" si="927">IF(DK35=1,($BC35*DK35),0)</f>
        <v>0</v>
      </c>
      <c r="GD35" s="336">
        <f t="shared" ref="GD35" si="928">IF(DL35=1,($BC35*DL35),0)</f>
        <v>0</v>
      </c>
      <c r="GE35" s="336">
        <f t="shared" ref="GE35" si="929">IF(DM35=1,($BC35*DM35),0)</f>
        <v>0</v>
      </c>
      <c r="GF35" s="336">
        <f t="shared" ref="GF35" si="930">IF(DN35=1,($BC35*DN35),0)</f>
        <v>0</v>
      </c>
      <c r="GG35" s="336">
        <f t="shared" ref="GG35" si="931">IF(DO35=1,($BC35*DO35),0)</f>
        <v>0</v>
      </c>
      <c r="GH35" s="336">
        <f t="shared" ref="GH35" si="932">IF(DP35=1,($BC35*DP35),0)</f>
        <v>0</v>
      </c>
      <c r="GI35" s="336">
        <f t="shared" ref="GI35" si="933">IF(DQ35=1,($BC35*DQ35),0)</f>
        <v>0</v>
      </c>
      <c r="GJ35" s="336">
        <f t="shared" ref="GJ35" si="934">IF(DR35=1,($BC35*DR35),0)</f>
        <v>0</v>
      </c>
      <c r="GK35" s="336">
        <f t="shared" ref="GK35" si="935">IF(DS35=1,($BC35*DS35),0)</f>
        <v>0</v>
      </c>
      <c r="GL35" s="336">
        <f t="shared" si="164"/>
        <v>0</v>
      </c>
      <c r="GM35" s="336">
        <f t="shared" ref="GM35" si="936">IF(DU35=1,($BC35*DU35),0)</f>
        <v>0</v>
      </c>
    </row>
    <row r="36" spans="1:195" ht="18" customHeight="1">
      <c r="A36" s="337">
        <f t="shared" si="305"/>
        <v>28</v>
      </c>
      <c r="B36" s="444" t="s">
        <v>392</v>
      </c>
      <c r="C36" s="337" t="str">
        <f t="shared" si="82"/>
        <v>11kV MV Switchgear-1</v>
      </c>
      <c r="D36" s="440" t="s">
        <v>393</v>
      </c>
      <c r="E36" s="416" t="s">
        <v>387</v>
      </c>
      <c r="F36" s="417" t="s">
        <v>28</v>
      </c>
      <c r="G36" s="340" t="s">
        <v>350</v>
      </c>
      <c r="H36" s="418">
        <v>1100</v>
      </c>
      <c r="I36" s="337" t="s">
        <v>330</v>
      </c>
      <c r="J36" s="337" t="s">
        <v>331</v>
      </c>
      <c r="K36" s="341">
        <v>11000</v>
      </c>
      <c r="L36" s="342">
        <v>0.87</v>
      </c>
      <c r="M36" s="342">
        <v>0.96699999999999997</v>
      </c>
      <c r="N36" s="342">
        <f t="shared" si="83"/>
        <v>68.628796912209253</v>
      </c>
      <c r="O36" s="342">
        <f t="shared" si="67"/>
        <v>411.77278147325552</v>
      </c>
      <c r="P36" s="343">
        <f t="shared" si="84"/>
        <v>0.2</v>
      </c>
      <c r="Q36" s="342">
        <v>31.5</v>
      </c>
      <c r="R36" s="342">
        <v>0.16</v>
      </c>
      <c r="S36" s="342">
        <f t="shared" si="85"/>
        <v>134.04255319148936</v>
      </c>
      <c r="T36" s="344" t="s">
        <v>332</v>
      </c>
      <c r="U36" s="342" t="s">
        <v>333</v>
      </c>
      <c r="V36" s="344">
        <v>150</v>
      </c>
      <c r="W36" s="343" t="str">
        <f t="shared" si="69"/>
        <v>3C X 150</v>
      </c>
      <c r="X36" s="343" t="str">
        <f t="shared" si="70"/>
        <v>3C X 150+PE</v>
      </c>
      <c r="Y36" s="419" t="s">
        <v>346</v>
      </c>
      <c r="Z36" s="344">
        <f>IF(T36="AIR",VLOOKUP(W36,'Catalogue Aluminium'!$B$141:$G$173,2,FALSE),IF(T36="GROUND",VLOOKUP(W36,'Catalogue Aluminium'!$B$141:$G$173,3,FALSE),IF(T36="DUCT",VLOOKUP(W36,'Catalogue Aluminium'!$B$141:$G$173,4,FALSE),IF(T36="TRENCH",VLOOKUP(W36,'Catalogue Aluminium'!$B$141:$G$173,2,FALSE)))))</f>
        <v>309</v>
      </c>
      <c r="AA36" s="345">
        <f>VLOOKUP(W36,'Catalogue Aluminium'!$B$141:$G$173,5,FALSE)</f>
        <v>0.26500000000000001</v>
      </c>
      <c r="AB36" s="345">
        <f>VLOOKUP(W36,'Catalogue Aluminium'!$B$141:$G$173,6,FALSE)</f>
        <v>9.2999999999999999E-2</v>
      </c>
      <c r="AC36" s="349">
        <f t="shared" si="236"/>
        <v>67</v>
      </c>
      <c r="AD36" s="343">
        <f>50+30+28+29+12+12+25</f>
        <v>186</v>
      </c>
      <c r="AE36" s="343">
        <v>20</v>
      </c>
      <c r="AF36" s="343">
        <v>6</v>
      </c>
      <c r="AG36" s="343">
        <f t="shared" si="86"/>
        <v>28</v>
      </c>
      <c r="AH36" s="347">
        <f t="shared" si="87"/>
        <v>310</v>
      </c>
      <c r="AI36" s="344">
        <f>IF(T36="AIR",'Catalogue Aluminium'!$K$141,IF(T36="TRENCH",'Catalogue Aluminium'!$K$144,"NA"))</f>
        <v>0.82</v>
      </c>
      <c r="AJ36" s="342">
        <f>IF(T36="Air",(IF(U36="1C",'Catalogue Aluminium'!$L$141,'Catalogue Aluminium'!$M$141)),IF(T36="DUCT",(IF($U36="1C",'Catalogue Aluminium'!$L$142,'Catalogue Aluminium'!$M$142)),IF(T36="GROUND",(IF($U36="1C",'Catalogue Aluminium'!$L$143,'Catalogue Aluminium'!$M$143)),IF(T36="TRENCH",(IF($U36="1C",'Catalogue Aluminium'!$L$144,'Catalogue Aluminium'!$M$144))))))</f>
        <v>0.73</v>
      </c>
      <c r="AK36" s="344" t="str">
        <f>IF(T36="Air",'Catalogue Aluminium'!$N$141,IF(T36="GROUND",'Catalogue Aluminium'!$N$142,IF(T36="DUCT",'Catalogue Aluminium'!$N$143,IF(T36="TRENCH",'Catalogue Aluminium'!$N$144,"NA"))))</f>
        <v>NA</v>
      </c>
      <c r="AL36" s="344" t="str">
        <f>IF(T36="Air",(IF(U36="1C",'Catalogue Aluminium'!$O$141,'Catalogue Aluminium'!$P$141)),IF(T36="DUCT",(IF($U36="1C",'Catalogue Aluminium'!$O$142,'Catalogue Aluminium'!$P$142)),IF(T36="GROUND",(IF($U36="1C",'Catalogue Aluminium'!$O$143,'Catalogue Aluminium'!$P$143)),IF(T36="TRENCH",(IF($U36="1C",'Catalogue Aluminium'!$O$144,'Catalogue Aluminium'!$P$144))))))</f>
        <v>NA</v>
      </c>
      <c r="AM36" s="344" t="str">
        <f>IF(T36="AIR","NA",IF(T36="TRENCH","NA",IF(T36="DUCT",IF(U36="1C",VLOOKUP(V36,'Catalogue Aluminium'!$Q$142:$S$153,2,FALSE),VLOOKUP(V36,'Catalogue Aluminium'!$Q$142:$S$153,3)),IF(T36="GROUND",IF(U36="1C",VLOOKUP(V36,'Catalogue Aluminium'!$Q$142:$S$153,2,FALSE),VLOOKUP(V36,'Catalogue Aluminium'!$Q$142:$S$153,3))))))</f>
        <v>NA</v>
      </c>
      <c r="AN36" s="348">
        <f t="shared" si="71"/>
        <v>0.59859999999999991</v>
      </c>
      <c r="AO36" s="342">
        <f t="shared" si="72"/>
        <v>184.96739999999997</v>
      </c>
      <c r="AP36" s="349">
        <f t="shared" si="73"/>
        <v>1</v>
      </c>
      <c r="AQ36" s="350" t="str">
        <f t="shared" si="74"/>
        <v>YES</v>
      </c>
      <c r="AR36" s="351">
        <f t="shared" si="75"/>
        <v>9.2593403281383227E-2</v>
      </c>
      <c r="AS36" s="343" t="str">
        <f t="shared" si="89"/>
        <v>YES</v>
      </c>
      <c r="AT36" s="351">
        <f t="shared" si="76"/>
        <v>0.28967738707700935</v>
      </c>
      <c r="AU36" s="343" t="str">
        <f t="shared" si="77"/>
        <v>YES</v>
      </c>
      <c r="AV36" s="351" t="str">
        <f t="shared" si="78"/>
        <v>1R x 6/10 (12)kV x 3C x 150 Sqmm</v>
      </c>
      <c r="AW36" s="351" t="str">
        <f t="shared" si="79"/>
        <v>1R x 6/10 (12)kV x 3C x 150 Sqmm</v>
      </c>
      <c r="AX36" s="343">
        <f t="shared" si="90"/>
        <v>310</v>
      </c>
      <c r="AY36" s="343"/>
      <c r="AZ36" s="343">
        <f t="shared" si="91"/>
        <v>2</v>
      </c>
      <c r="BA36" s="356" t="str">
        <f t="shared" si="80"/>
        <v>AQQ2RR1</v>
      </c>
      <c r="BB36" s="340">
        <f>VLOOKUP(W36,'Catalogue Aluminium'!$B$141:$H$173,7,FALSE)</f>
        <v>62</v>
      </c>
      <c r="BC36" s="328">
        <f t="shared" si="92"/>
        <v>62</v>
      </c>
      <c r="BE36" s="416"/>
      <c r="BF36" s="336">
        <v>1</v>
      </c>
      <c r="BG36" s="416"/>
      <c r="BH36" s="416"/>
      <c r="BI36" s="416"/>
      <c r="BJ36" s="416"/>
      <c r="BK36" s="416"/>
      <c r="BL36" s="416"/>
      <c r="BM36" s="416"/>
      <c r="BN36" s="416"/>
      <c r="BO36" s="416"/>
      <c r="BP36" s="416"/>
      <c r="BQ36" s="416"/>
      <c r="BR36" s="416"/>
      <c r="BS36" s="416"/>
      <c r="BT36" s="416"/>
      <c r="BU36" s="416"/>
      <c r="BV36" s="416"/>
      <c r="BW36" s="416"/>
      <c r="BX36" s="416"/>
      <c r="BY36" s="416"/>
      <c r="BZ36" s="416"/>
      <c r="CA36" s="416"/>
      <c r="CB36" s="416"/>
      <c r="CC36" s="416"/>
      <c r="CD36" s="416"/>
      <c r="CE36" s="416"/>
      <c r="CF36" s="416"/>
      <c r="CG36" s="416"/>
      <c r="CH36" s="416"/>
      <c r="CI36" s="416"/>
      <c r="CJ36" s="416"/>
      <c r="CK36" s="416"/>
      <c r="CL36" s="416"/>
      <c r="CM36" s="416"/>
      <c r="CN36" s="416"/>
      <c r="CO36" s="416"/>
      <c r="CP36" s="416"/>
      <c r="CQ36" s="416"/>
      <c r="CR36" s="416"/>
      <c r="CS36" s="416"/>
      <c r="CT36" s="416"/>
      <c r="CU36" s="416"/>
      <c r="CV36" s="416"/>
      <c r="CW36" s="416"/>
      <c r="CX36" s="336">
        <v>1</v>
      </c>
      <c r="CY36" s="416"/>
      <c r="CZ36" s="336">
        <v>1</v>
      </c>
      <c r="DA36" s="416"/>
      <c r="DB36" s="416"/>
      <c r="DC36" s="416"/>
      <c r="DD36" s="416"/>
      <c r="DE36" s="416"/>
      <c r="DF36" s="416"/>
      <c r="DG36" s="336">
        <v>1</v>
      </c>
      <c r="DH36" s="336">
        <v>1</v>
      </c>
      <c r="DI36" s="336"/>
      <c r="DJ36" s="336"/>
      <c r="DK36" s="336"/>
      <c r="DL36" s="416"/>
      <c r="DM36" s="416"/>
      <c r="DN36" s="416"/>
      <c r="DO36" s="416"/>
      <c r="DP36" s="416"/>
      <c r="DQ36" s="416"/>
      <c r="DR36" s="416"/>
      <c r="DS36" s="416"/>
      <c r="DT36" s="416"/>
      <c r="DU36" s="416"/>
      <c r="DW36" s="336">
        <f t="shared" si="81"/>
        <v>0</v>
      </c>
      <c r="DX36" s="336">
        <f t="shared" si="0"/>
        <v>62</v>
      </c>
      <c r="DY36" s="336">
        <f t="shared" si="1"/>
        <v>0</v>
      </c>
      <c r="DZ36" s="336">
        <f t="shared" si="2"/>
        <v>0</v>
      </c>
      <c r="EA36" s="336">
        <f t="shared" si="3"/>
        <v>0</v>
      </c>
      <c r="EB36" s="336">
        <f t="shared" si="4"/>
        <v>0</v>
      </c>
      <c r="EC36" s="336">
        <f t="shared" si="5"/>
        <v>0</v>
      </c>
      <c r="ED36" s="336">
        <f t="shared" si="6"/>
        <v>0</v>
      </c>
      <c r="EE36" s="336">
        <f t="shared" si="7"/>
        <v>0</v>
      </c>
      <c r="EF36" s="336">
        <f t="shared" si="8"/>
        <v>0</v>
      </c>
      <c r="EG36" s="336">
        <f t="shared" si="9"/>
        <v>0</v>
      </c>
      <c r="EH36" s="336">
        <f t="shared" si="10"/>
        <v>0</v>
      </c>
      <c r="EI36" s="336">
        <f t="shared" si="11"/>
        <v>0</v>
      </c>
      <c r="EJ36" s="336">
        <f t="shared" si="12"/>
        <v>0</v>
      </c>
      <c r="EK36" s="336">
        <f t="shared" si="13"/>
        <v>0</v>
      </c>
      <c r="EL36" s="336">
        <f t="shared" si="14"/>
        <v>0</v>
      </c>
      <c r="EM36" s="336">
        <f t="shared" si="15"/>
        <v>0</v>
      </c>
      <c r="EN36" s="336">
        <f t="shared" si="16"/>
        <v>0</v>
      </c>
      <c r="EO36" s="336">
        <f t="shared" si="17"/>
        <v>0</v>
      </c>
      <c r="EP36" s="336">
        <f t="shared" si="18"/>
        <v>0</v>
      </c>
      <c r="EQ36" s="336">
        <f t="shared" si="19"/>
        <v>0</v>
      </c>
      <c r="ER36" s="336">
        <f t="shared" si="20"/>
        <v>0</v>
      </c>
      <c r="ES36" s="336">
        <f t="shared" si="21"/>
        <v>0</v>
      </c>
      <c r="ET36" s="336">
        <f t="shared" si="22"/>
        <v>0</v>
      </c>
      <c r="EU36" s="336">
        <f t="shared" si="23"/>
        <v>0</v>
      </c>
      <c r="EV36" s="336">
        <f t="shared" si="24"/>
        <v>0</v>
      </c>
      <c r="EW36" s="336">
        <f t="shared" si="25"/>
        <v>0</v>
      </c>
      <c r="EX36" s="336">
        <f t="shared" si="26"/>
        <v>0</v>
      </c>
      <c r="EY36" s="336">
        <f t="shared" si="27"/>
        <v>0</v>
      </c>
      <c r="EZ36" s="336">
        <f t="shared" si="28"/>
        <v>0</v>
      </c>
      <c r="FA36" s="336">
        <f t="shared" si="29"/>
        <v>0</v>
      </c>
      <c r="FB36" s="336">
        <f t="shared" si="30"/>
        <v>0</v>
      </c>
      <c r="FC36" s="336">
        <f t="shared" si="31"/>
        <v>0</v>
      </c>
      <c r="FD36" s="336">
        <f t="shared" si="32"/>
        <v>0</v>
      </c>
      <c r="FE36" s="336">
        <f t="shared" si="33"/>
        <v>0</v>
      </c>
      <c r="FF36" s="336">
        <f t="shared" si="34"/>
        <v>0</v>
      </c>
      <c r="FG36" s="336">
        <f t="shared" si="35"/>
        <v>0</v>
      </c>
      <c r="FH36" s="336">
        <f t="shared" si="36"/>
        <v>0</v>
      </c>
      <c r="FI36" s="336">
        <f t="shared" si="37"/>
        <v>0</v>
      </c>
      <c r="FJ36" s="336">
        <f t="shared" si="38"/>
        <v>0</v>
      </c>
      <c r="FK36" s="336">
        <f t="shared" si="39"/>
        <v>0</v>
      </c>
      <c r="FL36" s="336">
        <f t="shared" si="40"/>
        <v>0</v>
      </c>
      <c r="FM36" s="336">
        <f t="shared" si="41"/>
        <v>0</v>
      </c>
      <c r="FN36" s="336">
        <f t="shared" si="42"/>
        <v>0</v>
      </c>
      <c r="FO36" s="336">
        <f t="shared" si="43"/>
        <v>0</v>
      </c>
      <c r="FP36" s="336">
        <f t="shared" si="44"/>
        <v>62</v>
      </c>
      <c r="FQ36" s="336">
        <f t="shared" si="45"/>
        <v>0</v>
      </c>
      <c r="FR36" s="336">
        <f t="shared" si="46"/>
        <v>62</v>
      </c>
      <c r="FS36" s="336">
        <f t="shared" si="47"/>
        <v>0</v>
      </c>
      <c r="FT36" s="336">
        <f t="shared" si="48"/>
        <v>0</v>
      </c>
      <c r="FU36" s="336">
        <f t="shared" si="93"/>
        <v>0</v>
      </c>
      <c r="FV36" s="336">
        <f t="shared" si="94"/>
        <v>0</v>
      </c>
      <c r="FW36" s="336">
        <f t="shared" si="95"/>
        <v>0</v>
      </c>
      <c r="FX36" s="336">
        <f t="shared" si="96"/>
        <v>0</v>
      </c>
      <c r="FY36" s="336">
        <f t="shared" si="53"/>
        <v>62</v>
      </c>
      <c r="FZ36" s="336">
        <f t="shared" si="54"/>
        <v>62</v>
      </c>
      <c r="GA36" s="336">
        <f t="shared" si="55"/>
        <v>0</v>
      </c>
      <c r="GB36" s="336">
        <f t="shared" si="56"/>
        <v>0</v>
      </c>
      <c r="GC36" s="336">
        <f t="shared" si="57"/>
        <v>0</v>
      </c>
      <c r="GD36" s="336">
        <f t="shared" si="58"/>
        <v>0</v>
      </c>
      <c r="GE36" s="336">
        <f t="shared" si="59"/>
        <v>0</v>
      </c>
      <c r="GF36" s="336">
        <f t="shared" si="60"/>
        <v>0</v>
      </c>
      <c r="GG36" s="336">
        <f t="shared" si="61"/>
        <v>0</v>
      </c>
      <c r="GH36" s="336">
        <f t="shared" si="62"/>
        <v>0</v>
      </c>
      <c r="GI36" s="336">
        <f t="shared" si="63"/>
        <v>0</v>
      </c>
      <c r="GJ36" s="336">
        <f t="shared" si="64"/>
        <v>0</v>
      </c>
      <c r="GK36" s="336">
        <f>IF(DS36=1,($BC36*DS36),0)</f>
        <v>0</v>
      </c>
      <c r="GL36" s="336">
        <f t="shared" si="164"/>
        <v>0</v>
      </c>
      <c r="GM36" s="336">
        <f t="shared" si="66"/>
        <v>0</v>
      </c>
    </row>
    <row r="37" spans="1:195" ht="18" customHeight="1">
      <c r="A37" s="388">
        <f t="shared" si="305"/>
        <v>29</v>
      </c>
      <c r="B37" s="445" t="s">
        <v>392</v>
      </c>
      <c r="C37" s="388" t="str">
        <f t="shared" si="82"/>
        <v>11kV MV Switchgear-1</v>
      </c>
      <c r="D37" s="441" t="s">
        <v>394</v>
      </c>
      <c r="E37" s="432" t="s">
        <v>387</v>
      </c>
      <c r="F37" s="433" t="s">
        <v>28</v>
      </c>
      <c r="G37" s="390" t="s">
        <v>329</v>
      </c>
      <c r="H37" s="396">
        <v>0.2</v>
      </c>
      <c r="I37" s="388" t="s">
        <v>330</v>
      </c>
      <c r="J37" s="388" t="s">
        <v>357</v>
      </c>
      <c r="K37" s="434">
        <v>230</v>
      </c>
      <c r="L37" s="401">
        <v>0.85</v>
      </c>
      <c r="M37" s="418">
        <v>0.95</v>
      </c>
      <c r="N37" s="392">
        <f t="shared" si="83"/>
        <v>1.0768609503297888</v>
      </c>
      <c r="O37" s="392">
        <f t="shared" si="67"/>
        <v>0</v>
      </c>
      <c r="P37" s="401" t="str">
        <f t="shared" si="84"/>
        <v>0.00</v>
      </c>
      <c r="Q37" s="418">
        <v>65</v>
      </c>
      <c r="R37" s="418">
        <v>0</v>
      </c>
      <c r="S37" s="418">
        <f t="shared" si="85"/>
        <v>0</v>
      </c>
      <c r="T37" s="401" t="s">
        <v>332</v>
      </c>
      <c r="U37" s="418" t="s">
        <v>333</v>
      </c>
      <c r="V37" s="401">
        <v>4</v>
      </c>
      <c r="W37" s="401" t="str">
        <f t="shared" si="69"/>
        <v>3C X 4</v>
      </c>
      <c r="X37" s="401" t="str">
        <f t="shared" si="70"/>
        <v>3C X 4</v>
      </c>
      <c r="Y37" s="435" t="s">
        <v>358</v>
      </c>
      <c r="Z37" s="393">
        <f>IF(T37="AIR",VLOOKUP(W37,'Catalogue Aluminium'!$B$141:$G$173,2,FALSE),IF(T37="GROUND",VLOOKUP(W37,'Catalogue Aluminium'!$B$141:$G$173,3,FALSE),IF(T37="DUCT",VLOOKUP(W37,'Catalogue Aluminium'!$B$141:$G$173,4,FALSE),IF(T37="TRENCH",VLOOKUP(W37,'Catalogue Aluminium'!$B$141:$G$173,2,FALSE)))))</f>
        <v>38</v>
      </c>
      <c r="AA37" s="402">
        <f>VLOOKUP(W37,'Catalogue Aluminium'!$B$141:$G$173,5,FALSE)</f>
        <v>5.9</v>
      </c>
      <c r="AB37" s="402">
        <f>VLOOKUP(W37,'Catalogue Aluminium'!$B$141:$G$173,6,FALSE)</f>
        <v>9.4700000000000006E-2</v>
      </c>
      <c r="AC37" s="434">
        <f t="shared" si="236"/>
        <v>67</v>
      </c>
      <c r="AD37" s="401">
        <f>50+30+28+29+12+12+25</f>
        <v>186</v>
      </c>
      <c r="AE37" s="401">
        <v>20</v>
      </c>
      <c r="AF37" s="401">
        <v>6</v>
      </c>
      <c r="AG37" s="401">
        <f t="shared" ref="AG37" si="937">ROUNDUP(SUM(AC37:AF37)*0.1,0)</f>
        <v>28</v>
      </c>
      <c r="AH37" s="436">
        <f t="shared" si="87"/>
        <v>310</v>
      </c>
      <c r="AI37" s="393">
        <f>IF(T37="AIR",'Catalogue Aluminium'!$K$141,IF(T37="TRENCH",'Catalogue Aluminium'!$K$144,"NA"))</f>
        <v>0.82</v>
      </c>
      <c r="AJ37" s="392">
        <f>IF(T37="Air",(IF(U37="1C",'Catalogue Aluminium'!$L$141,'Catalogue Aluminium'!$M$141)),IF(T37="DUCT",(IF($U37="1C",'Catalogue Aluminium'!$L$142,'Catalogue Aluminium'!$M$142)),IF(T37="GROUND",(IF($U37="1C",'Catalogue Aluminium'!$L$143,'Catalogue Aluminium'!$M$143)),IF(T37="TRENCH",(IF($U37="1C",'Catalogue Aluminium'!$L$144,'Catalogue Aluminium'!$M$144))))))</f>
        <v>0.73</v>
      </c>
      <c r="AK37" s="393" t="str">
        <f>IF(T37="Air",'Catalogue Aluminium'!$N$141,IF(T37="GROUND",'Catalogue Aluminium'!$N$142,IF(T37="DUCT",'Catalogue Aluminium'!$N$143,IF(T37="TRENCH",'Catalogue Aluminium'!$N$144,"NA"))))</f>
        <v>NA</v>
      </c>
      <c r="AL37" s="393" t="str">
        <f>IF(T37="Air",(IF(U37="1C",'Catalogue Aluminium'!$O$141,'Catalogue Aluminium'!$P$141)),IF(T37="DUCT",(IF($U37="1C",'Catalogue Aluminium'!$O$142,'Catalogue Aluminium'!$P$142)),IF(T37="GROUND",(IF($U37="1C",'Catalogue Aluminium'!$O$143,'Catalogue Aluminium'!$P$143)),IF(T37="TRENCH",(IF($U37="1C",'Catalogue Aluminium'!$O$144,'Catalogue Aluminium'!$P$144))))))</f>
        <v>NA</v>
      </c>
      <c r="AM37" s="393" t="str">
        <f>IF(T37="AIR","NA",IF(T37="TRENCH","NA",IF(T37="DUCT",IF(U37="1C",VLOOKUP(V37,'Catalogue Aluminium'!$Q$142:$S$153,2,FALSE),VLOOKUP(V37,'Catalogue Aluminium'!$Q$142:$S$153,3)),IF(T37="GROUND",IF(U37="1C",VLOOKUP(V37,'Catalogue Aluminium'!$Q$142:$S$153,2,FALSE),VLOOKUP(V37,'Catalogue Aluminium'!$Q$142:$S$153,3))))))</f>
        <v>NA</v>
      </c>
      <c r="AN37" s="404">
        <f t="shared" ref="AN37" si="938">IF(T37="AIR",AI37*AJ37,IF(T37="TRENCH",AI37*AJ37,IF(T37="DUCT",AJ37*AK37*AL37*AM37,IF(T37="GROUND",AJ37*AK37*AL37*AM37))))</f>
        <v>0.59859999999999991</v>
      </c>
      <c r="AO37" s="392">
        <f t="shared" ref="AO37" si="939">Z37*AN37</f>
        <v>22.746799999999997</v>
      </c>
      <c r="AP37" s="434">
        <f t="shared" ref="AP37" si="940">CEILING(((N37)/AO37),1)</f>
        <v>1</v>
      </c>
      <c r="AQ37" s="418" t="str">
        <f t="shared" ref="AQ37" si="941">IF(AO37*AP37&gt;=N37,"YES","NO")</f>
        <v>YES</v>
      </c>
      <c r="AR37" s="437">
        <f t="shared" ref="AR37" si="942">SQRT(3)*AH37*N37*((AA37*L37)+(AB37*SIN(ACOS(L37))))*100/(AP37*K37*1000)</f>
        <v>1.273279702658676</v>
      </c>
      <c r="AS37" s="401" t="str">
        <f t="shared" si="89"/>
        <v>YES</v>
      </c>
      <c r="AT37" s="437" t="str">
        <f t="shared" si="76"/>
        <v>NA</v>
      </c>
      <c r="AU37" s="401" t="str">
        <f t="shared" si="77"/>
        <v>NA</v>
      </c>
      <c r="AV37" s="437" t="str">
        <f t="shared" si="78"/>
        <v>1R x 6/10 (12)kV x 3C x 4 Sqmm</v>
      </c>
      <c r="AW37" s="437" t="str">
        <f t="shared" si="79"/>
        <v>1R x 6/10 (12)kV x 3C x 4 Sqmm</v>
      </c>
      <c r="AX37" s="401">
        <f t="shared" si="90"/>
        <v>310</v>
      </c>
      <c r="AY37" s="401"/>
      <c r="AZ37" s="401">
        <f t="shared" si="91"/>
        <v>2</v>
      </c>
      <c r="BA37" s="438" t="str">
        <f t="shared" si="80"/>
        <v>AQQ2RR1</v>
      </c>
      <c r="BB37" s="390">
        <f>VLOOKUP(W37,'Catalogue Aluminium'!$B$141:$H$173,7,FALSE)</f>
        <v>15</v>
      </c>
      <c r="BC37" s="439">
        <f t="shared" si="92"/>
        <v>15</v>
      </c>
      <c r="BE37" s="416"/>
      <c r="BF37" s="336">
        <v>1</v>
      </c>
      <c r="BG37" s="416"/>
      <c r="BH37" s="416"/>
      <c r="BI37" s="416"/>
      <c r="BJ37" s="416"/>
      <c r="BK37" s="416"/>
      <c r="BL37" s="416"/>
      <c r="BM37" s="416"/>
      <c r="BN37" s="416"/>
      <c r="BO37" s="416"/>
      <c r="BP37" s="416"/>
      <c r="BQ37" s="416"/>
      <c r="BR37" s="416"/>
      <c r="BS37" s="416"/>
      <c r="BT37" s="416"/>
      <c r="BU37" s="416"/>
      <c r="BV37" s="416"/>
      <c r="BW37" s="416"/>
      <c r="BX37" s="416"/>
      <c r="BY37" s="416"/>
      <c r="BZ37" s="416"/>
      <c r="CA37" s="416"/>
      <c r="CB37" s="416"/>
      <c r="CC37" s="416"/>
      <c r="CD37" s="416"/>
      <c r="CE37" s="416"/>
      <c r="CF37" s="416"/>
      <c r="CG37" s="416"/>
      <c r="CH37" s="416"/>
      <c r="CI37" s="416"/>
      <c r="CJ37" s="416"/>
      <c r="CK37" s="416"/>
      <c r="CL37" s="416"/>
      <c r="CM37" s="416"/>
      <c r="CN37" s="416"/>
      <c r="CO37" s="416"/>
      <c r="CP37" s="416"/>
      <c r="CQ37" s="416"/>
      <c r="CR37" s="416"/>
      <c r="CS37" s="416"/>
      <c r="CT37" s="416"/>
      <c r="CU37" s="416"/>
      <c r="CV37" s="416"/>
      <c r="CW37" s="416"/>
      <c r="CX37" s="336">
        <v>1</v>
      </c>
      <c r="CY37" s="416"/>
      <c r="CZ37" s="336">
        <v>1</v>
      </c>
      <c r="DA37" s="416"/>
      <c r="DB37" s="416"/>
      <c r="DC37" s="416"/>
      <c r="DD37" s="416"/>
      <c r="DE37" s="416"/>
      <c r="DF37" s="416"/>
      <c r="DG37" s="336">
        <v>1</v>
      </c>
      <c r="DH37" s="336">
        <v>1</v>
      </c>
      <c r="DI37" s="336"/>
      <c r="DJ37" s="336"/>
      <c r="DK37" s="336"/>
      <c r="DL37" s="416"/>
      <c r="DM37" s="416"/>
      <c r="DN37" s="416"/>
      <c r="DO37" s="416"/>
      <c r="DP37" s="416"/>
      <c r="DQ37" s="416"/>
      <c r="DR37" s="416"/>
      <c r="DS37" s="416"/>
      <c r="DT37" s="416"/>
      <c r="DU37" s="416"/>
      <c r="DW37" s="336">
        <f t="shared" ref="DW37" si="943">IF(BE37=1,($BC37*BE37),0)</f>
        <v>0</v>
      </c>
      <c r="DX37" s="336">
        <f t="shared" ref="DX37" si="944">IF(BF37=1,($BC37*BF37),0)</f>
        <v>15</v>
      </c>
      <c r="DY37" s="336">
        <f t="shared" ref="DY37" si="945">IF(BG37=1,($BC37*BG37),0)</f>
        <v>0</v>
      </c>
      <c r="DZ37" s="336">
        <f t="shared" ref="DZ37" si="946">IF(BH37=1,($BC37*BH37),0)</f>
        <v>0</v>
      </c>
      <c r="EA37" s="336">
        <f t="shared" ref="EA37" si="947">IF(BI37=1,($BC37*BI37),0)</f>
        <v>0</v>
      </c>
      <c r="EB37" s="336">
        <f t="shared" ref="EB37" si="948">IF(BJ37=1,($BC37*BJ37),0)</f>
        <v>0</v>
      </c>
      <c r="EC37" s="336">
        <f t="shared" ref="EC37" si="949">IF(BK37=1,($BC37*BK37),0)</f>
        <v>0</v>
      </c>
      <c r="ED37" s="336">
        <f t="shared" ref="ED37" si="950">IF(BL37=1,($BC37*BL37),0)</f>
        <v>0</v>
      </c>
      <c r="EE37" s="336">
        <f t="shared" ref="EE37" si="951">IF(BM37=1,($BC37*BM37),0)</f>
        <v>0</v>
      </c>
      <c r="EF37" s="336">
        <f t="shared" ref="EF37" si="952">IF(BN37=1,($BC37*BN37),0)</f>
        <v>0</v>
      </c>
      <c r="EG37" s="336">
        <f t="shared" ref="EG37" si="953">IF(BO37=1,($BC37*BO37),0)</f>
        <v>0</v>
      </c>
      <c r="EH37" s="336">
        <f t="shared" ref="EH37" si="954">IF(BP37=1,($BC37*BP37),0)</f>
        <v>0</v>
      </c>
      <c r="EI37" s="336">
        <f t="shared" ref="EI37" si="955">IF(BQ37=1,($BC37*BQ37),0)</f>
        <v>0</v>
      </c>
      <c r="EJ37" s="336">
        <f t="shared" ref="EJ37" si="956">IF(BR37=1,($BC37*BR37),0)</f>
        <v>0</v>
      </c>
      <c r="EK37" s="336">
        <f t="shared" ref="EK37" si="957">IF(BS37=1,($BC37*BS37),0)</f>
        <v>0</v>
      </c>
      <c r="EL37" s="336">
        <f t="shared" ref="EL37" si="958">IF(BT37=1,($BC37*BT37),0)</f>
        <v>0</v>
      </c>
      <c r="EM37" s="336">
        <f t="shared" ref="EM37" si="959">IF(BU37=1,($BC37*BU37),0)</f>
        <v>0</v>
      </c>
      <c r="EN37" s="336">
        <f t="shared" ref="EN37" si="960">IF(BV37=1,($BC37*BV37),0)</f>
        <v>0</v>
      </c>
      <c r="EO37" s="336">
        <f t="shared" ref="EO37" si="961">IF(BW37=1,($BC37*BW37),0)</f>
        <v>0</v>
      </c>
      <c r="EP37" s="336">
        <f t="shared" ref="EP37" si="962">IF(BX37=1,($BC37*BX37),0)</f>
        <v>0</v>
      </c>
      <c r="EQ37" s="336">
        <f t="shared" ref="EQ37" si="963">IF(BY37=1,($BC37*BY37),0)</f>
        <v>0</v>
      </c>
      <c r="ER37" s="336">
        <f t="shared" ref="ER37" si="964">IF(BZ37=1,($BC37*BZ37),0)</f>
        <v>0</v>
      </c>
      <c r="ES37" s="336">
        <f t="shared" ref="ES37" si="965">IF(CA37=1,($BC37*CA37),0)</f>
        <v>0</v>
      </c>
      <c r="ET37" s="336">
        <f t="shared" si="22"/>
        <v>0</v>
      </c>
      <c r="EU37" s="336">
        <f t="shared" si="23"/>
        <v>0</v>
      </c>
      <c r="EV37" s="336">
        <f t="shared" ref="EV37" si="966">IF(CD37=1,($BC37*CD37),0)</f>
        <v>0</v>
      </c>
      <c r="EW37" s="336">
        <f t="shared" ref="EW37" si="967">IF(CE37=1,($BC37*CE37),0)</f>
        <v>0</v>
      </c>
      <c r="EX37" s="336">
        <f t="shared" ref="EX37" si="968">IF(CF37=1,($BC37*CF37),0)</f>
        <v>0</v>
      </c>
      <c r="EY37" s="336">
        <f t="shared" ref="EY37" si="969">IF(CG37=1,($BC37*CG37),0)</f>
        <v>0</v>
      </c>
      <c r="EZ37" s="336">
        <f t="shared" ref="EZ37" si="970">IF(CH37=1,($BC37*CH37),0)</f>
        <v>0</v>
      </c>
      <c r="FA37" s="336">
        <f t="shared" ref="FA37" si="971">IF(CI37=1,($BC37*CI37),0)</f>
        <v>0</v>
      </c>
      <c r="FB37" s="336">
        <f t="shared" ref="FB37" si="972">IF(CJ37=1,($BC37*CJ37),0)</f>
        <v>0</v>
      </c>
      <c r="FC37" s="336">
        <f t="shared" ref="FC37" si="973">IF(CK37=1,($BC37*CK37),0)</f>
        <v>0</v>
      </c>
      <c r="FD37" s="336">
        <f t="shared" ref="FD37" si="974">IF(CL37=1,($BC37*CL37),0)</f>
        <v>0</v>
      </c>
      <c r="FE37" s="336">
        <f t="shared" ref="FE37" si="975">IF(CM37=1,($BC37*CM37),0)</f>
        <v>0</v>
      </c>
      <c r="FF37" s="336">
        <f t="shared" ref="FF37" si="976">IF(CN37=1,($BC37*CN37),0)</f>
        <v>0</v>
      </c>
      <c r="FG37" s="336">
        <f t="shared" ref="FG37" si="977">IF(CO37=1,($BC37*CO37),0)</f>
        <v>0</v>
      </c>
      <c r="FH37" s="336">
        <f t="shared" ref="FH37" si="978">IF(CP37=1,($BC37*CP37),0)</f>
        <v>0</v>
      </c>
      <c r="FI37" s="336">
        <f t="shared" ref="FI37" si="979">IF(CQ37=1,($BC37*CQ37),0)</f>
        <v>0</v>
      </c>
      <c r="FJ37" s="336">
        <f t="shared" ref="FJ37" si="980">IF(CR37=1,($BC37*CR37),0)</f>
        <v>0</v>
      </c>
      <c r="FK37" s="336">
        <f t="shared" ref="FK37" si="981">IF(CS37=1,($BC37*CS37),0)</f>
        <v>0</v>
      </c>
      <c r="FL37" s="336">
        <f t="shared" ref="FL37" si="982">IF(CT37=1,($BC37*CT37),0)</f>
        <v>0</v>
      </c>
      <c r="FM37" s="336">
        <f t="shared" ref="FM37" si="983">IF(CU37=1,($BC37*CU37),0)</f>
        <v>0</v>
      </c>
      <c r="FN37" s="336">
        <f t="shared" ref="FN37" si="984">IF(CV37=1,($BC37*CV37),0)</f>
        <v>0</v>
      </c>
      <c r="FO37" s="336">
        <f t="shared" ref="FO37" si="985">IF(CW37=1,($BC37*CW37),0)</f>
        <v>0</v>
      </c>
      <c r="FP37" s="336">
        <f t="shared" ref="FP37" si="986">IF(CX37=1,($BC37*CX37),0)</f>
        <v>15</v>
      </c>
      <c r="FQ37" s="336">
        <f t="shared" ref="FQ37" si="987">IF(CY37=1,($BC37*CY37),0)</f>
        <v>0</v>
      </c>
      <c r="FR37" s="336">
        <f t="shared" ref="FR37" si="988">IF(CZ37=1,($BC37*CZ37),0)</f>
        <v>15</v>
      </c>
      <c r="FS37" s="336">
        <f t="shared" ref="FS37" si="989">IF(DA37=1,($BC37*DA37),0)</f>
        <v>0</v>
      </c>
      <c r="FT37" s="336">
        <f t="shared" ref="FT37" si="990">IF(DB37=1,($BC37*DB37),0)</f>
        <v>0</v>
      </c>
      <c r="FU37" s="336">
        <f t="shared" si="93"/>
        <v>0</v>
      </c>
      <c r="FV37" s="336">
        <f t="shared" si="94"/>
        <v>0</v>
      </c>
      <c r="FW37" s="336">
        <f t="shared" si="95"/>
        <v>0</v>
      </c>
      <c r="FX37" s="336">
        <f t="shared" si="96"/>
        <v>0</v>
      </c>
      <c r="FY37" s="336">
        <f t="shared" ref="FY37" si="991">IF(DG37=1,($BC37*DG37),0)</f>
        <v>15</v>
      </c>
      <c r="FZ37" s="336">
        <f t="shared" ref="FZ37" si="992">IF(DH37=1,($BC37*DH37),0)</f>
        <v>15</v>
      </c>
      <c r="GA37" s="336">
        <f t="shared" ref="GA37" si="993">IF(DI37=1,($BC37*DI37),0)</f>
        <v>0</v>
      </c>
      <c r="GB37" s="336">
        <f t="shared" ref="GB37" si="994">IF(DJ37=1,($BC37*DJ37),0)</f>
        <v>0</v>
      </c>
      <c r="GC37" s="336">
        <f t="shared" ref="GC37" si="995">IF(DK37=1,($BC37*DK37),0)</f>
        <v>0</v>
      </c>
      <c r="GD37" s="336">
        <f t="shared" ref="GD37" si="996">IF(DL37=1,($BC37*DL37),0)</f>
        <v>0</v>
      </c>
      <c r="GE37" s="336">
        <f t="shared" ref="GE37" si="997">IF(DM37=1,($BC37*DM37),0)</f>
        <v>0</v>
      </c>
      <c r="GF37" s="336">
        <f t="shared" ref="GF37" si="998">IF(DN37=1,($BC37*DN37),0)</f>
        <v>0</v>
      </c>
      <c r="GG37" s="336">
        <f t="shared" ref="GG37" si="999">IF(DO37=1,($BC37*DO37),0)</f>
        <v>0</v>
      </c>
      <c r="GH37" s="336">
        <f t="shared" ref="GH37" si="1000">IF(DP37=1,($BC37*DP37),0)</f>
        <v>0</v>
      </c>
      <c r="GI37" s="336">
        <f t="shared" ref="GI37" si="1001">IF(DQ37=1,($BC37*DQ37),0)</f>
        <v>0</v>
      </c>
      <c r="GJ37" s="336">
        <f t="shared" ref="GJ37" si="1002">IF(DR37=1,($BC37*DR37),0)</f>
        <v>0</v>
      </c>
      <c r="GK37" s="336">
        <f t="shared" ref="GK37" si="1003">IF(DS37=1,($BC37*DS37),0)</f>
        <v>0</v>
      </c>
      <c r="GL37" s="336">
        <f t="shared" si="164"/>
        <v>0</v>
      </c>
      <c r="GM37" s="336">
        <f t="shared" ref="GM37" si="1004">IF(DU37=1,($BC37*DU37),0)</f>
        <v>0</v>
      </c>
    </row>
    <row r="38" spans="1:195" ht="18" customHeight="1">
      <c r="A38" s="337">
        <f t="shared" si="305"/>
        <v>30</v>
      </c>
      <c r="B38" s="444" t="s">
        <v>395</v>
      </c>
      <c r="C38" s="337" t="str">
        <f t="shared" si="82"/>
        <v>11kV MV Switchgear-1</v>
      </c>
      <c r="D38" s="440" t="s">
        <v>396</v>
      </c>
      <c r="E38" s="416" t="s">
        <v>387</v>
      </c>
      <c r="F38" s="417" t="s">
        <v>29</v>
      </c>
      <c r="G38" s="340" t="s">
        <v>350</v>
      </c>
      <c r="H38" s="418">
        <v>1100</v>
      </c>
      <c r="I38" s="337" t="s">
        <v>330</v>
      </c>
      <c r="J38" s="337" t="s">
        <v>331</v>
      </c>
      <c r="K38" s="341">
        <v>11000</v>
      </c>
      <c r="L38" s="342">
        <v>0.87</v>
      </c>
      <c r="M38" s="342">
        <v>0.96699999999999997</v>
      </c>
      <c r="N38" s="342">
        <f t="shared" si="83"/>
        <v>68.628796912209253</v>
      </c>
      <c r="O38" s="342">
        <f t="shared" si="67"/>
        <v>411.77278147325552</v>
      </c>
      <c r="P38" s="343">
        <f t="shared" si="84"/>
        <v>0.2</v>
      </c>
      <c r="Q38" s="342">
        <v>31.5</v>
      </c>
      <c r="R38" s="342">
        <v>0.16</v>
      </c>
      <c r="S38" s="342">
        <f t="shared" si="85"/>
        <v>134.04255319148936</v>
      </c>
      <c r="T38" s="344" t="s">
        <v>332</v>
      </c>
      <c r="U38" s="342" t="s">
        <v>333</v>
      </c>
      <c r="V38" s="344">
        <v>150</v>
      </c>
      <c r="W38" s="343" t="str">
        <f t="shared" si="69"/>
        <v>3C X 150</v>
      </c>
      <c r="X38" s="343" t="str">
        <f t="shared" si="70"/>
        <v>3C X 150+PE</v>
      </c>
      <c r="Y38" s="419" t="s">
        <v>346</v>
      </c>
      <c r="Z38" s="344">
        <f>IF(T38="AIR",VLOOKUP(W38,'Catalogue Aluminium'!$B$141:$G$173,2,FALSE),IF(T38="GROUND",VLOOKUP(W38,'Catalogue Aluminium'!$B$141:$G$173,3,FALSE),IF(T38="DUCT",VLOOKUP(W38,'Catalogue Aluminium'!$B$141:$G$173,4,FALSE),IF(T38="TRENCH",VLOOKUP(W38,'Catalogue Aluminium'!$B$141:$G$173,2,FALSE)))))</f>
        <v>309</v>
      </c>
      <c r="AA38" s="345">
        <f>VLOOKUP(W38,'Catalogue Aluminium'!$B$141:$G$173,5,FALSE)</f>
        <v>0.26500000000000001</v>
      </c>
      <c r="AB38" s="345">
        <f>VLOOKUP(W38,'Catalogue Aluminium'!$B$141:$G$173,6,FALSE)</f>
        <v>9.2999999999999999E-2</v>
      </c>
      <c r="AC38" s="349">
        <f t="shared" ref="AC38:AC39" si="1005">23+30</f>
        <v>53</v>
      </c>
      <c r="AD38" s="343">
        <f>50+30+28+29+12+12+30</f>
        <v>191</v>
      </c>
      <c r="AE38" s="343">
        <v>20</v>
      </c>
      <c r="AF38" s="343">
        <v>6</v>
      </c>
      <c r="AG38" s="343">
        <f t="shared" si="86"/>
        <v>27</v>
      </c>
      <c r="AH38" s="347">
        <f t="shared" si="87"/>
        <v>300</v>
      </c>
      <c r="AI38" s="344">
        <f>IF(T38="AIR",'Catalogue Aluminium'!$K$141,IF(T38="TRENCH",'Catalogue Aluminium'!$K$144,"NA"))</f>
        <v>0.82</v>
      </c>
      <c r="AJ38" s="342">
        <f>IF(T38="Air",(IF(U38="1C",'Catalogue Aluminium'!$L$141,'Catalogue Aluminium'!$M$141)),IF(T38="DUCT",(IF($U38="1C",'Catalogue Aluminium'!$L$142,'Catalogue Aluminium'!$M$142)),IF(T38="GROUND",(IF($U38="1C",'Catalogue Aluminium'!$L$143,'Catalogue Aluminium'!$M$143)),IF(T38="TRENCH",(IF($U38="1C",'Catalogue Aluminium'!$L$144,'Catalogue Aluminium'!$M$144))))))</f>
        <v>0.73</v>
      </c>
      <c r="AK38" s="344" t="str">
        <f>IF(T38="Air",'Catalogue Aluminium'!$N$141,IF(T38="GROUND",'Catalogue Aluminium'!$N$142,IF(T38="DUCT",'Catalogue Aluminium'!$N$143,IF(T38="TRENCH",'Catalogue Aluminium'!$N$144,"NA"))))</f>
        <v>NA</v>
      </c>
      <c r="AL38" s="344" t="str">
        <f>IF(T38="Air",(IF(U38="1C",'Catalogue Aluminium'!$O$141,'Catalogue Aluminium'!$P$141)),IF(T38="DUCT",(IF($U38="1C",'Catalogue Aluminium'!$O$142,'Catalogue Aluminium'!$P$142)),IF(T38="GROUND",(IF($U38="1C",'Catalogue Aluminium'!$O$143,'Catalogue Aluminium'!$P$143)),IF(T38="TRENCH",(IF($U38="1C",'Catalogue Aluminium'!$O$144,'Catalogue Aluminium'!$P$144))))))</f>
        <v>NA</v>
      </c>
      <c r="AM38" s="344" t="str">
        <f>IF(T38="AIR","NA",IF(T38="TRENCH","NA",IF(T38="DUCT",IF(U38="1C",VLOOKUP(V38,'Catalogue Aluminium'!$Q$142:$S$153,2,FALSE),VLOOKUP(V38,'Catalogue Aluminium'!$Q$142:$S$153,3)),IF(T38="GROUND",IF(U38="1C",VLOOKUP(V38,'Catalogue Aluminium'!$Q$142:$S$153,2,FALSE),VLOOKUP(V38,'Catalogue Aluminium'!$Q$142:$S$153,3))))))</f>
        <v>NA</v>
      </c>
      <c r="AN38" s="348">
        <f t="shared" si="71"/>
        <v>0.59859999999999991</v>
      </c>
      <c r="AO38" s="342">
        <f t="shared" si="72"/>
        <v>184.96739999999997</v>
      </c>
      <c r="AP38" s="349">
        <f t="shared" si="73"/>
        <v>1</v>
      </c>
      <c r="AQ38" s="350" t="str">
        <f t="shared" si="74"/>
        <v>YES</v>
      </c>
      <c r="AR38" s="351">
        <f t="shared" si="75"/>
        <v>8.9606519304564425E-2</v>
      </c>
      <c r="AS38" s="343" t="str">
        <f t="shared" si="89"/>
        <v>YES</v>
      </c>
      <c r="AT38" s="351">
        <f t="shared" si="76"/>
        <v>0.28033295523581553</v>
      </c>
      <c r="AU38" s="343" t="str">
        <f t="shared" si="77"/>
        <v>YES</v>
      </c>
      <c r="AV38" s="351" t="str">
        <f t="shared" si="78"/>
        <v>1R x 6/10 (12)kV x 3C x 150 Sqmm</v>
      </c>
      <c r="AW38" s="351" t="str">
        <f t="shared" si="79"/>
        <v>1R x 6/10 (12)kV x 3C x 150 Sqmm</v>
      </c>
      <c r="AX38" s="343">
        <f t="shared" si="90"/>
        <v>300</v>
      </c>
      <c r="AY38" s="343"/>
      <c r="AZ38" s="343">
        <f t="shared" si="91"/>
        <v>2</v>
      </c>
      <c r="BA38" s="356" t="str">
        <f t="shared" si="80"/>
        <v>AQQ2RR1</v>
      </c>
      <c r="BB38" s="340">
        <f>VLOOKUP(W38,'Catalogue Aluminium'!$B$141:$H$173,7,FALSE)</f>
        <v>62</v>
      </c>
      <c r="BC38" s="328">
        <f t="shared" si="92"/>
        <v>62</v>
      </c>
      <c r="BE38" s="416"/>
      <c r="BF38" s="336">
        <v>1</v>
      </c>
      <c r="BG38" s="416"/>
      <c r="BH38" s="416"/>
      <c r="BI38" s="416"/>
      <c r="BJ38" s="416"/>
      <c r="BK38" s="416"/>
      <c r="BL38" s="416"/>
      <c r="BM38" s="416"/>
      <c r="BN38" s="416"/>
      <c r="BO38" s="416"/>
      <c r="BP38" s="416"/>
      <c r="BQ38" s="416"/>
      <c r="BR38" s="416"/>
      <c r="BS38" s="416"/>
      <c r="BT38" s="416"/>
      <c r="BU38" s="416"/>
      <c r="BV38" s="416"/>
      <c r="BW38" s="416"/>
      <c r="BX38" s="416"/>
      <c r="BY38" s="416"/>
      <c r="BZ38" s="416"/>
      <c r="CA38" s="416"/>
      <c r="CB38" s="416"/>
      <c r="CC38" s="416"/>
      <c r="CD38" s="416"/>
      <c r="CE38" s="416"/>
      <c r="CF38" s="416"/>
      <c r="CG38" s="416"/>
      <c r="CH38" s="416"/>
      <c r="CI38" s="416"/>
      <c r="CJ38" s="416"/>
      <c r="CK38" s="416"/>
      <c r="CL38" s="416"/>
      <c r="CM38" s="416"/>
      <c r="CN38" s="416"/>
      <c r="CO38" s="416"/>
      <c r="CP38" s="416"/>
      <c r="CQ38" s="416"/>
      <c r="CR38" s="416"/>
      <c r="CS38" s="416"/>
      <c r="CT38" s="416"/>
      <c r="CU38" s="416"/>
      <c r="CV38" s="416"/>
      <c r="CW38" s="416"/>
      <c r="CX38" s="336">
        <v>1</v>
      </c>
      <c r="CY38" s="416"/>
      <c r="CZ38" s="336">
        <v>1</v>
      </c>
      <c r="DA38" s="416"/>
      <c r="DB38" s="416"/>
      <c r="DC38" s="416"/>
      <c r="DD38" s="416"/>
      <c r="DE38" s="416"/>
      <c r="DF38" s="416"/>
      <c r="DG38" s="336">
        <v>1</v>
      </c>
      <c r="DH38" s="336">
        <v>1</v>
      </c>
      <c r="DI38" s="336"/>
      <c r="DJ38" s="336"/>
      <c r="DK38" s="336"/>
      <c r="DL38" s="416"/>
      <c r="DM38" s="416"/>
      <c r="DN38" s="416"/>
      <c r="DO38" s="416"/>
      <c r="DP38" s="416"/>
      <c r="DQ38" s="416"/>
      <c r="DR38" s="416"/>
      <c r="DS38" s="416"/>
      <c r="DT38" s="416"/>
      <c r="DU38" s="416"/>
      <c r="DW38" s="336">
        <f t="shared" si="81"/>
        <v>0</v>
      </c>
      <c r="DX38" s="336">
        <f t="shared" si="0"/>
        <v>62</v>
      </c>
      <c r="DY38" s="336">
        <f t="shared" si="1"/>
        <v>0</v>
      </c>
      <c r="DZ38" s="336">
        <f t="shared" si="2"/>
        <v>0</v>
      </c>
      <c r="EA38" s="336">
        <f t="shared" si="3"/>
        <v>0</v>
      </c>
      <c r="EB38" s="336">
        <f t="shared" si="4"/>
        <v>0</v>
      </c>
      <c r="EC38" s="336">
        <f t="shared" si="5"/>
        <v>0</v>
      </c>
      <c r="ED38" s="336">
        <f t="shared" si="6"/>
        <v>0</v>
      </c>
      <c r="EE38" s="336">
        <f t="shared" si="7"/>
        <v>0</v>
      </c>
      <c r="EF38" s="336">
        <f t="shared" si="8"/>
        <v>0</v>
      </c>
      <c r="EG38" s="336">
        <f t="shared" si="9"/>
        <v>0</v>
      </c>
      <c r="EH38" s="336">
        <f t="shared" si="10"/>
        <v>0</v>
      </c>
      <c r="EI38" s="336">
        <f t="shared" si="11"/>
        <v>0</v>
      </c>
      <c r="EJ38" s="336">
        <f t="shared" si="12"/>
        <v>0</v>
      </c>
      <c r="EK38" s="336">
        <f t="shared" si="13"/>
        <v>0</v>
      </c>
      <c r="EL38" s="336">
        <f t="shared" si="14"/>
        <v>0</v>
      </c>
      <c r="EM38" s="336">
        <f t="shared" si="15"/>
        <v>0</v>
      </c>
      <c r="EN38" s="336">
        <f t="shared" si="16"/>
        <v>0</v>
      </c>
      <c r="EO38" s="336">
        <f t="shared" si="17"/>
        <v>0</v>
      </c>
      <c r="EP38" s="336">
        <f t="shared" si="18"/>
        <v>0</v>
      </c>
      <c r="EQ38" s="336">
        <f t="shared" si="19"/>
        <v>0</v>
      </c>
      <c r="ER38" s="336">
        <f t="shared" si="20"/>
        <v>0</v>
      </c>
      <c r="ES38" s="336">
        <f t="shared" si="21"/>
        <v>0</v>
      </c>
      <c r="ET38" s="336">
        <f t="shared" si="22"/>
        <v>0</v>
      </c>
      <c r="EU38" s="336">
        <f t="shared" si="23"/>
        <v>0</v>
      </c>
      <c r="EV38" s="336">
        <f t="shared" si="24"/>
        <v>0</v>
      </c>
      <c r="EW38" s="336">
        <f t="shared" si="25"/>
        <v>0</v>
      </c>
      <c r="EX38" s="336">
        <f t="shared" si="26"/>
        <v>0</v>
      </c>
      <c r="EY38" s="336">
        <f t="shared" si="27"/>
        <v>0</v>
      </c>
      <c r="EZ38" s="336">
        <f t="shared" si="28"/>
        <v>0</v>
      </c>
      <c r="FA38" s="336">
        <f t="shared" si="29"/>
        <v>0</v>
      </c>
      <c r="FB38" s="336">
        <f t="shared" si="30"/>
        <v>0</v>
      </c>
      <c r="FC38" s="336">
        <f t="shared" si="31"/>
        <v>0</v>
      </c>
      <c r="FD38" s="336">
        <f t="shared" si="32"/>
        <v>0</v>
      </c>
      <c r="FE38" s="336">
        <f t="shared" si="33"/>
        <v>0</v>
      </c>
      <c r="FF38" s="336">
        <f t="shared" si="34"/>
        <v>0</v>
      </c>
      <c r="FG38" s="336">
        <f t="shared" si="35"/>
        <v>0</v>
      </c>
      <c r="FH38" s="336">
        <f t="shared" si="36"/>
        <v>0</v>
      </c>
      <c r="FI38" s="336">
        <f t="shared" si="37"/>
        <v>0</v>
      </c>
      <c r="FJ38" s="336">
        <f t="shared" si="38"/>
        <v>0</v>
      </c>
      <c r="FK38" s="336">
        <f t="shared" si="39"/>
        <v>0</v>
      </c>
      <c r="FL38" s="336">
        <f t="shared" si="40"/>
        <v>0</v>
      </c>
      <c r="FM38" s="336">
        <f t="shared" si="41"/>
        <v>0</v>
      </c>
      <c r="FN38" s="336">
        <f t="shared" si="42"/>
        <v>0</v>
      </c>
      <c r="FO38" s="336">
        <f t="shared" si="43"/>
        <v>0</v>
      </c>
      <c r="FP38" s="336">
        <f t="shared" si="44"/>
        <v>62</v>
      </c>
      <c r="FQ38" s="336">
        <f t="shared" si="45"/>
        <v>0</v>
      </c>
      <c r="FR38" s="336">
        <f t="shared" si="46"/>
        <v>62</v>
      </c>
      <c r="FS38" s="336">
        <f t="shared" si="47"/>
        <v>0</v>
      </c>
      <c r="FT38" s="336">
        <f t="shared" si="48"/>
        <v>0</v>
      </c>
      <c r="FU38" s="336">
        <f t="shared" si="93"/>
        <v>0</v>
      </c>
      <c r="FV38" s="336">
        <f t="shared" si="94"/>
        <v>0</v>
      </c>
      <c r="FW38" s="336">
        <f t="shared" si="95"/>
        <v>0</v>
      </c>
      <c r="FX38" s="336">
        <f t="shared" si="96"/>
        <v>0</v>
      </c>
      <c r="FY38" s="336">
        <f t="shared" si="53"/>
        <v>62</v>
      </c>
      <c r="FZ38" s="336">
        <f t="shared" si="54"/>
        <v>62</v>
      </c>
      <c r="GA38" s="336">
        <f t="shared" si="55"/>
        <v>0</v>
      </c>
      <c r="GB38" s="336">
        <f t="shared" si="56"/>
        <v>0</v>
      </c>
      <c r="GC38" s="336">
        <f t="shared" si="57"/>
        <v>0</v>
      </c>
      <c r="GD38" s="336">
        <f t="shared" si="58"/>
        <v>0</v>
      </c>
      <c r="GE38" s="336">
        <f t="shared" si="59"/>
        <v>0</v>
      </c>
      <c r="GF38" s="336">
        <f t="shared" si="60"/>
        <v>0</v>
      </c>
      <c r="GG38" s="336">
        <f t="shared" si="61"/>
        <v>0</v>
      </c>
      <c r="GH38" s="336">
        <f t="shared" si="62"/>
        <v>0</v>
      </c>
      <c r="GI38" s="336">
        <f t="shared" si="63"/>
        <v>0</v>
      </c>
      <c r="GJ38" s="336">
        <f t="shared" si="64"/>
        <v>0</v>
      </c>
      <c r="GK38" s="336">
        <f>IF(DS38=1,($BC38*DS38),0)</f>
        <v>0</v>
      </c>
      <c r="GL38" s="336">
        <f t="shared" si="164"/>
        <v>0</v>
      </c>
      <c r="GM38" s="336">
        <f t="shared" si="66"/>
        <v>0</v>
      </c>
    </row>
    <row r="39" spans="1:195" ht="18" customHeight="1">
      <c r="A39" s="388">
        <f t="shared" si="305"/>
        <v>31</v>
      </c>
      <c r="B39" s="445" t="s">
        <v>395</v>
      </c>
      <c r="C39" s="388" t="str">
        <f t="shared" si="82"/>
        <v>11kV MV Switchgear-1</v>
      </c>
      <c r="D39" s="441" t="s">
        <v>397</v>
      </c>
      <c r="E39" s="432" t="s">
        <v>387</v>
      </c>
      <c r="F39" s="433" t="s">
        <v>29</v>
      </c>
      <c r="G39" s="390" t="s">
        <v>329</v>
      </c>
      <c r="H39" s="396">
        <v>0.2</v>
      </c>
      <c r="I39" s="388" t="s">
        <v>330</v>
      </c>
      <c r="J39" s="388" t="s">
        <v>357</v>
      </c>
      <c r="K39" s="434">
        <v>230</v>
      </c>
      <c r="L39" s="401">
        <v>0.85</v>
      </c>
      <c r="M39" s="418">
        <v>0.95</v>
      </c>
      <c r="N39" s="392">
        <f t="shared" si="83"/>
        <v>1.0768609503297888</v>
      </c>
      <c r="O39" s="392">
        <f t="shared" si="67"/>
        <v>0</v>
      </c>
      <c r="P39" s="401" t="str">
        <f t="shared" si="84"/>
        <v>0.00</v>
      </c>
      <c r="Q39" s="418">
        <v>65</v>
      </c>
      <c r="R39" s="418">
        <v>0</v>
      </c>
      <c r="S39" s="418">
        <f t="shared" si="85"/>
        <v>0</v>
      </c>
      <c r="T39" s="401" t="s">
        <v>332</v>
      </c>
      <c r="U39" s="418" t="s">
        <v>333</v>
      </c>
      <c r="V39" s="401">
        <v>2.5</v>
      </c>
      <c r="W39" s="401" t="str">
        <f t="shared" si="69"/>
        <v>3C X 2.5</v>
      </c>
      <c r="X39" s="401" t="str">
        <f t="shared" si="70"/>
        <v>3C X 2.5</v>
      </c>
      <c r="Y39" s="435" t="s">
        <v>358</v>
      </c>
      <c r="Z39" s="393">
        <f>IF(T39="AIR",VLOOKUP(W39,'Catalogue Aluminium'!$B$141:$G$173,2,FALSE),IF(T39="GROUND",VLOOKUP(W39,'Catalogue Aluminium'!$B$141:$G$173,3,FALSE),IF(T39="DUCT",VLOOKUP(W39,'Catalogue Aluminium'!$B$141:$G$173,4,FALSE),IF(T39="TRENCH",VLOOKUP(W39,'Catalogue Aluminium'!$B$141:$G$173,2,FALSE)))))</f>
        <v>28</v>
      </c>
      <c r="AA39" s="402">
        <f>VLOOKUP(W39,'Catalogue Aluminium'!$B$141:$G$173,5,FALSE)</f>
        <v>9.48</v>
      </c>
      <c r="AB39" s="402">
        <f>VLOOKUP(W39,'Catalogue Aluminium'!$B$141:$G$173,6,FALSE)</f>
        <v>0.1007</v>
      </c>
      <c r="AC39" s="434">
        <f t="shared" si="1005"/>
        <v>53</v>
      </c>
      <c r="AD39" s="401">
        <f>50+30+28+29+12+12+30</f>
        <v>191</v>
      </c>
      <c r="AE39" s="401">
        <v>20</v>
      </c>
      <c r="AF39" s="401">
        <v>6</v>
      </c>
      <c r="AG39" s="401">
        <f t="shared" ref="AG39" si="1006">ROUNDUP(SUM(AC39:AF39)*0.1,0)</f>
        <v>27</v>
      </c>
      <c r="AH39" s="436">
        <f t="shared" si="87"/>
        <v>300</v>
      </c>
      <c r="AI39" s="393">
        <f>IF(T39="AIR",'Catalogue Aluminium'!$K$141,IF(T39="TRENCH",'Catalogue Aluminium'!$K$144,"NA"))</f>
        <v>0.82</v>
      </c>
      <c r="AJ39" s="392">
        <f>IF(T39="Air",(IF(U39="1C",'Catalogue Aluminium'!$L$141,'Catalogue Aluminium'!$M$141)),IF(T39="DUCT",(IF($U39="1C",'Catalogue Aluminium'!$L$142,'Catalogue Aluminium'!$M$142)),IF(T39="GROUND",(IF($U39="1C",'Catalogue Aluminium'!$L$143,'Catalogue Aluminium'!$M$143)),IF(T39="TRENCH",(IF($U39="1C",'Catalogue Aluminium'!$L$144,'Catalogue Aluminium'!$M$144))))))</f>
        <v>0.73</v>
      </c>
      <c r="AK39" s="393" t="str">
        <f>IF(T39="Air",'Catalogue Aluminium'!$N$141,IF(T39="GROUND",'Catalogue Aluminium'!$N$142,IF(T39="DUCT",'Catalogue Aluminium'!$N$143,IF(T39="TRENCH",'Catalogue Aluminium'!$N$144,"NA"))))</f>
        <v>NA</v>
      </c>
      <c r="AL39" s="393" t="str">
        <f>IF(T39="Air",(IF(U39="1C",'Catalogue Aluminium'!$O$141,'Catalogue Aluminium'!$P$141)),IF(T39="DUCT",(IF($U39="1C",'Catalogue Aluminium'!$O$142,'Catalogue Aluminium'!$P$142)),IF(T39="GROUND",(IF($U39="1C",'Catalogue Aluminium'!$O$143,'Catalogue Aluminium'!$P$143)),IF(T39="TRENCH",(IF($U39="1C",'Catalogue Aluminium'!$O$144,'Catalogue Aluminium'!$P$144))))))</f>
        <v>NA</v>
      </c>
      <c r="AM39" s="393" t="str">
        <f>IF(T39="AIR","NA",IF(T39="TRENCH","NA",IF(T39="DUCT",IF(U39="1C",VLOOKUP(V39,'Catalogue Aluminium'!$Q$142:$S$153,2,FALSE),VLOOKUP(V39,'Catalogue Aluminium'!$Q$142:$S$153,3)),IF(T39="GROUND",IF(U39="1C",VLOOKUP(V39,'Catalogue Aluminium'!$Q$142:$S$153,2,FALSE),VLOOKUP(V39,'Catalogue Aluminium'!$Q$142:$S$153,3))))))</f>
        <v>NA</v>
      </c>
      <c r="AN39" s="404">
        <f t="shared" ref="AN39" si="1007">IF(T39="AIR",AI39*AJ39,IF(T39="TRENCH",AI39*AJ39,IF(T39="DUCT",AJ39*AK39*AL39*AM39,IF(T39="GROUND",AJ39*AK39*AL39*AM39))))</f>
        <v>0.59859999999999991</v>
      </c>
      <c r="AO39" s="392">
        <f t="shared" ref="AO39" si="1008">Z39*AN39</f>
        <v>16.760799999999996</v>
      </c>
      <c r="AP39" s="434">
        <f t="shared" ref="AP39" si="1009">CEILING(((N39)/AO39),1)</f>
        <v>1</v>
      </c>
      <c r="AQ39" s="418" t="str">
        <f t="shared" ref="AQ39" si="1010">IF(AO39*AP39&gt;=N39,"YES","NO")</f>
        <v>YES</v>
      </c>
      <c r="AR39" s="437">
        <f t="shared" ref="AR39" si="1011">SQRT(3)*AH39*N39*((AA39*L39)+(AB39*SIN(ACOS(L39))))*100/(AP39*K39*1000)</f>
        <v>1.9732885393308484</v>
      </c>
      <c r="AS39" s="401" t="str">
        <f t="shared" si="89"/>
        <v>YES</v>
      </c>
      <c r="AT39" s="437" t="str">
        <f t="shared" si="76"/>
        <v>NA</v>
      </c>
      <c r="AU39" s="401" t="str">
        <f t="shared" si="77"/>
        <v>NA</v>
      </c>
      <c r="AV39" s="437" t="str">
        <f t="shared" si="78"/>
        <v>1R x 6/10 (12)kV x 3C x 2.5 Sqmm</v>
      </c>
      <c r="AW39" s="437" t="str">
        <f t="shared" si="79"/>
        <v>1R x 6/10 (12)kV x 3C x 2.5 Sqmm</v>
      </c>
      <c r="AX39" s="401">
        <f t="shared" si="90"/>
        <v>300</v>
      </c>
      <c r="AY39" s="401"/>
      <c r="AZ39" s="401">
        <f t="shared" si="91"/>
        <v>2</v>
      </c>
      <c r="BA39" s="438" t="str">
        <f t="shared" si="80"/>
        <v>AQQ2RR1</v>
      </c>
      <c r="BB39" s="390">
        <f>VLOOKUP(W39,'Catalogue Aluminium'!$B$141:$H$173,7,FALSE)</f>
        <v>14</v>
      </c>
      <c r="BC39" s="439">
        <f t="shared" si="92"/>
        <v>14</v>
      </c>
      <c r="BE39" s="416"/>
      <c r="BF39" s="336">
        <v>1</v>
      </c>
      <c r="BG39" s="416"/>
      <c r="BH39" s="416"/>
      <c r="BI39" s="416"/>
      <c r="BJ39" s="416"/>
      <c r="BK39" s="416"/>
      <c r="BL39" s="416"/>
      <c r="BM39" s="416"/>
      <c r="BN39" s="416"/>
      <c r="BO39" s="416"/>
      <c r="BP39" s="416"/>
      <c r="BQ39" s="416"/>
      <c r="BR39" s="416"/>
      <c r="BS39" s="416"/>
      <c r="BT39" s="416"/>
      <c r="BU39" s="416"/>
      <c r="BV39" s="416"/>
      <c r="BW39" s="416"/>
      <c r="BX39" s="416"/>
      <c r="BY39" s="416"/>
      <c r="BZ39" s="416"/>
      <c r="CA39" s="416"/>
      <c r="CB39" s="416"/>
      <c r="CC39" s="416"/>
      <c r="CD39" s="416"/>
      <c r="CE39" s="416"/>
      <c r="CF39" s="416"/>
      <c r="CG39" s="416"/>
      <c r="CH39" s="416"/>
      <c r="CI39" s="416"/>
      <c r="CJ39" s="416"/>
      <c r="CK39" s="416"/>
      <c r="CL39" s="416"/>
      <c r="CM39" s="416"/>
      <c r="CN39" s="416"/>
      <c r="CO39" s="416"/>
      <c r="CP39" s="416"/>
      <c r="CQ39" s="416"/>
      <c r="CR39" s="416"/>
      <c r="CS39" s="416"/>
      <c r="CT39" s="416"/>
      <c r="CU39" s="416"/>
      <c r="CV39" s="416"/>
      <c r="CW39" s="416"/>
      <c r="CX39" s="336">
        <v>1</v>
      </c>
      <c r="CY39" s="416"/>
      <c r="CZ39" s="336">
        <v>1</v>
      </c>
      <c r="DA39" s="416"/>
      <c r="DB39" s="416"/>
      <c r="DC39" s="416"/>
      <c r="DD39" s="416"/>
      <c r="DE39" s="416"/>
      <c r="DF39" s="416"/>
      <c r="DG39" s="336">
        <v>1</v>
      </c>
      <c r="DH39" s="336">
        <v>1</v>
      </c>
      <c r="DI39" s="336"/>
      <c r="DJ39" s="336"/>
      <c r="DK39" s="336"/>
      <c r="DL39" s="416"/>
      <c r="DM39" s="416"/>
      <c r="DN39" s="416"/>
      <c r="DO39" s="416"/>
      <c r="DP39" s="416"/>
      <c r="DQ39" s="416"/>
      <c r="DR39" s="416"/>
      <c r="DS39" s="416"/>
      <c r="DT39" s="416"/>
      <c r="DU39" s="416"/>
      <c r="DW39" s="336">
        <f t="shared" ref="DW39" si="1012">IF(BE39=1,($BC39*BE39),0)</f>
        <v>0</v>
      </c>
      <c r="DX39" s="336">
        <f t="shared" ref="DX39" si="1013">IF(BF39=1,($BC39*BF39),0)</f>
        <v>14</v>
      </c>
      <c r="DY39" s="336">
        <f t="shared" ref="DY39" si="1014">IF(BG39=1,($BC39*BG39),0)</f>
        <v>0</v>
      </c>
      <c r="DZ39" s="336">
        <f t="shared" ref="DZ39" si="1015">IF(BH39=1,($BC39*BH39),0)</f>
        <v>0</v>
      </c>
      <c r="EA39" s="336">
        <f t="shared" ref="EA39" si="1016">IF(BI39=1,($BC39*BI39),0)</f>
        <v>0</v>
      </c>
      <c r="EB39" s="336">
        <f t="shared" ref="EB39" si="1017">IF(BJ39=1,($BC39*BJ39),0)</f>
        <v>0</v>
      </c>
      <c r="EC39" s="336">
        <f t="shared" ref="EC39" si="1018">IF(BK39=1,($BC39*BK39),0)</f>
        <v>0</v>
      </c>
      <c r="ED39" s="336">
        <f t="shared" ref="ED39" si="1019">IF(BL39=1,($BC39*BL39),0)</f>
        <v>0</v>
      </c>
      <c r="EE39" s="336">
        <f t="shared" ref="EE39" si="1020">IF(BM39=1,($BC39*BM39),0)</f>
        <v>0</v>
      </c>
      <c r="EF39" s="336">
        <f t="shared" ref="EF39" si="1021">IF(BN39=1,($BC39*BN39),0)</f>
        <v>0</v>
      </c>
      <c r="EG39" s="336">
        <f t="shared" ref="EG39" si="1022">IF(BO39=1,($BC39*BO39),0)</f>
        <v>0</v>
      </c>
      <c r="EH39" s="336">
        <f t="shared" ref="EH39" si="1023">IF(BP39=1,($BC39*BP39),0)</f>
        <v>0</v>
      </c>
      <c r="EI39" s="336">
        <f t="shared" ref="EI39" si="1024">IF(BQ39=1,($BC39*BQ39),0)</f>
        <v>0</v>
      </c>
      <c r="EJ39" s="336">
        <f t="shared" ref="EJ39" si="1025">IF(BR39=1,($BC39*BR39),0)</f>
        <v>0</v>
      </c>
      <c r="EK39" s="336">
        <f t="shared" ref="EK39" si="1026">IF(BS39=1,($BC39*BS39),0)</f>
        <v>0</v>
      </c>
      <c r="EL39" s="336">
        <f t="shared" ref="EL39" si="1027">IF(BT39=1,($BC39*BT39),0)</f>
        <v>0</v>
      </c>
      <c r="EM39" s="336">
        <f t="shared" ref="EM39" si="1028">IF(BU39=1,($BC39*BU39),0)</f>
        <v>0</v>
      </c>
      <c r="EN39" s="336">
        <f t="shared" ref="EN39" si="1029">IF(BV39=1,($BC39*BV39),0)</f>
        <v>0</v>
      </c>
      <c r="EO39" s="336">
        <f t="shared" ref="EO39" si="1030">IF(BW39=1,($BC39*BW39),0)</f>
        <v>0</v>
      </c>
      <c r="EP39" s="336">
        <f t="shared" ref="EP39" si="1031">IF(BX39=1,($BC39*BX39),0)</f>
        <v>0</v>
      </c>
      <c r="EQ39" s="336">
        <f t="shared" ref="EQ39" si="1032">IF(BY39=1,($BC39*BY39),0)</f>
        <v>0</v>
      </c>
      <c r="ER39" s="336">
        <f t="shared" ref="ER39" si="1033">IF(BZ39=1,($BC39*BZ39),0)</f>
        <v>0</v>
      </c>
      <c r="ES39" s="336">
        <f t="shared" ref="ES39" si="1034">IF(CA39=1,($BC39*CA39),0)</f>
        <v>0</v>
      </c>
      <c r="ET39" s="336">
        <f t="shared" si="22"/>
        <v>0</v>
      </c>
      <c r="EU39" s="336">
        <f t="shared" si="23"/>
        <v>0</v>
      </c>
      <c r="EV39" s="336">
        <f t="shared" ref="EV39" si="1035">IF(CD39=1,($BC39*CD39),0)</f>
        <v>0</v>
      </c>
      <c r="EW39" s="336">
        <f t="shared" ref="EW39" si="1036">IF(CE39=1,($BC39*CE39),0)</f>
        <v>0</v>
      </c>
      <c r="EX39" s="336">
        <f t="shared" ref="EX39" si="1037">IF(CF39=1,($BC39*CF39),0)</f>
        <v>0</v>
      </c>
      <c r="EY39" s="336">
        <f t="shared" ref="EY39" si="1038">IF(CG39=1,($BC39*CG39),0)</f>
        <v>0</v>
      </c>
      <c r="EZ39" s="336">
        <f t="shared" ref="EZ39" si="1039">IF(CH39=1,($BC39*CH39),0)</f>
        <v>0</v>
      </c>
      <c r="FA39" s="336">
        <f t="shared" ref="FA39" si="1040">IF(CI39=1,($BC39*CI39),0)</f>
        <v>0</v>
      </c>
      <c r="FB39" s="336">
        <f t="shared" ref="FB39" si="1041">IF(CJ39=1,($BC39*CJ39),0)</f>
        <v>0</v>
      </c>
      <c r="FC39" s="336">
        <f t="shared" ref="FC39" si="1042">IF(CK39=1,($BC39*CK39),0)</f>
        <v>0</v>
      </c>
      <c r="FD39" s="336">
        <f t="shared" ref="FD39" si="1043">IF(CL39=1,($BC39*CL39),0)</f>
        <v>0</v>
      </c>
      <c r="FE39" s="336">
        <f t="shared" ref="FE39" si="1044">IF(CM39=1,($BC39*CM39),0)</f>
        <v>0</v>
      </c>
      <c r="FF39" s="336">
        <f t="shared" ref="FF39" si="1045">IF(CN39=1,($BC39*CN39),0)</f>
        <v>0</v>
      </c>
      <c r="FG39" s="336">
        <f t="shared" ref="FG39" si="1046">IF(CO39=1,($BC39*CO39),0)</f>
        <v>0</v>
      </c>
      <c r="FH39" s="336">
        <f t="shared" ref="FH39" si="1047">IF(CP39=1,($BC39*CP39),0)</f>
        <v>0</v>
      </c>
      <c r="FI39" s="336">
        <f t="shared" ref="FI39" si="1048">IF(CQ39=1,($BC39*CQ39),0)</f>
        <v>0</v>
      </c>
      <c r="FJ39" s="336">
        <f t="shared" ref="FJ39" si="1049">IF(CR39=1,($BC39*CR39),0)</f>
        <v>0</v>
      </c>
      <c r="FK39" s="336">
        <f t="shared" ref="FK39" si="1050">IF(CS39=1,($BC39*CS39),0)</f>
        <v>0</v>
      </c>
      <c r="FL39" s="336">
        <f t="shared" ref="FL39" si="1051">IF(CT39=1,($BC39*CT39),0)</f>
        <v>0</v>
      </c>
      <c r="FM39" s="336">
        <f t="shared" ref="FM39" si="1052">IF(CU39=1,($BC39*CU39),0)</f>
        <v>0</v>
      </c>
      <c r="FN39" s="336">
        <f t="shared" ref="FN39" si="1053">IF(CV39=1,($BC39*CV39),0)</f>
        <v>0</v>
      </c>
      <c r="FO39" s="336">
        <f t="shared" ref="FO39" si="1054">IF(CW39=1,($BC39*CW39),0)</f>
        <v>0</v>
      </c>
      <c r="FP39" s="336">
        <f t="shared" ref="FP39" si="1055">IF(CX39=1,($BC39*CX39),0)</f>
        <v>14</v>
      </c>
      <c r="FQ39" s="336">
        <f t="shared" ref="FQ39" si="1056">IF(CY39=1,($BC39*CY39),0)</f>
        <v>0</v>
      </c>
      <c r="FR39" s="336">
        <f t="shared" ref="FR39" si="1057">IF(CZ39=1,($BC39*CZ39),0)</f>
        <v>14</v>
      </c>
      <c r="FS39" s="336">
        <f t="shared" ref="FS39" si="1058">IF(DA39=1,($BC39*DA39),0)</f>
        <v>0</v>
      </c>
      <c r="FT39" s="336">
        <f t="shared" ref="FT39" si="1059">IF(DB39=1,($BC39*DB39),0)</f>
        <v>0</v>
      </c>
      <c r="FU39" s="336">
        <f t="shared" si="93"/>
        <v>0</v>
      </c>
      <c r="FV39" s="336">
        <f t="shared" si="94"/>
        <v>0</v>
      </c>
      <c r="FW39" s="336">
        <f t="shared" si="95"/>
        <v>0</v>
      </c>
      <c r="FX39" s="336">
        <f t="shared" si="96"/>
        <v>0</v>
      </c>
      <c r="FY39" s="336">
        <f t="shared" ref="FY39" si="1060">IF(DG39=1,($BC39*DG39),0)</f>
        <v>14</v>
      </c>
      <c r="FZ39" s="336">
        <f t="shared" ref="FZ39" si="1061">IF(DH39=1,($BC39*DH39),0)</f>
        <v>14</v>
      </c>
      <c r="GA39" s="336">
        <f t="shared" ref="GA39" si="1062">IF(DI39=1,($BC39*DI39),0)</f>
        <v>0</v>
      </c>
      <c r="GB39" s="336">
        <f t="shared" ref="GB39" si="1063">IF(DJ39=1,($BC39*DJ39),0)</f>
        <v>0</v>
      </c>
      <c r="GC39" s="336">
        <f t="shared" ref="GC39" si="1064">IF(DK39=1,($BC39*DK39),0)</f>
        <v>0</v>
      </c>
      <c r="GD39" s="336">
        <f t="shared" ref="GD39" si="1065">IF(DL39=1,($BC39*DL39),0)</f>
        <v>0</v>
      </c>
      <c r="GE39" s="336">
        <f t="shared" ref="GE39" si="1066">IF(DM39=1,($BC39*DM39),0)</f>
        <v>0</v>
      </c>
      <c r="GF39" s="336">
        <f t="shared" ref="GF39" si="1067">IF(DN39=1,($BC39*DN39),0)</f>
        <v>0</v>
      </c>
      <c r="GG39" s="336">
        <f t="shared" ref="GG39" si="1068">IF(DO39=1,($BC39*DO39),0)</f>
        <v>0</v>
      </c>
      <c r="GH39" s="336">
        <f t="shared" ref="GH39" si="1069">IF(DP39=1,($BC39*DP39),0)</f>
        <v>0</v>
      </c>
      <c r="GI39" s="336">
        <f t="shared" ref="GI39" si="1070">IF(DQ39=1,($BC39*DQ39),0)</f>
        <v>0</v>
      </c>
      <c r="GJ39" s="336">
        <f t="shared" ref="GJ39" si="1071">IF(DR39=1,($BC39*DR39),0)</f>
        <v>0</v>
      </c>
      <c r="GK39" s="336">
        <f t="shared" ref="GK39" si="1072">IF(DS39=1,($BC39*DS39),0)</f>
        <v>0</v>
      </c>
      <c r="GL39" s="336">
        <f t="shared" si="164"/>
        <v>0</v>
      </c>
      <c r="GM39" s="336">
        <f t="shared" ref="GM39" si="1073">IF(DU39=1,($BC39*DU39),0)</f>
        <v>0</v>
      </c>
    </row>
    <row r="40" spans="1:195" s="36" customFormat="1" ht="26.25" customHeight="1">
      <c r="A40" s="446"/>
      <c r="B40" s="447"/>
      <c r="C40" s="447"/>
      <c r="D40" s="448" t="s">
        <v>398</v>
      </c>
      <c r="E40" s="449"/>
      <c r="F40" s="446"/>
      <c r="G40" s="450"/>
      <c r="H40" s="382"/>
      <c r="I40" s="373"/>
      <c r="J40" s="373"/>
      <c r="K40" s="373"/>
      <c r="L40" s="446"/>
      <c r="M40" s="446"/>
      <c r="N40" s="446"/>
      <c r="O40" s="446"/>
      <c r="P40" s="446"/>
      <c r="Q40" s="446"/>
      <c r="R40" s="446"/>
      <c r="S40" s="446"/>
      <c r="T40" s="446"/>
      <c r="U40" s="446"/>
      <c r="V40" s="446"/>
      <c r="W40" s="446"/>
      <c r="X40" s="446"/>
      <c r="Y40" s="446"/>
      <c r="Z40" s="446"/>
      <c r="AA40" s="446"/>
      <c r="AB40" s="446"/>
      <c r="AC40" s="446"/>
      <c r="AD40" s="446"/>
      <c r="AE40" s="446"/>
      <c r="AF40" s="446"/>
      <c r="AG40" s="446"/>
      <c r="AH40" s="446"/>
      <c r="AI40" s="446"/>
      <c r="AJ40" s="446"/>
      <c r="AK40" s="446"/>
      <c r="AL40" s="446"/>
      <c r="AM40" s="446"/>
      <c r="AN40" s="446"/>
      <c r="AO40" s="446"/>
      <c r="AP40" s="446"/>
      <c r="AQ40" s="446"/>
      <c r="AR40" s="446"/>
      <c r="AS40" s="446"/>
      <c r="AT40" s="446"/>
      <c r="AU40" s="446"/>
      <c r="AV40" s="446"/>
      <c r="AW40" s="446"/>
      <c r="AX40" s="446"/>
      <c r="AY40" s="446"/>
      <c r="AZ40" s="452"/>
      <c r="BA40" s="446"/>
      <c r="BB40" s="446"/>
      <c r="BC40" s="446"/>
      <c r="BE40" s="449"/>
      <c r="BF40" s="449"/>
      <c r="BG40" s="449"/>
      <c r="BH40" s="449"/>
      <c r="BI40" s="449"/>
      <c r="BJ40" s="449"/>
      <c r="BK40" s="449"/>
      <c r="BL40" s="449"/>
      <c r="BM40" s="449"/>
      <c r="BN40" s="449"/>
      <c r="BO40" s="449"/>
      <c r="BP40" s="449"/>
      <c r="BQ40" s="449"/>
      <c r="BR40" s="449"/>
      <c r="BS40" s="449"/>
      <c r="BT40" s="449"/>
      <c r="BU40" s="449"/>
      <c r="BV40" s="449"/>
      <c r="BW40" s="449"/>
      <c r="BX40" s="449"/>
      <c r="BY40" s="449"/>
      <c r="BZ40" s="449"/>
      <c r="CA40" s="449"/>
      <c r="CB40" s="449"/>
      <c r="CC40" s="449"/>
      <c r="CD40" s="449"/>
      <c r="CE40" s="449"/>
      <c r="CF40" s="449"/>
      <c r="CG40" s="449"/>
      <c r="CH40" s="449"/>
      <c r="CI40" s="449"/>
      <c r="CJ40" s="449"/>
      <c r="CK40" s="449"/>
      <c r="CL40" s="449"/>
      <c r="CM40" s="449"/>
      <c r="CN40" s="449"/>
      <c r="CO40" s="449"/>
      <c r="CP40" s="449"/>
      <c r="CQ40" s="449"/>
      <c r="CR40" s="449"/>
      <c r="CS40" s="449"/>
      <c r="CT40" s="449"/>
      <c r="CU40" s="449"/>
      <c r="CV40" s="449"/>
      <c r="CW40" s="449"/>
      <c r="CX40" s="449"/>
      <c r="CY40" s="449"/>
      <c r="CZ40" s="449"/>
      <c r="DA40" s="449"/>
      <c r="DB40" s="449"/>
      <c r="DC40" s="449"/>
      <c r="DD40" s="449"/>
      <c r="DE40" s="449"/>
      <c r="DF40" s="449"/>
      <c r="DG40" s="449"/>
      <c r="DH40" s="449"/>
      <c r="DI40" s="449"/>
      <c r="DJ40" s="449"/>
      <c r="DK40" s="449"/>
      <c r="DL40" s="449"/>
      <c r="DM40" s="449"/>
      <c r="DN40" s="449"/>
      <c r="DO40" s="449"/>
      <c r="DP40" s="449"/>
      <c r="DQ40" s="449"/>
      <c r="DR40" s="449"/>
      <c r="DS40" s="449"/>
      <c r="DT40" s="449"/>
      <c r="DU40" s="449"/>
      <c r="DV40" s="61"/>
      <c r="DW40" s="336">
        <f t="shared" si="81"/>
        <v>0</v>
      </c>
      <c r="DX40" s="336">
        <f t="shared" si="0"/>
        <v>0</v>
      </c>
      <c r="DY40" s="336">
        <f t="shared" si="1"/>
        <v>0</v>
      </c>
      <c r="DZ40" s="336">
        <f t="shared" si="2"/>
        <v>0</v>
      </c>
      <c r="EA40" s="336">
        <f t="shared" si="3"/>
        <v>0</v>
      </c>
      <c r="EB40" s="336">
        <f t="shared" si="4"/>
        <v>0</v>
      </c>
      <c r="EC40" s="336">
        <f t="shared" si="5"/>
        <v>0</v>
      </c>
      <c r="ED40" s="336">
        <f t="shared" si="6"/>
        <v>0</v>
      </c>
      <c r="EE40" s="336">
        <f t="shared" si="7"/>
        <v>0</v>
      </c>
      <c r="EF40" s="336">
        <f t="shared" si="8"/>
        <v>0</v>
      </c>
      <c r="EG40" s="336">
        <f t="shared" si="9"/>
        <v>0</v>
      </c>
      <c r="EH40" s="336">
        <f t="shared" si="10"/>
        <v>0</v>
      </c>
      <c r="EI40" s="336">
        <f t="shared" si="11"/>
        <v>0</v>
      </c>
      <c r="EJ40" s="336">
        <f t="shared" si="12"/>
        <v>0</v>
      </c>
      <c r="EK40" s="336">
        <f t="shared" si="13"/>
        <v>0</v>
      </c>
      <c r="EL40" s="336">
        <f t="shared" si="14"/>
        <v>0</v>
      </c>
      <c r="EM40" s="336">
        <f t="shared" si="15"/>
        <v>0</v>
      </c>
      <c r="EN40" s="336">
        <f t="shared" si="16"/>
        <v>0</v>
      </c>
      <c r="EO40" s="336">
        <f t="shared" si="17"/>
        <v>0</v>
      </c>
      <c r="EP40" s="336">
        <f t="shared" si="18"/>
        <v>0</v>
      </c>
      <c r="EQ40" s="336">
        <f t="shared" si="19"/>
        <v>0</v>
      </c>
      <c r="ER40" s="336">
        <f t="shared" si="20"/>
        <v>0</v>
      </c>
      <c r="ES40" s="336">
        <f t="shared" si="21"/>
        <v>0</v>
      </c>
      <c r="ET40" s="336">
        <f t="shared" si="22"/>
        <v>0</v>
      </c>
      <c r="EU40" s="336">
        <f t="shared" si="23"/>
        <v>0</v>
      </c>
      <c r="EV40" s="336">
        <f t="shared" si="24"/>
        <v>0</v>
      </c>
      <c r="EW40" s="336">
        <f t="shared" si="25"/>
        <v>0</v>
      </c>
      <c r="EX40" s="336">
        <f t="shared" si="26"/>
        <v>0</v>
      </c>
      <c r="EY40" s="336">
        <f t="shared" si="27"/>
        <v>0</v>
      </c>
      <c r="EZ40" s="336">
        <f t="shared" si="28"/>
        <v>0</v>
      </c>
      <c r="FA40" s="336">
        <f t="shared" si="29"/>
        <v>0</v>
      </c>
      <c r="FB40" s="336">
        <f t="shared" si="30"/>
        <v>0</v>
      </c>
      <c r="FC40" s="336">
        <f t="shared" si="31"/>
        <v>0</v>
      </c>
      <c r="FD40" s="336">
        <f t="shared" si="32"/>
        <v>0</v>
      </c>
      <c r="FE40" s="336">
        <f t="shared" si="33"/>
        <v>0</v>
      </c>
      <c r="FF40" s="336">
        <f t="shared" si="34"/>
        <v>0</v>
      </c>
      <c r="FG40" s="336">
        <f t="shared" si="35"/>
        <v>0</v>
      </c>
      <c r="FH40" s="336">
        <f t="shared" si="36"/>
        <v>0</v>
      </c>
      <c r="FI40" s="336">
        <f t="shared" si="37"/>
        <v>0</v>
      </c>
      <c r="FJ40" s="336">
        <f t="shared" si="38"/>
        <v>0</v>
      </c>
      <c r="FK40" s="336">
        <f t="shared" si="39"/>
        <v>0</v>
      </c>
      <c r="FL40" s="336">
        <f t="shared" si="40"/>
        <v>0</v>
      </c>
      <c r="FM40" s="336">
        <f t="shared" si="41"/>
        <v>0</v>
      </c>
      <c r="FN40" s="336">
        <f t="shared" si="42"/>
        <v>0</v>
      </c>
      <c r="FO40" s="336">
        <f t="shared" si="43"/>
        <v>0</v>
      </c>
      <c r="FP40" s="336">
        <f t="shared" si="44"/>
        <v>0</v>
      </c>
      <c r="FQ40" s="336">
        <f t="shared" si="45"/>
        <v>0</v>
      </c>
      <c r="FR40" s="336">
        <f t="shared" si="46"/>
        <v>0</v>
      </c>
      <c r="FS40" s="336">
        <f t="shared" si="47"/>
        <v>0</v>
      </c>
      <c r="FT40" s="336">
        <f t="shared" si="48"/>
        <v>0</v>
      </c>
      <c r="FU40" s="336">
        <f t="shared" si="93"/>
        <v>0</v>
      </c>
      <c r="FV40" s="336">
        <f t="shared" si="94"/>
        <v>0</v>
      </c>
      <c r="FW40" s="336">
        <f t="shared" si="95"/>
        <v>0</v>
      </c>
      <c r="FX40" s="336">
        <f t="shared" si="96"/>
        <v>0</v>
      </c>
      <c r="FY40" s="336">
        <f t="shared" si="53"/>
        <v>0</v>
      </c>
      <c r="FZ40" s="336">
        <f t="shared" si="54"/>
        <v>0</v>
      </c>
      <c r="GA40" s="336">
        <f t="shared" si="55"/>
        <v>0</v>
      </c>
      <c r="GB40" s="336">
        <f t="shared" si="56"/>
        <v>0</v>
      </c>
      <c r="GC40" s="336">
        <f t="shared" si="57"/>
        <v>0</v>
      </c>
      <c r="GD40" s="336">
        <f t="shared" si="58"/>
        <v>0</v>
      </c>
      <c r="GE40" s="336">
        <f t="shared" si="59"/>
        <v>0</v>
      </c>
      <c r="GF40" s="336">
        <f t="shared" si="60"/>
        <v>0</v>
      </c>
      <c r="GG40" s="336">
        <f t="shared" si="61"/>
        <v>0</v>
      </c>
      <c r="GH40" s="336">
        <f t="shared" si="62"/>
        <v>0</v>
      </c>
      <c r="GI40" s="336">
        <f t="shared" si="63"/>
        <v>0</v>
      </c>
      <c r="GJ40" s="336">
        <f t="shared" si="64"/>
        <v>0</v>
      </c>
      <c r="GK40" s="336">
        <f>IF(DS40=1,($BC40*DS40),0)</f>
        <v>0</v>
      </c>
      <c r="GL40" s="336">
        <f t="shared" si="164"/>
        <v>0</v>
      </c>
      <c r="GM40" s="336">
        <f t="shared" si="66"/>
        <v>0</v>
      </c>
    </row>
    <row r="41" spans="1:195" ht="18" customHeight="1">
      <c r="A41" s="337">
        <f>A39+1</f>
        <v>32</v>
      </c>
      <c r="B41" s="453" t="s">
        <v>399</v>
      </c>
      <c r="C41" s="337" t="str">
        <f t="shared" ref="C41:C45" si="1074">$D$6</f>
        <v>11kV MV Switchgear-1</v>
      </c>
      <c r="D41" s="415" t="s">
        <v>400</v>
      </c>
      <c r="E41" s="416" t="s">
        <v>401</v>
      </c>
      <c r="F41" s="417" t="s">
        <v>28</v>
      </c>
      <c r="G41" s="340" t="s">
        <v>350</v>
      </c>
      <c r="H41" s="418">
        <v>1400</v>
      </c>
      <c r="I41" s="337" t="s">
        <v>330</v>
      </c>
      <c r="J41" s="337" t="s">
        <v>331</v>
      </c>
      <c r="K41" s="341">
        <v>11000</v>
      </c>
      <c r="L41" s="342">
        <v>0.81</v>
      </c>
      <c r="M41" s="342">
        <v>0.96099999999999997</v>
      </c>
      <c r="N41" s="342">
        <f t="shared" ref="N41:N45" si="1075">IF(I41="kVA",IF(J41="3Ph",(H41*1000/(1.732*M41*K41)),(H41*1000/(M41*K41))),IF(I41="kW",IF(J41="3Ph",(H41*1000/(1.732*M41*K41*L41)),(H41*1000/(M41*K41*L41)))))</f>
        <v>94.401535035849918</v>
      </c>
      <c r="O41" s="342">
        <f t="shared" si="67"/>
        <v>566.40921021509951</v>
      </c>
      <c r="P41" s="343">
        <f t="shared" ref="P41:P45" si="1076">IF(G41="MOTOR",0.2,"0.00")</f>
        <v>0.2</v>
      </c>
      <c r="Q41" s="342">
        <v>31.5</v>
      </c>
      <c r="R41" s="342">
        <v>0.16</v>
      </c>
      <c r="S41" s="342">
        <f t="shared" si="85"/>
        <v>134.04255319148936</v>
      </c>
      <c r="T41" s="344" t="s">
        <v>131</v>
      </c>
      <c r="U41" s="342" t="s">
        <v>333</v>
      </c>
      <c r="V41" s="344">
        <v>150</v>
      </c>
      <c r="W41" s="343" t="str">
        <f t="shared" si="69"/>
        <v>3C X 150</v>
      </c>
      <c r="X41" s="343" t="str">
        <f t="shared" ref="X41:X44" si="1077">(IF(J41="1Ph",W41,IF(J41="3Ph",(IF(G41="MOTOR",(CONCATENATE(W41,"+PE")),W41)))))</f>
        <v>3C X 150+PE</v>
      </c>
      <c r="Y41" s="419" t="s">
        <v>346</v>
      </c>
      <c r="Z41" s="344">
        <f>IF(T41="AIR",VLOOKUP(W41,'Catalogue Aluminium'!$B$141:$G$173,2,FALSE),IF(T41="GROUND",VLOOKUP(W41,'Catalogue Aluminium'!$B$141:$G$173,3,FALSE),IF(T41="DUCT",VLOOKUP(W41,'Catalogue Aluminium'!$B$141:$G$173,4,FALSE),IF(T41="TRENCH",VLOOKUP(W41,'Catalogue Aluminium'!$B$141:$G$173,2,FALSE)))))</f>
        <v>309</v>
      </c>
      <c r="AA41" s="345">
        <f>VLOOKUP(W41,'Catalogue Aluminium'!$B$141:$G$173,5,FALSE)</f>
        <v>0.26500000000000001</v>
      </c>
      <c r="AB41" s="345">
        <f>VLOOKUP(W41,'Catalogue Aluminium'!$B$141:$G$173,6,FALSE)</f>
        <v>9.2999999999999999E-2</v>
      </c>
      <c r="AC41" s="349">
        <f t="shared" ref="AC41:AC44" si="1078">37+30</f>
        <v>67</v>
      </c>
      <c r="AD41" s="343">
        <f>45+50+5</f>
        <v>100</v>
      </c>
      <c r="AE41" s="343">
        <f t="shared" ref="AE41:AE45" si="1079">11+8+3</f>
        <v>22</v>
      </c>
      <c r="AF41" s="343">
        <f t="shared" ref="AF41:AF45" si="1080">5+5</f>
        <v>10</v>
      </c>
      <c r="AG41" s="343">
        <f t="shared" ref="AG41:AG45" si="1081">ROUNDUP(SUM(AC41:AF41)*0.1,0)</f>
        <v>20</v>
      </c>
      <c r="AH41" s="347">
        <f t="shared" si="87"/>
        <v>220</v>
      </c>
      <c r="AI41" s="344">
        <f>IF(T41="AIR",'Catalogue Aluminium'!$K$141,IF(T41="TRENCH",'Catalogue Aluminium'!$K$144,"NA"))</f>
        <v>0.82</v>
      </c>
      <c r="AJ41" s="342">
        <f>IF(T41="Air",(IF(U41="1C",'Catalogue Aluminium'!$L$141,'Catalogue Aluminium'!$M$141)),IF(T41="DUCT",(IF($U41="1C",'Catalogue Aluminium'!$L$142,'Catalogue Aluminium'!$M$142)),IF(T41="GROUND",(IF($U41="1C",'Catalogue Aluminium'!$L$143,'Catalogue Aluminium'!$M$143)),IF(T41="TRENCH",(IF($U41="1C",'Catalogue Aluminium'!$L$144,'Catalogue Aluminium'!$M$144))))))</f>
        <v>0.73</v>
      </c>
      <c r="AK41" s="344" t="str">
        <f>IF(T41="Air",'Catalogue Aluminium'!$N$141,IF(T41="GROUND",'Catalogue Aluminium'!$N$142,IF(T41="DUCT",'Catalogue Aluminium'!$N$143,IF(T41="TRENCH",'Catalogue Aluminium'!$N$144,"NA"))))</f>
        <v>NA</v>
      </c>
      <c r="AL41" s="344" t="str">
        <f>IF(T41="Air",(IF(U41="1C",'Catalogue Aluminium'!$O$141,'Catalogue Aluminium'!$P$141)),IF(T41="DUCT",(IF($U41="1C",'Catalogue Aluminium'!$O$142,'Catalogue Aluminium'!$P$142)),IF(T41="GROUND",(IF($U41="1C",'Catalogue Aluminium'!$O$143,'Catalogue Aluminium'!$P$143)),IF(T41="TRENCH",(IF($U41="1C",'Catalogue Aluminium'!$O$144,'Catalogue Aluminium'!$P$144))))))</f>
        <v>NA</v>
      </c>
      <c r="AM41" s="344" t="str">
        <f>IF(T41="AIR","NA",IF(T41="TRENCH","NA",IF(T41="DUCT",IF(U41="1C",VLOOKUP(V41,'Catalogue Aluminium'!$Q$142:$S$153,2,FALSE),VLOOKUP(V41,'Catalogue Aluminium'!$Q$142:$S$153,3)),IF(T41="GROUND",IF(U41="1C",VLOOKUP(V41,'Catalogue Aluminium'!$Q$142:$S$153,2,FALSE),VLOOKUP(V41,'Catalogue Aluminium'!$Q$142:$S$153,3))))))</f>
        <v>NA</v>
      </c>
      <c r="AN41" s="348">
        <f>IF(T41="AIR",AI41*AJ41,IF(T41="TRENCH",AI41*AJ41,IF(T41="DUCT",AJ41*AK41*AL41*AM41,IF(T41="GROUND",AJ41*AK41*AL41*AM41))))</f>
        <v>0.59859999999999991</v>
      </c>
      <c r="AO41" s="342">
        <f>Z41*AN41</f>
        <v>184.96739999999997</v>
      </c>
      <c r="AP41" s="349">
        <f>CEILING(((N41)/AO41),1)</f>
        <v>1</v>
      </c>
      <c r="AQ41" s="350" t="str">
        <f>IF(AO41*AP41&gt;=N41,"YES","NO")</f>
        <v>YES</v>
      </c>
      <c r="AR41" s="351">
        <f>SQRT(3)*AH41*N41*((AA41*L41)+(AB41*SIN(ACOS(L41))))*100/(AP41*K41*1000)</f>
        <v>8.8028913263508438E-2</v>
      </c>
      <c r="AS41" s="343" t="str">
        <f t="shared" si="89"/>
        <v>YES</v>
      </c>
      <c r="AT41" s="351">
        <f>IF(G41="MOTOR",(SQRT(3)*AH41*O41*((AA41*P41)+(AB41*SIN(ACOS(P41))))*100/(AP41*K41*1000)),"NA")</f>
        <v>0.28277971478139191</v>
      </c>
      <c r="AU41" s="343" t="str">
        <f>IF(G41="MOTOR",IF(AT41&lt;=15,"YES","NO"),"NA")</f>
        <v>YES</v>
      </c>
      <c r="AV41" s="351" t="str">
        <f>IF(U41="1C",CONCATENATE(AP41,"R x ",Y41,"kV x ",U41," x ",V41," Sqmm/Phase"),CONCATENATE(AP41,"R x ","6/10 (12)kV x ",U41," x ",V41," Sqmm"))</f>
        <v>1R x 6/10 (12)kV x 3C x 150 Sqmm</v>
      </c>
      <c r="AW41" s="351" t="str">
        <f>IF(U41="1C",CONCATENATE(AP41,"R x ",Y41,"kV x ",U41," x ",V41," Sqmm/Phase"),CONCATENATE(AP41,"R x ","6/10 (12)kV x ",U41," x ",V41," Sqmm"))</f>
        <v>1R x 6/10 (12)kV x 3C x 150 Sqmm</v>
      </c>
      <c r="AX41" s="343">
        <f>IF(U41="1C",(3*AH41*AP41),(AH41*AP41))</f>
        <v>220</v>
      </c>
      <c r="AY41" s="343"/>
      <c r="AZ41" s="343">
        <f>IF(U41="1C",(3*AP41*2),(AP41*2))</f>
        <v>2</v>
      </c>
      <c r="BA41" s="356" t="str">
        <f t="shared" ref="BA41:BA44" si="1082">CONCATENATE(IF(BE41=1,BE$4,""),IF(BF41=1,BF$4,""),IF(BG41=1,BG$4,""),IF(BH41=1,BH$4,""),IF(BI41=1,BI$4,""),IF(BJ41=1,BJ$4,""),IF(BK41=1,BK$4,""),IF(BL41=1,BL$4,""),IF(BM41=1,BM$4,""),IF(BN41=1,BN$4,""),IF(BO41=1,BO$4,""),IF(BP41=1,BP$4,""),IF(BQ41=1,BQ$4,""),IF(BR41=1,BR$4,""),IF(BS41=1,BS$4,""),IF(BT41=1,BT$4,""),IF(BU41=1,BU$4,""),IF(BV41=1,BV$4,""),IF(BW41=1,BW$4,""),IF(BX41=1,BX$4,""),IF(BY41=1,BY$4,""),IF(BZ41=1,BZ$4,""),IF(CA41=1,CA$4,""),IF(CB41=1,CB$4,""),IF(CC41=1,CC$4,""),IF(CD41=1,CD$4,""),IF(CE41=1,CE$4,""),IF(CF41=1,CF$4,""),IF(CG41=1,CG$4,""),IF(CH41=1,CH$4,""),IF(CI41=1,CI$4,""),IF(CJ41=1,CJ$4,""),IF(CK41=1,CK$4,""),IF(CL41=1,CL$4,""),IF(CM41=1,CM$4,""),IF(CN41=1,CN$4,""),IF(CO41=1,CO$4,""),IF(CP41=1,CP$4,""),IF(CQ41=1,CQ$4,""),IF(CR41=1,CR$4,""),IF(CS41=1,CS$4,""),IF(CT41=1,CT$4,""),IF(CU41=1,CU$4,""),IF(CV41=1,CV$4,""),IF(CW41=1,CW$4,""),IF(CX41=1,CX$4,""),IF(CY41=1,CY$4,""),IF(CZ41=1,CZ$4,""),IF(DA41=1,DA$4,""),IF(DB41=1,DB$4,""),IF(DC41=1,DC$4,""),IF(DD41=1,DD$4,""),IF(DE41=1,DE$4,""),IF(DF41=1,DF$4,""),IF(DG41=1,DG$4,""),IF(DH41=1,DH$4,""),IF(DI41=1,DI$4,""),IF(DJ41=1,DJ$4,""),IF(DK41=1,DK$4,""),IF(DL41=1,DL$4,""),IF(DM41=1,DM$4,""),IF(DN41=1,DN$4,""),IF(DO41=1,DO$4,""),IF(DP41=1,DP$4,""),IF(DQ41=1,DQ$4,""),IF(DR41=1,DR$4,""),IF(DS41=1,DS$4,""),IF(DT41=1,DT$4,""),IF(DU41=1,DU$4,""))</f>
        <v>AC</v>
      </c>
      <c r="BB41" s="340">
        <f>VLOOKUP(W41,'Catalogue Aluminium'!$B$141:$H$173,7,FALSE)</f>
        <v>62</v>
      </c>
      <c r="BC41" s="328">
        <f>AP41*BB41</f>
        <v>62</v>
      </c>
      <c r="BE41" s="344"/>
      <c r="BF41" s="344">
        <v>1</v>
      </c>
      <c r="BG41" s="344"/>
      <c r="BH41" s="344"/>
      <c r="BI41" s="344">
        <v>1</v>
      </c>
      <c r="BJ41" s="344"/>
      <c r="BK41" s="344"/>
      <c r="BL41" s="344"/>
      <c r="BM41" s="344"/>
      <c r="BN41" s="344"/>
      <c r="BO41" s="344"/>
      <c r="BP41" s="344"/>
      <c r="BQ41" s="344"/>
      <c r="BR41" s="416"/>
      <c r="BS41" s="416"/>
      <c r="BT41" s="416"/>
      <c r="BU41" s="416"/>
      <c r="BV41" s="416"/>
      <c r="BW41" s="416"/>
      <c r="BX41" s="416"/>
      <c r="BY41" s="416"/>
      <c r="BZ41" s="416"/>
      <c r="CA41" s="416"/>
      <c r="CB41" s="416"/>
      <c r="CC41" s="416"/>
      <c r="CD41" s="416"/>
      <c r="CE41" s="416"/>
      <c r="CF41" s="416"/>
      <c r="CG41" s="416"/>
      <c r="CH41" s="416"/>
      <c r="CI41" s="416"/>
      <c r="CJ41" s="416"/>
      <c r="CK41" s="416"/>
      <c r="CL41" s="416"/>
      <c r="CM41" s="416"/>
      <c r="CN41" s="416"/>
      <c r="CO41" s="416"/>
      <c r="CP41" s="416"/>
      <c r="CQ41" s="416"/>
      <c r="CR41" s="416"/>
      <c r="CS41" s="416"/>
      <c r="CT41" s="416"/>
      <c r="CU41" s="416"/>
      <c r="CV41" s="416"/>
      <c r="CW41" s="416"/>
      <c r="CX41" s="416"/>
      <c r="CY41" s="416"/>
      <c r="CZ41" s="416"/>
      <c r="DA41" s="416"/>
      <c r="DB41" s="416"/>
      <c r="DC41" s="416"/>
      <c r="DD41" s="416"/>
      <c r="DE41" s="416"/>
      <c r="DF41" s="416"/>
      <c r="DG41" s="416"/>
      <c r="DH41" s="416"/>
      <c r="DI41" s="416"/>
      <c r="DJ41" s="416"/>
      <c r="DK41" s="416"/>
      <c r="DL41" s="416"/>
      <c r="DM41" s="416"/>
      <c r="DN41" s="416"/>
      <c r="DO41" s="416"/>
      <c r="DP41" s="416"/>
      <c r="DQ41" s="416"/>
      <c r="DR41" s="416"/>
      <c r="DS41" s="416"/>
      <c r="DT41" s="416"/>
      <c r="DU41" s="416"/>
      <c r="DW41" s="336">
        <f t="shared" si="81"/>
        <v>0</v>
      </c>
      <c r="DX41" s="336">
        <f t="shared" si="0"/>
        <v>62</v>
      </c>
      <c r="DY41" s="336">
        <f t="shared" si="1"/>
        <v>0</v>
      </c>
      <c r="DZ41" s="336">
        <f t="shared" si="2"/>
        <v>0</v>
      </c>
      <c r="EA41" s="336">
        <f t="shared" si="3"/>
        <v>62</v>
      </c>
      <c r="EB41" s="336">
        <f t="shared" si="4"/>
        <v>0</v>
      </c>
      <c r="EC41" s="336">
        <f t="shared" si="5"/>
        <v>0</v>
      </c>
      <c r="ED41" s="336">
        <f t="shared" si="6"/>
        <v>0</v>
      </c>
      <c r="EE41" s="336">
        <f t="shared" si="7"/>
        <v>0</v>
      </c>
      <c r="EF41" s="336">
        <f t="shared" si="8"/>
        <v>0</v>
      </c>
      <c r="EG41" s="336">
        <f t="shared" si="9"/>
        <v>0</v>
      </c>
      <c r="EH41" s="336">
        <f t="shared" si="10"/>
        <v>0</v>
      </c>
      <c r="EI41" s="336">
        <f t="shared" si="11"/>
        <v>0</v>
      </c>
      <c r="EJ41" s="336">
        <f t="shared" si="12"/>
        <v>0</v>
      </c>
      <c r="EK41" s="336">
        <f t="shared" si="13"/>
        <v>0</v>
      </c>
      <c r="EL41" s="336">
        <f t="shared" si="14"/>
        <v>0</v>
      </c>
      <c r="EM41" s="336">
        <f t="shared" si="15"/>
        <v>0</v>
      </c>
      <c r="EN41" s="336">
        <f t="shared" si="16"/>
        <v>0</v>
      </c>
      <c r="EO41" s="336">
        <f t="shared" si="17"/>
        <v>0</v>
      </c>
      <c r="EP41" s="336">
        <f t="shared" si="18"/>
        <v>0</v>
      </c>
      <c r="EQ41" s="336">
        <f t="shared" si="19"/>
        <v>0</v>
      </c>
      <c r="ER41" s="336">
        <f t="shared" si="20"/>
        <v>0</v>
      </c>
      <c r="ES41" s="336">
        <f t="shared" si="21"/>
        <v>0</v>
      </c>
      <c r="ET41" s="336">
        <f t="shared" si="22"/>
        <v>0</v>
      </c>
      <c r="EU41" s="336">
        <f t="shared" si="23"/>
        <v>0</v>
      </c>
      <c r="EV41" s="336">
        <f t="shared" si="24"/>
        <v>0</v>
      </c>
      <c r="EW41" s="336">
        <f t="shared" si="25"/>
        <v>0</v>
      </c>
      <c r="EX41" s="336">
        <f t="shared" si="26"/>
        <v>0</v>
      </c>
      <c r="EY41" s="336">
        <f t="shared" si="27"/>
        <v>0</v>
      </c>
      <c r="EZ41" s="336">
        <f t="shared" si="28"/>
        <v>0</v>
      </c>
      <c r="FA41" s="336">
        <f t="shared" si="29"/>
        <v>0</v>
      </c>
      <c r="FB41" s="336">
        <f t="shared" si="30"/>
        <v>0</v>
      </c>
      <c r="FC41" s="336">
        <f t="shared" si="31"/>
        <v>0</v>
      </c>
      <c r="FD41" s="336">
        <f t="shared" si="32"/>
        <v>0</v>
      </c>
      <c r="FE41" s="336">
        <f t="shared" si="33"/>
        <v>0</v>
      </c>
      <c r="FF41" s="336">
        <f t="shared" si="34"/>
        <v>0</v>
      </c>
      <c r="FG41" s="336">
        <f t="shared" si="35"/>
        <v>0</v>
      </c>
      <c r="FH41" s="336">
        <f t="shared" si="36"/>
        <v>0</v>
      </c>
      <c r="FI41" s="336">
        <f t="shared" si="37"/>
        <v>0</v>
      </c>
      <c r="FJ41" s="336">
        <f t="shared" si="38"/>
        <v>0</v>
      </c>
      <c r="FK41" s="336">
        <f t="shared" si="39"/>
        <v>0</v>
      </c>
      <c r="FL41" s="336">
        <f t="shared" si="40"/>
        <v>0</v>
      </c>
      <c r="FM41" s="336">
        <f t="shared" si="41"/>
        <v>0</v>
      </c>
      <c r="FN41" s="336">
        <f t="shared" si="42"/>
        <v>0</v>
      </c>
      <c r="FO41" s="336">
        <f t="shared" si="43"/>
        <v>0</v>
      </c>
      <c r="FP41" s="336">
        <f t="shared" si="44"/>
        <v>0</v>
      </c>
      <c r="FQ41" s="336">
        <f t="shared" si="45"/>
        <v>0</v>
      </c>
      <c r="FR41" s="336">
        <f t="shared" si="46"/>
        <v>0</v>
      </c>
      <c r="FS41" s="336">
        <f t="shared" si="47"/>
        <v>0</v>
      </c>
      <c r="FT41" s="336">
        <f t="shared" si="48"/>
        <v>0</v>
      </c>
      <c r="FU41" s="336">
        <f t="shared" si="93"/>
        <v>0</v>
      </c>
      <c r="FV41" s="336">
        <f t="shared" si="94"/>
        <v>0</v>
      </c>
      <c r="FW41" s="336">
        <f t="shared" si="95"/>
        <v>0</v>
      </c>
      <c r="FX41" s="336">
        <f t="shared" si="96"/>
        <v>0</v>
      </c>
      <c r="FY41" s="336">
        <f t="shared" si="53"/>
        <v>0</v>
      </c>
      <c r="FZ41" s="336">
        <f t="shared" si="54"/>
        <v>0</v>
      </c>
      <c r="GA41" s="336">
        <f t="shared" si="55"/>
        <v>0</v>
      </c>
      <c r="GB41" s="336">
        <f t="shared" si="56"/>
        <v>0</v>
      </c>
      <c r="GC41" s="336">
        <f t="shared" si="57"/>
        <v>0</v>
      </c>
      <c r="GD41" s="336">
        <f t="shared" si="58"/>
        <v>0</v>
      </c>
      <c r="GE41" s="336">
        <f t="shared" si="59"/>
        <v>0</v>
      </c>
      <c r="GF41" s="336">
        <f t="shared" si="60"/>
        <v>0</v>
      </c>
      <c r="GG41" s="336">
        <f t="shared" si="61"/>
        <v>0</v>
      </c>
      <c r="GH41" s="336">
        <f t="shared" si="62"/>
        <v>0</v>
      </c>
      <c r="GI41" s="336">
        <f t="shared" si="63"/>
        <v>0</v>
      </c>
      <c r="GJ41" s="336">
        <f t="shared" si="64"/>
        <v>0</v>
      </c>
      <c r="GK41" s="336">
        <f>IF(DS41=1,($BC41*DS41),0)</f>
        <v>0</v>
      </c>
      <c r="GL41" s="336">
        <f t="shared" si="164"/>
        <v>0</v>
      </c>
      <c r="GM41" s="336">
        <f t="shared" si="66"/>
        <v>0</v>
      </c>
    </row>
    <row r="42" spans="1:195" ht="18" customHeight="1">
      <c r="A42" s="388">
        <f>A41+1</f>
        <v>33</v>
      </c>
      <c r="B42" s="454" t="s">
        <v>399</v>
      </c>
      <c r="C42" s="388" t="str">
        <f t="shared" si="1074"/>
        <v>11kV MV Switchgear-1</v>
      </c>
      <c r="D42" s="431" t="s">
        <v>402</v>
      </c>
      <c r="E42" s="432" t="s">
        <v>401</v>
      </c>
      <c r="F42" s="433" t="s">
        <v>28</v>
      </c>
      <c r="G42" s="390" t="s">
        <v>329</v>
      </c>
      <c r="H42" s="396">
        <v>0.2</v>
      </c>
      <c r="I42" s="388" t="s">
        <v>330</v>
      </c>
      <c r="J42" s="388" t="s">
        <v>357</v>
      </c>
      <c r="K42" s="434">
        <v>230</v>
      </c>
      <c r="L42" s="401">
        <v>0.85</v>
      </c>
      <c r="M42" s="418">
        <v>0.95</v>
      </c>
      <c r="N42" s="392">
        <f t="shared" si="1075"/>
        <v>1.0768609503297888</v>
      </c>
      <c r="O42" s="392">
        <f t="shared" ref="O42" si="1083">IF(G42="MOTOR",(6*N42),IF(G42="VFD",(1*N42),0))</f>
        <v>0</v>
      </c>
      <c r="P42" s="401" t="str">
        <f t="shared" si="1076"/>
        <v>0.00</v>
      </c>
      <c r="Q42" s="418">
        <v>65</v>
      </c>
      <c r="R42" s="418">
        <v>0</v>
      </c>
      <c r="S42" s="418">
        <f t="shared" si="85"/>
        <v>0</v>
      </c>
      <c r="T42" s="401" t="s">
        <v>131</v>
      </c>
      <c r="U42" s="418" t="s">
        <v>333</v>
      </c>
      <c r="V42" s="401">
        <v>2.5</v>
      </c>
      <c r="W42" s="401" t="str">
        <f t="shared" ref="W42" si="1084">CONCATENATE(U42," X ",V42)</f>
        <v>3C X 2.5</v>
      </c>
      <c r="X42" s="401" t="str">
        <f t="shared" si="1077"/>
        <v>3C X 2.5</v>
      </c>
      <c r="Y42" s="435" t="s">
        <v>358</v>
      </c>
      <c r="Z42" s="393">
        <f>IF(T42="AIR",VLOOKUP(W42,'Catalogue Aluminium'!$B$141:$G$173,2,FALSE),IF(T42="GROUND",VLOOKUP(W42,'Catalogue Aluminium'!$B$141:$G$173,3,FALSE),IF(T42="DUCT",VLOOKUP(W42,'Catalogue Aluminium'!$B$141:$G$173,4,FALSE),IF(T42="TRENCH",VLOOKUP(W42,'Catalogue Aluminium'!$B$141:$G$173,2,FALSE)))))</f>
        <v>28</v>
      </c>
      <c r="AA42" s="402">
        <f>VLOOKUP(W42,'Catalogue Aluminium'!$B$141:$G$173,5,FALSE)</f>
        <v>9.48</v>
      </c>
      <c r="AB42" s="402">
        <f>VLOOKUP(W42,'Catalogue Aluminium'!$B$141:$G$173,6,FALSE)</f>
        <v>0.1007</v>
      </c>
      <c r="AC42" s="434">
        <f t="shared" si="1078"/>
        <v>67</v>
      </c>
      <c r="AD42" s="401">
        <f>45+50+5</f>
        <v>100</v>
      </c>
      <c r="AE42" s="401">
        <f t="shared" si="1079"/>
        <v>22</v>
      </c>
      <c r="AF42" s="401">
        <f t="shared" si="1080"/>
        <v>10</v>
      </c>
      <c r="AG42" s="401">
        <f t="shared" ref="AG42" si="1085">ROUNDUP(SUM(AC42:AF42)*0.1,0)</f>
        <v>20</v>
      </c>
      <c r="AH42" s="436">
        <f t="shared" si="87"/>
        <v>220</v>
      </c>
      <c r="AI42" s="393">
        <f>IF(T42="AIR",'Catalogue Aluminium'!$K$141,IF(T42="TRENCH",'Catalogue Aluminium'!$K$144,"NA"))</f>
        <v>0.82</v>
      </c>
      <c r="AJ42" s="392">
        <f>IF(T42="Air",(IF(U42="1C",'Catalogue Aluminium'!$L$141,'Catalogue Aluminium'!$M$141)),IF(T42="DUCT",(IF($U42="1C",'Catalogue Aluminium'!$L$142,'Catalogue Aluminium'!$M$142)),IF(T42="GROUND",(IF($U42="1C",'Catalogue Aluminium'!$L$143,'Catalogue Aluminium'!$M$143)),IF(T42="TRENCH",(IF($U42="1C",'Catalogue Aluminium'!$L$144,'Catalogue Aluminium'!$M$144))))))</f>
        <v>0.73</v>
      </c>
      <c r="AK42" s="393" t="str">
        <f>IF(T42="Air",'Catalogue Aluminium'!$N$141,IF(T42="GROUND",'Catalogue Aluminium'!$N$142,IF(T42="DUCT",'Catalogue Aluminium'!$N$143,IF(T42="TRENCH",'Catalogue Aluminium'!$N$144,"NA"))))</f>
        <v>NA</v>
      </c>
      <c r="AL42" s="393" t="str">
        <f>IF(T42="Air",(IF(U42="1C",'Catalogue Aluminium'!$O$141,'Catalogue Aluminium'!$P$141)),IF(T42="DUCT",(IF($U42="1C",'Catalogue Aluminium'!$O$142,'Catalogue Aluminium'!$P$142)),IF(T42="GROUND",(IF($U42="1C",'Catalogue Aluminium'!$O$143,'Catalogue Aluminium'!$P$143)),IF(T42="TRENCH",(IF($U42="1C",'Catalogue Aluminium'!$O$144,'Catalogue Aluminium'!$P$144))))))</f>
        <v>NA</v>
      </c>
      <c r="AM42" s="393" t="str">
        <f>IF(T42="AIR","NA",IF(T42="TRENCH","NA",IF(T42="DUCT",IF(U42="1C",VLOOKUP(V42,'Catalogue Aluminium'!$Q$142:$S$153,2,FALSE),VLOOKUP(V42,'Catalogue Aluminium'!$Q$142:$S$153,3)),IF(T42="GROUND",IF(U42="1C",VLOOKUP(V42,'Catalogue Aluminium'!$Q$142:$S$153,2,FALSE),VLOOKUP(V42,'Catalogue Aluminium'!$Q$142:$S$153,3))))))</f>
        <v>NA</v>
      </c>
      <c r="AN42" s="404">
        <f>IF(T42="AIR",AI42*AJ42,IF(T42="TRENCH",AI42*AJ42,IF(T42="DUCT",AJ42*AK42*AL42*AM42,IF(T42="GROUND",AJ42*AK42*AL42*AM42))))</f>
        <v>0.59859999999999991</v>
      </c>
      <c r="AO42" s="392">
        <f>Z42*AN42</f>
        <v>16.760799999999996</v>
      </c>
      <c r="AP42" s="434">
        <f>CEILING(((N42)/AO42),1)</f>
        <v>1</v>
      </c>
      <c r="AQ42" s="418" t="str">
        <f>IF(AO42*AP42&gt;=N42,"YES","NO")</f>
        <v>YES</v>
      </c>
      <c r="AR42" s="437">
        <f>SQRT(3)*AH42*N42*((AA42*L42)+(AB42*SIN(ACOS(L42))))*100/(AP42*K42*1000)</f>
        <v>1.4470782621759555</v>
      </c>
      <c r="AS42" s="401" t="str">
        <f t="shared" si="89"/>
        <v>YES</v>
      </c>
      <c r="AT42" s="437" t="str">
        <f>IF(G42="MOTOR",(SQRT(3)*AH42*O42*((AA42*P42)+(AB42*SIN(ACOS(P42))))*100/(AP42*K42*1000)),"NA")</f>
        <v>NA</v>
      </c>
      <c r="AU42" s="401" t="str">
        <f>IF(G42="MOTOR",IF(AT42&lt;=15,"YES","NO"),"NA")</f>
        <v>NA</v>
      </c>
      <c r="AV42" s="437" t="str">
        <f>IF(U42="1C",CONCATENATE(AP42,"R x ",Y42,"kV x ",U42," x ",V42," Sqmm/Phase"),CONCATENATE(AP42,"R x ","6/10 (12)kV x ",U42," x ",V42," Sqmm"))</f>
        <v>1R x 6/10 (12)kV x 3C x 2.5 Sqmm</v>
      </c>
      <c r="AW42" s="437" t="str">
        <f>IF(U42="1C",CONCATENATE(AP42,"R x ",Y42,"kV x ",U42," x ",V42," Sqmm/Phase"),CONCATENATE(AP42,"R x ","6/10 (12)kV x ",U42," x ",V42," Sqmm"))</f>
        <v>1R x 6/10 (12)kV x 3C x 2.5 Sqmm</v>
      </c>
      <c r="AX42" s="401">
        <f>IF(U42="1C",(3*AH42*AP42),(AH42*AP42))</f>
        <v>220</v>
      </c>
      <c r="AY42" s="401"/>
      <c r="AZ42" s="401">
        <f>IF(U42="1C",(3*AP42*2),(AP42*2))</f>
        <v>2</v>
      </c>
      <c r="BA42" s="438" t="str">
        <f t="shared" si="1082"/>
        <v>AC</v>
      </c>
      <c r="BB42" s="390">
        <f>VLOOKUP(W42,'Catalogue Aluminium'!$B$141:$H$173,7,FALSE)</f>
        <v>14</v>
      </c>
      <c r="BC42" s="439">
        <f>AP42*BB42</f>
        <v>14</v>
      </c>
      <c r="BE42" s="344"/>
      <c r="BF42" s="344">
        <v>1</v>
      </c>
      <c r="BG42" s="344"/>
      <c r="BH42" s="344"/>
      <c r="BI42" s="344">
        <v>1</v>
      </c>
      <c r="BJ42" s="344"/>
      <c r="BK42" s="344"/>
      <c r="BL42" s="344"/>
      <c r="BM42" s="344"/>
      <c r="BN42" s="344"/>
      <c r="BO42" s="344"/>
      <c r="BP42" s="344"/>
      <c r="BQ42" s="344"/>
      <c r="BR42" s="416"/>
      <c r="BS42" s="416"/>
      <c r="BT42" s="416"/>
      <c r="BU42" s="416"/>
      <c r="BV42" s="416"/>
      <c r="BW42" s="416"/>
      <c r="BX42" s="416"/>
      <c r="BY42" s="416"/>
      <c r="BZ42" s="416"/>
      <c r="CA42" s="416"/>
      <c r="CB42" s="416"/>
      <c r="CC42" s="416"/>
      <c r="CD42" s="416"/>
      <c r="CE42" s="416"/>
      <c r="CF42" s="416"/>
      <c r="CG42" s="416"/>
      <c r="CH42" s="416"/>
      <c r="CI42" s="416"/>
      <c r="CJ42" s="416"/>
      <c r="CK42" s="416"/>
      <c r="CL42" s="416"/>
      <c r="CM42" s="416"/>
      <c r="CN42" s="416"/>
      <c r="CO42" s="416"/>
      <c r="CP42" s="416"/>
      <c r="CQ42" s="416"/>
      <c r="CR42" s="416"/>
      <c r="CS42" s="416"/>
      <c r="CT42" s="416"/>
      <c r="CU42" s="416"/>
      <c r="CV42" s="416"/>
      <c r="CW42" s="416"/>
      <c r="CX42" s="416"/>
      <c r="CY42" s="416"/>
      <c r="CZ42" s="416"/>
      <c r="DA42" s="416"/>
      <c r="DB42" s="416"/>
      <c r="DC42" s="416"/>
      <c r="DD42" s="416"/>
      <c r="DE42" s="416"/>
      <c r="DF42" s="416"/>
      <c r="DG42" s="416"/>
      <c r="DH42" s="416"/>
      <c r="DI42" s="416"/>
      <c r="DJ42" s="416"/>
      <c r="DK42" s="416"/>
      <c r="DL42" s="416"/>
      <c r="DM42" s="416"/>
      <c r="DN42" s="416"/>
      <c r="DO42" s="416"/>
      <c r="DP42" s="416"/>
      <c r="DQ42" s="416"/>
      <c r="DR42" s="416"/>
      <c r="DS42" s="416"/>
      <c r="DT42" s="416"/>
      <c r="DU42" s="416"/>
      <c r="DW42" s="336">
        <f t="shared" ref="DW42" si="1086">IF(BE42=1,($BC42*BE42),0)</f>
        <v>0</v>
      </c>
      <c r="DX42" s="336">
        <f t="shared" ref="DX42" si="1087">IF(BF42=1,($BC42*BF42),0)</f>
        <v>14</v>
      </c>
      <c r="DY42" s="336">
        <f t="shared" ref="DY42" si="1088">IF(BG42=1,($BC42*BG42),0)</f>
        <v>0</v>
      </c>
      <c r="DZ42" s="336">
        <f t="shared" ref="DZ42" si="1089">IF(BH42=1,($BC42*BH42),0)</f>
        <v>0</v>
      </c>
      <c r="EA42" s="336">
        <f t="shared" ref="EA42" si="1090">IF(BI42=1,($BC42*BI42),0)</f>
        <v>14</v>
      </c>
      <c r="EB42" s="336">
        <f t="shared" ref="EB42" si="1091">IF(BJ42=1,($BC42*BJ42),0)</f>
        <v>0</v>
      </c>
      <c r="EC42" s="336">
        <f t="shared" ref="EC42" si="1092">IF(BK42=1,($BC42*BK42),0)</f>
        <v>0</v>
      </c>
      <c r="ED42" s="336">
        <f t="shared" ref="ED42" si="1093">IF(BL42=1,($BC42*BL42),0)</f>
        <v>0</v>
      </c>
      <c r="EE42" s="336">
        <f t="shared" ref="EE42" si="1094">IF(BM42=1,($BC42*BM42),0)</f>
        <v>0</v>
      </c>
      <c r="EF42" s="336">
        <f t="shared" ref="EF42" si="1095">IF(BN42=1,($BC42*BN42),0)</f>
        <v>0</v>
      </c>
      <c r="EG42" s="336">
        <f t="shared" ref="EG42" si="1096">IF(BO42=1,($BC42*BO42),0)</f>
        <v>0</v>
      </c>
      <c r="EH42" s="336">
        <f t="shared" ref="EH42" si="1097">IF(BP42=1,($BC42*BP42),0)</f>
        <v>0</v>
      </c>
      <c r="EI42" s="336">
        <f t="shared" ref="EI42" si="1098">IF(BQ42=1,($BC42*BQ42),0)</f>
        <v>0</v>
      </c>
      <c r="EJ42" s="336">
        <f t="shared" ref="EJ42" si="1099">IF(BR42=1,($BC42*BR42),0)</f>
        <v>0</v>
      </c>
      <c r="EK42" s="336">
        <f t="shared" ref="EK42" si="1100">IF(BS42=1,($BC42*BS42),0)</f>
        <v>0</v>
      </c>
      <c r="EL42" s="336">
        <f t="shared" ref="EL42" si="1101">IF(BT42=1,($BC42*BT42),0)</f>
        <v>0</v>
      </c>
      <c r="EM42" s="336">
        <f t="shared" ref="EM42" si="1102">IF(BU42=1,($BC42*BU42),0)</f>
        <v>0</v>
      </c>
      <c r="EN42" s="336">
        <f t="shared" ref="EN42" si="1103">IF(BV42=1,($BC42*BV42),0)</f>
        <v>0</v>
      </c>
      <c r="EO42" s="336">
        <f t="shared" ref="EO42" si="1104">IF(BW42=1,($BC42*BW42),0)</f>
        <v>0</v>
      </c>
      <c r="EP42" s="336">
        <f t="shared" ref="EP42" si="1105">IF(BX42=1,($BC42*BX42),0)</f>
        <v>0</v>
      </c>
      <c r="EQ42" s="336">
        <f t="shared" ref="EQ42" si="1106">IF(BY42=1,($BC42*BY42),0)</f>
        <v>0</v>
      </c>
      <c r="ER42" s="336">
        <f t="shared" ref="ER42" si="1107">IF(BZ42=1,($BC42*BZ42),0)</f>
        <v>0</v>
      </c>
      <c r="ES42" s="336">
        <f t="shared" ref="ES42" si="1108">IF(CA42=1,($BC42*CA42),0)</f>
        <v>0</v>
      </c>
      <c r="ET42" s="336">
        <f t="shared" si="22"/>
        <v>0</v>
      </c>
      <c r="EU42" s="336">
        <f t="shared" si="23"/>
        <v>0</v>
      </c>
      <c r="EV42" s="336">
        <f t="shared" ref="EV42" si="1109">IF(CD42=1,($BC42*CD42),0)</f>
        <v>0</v>
      </c>
      <c r="EW42" s="336">
        <f t="shared" ref="EW42" si="1110">IF(CE42=1,($BC42*CE42),0)</f>
        <v>0</v>
      </c>
      <c r="EX42" s="336">
        <f t="shared" ref="EX42" si="1111">IF(CF42=1,($BC42*CF42),0)</f>
        <v>0</v>
      </c>
      <c r="EY42" s="336">
        <f t="shared" ref="EY42" si="1112">IF(CG42=1,($BC42*CG42),0)</f>
        <v>0</v>
      </c>
      <c r="EZ42" s="336">
        <f t="shared" ref="EZ42" si="1113">IF(CH42=1,($BC42*CH42),0)</f>
        <v>0</v>
      </c>
      <c r="FA42" s="336">
        <f t="shared" ref="FA42" si="1114">IF(CI42=1,($BC42*CI42),0)</f>
        <v>0</v>
      </c>
      <c r="FB42" s="336">
        <f t="shared" ref="FB42" si="1115">IF(CJ42=1,($BC42*CJ42),0)</f>
        <v>0</v>
      </c>
      <c r="FC42" s="336">
        <f t="shared" ref="FC42" si="1116">IF(CK42=1,($BC42*CK42),0)</f>
        <v>0</v>
      </c>
      <c r="FD42" s="336">
        <f t="shared" ref="FD42" si="1117">IF(CL42=1,($BC42*CL42),0)</f>
        <v>0</v>
      </c>
      <c r="FE42" s="336">
        <f t="shared" ref="FE42" si="1118">IF(CM42=1,($BC42*CM42),0)</f>
        <v>0</v>
      </c>
      <c r="FF42" s="336">
        <f t="shared" ref="FF42" si="1119">IF(CN42=1,($BC42*CN42),0)</f>
        <v>0</v>
      </c>
      <c r="FG42" s="336">
        <f t="shared" ref="FG42" si="1120">IF(CO42=1,($BC42*CO42),0)</f>
        <v>0</v>
      </c>
      <c r="FH42" s="336">
        <f t="shared" ref="FH42" si="1121">IF(CP42=1,($BC42*CP42),0)</f>
        <v>0</v>
      </c>
      <c r="FI42" s="336">
        <f t="shared" ref="FI42" si="1122">IF(CQ42=1,($BC42*CQ42),0)</f>
        <v>0</v>
      </c>
      <c r="FJ42" s="336">
        <f t="shared" ref="FJ42" si="1123">IF(CR42=1,($BC42*CR42),0)</f>
        <v>0</v>
      </c>
      <c r="FK42" s="336">
        <f t="shared" ref="FK42" si="1124">IF(CS42=1,($BC42*CS42),0)</f>
        <v>0</v>
      </c>
      <c r="FL42" s="336">
        <f t="shared" ref="FL42" si="1125">IF(CT42=1,($BC42*CT42),0)</f>
        <v>0</v>
      </c>
      <c r="FM42" s="336">
        <f t="shared" ref="FM42" si="1126">IF(CU42=1,($BC42*CU42),0)</f>
        <v>0</v>
      </c>
      <c r="FN42" s="336">
        <f t="shared" ref="FN42" si="1127">IF(CV42=1,($BC42*CV42),0)</f>
        <v>0</v>
      </c>
      <c r="FO42" s="336">
        <f t="shared" ref="FO42" si="1128">IF(CW42=1,($BC42*CW42),0)</f>
        <v>0</v>
      </c>
      <c r="FP42" s="336">
        <f t="shared" ref="FP42" si="1129">IF(CX42=1,($BC42*CX42),0)</f>
        <v>0</v>
      </c>
      <c r="FQ42" s="336">
        <f t="shared" ref="FQ42" si="1130">IF(CY42=1,($BC42*CY42),0)</f>
        <v>0</v>
      </c>
      <c r="FR42" s="336">
        <f t="shared" ref="FR42" si="1131">IF(CZ42=1,($BC42*CZ42),0)</f>
        <v>0</v>
      </c>
      <c r="FS42" s="336">
        <f t="shared" ref="FS42" si="1132">IF(DA42=1,($BC42*DA42),0)</f>
        <v>0</v>
      </c>
      <c r="FT42" s="336">
        <f t="shared" ref="FT42" si="1133">IF(DB42=1,($BC42*DB42),0)</f>
        <v>0</v>
      </c>
      <c r="FU42" s="336">
        <f t="shared" si="93"/>
        <v>0</v>
      </c>
      <c r="FV42" s="336">
        <f t="shared" si="94"/>
        <v>0</v>
      </c>
      <c r="FW42" s="336">
        <f t="shared" si="95"/>
        <v>0</v>
      </c>
      <c r="FX42" s="336">
        <f t="shared" si="96"/>
        <v>0</v>
      </c>
      <c r="FY42" s="336">
        <f t="shared" ref="FY42" si="1134">IF(DG42=1,($BC42*DG42),0)</f>
        <v>0</v>
      </c>
      <c r="FZ42" s="336">
        <f t="shared" ref="FZ42" si="1135">IF(DH42=1,($BC42*DH42),0)</f>
        <v>0</v>
      </c>
      <c r="GA42" s="336">
        <f t="shared" ref="GA42" si="1136">IF(DI42=1,($BC42*DI42),0)</f>
        <v>0</v>
      </c>
      <c r="GB42" s="336">
        <f t="shared" ref="GB42" si="1137">IF(DJ42=1,($BC42*DJ42),0)</f>
        <v>0</v>
      </c>
      <c r="GC42" s="336">
        <f t="shared" ref="GC42" si="1138">IF(DK42=1,($BC42*DK42),0)</f>
        <v>0</v>
      </c>
      <c r="GD42" s="336">
        <f t="shared" ref="GD42" si="1139">IF(DL42=1,($BC42*DL42),0)</f>
        <v>0</v>
      </c>
      <c r="GE42" s="336">
        <f t="shared" ref="GE42" si="1140">IF(DM42=1,($BC42*DM42),0)</f>
        <v>0</v>
      </c>
      <c r="GF42" s="336">
        <f t="shared" ref="GF42" si="1141">IF(DN42=1,($BC42*DN42),0)</f>
        <v>0</v>
      </c>
      <c r="GG42" s="336">
        <f t="shared" ref="GG42" si="1142">IF(DO42=1,($BC42*DO42),0)</f>
        <v>0</v>
      </c>
      <c r="GH42" s="336">
        <f t="shared" ref="GH42" si="1143">IF(DP42=1,($BC42*DP42),0)</f>
        <v>0</v>
      </c>
      <c r="GI42" s="336">
        <f t="shared" ref="GI42" si="1144">IF(DQ42=1,($BC42*DQ42),0)</f>
        <v>0</v>
      </c>
      <c r="GJ42" s="336">
        <f t="shared" ref="GJ42" si="1145">IF(DR42=1,($BC42*DR42),0)</f>
        <v>0</v>
      </c>
      <c r="GK42" s="336">
        <f t="shared" ref="GK42" si="1146">IF(DS42=1,($BC42*DS42),0)</f>
        <v>0</v>
      </c>
      <c r="GL42" s="336">
        <f t="shared" si="164"/>
        <v>0</v>
      </c>
      <c r="GM42" s="336">
        <f t="shared" ref="GM42" si="1147">IF(DU42=1,($BC42*DU42),0)</f>
        <v>0</v>
      </c>
    </row>
    <row r="43" spans="1:195" ht="18" customHeight="1">
      <c r="A43" s="337">
        <f>A42+1</f>
        <v>34</v>
      </c>
      <c r="B43" s="453" t="s">
        <v>403</v>
      </c>
      <c r="C43" s="337" t="str">
        <f t="shared" si="1074"/>
        <v>11kV MV Switchgear-1</v>
      </c>
      <c r="D43" s="415" t="s">
        <v>404</v>
      </c>
      <c r="E43" s="416" t="s">
        <v>401</v>
      </c>
      <c r="F43" s="417" t="s">
        <v>28</v>
      </c>
      <c r="G43" s="340" t="s">
        <v>350</v>
      </c>
      <c r="H43" s="418">
        <v>1400</v>
      </c>
      <c r="I43" s="337" t="s">
        <v>330</v>
      </c>
      <c r="J43" s="337" t="s">
        <v>331</v>
      </c>
      <c r="K43" s="341">
        <v>11000</v>
      </c>
      <c r="L43" s="342">
        <v>0.81</v>
      </c>
      <c r="M43" s="342">
        <v>0.96099999999999997</v>
      </c>
      <c r="N43" s="342">
        <f t="shared" si="1075"/>
        <v>94.401535035849918</v>
      </c>
      <c r="O43" s="342">
        <f t="shared" si="67"/>
        <v>566.40921021509951</v>
      </c>
      <c r="P43" s="343">
        <f t="shared" si="1076"/>
        <v>0.2</v>
      </c>
      <c r="Q43" s="342">
        <v>31.5</v>
      </c>
      <c r="R43" s="342">
        <v>0.16</v>
      </c>
      <c r="S43" s="342">
        <f t="shared" si="85"/>
        <v>134.04255319148936</v>
      </c>
      <c r="T43" s="344" t="s">
        <v>131</v>
      </c>
      <c r="U43" s="342" t="s">
        <v>333</v>
      </c>
      <c r="V43" s="344">
        <v>150</v>
      </c>
      <c r="W43" s="343" t="str">
        <f t="shared" si="69"/>
        <v>3C X 150</v>
      </c>
      <c r="X43" s="343" t="str">
        <f t="shared" si="1077"/>
        <v>3C X 150+PE</v>
      </c>
      <c r="Y43" s="419" t="s">
        <v>346</v>
      </c>
      <c r="Z43" s="344">
        <f>IF(T43="AIR",VLOOKUP(W43,'Catalogue Aluminium'!$B$141:$G$173,2,FALSE),IF(T43="GROUND",VLOOKUP(W43,'Catalogue Aluminium'!$B$141:$G$173,3,FALSE),IF(T43="DUCT",VLOOKUP(W43,'Catalogue Aluminium'!$B$141:$G$173,4,FALSE),IF(T43="TRENCH",VLOOKUP(W43,'Catalogue Aluminium'!$B$141:$G$173,2,FALSE)))))</f>
        <v>309</v>
      </c>
      <c r="AA43" s="345">
        <f>VLOOKUP(W43,'Catalogue Aluminium'!$B$141:$G$173,5,FALSE)</f>
        <v>0.26500000000000001</v>
      </c>
      <c r="AB43" s="345">
        <f>VLOOKUP(W43,'Catalogue Aluminium'!$B$141:$G$173,6,FALSE)</f>
        <v>9.2999999999999999E-2</v>
      </c>
      <c r="AC43" s="349">
        <f t="shared" si="1078"/>
        <v>67</v>
      </c>
      <c r="AD43" s="343">
        <f>45+50+5</f>
        <v>100</v>
      </c>
      <c r="AE43" s="343">
        <f t="shared" si="1079"/>
        <v>22</v>
      </c>
      <c r="AF43" s="343">
        <f t="shared" si="1080"/>
        <v>10</v>
      </c>
      <c r="AG43" s="343">
        <f t="shared" si="1081"/>
        <v>20</v>
      </c>
      <c r="AH43" s="347">
        <f t="shared" si="87"/>
        <v>220</v>
      </c>
      <c r="AI43" s="344">
        <f>IF(T43="AIR",'Catalogue Aluminium'!$K$141,IF(T43="TRENCH",'Catalogue Aluminium'!$K$144,"NA"))</f>
        <v>0.82</v>
      </c>
      <c r="AJ43" s="342">
        <f>IF(T43="Air",(IF(U43="1C",'Catalogue Aluminium'!$L$141,'Catalogue Aluminium'!$M$141)),IF(T43="DUCT",(IF($U43="1C",'Catalogue Aluminium'!$L$142,'Catalogue Aluminium'!$M$142)),IF(T43="GROUND",(IF($U43="1C",'Catalogue Aluminium'!$L$143,'Catalogue Aluminium'!$M$143)),IF(T43="TRENCH",(IF($U43="1C",'Catalogue Aluminium'!$L$144,'Catalogue Aluminium'!$M$144))))))</f>
        <v>0.73</v>
      </c>
      <c r="AK43" s="344" t="str">
        <f>IF(T43="Air",'Catalogue Aluminium'!$N$141,IF(T43="GROUND",'Catalogue Aluminium'!$N$142,IF(T43="DUCT",'Catalogue Aluminium'!$N$143,IF(T43="TRENCH",'Catalogue Aluminium'!$N$144,"NA"))))</f>
        <v>NA</v>
      </c>
      <c r="AL43" s="344" t="str">
        <f>IF(T43="Air",(IF(U43="1C",'Catalogue Aluminium'!$O$141,'Catalogue Aluminium'!$P$141)),IF(T43="DUCT",(IF($U43="1C",'Catalogue Aluminium'!$O$142,'Catalogue Aluminium'!$P$142)),IF(T43="GROUND",(IF($U43="1C",'Catalogue Aluminium'!$O$143,'Catalogue Aluminium'!$P$143)),IF(T43="TRENCH",(IF($U43="1C",'Catalogue Aluminium'!$O$144,'Catalogue Aluminium'!$P$144))))))</f>
        <v>NA</v>
      </c>
      <c r="AM43" s="344" t="str">
        <f>IF(T43="AIR","NA",IF(T43="TRENCH","NA",IF(T43="DUCT",IF(U43="1C",VLOOKUP(V43,'Catalogue Aluminium'!$Q$142:$S$153,2,FALSE),VLOOKUP(V43,'Catalogue Aluminium'!$Q$142:$S$153,3)),IF(T43="GROUND",IF(U43="1C",VLOOKUP(V43,'Catalogue Aluminium'!$Q$142:$S$153,2,FALSE),VLOOKUP(V43,'Catalogue Aluminium'!$Q$142:$S$153,3))))))</f>
        <v>NA</v>
      </c>
      <c r="AN43" s="348">
        <f>IF(T43="AIR",AI43*AJ43,IF(T43="TRENCH",AI43*AJ43,IF(T43="DUCT",AJ43*AK43*AL43*AM43,IF(T43="GROUND",AJ43*AK43*AL43*AM43))))</f>
        <v>0.59859999999999991</v>
      </c>
      <c r="AO43" s="342">
        <f>Z43*AN43</f>
        <v>184.96739999999997</v>
      </c>
      <c r="AP43" s="349">
        <f>CEILING(((N43)/AO43),1)</f>
        <v>1</v>
      </c>
      <c r="AQ43" s="350" t="str">
        <f>IF(AO43*AP43&gt;=N43,"YES","NO")</f>
        <v>YES</v>
      </c>
      <c r="AR43" s="351">
        <f>SQRT(3)*AH43*N43*((AA43*L43)+(AB43*SIN(ACOS(L43))))*100/(AP43*K43*1000)</f>
        <v>8.8028913263508438E-2</v>
      </c>
      <c r="AS43" s="343" t="str">
        <f t="shared" si="89"/>
        <v>YES</v>
      </c>
      <c r="AT43" s="351">
        <f>IF(G43="MOTOR",(SQRT(3)*AH43*O43*((AA43*P43)+(AB43*SIN(ACOS(P43))))*100/(AP43*K43*1000)),"NA")</f>
        <v>0.28277971478139191</v>
      </c>
      <c r="AU43" s="343" t="str">
        <f>IF(G43="MOTOR",IF(AT43&lt;=15,"YES","NO"),"NA")</f>
        <v>YES</v>
      </c>
      <c r="AV43" s="351" t="str">
        <f>IF(U43="1C",CONCATENATE(AP43,"R x ",Y43,"kV x ",U43," x ",V43," Sqmm/Phase"),CONCATENATE(AP43,"R x ","6/10 (12)kV x ",U43," x ",V43," Sqmm"))</f>
        <v>1R x 6/10 (12)kV x 3C x 150 Sqmm</v>
      </c>
      <c r="AW43" s="351" t="str">
        <f>IF(U43="1C",CONCATENATE(AP43,"R x ",Y43,"kV x ",U43," x ",V43," Sqmm/Phase"),CONCATENATE(AP43,"R x ","6/10 (12)kV x ",U43," x ",V43," Sqmm"))</f>
        <v>1R x 6/10 (12)kV x 3C x 150 Sqmm</v>
      </c>
      <c r="AX43" s="343">
        <f>IF(U43="1C",(3*AH43*AP43),(AH43*AP43))</f>
        <v>220</v>
      </c>
      <c r="AY43" s="343"/>
      <c r="AZ43" s="343">
        <f>IF(U43="1C",(3*AP43*2),(AP43*2))</f>
        <v>2</v>
      </c>
      <c r="BA43" s="356" t="str">
        <f t="shared" si="1082"/>
        <v>AC</v>
      </c>
      <c r="BB43" s="340">
        <f>VLOOKUP(W43,'Catalogue Aluminium'!$B$141:$H$173,7,FALSE)</f>
        <v>62</v>
      </c>
      <c r="BC43" s="328">
        <f>AP43*BB43</f>
        <v>62</v>
      </c>
      <c r="BE43" s="344"/>
      <c r="BF43" s="344">
        <v>1</v>
      </c>
      <c r="BG43" s="344"/>
      <c r="BH43" s="344"/>
      <c r="BI43" s="344">
        <v>1</v>
      </c>
      <c r="BJ43" s="344"/>
      <c r="BK43" s="344"/>
      <c r="BL43" s="344"/>
      <c r="BM43" s="344"/>
      <c r="BN43" s="344"/>
      <c r="BO43" s="344"/>
      <c r="BP43" s="344"/>
      <c r="BQ43" s="344"/>
      <c r="BR43" s="416"/>
      <c r="BS43" s="416"/>
      <c r="BT43" s="416"/>
      <c r="BU43" s="416"/>
      <c r="BV43" s="416"/>
      <c r="BW43" s="416"/>
      <c r="BX43" s="416"/>
      <c r="BY43" s="416"/>
      <c r="BZ43" s="416"/>
      <c r="CA43" s="416"/>
      <c r="CB43" s="416"/>
      <c r="CC43" s="416"/>
      <c r="CD43" s="416"/>
      <c r="CE43" s="416"/>
      <c r="CF43" s="416"/>
      <c r="CG43" s="416"/>
      <c r="CH43" s="416"/>
      <c r="CI43" s="416"/>
      <c r="CJ43" s="416"/>
      <c r="CK43" s="416"/>
      <c r="CL43" s="416"/>
      <c r="CM43" s="416"/>
      <c r="CN43" s="416"/>
      <c r="CO43" s="416"/>
      <c r="CP43" s="416"/>
      <c r="CQ43" s="416"/>
      <c r="CR43" s="416"/>
      <c r="CS43" s="416"/>
      <c r="CT43" s="416"/>
      <c r="CU43" s="416"/>
      <c r="CV43" s="416"/>
      <c r="CW43" s="416"/>
      <c r="CX43" s="416"/>
      <c r="CY43" s="416"/>
      <c r="CZ43" s="416"/>
      <c r="DA43" s="416"/>
      <c r="DB43" s="416"/>
      <c r="DC43" s="416"/>
      <c r="DD43" s="416"/>
      <c r="DE43" s="416"/>
      <c r="DF43" s="416"/>
      <c r="DG43" s="416"/>
      <c r="DH43" s="416"/>
      <c r="DI43" s="416"/>
      <c r="DJ43" s="416"/>
      <c r="DK43" s="416"/>
      <c r="DL43" s="416"/>
      <c r="DM43" s="416"/>
      <c r="DN43" s="416"/>
      <c r="DO43" s="416"/>
      <c r="DP43" s="416"/>
      <c r="DQ43" s="416"/>
      <c r="DR43" s="416"/>
      <c r="DS43" s="416"/>
      <c r="DT43" s="416"/>
      <c r="DU43" s="416"/>
      <c r="DW43" s="336">
        <f t="shared" si="81"/>
        <v>0</v>
      </c>
      <c r="DX43" s="336">
        <f t="shared" si="0"/>
        <v>62</v>
      </c>
      <c r="DY43" s="336">
        <f t="shared" si="1"/>
        <v>0</v>
      </c>
      <c r="DZ43" s="336">
        <f t="shared" si="2"/>
        <v>0</v>
      </c>
      <c r="EA43" s="336">
        <f t="shared" si="3"/>
        <v>62</v>
      </c>
      <c r="EB43" s="336">
        <f t="shared" si="4"/>
        <v>0</v>
      </c>
      <c r="EC43" s="336">
        <f t="shared" si="5"/>
        <v>0</v>
      </c>
      <c r="ED43" s="336">
        <f t="shared" si="6"/>
        <v>0</v>
      </c>
      <c r="EE43" s="336">
        <f t="shared" si="7"/>
        <v>0</v>
      </c>
      <c r="EF43" s="336">
        <f t="shared" si="8"/>
        <v>0</v>
      </c>
      <c r="EG43" s="336">
        <f t="shared" si="9"/>
        <v>0</v>
      </c>
      <c r="EH43" s="336">
        <f t="shared" si="10"/>
        <v>0</v>
      </c>
      <c r="EI43" s="336">
        <f t="shared" si="11"/>
        <v>0</v>
      </c>
      <c r="EJ43" s="336">
        <f t="shared" si="12"/>
        <v>0</v>
      </c>
      <c r="EK43" s="336">
        <f t="shared" si="13"/>
        <v>0</v>
      </c>
      <c r="EL43" s="336">
        <f t="shared" si="14"/>
        <v>0</v>
      </c>
      <c r="EM43" s="336">
        <f t="shared" si="15"/>
        <v>0</v>
      </c>
      <c r="EN43" s="336">
        <f t="shared" si="16"/>
        <v>0</v>
      </c>
      <c r="EO43" s="336">
        <f t="shared" si="17"/>
        <v>0</v>
      </c>
      <c r="EP43" s="336">
        <f t="shared" si="18"/>
        <v>0</v>
      </c>
      <c r="EQ43" s="336">
        <f t="shared" si="19"/>
        <v>0</v>
      </c>
      <c r="ER43" s="336">
        <f t="shared" si="20"/>
        <v>0</v>
      </c>
      <c r="ES43" s="336">
        <f t="shared" si="21"/>
        <v>0</v>
      </c>
      <c r="ET43" s="336">
        <f t="shared" si="22"/>
        <v>0</v>
      </c>
      <c r="EU43" s="336">
        <f t="shared" si="23"/>
        <v>0</v>
      </c>
      <c r="EV43" s="336">
        <f t="shared" si="24"/>
        <v>0</v>
      </c>
      <c r="EW43" s="336">
        <f t="shared" si="25"/>
        <v>0</v>
      </c>
      <c r="EX43" s="336">
        <f t="shared" si="26"/>
        <v>0</v>
      </c>
      <c r="EY43" s="336">
        <f t="shared" si="27"/>
        <v>0</v>
      </c>
      <c r="EZ43" s="336">
        <f t="shared" si="28"/>
        <v>0</v>
      </c>
      <c r="FA43" s="336">
        <f t="shared" si="29"/>
        <v>0</v>
      </c>
      <c r="FB43" s="336">
        <f t="shared" si="30"/>
        <v>0</v>
      </c>
      <c r="FC43" s="336">
        <f t="shared" si="31"/>
        <v>0</v>
      </c>
      <c r="FD43" s="336">
        <f t="shared" si="32"/>
        <v>0</v>
      </c>
      <c r="FE43" s="336">
        <f t="shared" si="33"/>
        <v>0</v>
      </c>
      <c r="FF43" s="336">
        <f t="shared" si="34"/>
        <v>0</v>
      </c>
      <c r="FG43" s="336">
        <f t="shared" si="35"/>
        <v>0</v>
      </c>
      <c r="FH43" s="336">
        <f t="shared" si="36"/>
        <v>0</v>
      </c>
      <c r="FI43" s="336">
        <f t="shared" si="37"/>
        <v>0</v>
      </c>
      <c r="FJ43" s="336">
        <f t="shared" si="38"/>
        <v>0</v>
      </c>
      <c r="FK43" s="336">
        <f t="shared" si="39"/>
        <v>0</v>
      </c>
      <c r="FL43" s="336">
        <f t="shared" si="40"/>
        <v>0</v>
      </c>
      <c r="FM43" s="336">
        <f t="shared" si="41"/>
        <v>0</v>
      </c>
      <c r="FN43" s="336">
        <f t="shared" si="42"/>
        <v>0</v>
      </c>
      <c r="FO43" s="336">
        <f t="shared" si="43"/>
        <v>0</v>
      </c>
      <c r="FP43" s="336">
        <f t="shared" si="44"/>
        <v>0</v>
      </c>
      <c r="FQ43" s="336">
        <f t="shared" si="45"/>
        <v>0</v>
      </c>
      <c r="FR43" s="336">
        <f t="shared" si="46"/>
        <v>0</v>
      </c>
      <c r="FS43" s="336">
        <f t="shared" si="47"/>
        <v>0</v>
      </c>
      <c r="FT43" s="336">
        <f t="shared" si="48"/>
        <v>0</v>
      </c>
      <c r="FU43" s="336">
        <f t="shared" si="93"/>
        <v>0</v>
      </c>
      <c r="FV43" s="336">
        <f t="shared" si="94"/>
        <v>0</v>
      </c>
      <c r="FW43" s="336">
        <f t="shared" si="95"/>
        <v>0</v>
      </c>
      <c r="FX43" s="336">
        <f t="shared" si="96"/>
        <v>0</v>
      </c>
      <c r="FY43" s="336">
        <f t="shared" si="53"/>
        <v>0</v>
      </c>
      <c r="FZ43" s="336">
        <f t="shared" si="54"/>
        <v>0</v>
      </c>
      <c r="GA43" s="336">
        <f t="shared" si="55"/>
        <v>0</v>
      </c>
      <c r="GB43" s="336">
        <f t="shared" si="56"/>
        <v>0</v>
      </c>
      <c r="GC43" s="336">
        <f t="shared" si="57"/>
        <v>0</v>
      </c>
      <c r="GD43" s="336">
        <f t="shared" si="58"/>
        <v>0</v>
      </c>
      <c r="GE43" s="336">
        <f t="shared" si="59"/>
        <v>0</v>
      </c>
      <c r="GF43" s="336">
        <f t="shared" si="60"/>
        <v>0</v>
      </c>
      <c r="GG43" s="336">
        <f t="shared" si="61"/>
        <v>0</v>
      </c>
      <c r="GH43" s="336">
        <f t="shared" si="62"/>
        <v>0</v>
      </c>
      <c r="GI43" s="336">
        <f t="shared" si="63"/>
        <v>0</v>
      </c>
      <c r="GJ43" s="336">
        <f t="shared" si="64"/>
        <v>0</v>
      </c>
      <c r="GK43" s="336">
        <f>IF(DS43=1,($BC43*DS43),0)</f>
        <v>0</v>
      </c>
      <c r="GL43" s="336">
        <f t="shared" ref="GL43:GL74" si="1148">IF(DT43=1,($BC43*DT43),0)</f>
        <v>0</v>
      </c>
      <c r="GM43" s="336">
        <f t="shared" si="66"/>
        <v>0</v>
      </c>
    </row>
    <row r="44" spans="1:195" ht="18" customHeight="1">
      <c r="A44" s="388">
        <f>A43+1</f>
        <v>35</v>
      </c>
      <c r="B44" s="454" t="s">
        <v>403</v>
      </c>
      <c r="C44" s="388" t="str">
        <f t="shared" si="1074"/>
        <v>11kV MV Switchgear-1</v>
      </c>
      <c r="D44" s="431" t="s">
        <v>405</v>
      </c>
      <c r="E44" s="432" t="s">
        <v>401</v>
      </c>
      <c r="F44" s="433" t="s">
        <v>28</v>
      </c>
      <c r="G44" s="390" t="s">
        <v>329</v>
      </c>
      <c r="H44" s="396">
        <v>0.2</v>
      </c>
      <c r="I44" s="388" t="s">
        <v>330</v>
      </c>
      <c r="J44" s="388" t="s">
        <v>357</v>
      </c>
      <c r="K44" s="434">
        <v>230</v>
      </c>
      <c r="L44" s="401">
        <v>0.85</v>
      </c>
      <c r="M44" s="418">
        <v>0.95</v>
      </c>
      <c r="N44" s="392">
        <f t="shared" si="1075"/>
        <v>1.0768609503297888</v>
      </c>
      <c r="O44" s="392">
        <f t="shared" ref="O44" si="1149">IF(G44="MOTOR",(6*N44),IF(G44="VFD",(1*N44),0))</f>
        <v>0</v>
      </c>
      <c r="P44" s="401" t="str">
        <f t="shared" si="1076"/>
        <v>0.00</v>
      </c>
      <c r="Q44" s="418">
        <v>65</v>
      </c>
      <c r="R44" s="418">
        <v>0</v>
      </c>
      <c r="S44" s="418">
        <f t="shared" si="85"/>
        <v>0</v>
      </c>
      <c r="T44" s="401" t="s">
        <v>131</v>
      </c>
      <c r="U44" s="418" t="s">
        <v>333</v>
      </c>
      <c r="V44" s="401">
        <v>2.5</v>
      </c>
      <c r="W44" s="401" t="str">
        <f t="shared" ref="W44" si="1150">CONCATENATE(U44," X ",V44)</f>
        <v>3C X 2.5</v>
      </c>
      <c r="X44" s="401" t="str">
        <f t="shared" si="1077"/>
        <v>3C X 2.5</v>
      </c>
      <c r="Y44" s="435" t="s">
        <v>358</v>
      </c>
      <c r="Z44" s="393">
        <f>IF(T44="AIR",VLOOKUP(W44,'Catalogue Aluminium'!$B$141:$G$173,2,FALSE),IF(T44="GROUND",VLOOKUP(W44,'Catalogue Aluminium'!$B$141:$G$173,3,FALSE),IF(T44="DUCT",VLOOKUP(W44,'Catalogue Aluminium'!$B$141:$G$173,4,FALSE),IF(T44="TRENCH",VLOOKUP(W44,'Catalogue Aluminium'!$B$141:$G$173,2,FALSE)))))</f>
        <v>28</v>
      </c>
      <c r="AA44" s="402">
        <f>VLOOKUP(W44,'Catalogue Aluminium'!$B$141:$G$173,5,FALSE)</f>
        <v>9.48</v>
      </c>
      <c r="AB44" s="402">
        <f>VLOOKUP(W44,'Catalogue Aluminium'!$B$141:$G$173,6,FALSE)</f>
        <v>0.1007</v>
      </c>
      <c r="AC44" s="434">
        <f t="shared" si="1078"/>
        <v>67</v>
      </c>
      <c r="AD44" s="401">
        <f>45+50+5</f>
        <v>100</v>
      </c>
      <c r="AE44" s="401">
        <f t="shared" si="1079"/>
        <v>22</v>
      </c>
      <c r="AF44" s="401">
        <f t="shared" si="1080"/>
        <v>10</v>
      </c>
      <c r="AG44" s="401">
        <f t="shared" ref="AG44" si="1151">ROUNDUP(SUM(AC44:AF44)*0.1,0)</f>
        <v>20</v>
      </c>
      <c r="AH44" s="436">
        <f t="shared" si="87"/>
        <v>220</v>
      </c>
      <c r="AI44" s="393">
        <f>IF(T44="AIR",'Catalogue Aluminium'!$K$141,IF(T44="TRENCH",'Catalogue Aluminium'!$K$144,"NA"))</f>
        <v>0.82</v>
      </c>
      <c r="AJ44" s="392">
        <f>IF(T44="Air",(IF(U44="1C",'Catalogue Aluminium'!$L$141,'Catalogue Aluminium'!$M$141)),IF(T44="DUCT",(IF($U44="1C",'Catalogue Aluminium'!$L$142,'Catalogue Aluminium'!$M$142)),IF(T44="GROUND",(IF($U44="1C",'Catalogue Aluminium'!$L$143,'Catalogue Aluminium'!$M$143)),IF(T44="TRENCH",(IF($U44="1C",'Catalogue Aluminium'!$L$144,'Catalogue Aluminium'!$M$144))))))</f>
        <v>0.73</v>
      </c>
      <c r="AK44" s="393" t="str">
        <f>IF(T44="Air",'Catalogue Aluminium'!$N$141,IF(T44="GROUND",'Catalogue Aluminium'!$N$142,IF(T44="DUCT",'Catalogue Aluminium'!$N$143,IF(T44="TRENCH",'Catalogue Aluminium'!$N$144,"NA"))))</f>
        <v>NA</v>
      </c>
      <c r="AL44" s="393" t="str">
        <f>IF(T44="Air",(IF(U44="1C",'Catalogue Aluminium'!$O$141,'Catalogue Aluminium'!$P$141)),IF(T44="DUCT",(IF($U44="1C",'Catalogue Aluminium'!$O$142,'Catalogue Aluminium'!$P$142)),IF(T44="GROUND",(IF($U44="1C",'Catalogue Aluminium'!$O$143,'Catalogue Aluminium'!$P$143)),IF(T44="TRENCH",(IF($U44="1C",'Catalogue Aluminium'!$O$144,'Catalogue Aluminium'!$P$144))))))</f>
        <v>NA</v>
      </c>
      <c r="AM44" s="393" t="str">
        <f>IF(T44="AIR","NA",IF(T44="TRENCH","NA",IF(T44="DUCT",IF(U44="1C",VLOOKUP(V44,'Catalogue Aluminium'!$Q$142:$S$153,2,FALSE),VLOOKUP(V44,'Catalogue Aluminium'!$Q$142:$S$153,3)),IF(T44="GROUND",IF(U44="1C",VLOOKUP(V44,'Catalogue Aluminium'!$Q$142:$S$153,2,FALSE),VLOOKUP(V44,'Catalogue Aluminium'!$Q$142:$S$153,3))))))</f>
        <v>NA</v>
      </c>
      <c r="AN44" s="404">
        <f>IF(T44="AIR",AI44*AJ44,IF(T44="TRENCH",AI44*AJ44,IF(T44="DUCT",AJ44*AK44*AL44*AM44,IF(T44="GROUND",AJ44*AK44*AL44*AM44))))</f>
        <v>0.59859999999999991</v>
      </c>
      <c r="AO44" s="392">
        <f>Z44*AN44</f>
        <v>16.760799999999996</v>
      </c>
      <c r="AP44" s="434">
        <f>CEILING(((N44)/AO44),1)</f>
        <v>1</v>
      </c>
      <c r="AQ44" s="418" t="str">
        <f>IF(AO44*AP44&gt;=N44,"YES","NO")</f>
        <v>YES</v>
      </c>
      <c r="AR44" s="437">
        <f>SQRT(3)*AH44*N44*((AA44*L44)+(AB44*SIN(ACOS(L44))))*100/(AP44*K44*1000)</f>
        <v>1.4470782621759555</v>
      </c>
      <c r="AS44" s="401" t="str">
        <f t="shared" si="89"/>
        <v>YES</v>
      </c>
      <c r="AT44" s="437" t="str">
        <f>IF(G44="MOTOR",(SQRT(3)*AH44*O44*((AA44*P44)+(AB44*SIN(ACOS(P44))))*100/(AP44*K44*1000)),"NA")</f>
        <v>NA</v>
      </c>
      <c r="AU44" s="401" t="str">
        <f>IF(G44="MOTOR",IF(AT44&lt;=15,"YES","NO"),"NA")</f>
        <v>NA</v>
      </c>
      <c r="AV44" s="437" t="str">
        <f>IF(U44="1C",CONCATENATE(AP44,"R x ",Y44,"kV x ",U44," x ",V44," Sqmm/Phase"),CONCATENATE(AP44,"R x ","6/10 (12)kV x ",U44," x ",V44," Sqmm"))</f>
        <v>1R x 6/10 (12)kV x 3C x 2.5 Sqmm</v>
      </c>
      <c r="AW44" s="437" t="str">
        <f>IF(U44="1C",CONCATENATE(AP44,"R x ",Y44,"kV x ",U44," x ",V44," Sqmm/Phase"),CONCATENATE(AP44,"R x ","6/10 (12)kV x ",U44," x ",V44," Sqmm"))</f>
        <v>1R x 6/10 (12)kV x 3C x 2.5 Sqmm</v>
      </c>
      <c r="AX44" s="401">
        <f>IF(U44="1C",(3*AH44*AP44),(AH44*AP44))</f>
        <v>220</v>
      </c>
      <c r="AY44" s="401"/>
      <c r="AZ44" s="401">
        <f>IF(U44="1C",(3*AP44*2),(AP44*2))</f>
        <v>2</v>
      </c>
      <c r="BA44" s="438" t="str">
        <f t="shared" si="1082"/>
        <v>AC</v>
      </c>
      <c r="BB44" s="390">
        <f>VLOOKUP(W44,'Catalogue Aluminium'!$B$141:$H$173,7,FALSE)</f>
        <v>14</v>
      </c>
      <c r="BC44" s="439">
        <f>AP44*BB44</f>
        <v>14</v>
      </c>
      <c r="BE44" s="344"/>
      <c r="BF44" s="344">
        <v>1</v>
      </c>
      <c r="BG44" s="344"/>
      <c r="BH44" s="344"/>
      <c r="BI44" s="344">
        <v>1</v>
      </c>
      <c r="BJ44" s="344"/>
      <c r="BK44" s="344"/>
      <c r="BL44" s="344"/>
      <c r="BM44" s="344"/>
      <c r="BN44" s="344"/>
      <c r="BO44" s="344"/>
      <c r="BP44" s="344"/>
      <c r="BQ44" s="344"/>
      <c r="BR44" s="416"/>
      <c r="BS44" s="416"/>
      <c r="BT44" s="416"/>
      <c r="BU44" s="416"/>
      <c r="BV44" s="416"/>
      <c r="BW44" s="416"/>
      <c r="BX44" s="416"/>
      <c r="BY44" s="416"/>
      <c r="BZ44" s="416"/>
      <c r="CA44" s="416"/>
      <c r="CB44" s="416"/>
      <c r="CC44" s="416"/>
      <c r="CD44" s="416"/>
      <c r="CE44" s="416"/>
      <c r="CF44" s="416"/>
      <c r="CG44" s="416"/>
      <c r="CH44" s="416"/>
      <c r="CI44" s="416"/>
      <c r="CJ44" s="416"/>
      <c r="CK44" s="416"/>
      <c r="CL44" s="416"/>
      <c r="CM44" s="416"/>
      <c r="CN44" s="416"/>
      <c r="CO44" s="416"/>
      <c r="CP44" s="416"/>
      <c r="CQ44" s="416"/>
      <c r="CR44" s="416"/>
      <c r="CS44" s="416"/>
      <c r="CT44" s="416"/>
      <c r="CU44" s="416"/>
      <c r="CV44" s="416"/>
      <c r="CW44" s="416"/>
      <c r="CX44" s="416"/>
      <c r="CY44" s="416"/>
      <c r="CZ44" s="416"/>
      <c r="DA44" s="416"/>
      <c r="DB44" s="416"/>
      <c r="DC44" s="416"/>
      <c r="DD44" s="416"/>
      <c r="DE44" s="416"/>
      <c r="DF44" s="416"/>
      <c r="DG44" s="416"/>
      <c r="DH44" s="416"/>
      <c r="DI44" s="416"/>
      <c r="DJ44" s="416"/>
      <c r="DK44" s="416"/>
      <c r="DL44" s="416"/>
      <c r="DM44" s="416"/>
      <c r="DN44" s="416"/>
      <c r="DO44" s="416"/>
      <c r="DP44" s="416"/>
      <c r="DQ44" s="416"/>
      <c r="DR44" s="416"/>
      <c r="DS44" s="416"/>
      <c r="DT44" s="416"/>
      <c r="DU44" s="416"/>
      <c r="DW44" s="336">
        <f t="shared" ref="DW44" si="1152">IF(BE44=1,($BC44*BE44),0)</f>
        <v>0</v>
      </c>
      <c r="DX44" s="336">
        <f t="shared" ref="DX44" si="1153">IF(BF44=1,($BC44*BF44),0)</f>
        <v>14</v>
      </c>
      <c r="DY44" s="336">
        <f t="shared" ref="DY44" si="1154">IF(BG44=1,($BC44*BG44),0)</f>
        <v>0</v>
      </c>
      <c r="DZ44" s="336">
        <f t="shared" ref="DZ44" si="1155">IF(BH44=1,($BC44*BH44),0)</f>
        <v>0</v>
      </c>
      <c r="EA44" s="336">
        <f t="shared" ref="EA44" si="1156">IF(BI44=1,($BC44*BI44),0)</f>
        <v>14</v>
      </c>
      <c r="EB44" s="336">
        <f t="shared" ref="EB44" si="1157">IF(BJ44=1,($BC44*BJ44),0)</f>
        <v>0</v>
      </c>
      <c r="EC44" s="336">
        <f t="shared" ref="EC44" si="1158">IF(BK44=1,($BC44*BK44),0)</f>
        <v>0</v>
      </c>
      <c r="ED44" s="336">
        <f t="shared" ref="ED44" si="1159">IF(BL44=1,($BC44*BL44),0)</f>
        <v>0</v>
      </c>
      <c r="EE44" s="336">
        <f t="shared" ref="EE44" si="1160">IF(BM44=1,($BC44*BM44),0)</f>
        <v>0</v>
      </c>
      <c r="EF44" s="336">
        <f t="shared" ref="EF44" si="1161">IF(BN44=1,($BC44*BN44),0)</f>
        <v>0</v>
      </c>
      <c r="EG44" s="336">
        <f t="shared" ref="EG44" si="1162">IF(BO44=1,($BC44*BO44),0)</f>
        <v>0</v>
      </c>
      <c r="EH44" s="336">
        <f t="shared" ref="EH44" si="1163">IF(BP44=1,($BC44*BP44),0)</f>
        <v>0</v>
      </c>
      <c r="EI44" s="336">
        <f t="shared" ref="EI44" si="1164">IF(BQ44=1,($BC44*BQ44),0)</f>
        <v>0</v>
      </c>
      <c r="EJ44" s="336">
        <f t="shared" ref="EJ44" si="1165">IF(BR44=1,($BC44*BR44),0)</f>
        <v>0</v>
      </c>
      <c r="EK44" s="336">
        <f t="shared" ref="EK44" si="1166">IF(BS44=1,($BC44*BS44),0)</f>
        <v>0</v>
      </c>
      <c r="EL44" s="336">
        <f t="shared" ref="EL44" si="1167">IF(BT44=1,($BC44*BT44),0)</f>
        <v>0</v>
      </c>
      <c r="EM44" s="336">
        <f t="shared" ref="EM44" si="1168">IF(BU44=1,($BC44*BU44),0)</f>
        <v>0</v>
      </c>
      <c r="EN44" s="336">
        <f t="shared" ref="EN44" si="1169">IF(BV44=1,($BC44*BV44),0)</f>
        <v>0</v>
      </c>
      <c r="EO44" s="336">
        <f t="shared" ref="EO44" si="1170">IF(BW44=1,($BC44*BW44),0)</f>
        <v>0</v>
      </c>
      <c r="EP44" s="336">
        <f t="shared" ref="EP44" si="1171">IF(BX44=1,($BC44*BX44),0)</f>
        <v>0</v>
      </c>
      <c r="EQ44" s="336">
        <f t="shared" ref="EQ44" si="1172">IF(BY44=1,($BC44*BY44),0)</f>
        <v>0</v>
      </c>
      <c r="ER44" s="336">
        <f t="shared" ref="ER44" si="1173">IF(BZ44=1,($BC44*BZ44),0)</f>
        <v>0</v>
      </c>
      <c r="ES44" s="336">
        <f t="shared" ref="ES44" si="1174">IF(CA44=1,($BC44*CA44),0)</f>
        <v>0</v>
      </c>
      <c r="ET44" s="336">
        <f t="shared" si="22"/>
        <v>0</v>
      </c>
      <c r="EU44" s="336">
        <f t="shared" si="23"/>
        <v>0</v>
      </c>
      <c r="EV44" s="336">
        <f t="shared" ref="EV44" si="1175">IF(CD44=1,($BC44*CD44),0)</f>
        <v>0</v>
      </c>
      <c r="EW44" s="336">
        <f t="shared" ref="EW44" si="1176">IF(CE44=1,($BC44*CE44),0)</f>
        <v>0</v>
      </c>
      <c r="EX44" s="336">
        <f t="shared" ref="EX44" si="1177">IF(CF44=1,($BC44*CF44),0)</f>
        <v>0</v>
      </c>
      <c r="EY44" s="336">
        <f t="shared" ref="EY44" si="1178">IF(CG44=1,($BC44*CG44),0)</f>
        <v>0</v>
      </c>
      <c r="EZ44" s="336">
        <f t="shared" ref="EZ44" si="1179">IF(CH44=1,($BC44*CH44),0)</f>
        <v>0</v>
      </c>
      <c r="FA44" s="336">
        <f t="shared" ref="FA44" si="1180">IF(CI44=1,($BC44*CI44),0)</f>
        <v>0</v>
      </c>
      <c r="FB44" s="336">
        <f t="shared" ref="FB44" si="1181">IF(CJ44=1,($BC44*CJ44),0)</f>
        <v>0</v>
      </c>
      <c r="FC44" s="336">
        <f t="shared" ref="FC44" si="1182">IF(CK44=1,($BC44*CK44),0)</f>
        <v>0</v>
      </c>
      <c r="FD44" s="336">
        <f t="shared" ref="FD44" si="1183">IF(CL44=1,($BC44*CL44),0)</f>
        <v>0</v>
      </c>
      <c r="FE44" s="336">
        <f t="shared" ref="FE44" si="1184">IF(CM44=1,($BC44*CM44),0)</f>
        <v>0</v>
      </c>
      <c r="FF44" s="336">
        <f t="shared" ref="FF44" si="1185">IF(CN44=1,($BC44*CN44),0)</f>
        <v>0</v>
      </c>
      <c r="FG44" s="336">
        <f t="shared" ref="FG44" si="1186">IF(CO44=1,($BC44*CO44),0)</f>
        <v>0</v>
      </c>
      <c r="FH44" s="336">
        <f t="shared" ref="FH44" si="1187">IF(CP44=1,($BC44*CP44),0)</f>
        <v>0</v>
      </c>
      <c r="FI44" s="336">
        <f t="shared" ref="FI44" si="1188">IF(CQ44=1,($BC44*CQ44),0)</f>
        <v>0</v>
      </c>
      <c r="FJ44" s="336">
        <f t="shared" ref="FJ44" si="1189">IF(CR44=1,($BC44*CR44),0)</f>
        <v>0</v>
      </c>
      <c r="FK44" s="336">
        <f t="shared" ref="FK44" si="1190">IF(CS44=1,($BC44*CS44),0)</f>
        <v>0</v>
      </c>
      <c r="FL44" s="336">
        <f t="shared" ref="FL44" si="1191">IF(CT44=1,($BC44*CT44),0)</f>
        <v>0</v>
      </c>
      <c r="FM44" s="336">
        <f t="shared" ref="FM44" si="1192">IF(CU44=1,($BC44*CU44),0)</f>
        <v>0</v>
      </c>
      <c r="FN44" s="336">
        <f t="shared" ref="FN44" si="1193">IF(CV44=1,($BC44*CV44),0)</f>
        <v>0</v>
      </c>
      <c r="FO44" s="336">
        <f t="shared" ref="FO44" si="1194">IF(CW44=1,($BC44*CW44),0)</f>
        <v>0</v>
      </c>
      <c r="FP44" s="336">
        <f t="shared" ref="FP44" si="1195">IF(CX44=1,($BC44*CX44),0)</f>
        <v>0</v>
      </c>
      <c r="FQ44" s="336">
        <f t="shared" ref="FQ44" si="1196">IF(CY44=1,($BC44*CY44),0)</f>
        <v>0</v>
      </c>
      <c r="FR44" s="336">
        <f t="shared" ref="FR44" si="1197">IF(CZ44=1,($BC44*CZ44),0)</f>
        <v>0</v>
      </c>
      <c r="FS44" s="336">
        <f t="shared" ref="FS44" si="1198">IF(DA44=1,($BC44*DA44),0)</f>
        <v>0</v>
      </c>
      <c r="FT44" s="336">
        <f t="shared" ref="FT44" si="1199">IF(DB44=1,($BC44*DB44),0)</f>
        <v>0</v>
      </c>
      <c r="FU44" s="336">
        <f t="shared" si="93"/>
        <v>0</v>
      </c>
      <c r="FV44" s="336">
        <f t="shared" si="94"/>
        <v>0</v>
      </c>
      <c r="FW44" s="336">
        <f t="shared" si="95"/>
        <v>0</v>
      </c>
      <c r="FX44" s="336">
        <f t="shared" si="96"/>
        <v>0</v>
      </c>
      <c r="FY44" s="336">
        <f t="shared" ref="FY44" si="1200">IF(DG44=1,($BC44*DG44),0)</f>
        <v>0</v>
      </c>
      <c r="FZ44" s="336">
        <f t="shared" ref="FZ44" si="1201">IF(DH44=1,($BC44*DH44),0)</f>
        <v>0</v>
      </c>
      <c r="GA44" s="336">
        <f t="shared" ref="GA44" si="1202">IF(DI44=1,($BC44*DI44),0)</f>
        <v>0</v>
      </c>
      <c r="GB44" s="336">
        <f t="shared" ref="GB44" si="1203">IF(DJ44=1,($BC44*DJ44),0)</f>
        <v>0</v>
      </c>
      <c r="GC44" s="336">
        <f t="shared" ref="GC44" si="1204">IF(DK44=1,($BC44*DK44),0)</f>
        <v>0</v>
      </c>
      <c r="GD44" s="336">
        <f t="shared" ref="GD44" si="1205">IF(DL44=1,($BC44*DL44),0)</f>
        <v>0</v>
      </c>
      <c r="GE44" s="336">
        <f t="shared" ref="GE44" si="1206">IF(DM44=1,($BC44*DM44),0)</f>
        <v>0</v>
      </c>
      <c r="GF44" s="336">
        <f t="shared" ref="GF44" si="1207">IF(DN44=1,($BC44*DN44),0)</f>
        <v>0</v>
      </c>
      <c r="GG44" s="336">
        <f t="shared" ref="GG44" si="1208">IF(DO44=1,($BC44*DO44),0)</f>
        <v>0</v>
      </c>
      <c r="GH44" s="336">
        <f t="shared" ref="GH44" si="1209">IF(DP44=1,($BC44*DP44),0)</f>
        <v>0</v>
      </c>
      <c r="GI44" s="336">
        <f t="shared" ref="GI44" si="1210">IF(DQ44=1,($BC44*DQ44),0)</f>
        <v>0</v>
      </c>
      <c r="GJ44" s="336">
        <f t="shared" ref="GJ44" si="1211">IF(DR44=1,($BC44*DR44),0)</f>
        <v>0</v>
      </c>
      <c r="GK44" s="336">
        <f t="shared" ref="GK44" si="1212">IF(DS44=1,($BC44*DS44),0)</f>
        <v>0</v>
      </c>
      <c r="GL44" s="336">
        <f t="shared" si="1148"/>
        <v>0</v>
      </c>
      <c r="GM44" s="336">
        <f t="shared" ref="GM44" si="1213">IF(DU44=1,($BC44*DU44),0)</f>
        <v>0</v>
      </c>
    </row>
    <row r="45" spans="1:195" s="157" customFormat="1" ht="18" hidden="1" customHeight="1">
      <c r="A45" s="357" t="s">
        <v>334</v>
      </c>
      <c r="B45" s="421" t="s">
        <v>328</v>
      </c>
      <c r="C45" s="357" t="str">
        <f t="shared" si="1074"/>
        <v>11kV MV Switchgear-1</v>
      </c>
      <c r="D45" s="455" t="s">
        <v>406</v>
      </c>
      <c r="E45" s="423" t="s">
        <v>401</v>
      </c>
      <c r="F45" s="424" t="s">
        <v>29</v>
      </c>
      <c r="G45" s="358" t="s">
        <v>329</v>
      </c>
      <c r="H45" s="352">
        <v>240</v>
      </c>
      <c r="I45" s="357" t="s">
        <v>330</v>
      </c>
      <c r="J45" s="357" t="s">
        <v>331</v>
      </c>
      <c r="K45" s="369">
        <v>11000</v>
      </c>
      <c r="L45" s="359">
        <v>0.85</v>
      </c>
      <c r="M45" s="359">
        <v>0.95</v>
      </c>
      <c r="N45" s="359">
        <f t="shared" si="1075"/>
        <v>15.600127141036198</v>
      </c>
      <c r="O45" s="359">
        <f t="shared" si="67"/>
        <v>0</v>
      </c>
      <c r="P45" s="360" t="str">
        <f t="shared" si="1076"/>
        <v>0.00</v>
      </c>
      <c r="Q45" s="359">
        <v>31.5</v>
      </c>
      <c r="R45" s="359">
        <v>0.16</v>
      </c>
      <c r="S45" s="359">
        <f t="shared" ref="S45" si="1214">(Q45*1000*SQRT(R45)/94)</f>
        <v>134.04255319148936</v>
      </c>
      <c r="T45" s="361" t="s">
        <v>131</v>
      </c>
      <c r="U45" s="359" t="s">
        <v>333</v>
      </c>
      <c r="V45" s="361">
        <v>150</v>
      </c>
      <c r="W45" s="360" t="str">
        <f t="shared" si="69"/>
        <v>3C X 150</v>
      </c>
      <c r="X45" s="360"/>
      <c r="Y45" s="425" t="s">
        <v>346</v>
      </c>
      <c r="Z45" s="361">
        <f>IF(T45="AIR",VLOOKUP(W45,'Catalogue Aluminium'!$B$141:$G$173,2,FALSE),IF(T45="GROUND",VLOOKUP(W45,'Catalogue Aluminium'!$B$141:$G$173,3,FALSE),IF(T45="DUCT",VLOOKUP(W45,'Catalogue Aluminium'!$B$141:$G$173,4,FALSE),IF(T45="TRENCH",VLOOKUP(W45,'Catalogue Aluminium'!$B$141:$G$173,2,FALSE)))))</f>
        <v>309</v>
      </c>
      <c r="AA45" s="362">
        <f>VLOOKUP(W45,'Catalogue Aluminium'!$B$141:$G$173,5,FALSE)</f>
        <v>0.26500000000000001</v>
      </c>
      <c r="AB45" s="362">
        <f>VLOOKUP(W45,'Catalogue Aluminium'!$B$141:$G$173,6,FALSE)</f>
        <v>9.2999999999999999E-2</v>
      </c>
      <c r="AC45" s="353">
        <f>28+30</f>
        <v>58</v>
      </c>
      <c r="AD45" s="360">
        <f>11+34+48+10+30+25</f>
        <v>158</v>
      </c>
      <c r="AE45" s="456">
        <f t="shared" si="1079"/>
        <v>22</v>
      </c>
      <c r="AF45" s="360">
        <f t="shared" si="1080"/>
        <v>10</v>
      </c>
      <c r="AG45" s="360">
        <f t="shared" si="1081"/>
        <v>25</v>
      </c>
      <c r="AH45" s="363">
        <f>ROUNDUP(SUM(AC45:AG45),0)</f>
        <v>273</v>
      </c>
      <c r="AI45" s="361">
        <f>IF(T45="AIR",'Catalogue Aluminium'!$K$141,IF(T45="TRENCH",'Catalogue Aluminium'!$K$144,"NA"))</f>
        <v>0.82</v>
      </c>
      <c r="AJ45" s="359">
        <f>IF(T45="Air",(IF(U45="1C",'Catalogue Aluminium'!$L$141,'Catalogue Aluminium'!$M$141)),IF(T45="DUCT",(IF($U45="1C",'Catalogue Aluminium'!$L$142,'Catalogue Aluminium'!$M$142)),IF(T45="GROUND",(IF($U45="1C",'Catalogue Aluminium'!$L$143,'Catalogue Aluminium'!$M$143)),IF(T45="TRENCH",(IF($U45="1C",'Catalogue Aluminium'!$L$144,'Catalogue Aluminium'!$M$144))))))</f>
        <v>0.73</v>
      </c>
      <c r="AK45" s="361" t="str">
        <f>IF(T45="Air",'Catalogue Aluminium'!$N$141,IF(T45="GROUND",'Catalogue Aluminium'!$N$142,IF(T45="DUCT",'Catalogue Aluminium'!$N$143,IF(T45="TRENCH",'Catalogue Aluminium'!$N$144,"NA"))))</f>
        <v>NA</v>
      </c>
      <c r="AL45" s="361" t="str">
        <f>IF(T45="Air",(IF(U45="1C",'Catalogue Aluminium'!$O$141,'Catalogue Aluminium'!$P$141)),IF(T45="DUCT",(IF($U45="1C",'Catalogue Aluminium'!$O$142,'Catalogue Aluminium'!$P$142)),IF(T45="GROUND",(IF($U45="1C",'Catalogue Aluminium'!$O$143,'Catalogue Aluminium'!$P$143)),IF(T45="TRENCH",(IF($U45="1C",'Catalogue Aluminium'!$O$144,'Catalogue Aluminium'!$P$144))))))</f>
        <v>NA</v>
      </c>
      <c r="AM45" s="361" t="str">
        <f>IF(T45="AIR","NA",IF(T45="TRENCH","NA",IF(T45="DUCT",IF(U45="1C",VLOOKUP(V45,'Catalogue Aluminium'!$Q$142:$S$153,2,FALSE),VLOOKUP(V45,'Catalogue Aluminium'!$Q$142:$S$153,3)),IF(T45="GROUND",IF(U45="1C",VLOOKUP(V45,'Catalogue Aluminium'!$Q$142:$S$153,2,FALSE),VLOOKUP(V45,'Catalogue Aluminium'!$Q$142:$S$153,3))))))</f>
        <v>NA</v>
      </c>
      <c r="AN45" s="364">
        <f>IF(T45="AIR",AI45*AJ45,IF(T45="TRENCH",AI45*AJ45,IF(T45="DUCT",AJ45*AK45*AL45*AM45,IF(T45="GROUND",AJ45*AK45*AL45*AM45))))</f>
        <v>0.59859999999999991</v>
      </c>
      <c r="AO45" s="359">
        <f>Z45*AN45</f>
        <v>184.96739999999997</v>
      </c>
      <c r="AP45" s="353">
        <f>CEILING(((N45)/AO45),1)</f>
        <v>1</v>
      </c>
      <c r="AQ45" s="352" t="str">
        <f>IF(AO45*AP45&gt;=N45,"YES","NO")</f>
        <v>YES</v>
      </c>
      <c r="AR45" s="365">
        <f>SQRT(3)*AH45*N45*((AA45*L45)+(AB45*SIN(ACOS(L45))))*100/(AP45*K45*1000)</f>
        <v>1.8390383184121301E-2</v>
      </c>
      <c r="AS45" s="360" t="str">
        <f t="shared" si="89"/>
        <v>YES</v>
      </c>
      <c r="AT45" s="365" t="str">
        <f>IF(G45="MOTOR",(SQRT(3)*AH45*O45*((AA45*P45)+(AB45*SIN(ACOS(P45))))*100/(AP45*K45*1000)),"NA")</f>
        <v>NA</v>
      </c>
      <c r="AU45" s="360" t="str">
        <f>IF(G45="MOTOR",IF(AT45&lt;=15,"YES","NO"),"NA")</f>
        <v>NA</v>
      </c>
      <c r="AV45" s="365" t="str">
        <f>IF(U45="1C",CONCATENATE(AP45,"R x ",Y45,"kV x ",U45," x ",V45," Sqmm/Phase"),CONCATENATE(AP45,"R x ","6/10 (12)kV x ",U45," x ",V45," Sqmm"))</f>
        <v>1R x 6/10 (12)kV x 3C x 150 Sqmm</v>
      </c>
      <c r="AW45" s="365" t="str">
        <f>IF(U45="1C",CONCATENATE(AP45,"R x ",Y45,"kV x ",U45," x ",V45," Sqmm/Phase"),CONCATENATE(AP45,"R x ","6/10 (12)kV x ",U45," x ",V45," Sqmm"))</f>
        <v>1R x 6/10 (12)kV x 3C x 150 Sqmm</v>
      </c>
      <c r="AX45" s="360"/>
      <c r="AY45" s="360"/>
      <c r="AZ45" s="360"/>
      <c r="BA45" s="356" t="str">
        <f>CONCATENATE(IF(BE45=1,BE$4,""),IF(BF45=1,BF$4,""),IF(BG45=1,BG$4,""),IF(BH45=1,BH$4,""),IF(BI45=1,BI$4,""),IF(BJ45=1,BJ$4,""),IF(BK45=1,BK$4,""),IF(BL45=1,BL$4,""),IF(BM45=1,BM$4,""),IF(BN45=1,BN$4,""),IF(BO45=1,BO$4,""),IF(BP45=1,BP$4,""),IF(BQ45=1,BQ$4,""),IF(BR45=1,BR$4,""),IF(BS45=1,BS$4,""),IF(BT45=1,BT$4,""),IF(BU45=1,BU$4,""),IF(BV45=1,BV$4,""),IF(BW45=1,BW$4,""),IF(BX45=1,BX$4,""),IF(BY45=1,BY$4,""),IF(BZ45=1,BZ$4,""),IF(CA45=1,CA$4,""),IF(CC45=1,CC$4,""),IF(CD45=1,CD$4,""),IF(CE45=1,CE$4,""),IF(CF45=1,CF$4,""),IF(CG45=1,CG$4,""),IF(CH45=1,CH$4,""),IF(CI45=1,CI$4,""),IF(CJ45=1,CJ$4,""),IF(CK45=1,CK$4,""),IF(CL45=1,CL$4,""),IF(CM45=1,CM$4,""),IF(CN45=1,CN$4,""),IF(CO45=1,CO$4,""),IF(CP45=1,CP$4,""),IF(CQ45=1,CQ$4,""),IF(CR45=1,CR$4,""),IF(CS45=1,CS$4,""),IF(CT45=1,CT$4,""),IF(CU45=1,CU$4,""),IF(CV45=1,CV$4,""),IF(CW45=1,CW$4,""),IF(CX45=1,CX$4,""),IF(CY45=1,CY$4,""),IF(CZ45=1,CZ$4,""),IF(DA45=1,DA$4,""),IF(DB45=1,DB$4,""),IF(DC45=1,DC$4,""),IF(DG45=1,DG$4,""),IF(DH45=1,DH$4,""),IF(DI45=1,DI$4,""),IF(DJ45=1,DJ$4,""),IF(DK45=1,DK$4,""),IF(DL45=1,DL$4,""),IF(DM45=1,DM$4,""),IF(DN45=1,DN$4,""),IF(DO45=1,DO$4,""),IF(DP45=1,DP$4,""),IF(DQ45=1,DQ$4,""),IF(DR45=1,DR$4,""),IF(DS45=1,DS$4,""),IF(DT45=1,DT$7,""),IF(DU45=1,DU$4,""))</f>
        <v/>
      </c>
      <c r="BB45" s="358"/>
      <c r="BC45" s="426"/>
      <c r="BE45" s="361"/>
      <c r="BF45" s="361"/>
      <c r="BG45" s="361"/>
      <c r="BH45" s="361"/>
      <c r="BI45" s="361"/>
      <c r="BJ45" s="361"/>
      <c r="BK45" s="361"/>
      <c r="BL45" s="361"/>
      <c r="BM45" s="361"/>
      <c r="BN45" s="361"/>
      <c r="BO45" s="361"/>
      <c r="BP45" s="361"/>
      <c r="BQ45" s="361"/>
      <c r="BR45" s="423"/>
      <c r="BS45" s="423"/>
      <c r="BT45" s="423"/>
      <c r="BU45" s="423"/>
      <c r="BV45" s="423"/>
      <c r="BW45" s="423"/>
      <c r="BX45" s="423"/>
      <c r="BY45" s="423"/>
      <c r="BZ45" s="423"/>
      <c r="CA45" s="423"/>
      <c r="CB45" s="423"/>
      <c r="CC45" s="423"/>
      <c r="CD45" s="423"/>
      <c r="CE45" s="423"/>
      <c r="CF45" s="423"/>
      <c r="CG45" s="423"/>
      <c r="CH45" s="423"/>
      <c r="CI45" s="423"/>
      <c r="CJ45" s="423"/>
      <c r="CK45" s="423"/>
      <c r="CL45" s="423"/>
      <c r="CM45" s="423"/>
      <c r="CN45" s="423"/>
      <c r="CO45" s="423"/>
      <c r="CP45" s="423"/>
      <c r="CQ45" s="423"/>
      <c r="CR45" s="423"/>
      <c r="CS45" s="423"/>
      <c r="CT45" s="423"/>
      <c r="CU45" s="423"/>
      <c r="CV45" s="423"/>
      <c r="CW45" s="423"/>
      <c r="CX45" s="423"/>
      <c r="CY45" s="423"/>
      <c r="CZ45" s="423"/>
      <c r="DA45" s="423"/>
      <c r="DB45" s="423"/>
      <c r="DC45" s="423"/>
      <c r="DD45" s="423"/>
      <c r="DE45" s="423"/>
      <c r="DF45" s="423"/>
      <c r="DG45" s="423"/>
      <c r="DH45" s="423"/>
      <c r="DI45" s="423"/>
      <c r="DJ45" s="423"/>
      <c r="DK45" s="423"/>
      <c r="DL45" s="423"/>
      <c r="DM45" s="423"/>
      <c r="DN45" s="423"/>
      <c r="DO45" s="423"/>
      <c r="DP45" s="423"/>
      <c r="DQ45" s="423"/>
      <c r="DR45" s="423"/>
      <c r="DS45" s="423"/>
      <c r="DT45" s="423"/>
      <c r="DU45" s="423"/>
      <c r="DV45" s="83"/>
      <c r="DW45" s="336">
        <f t="shared" si="81"/>
        <v>0</v>
      </c>
      <c r="DX45" s="336">
        <f t="shared" si="0"/>
        <v>0</v>
      </c>
      <c r="DY45" s="336">
        <f t="shared" si="1"/>
        <v>0</v>
      </c>
      <c r="DZ45" s="336">
        <f t="shared" si="2"/>
        <v>0</v>
      </c>
      <c r="EA45" s="336">
        <f t="shared" si="3"/>
        <v>0</v>
      </c>
      <c r="EB45" s="336">
        <f t="shared" si="4"/>
        <v>0</v>
      </c>
      <c r="EC45" s="336">
        <f t="shared" si="5"/>
        <v>0</v>
      </c>
      <c r="ED45" s="336">
        <f t="shared" si="6"/>
        <v>0</v>
      </c>
      <c r="EE45" s="336">
        <f t="shared" si="7"/>
        <v>0</v>
      </c>
      <c r="EF45" s="336">
        <f t="shared" si="8"/>
        <v>0</v>
      </c>
      <c r="EG45" s="336">
        <f t="shared" si="9"/>
        <v>0</v>
      </c>
      <c r="EH45" s="336">
        <f t="shared" si="10"/>
        <v>0</v>
      </c>
      <c r="EI45" s="336">
        <f t="shared" si="11"/>
        <v>0</v>
      </c>
      <c r="EJ45" s="336">
        <f t="shared" si="12"/>
        <v>0</v>
      </c>
      <c r="EK45" s="336">
        <f t="shared" si="13"/>
        <v>0</v>
      </c>
      <c r="EL45" s="336">
        <f t="shared" si="14"/>
        <v>0</v>
      </c>
      <c r="EM45" s="336">
        <f t="shared" si="15"/>
        <v>0</v>
      </c>
      <c r="EN45" s="336">
        <f t="shared" si="16"/>
        <v>0</v>
      </c>
      <c r="EO45" s="336">
        <f t="shared" si="17"/>
        <v>0</v>
      </c>
      <c r="EP45" s="336">
        <f t="shared" si="18"/>
        <v>0</v>
      </c>
      <c r="EQ45" s="336">
        <f t="shared" si="19"/>
        <v>0</v>
      </c>
      <c r="ER45" s="336">
        <f t="shared" si="20"/>
        <v>0</v>
      </c>
      <c r="ES45" s="336">
        <f t="shared" si="21"/>
        <v>0</v>
      </c>
      <c r="ET45" s="336">
        <f t="shared" si="22"/>
        <v>0</v>
      </c>
      <c r="EU45" s="336">
        <f t="shared" si="23"/>
        <v>0</v>
      </c>
      <c r="EV45" s="336">
        <f t="shared" si="24"/>
        <v>0</v>
      </c>
      <c r="EW45" s="336">
        <f t="shared" si="25"/>
        <v>0</v>
      </c>
      <c r="EX45" s="336">
        <f t="shared" si="26"/>
        <v>0</v>
      </c>
      <c r="EY45" s="336">
        <f t="shared" si="27"/>
        <v>0</v>
      </c>
      <c r="EZ45" s="336">
        <f t="shared" si="28"/>
        <v>0</v>
      </c>
      <c r="FA45" s="336">
        <f t="shared" si="29"/>
        <v>0</v>
      </c>
      <c r="FB45" s="336">
        <f t="shared" si="30"/>
        <v>0</v>
      </c>
      <c r="FC45" s="336">
        <f t="shared" si="31"/>
        <v>0</v>
      </c>
      <c r="FD45" s="336">
        <f t="shared" si="32"/>
        <v>0</v>
      </c>
      <c r="FE45" s="336">
        <f t="shared" si="33"/>
        <v>0</v>
      </c>
      <c r="FF45" s="336">
        <f t="shared" si="34"/>
        <v>0</v>
      </c>
      <c r="FG45" s="336">
        <f t="shared" si="35"/>
        <v>0</v>
      </c>
      <c r="FH45" s="336">
        <f t="shared" si="36"/>
        <v>0</v>
      </c>
      <c r="FI45" s="336">
        <f t="shared" si="37"/>
        <v>0</v>
      </c>
      <c r="FJ45" s="336">
        <f t="shared" si="38"/>
        <v>0</v>
      </c>
      <c r="FK45" s="336">
        <f t="shared" si="39"/>
        <v>0</v>
      </c>
      <c r="FL45" s="336">
        <f t="shared" si="40"/>
        <v>0</v>
      </c>
      <c r="FM45" s="336">
        <f t="shared" si="41"/>
        <v>0</v>
      </c>
      <c r="FN45" s="336">
        <f t="shared" si="42"/>
        <v>0</v>
      </c>
      <c r="FO45" s="336">
        <f t="shared" si="43"/>
        <v>0</v>
      </c>
      <c r="FP45" s="336">
        <f t="shared" si="44"/>
        <v>0</v>
      </c>
      <c r="FQ45" s="336">
        <f t="shared" si="45"/>
        <v>0</v>
      </c>
      <c r="FR45" s="336">
        <f t="shared" si="46"/>
        <v>0</v>
      </c>
      <c r="FS45" s="336">
        <f t="shared" si="47"/>
        <v>0</v>
      </c>
      <c r="FT45" s="336">
        <f t="shared" si="48"/>
        <v>0</v>
      </c>
      <c r="FU45" s="336"/>
      <c r="FV45" s="336"/>
      <c r="FW45" s="336"/>
      <c r="FX45" s="336"/>
      <c r="FY45" s="336">
        <f t="shared" si="53"/>
        <v>0</v>
      </c>
      <c r="FZ45" s="336">
        <f t="shared" si="54"/>
        <v>0</v>
      </c>
      <c r="GA45" s="336">
        <f t="shared" si="55"/>
        <v>0</v>
      </c>
      <c r="GB45" s="336">
        <f t="shared" si="56"/>
        <v>0</v>
      </c>
      <c r="GC45" s="336">
        <f t="shared" si="57"/>
        <v>0</v>
      </c>
      <c r="GD45" s="336">
        <f t="shared" si="58"/>
        <v>0</v>
      </c>
      <c r="GE45" s="336">
        <f t="shared" si="59"/>
        <v>0</v>
      </c>
      <c r="GF45" s="336">
        <f t="shared" si="60"/>
        <v>0</v>
      </c>
      <c r="GG45" s="336">
        <f t="shared" si="61"/>
        <v>0</v>
      </c>
      <c r="GH45" s="336">
        <f t="shared" si="62"/>
        <v>0</v>
      </c>
      <c r="GI45" s="336">
        <f t="shared" si="63"/>
        <v>0</v>
      </c>
      <c r="GJ45" s="336">
        <f t="shared" si="64"/>
        <v>0</v>
      </c>
      <c r="GK45" s="336">
        <f t="shared" ref="GK45:GK65" si="1215">IF(DS45=1,($BC45*DS45),0)</f>
        <v>0</v>
      </c>
      <c r="GL45" s="336">
        <f t="shared" si="1148"/>
        <v>0</v>
      </c>
      <c r="GM45" s="336">
        <f t="shared" si="66"/>
        <v>0</v>
      </c>
    </row>
    <row r="46" spans="1:195" s="36" customFormat="1" ht="26.25" customHeight="1">
      <c r="A46" s="446"/>
      <c r="B46" s="447"/>
      <c r="C46" s="447"/>
      <c r="D46" s="448" t="s">
        <v>407</v>
      </c>
      <c r="E46" s="449"/>
      <c r="F46" s="446"/>
      <c r="G46" s="450"/>
      <c r="H46" s="382"/>
      <c r="I46" s="373"/>
      <c r="J46" s="373"/>
      <c r="K46" s="373"/>
      <c r="L46" s="446"/>
      <c r="M46" s="446"/>
      <c r="N46" s="446"/>
      <c r="O46" s="446"/>
      <c r="P46" s="446"/>
      <c r="Q46" s="446"/>
      <c r="R46" s="446"/>
      <c r="S46" s="446"/>
      <c r="T46" s="446"/>
      <c r="U46" s="446"/>
      <c r="V46" s="446"/>
      <c r="W46" s="446"/>
      <c r="X46" s="446"/>
      <c r="Y46" s="446"/>
      <c r="Z46" s="446"/>
      <c r="AA46" s="446"/>
      <c r="AB46" s="446"/>
      <c r="AC46" s="446"/>
      <c r="AD46" s="446"/>
      <c r="AE46" s="446"/>
      <c r="AF46" s="446"/>
      <c r="AG46" s="446"/>
      <c r="AH46" s="446"/>
      <c r="AI46" s="446"/>
      <c r="AJ46" s="446"/>
      <c r="AK46" s="446"/>
      <c r="AL46" s="446"/>
      <c r="AM46" s="446"/>
      <c r="AN46" s="446"/>
      <c r="AO46" s="446"/>
      <c r="AP46" s="446"/>
      <c r="AQ46" s="446"/>
      <c r="AR46" s="446"/>
      <c r="AS46" s="446"/>
      <c r="AT46" s="446"/>
      <c r="AU46" s="446"/>
      <c r="AV46" s="446"/>
      <c r="AW46" s="446"/>
      <c r="AX46" s="446"/>
      <c r="AY46" s="446"/>
      <c r="AZ46" s="452"/>
      <c r="BA46" s="446"/>
      <c r="BB46" s="446"/>
      <c r="BC46" s="446"/>
      <c r="BE46" s="449"/>
      <c r="BF46" s="449"/>
      <c r="BG46" s="449"/>
      <c r="BH46" s="449"/>
      <c r="BI46" s="449"/>
      <c r="BJ46" s="449"/>
      <c r="BK46" s="449"/>
      <c r="BL46" s="449"/>
      <c r="BM46" s="449"/>
      <c r="BN46" s="449"/>
      <c r="BO46" s="449"/>
      <c r="BP46" s="449"/>
      <c r="BQ46" s="449"/>
      <c r="BR46" s="449"/>
      <c r="BS46" s="449"/>
      <c r="BT46" s="449"/>
      <c r="BU46" s="449"/>
      <c r="BV46" s="449"/>
      <c r="BW46" s="449"/>
      <c r="BX46" s="449"/>
      <c r="BY46" s="449"/>
      <c r="BZ46" s="449"/>
      <c r="CA46" s="449"/>
      <c r="CB46" s="449"/>
      <c r="CC46" s="449"/>
      <c r="CD46" s="449"/>
      <c r="CE46" s="449"/>
      <c r="CF46" s="449"/>
      <c r="CG46" s="449"/>
      <c r="CH46" s="449"/>
      <c r="CI46" s="449"/>
      <c r="CJ46" s="449"/>
      <c r="CK46" s="449"/>
      <c r="CL46" s="449"/>
      <c r="CM46" s="449"/>
      <c r="CN46" s="449"/>
      <c r="CO46" s="449"/>
      <c r="CP46" s="449"/>
      <c r="CQ46" s="449"/>
      <c r="CR46" s="449"/>
      <c r="CS46" s="449"/>
      <c r="CT46" s="449"/>
      <c r="CU46" s="449"/>
      <c r="CV46" s="449"/>
      <c r="CW46" s="449"/>
      <c r="CX46" s="449"/>
      <c r="CY46" s="449"/>
      <c r="CZ46" s="449"/>
      <c r="DA46" s="449"/>
      <c r="DB46" s="449"/>
      <c r="DC46" s="449"/>
      <c r="DD46" s="449"/>
      <c r="DE46" s="449"/>
      <c r="DF46" s="449"/>
      <c r="DG46" s="449"/>
      <c r="DH46" s="449"/>
      <c r="DI46" s="449"/>
      <c r="DJ46" s="449"/>
      <c r="DK46" s="449"/>
      <c r="DL46" s="449"/>
      <c r="DM46" s="449"/>
      <c r="DN46" s="449"/>
      <c r="DO46" s="449"/>
      <c r="DP46" s="449"/>
      <c r="DQ46" s="449"/>
      <c r="DR46" s="449"/>
      <c r="DS46" s="449"/>
      <c r="DT46" s="449"/>
      <c r="DU46" s="449"/>
      <c r="DV46" s="61"/>
      <c r="DW46" s="336">
        <f t="shared" si="81"/>
        <v>0</v>
      </c>
      <c r="DX46" s="336">
        <f t="shared" si="0"/>
        <v>0</v>
      </c>
      <c r="DY46" s="336">
        <f t="shared" si="1"/>
        <v>0</v>
      </c>
      <c r="DZ46" s="336">
        <f t="shared" si="2"/>
        <v>0</v>
      </c>
      <c r="EA46" s="336">
        <f t="shared" si="3"/>
        <v>0</v>
      </c>
      <c r="EB46" s="336">
        <f t="shared" si="4"/>
        <v>0</v>
      </c>
      <c r="EC46" s="336">
        <f t="shared" si="5"/>
        <v>0</v>
      </c>
      <c r="ED46" s="336">
        <f t="shared" si="6"/>
        <v>0</v>
      </c>
      <c r="EE46" s="336">
        <f t="shared" si="7"/>
        <v>0</v>
      </c>
      <c r="EF46" s="336">
        <f t="shared" si="8"/>
        <v>0</v>
      </c>
      <c r="EG46" s="336">
        <f t="shared" si="9"/>
        <v>0</v>
      </c>
      <c r="EH46" s="336">
        <f t="shared" si="10"/>
        <v>0</v>
      </c>
      <c r="EI46" s="336">
        <f t="shared" si="11"/>
        <v>0</v>
      </c>
      <c r="EJ46" s="336">
        <f t="shared" si="12"/>
        <v>0</v>
      </c>
      <c r="EK46" s="336">
        <f t="shared" si="13"/>
        <v>0</v>
      </c>
      <c r="EL46" s="336">
        <f t="shared" si="14"/>
        <v>0</v>
      </c>
      <c r="EM46" s="336">
        <f t="shared" si="15"/>
        <v>0</v>
      </c>
      <c r="EN46" s="336">
        <f t="shared" si="16"/>
        <v>0</v>
      </c>
      <c r="EO46" s="336">
        <f t="shared" si="17"/>
        <v>0</v>
      </c>
      <c r="EP46" s="336">
        <f t="shared" si="18"/>
        <v>0</v>
      </c>
      <c r="EQ46" s="336">
        <f t="shared" si="19"/>
        <v>0</v>
      </c>
      <c r="ER46" s="336">
        <f t="shared" si="20"/>
        <v>0</v>
      </c>
      <c r="ES46" s="336">
        <f t="shared" si="21"/>
        <v>0</v>
      </c>
      <c r="ET46" s="336">
        <f t="shared" si="22"/>
        <v>0</v>
      </c>
      <c r="EU46" s="336">
        <f t="shared" si="23"/>
        <v>0</v>
      </c>
      <c r="EV46" s="336">
        <f t="shared" si="24"/>
        <v>0</v>
      </c>
      <c r="EW46" s="336">
        <f t="shared" si="25"/>
        <v>0</v>
      </c>
      <c r="EX46" s="336">
        <f t="shared" si="26"/>
        <v>0</v>
      </c>
      <c r="EY46" s="336">
        <f t="shared" si="27"/>
        <v>0</v>
      </c>
      <c r="EZ46" s="336">
        <f t="shared" si="28"/>
        <v>0</v>
      </c>
      <c r="FA46" s="336">
        <f t="shared" si="29"/>
        <v>0</v>
      </c>
      <c r="FB46" s="336">
        <f t="shared" si="30"/>
        <v>0</v>
      </c>
      <c r="FC46" s="336">
        <f t="shared" si="31"/>
        <v>0</v>
      </c>
      <c r="FD46" s="336">
        <f t="shared" si="32"/>
        <v>0</v>
      </c>
      <c r="FE46" s="336">
        <f t="shared" si="33"/>
        <v>0</v>
      </c>
      <c r="FF46" s="336">
        <f t="shared" si="34"/>
        <v>0</v>
      </c>
      <c r="FG46" s="336">
        <f t="shared" si="35"/>
        <v>0</v>
      </c>
      <c r="FH46" s="336">
        <f t="shared" si="36"/>
        <v>0</v>
      </c>
      <c r="FI46" s="336">
        <f t="shared" si="37"/>
        <v>0</v>
      </c>
      <c r="FJ46" s="336">
        <f t="shared" si="38"/>
        <v>0</v>
      </c>
      <c r="FK46" s="336">
        <f t="shared" si="39"/>
        <v>0</v>
      </c>
      <c r="FL46" s="336">
        <f t="shared" si="40"/>
        <v>0</v>
      </c>
      <c r="FM46" s="336">
        <f t="shared" si="41"/>
        <v>0</v>
      </c>
      <c r="FN46" s="336">
        <f t="shared" si="42"/>
        <v>0</v>
      </c>
      <c r="FO46" s="336">
        <f t="shared" si="43"/>
        <v>0</v>
      </c>
      <c r="FP46" s="336">
        <f t="shared" si="44"/>
        <v>0</v>
      </c>
      <c r="FQ46" s="336">
        <f t="shared" si="45"/>
        <v>0</v>
      </c>
      <c r="FR46" s="336">
        <f t="shared" si="46"/>
        <v>0</v>
      </c>
      <c r="FS46" s="336">
        <f t="shared" si="47"/>
        <v>0</v>
      </c>
      <c r="FT46" s="336">
        <f t="shared" si="48"/>
        <v>0</v>
      </c>
      <c r="FU46" s="336">
        <f t="shared" ref="FU46:FU82" si="1216">IF(DC46=1,($BC46*DC46),0)</f>
        <v>0</v>
      </c>
      <c r="FV46" s="336">
        <f t="shared" ref="FV46:FV82" si="1217">IF(DD46=1,($BC46*DD46),0)</f>
        <v>0</v>
      </c>
      <c r="FW46" s="336">
        <f t="shared" ref="FW46:FW82" si="1218">IF(DE46=1,($BC46*DE46),0)</f>
        <v>0</v>
      </c>
      <c r="FX46" s="336">
        <f t="shared" ref="FX46:FX82" si="1219">IF(DF46=1,($BC46*DF46),0)</f>
        <v>0</v>
      </c>
      <c r="FY46" s="336">
        <f t="shared" si="53"/>
        <v>0</v>
      </c>
      <c r="FZ46" s="336">
        <f t="shared" si="54"/>
        <v>0</v>
      </c>
      <c r="GA46" s="336">
        <f t="shared" si="55"/>
        <v>0</v>
      </c>
      <c r="GB46" s="336">
        <f t="shared" si="56"/>
        <v>0</v>
      </c>
      <c r="GC46" s="336">
        <f t="shared" si="57"/>
        <v>0</v>
      </c>
      <c r="GD46" s="336">
        <f t="shared" si="58"/>
        <v>0</v>
      </c>
      <c r="GE46" s="336">
        <f t="shared" si="59"/>
        <v>0</v>
      </c>
      <c r="GF46" s="336">
        <f t="shared" si="60"/>
        <v>0</v>
      </c>
      <c r="GG46" s="336">
        <f t="shared" si="61"/>
        <v>0</v>
      </c>
      <c r="GH46" s="336">
        <f t="shared" si="62"/>
        <v>0</v>
      </c>
      <c r="GI46" s="336">
        <f t="shared" si="63"/>
        <v>0</v>
      </c>
      <c r="GJ46" s="336">
        <f t="shared" si="64"/>
        <v>0</v>
      </c>
      <c r="GK46" s="336">
        <f t="shared" si="1215"/>
        <v>0</v>
      </c>
      <c r="GL46" s="336">
        <f t="shared" si="1148"/>
        <v>0</v>
      </c>
      <c r="GM46" s="336">
        <f t="shared" si="66"/>
        <v>0</v>
      </c>
    </row>
    <row r="47" spans="1:195" ht="25.5" customHeight="1">
      <c r="A47" s="337">
        <f>A44+1</f>
        <v>36</v>
      </c>
      <c r="B47" s="372" t="s">
        <v>408</v>
      </c>
      <c r="C47" s="337" t="str">
        <f t="shared" ref="C47:C48" si="1220">$D$6</f>
        <v>11kV MV Switchgear-1</v>
      </c>
      <c r="D47" s="440" t="s">
        <v>409</v>
      </c>
      <c r="E47" s="416" t="s">
        <v>410</v>
      </c>
      <c r="F47" s="417" t="s">
        <v>28</v>
      </c>
      <c r="G47" s="340" t="s">
        <v>329</v>
      </c>
      <c r="H47" s="418">
        <v>3036.3265557628929</v>
      </c>
      <c r="I47" s="337" t="s">
        <v>330</v>
      </c>
      <c r="J47" s="337" t="s">
        <v>331</v>
      </c>
      <c r="K47" s="341">
        <v>11000</v>
      </c>
      <c r="L47" s="342">
        <v>0.85573287086927674</v>
      </c>
      <c r="M47" s="342">
        <v>0.94462500000000016</v>
      </c>
      <c r="N47" s="342">
        <f t="shared" ref="N47:N48" si="1221">IF(I47="kVA",IF(J47="3Ph",(H47*1000/(1.732*M47*K47)),(H47*1000/(M47*K47))),IF(I47="kW",IF(J47="3Ph",(H47*1000/(1.732*M47*K47*L47)),(H47*1000/(M47*K47*L47)))))</f>
        <v>197.15611659118562</v>
      </c>
      <c r="O47" s="342">
        <f>IF(G47="MOTOR",(6*N47),IF(G47="VFD",(1*N47),0))</f>
        <v>0</v>
      </c>
      <c r="P47" s="343" t="str">
        <f t="shared" ref="P47:P48" si="1222">IF(G47="MOTOR",0.2,"0.00")</f>
        <v>0.00</v>
      </c>
      <c r="Q47" s="342">
        <v>31.5</v>
      </c>
      <c r="R47" s="342">
        <v>0.16</v>
      </c>
      <c r="S47" s="342">
        <f t="shared" ref="S47:S48" si="1223">(Q47*1000*SQRT(R47)/94)</f>
        <v>134.04255319148936</v>
      </c>
      <c r="T47" s="344" t="s">
        <v>131</v>
      </c>
      <c r="U47" s="342" t="s">
        <v>333</v>
      </c>
      <c r="V47" s="344">
        <v>185</v>
      </c>
      <c r="W47" s="343" t="str">
        <f t="shared" si="69"/>
        <v>3C X 185</v>
      </c>
      <c r="X47" s="343" t="str">
        <f t="shared" ref="X47:X48" si="1224">(IF(J47="1Ph",W47,IF(J47="3Ph",(IF(G47="MOTOR",(CONCATENATE(W47,"+PE")),W47)))))</f>
        <v>3C X 185</v>
      </c>
      <c r="Y47" s="419" t="s">
        <v>346</v>
      </c>
      <c r="Z47" s="344">
        <f>IF(T47="AIR",VLOOKUP(W47,'Catalogue Aluminium'!$B$141:$G$173,2,FALSE),IF(T47="GROUND",VLOOKUP(W47,'Catalogue Aluminium'!$B$141:$G$173,3,FALSE),IF(T47="DUCT",VLOOKUP(W47,'Catalogue Aluminium'!$B$141:$G$173,4,FALSE),IF(T47="TRENCH",VLOOKUP(W47,'Catalogue Aluminium'!$B$141:$G$173,2,FALSE)))))</f>
        <v>354</v>
      </c>
      <c r="AA47" s="345">
        <f>VLOOKUP(W47,'Catalogue Aluminium'!$B$141:$G$173,5,FALSE)</f>
        <v>0.21099999999999999</v>
      </c>
      <c r="AB47" s="345">
        <f>VLOOKUP(W47,'Catalogue Aluminium'!$B$141:$G$173,6,FALSE)</f>
        <v>8.8999999999999996E-2</v>
      </c>
      <c r="AC47" s="349">
        <f t="shared" ref="AC47" si="1225">37+30</f>
        <v>67</v>
      </c>
      <c r="AD47" s="343">
        <f>40+50+38+48+58+60+18+10</f>
        <v>322</v>
      </c>
      <c r="AE47" s="343">
        <v>20</v>
      </c>
      <c r="AF47" s="343">
        <v>8</v>
      </c>
      <c r="AG47" s="343">
        <f t="shared" ref="AG47:AG48" si="1226">ROUNDUP(SUM(AC47:AF47)*0.1,0)</f>
        <v>42</v>
      </c>
      <c r="AH47" s="347">
        <f t="shared" ref="AH47:AH48" si="1227">CEILING(SUM(AC47:AG47),10)</f>
        <v>460</v>
      </c>
      <c r="AI47" s="344">
        <f>IF(T47="AIR",'Catalogue Aluminium'!$K$141,IF(T47="TRENCH",'Catalogue Aluminium'!$K$144,"NA"))</f>
        <v>0.82</v>
      </c>
      <c r="AJ47" s="342">
        <f>IF(T47="Air",(IF(U47="1C",'Catalogue Aluminium'!$L$141,'Catalogue Aluminium'!$M$141)),IF(T47="DUCT",(IF($U47="1C",'Catalogue Aluminium'!$L$142,'Catalogue Aluminium'!$M$142)),IF(T47="GROUND",(IF($U47="1C",'Catalogue Aluminium'!$L$143,'Catalogue Aluminium'!$M$143)),IF(T47="TRENCH",(IF($U47="1C",'Catalogue Aluminium'!$L$144,'Catalogue Aluminium'!$M$144))))))</f>
        <v>0.73</v>
      </c>
      <c r="AK47" s="344" t="str">
        <f>IF(T47="Air",'Catalogue Aluminium'!$N$141,IF(T47="GROUND",'Catalogue Aluminium'!$N$142,IF(T47="DUCT",'Catalogue Aluminium'!$N$143,IF(T47="TRENCH",'Catalogue Aluminium'!$N$144,"NA"))))</f>
        <v>NA</v>
      </c>
      <c r="AL47" s="344" t="str">
        <f>IF(T47="Air",(IF(U47="1C",'Catalogue Aluminium'!$O$141,'Catalogue Aluminium'!$P$141)),IF(T47="DUCT",(IF($U47="1C",'Catalogue Aluminium'!$O$142,'Catalogue Aluminium'!$P$142)),IF(T47="GROUND",(IF($U47="1C",'Catalogue Aluminium'!$O$143,'Catalogue Aluminium'!$P$143)),IF(T47="TRENCH",(IF($U47="1C",'Catalogue Aluminium'!$O$144,'Catalogue Aluminium'!$P$144))))))</f>
        <v>NA</v>
      </c>
      <c r="AM47" s="344" t="str">
        <f>IF(T47="AIR","NA",IF(T47="TRENCH","NA",IF(T47="DUCT",IF(U47="1C",VLOOKUP(V47,'Catalogue Aluminium'!$Q$142:$S$153,2,FALSE),VLOOKUP(V47,'Catalogue Aluminium'!$Q$142:$S$153,3)),IF(T47="GROUND",IF(U47="1C",VLOOKUP(V47,'Catalogue Aluminium'!$Q$142:$S$153,2,FALSE),VLOOKUP(V47,'Catalogue Aluminium'!$Q$142:$S$153,3))))))</f>
        <v>NA</v>
      </c>
      <c r="AN47" s="348">
        <f>IF(T47="AIR",AI47*AJ47,IF(T47="TRENCH",AI47*AJ47,IF(T47="DUCT",AJ47*AK47*AL47*AM47,IF(T47="GROUND",AJ47*AK47*AL47*AM47))))</f>
        <v>0.59859999999999991</v>
      </c>
      <c r="AO47" s="342">
        <f>Z47*AN47</f>
        <v>211.90439999999998</v>
      </c>
      <c r="AP47" s="349">
        <f>CEILING(((N47)/AO47),1)</f>
        <v>1</v>
      </c>
      <c r="AQ47" s="350" t="str">
        <f>IF(AO47*AP47&gt;=N47,"YES","NO")</f>
        <v>YES</v>
      </c>
      <c r="AR47" s="351">
        <f>SQRT(3)*AH47*N47*((AA47*L47)+(AB47*SIN(ACOS(L47))))*100/(AP47*K47*1000)</f>
        <v>0.32360466005378985</v>
      </c>
      <c r="AS47" s="343" t="str">
        <f t="shared" si="89"/>
        <v>YES</v>
      </c>
      <c r="AT47" s="351" t="str">
        <f>IF(G47="MOTOR",(SQRT(3)*AH47*O47*((AA47*P47)+(AB47*SIN(ACOS(P47))))*100/(AP47*K47*1000)),"NA")</f>
        <v>NA</v>
      </c>
      <c r="AU47" s="343" t="str">
        <f>IF(G47="MOTOR",IF(AT47&lt;=15,"YES","NO"),"NA")</f>
        <v>NA</v>
      </c>
      <c r="AV47" s="351" t="str">
        <f>IF(U47="1C",CONCATENATE(AP47,"R x ",Y47,"kV x ",U47," x ",V47," Sqmm/Phase"),CONCATENATE(AP47,"R x ","6/10 (12)kV x ",U47," x ",V47," Sqmm"))</f>
        <v>1R x 6/10 (12)kV x 3C x 185 Sqmm</v>
      </c>
      <c r="AW47" s="351" t="str">
        <f>IF(U47="1C",CONCATENATE(AP47,"R x ",Y47,"kV x ",U47," x ",V47," Sqmm/Phase"),CONCATENATE(AP47,"R x ","6/10 (12)kV x ",U47," x ",V47," Sqmm"))</f>
        <v>1R x 6/10 (12)kV x 3C x 185 Sqmm</v>
      </c>
      <c r="AX47" s="343">
        <f>IF(U47="1C",(3*AH47*AP47),(AH47*AP47))</f>
        <v>460</v>
      </c>
      <c r="AY47" s="343"/>
      <c r="AZ47" s="343">
        <f>IF(U47="1C",(3*AP47*2),(AP47*2))</f>
        <v>2</v>
      </c>
      <c r="BA47" s="356" t="str">
        <f t="shared" ref="BA47:BA48" si="1228">CONCATENATE(IF(BE47=1,BE$4,""),IF(BF47=1,BF$4,""),IF(BG47=1,BG$4,""),IF(BH47=1,BH$4,""),IF(BI47=1,BI$4,""),IF(BJ47=1,BJ$4,""),IF(BK47=1,BK$4,""),IF(BL47=1,BL$4,""),IF(BM47=1,BM$4,""),IF(BN47=1,BN$4,""),IF(BO47=1,BO$4,""),IF(BP47=1,BP$4,""),IF(BQ47=1,BQ$4,""),IF(BR47=1,BR$4,""),IF(BS47=1,BS$4,""),IF(BT47=1,BT$4,""),IF(BU47=1,BU$4,""),IF(BV47=1,BV$4,""),IF(BW47=1,BW$4,""),IF(BX47=1,BX$4,""),IF(BY47=1,BY$4,""),IF(BZ47=1,BZ$4,""),IF(CA47=1,CA$4,""),IF(CB47=1,CB$4,""),IF(CC47=1,CC$4,""),IF(CD47=1,CD$4,""),IF(CE47=1,CE$4,""),IF(CF47=1,CF$4,""),IF(CG47=1,CG$4,""),IF(CH47=1,CH$4,""),IF(CI47=1,CI$4,""),IF(CJ47=1,CJ$4,""),IF(CK47=1,CK$4,""),IF(CL47=1,CL$4,""),IF(CM47=1,CM$4,""),IF(CN47=1,CN$4,""),IF(CO47=1,CO$4,""),IF(CP47=1,CP$4,""),IF(CQ47=1,CQ$4,""),IF(CR47=1,CR$4,""),IF(CS47=1,CS$4,""),IF(CT47=1,CT$4,""),IF(CU47=1,CU$4,""),IF(CV47=1,CV$4,""),IF(CW47=1,CW$4,""),IF(CX47=1,CX$4,""),IF(CY47=1,CY$4,""),IF(CZ47=1,CZ$4,""),IF(DA47=1,DA$4,""),IF(DB47=1,DB$4,""),IF(DC47=1,DC$4,""),IF(DD47=1,DD$4,""),IF(DE47=1,DE$4,""),IF(DF47=1,DF$4,""),IF(DG47=1,DG$4,""),IF(DH47=1,DH$4,""),IF(DI47=1,DI$4,""),IF(DJ47=1,DJ$4,""),IF(DK47=1,DK$4,""),IF(DL47=1,DL$4,""),IF(DM47=1,DM$4,""),IF(DN47=1,DN$4,""),IF(DO47=1,DO$4,""),IF(DP47=1,DP$4,""),IF(DQ47=1,DQ$4,""),IF(DR47=1,DR$4,""),IF(DS47=1,DS$4,""),IF(DT47=1,DT$4,""),IF(DU47=1,DU$4,""))</f>
        <v>ACDEFGHH1</v>
      </c>
      <c r="BB47" s="340">
        <f>VLOOKUP(W47,'Catalogue Aluminium'!$B$141:$H$173,7,FALSE)</f>
        <v>66</v>
      </c>
      <c r="BC47" s="328">
        <f>AP47*BB47</f>
        <v>66</v>
      </c>
      <c r="BE47" s="416"/>
      <c r="BF47" s="336">
        <v>1</v>
      </c>
      <c r="BG47" s="337"/>
      <c r="BH47" s="416"/>
      <c r="BI47" s="337">
        <v>1</v>
      </c>
      <c r="BJ47" s="337">
        <v>1</v>
      </c>
      <c r="BK47" s="416"/>
      <c r="BL47" s="416"/>
      <c r="BM47" s="416"/>
      <c r="BN47" s="337">
        <v>1</v>
      </c>
      <c r="BO47" s="416"/>
      <c r="BP47" s="416"/>
      <c r="BQ47" s="416"/>
      <c r="BR47" s="416"/>
      <c r="BS47" s="416"/>
      <c r="BT47" s="416"/>
      <c r="BU47" s="416"/>
      <c r="BV47" s="337">
        <v>1</v>
      </c>
      <c r="BW47" s="337">
        <v>1</v>
      </c>
      <c r="BX47" s="337">
        <v>1</v>
      </c>
      <c r="BY47" s="337">
        <v>1</v>
      </c>
      <c r="BZ47" s="416"/>
      <c r="CA47" s="416"/>
      <c r="CB47" s="416"/>
      <c r="CC47" s="416"/>
      <c r="CD47" s="416"/>
      <c r="CE47" s="416"/>
      <c r="CF47" s="416"/>
      <c r="CG47" s="416"/>
      <c r="CH47" s="416"/>
      <c r="CI47" s="416"/>
      <c r="CJ47" s="416"/>
      <c r="CK47" s="416"/>
      <c r="CL47" s="416"/>
      <c r="CM47" s="416"/>
      <c r="CN47" s="416"/>
      <c r="CO47" s="416"/>
      <c r="CP47" s="416"/>
      <c r="CQ47" s="416"/>
      <c r="CR47" s="416"/>
      <c r="CS47" s="416"/>
      <c r="CT47" s="416"/>
      <c r="CU47" s="416"/>
      <c r="CV47" s="416"/>
      <c r="CW47" s="416"/>
      <c r="CX47" s="416"/>
      <c r="CY47" s="416"/>
      <c r="CZ47" s="416"/>
      <c r="DA47" s="416"/>
      <c r="DB47" s="416"/>
      <c r="DC47" s="416"/>
      <c r="DD47" s="416"/>
      <c r="DE47" s="416"/>
      <c r="DF47" s="416"/>
      <c r="DG47" s="416"/>
      <c r="DH47" s="416"/>
      <c r="DI47" s="416"/>
      <c r="DJ47" s="416"/>
      <c r="DK47" s="416"/>
      <c r="DL47" s="416"/>
      <c r="DM47" s="416"/>
      <c r="DN47" s="416"/>
      <c r="DO47" s="416"/>
      <c r="DP47" s="416"/>
      <c r="DQ47" s="416"/>
      <c r="DR47" s="416"/>
      <c r="DS47" s="416"/>
      <c r="DT47" s="416"/>
      <c r="DU47" s="416"/>
      <c r="DW47" s="336">
        <f t="shared" si="81"/>
        <v>0</v>
      </c>
      <c r="DX47" s="336">
        <f t="shared" si="0"/>
        <v>66</v>
      </c>
      <c r="DY47" s="336">
        <f t="shared" si="1"/>
        <v>0</v>
      </c>
      <c r="DZ47" s="336">
        <f t="shared" si="2"/>
        <v>0</v>
      </c>
      <c r="EA47" s="336">
        <f t="shared" si="3"/>
        <v>66</v>
      </c>
      <c r="EB47" s="336">
        <f t="shared" si="4"/>
        <v>66</v>
      </c>
      <c r="EC47" s="336">
        <f t="shared" si="5"/>
        <v>0</v>
      </c>
      <c r="ED47" s="336">
        <f t="shared" si="6"/>
        <v>0</v>
      </c>
      <c r="EE47" s="336">
        <f t="shared" si="7"/>
        <v>0</v>
      </c>
      <c r="EF47" s="336">
        <f t="shared" si="8"/>
        <v>66</v>
      </c>
      <c r="EG47" s="336">
        <f t="shared" si="9"/>
        <v>0</v>
      </c>
      <c r="EH47" s="336">
        <f t="shared" si="10"/>
        <v>0</v>
      </c>
      <c r="EI47" s="336">
        <f t="shared" si="11"/>
        <v>0</v>
      </c>
      <c r="EJ47" s="336">
        <f t="shared" si="12"/>
        <v>0</v>
      </c>
      <c r="EK47" s="336">
        <f t="shared" si="13"/>
        <v>0</v>
      </c>
      <c r="EL47" s="336">
        <f t="shared" si="14"/>
        <v>0</v>
      </c>
      <c r="EM47" s="336">
        <f t="shared" si="15"/>
        <v>0</v>
      </c>
      <c r="EN47" s="336">
        <f t="shared" si="16"/>
        <v>66</v>
      </c>
      <c r="EO47" s="336">
        <f t="shared" si="17"/>
        <v>66</v>
      </c>
      <c r="EP47" s="336">
        <f t="shared" si="18"/>
        <v>66</v>
      </c>
      <c r="EQ47" s="336">
        <f t="shared" si="19"/>
        <v>66</v>
      </c>
      <c r="ER47" s="336">
        <f t="shared" si="20"/>
        <v>0</v>
      </c>
      <c r="ES47" s="336">
        <f t="shared" si="21"/>
        <v>0</v>
      </c>
      <c r="ET47" s="336">
        <f t="shared" si="22"/>
        <v>0</v>
      </c>
      <c r="EU47" s="336">
        <f t="shared" si="23"/>
        <v>0</v>
      </c>
      <c r="EV47" s="336">
        <f t="shared" si="24"/>
        <v>0</v>
      </c>
      <c r="EW47" s="336">
        <f t="shared" si="25"/>
        <v>0</v>
      </c>
      <c r="EX47" s="336">
        <f t="shared" si="26"/>
        <v>0</v>
      </c>
      <c r="EY47" s="336">
        <f t="shared" si="27"/>
        <v>0</v>
      </c>
      <c r="EZ47" s="336">
        <f t="shared" si="28"/>
        <v>0</v>
      </c>
      <c r="FA47" s="336">
        <f t="shared" si="29"/>
        <v>0</v>
      </c>
      <c r="FB47" s="336">
        <f t="shared" si="30"/>
        <v>0</v>
      </c>
      <c r="FC47" s="336">
        <f t="shared" si="31"/>
        <v>0</v>
      </c>
      <c r="FD47" s="336">
        <f t="shared" si="32"/>
        <v>0</v>
      </c>
      <c r="FE47" s="336">
        <f t="shared" si="33"/>
        <v>0</v>
      </c>
      <c r="FF47" s="336">
        <f t="shared" si="34"/>
        <v>0</v>
      </c>
      <c r="FG47" s="336">
        <f t="shared" si="35"/>
        <v>0</v>
      </c>
      <c r="FH47" s="336">
        <f t="shared" si="36"/>
        <v>0</v>
      </c>
      <c r="FI47" s="336">
        <f t="shared" si="37"/>
        <v>0</v>
      </c>
      <c r="FJ47" s="336">
        <f t="shared" si="38"/>
        <v>0</v>
      </c>
      <c r="FK47" s="336">
        <f t="shared" si="39"/>
        <v>0</v>
      </c>
      <c r="FL47" s="336">
        <f t="shared" si="40"/>
        <v>0</v>
      </c>
      <c r="FM47" s="336">
        <f t="shared" si="41"/>
        <v>0</v>
      </c>
      <c r="FN47" s="336">
        <f t="shared" si="42"/>
        <v>0</v>
      </c>
      <c r="FO47" s="336">
        <f t="shared" si="43"/>
        <v>0</v>
      </c>
      <c r="FP47" s="336">
        <f t="shared" si="44"/>
        <v>0</v>
      </c>
      <c r="FQ47" s="336">
        <f t="shared" si="45"/>
        <v>0</v>
      </c>
      <c r="FR47" s="336">
        <f t="shared" si="46"/>
        <v>0</v>
      </c>
      <c r="FS47" s="336">
        <f t="shared" si="47"/>
        <v>0</v>
      </c>
      <c r="FT47" s="336">
        <f t="shared" si="48"/>
        <v>0</v>
      </c>
      <c r="FU47" s="336">
        <f t="shared" si="1216"/>
        <v>0</v>
      </c>
      <c r="FV47" s="336">
        <f t="shared" si="1217"/>
        <v>0</v>
      </c>
      <c r="FW47" s="336">
        <f t="shared" si="1218"/>
        <v>0</v>
      </c>
      <c r="FX47" s="336">
        <f t="shared" si="1219"/>
        <v>0</v>
      </c>
      <c r="FY47" s="336">
        <f t="shared" si="53"/>
        <v>0</v>
      </c>
      <c r="FZ47" s="336">
        <f t="shared" si="54"/>
        <v>0</v>
      </c>
      <c r="GA47" s="336">
        <f t="shared" si="55"/>
        <v>0</v>
      </c>
      <c r="GB47" s="336">
        <f t="shared" si="56"/>
        <v>0</v>
      </c>
      <c r="GC47" s="336">
        <f t="shared" si="57"/>
        <v>0</v>
      </c>
      <c r="GD47" s="336">
        <f t="shared" si="58"/>
        <v>0</v>
      </c>
      <c r="GE47" s="336">
        <f t="shared" si="59"/>
        <v>0</v>
      </c>
      <c r="GF47" s="336">
        <f t="shared" si="60"/>
        <v>0</v>
      </c>
      <c r="GG47" s="336">
        <f t="shared" si="61"/>
        <v>0</v>
      </c>
      <c r="GH47" s="336">
        <f t="shared" si="62"/>
        <v>0</v>
      </c>
      <c r="GI47" s="336">
        <f t="shared" si="63"/>
        <v>0</v>
      </c>
      <c r="GJ47" s="336">
        <f t="shared" si="64"/>
        <v>0</v>
      </c>
      <c r="GK47" s="336">
        <f t="shared" si="1215"/>
        <v>0</v>
      </c>
      <c r="GL47" s="336">
        <f t="shared" si="1148"/>
        <v>0</v>
      </c>
      <c r="GM47" s="336">
        <f t="shared" si="66"/>
        <v>0</v>
      </c>
    </row>
    <row r="48" spans="1:195" ht="25.5" customHeight="1">
      <c r="A48" s="337">
        <f t="shared" ref="A48" si="1229">A47+1</f>
        <v>37</v>
      </c>
      <c r="B48" s="372" t="s">
        <v>408</v>
      </c>
      <c r="C48" s="337" t="str">
        <f t="shared" si="1220"/>
        <v>11kV MV Switchgear-1</v>
      </c>
      <c r="D48" s="440" t="s">
        <v>409</v>
      </c>
      <c r="E48" s="416" t="s">
        <v>410</v>
      </c>
      <c r="F48" s="417" t="s">
        <v>29</v>
      </c>
      <c r="G48" s="340" t="s">
        <v>329</v>
      </c>
      <c r="H48" s="418">
        <v>3036.3265557628929</v>
      </c>
      <c r="I48" s="337" t="s">
        <v>330</v>
      </c>
      <c r="J48" s="337" t="s">
        <v>331</v>
      </c>
      <c r="K48" s="341">
        <v>11000</v>
      </c>
      <c r="L48" s="342">
        <v>0.85573287086927674</v>
      </c>
      <c r="M48" s="342">
        <v>0.94462500000000016</v>
      </c>
      <c r="N48" s="342">
        <f t="shared" si="1221"/>
        <v>197.15611659118562</v>
      </c>
      <c r="O48" s="342">
        <f t="shared" si="67"/>
        <v>0</v>
      </c>
      <c r="P48" s="343" t="str">
        <f t="shared" si="1222"/>
        <v>0.00</v>
      </c>
      <c r="Q48" s="342">
        <v>31.5</v>
      </c>
      <c r="R48" s="342">
        <v>0.16</v>
      </c>
      <c r="S48" s="342">
        <f t="shared" si="1223"/>
        <v>134.04255319148936</v>
      </c>
      <c r="T48" s="344" t="s">
        <v>131</v>
      </c>
      <c r="U48" s="342" t="s">
        <v>333</v>
      </c>
      <c r="V48" s="344">
        <v>185</v>
      </c>
      <c r="W48" s="343" t="str">
        <f t="shared" si="69"/>
        <v>3C X 185</v>
      </c>
      <c r="X48" s="343" t="str">
        <f t="shared" si="1224"/>
        <v>3C X 185</v>
      </c>
      <c r="Y48" s="419" t="s">
        <v>346</v>
      </c>
      <c r="Z48" s="344">
        <f>IF(T48="AIR",VLOOKUP(W48,'Catalogue Aluminium'!$B$141:$G$173,2,FALSE),IF(T48="GROUND",VLOOKUP(W48,'Catalogue Aluminium'!$B$141:$G$173,3,FALSE),IF(T48="DUCT",VLOOKUP(W48,'Catalogue Aluminium'!$B$141:$G$173,4,FALSE),IF(T48="TRENCH",VLOOKUP(W48,'Catalogue Aluminium'!$B$141:$G$173,2,FALSE)))))</f>
        <v>354</v>
      </c>
      <c r="AA48" s="345">
        <f>VLOOKUP(W48,'Catalogue Aluminium'!$B$141:$G$173,5,FALSE)</f>
        <v>0.21099999999999999</v>
      </c>
      <c r="AB48" s="345">
        <f>VLOOKUP(W48,'Catalogue Aluminium'!$B$141:$G$173,6,FALSE)</f>
        <v>8.8999999999999996E-2</v>
      </c>
      <c r="AC48" s="349">
        <f>23+30</f>
        <v>53</v>
      </c>
      <c r="AD48" s="343">
        <f>40+50+38+48+58+60+18+10</f>
        <v>322</v>
      </c>
      <c r="AE48" s="343">
        <v>20</v>
      </c>
      <c r="AF48" s="343">
        <v>8</v>
      </c>
      <c r="AG48" s="343">
        <f t="shared" si="1226"/>
        <v>41</v>
      </c>
      <c r="AH48" s="347">
        <f t="shared" si="1227"/>
        <v>450</v>
      </c>
      <c r="AI48" s="344">
        <f>IF(T48="AIR",'Catalogue Aluminium'!$K$141,IF(T48="TRENCH",'Catalogue Aluminium'!$K$144,"NA"))</f>
        <v>0.82</v>
      </c>
      <c r="AJ48" s="342">
        <f>IF(T48="Air",(IF(U48="1C",'Catalogue Aluminium'!$L$141,'Catalogue Aluminium'!$M$141)),IF(T48="DUCT",(IF($U48="1C",'Catalogue Aluminium'!$L$142,'Catalogue Aluminium'!$M$142)),IF(T48="GROUND",(IF($U48="1C",'Catalogue Aluminium'!$L$143,'Catalogue Aluminium'!$M$143)),IF(T48="TRENCH",(IF($U48="1C",'Catalogue Aluminium'!$L$144,'Catalogue Aluminium'!$M$144))))))</f>
        <v>0.73</v>
      </c>
      <c r="AK48" s="344" t="str">
        <f>IF(T48="Air",'Catalogue Aluminium'!$N$141,IF(T48="GROUND",'Catalogue Aluminium'!$N$142,IF(T48="DUCT",'Catalogue Aluminium'!$N$143,IF(T48="TRENCH",'Catalogue Aluminium'!$N$144,"NA"))))</f>
        <v>NA</v>
      </c>
      <c r="AL48" s="344" t="str">
        <f>IF(T48="Air",(IF(U48="1C",'Catalogue Aluminium'!$O$141,'Catalogue Aluminium'!$P$141)),IF(T48="DUCT",(IF($U48="1C",'Catalogue Aluminium'!$O$142,'Catalogue Aluminium'!$P$142)),IF(T48="GROUND",(IF($U48="1C",'Catalogue Aluminium'!$O$143,'Catalogue Aluminium'!$P$143)),IF(T48="TRENCH",(IF($U48="1C",'Catalogue Aluminium'!$O$144,'Catalogue Aluminium'!$P$144))))))</f>
        <v>NA</v>
      </c>
      <c r="AM48" s="344" t="str">
        <f>IF(T48="AIR","NA",IF(T48="TRENCH","NA",IF(T48="DUCT",IF(U48="1C",VLOOKUP(V48,'Catalogue Aluminium'!$Q$142:$S$153,2,FALSE),VLOOKUP(V48,'Catalogue Aluminium'!$Q$142:$S$153,3)),IF(T48="GROUND",IF(U48="1C",VLOOKUP(V48,'Catalogue Aluminium'!$Q$142:$S$153,2,FALSE),VLOOKUP(V48,'Catalogue Aluminium'!$Q$142:$S$153,3))))))</f>
        <v>NA</v>
      </c>
      <c r="AN48" s="348">
        <f>IF(T48="AIR",AI48*AJ48,IF(T48="TRENCH",AI48*AJ48,IF(T48="DUCT",AJ48*AK48*AL48*AM48,IF(T48="GROUND",AJ48*AK48*AL48*AM48))))</f>
        <v>0.59859999999999991</v>
      </c>
      <c r="AO48" s="342">
        <f>Z48*AN48</f>
        <v>211.90439999999998</v>
      </c>
      <c r="AP48" s="349">
        <f>CEILING(((N48)/AO48),1)</f>
        <v>1</v>
      </c>
      <c r="AQ48" s="350" t="str">
        <f>IF(AO48*AP48&gt;=N48,"YES","NO")</f>
        <v>YES</v>
      </c>
      <c r="AR48" s="351">
        <f>SQRT(3)*AH48*N48*((AA48*L48)+(AB48*SIN(ACOS(L48))))*100/(AP48*K48*1000)</f>
        <v>0.31656977613957699</v>
      </c>
      <c r="AS48" s="343" t="str">
        <f t="shared" si="89"/>
        <v>YES</v>
      </c>
      <c r="AT48" s="351" t="str">
        <f>IF(G48="MOTOR",(SQRT(3)*AH48*O48*((AA48*P48)+(AB48*SIN(ACOS(P48))))*100/(AP48*K48*1000)),"NA")</f>
        <v>NA</v>
      </c>
      <c r="AU48" s="343" t="str">
        <f>IF(G48="MOTOR",IF(AT48&lt;=15,"YES","NO"),"NA")</f>
        <v>NA</v>
      </c>
      <c r="AV48" s="351" t="str">
        <f>IF(U48="1C",CONCATENATE(AP48,"R x ",Y48,"kV x ",U48," x ",V48," Sqmm/Phase"),CONCATENATE(AP48,"R x ","6/10 (12)kV x ",U48," x ",V48," Sqmm"))</f>
        <v>1R x 6/10 (12)kV x 3C x 185 Sqmm</v>
      </c>
      <c r="AW48" s="351" t="str">
        <f>IF(U48="1C",CONCATENATE(AP48,"R x ",Y48,"kV x ",U48," x ",V48," Sqmm/Phase"),CONCATENATE(AP48,"R x ","6/10 (12)kV x ",U48," x ",V48," Sqmm"))</f>
        <v>1R x 6/10 (12)kV x 3C x 185 Sqmm</v>
      </c>
      <c r="AX48" s="343">
        <f>IF(U48="1C",(3*AH48*AP48),(AH48*AP48))</f>
        <v>450</v>
      </c>
      <c r="AY48" s="343"/>
      <c r="AZ48" s="343">
        <f>IF(U48="1C",(3*AP48*2),(AP48*2))</f>
        <v>2</v>
      </c>
      <c r="BA48" s="356" t="str">
        <f t="shared" si="1228"/>
        <v>ACDEFGHH1</v>
      </c>
      <c r="BB48" s="340">
        <f>VLOOKUP(W48,'Catalogue Aluminium'!$B$141:$H$173,7,FALSE)</f>
        <v>66</v>
      </c>
      <c r="BC48" s="328">
        <f>AP48*BB48</f>
        <v>66</v>
      </c>
      <c r="BE48" s="416"/>
      <c r="BF48" s="336">
        <v>1</v>
      </c>
      <c r="BG48" s="337"/>
      <c r="BH48" s="416"/>
      <c r="BI48" s="337">
        <v>1</v>
      </c>
      <c r="BJ48" s="337">
        <v>1</v>
      </c>
      <c r="BK48" s="416"/>
      <c r="BL48" s="416"/>
      <c r="BM48" s="416"/>
      <c r="BN48" s="337">
        <v>1</v>
      </c>
      <c r="BO48" s="416"/>
      <c r="BP48" s="416"/>
      <c r="BQ48" s="416"/>
      <c r="BR48" s="416"/>
      <c r="BS48" s="416"/>
      <c r="BT48" s="416"/>
      <c r="BU48" s="416"/>
      <c r="BV48" s="337">
        <v>1</v>
      </c>
      <c r="BW48" s="337">
        <v>1</v>
      </c>
      <c r="BX48" s="337">
        <v>1</v>
      </c>
      <c r="BY48" s="337">
        <v>1</v>
      </c>
      <c r="BZ48" s="416"/>
      <c r="CA48" s="416"/>
      <c r="CB48" s="416"/>
      <c r="CC48" s="416"/>
      <c r="CD48" s="416"/>
      <c r="CE48" s="416"/>
      <c r="CF48" s="416"/>
      <c r="CG48" s="416"/>
      <c r="CH48" s="416"/>
      <c r="CI48" s="416"/>
      <c r="CJ48" s="416"/>
      <c r="CK48" s="416"/>
      <c r="CL48" s="416"/>
      <c r="CM48" s="416"/>
      <c r="CN48" s="416"/>
      <c r="CO48" s="416"/>
      <c r="CP48" s="416"/>
      <c r="CQ48" s="416"/>
      <c r="CR48" s="416"/>
      <c r="CS48" s="416"/>
      <c r="CT48" s="416"/>
      <c r="CU48" s="416"/>
      <c r="CV48" s="416"/>
      <c r="CW48" s="416"/>
      <c r="CX48" s="416"/>
      <c r="CY48" s="416"/>
      <c r="CZ48" s="416"/>
      <c r="DA48" s="416"/>
      <c r="DB48" s="416"/>
      <c r="DC48" s="416"/>
      <c r="DD48" s="416"/>
      <c r="DE48" s="416"/>
      <c r="DF48" s="416"/>
      <c r="DG48" s="416"/>
      <c r="DH48" s="416"/>
      <c r="DI48" s="416"/>
      <c r="DJ48" s="416"/>
      <c r="DK48" s="416"/>
      <c r="DL48" s="416"/>
      <c r="DM48" s="416"/>
      <c r="DN48" s="416"/>
      <c r="DO48" s="416"/>
      <c r="DP48" s="416"/>
      <c r="DQ48" s="416"/>
      <c r="DR48" s="416"/>
      <c r="DS48" s="416"/>
      <c r="DT48" s="416"/>
      <c r="DU48" s="416"/>
      <c r="DW48" s="336">
        <f t="shared" si="81"/>
        <v>0</v>
      </c>
      <c r="DX48" s="336">
        <f t="shared" si="0"/>
        <v>66</v>
      </c>
      <c r="DY48" s="336">
        <f t="shared" si="1"/>
        <v>0</v>
      </c>
      <c r="DZ48" s="336">
        <f t="shared" si="2"/>
        <v>0</v>
      </c>
      <c r="EA48" s="336">
        <f t="shared" si="3"/>
        <v>66</v>
      </c>
      <c r="EB48" s="336">
        <f t="shared" si="4"/>
        <v>66</v>
      </c>
      <c r="EC48" s="336">
        <f t="shared" si="5"/>
        <v>0</v>
      </c>
      <c r="ED48" s="336">
        <f t="shared" si="6"/>
        <v>0</v>
      </c>
      <c r="EE48" s="336">
        <f t="shared" si="7"/>
        <v>0</v>
      </c>
      <c r="EF48" s="336">
        <f t="shared" si="8"/>
        <v>66</v>
      </c>
      <c r="EG48" s="336">
        <f t="shared" si="9"/>
        <v>0</v>
      </c>
      <c r="EH48" s="336">
        <f t="shared" si="10"/>
        <v>0</v>
      </c>
      <c r="EI48" s="336">
        <f t="shared" si="11"/>
        <v>0</v>
      </c>
      <c r="EJ48" s="336">
        <f t="shared" si="12"/>
        <v>0</v>
      </c>
      <c r="EK48" s="336">
        <f t="shared" si="13"/>
        <v>0</v>
      </c>
      <c r="EL48" s="336">
        <f t="shared" si="14"/>
        <v>0</v>
      </c>
      <c r="EM48" s="336">
        <f t="shared" si="15"/>
        <v>0</v>
      </c>
      <c r="EN48" s="336">
        <f t="shared" si="16"/>
        <v>66</v>
      </c>
      <c r="EO48" s="336">
        <f t="shared" si="17"/>
        <v>66</v>
      </c>
      <c r="EP48" s="336">
        <f t="shared" si="18"/>
        <v>66</v>
      </c>
      <c r="EQ48" s="336">
        <f t="shared" si="19"/>
        <v>66</v>
      </c>
      <c r="ER48" s="336">
        <f t="shared" si="20"/>
        <v>0</v>
      </c>
      <c r="ES48" s="336">
        <f t="shared" si="21"/>
        <v>0</v>
      </c>
      <c r="ET48" s="336">
        <f t="shared" si="22"/>
        <v>0</v>
      </c>
      <c r="EU48" s="336">
        <f t="shared" si="23"/>
        <v>0</v>
      </c>
      <c r="EV48" s="336">
        <f t="shared" si="24"/>
        <v>0</v>
      </c>
      <c r="EW48" s="336">
        <f t="shared" si="25"/>
        <v>0</v>
      </c>
      <c r="EX48" s="336">
        <f t="shared" si="26"/>
        <v>0</v>
      </c>
      <c r="EY48" s="336">
        <f t="shared" si="27"/>
        <v>0</v>
      </c>
      <c r="EZ48" s="336">
        <f t="shared" si="28"/>
        <v>0</v>
      </c>
      <c r="FA48" s="336">
        <f t="shared" si="29"/>
        <v>0</v>
      </c>
      <c r="FB48" s="336">
        <f t="shared" si="30"/>
        <v>0</v>
      </c>
      <c r="FC48" s="336">
        <f t="shared" si="31"/>
        <v>0</v>
      </c>
      <c r="FD48" s="336">
        <f t="shared" si="32"/>
        <v>0</v>
      </c>
      <c r="FE48" s="336">
        <f t="shared" si="33"/>
        <v>0</v>
      </c>
      <c r="FF48" s="336">
        <f t="shared" si="34"/>
        <v>0</v>
      </c>
      <c r="FG48" s="336">
        <f t="shared" si="35"/>
        <v>0</v>
      </c>
      <c r="FH48" s="336">
        <f t="shared" si="36"/>
        <v>0</v>
      </c>
      <c r="FI48" s="336">
        <f t="shared" si="37"/>
        <v>0</v>
      </c>
      <c r="FJ48" s="336">
        <f t="shared" si="38"/>
        <v>0</v>
      </c>
      <c r="FK48" s="336">
        <f t="shared" si="39"/>
        <v>0</v>
      </c>
      <c r="FL48" s="336">
        <f t="shared" si="40"/>
        <v>0</v>
      </c>
      <c r="FM48" s="336">
        <f t="shared" si="41"/>
        <v>0</v>
      </c>
      <c r="FN48" s="336">
        <f t="shared" si="42"/>
        <v>0</v>
      </c>
      <c r="FO48" s="336">
        <f t="shared" si="43"/>
        <v>0</v>
      </c>
      <c r="FP48" s="336">
        <f t="shared" si="44"/>
        <v>0</v>
      </c>
      <c r="FQ48" s="336">
        <f t="shared" si="45"/>
        <v>0</v>
      </c>
      <c r="FR48" s="336">
        <f t="shared" si="46"/>
        <v>0</v>
      </c>
      <c r="FS48" s="336">
        <f t="shared" si="47"/>
        <v>0</v>
      </c>
      <c r="FT48" s="336">
        <f t="shared" si="48"/>
        <v>0</v>
      </c>
      <c r="FU48" s="336">
        <f t="shared" si="1216"/>
        <v>0</v>
      </c>
      <c r="FV48" s="336">
        <f t="shared" si="1217"/>
        <v>0</v>
      </c>
      <c r="FW48" s="336">
        <f t="shared" si="1218"/>
        <v>0</v>
      </c>
      <c r="FX48" s="336">
        <f t="shared" si="1219"/>
        <v>0</v>
      </c>
      <c r="FY48" s="336">
        <f t="shared" si="53"/>
        <v>0</v>
      </c>
      <c r="FZ48" s="336">
        <f t="shared" si="54"/>
        <v>0</v>
      </c>
      <c r="GA48" s="336">
        <f t="shared" si="55"/>
        <v>0</v>
      </c>
      <c r="GB48" s="336">
        <f t="shared" si="56"/>
        <v>0</v>
      </c>
      <c r="GC48" s="336">
        <f t="shared" si="57"/>
        <v>0</v>
      </c>
      <c r="GD48" s="336">
        <f t="shared" si="58"/>
        <v>0</v>
      </c>
      <c r="GE48" s="336">
        <f t="shared" si="59"/>
        <v>0</v>
      </c>
      <c r="GF48" s="336">
        <f t="shared" si="60"/>
        <v>0</v>
      </c>
      <c r="GG48" s="336">
        <f t="shared" si="61"/>
        <v>0</v>
      </c>
      <c r="GH48" s="336">
        <f t="shared" si="62"/>
        <v>0</v>
      </c>
      <c r="GI48" s="336">
        <f t="shared" si="63"/>
        <v>0</v>
      </c>
      <c r="GJ48" s="336">
        <f t="shared" si="64"/>
        <v>0</v>
      </c>
      <c r="GK48" s="336">
        <f t="shared" si="1215"/>
        <v>0</v>
      </c>
      <c r="GL48" s="336">
        <f t="shared" si="1148"/>
        <v>0</v>
      </c>
      <c r="GM48" s="336">
        <f t="shared" si="66"/>
        <v>0</v>
      </c>
    </row>
    <row r="49" spans="1:195" s="36" customFormat="1" ht="26.25" customHeight="1">
      <c r="A49" s="446"/>
      <c r="B49" s="447"/>
      <c r="C49" s="447"/>
      <c r="D49" s="448" t="s">
        <v>411</v>
      </c>
      <c r="E49" s="449"/>
      <c r="F49" s="446"/>
      <c r="G49" s="450"/>
      <c r="H49" s="382"/>
      <c r="I49" s="373"/>
      <c r="J49" s="373"/>
      <c r="K49" s="373"/>
      <c r="L49" s="446"/>
      <c r="M49" s="446"/>
      <c r="N49" s="446"/>
      <c r="O49" s="446"/>
      <c r="P49" s="446"/>
      <c r="Q49" s="446"/>
      <c r="R49" s="446"/>
      <c r="S49" s="446"/>
      <c r="T49" s="446"/>
      <c r="U49" s="446"/>
      <c r="V49" s="446"/>
      <c r="W49" s="446"/>
      <c r="X49" s="446"/>
      <c r="Y49" s="446"/>
      <c r="Z49" s="446"/>
      <c r="AA49" s="446"/>
      <c r="AB49" s="446"/>
      <c r="AC49" s="446"/>
      <c r="AD49" s="446"/>
      <c r="AE49" s="446"/>
      <c r="AF49" s="446"/>
      <c r="AG49" s="446"/>
      <c r="AH49" s="446"/>
      <c r="AI49" s="446"/>
      <c r="AJ49" s="446"/>
      <c r="AK49" s="446"/>
      <c r="AL49" s="446"/>
      <c r="AM49" s="446"/>
      <c r="AN49" s="446"/>
      <c r="AO49" s="446"/>
      <c r="AP49" s="446"/>
      <c r="AQ49" s="446"/>
      <c r="AR49" s="446"/>
      <c r="AS49" s="446"/>
      <c r="AT49" s="446"/>
      <c r="AU49" s="446"/>
      <c r="AV49" s="446"/>
      <c r="AW49" s="446"/>
      <c r="AX49" s="446"/>
      <c r="AY49" s="446"/>
      <c r="AZ49" s="452"/>
      <c r="BA49" s="446"/>
      <c r="BB49" s="446"/>
      <c r="BC49" s="446"/>
      <c r="BE49" s="449"/>
      <c r="BF49" s="449"/>
      <c r="BG49" s="449"/>
      <c r="BH49" s="449"/>
      <c r="BI49" s="449"/>
      <c r="BJ49" s="449"/>
      <c r="BK49" s="449"/>
      <c r="BL49" s="449"/>
      <c r="BM49" s="449"/>
      <c r="BN49" s="449"/>
      <c r="BO49" s="449"/>
      <c r="BP49" s="449"/>
      <c r="BQ49" s="449"/>
      <c r="BR49" s="449"/>
      <c r="BS49" s="449"/>
      <c r="BT49" s="449"/>
      <c r="BU49" s="449"/>
      <c r="BV49" s="449"/>
      <c r="BW49" s="449"/>
      <c r="BX49" s="449"/>
      <c r="BY49" s="449"/>
      <c r="BZ49" s="449"/>
      <c r="CA49" s="449"/>
      <c r="CB49" s="449"/>
      <c r="CC49" s="449"/>
      <c r="CD49" s="449"/>
      <c r="CE49" s="449"/>
      <c r="CF49" s="449"/>
      <c r="CG49" s="449"/>
      <c r="CH49" s="449"/>
      <c r="CI49" s="449"/>
      <c r="CJ49" s="449"/>
      <c r="CK49" s="449"/>
      <c r="CL49" s="449"/>
      <c r="CM49" s="449"/>
      <c r="CN49" s="449"/>
      <c r="CO49" s="449"/>
      <c r="CP49" s="449"/>
      <c r="CQ49" s="449"/>
      <c r="CR49" s="449"/>
      <c r="CS49" s="449"/>
      <c r="CT49" s="449"/>
      <c r="CU49" s="449"/>
      <c r="CV49" s="449"/>
      <c r="CW49" s="449"/>
      <c r="CX49" s="449"/>
      <c r="CY49" s="449"/>
      <c r="CZ49" s="449"/>
      <c r="DA49" s="449"/>
      <c r="DB49" s="449"/>
      <c r="DC49" s="449"/>
      <c r="DD49" s="449"/>
      <c r="DE49" s="449"/>
      <c r="DF49" s="449"/>
      <c r="DG49" s="449"/>
      <c r="DH49" s="449"/>
      <c r="DI49" s="449"/>
      <c r="DJ49" s="449"/>
      <c r="DK49" s="449"/>
      <c r="DL49" s="449"/>
      <c r="DM49" s="449"/>
      <c r="DN49" s="449"/>
      <c r="DO49" s="449"/>
      <c r="DP49" s="449"/>
      <c r="DQ49" s="449"/>
      <c r="DR49" s="449"/>
      <c r="DS49" s="449"/>
      <c r="DT49" s="449"/>
      <c r="DU49" s="449"/>
      <c r="DV49" s="61"/>
      <c r="DW49" s="336">
        <f t="shared" si="81"/>
        <v>0</v>
      </c>
      <c r="DX49" s="336">
        <f t="shared" si="0"/>
        <v>0</v>
      </c>
      <c r="DY49" s="336">
        <f t="shared" si="1"/>
        <v>0</v>
      </c>
      <c r="DZ49" s="336">
        <f t="shared" si="2"/>
        <v>0</v>
      </c>
      <c r="EA49" s="336">
        <f t="shared" si="3"/>
        <v>0</v>
      </c>
      <c r="EB49" s="336">
        <f t="shared" si="4"/>
        <v>0</v>
      </c>
      <c r="EC49" s="336">
        <f t="shared" si="5"/>
        <v>0</v>
      </c>
      <c r="ED49" s="336">
        <f t="shared" si="6"/>
        <v>0</v>
      </c>
      <c r="EE49" s="336">
        <f t="shared" si="7"/>
        <v>0</v>
      </c>
      <c r="EF49" s="336">
        <f t="shared" si="8"/>
        <v>0</v>
      </c>
      <c r="EG49" s="336">
        <f t="shared" si="9"/>
        <v>0</v>
      </c>
      <c r="EH49" s="336">
        <f t="shared" si="10"/>
        <v>0</v>
      </c>
      <c r="EI49" s="336">
        <f t="shared" si="11"/>
        <v>0</v>
      </c>
      <c r="EJ49" s="336">
        <f t="shared" si="12"/>
        <v>0</v>
      </c>
      <c r="EK49" s="336">
        <f t="shared" si="13"/>
        <v>0</v>
      </c>
      <c r="EL49" s="336">
        <f t="shared" si="14"/>
        <v>0</v>
      </c>
      <c r="EM49" s="336">
        <f t="shared" si="15"/>
        <v>0</v>
      </c>
      <c r="EN49" s="336">
        <f t="shared" si="16"/>
        <v>0</v>
      </c>
      <c r="EO49" s="336">
        <f t="shared" si="17"/>
        <v>0</v>
      </c>
      <c r="EP49" s="336">
        <f t="shared" si="18"/>
        <v>0</v>
      </c>
      <c r="EQ49" s="336">
        <f t="shared" si="19"/>
        <v>0</v>
      </c>
      <c r="ER49" s="336">
        <f t="shared" si="20"/>
        <v>0</v>
      </c>
      <c r="ES49" s="336">
        <f t="shared" si="21"/>
        <v>0</v>
      </c>
      <c r="ET49" s="336">
        <f t="shared" si="22"/>
        <v>0</v>
      </c>
      <c r="EU49" s="336">
        <f t="shared" si="23"/>
        <v>0</v>
      </c>
      <c r="EV49" s="336">
        <f t="shared" si="24"/>
        <v>0</v>
      </c>
      <c r="EW49" s="336">
        <f t="shared" si="25"/>
        <v>0</v>
      </c>
      <c r="EX49" s="336">
        <f t="shared" si="26"/>
        <v>0</v>
      </c>
      <c r="EY49" s="336">
        <f t="shared" si="27"/>
        <v>0</v>
      </c>
      <c r="EZ49" s="336">
        <f t="shared" si="28"/>
        <v>0</v>
      </c>
      <c r="FA49" s="336">
        <f t="shared" si="29"/>
        <v>0</v>
      </c>
      <c r="FB49" s="336">
        <f t="shared" si="30"/>
        <v>0</v>
      </c>
      <c r="FC49" s="336">
        <f t="shared" si="31"/>
        <v>0</v>
      </c>
      <c r="FD49" s="336">
        <f t="shared" si="32"/>
        <v>0</v>
      </c>
      <c r="FE49" s="336">
        <f t="shared" si="33"/>
        <v>0</v>
      </c>
      <c r="FF49" s="336">
        <f t="shared" si="34"/>
        <v>0</v>
      </c>
      <c r="FG49" s="336">
        <f t="shared" si="35"/>
        <v>0</v>
      </c>
      <c r="FH49" s="336">
        <f t="shared" si="36"/>
        <v>0</v>
      </c>
      <c r="FI49" s="336">
        <f t="shared" si="37"/>
        <v>0</v>
      </c>
      <c r="FJ49" s="336">
        <f t="shared" si="38"/>
        <v>0</v>
      </c>
      <c r="FK49" s="336">
        <f t="shared" si="39"/>
        <v>0</v>
      </c>
      <c r="FL49" s="336">
        <f t="shared" si="40"/>
        <v>0</v>
      </c>
      <c r="FM49" s="336">
        <f t="shared" si="41"/>
        <v>0</v>
      </c>
      <c r="FN49" s="336">
        <f t="shared" si="42"/>
        <v>0</v>
      </c>
      <c r="FO49" s="336">
        <f t="shared" si="43"/>
        <v>0</v>
      </c>
      <c r="FP49" s="336">
        <f t="shared" si="44"/>
        <v>0</v>
      </c>
      <c r="FQ49" s="336">
        <f t="shared" si="45"/>
        <v>0</v>
      </c>
      <c r="FR49" s="336">
        <f t="shared" si="46"/>
        <v>0</v>
      </c>
      <c r="FS49" s="336">
        <f t="shared" si="47"/>
        <v>0</v>
      </c>
      <c r="FT49" s="336">
        <f t="shared" si="48"/>
        <v>0</v>
      </c>
      <c r="FU49" s="336">
        <f t="shared" si="1216"/>
        <v>0</v>
      </c>
      <c r="FV49" s="336">
        <f t="shared" si="1217"/>
        <v>0</v>
      </c>
      <c r="FW49" s="336">
        <f t="shared" si="1218"/>
        <v>0</v>
      </c>
      <c r="FX49" s="336">
        <f t="shared" si="1219"/>
        <v>0</v>
      </c>
      <c r="FY49" s="336">
        <f t="shared" si="53"/>
        <v>0</v>
      </c>
      <c r="FZ49" s="336">
        <f t="shared" si="54"/>
        <v>0</v>
      </c>
      <c r="GA49" s="336">
        <f t="shared" si="55"/>
        <v>0</v>
      </c>
      <c r="GB49" s="336">
        <f t="shared" si="56"/>
        <v>0</v>
      </c>
      <c r="GC49" s="336">
        <f t="shared" si="57"/>
        <v>0</v>
      </c>
      <c r="GD49" s="336">
        <f t="shared" si="58"/>
        <v>0</v>
      </c>
      <c r="GE49" s="336">
        <f t="shared" si="59"/>
        <v>0</v>
      </c>
      <c r="GF49" s="336">
        <f t="shared" si="60"/>
        <v>0</v>
      </c>
      <c r="GG49" s="336">
        <f t="shared" si="61"/>
        <v>0</v>
      </c>
      <c r="GH49" s="336">
        <f t="shared" si="62"/>
        <v>0</v>
      </c>
      <c r="GI49" s="336">
        <f t="shared" si="63"/>
        <v>0</v>
      </c>
      <c r="GJ49" s="336">
        <f t="shared" si="64"/>
        <v>0</v>
      </c>
      <c r="GK49" s="336">
        <f t="shared" si="1215"/>
        <v>0</v>
      </c>
      <c r="GL49" s="336">
        <f t="shared" si="1148"/>
        <v>0</v>
      </c>
      <c r="GM49" s="336">
        <f t="shared" si="66"/>
        <v>0</v>
      </c>
    </row>
    <row r="50" spans="1:195" ht="25.5" customHeight="1">
      <c r="A50" s="337">
        <f>A47+1</f>
        <v>37</v>
      </c>
      <c r="B50" s="372" t="s">
        <v>412</v>
      </c>
      <c r="C50" s="337" t="str">
        <f t="shared" ref="C50:C62" si="1230">$D$6</f>
        <v>11kV MV Switchgear-1</v>
      </c>
      <c r="D50" s="440" t="s">
        <v>413</v>
      </c>
      <c r="E50" s="416" t="s">
        <v>335</v>
      </c>
      <c r="F50" s="417" t="s">
        <v>28</v>
      </c>
      <c r="G50" s="340" t="s">
        <v>329</v>
      </c>
      <c r="H50" s="350">
        <v>3150</v>
      </c>
      <c r="I50" s="337" t="s">
        <v>414</v>
      </c>
      <c r="J50" s="337" t="s">
        <v>331</v>
      </c>
      <c r="K50" s="341">
        <v>11000</v>
      </c>
      <c r="L50" s="342">
        <v>0.85042738957114017</v>
      </c>
      <c r="M50" s="342">
        <v>0.95</v>
      </c>
      <c r="N50" s="342">
        <f>IF(I50="kVA",IF(J50="3Ph",(H50*1000/(1.732*M50*K50)),(H50*1000/(M50*K50))),IF(I50="kW",IF(J50="3Ph",(H50*1000/(1.732*M50*K50*L50)),(H50*1000/(M50*K50*L50)))))</f>
        <v>174.03891841718507</v>
      </c>
      <c r="O50" s="342">
        <f t="shared" si="67"/>
        <v>0</v>
      </c>
      <c r="P50" s="343" t="str">
        <f t="shared" ref="P50:P62" si="1231">IF(G50="MOTOR",0.2,"0.00")</f>
        <v>0.00</v>
      </c>
      <c r="Q50" s="342">
        <v>31.5</v>
      </c>
      <c r="R50" s="342">
        <v>0.16</v>
      </c>
      <c r="S50" s="342">
        <f t="shared" ref="S50:S56" si="1232">(Q50*1000*SQRT(R50)/94)</f>
        <v>134.04255319148936</v>
      </c>
      <c r="T50" s="344" t="s">
        <v>131</v>
      </c>
      <c r="U50" s="342" t="s">
        <v>333</v>
      </c>
      <c r="V50" s="344">
        <v>150</v>
      </c>
      <c r="W50" s="343" t="str">
        <f t="shared" si="69"/>
        <v>3C X 150</v>
      </c>
      <c r="X50" s="343" t="str">
        <f t="shared" ref="X50:X56" si="1233">(IF(J50="1Ph",W50,IF(J50="3Ph",(IF(G50="MOTOR",(CONCATENATE(W50,"+PE")),W50)))))</f>
        <v>3C X 150</v>
      </c>
      <c r="Y50" s="419" t="s">
        <v>346</v>
      </c>
      <c r="Z50" s="344">
        <f>IF(T50="AIR",VLOOKUP(W50,'Catalogue Aluminium'!$B$141:$G$173,2,FALSE),IF(T50="GROUND",VLOOKUP(W50,'Catalogue Aluminium'!$B$141:$G$173,3,FALSE),IF(T50="DUCT",VLOOKUP(W50,'Catalogue Aluminium'!$B$141:$G$173,4,FALSE),IF(T50="TRENCH",VLOOKUP(W50,'Catalogue Aluminium'!$B$141:$G$173,2,FALSE)))))</f>
        <v>309</v>
      </c>
      <c r="AA50" s="345">
        <f>VLOOKUP(W50,'Catalogue Aluminium'!$B$141:$G$173,5,FALSE)</f>
        <v>0.26500000000000001</v>
      </c>
      <c r="AB50" s="345">
        <f>VLOOKUP(W50,'Catalogue Aluminium'!$B$141:$G$173,6,FALSE)</f>
        <v>9.2999999999999999E-2</v>
      </c>
      <c r="AC50" s="349">
        <f t="shared" ref="AC50" si="1234">37+30</f>
        <v>67</v>
      </c>
      <c r="AD50" s="343">
        <f>(38+10+3)</f>
        <v>51</v>
      </c>
      <c r="AE50" s="343">
        <v>20</v>
      </c>
      <c r="AF50" s="343">
        <v>8</v>
      </c>
      <c r="AG50" s="343">
        <f t="shared" ref="AG50:AG55" si="1235">ROUNDUP(SUM(AC50:AF50)*0.1,0)</f>
        <v>15</v>
      </c>
      <c r="AH50" s="347">
        <f t="shared" ref="AH50:AH62" si="1236">CEILING(SUM(AC50:AG50),10)</f>
        <v>170</v>
      </c>
      <c r="AI50" s="344">
        <f>IF(T50="AIR",'Catalogue Aluminium'!$K$141,IF(T50="TRENCH",'Catalogue Aluminium'!$K$144,"NA"))</f>
        <v>0.82</v>
      </c>
      <c r="AJ50" s="342">
        <f>IF(T50="Air",(IF(U50="1C",'Catalogue Aluminium'!$L$141,'Catalogue Aluminium'!$M$141)),IF(T50="DUCT",(IF($U50="1C",'Catalogue Aluminium'!$L$142,'Catalogue Aluminium'!$M$142)),IF(T50="GROUND",(IF($U50="1C",'Catalogue Aluminium'!$L$143,'Catalogue Aluminium'!$M$143)),IF(T50="TRENCH",(IF($U50="1C",'Catalogue Aluminium'!$L$144,'Catalogue Aluminium'!$M$144))))))</f>
        <v>0.73</v>
      </c>
      <c r="AK50" s="344" t="str">
        <f>IF(T50="Air",'Catalogue Aluminium'!$N$141,IF(T50="GROUND",'Catalogue Aluminium'!$N$142,IF(T50="DUCT",'Catalogue Aluminium'!$N$143,IF(T50="TRENCH",'Catalogue Aluminium'!$N$144,"NA"))))</f>
        <v>NA</v>
      </c>
      <c r="AL50" s="344" t="str">
        <f>IF(T50="Air",(IF(U50="1C",'Catalogue Aluminium'!$O$141,'Catalogue Aluminium'!$P$141)),IF(T50="DUCT",(IF($U50="1C",'Catalogue Aluminium'!$O$142,'Catalogue Aluminium'!$P$142)),IF(T50="GROUND",(IF($U50="1C",'Catalogue Aluminium'!$O$143,'Catalogue Aluminium'!$P$143)),IF(T50="TRENCH",(IF($U50="1C",'Catalogue Aluminium'!$O$144,'Catalogue Aluminium'!$P$144))))))</f>
        <v>NA</v>
      </c>
      <c r="AM50" s="344" t="str">
        <f>IF(T50="AIR","NA",IF(T50="TRENCH","NA",IF(T50="DUCT",IF(U50="1C",VLOOKUP(V50,'Catalogue Aluminium'!$Q$142:$S$153,2,FALSE),VLOOKUP(V50,'Catalogue Aluminium'!$Q$142:$S$153,3)),IF(T50="GROUND",IF(U50="1C",VLOOKUP(V50,'Catalogue Aluminium'!$Q$142:$S$153,2,FALSE),VLOOKUP(V50,'Catalogue Aluminium'!$Q$142:$S$153,3))))))</f>
        <v>NA</v>
      </c>
      <c r="AN50" s="348">
        <f t="shared" ref="AN50:AN55" si="1237">IF(T50="AIR",AI50*AJ50,IF(T50="TRENCH",AI50*AJ50,IF(T50="DUCT",AJ50*AK50*AL50*AM50,IF(T50="GROUND",AJ50*AK50*AL50*AM50))))</f>
        <v>0.59859999999999991</v>
      </c>
      <c r="AO50" s="342">
        <f t="shared" ref="AO50:AO55" si="1238">Z50*AN50</f>
        <v>184.96739999999997</v>
      </c>
      <c r="AP50" s="349">
        <f t="shared" ref="AP50:AP55" si="1239">CEILING(((N50)/AO50),1)</f>
        <v>1</v>
      </c>
      <c r="AQ50" s="350" t="str">
        <f t="shared" ref="AQ50:AQ55" si="1240">IF(AO50*AP50&gt;=N50,"YES","NO")</f>
        <v>YES</v>
      </c>
      <c r="AR50" s="351">
        <f t="shared" ref="AR50:AR55" si="1241">SQRT(3)*AH50*N50*((AA50*L50)+(AB50*SIN(ACOS(L50))))*100/(AP50*K50*1000)</f>
        <v>0.12778297186073453</v>
      </c>
      <c r="AS50" s="343" t="str">
        <f t="shared" si="89"/>
        <v>YES</v>
      </c>
      <c r="AT50" s="351" t="str">
        <f t="shared" ref="AT50:AT56" si="1242">IF(G50="MOTOR",(SQRT(3)*AH50*O50*((AA50*P50)+(AB50*SIN(ACOS(P50))))*100/(AP50*K50*1000)),"NA")</f>
        <v>NA</v>
      </c>
      <c r="AU50" s="343" t="str">
        <f t="shared" ref="AU50:AU56" si="1243">IF(G50="MOTOR",IF(AT50&lt;=15,"YES","NO"),"NA")</f>
        <v>NA</v>
      </c>
      <c r="AV50" s="351" t="str">
        <f t="shared" ref="AV50:AV56" si="1244">IF(U50="1C",CONCATENATE(AP50,"R x ",Y50,"kV x ",U50," x ",V50," Sqmm/Phase"),CONCATENATE(AP50,"R x ","6/10 (12)kV x ",U50," x ",V50," Sqmm"))</f>
        <v>1R x 6/10 (12)kV x 3C x 150 Sqmm</v>
      </c>
      <c r="AW50" s="351" t="str">
        <f t="shared" ref="AW50:AW56" si="1245">IF(U50="1C",CONCATENATE(AP50,"R x ",Y50,"kV x ",U50," x ",V50," Sqmm/Phase"),CONCATENATE(AP50,"R x ","6/10 (12)kV x ",U50," x ",V50," Sqmm"))</f>
        <v>1R x 6/10 (12)kV x 3C x 150 Sqmm</v>
      </c>
      <c r="AX50" s="343">
        <f t="shared" ref="AX50:AX56" si="1246">IF(U50="1C",(3*AH50*AP50),(AH50*AP50))</f>
        <v>170</v>
      </c>
      <c r="AY50" s="343"/>
      <c r="AZ50" s="343">
        <f t="shared" ref="AZ50:AZ56" si="1247">IF(U50="1C",(3*AP50*2),(AP50*2))</f>
        <v>2</v>
      </c>
      <c r="BA50" s="356" t="str">
        <f t="shared" ref="BA50:BA56" si="1248">CONCATENATE(IF(BE50=1,BE$4,""),IF(BF50=1,BF$4,""),IF(BG50=1,BG$4,""),IF(BH50=1,BH$4,""),IF(BI50=1,BI$4,""),IF(BJ50=1,BJ$4,""),IF(BK50=1,BK$4,""),IF(BL50=1,BL$4,""),IF(BM50=1,BM$4,""),IF(BN50=1,BN$4,""),IF(BO50=1,BO$4,""),IF(BP50=1,BP$4,""),IF(BQ50=1,BQ$4,""),IF(BR50=1,BR$4,""),IF(BS50=1,BS$4,""),IF(BT50=1,BT$4,""),IF(BU50=1,BU$4,""),IF(BV50=1,BV$4,""),IF(BW50=1,BW$4,""),IF(BX50=1,BX$4,""),IF(BY50=1,BY$4,""),IF(BZ50=1,BZ$4,""),IF(CA50=1,CA$4,""),IF(CB50=1,CB$4,""),IF(CC50=1,CC$4,""),IF(CD50=1,CD$4,""),IF(CE50=1,CE$4,""),IF(CF50=1,CF$4,""),IF(CG50=1,CG$4,""),IF(CH50=1,CH$4,""),IF(CI50=1,CI$4,""),IF(CJ50=1,CJ$4,""),IF(CK50=1,CK$4,""),IF(CL50=1,CL$4,""),IF(CM50=1,CM$4,""),IF(CN50=1,CN$4,""),IF(CO50=1,CO$4,""),IF(CP50=1,CP$4,""),IF(CQ50=1,CQ$4,""),IF(CR50=1,CR$4,""),IF(CS50=1,CS$4,""),IF(CT50=1,CT$4,""),IF(CU50=1,CU$4,""),IF(CV50=1,CV$4,""),IF(CW50=1,CW$4,""),IF(CX50=1,CX$4,""),IF(CY50=1,CY$4,""),IF(CZ50=1,CZ$4,""),IF(DA50=1,DA$4,""),IF(DB50=1,DB$4,""),IF(DC50=1,DC$4,""),IF(DD50=1,DD$4,""),IF(DE50=1,DE$4,""),IF(DF50=1,DF$4,""),IF(DG50=1,DG$4,""),IF(DH50=1,DH$4,""),IF(DI50=1,DI$4,""),IF(DJ50=1,DJ$4,""),IF(DK50=1,DK$4,""),IF(DL50=1,DL$4,""),IF(DM50=1,DM$4,""),IF(DN50=1,DN$4,""),IF(DO50=1,DO$4,""),IF(DP50=1,DP$4,""),IF(DQ50=1,DQ$4,""),IF(DR50=1,DR$4,""),IF(DS50=1,DS$4,""),IF(DT50=1,DT$4,""),IF(DU50=1,DU$4,""))</f>
        <v/>
      </c>
      <c r="BB50" s="340">
        <f>VLOOKUP(W50,'Catalogue Aluminium'!$B$141:$H$173,7,FALSE)</f>
        <v>62</v>
      </c>
      <c r="BC50" s="328">
        <f t="shared" ref="BC50:BC56" si="1249">AP50*BB50</f>
        <v>62</v>
      </c>
      <c r="BE50" s="416"/>
      <c r="BF50" s="416"/>
      <c r="BG50" s="416"/>
      <c r="BH50" s="416"/>
      <c r="BI50" s="416"/>
      <c r="BJ50" s="416"/>
      <c r="BK50" s="416"/>
      <c r="BL50" s="416"/>
      <c r="BM50" s="416"/>
      <c r="BN50" s="416"/>
      <c r="BO50" s="416"/>
      <c r="BP50" s="416"/>
      <c r="BQ50" s="416"/>
      <c r="BR50" s="416"/>
      <c r="BS50" s="416"/>
      <c r="BT50" s="416"/>
      <c r="BU50" s="416"/>
      <c r="BV50" s="416"/>
      <c r="BW50" s="416"/>
      <c r="BX50" s="416"/>
      <c r="BY50" s="416"/>
      <c r="BZ50" s="416"/>
      <c r="CA50" s="416"/>
      <c r="CB50" s="416"/>
      <c r="CC50" s="416"/>
      <c r="CD50" s="416"/>
      <c r="CE50" s="416"/>
      <c r="CF50" s="416"/>
      <c r="CG50" s="416"/>
      <c r="CH50" s="416"/>
      <c r="CI50" s="416"/>
      <c r="CJ50" s="416"/>
      <c r="CK50" s="416"/>
      <c r="CL50" s="416"/>
      <c r="CM50" s="416"/>
      <c r="CN50" s="416"/>
      <c r="CO50" s="416"/>
      <c r="CP50" s="416"/>
      <c r="CQ50" s="416"/>
      <c r="CR50" s="416"/>
      <c r="CS50" s="416"/>
      <c r="CT50" s="416"/>
      <c r="CU50" s="416"/>
      <c r="CV50" s="416"/>
      <c r="CW50" s="416"/>
      <c r="CX50" s="416"/>
      <c r="CY50" s="416"/>
      <c r="CZ50" s="416"/>
      <c r="DA50" s="416"/>
      <c r="DB50" s="416"/>
      <c r="DC50" s="416"/>
      <c r="DD50" s="416"/>
      <c r="DE50" s="416"/>
      <c r="DF50" s="416"/>
      <c r="DG50" s="416"/>
      <c r="DH50" s="416"/>
      <c r="DI50" s="416"/>
      <c r="DJ50" s="416"/>
      <c r="DK50" s="416"/>
      <c r="DL50" s="416"/>
      <c r="DM50" s="416"/>
      <c r="DN50" s="416"/>
      <c r="DO50" s="416"/>
      <c r="DP50" s="416"/>
      <c r="DQ50" s="416"/>
      <c r="DR50" s="416"/>
      <c r="DS50" s="416"/>
      <c r="DT50" s="416"/>
      <c r="DU50" s="416"/>
      <c r="DW50" s="336">
        <f t="shared" si="81"/>
        <v>0</v>
      </c>
      <c r="DX50" s="336">
        <f t="shared" si="0"/>
        <v>0</v>
      </c>
      <c r="DY50" s="336">
        <f t="shared" si="1"/>
        <v>0</v>
      </c>
      <c r="DZ50" s="336">
        <f t="shared" si="2"/>
        <v>0</v>
      </c>
      <c r="EA50" s="336">
        <f t="shared" si="3"/>
        <v>0</v>
      </c>
      <c r="EB50" s="336">
        <f t="shared" si="4"/>
        <v>0</v>
      </c>
      <c r="EC50" s="336">
        <f t="shared" si="5"/>
        <v>0</v>
      </c>
      <c r="ED50" s="336">
        <f t="shared" si="6"/>
        <v>0</v>
      </c>
      <c r="EE50" s="336">
        <f t="shared" si="7"/>
        <v>0</v>
      </c>
      <c r="EF50" s="336">
        <f t="shared" si="8"/>
        <v>0</v>
      </c>
      <c r="EG50" s="336">
        <f t="shared" si="9"/>
        <v>0</v>
      </c>
      <c r="EH50" s="336">
        <f t="shared" si="10"/>
        <v>0</v>
      </c>
      <c r="EI50" s="336">
        <f t="shared" si="11"/>
        <v>0</v>
      </c>
      <c r="EJ50" s="336">
        <f t="shared" si="12"/>
        <v>0</v>
      </c>
      <c r="EK50" s="336">
        <f t="shared" si="13"/>
        <v>0</v>
      </c>
      <c r="EL50" s="336">
        <f t="shared" si="14"/>
        <v>0</v>
      </c>
      <c r="EM50" s="336">
        <f t="shared" si="15"/>
        <v>0</v>
      </c>
      <c r="EN50" s="336">
        <f t="shared" si="16"/>
        <v>0</v>
      </c>
      <c r="EO50" s="336">
        <f t="shared" si="17"/>
        <v>0</v>
      </c>
      <c r="EP50" s="336">
        <f t="shared" si="18"/>
        <v>0</v>
      </c>
      <c r="EQ50" s="336">
        <f t="shared" si="19"/>
        <v>0</v>
      </c>
      <c r="ER50" s="336">
        <f t="shared" si="20"/>
        <v>0</v>
      </c>
      <c r="ES50" s="336">
        <f t="shared" si="21"/>
        <v>0</v>
      </c>
      <c r="ET50" s="336">
        <f t="shared" si="22"/>
        <v>0</v>
      </c>
      <c r="EU50" s="336">
        <f t="shared" si="23"/>
        <v>0</v>
      </c>
      <c r="EV50" s="336">
        <f t="shared" si="24"/>
        <v>0</v>
      </c>
      <c r="EW50" s="336">
        <f t="shared" si="25"/>
        <v>0</v>
      </c>
      <c r="EX50" s="336">
        <f t="shared" si="26"/>
        <v>0</v>
      </c>
      <c r="EY50" s="336">
        <f t="shared" si="27"/>
        <v>0</v>
      </c>
      <c r="EZ50" s="336">
        <f t="shared" si="28"/>
        <v>0</v>
      </c>
      <c r="FA50" s="336">
        <f t="shared" si="29"/>
        <v>0</v>
      </c>
      <c r="FB50" s="336">
        <f t="shared" si="30"/>
        <v>0</v>
      </c>
      <c r="FC50" s="336">
        <f t="shared" si="31"/>
        <v>0</v>
      </c>
      <c r="FD50" s="336">
        <f t="shared" si="32"/>
        <v>0</v>
      </c>
      <c r="FE50" s="336">
        <f t="shared" si="33"/>
        <v>0</v>
      </c>
      <c r="FF50" s="336">
        <f t="shared" si="34"/>
        <v>0</v>
      </c>
      <c r="FG50" s="336">
        <f t="shared" si="35"/>
        <v>0</v>
      </c>
      <c r="FH50" s="336">
        <f t="shared" si="36"/>
        <v>0</v>
      </c>
      <c r="FI50" s="336">
        <f t="shared" si="37"/>
        <v>0</v>
      </c>
      <c r="FJ50" s="336">
        <f t="shared" si="38"/>
        <v>0</v>
      </c>
      <c r="FK50" s="336">
        <f t="shared" si="39"/>
        <v>0</v>
      </c>
      <c r="FL50" s="336">
        <f t="shared" si="40"/>
        <v>0</v>
      </c>
      <c r="FM50" s="336">
        <f t="shared" si="41"/>
        <v>0</v>
      </c>
      <c r="FN50" s="336">
        <f t="shared" si="42"/>
        <v>0</v>
      </c>
      <c r="FO50" s="336">
        <f t="shared" si="43"/>
        <v>0</v>
      </c>
      <c r="FP50" s="336">
        <f t="shared" si="44"/>
        <v>0</v>
      </c>
      <c r="FQ50" s="336">
        <f t="shared" si="45"/>
        <v>0</v>
      </c>
      <c r="FR50" s="336">
        <f t="shared" si="46"/>
        <v>0</v>
      </c>
      <c r="FS50" s="336">
        <f t="shared" si="47"/>
        <v>0</v>
      </c>
      <c r="FT50" s="336">
        <f t="shared" si="48"/>
        <v>0</v>
      </c>
      <c r="FU50" s="336">
        <f t="shared" si="1216"/>
        <v>0</v>
      </c>
      <c r="FV50" s="336">
        <f t="shared" si="1217"/>
        <v>0</v>
      </c>
      <c r="FW50" s="336">
        <f t="shared" si="1218"/>
        <v>0</v>
      </c>
      <c r="FX50" s="336">
        <f t="shared" si="1219"/>
        <v>0</v>
      </c>
      <c r="FY50" s="336">
        <f t="shared" si="53"/>
        <v>0</v>
      </c>
      <c r="FZ50" s="336">
        <f t="shared" si="54"/>
        <v>0</v>
      </c>
      <c r="GA50" s="336">
        <f t="shared" si="55"/>
        <v>0</v>
      </c>
      <c r="GB50" s="336">
        <f t="shared" si="56"/>
        <v>0</v>
      </c>
      <c r="GC50" s="336">
        <f t="shared" si="57"/>
        <v>0</v>
      </c>
      <c r="GD50" s="336">
        <f t="shared" si="58"/>
        <v>0</v>
      </c>
      <c r="GE50" s="336">
        <f t="shared" si="59"/>
        <v>0</v>
      </c>
      <c r="GF50" s="336">
        <f t="shared" si="60"/>
        <v>0</v>
      </c>
      <c r="GG50" s="336">
        <f t="shared" si="61"/>
        <v>0</v>
      </c>
      <c r="GH50" s="336">
        <f t="shared" si="62"/>
        <v>0</v>
      </c>
      <c r="GI50" s="336">
        <f t="shared" si="63"/>
        <v>0</v>
      </c>
      <c r="GJ50" s="336">
        <f t="shared" si="64"/>
        <v>0</v>
      </c>
      <c r="GK50" s="336">
        <f t="shared" si="1215"/>
        <v>0</v>
      </c>
      <c r="GL50" s="336">
        <f t="shared" si="1148"/>
        <v>0</v>
      </c>
      <c r="GM50" s="336">
        <f t="shared" si="66"/>
        <v>0</v>
      </c>
    </row>
    <row r="51" spans="1:195" ht="25.5" customHeight="1">
      <c r="A51" s="337">
        <f t="shared" ref="A51:A62" si="1250">A50+1</f>
        <v>38</v>
      </c>
      <c r="B51" s="372" t="s">
        <v>415</v>
      </c>
      <c r="C51" s="337" t="str">
        <f t="shared" si="1230"/>
        <v>11kV MV Switchgear-1</v>
      </c>
      <c r="D51" s="440" t="s">
        <v>416</v>
      </c>
      <c r="E51" s="416" t="s">
        <v>335</v>
      </c>
      <c r="F51" s="417" t="s">
        <v>29</v>
      </c>
      <c r="G51" s="340" t="s">
        <v>329</v>
      </c>
      <c r="H51" s="350">
        <v>3150</v>
      </c>
      <c r="I51" s="337" t="s">
        <v>414</v>
      </c>
      <c r="J51" s="337" t="s">
        <v>331</v>
      </c>
      <c r="K51" s="341">
        <v>11000</v>
      </c>
      <c r="L51" s="342">
        <v>0.85042738957114017</v>
      </c>
      <c r="M51" s="342">
        <v>0.95</v>
      </c>
      <c r="N51" s="342">
        <f t="shared" ref="N51:N62" si="1251">IF(I51="kVA",IF(J51="3Ph",(H51*1000/(1.732*M51*K51)),(H51*1000/(M51*K51))),IF(I51="kW",IF(J51="3Ph",(H51*1000/(1.732*M51*K51*L51)),(H51*1000/(M51*K51*L51)))))</f>
        <v>174.03891841718507</v>
      </c>
      <c r="O51" s="342">
        <f t="shared" si="67"/>
        <v>0</v>
      </c>
      <c r="P51" s="343" t="str">
        <f t="shared" si="1231"/>
        <v>0.00</v>
      </c>
      <c r="Q51" s="342">
        <v>31.5</v>
      </c>
      <c r="R51" s="342">
        <v>0.16</v>
      </c>
      <c r="S51" s="342">
        <f t="shared" si="1232"/>
        <v>134.04255319148936</v>
      </c>
      <c r="T51" s="344" t="s">
        <v>131</v>
      </c>
      <c r="U51" s="342" t="s">
        <v>333</v>
      </c>
      <c r="V51" s="344">
        <v>150</v>
      </c>
      <c r="W51" s="343" t="str">
        <f t="shared" si="69"/>
        <v>3C X 150</v>
      </c>
      <c r="X51" s="343" t="str">
        <f t="shared" si="1233"/>
        <v>3C X 150</v>
      </c>
      <c r="Y51" s="419" t="s">
        <v>346</v>
      </c>
      <c r="Z51" s="344">
        <f>IF(T51="AIR",VLOOKUP(W51,'Catalogue Aluminium'!$B$141:$G$173,2,FALSE),IF(T51="GROUND",VLOOKUP(W51,'Catalogue Aluminium'!$B$141:$G$173,3,FALSE),IF(T51="DUCT",VLOOKUP(W51,'Catalogue Aluminium'!$B$141:$G$173,4,FALSE),IF(T51="TRENCH",VLOOKUP(W51,'Catalogue Aluminium'!$B$141:$G$173,2,FALSE)))))</f>
        <v>309</v>
      </c>
      <c r="AA51" s="345">
        <f>VLOOKUP(W51,'Catalogue Aluminium'!$B$141:$G$173,5,FALSE)</f>
        <v>0.26500000000000001</v>
      </c>
      <c r="AB51" s="345">
        <f>VLOOKUP(W51,'Catalogue Aluminium'!$B$141:$G$173,6,FALSE)</f>
        <v>9.2999999999999999E-2</v>
      </c>
      <c r="AC51" s="349">
        <f>23+30</f>
        <v>53</v>
      </c>
      <c r="AD51" s="343">
        <f>(38+16+3)</f>
        <v>57</v>
      </c>
      <c r="AE51" s="343">
        <v>20</v>
      </c>
      <c r="AF51" s="343">
        <v>8</v>
      </c>
      <c r="AG51" s="343">
        <f t="shared" si="1235"/>
        <v>14</v>
      </c>
      <c r="AH51" s="347">
        <f t="shared" si="1236"/>
        <v>160</v>
      </c>
      <c r="AI51" s="344">
        <f>IF(T51="AIR",'Catalogue Aluminium'!$K$141,IF(T51="TRENCH",'Catalogue Aluminium'!$K$144,"NA"))</f>
        <v>0.82</v>
      </c>
      <c r="AJ51" s="342">
        <f>IF(T51="Air",(IF(U51="1C",'Catalogue Aluminium'!$L$141,'Catalogue Aluminium'!$M$141)),IF(T51="DUCT",(IF($U51="1C",'Catalogue Aluminium'!$L$142,'Catalogue Aluminium'!$M$142)),IF(T51="GROUND",(IF($U51="1C",'Catalogue Aluminium'!$L$143,'Catalogue Aluminium'!$M$143)),IF(T51="TRENCH",(IF($U51="1C",'Catalogue Aluminium'!$L$144,'Catalogue Aluminium'!$M$144))))))</f>
        <v>0.73</v>
      </c>
      <c r="AK51" s="344" t="str">
        <f>IF(T51="Air",'Catalogue Aluminium'!$N$141,IF(T51="GROUND",'Catalogue Aluminium'!$N$142,IF(T51="DUCT",'Catalogue Aluminium'!$N$143,IF(T51="TRENCH",'Catalogue Aluminium'!$N$144,"NA"))))</f>
        <v>NA</v>
      </c>
      <c r="AL51" s="344" t="str">
        <f>IF(T51="Air",(IF(U51="1C",'Catalogue Aluminium'!$O$141,'Catalogue Aluminium'!$P$141)),IF(T51="DUCT",(IF($U51="1C",'Catalogue Aluminium'!$O$142,'Catalogue Aluminium'!$P$142)),IF(T51="GROUND",(IF($U51="1C",'Catalogue Aluminium'!$O$143,'Catalogue Aluminium'!$P$143)),IF(T51="TRENCH",(IF($U51="1C",'Catalogue Aluminium'!$O$144,'Catalogue Aluminium'!$P$144))))))</f>
        <v>NA</v>
      </c>
      <c r="AM51" s="344" t="str">
        <f>IF(T51="AIR","NA",IF(T51="TRENCH","NA",IF(T51="DUCT",IF(U51="1C",VLOOKUP(V51,'Catalogue Aluminium'!$Q$142:$S$153,2,FALSE),VLOOKUP(V51,'Catalogue Aluminium'!$Q$142:$S$153,3)),IF(T51="GROUND",IF(U51="1C",VLOOKUP(V51,'Catalogue Aluminium'!$Q$142:$S$153,2,FALSE),VLOOKUP(V51,'Catalogue Aluminium'!$Q$142:$S$153,3))))))</f>
        <v>NA</v>
      </c>
      <c r="AN51" s="348">
        <f t="shared" si="1237"/>
        <v>0.59859999999999991</v>
      </c>
      <c r="AO51" s="342">
        <f t="shared" si="1238"/>
        <v>184.96739999999997</v>
      </c>
      <c r="AP51" s="349">
        <f t="shared" si="1239"/>
        <v>1</v>
      </c>
      <c r="AQ51" s="350" t="str">
        <f t="shared" si="1240"/>
        <v>YES</v>
      </c>
      <c r="AR51" s="351">
        <f t="shared" si="1241"/>
        <v>0.12026632645716193</v>
      </c>
      <c r="AS51" s="343" t="str">
        <f t="shared" si="89"/>
        <v>YES</v>
      </c>
      <c r="AT51" s="351" t="str">
        <f t="shared" si="1242"/>
        <v>NA</v>
      </c>
      <c r="AU51" s="343" t="str">
        <f t="shared" si="1243"/>
        <v>NA</v>
      </c>
      <c r="AV51" s="351" t="str">
        <f t="shared" si="1244"/>
        <v>1R x 6/10 (12)kV x 3C x 150 Sqmm</v>
      </c>
      <c r="AW51" s="351" t="str">
        <f t="shared" si="1245"/>
        <v>1R x 6/10 (12)kV x 3C x 150 Sqmm</v>
      </c>
      <c r="AX51" s="343">
        <f t="shared" si="1246"/>
        <v>160</v>
      </c>
      <c r="AY51" s="343"/>
      <c r="AZ51" s="343">
        <f t="shared" si="1247"/>
        <v>2</v>
      </c>
      <c r="BA51" s="356" t="str">
        <f t="shared" si="1248"/>
        <v/>
      </c>
      <c r="BB51" s="340">
        <f>VLOOKUP(W51,'Catalogue Aluminium'!$B$141:$H$173,7,FALSE)</f>
        <v>62</v>
      </c>
      <c r="BC51" s="328">
        <f t="shared" si="1249"/>
        <v>62</v>
      </c>
      <c r="BE51" s="416"/>
      <c r="BF51" s="416"/>
      <c r="BG51" s="416"/>
      <c r="BH51" s="416"/>
      <c r="BI51" s="416"/>
      <c r="BJ51" s="416"/>
      <c r="BK51" s="416"/>
      <c r="BL51" s="416"/>
      <c r="BM51" s="416"/>
      <c r="BN51" s="416"/>
      <c r="BO51" s="416"/>
      <c r="BP51" s="416"/>
      <c r="BQ51" s="416"/>
      <c r="BR51" s="416"/>
      <c r="BS51" s="416"/>
      <c r="BT51" s="416"/>
      <c r="BU51" s="416"/>
      <c r="BV51" s="416"/>
      <c r="BW51" s="416"/>
      <c r="BX51" s="416"/>
      <c r="BY51" s="416"/>
      <c r="BZ51" s="416"/>
      <c r="CA51" s="416"/>
      <c r="CB51" s="416"/>
      <c r="CC51" s="416"/>
      <c r="CD51" s="416"/>
      <c r="CE51" s="416"/>
      <c r="CF51" s="416"/>
      <c r="CG51" s="416"/>
      <c r="CH51" s="416"/>
      <c r="CI51" s="416"/>
      <c r="CJ51" s="416"/>
      <c r="CK51" s="416"/>
      <c r="CL51" s="416"/>
      <c r="CM51" s="416"/>
      <c r="CN51" s="416"/>
      <c r="CO51" s="416"/>
      <c r="CP51" s="416"/>
      <c r="CQ51" s="416"/>
      <c r="CR51" s="416"/>
      <c r="CS51" s="416"/>
      <c r="CT51" s="416"/>
      <c r="CU51" s="416"/>
      <c r="CV51" s="416"/>
      <c r="CW51" s="416"/>
      <c r="CX51" s="416"/>
      <c r="CY51" s="416"/>
      <c r="CZ51" s="416"/>
      <c r="DA51" s="416"/>
      <c r="DB51" s="416"/>
      <c r="DC51" s="416"/>
      <c r="DD51" s="416"/>
      <c r="DE51" s="416"/>
      <c r="DF51" s="416"/>
      <c r="DG51" s="416"/>
      <c r="DH51" s="416"/>
      <c r="DI51" s="416"/>
      <c r="DJ51" s="416"/>
      <c r="DK51" s="416"/>
      <c r="DL51" s="416"/>
      <c r="DM51" s="416"/>
      <c r="DN51" s="416"/>
      <c r="DO51" s="416"/>
      <c r="DP51" s="416"/>
      <c r="DQ51" s="416"/>
      <c r="DR51" s="416"/>
      <c r="DS51" s="416"/>
      <c r="DT51" s="416"/>
      <c r="DU51" s="416"/>
      <c r="DW51" s="336">
        <f t="shared" si="81"/>
        <v>0</v>
      </c>
      <c r="DX51" s="336">
        <f t="shared" si="0"/>
        <v>0</v>
      </c>
      <c r="DY51" s="336">
        <f t="shared" si="1"/>
        <v>0</v>
      </c>
      <c r="DZ51" s="336">
        <f t="shared" si="2"/>
        <v>0</v>
      </c>
      <c r="EA51" s="336">
        <f t="shared" si="3"/>
        <v>0</v>
      </c>
      <c r="EB51" s="336">
        <f t="shared" si="4"/>
        <v>0</v>
      </c>
      <c r="EC51" s="336">
        <f t="shared" si="5"/>
        <v>0</v>
      </c>
      <c r="ED51" s="336">
        <f t="shared" si="6"/>
        <v>0</v>
      </c>
      <c r="EE51" s="336">
        <f t="shared" si="7"/>
        <v>0</v>
      </c>
      <c r="EF51" s="336">
        <f t="shared" si="8"/>
        <v>0</v>
      </c>
      <c r="EG51" s="336">
        <f t="shared" si="9"/>
        <v>0</v>
      </c>
      <c r="EH51" s="336">
        <f t="shared" si="10"/>
        <v>0</v>
      </c>
      <c r="EI51" s="336">
        <f t="shared" si="11"/>
        <v>0</v>
      </c>
      <c r="EJ51" s="336">
        <f t="shared" si="12"/>
        <v>0</v>
      </c>
      <c r="EK51" s="336">
        <f t="shared" si="13"/>
        <v>0</v>
      </c>
      <c r="EL51" s="336">
        <f t="shared" si="14"/>
        <v>0</v>
      </c>
      <c r="EM51" s="336">
        <f t="shared" si="15"/>
        <v>0</v>
      </c>
      <c r="EN51" s="336">
        <f t="shared" si="16"/>
        <v>0</v>
      </c>
      <c r="EO51" s="336">
        <f t="shared" si="17"/>
        <v>0</v>
      </c>
      <c r="EP51" s="336">
        <f t="shared" si="18"/>
        <v>0</v>
      </c>
      <c r="EQ51" s="336">
        <f t="shared" si="19"/>
        <v>0</v>
      </c>
      <c r="ER51" s="336">
        <f t="shared" si="20"/>
        <v>0</v>
      </c>
      <c r="ES51" s="336">
        <f t="shared" si="21"/>
        <v>0</v>
      </c>
      <c r="ET51" s="336">
        <f t="shared" si="22"/>
        <v>0</v>
      </c>
      <c r="EU51" s="336">
        <f t="shared" si="23"/>
        <v>0</v>
      </c>
      <c r="EV51" s="336">
        <f t="shared" si="24"/>
        <v>0</v>
      </c>
      <c r="EW51" s="336">
        <f t="shared" si="25"/>
        <v>0</v>
      </c>
      <c r="EX51" s="336">
        <f t="shared" si="26"/>
        <v>0</v>
      </c>
      <c r="EY51" s="336">
        <f t="shared" si="27"/>
        <v>0</v>
      </c>
      <c r="EZ51" s="336">
        <f t="shared" si="28"/>
        <v>0</v>
      </c>
      <c r="FA51" s="336">
        <f t="shared" si="29"/>
        <v>0</v>
      </c>
      <c r="FB51" s="336">
        <f t="shared" si="30"/>
        <v>0</v>
      </c>
      <c r="FC51" s="336">
        <f t="shared" si="31"/>
        <v>0</v>
      </c>
      <c r="FD51" s="336">
        <f t="shared" si="32"/>
        <v>0</v>
      </c>
      <c r="FE51" s="336">
        <f t="shared" si="33"/>
        <v>0</v>
      </c>
      <c r="FF51" s="336">
        <f t="shared" si="34"/>
        <v>0</v>
      </c>
      <c r="FG51" s="336">
        <f t="shared" si="35"/>
        <v>0</v>
      </c>
      <c r="FH51" s="336">
        <f t="shared" si="36"/>
        <v>0</v>
      </c>
      <c r="FI51" s="336">
        <f t="shared" si="37"/>
        <v>0</v>
      </c>
      <c r="FJ51" s="336">
        <f t="shared" si="38"/>
        <v>0</v>
      </c>
      <c r="FK51" s="336">
        <f t="shared" si="39"/>
        <v>0</v>
      </c>
      <c r="FL51" s="336">
        <f t="shared" si="40"/>
        <v>0</v>
      </c>
      <c r="FM51" s="336">
        <f t="shared" si="41"/>
        <v>0</v>
      </c>
      <c r="FN51" s="336">
        <f t="shared" si="42"/>
        <v>0</v>
      </c>
      <c r="FO51" s="336">
        <f t="shared" si="43"/>
        <v>0</v>
      </c>
      <c r="FP51" s="336">
        <f t="shared" si="44"/>
        <v>0</v>
      </c>
      <c r="FQ51" s="336">
        <f t="shared" si="45"/>
        <v>0</v>
      </c>
      <c r="FR51" s="336">
        <f t="shared" si="46"/>
        <v>0</v>
      </c>
      <c r="FS51" s="336">
        <f t="shared" si="47"/>
        <v>0</v>
      </c>
      <c r="FT51" s="336">
        <f t="shared" si="48"/>
        <v>0</v>
      </c>
      <c r="FU51" s="336">
        <f t="shared" si="1216"/>
        <v>0</v>
      </c>
      <c r="FV51" s="336">
        <f t="shared" si="1217"/>
        <v>0</v>
      </c>
      <c r="FW51" s="336">
        <f t="shared" si="1218"/>
        <v>0</v>
      </c>
      <c r="FX51" s="336">
        <f t="shared" si="1219"/>
        <v>0</v>
      </c>
      <c r="FY51" s="336">
        <f t="shared" si="53"/>
        <v>0</v>
      </c>
      <c r="FZ51" s="336">
        <f t="shared" si="54"/>
        <v>0</v>
      </c>
      <c r="GA51" s="336">
        <f t="shared" si="55"/>
        <v>0</v>
      </c>
      <c r="GB51" s="336">
        <f t="shared" si="56"/>
        <v>0</v>
      </c>
      <c r="GC51" s="336">
        <f t="shared" si="57"/>
        <v>0</v>
      </c>
      <c r="GD51" s="336">
        <f t="shared" si="58"/>
        <v>0</v>
      </c>
      <c r="GE51" s="336">
        <f t="shared" si="59"/>
        <v>0</v>
      </c>
      <c r="GF51" s="336">
        <f t="shared" si="60"/>
        <v>0</v>
      </c>
      <c r="GG51" s="336">
        <f t="shared" si="61"/>
        <v>0</v>
      </c>
      <c r="GH51" s="336">
        <f t="shared" si="62"/>
        <v>0</v>
      </c>
      <c r="GI51" s="336">
        <f t="shared" si="63"/>
        <v>0</v>
      </c>
      <c r="GJ51" s="336">
        <f t="shared" si="64"/>
        <v>0</v>
      </c>
      <c r="GK51" s="336">
        <f t="shared" si="1215"/>
        <v>0</v>
      </c>
      <c r="GL51" s="336">
        <f t="shared" si="1148"/>
        <v>0</v>
      </c>
      <c r="GM51" s="336">
        <f t="shared" si="66"/>
        <v>0</v>
      </c>
    </row>
    <row r="52" spans="1:195" ht="25.5" customHeight="1">
      <c r="A52" s="337">
        <f t="shared" si="1250"/>
        <v>39</v>
      </c>
      <c r="B52" s="372" t="s">
        <v>417</v>
      </c>
      <c r="C52" s="337" t="str">
        <f t="shared" si="1230"/>
        <v>11kV MV Switchgear-1</v>
      </c>
      <c r="D52" s="440" t="s">
        <v>418</v>
      </c>
      <c r="E52" s="416" t="s">
        <v>419</v>
      </c>
      <c r="F52" s="417" t="s">
        <v>28</v>
      </c>
      <c r="G52" s="340" t="s">
        <v>329</v>
      </c>
      <c r="H52" s="350">
        <v>3150</v>
      </c>
      <c r="I52" s="337" t="s">
        <v>414</v>
      </c>
      <c r="J52" s="337" t="s">
        <v>331</v>
      </c>
      <c r="K52" s="341">
        <v>11000</v>
      </c>
      <c r="L52" s="342">
        <v>0.85544407501889297</v>
      </c>
      <c r="M52" s="342">
        <v>0.95</v>
      </c>
      <c r="N52" s="342">
        <f t="shared" si="1251"/>
        <v>174.03891841718507</v>
      </c>
      <c r="O52" s="342">
        <f t="shared" si="67"/>
        <v>0</v>
      </c>
      <c r="P52" s="343" t="str">
        <f t="shared" si="1231"/>
        <v>0.00</v>
      </c>
      <c r="Q52" s="342">
        <v>31.5</v>
      </c>
      <c r="R52" s="342">
        <v>0.16</v>
      </c>
      <c r="S52" s="342">
        <f t="shared" si="1232"/>
        <v>134.04255319148936</v>
      </c>
      <c r="T52" s="344" t="s">
        <v>131</v>
      </c>
      <c r="U52" s="342" t="s">
        <v>333</v>
      </c>
      <c r="V52" s="344">
        <v>150</v>
      </c>
      <c r="W52" s="343" t="str">
        <f t="shared" si="69"/>
        <v>3C X 150</v>
      </c>
      <c r="X52" s="343" t="str">
        <f t="shared" si="1233"/>
        <v>3C X 150</v>
      </c>
      <c r="Y52" s="419" t="s">
        <v>346</v>
      </c>
      <c r="Z52" s="344">
        <f>IF(T52="AIR",VLOOKUP(W52,'Catalogue Aluminium'!$B$141:$G$173,2,FALSE),IF(T52="GROUND",VLOOKUP(W52,'Catalogue Aluminium'!$B$141:$G$173,3,FALSE),IF(T52="DUCT",VLOOKUP(W52,'Catalogue Aluminium'!$B$141:$G$173,4,FALSE),IF(T52="TRENCH",VLOOKUP(W52,'Catalogue Aluminium'!$B$141:$G$173,2,FALSE)))))</f>
        <v>309</v>
      </c>
      <c r="AA52" s="345">
        <f>VLOOKUP(W52,'Catalogue Aluminium'!$B$141:$G$173,5,FALSE)</f>
        <v>0.26500000000000001</v>
      </c>
      <c r="AB52" s="345">
        <f>VLOOKUP(W52,'Catalogue Aluminium'!$B$141:$G$173,6,FALSE)</f>
        <v>9.2999999999999999E-2</v>
      </c>
      <c r="AC52" s="349">
        <f t="shared" ref="AC52" si="1252">37+30</f>
        <v>67</v>
      </c>
      <c r="AD52" s="343">
        <f>40+30+28+5</f>
        <v>103</v>
      </c>
      <c r="AE52" s="343">
        <v>20</v>
      </c>
      <c r="AF52" s="343">
        <v>8</v>
      </c>
      <c r="AG52" s="343">
        <f t="shared" si="1235"/>
        <v>20</v>
      </c>
      <c r="AH52" s="347">
        <f t="shared" si="1236"/>
        <v>220</v>
      </c>
      <c r="AI52" s="344">
        <f>IF(T52="AIR",'Catalogue Aluminium'!$K$141,IF(T52="TRENCH",'Catalogue Aluminium'!$K$144,"NA"))</f>
        <v>0.82</v>
      </c>
      <c r="AJ52" s="342">
        <f>IF(T52="Air",(IF(U52="1C",'Catalogue Aluminium'!$L$141,'Catalogue Aluminium'!$M$141)),IF(T52="DUCT",(IF($U52="1C",'Catalogue Aluminium'!$L$142,'Catalogue Aluminium'!$M$142)),IF(T52="GROUND",(IF($U52="1C",'Catalogue Aluminium'!$L$143,'Catalogue Aluminium'!$M$143)),IF(T52="TRENCH",(IF($U52="1C",'Catalogue Aluminium'!$L$144,'Catalogue Aluminium'!$M$144))))))</f>
        <v>0.73</v>
      </c>
      <c r="AK52" s="344" t="str">
        <f>IF(T52="Air",'Catalogue Aluminium'!$N$141,IF(T52="GROUND",'Catalogue Aluminium'!$N$142,IF(T52="DUCT",'Catalogue Aluminium'!$N$143,IF(T52="TRENCH",'Catalogue Aluminium'!$N$144,"NA"))))</f>
        <v>NA</v>
      </c>
      <c r="AL52" s="344" t="str">
        <f>IF(T52="Air",(IF(U52="1C",'Catalogue Aluminium'!$O$141,'Catalogue Aluminium'!$P$141)),IF(T52="DUCT",(IF($U52="1C",'Catalogue Aluminium'!$O$142,'Catalogue Aluminium'!$P$142)),IF(T52="GROUND",(IF($U52="1C",'Catalogue Aluminium'!$O$143,'Catalogue Aluminium'!$P$143)),IF(T52="TRENCH",(IF($U52="1C",'Catalogue Aluminium'!$O$144,'Catalogue Aluminium'!$P$144))))))</f>
        <v>NA</v>
      </c>
      <c r="AM52" s="344" t="str">
        <f>IF(T52="AIR","NA",IF(T52="TRENCH","NA",IF(T52="DUCT",IF(U52="1C",VLOOKUP(V52,'Catalogue Aluminium'!$Q$142:$S$153,2,FALSE),VLOOKUP(V52,'Catalogue Aluminium'!$Q$142:$S$153,3)),IF(T52="GROUND",IF(U52="1C",VLOOKUP(V52,'Catalogue Aluminium'!$Q$142:$S$153,2,FALSE),VLOOKUP(V52,'Catalogue Aluminium'!$Q$142:$S$153,3))))))</f>
        <v>NA</v>
      </c>
      <c r="AN52" s="348">
        <f t="shared" si="1237"/>
        <v>0.59859999999999991</v>
      </c>
      <c r="AO52" s="342">
        <f t="shared" si="1238"/>
        <v>184.96739999999997</v>
      </c>
      <c r="AP52" s="349">
        <f t="shared" si="1239"/>
        <v>1</v>
      </c>
      <c r="AQ52" s="350" t="str">
        <f t="shared" si="1240"/>
        <v>YES</v>
      </c>
      <c r="AR52" s="351">
        <f t="shared" si="1241"/>
        <v>0.16570808369813478</v>
      </c>
      <c r="AS52" s="343" t="str">
        <f t="shared" si="89"/>
        <v>YES</v>
      </c>
      <c r="AT52" s="351" t="str">
        <f t="shared" si="1242"/>
        <v>NA</v>
      </c>
      <c r="AU52" s="343" t="str">
        <f t="shared" si="1243"/>
        <v>NA</v>
      </c>
      <c r="AV52" s="351" t="str">
        <f t="shared" si="1244"/>
        <v>1R x 6/10 (12)kV x 3C x 150 Sqmm</v>
      </c>
      <c r="AW52" s="351" t="str">
        <f t="shared" si="1245"/>
        <v>1R x 6/10 (12)kV x 3C x 150 Sqmm</v>
      </c>
      <c r="AX52" s="343">
        <f t="shared" si="1246"/>
        <v>220</v>
      </c>
      <c r="AY52" s="343"/>
      <c r="AZ52" s="343">
        <f t="shared" si="1247"/>
        <v>2</v>
      </c>
      <c r="BA52" s="356" t="str">
        <f t="shared" si="1248"/>
        <v>AQQ2</v>
      </c>
      <c r="BB52" s="340">
        <f>VLOOKUP(W52,'Catalogue Aluminium'!$B$141:$H$173,7,FALSE)</f>
        <v>62</v>
      </c>
      <c r="BC52" s="328">
        <f t="shared" si="1249"/>
        <v>62</v>
      </c>
      <c r="BE52" s="416"/>
      <c r="BF52" s="336">
        <v>1</v>
      </c>
      <c r="BG52" s="416"/>
      <c r="BH52" s="416"/>
      <c r="BI52" s="416"/>
      <c r="BJ52" s="416"/>
      <c r="BK52" s="416"/>
      <c r="BL52" s="416"/>
      <c r="BM52" s="416"/>
      <c r="BN52" s="416"/>
      <c r="BO52" s="416"/>
      <c r="BP52" s="416"/>
      <c r="BQ52" s="416"/>
      <c r="BR52" s="416"/>
      <c r="BS52" s="416"/>
      <c r="BT52" s="416"/>
      <c r="BU52" s="416"/>
      <c r="BV52" s="416"/>
      <c r="BW52" s="416"/>
      <c r="BX52" s="416"/>
      <c r="BY52" s="416"/>
      <c r="BZ52" s="416"/>
      <c r="CA52" s="416"/>
      <c r="CB52" s="416"/>
      <c r="CC52" s="416"/>
      <c r="CD52" s="416"/>
      <c r="CE52" s="416"/>
      <c r="CF52" s="416"/>
      <c r="CG52" s="416"/>
      <c r="CH52" s="416"/>
      <c r="CI52" s="416"/>
      <c r="CJ52" s="416"/>
      <c r="CK52" s="416"/>
      <c r="CL52" s="416"/>
      <c r="CM52" s="416"/>
      <c r="CN52" s="416"/>
      <c r="CO52" s="416"/>
      <c r="CP52" s="416"/>
      <c r="CQ52" s="416"/>
      <c r="CR52" s="416"/>
      <c r="CS52" s="416"/>
      <c r="CT52" s="416"/>
      <c r="CU52" s="416"/>
      <c r="CV52" s="416"/>
      <c r="CW52" s="416"/>
      <c r="CX52" s="336">
        <v>1</v>
      </c>
      <c r="CY52" s="336"/>
      <c r="CZ52" s="336">
        <v>1</v>
      </c>
      <c r="DA52" s="416"/>
      <c r="DB52" s="416"/>
      <c r="DC52" s="416"/>
      <c r="DD52" s="416"/>
      <c r="DE52" s="416"/>
      <c r="DF52" s="416"/>
      <c r="DG52" s="416"/>
      <c r="DH52" s="416"/>
      <c r="DI52" s="416"/>
      <c r="DJ52" s="416"/>
      <c r="DK52" s="416"/>
      <c r="DL52" s="416"/>
      <c r="DM52" s="416"/>
      <c r="DN52" s="416"/>
      <c r="DO52" s="416"/>
      <c r="DP52" s="416"/>
      <c r="DQ52" s="416"/>
      <c r="DR52" s="416"/>
      <c r="DS52" s="416"/>
      <c r="DT52" s="416"/>
      <c r="DU52" s="416"/>
      <c r="DW52" s="336">
        <f t="shared" si="81"/>
        <v>0</v>
      </c>
      <c r="DX52" s="336">
        <f t="shared" si="0"/>
        <v>62</v>
      </c>
      <c r="DY52" s="336">
        <f t="shared" si="1"/>
        <v>0</v>
      </c>
      <c r="DZ52" s="336">
        <f t="shared" si="2"/>
        <v>0</v>
      </c>
      <c r="EA52" s="336">
        <f t="shared" si="3"/>
        <v>0</v>
      </c>
      <c r="EB52" s="336">
        <f t="shared" si="4"/>
        <v>0</v>
      </c>
      <c r="EC52" s="336">
        <f t="shared" si="5"/>
        <v>0</v>
      </c>
      <c r="ED52" s="336">
        <f t="shared" si="6"/>
        <v>0</v>
      </c>
      <c r="EE52" s="336">
        <f t="shared" si="7"/>
        <v>0</v>
      </c>
      <c r="EF52" s="336">
        <f t="shared" si="8"/>
        <v>0</v>
      </c>
      <c r="EG52" s="336">
        <f t="shared" si="9"/>
        <v>0</v>
      </c>
      <c r="EH52" s="336">
        <f t="shared" si="10"/>
        <v>0</v>
      </c>
      <c r="EI52" s="336">
        <f t="shared" si="11"/>
        <v>0</v>
      </c>
      <c r="EJ52" s="336">
        <f t="shared" si="12"/>
        <v>0</v>
      </c>
      <c r="EK52" s="336">
        <f t="shared" si="13"/>
        <v>0</v>
      </c>
      <c r="EL52" s="336">
        <f t="shared" si="14"/>
        <v>0</v>
      </c>
      <c r="EM52" s="336">
        <f t="shared" si="15"/>
        <v>0</v>
      </c>
      <c r="EN52" s="336">
        <f t="shared" si="16"/>
        <v>0</v>
      </c>
      <c r="EO52" s="336">
        <f t="shared" si="17"/>
        <v>0</v>
      </c>
      <c r="EP52" s="336">
        <f t="shared" si="18"/>
        <v>0</v>
      </c>
      <c r="EQ52" s="336">
        <f t="shared" si="19"/>
        <v>0</v>
      </c>
      <c r="ER52" s="336">
        <f t="shared" si="20"/>
        <v>0</v>
      </c>
      <c r="ES52" s="336">
        <f t="shared" si="21"/>
        <v>0</v>
      </c>
      <c r="ET52" s="336">
        <f t="shared" si="22"/>
        <v>0</v>
      </c>
      <c r="EU52" s="336">
        <f t="shared" si="23"/>
        <v>0</v>
      </c>
      <c r="EV52" s="336">
        <f t="shared" si="24"/>
        <v>0</v>
      </c>
      <c r="EW52" s="336">
        <f t="shared" si="25"/>
        <v>0</v>
      </c>
      <c r="EX52" s="336">
        <f t="shared" si="26"/>
        <v>0</v>
      </c>
      <c r="EY52" s="336">
        <f t="shared" si="27"/>
        <v>0</v>
      </c>
      <c r="EZ52" s="336">
        <f t="shared" si="28"/>
        <v>0</v>
      </c>
      <c r="FA52" s="336">
        <f t="shared" si="29"/>
        <v>0</v>
      </c>
      <c r="FB52" s="336">
        <f t="shared" si="30"/>
        <v>0</v>
      </c>
      <c r="FC52" s="336">
        <f t="shared" si="31"/>
        <v>0</v>
      </c>
      <c r="FD52" s="336">
        <f t="shared" si="32"/>
        <v>0</v>
      </c>
      <c r="FE52" s="336">
        <f t="shared" si="33"/>
        <v>0</v>
      </c>
      <c r="FF52" s="336">
        <f t="shared" si="34"/>
        <v>0</v>
      </c>
      <c r="FG52" s="336">
        <f t="shared" si="35"/>
        <v>0</v>
      </c>
      <c r="FH52" s="336">
        <f t="shared" si="36"/>
        <v>0</v>
      </c>
      <c r="FI52" s="336">
        <f t="shared" si="37"/>
        <v>0</v>
      </c>
      <c r="FJ52" s="336">
        <f t="shared" si="38"/>
        <v>0</v>
      </c>
      <c r="FK52" s="336">
        <f t="shared" si="39"/>
        <v>0</v>
      </c>
      <c r="FL52" s="336">
        <f t="shared" si="40"/>
        <v>0</v>
      </c>
      <c r="FM52" s="336">
        <f t="shared" si="41"/>
        <v>0</v>
      </c>
      <c r="FN52" s="336">
        <f t="shared" si="42"/>
        <v>0</v>
      </c>
      <c r="FO52" s="336">
        <f t="shared" si="43"/>
        <v>0</v>
      </c>
      <c r="FP52" s="336">
        <f t="shared" si="44"/>
        <v>62</v>
      </c>
      <c r="FQ52" s="336">
        <f t="shared" si="45"/>
        <v>0</v>
      </c>
      <c r="FR52" s="336">
        <f t="shared" si="46"/>
        <v>62</v>
      </c>
      <c r="FS52" s="336">
        <f t="shared" si="47"/>
        <v>0</v>
      </c>
      <c r="FT52" s="336">
        <f t="shared" si="48"/>
        <v>0</v>
      </c>
      <c r="FU52" s="336">
        <f t="shared" si="1216"/>
        <v>0</v>
      </c>
      <c r="FV52" s="336">
        <f t="shared" si="1217"/>
        <v>0</v>
      </c>
      <c r="FW52" s="336">
        <f t="shared" si="1218"/>
        <v>0</v>
      </c>
      <c r="FX52" s="336">
        <f t="shared" si="1219"/>
        <v>0</v>
      </c>
      <c r="FY52" s="336">
        <f t="shared" si="53"/>
        <v>0</v>
      </c>
      <c r="FZ52" s="336">
        <f t="shared" si="54"/>
        <v>0</v>
      </c>
      <c r="GA52" s="336">
        <f t="shared" si="55"/>
        <v>0</v>
      </c>
      <c r="GB52" s="336">
        <f t="shared" si="56"/>
        <v>0</v>
      </c>
      <c r="GC52" s="336">
        <f t="shared" si="57"/>
        <v>0</v>
      </c>
      <c r="GD52" s="336">
        <f t="shared" si="58"/>
        <v>0</v>
      </c>
      <c r="GE52" s="336">
        <f t="shared" si="59"/>
        <v>0</v>
      </c>
      <c r="GF52" s="336">
        <f t="shared" si="60"/>
        <v>0</v>
      </c>
      <c r="GG52" s="336">
        <f t="shared" si="61"/>
        <v>0</v>
      </c>
      <c r="GH52" s="336">
        <f t="shared" si="62"/>
        <v>0</v>
      </c>
      <c r="GI52" s="336">
        <f t="shared" si="63"/>
        <v>0</v>
      </c>
      <c r="GJ52" s="336">
        <f t="shared" si="64"/>
        <v>0</v>
      </c>
      <c r="GK52" s="336">
        <f t="shared" si="1215"/>
        <v>0</v>
      </c>
      <c r="GL52" s="336">
        <f t="shared" si="1148"/>
        <v>0</v>
      </c>
      <c r="GM52" s="336">
        <f t="shared" si="66"/>
        <v>0</v>
      </c>
    </row>
    <row r="53" spans="1:195" ht="25.5" customHeight="1">
      <c r="A53" s="337">
        <f t="shared" si="1250"/>
        <v>40</v>
      </c>
      <c r="B53" s="372" t="s">
        <v>420</v>
      </c>
      <c r="C53" s="337" t="str">
        <f t="shared" si="1230"/>
        <v>11kV MV Switchgear-1</v>
      </c>
      <c r="D53" s="440" t="s">
        <v>421</v>
      </c>
      <c r="E53" s="416" t="s">
        <v>419</v>
      </c>
      <c r="F53" s="417" t="s">
        <v>29</v>
      </c>
      <c r="G53" s="340" t="s">
        <v>329</v>
      </c>
      <c r="H53" s="350">
        <v>3150</v>
      </c>
      <c r="I53" s="337" t="s">
        <v>414</v>
      </c>
      <c r="J53" s="337" t="s">
        <v>331</v>
      </c>
      <c r="K53" s="341">
        <v>11000</v>
      </c>
      <c r="L53" s="342">
        <v>0.85544407501889297</v>
      </c>
      <c r="M53" s="342">
        <v>0.95</v>
      </c>
      <c r="N53" s="342">
        <f t="shared" si="1251"/>
        <v>174.03891841718507</v>
      </c>
      <c r="O53" s="342">
        <f t="shared" si="67"/>
        <v>0</v>
      </c>
      <c r="P53" s="343" t="str">
        <f t="shared" si="1231"/>
        <v>0.00</v>
      </c>
      <c r="Q53" s="342">
        <v>31.5</v>
      </c>
      <c r="R53" s="342">
        <v>0.16</v>
      </c>
      <c r="S53" s="342">
        <f t="shared" si="1232"/>
        <v>134.04255319148936</v>
      </c>
      <c r="T53" s="344" t="s">
        <v>131</v>
      </c>
      <c r="U53" s="342" t="s">
        <v>333</v>
      </c>
      <c r="V53" s="344">
        <v>150</v>
      </c>
      <c r="W53" s="343" t="str">
        <f t="shared" si="69"/>
        <v>3C X 150</v>
      </c>
      <c r="X53" s="343" t="str">
        <f t="shared" si="1233"/>
        <v>3C X 150</v>
      </c>
      <c r="Y53" s="419" t="s">
        <v>346</v>
      </c>
      <c r="Z53" s="344">
        <f>IF(T53="AIR",VLOOKUP(W53,'Catalogue Aluminium'!$B$141:$G$173,2,FALSE),IF(T53="GROUND",VLOOKUP(W53,'Catalogue Aluminium'!$B$141:$G$173,3,FALSE),IF(T53="DUCT",VLOOKUP(W53,'Catalogue Aluminium'!$B$141:$G$173,4,FALSE),IF(T53="TRENCH",VLOOKUP(W53,'Catalogue Aluminium'!$B$141:$G$173,2,FALSE)))))</f>
        <v>309</v>
      </c>
      <c r="AA53" s="345">
        <f>VLOOKUP(W53,'Catalogue Aluminium'!$B$141:$G$173,5,FALSE)</f>
        <v>0.26500000000000001</v>
      </c>
      <c r="AB53" s="345">
        <f>VLOOKUP(W53,'Catalogue Aluminium'!$B$141:$G$173,6,FALSE)</f>
        <v>9.2999999999999999E-2</v>
      </c>
      <c r="AC53" s="349">
        <f>23+30</f>
        <v>53</v>
      </c>
      <c r="AD53" s="343">
        <f>40+30+28+10</f>
        <v>108</v>
      </c>
      <c r="AE53" s="343">
        <v>20</v>
      </c>
      <c r="AF53" s="343">
        <v>8</v>
      </c>
      <c r="AG53" s="343">
        <f t="shared" si="1235"/>
        <v>19</v>
      </c>
      <c r="AH53" s="347">
        <f t="shared" si="1236"/>
        <v>210</v>
      </c>
      <c r="AI53" s="344">
        <f>IF(T53="AIR",'Catalogue Aluminium'!$K$141,IF(T53="TRENCH",'Catalogue Aluminium'!$K$144,"NA"))</f>
        <v>0.82</v>
      </c>
      <c r="AJ53" s="342">
        <f>IF(T53="Air",(IF(U53="1C",'Catalogue Aluminium'!$L$141,'Catalogue Aluminium'!$M$141)),IF(T53="DUCT",(IF($U53="1C",'Catalogue Aluminium'!$L$142,'Catalogue Aluminium'!$M$142)),IF(T53="GROUND",(IF($U53="1C",'Catalogue Aluminium'!$L$143,'Catalogue Aluminium'!$M$143)),IF(T53="TRENCH",(IF($U53="1C",'Catalogue Aluminium'!$L$144,'Catalogue Aluminium'!$M$144))))))</f>
        <v>0.73</v>
      </c>
      <c r="AK53" s="344" t="str">
        <f>IF(T53="Air",'Catalogue Aluminium'!$N$141,IF(T53="GROUND",'Catalogue Aluminium'!$N$142,IF(T53="DUCT",'Catalogue Aluminium'!$N$143,IF(T53="TRENCH",'Catalogue Aluminium'!$N$144,"NA"))))</f>
        <v>NA</v>
      </c>
      <c r="AL53" s="344" t="str">
        <f>IF(T53="Air",(IF(U53="1C",'Catalogue Aluminium'!$O$141,'Catalogue Aluminium'!$P$141)),IF(T53="DUCT",(IF($U53="1C",'Catalogue Aluminium'!$O$142,'Catalogue Aluminium'!$P$142)),IF(T53="GROUND",(IF($U53="1C",'Catalogue Aluminium'!$O$143,'Catalogue Aluminium'!$P$143)),IF(T53="TRENCH",(IF($U53="1C",'Catalogue Aluminium'!$O$144,'Catalogue Aluminium'!$P$144))))))</f>
        <v>NA</v>
      </c>
      <c r="AM53" s="344" t="str">
        <f>IF(T53="AIR","NA",IF(T53="TRENCH","NA",IF(T53="DUCT",IF(U53="1C",VLOOKUP(V53,'Catalogue Aluminium'!$Q$142:$S$153,2,FALSE),VLOOKUP(V53,'Catalogue Aluminium'!$Q$142:$S$153,3)),IF(T53="GROUND",IF(U53="1C",VLOOKUP(V53,'Catalogue Aluminium'!$Q$142:$S$153,2,FALSE),VLOOKUP(V53,'Catalogue Aluminium'!$Q$142:$S$153,3))))))</f>
        <v>NA</v>
      </c>
      <c r="AN53" s="348">
        <f t="shared" si="1237"/>
        <v>0.59859999999999991</v>
      </c>
      <c r="AO53" s="342">
        <f t="shared" si="1238"/>
        <v>184.96739999999997</v>
      </c>
      <c r="AP53" s="349">
        <f t="shared" si="1239"/>
        <v>1</v>
      </c>
      <c r="AQ53" s="350" t="str">
        <f t="shared" si="1240"/>
        <v>YES</v>
      </c>
      <c r="AR53" s="351">
        <f t="shared" si="1241"/>
        <v>0.15817589807549229</v>
      </c>
      <c r="AS53" s="343" t="str">
        <f t="shared" si="89"/>
        <v>YES</v>
      </c>
      <c r="AT53" s="351" t="str">
        <f t="shared" si="1242"/>
        <v>NA</v>
      </c>
      <c r="AU53" s="343" t="str">
        <f t="shared" si="1243"/>
        <v>NA</v>
      </c>
      <c r="AV53" s="351" t="str">
        <f t="shared" si="1244"/>
        <v>1R x 6/10 (12)kV x 3C x 150 Sqmm</v>
      </c>
      <c r="AW53" s="351" t="str">
        <f t="shared" si="1245"/>
        <v>1R x 6/10 (12)kV x 3C x 150 Sqmm</v>
      </c>
      <c r="AX53" s="343">
        <f t="shared" si="1246"/>
        <v>210</v>
      </c>
      <c r="AY53" s="343"/>
      <c r="AZ53" s="343">
        <f t="shared" si="1247"/>
        <v>2</v>
      </c>
      <c r="BA53" s="356" t="str">
        <f t="shared" si="1248"/>
        <v>AQQ2</v>
      </c>
      <c r="BB53" s="340">
        <f>VLOOKUP(W53,'Catalogue Aluminium'!$B$141:$H$173,7,FALSE)</f>
        <v>62</v>
      </c>
      <c r="BC53" s="328">
        <f t="shared" si="1249"/>
        <v>62</v>
      </c>
      <c r="BE53" s="416"/>
      <c r="BF53" s="336">
        <v>1</v>
      </c>
      <c r="BG53" s="416"/>
      <c r="BH53" s="416"/>
      <c r="BI53" s="416"/>
      <c r="BJ53" s="416"/>
      <c r="BK53" s="416"/>
      <c r="BL53" s="416"/>
      <c r="BM53" s="416"/>
      <c r="BN53" s="416"/>
      <c r="BO53" s="416"/>
      <c r="BP53" s="416"/>
      <c r="BQ53" s="416"/>
      <c r="BR53" s="416"/>
      <c r="BS53" s="416"/>
      <c r="BT53" s="416"/>
      <c r="BU53" s="416"/>
      <c r="BV53" s="416"/>
      <c r="BW53" s="416"/>
      <c r="BX53" s="416"/>
      <c r="BY53" s="416"/>
      <c r="BZ53" s="416"/>
      <c r="CA53" s="416"/>
      <c r="CB53" s="416"/>
      <c r="CC53" s="416"/>
      <c r="CD53" s="416"/>
      <c r="CE53" s="416"/>
      <c r="CF53" s="416"/>
      <c r="CG53" s="416"/>
      <c r="CH53" s="416"/>
      <c r="CI53" s="416"/>
      <c r="CJ53" s="416"/>
      <c r="CK53" s="416"/>
      <c r="CL53" s="416"/>
      <c r="CM53" s="416"/>
      <c r="CN53" s="416"/>
      <c r="CO53" s="416"/>
      <c r="CP53" s="416"/>
      <c r="CQ53" s="416"/>
      <c r="CR53" s="416"/>
      <c r="CS53" s="416"/>
      <c r="CT53" s="416"/>
      <c r="CU53" s="416"/>
      <c r="CV53" s="416"/>
      <c r="CW53" s="416"/>
      <c r="CX53" s="336">
        <v>1</v>
      </c>
      <c r="CY53" s="336"/>
      <c r="CZ53" s="336">
        <v>1</v>
      </c>
      <c r="DA53" s="416"/>
      <c r="DB53" s="416"/>
      <c r="DC53" s="416"/>
      <c r="DD53" s="416"/>
      <c r="DE53" s="416"/>
      <c r="DF53" s="416"/>
      <c r="DG53" s="416"/>
      <c r="DH53" s="416"/>
      <c r="DI53" s="416"/>
      <c r="DJ53" s="416"/>
      <c r="DK53" s="416"/>
      <c r="DL53" s="416"/>
      <c r="DM53" s="416"/>
      <c r="DN53" s="416"/>
      <c r="DO53" s="416"/>
      <c r="DP53" s="416"/>
      <c r="DQ53" s="416"/>
      <c r="DR53" s="416"/>
      <c r="DS53" s="416"/>
      <c r="DT53" s="416"/>
      <c r="DU53" s="416"/>
      <c r="DW53" s="336">
        <f t="shared" si="81"/>
        <v>0</v>
      </c>
      <c r="DX53" s="336">
        <f t="shared" si="0"/>
        <v>62</v>
      </c>
      <c r="DY53" s="336">
        <f t="shared" si="1"/>
        <v>0</v>
      </c>
      <c r="DZ53" s="336">
        <f t="shared" si="2"/>
        <v>0</v>
      </c>
      <c r="EA53" s="336">
        <f t="shared" si="3"/>
        <v>0</v>
      </c>
      <c r="EB53" s="336">
        <f t="shared" si="4"/>
        <v>0</v>
      </c>
      <c r="EC53" s="336">
        <f t="shared" si="5"/>
        <v>0</v>
      </c>
      <c r="ED53" s="336">
        <f t="shared" si="6"/>
        <v>0</v>
      </c>
      <c r="EE53" s="336">
        <f t="shared" si="7"/>
        <v>0</v>
      </c>
      <c r="EF53" s="336">
        <f t="shared" si="8"/>
        <v>0</v>
      </c>
      <c r="EG53" s="336">
        <f t="shared" si="9"/>
        <v>0</v>
      </c>
      <c r="EH53" s="336">
        <f t="shared" si="10"/>
        <v>0</v>
      </c>
      <c r="EI53" s="336">
        <f t="shared" si="11"/>
        <v>0</v>
      </c>
      <c r="EJ53" s="336">
        <f t="shared" si="12"/>
        <v>0</v>
      </c>
      <c r="EK53" s="336">
        <f t="shared" si="13"/>
        <v>0</v>
      </c>
      <c r="EL53" s="336">
        <f t="shared" si="14"/>
        <v>0</v>
      </c>
      <c r="EM53" s="336">
        <f t="shared" si="15"/>
        <v>0</v>
      </c>
      <c r="EN53" s="336">
        <f t="shared" si="16"/>
        <v>0</v>
      </c>
      <c r="EO53" s="336">
        <f t="shared" si="17"/>
        <v>0</v>
      </c>
      <c r="EP53" s="336">
        <f t="shared" si="18"/>
        <v>0</v>
      </c>
      <c r="EQ53" s="336">
        <f t="shared" si="19"/>
        <v>0</v>
      </c>
      <c r="ER53" s="336">
        <f t="shared" si="20"/>
        <v>0</v>
      </c>
      <c r="ES53" s="336">
        <f t="shared" si="21"/>
        <v>0</v>
      </c>
      <c r="ET53" s="336">
        <f t="shared" si="22"/>
        <v>0</v>
      </c>
      <c r="EU53" s="336">
        <f t="shared" si="23"/>
        <v>0</v>
      </c>
      <c r="EV53" s="336">
        <f t="shared" si="24"/>
        <v>0</v>
      </c>
      <c r="EW53" s="336">
        <f t="shared" si="25"/>
        <v>0</v>
      </c>
      <c r="EX53" s="336">
        <f t="shared" si="26"/>
        <v>0</v>
      </c>
      <c r="EY53" s="336">
        <f t="shared" si="27"/>
        <v>0</v>
      </c>
      <c r="EZ53" s="336">
        <f t="shared" si="28"/>
        <v>0</v>
      </c>
      <c r="FA53" s="336">
        <f t="shared" si="29"/>
        <v>0</v>
      </c>
      <c r="FB53" s="336">
        <f t="shared" si="30"/>
        <v>0</v>
      </c>
      <c r="FC53" s="336">
        <f t="shared" si="31"/>
        <v>0</v>
      </c>
      <c r="FD53" s="336">
        <f t="shared" si="32"/>
        <v>0</v>
      </c>
      <c r="FE53" s="336">
        <f t="shared" si="33"/>
        <v>0</v>
      </c>
      <c r="FF53" s="336">
        <f t="shared" si="34"/>
        <v>0</v>
      </c>
      <c r="FG53" s="336">
        <f t="shared" si="35"/>
        <v>0</v>
      </c>
      <c r="FH53" s="336">
        <f t="shared" si="36"/>
        <v>0</v>
      </c>
      <c r="FI53" s="336">
        <f t="shared" si="37"/>
        <v>0</v>
      </c>
      <c r="FJ53" s="336">
        <f t="shared" si="38"/>
        <v>0</v>
      </c>
      <c r="FK53" s="336">
        <f t="shared" si="39"/>
        <v>0</v>
      </c>
      <c r="FL53" s="336">
        <f t="shared" si="40"/>
        <v>0</v>
      </c>
      <c r="FM53" s="336">
        <f t="shared" si="41"/>
        <v>0</v>
      </c>
      <c r="FN53" s="336">
        <f t="shared" si="42"/>
        <v>0</v>
      </c>
      <c r="FO53" s="336">
        <f t="shared" si="43"/>
        <v>0</v>
      </c>
      <c r="FP53" s="336">
        <f t="shared" si="44"/>
        <v>62</v>
      </c>
      <c r="FQ53" s="336">
        <f t="shared" si="45"/>
        <v>0</v>
      </c>
      <c r="FR53" s="336">
        <f t="shared" si="46"/>
        <v>62</v>
      </c>
      <c r="FS53" s="336">
        <f t="shared" si="47"/>
        <v>0</v>
      </c>
      <c r="FT53" s="336">
        <f t="shared" si="48"/>
        <v>0</v>
      </c>
      <c r="FU53" s="336">
        <f t="shared" si="1216"/>
        <v>0</v>
      </c>
      <c r="FV53" s="336">
        <f t="shared" si="1217"/>
        <v>0</v>
      </c>
      <c r="FW53" s="336">
        <f t="shared" si="1218"/>
        <v>0</v>
      </c>
      <c r="FX53" s="336">
        <f t="shared" si="1219"/>
        <v>0</v>
      </c>
      <c r="FY53" s="336">
        <f t="shared" si="53"/>
        <v>0</v>
      </c>
      <c r="FZ53" s="336">
        <f t="shared" si="54"/>
        <v>0</v>
      </c>
      <c r="GA53" s="336">
        <f t="shared" si="55"/>
        <v>0</v>
      </c>
      <c r="GB53" s="336">
        <f t="shared" si="56"/>
        <v>0</v>
      </c>
      <c r="GC53" s="336">
        <f t="shared" si="57"/>
        <v>0</v>
      </c>
      <c r="GD53" s="336">
        <f t="shared" si="58"/>
        <v>0</v>
      </c>
      <c r="GE53" s="336">
        <f t="shared" si="59"/>
        <v>0</v>
      </c>
      <c r="GF53" s="336">
        <f t="shared" si="60"/>
        <v>0</v>
      </c>
      <c r="GG53" s="336">
        <f t="shared" si="61"/>
        <v>0</v>
      </c>
      <c r="GH53" s="336">
        <f t="shared" si="62"/>
        <v>0</v>
      </c>
      <c r="GI53" s="336">
        <f t="shared" si="63"/>
        <v>0</v>
      </c>
      <c r="GJ53" s="336">
        <f t="shared" si="64"/>
        <v>0</v>
      </c>
      <c r="GK53" s="336">
        <f t="shared" si="1215"/>
        <v>0</v>
      </c>
      <c r="GL53" s="336">
        <f t="shared" si="1148"/>
        <v>0</v>
      </c>
      <c r="GM53" s="336">
        <f t="shared" si="66"/>
        <v>0</v>
      </c>
    </row>
    <row r="54" spans="1:195" ht="25.5" customHeight="1">
      <c r="A54" s="337">
        <f t="shared" si="1250"/>
        <v>41</v>
      </c>
      <c r="B54" s="372" t="s">
        <v>422</v>
      </c>
      <c r="C54" s="337" t="str">
        <f t="shared" si="1230"/>
        <v>11kV MV Switchgear-1</v>
      </c>
      <c r="D54" s="440" t="s">
        <v>423</v>
      </c>
      <c r="E54" s="416" t="s">
        <v>424</v>
      </c>
      <c r="F54" s="417" t="s">
        <v>28</v>
      </c>
      <c r="G54" s="340" t="s">
        <v>329</v>
      </c>
      <c r="H54" s="350">
        <v>1600</v>
      </c>
      <c r="I54" s="337" t="s">
        <v>414</v>
      </c>
      <c r="J54" s="337" t="s">
        <v>331</v>
      </c>
      <c r="K54" s="341">
        <v>11000</v>
      </c>
      <c r="L54" s="342">
        <v>0.84920557345737013</v>
      </c>
      <c r="M54" s="342">
        <v>0.95</v>
      </c>
      <c r="N54" s="342">
        <f t="shared" si="1251"/>
        <v>88.400720465871785</v>
      </c>
      <c r="O54" s="342">
        <f t="shared" si="67"/>
        <v>0</v>
      </c>
      <c r="P54" s="343" t="str">
        <f t="shared" si="1231"/>
        <v>0.00</v>
      </c>
      <c r="Q54" s="342">
        <v>31.5</v>
      </c>
      <c r="R54" s="342">
        <v>0.16</v>
      </c>
      <c r="S54" s="342">
        <f t="shared" si="1232"/>
        <v>134.04255319148936</v>
      </c>
      <c r="T54" s="344" t="s">
        <v>131</v>
      </c>
      <c r="U54" s="342" t="s">
        <v>333</v>
      </c>
      <c r="V54" s="344">
        <v>150</v>
      </c>
      <c r="W54" s="343" t="str">
        <f t="shared" si="69"/>
        <v>3C X 150</v>
      </c>
      <c r="X54" s="343" t="str">
        <f t="shared" si="1233"/>
        <v>3C X 150</v>
      </c>
      <c r="Y54" s="419" t="s">
        <v>346</v>
      </c>
      <c r="Z54" s="344">
        <f>IF(T54="AIR",VLOOKUP(W54,'Catalogue Aluminium'!$B$141:$G$173,2,FALSE),IF(T54="GROUND",VLOOKUP(W54,'Catalogue Aluminium'!$B$141:$G$173,3,FALSE),IF(T54="DUCT",VLOOKUP(W54,'Catalogue Aluminium'!$B$141:$G$173,4,FALSE),IF(T54="TRENCH",VLOOKUP(W54,'Catalogue Aluminium'!$B$141:$G$173,2,FALSE)))))</f>
        <v>309</v>
      </c>
      <c r="AA54" s="345">
        <f>VLOOKUP(W54,'Catalogue Aluminium'!$B$141:$G$173,5,FALSE)</f>
        <v>0.26500000000000001</v>
      </c>
      <c r="AB54" s="345">
        <f>VLOOKUP(W54,'Catalogue Aluminium'!$B$141:$G$173,6,FALSE)</f>
        <v>9.2999999999999999E-2</v>
      </c>
      <c r="AC54" s="349">
        <f t="shared" ref="AC54" si="1253">37+30</f>
        <v>67</v>
      </c>
      <c r="AD54" s="337">
        <f>40+50+38+48+58+60+18+21+10</f>
        <v>343</v>
      </c>
      <c r="AE54" s="343">
        <v>20</v>
      </c>
      <c r="AF54" s="343">
        <v>8</v>
      </c>
      <c r="AG54" s="343">
        <f t="shared" si="1235"/>
        <v>44</v>
      </c>
      <c r="AH54" s="347">
        <f t="shared" si="1236"/>
        <v>490</v>
      </c>
      <c r="AI54" s="344">
        <f>IF(T54="AIR",'Catalogue Aluminium'!$K$141,IF(T54="TRENCH",'Catalogue Aluminium'!$K$144,"NA"))</f>
        <v>0.82</v>
      </c>
      <c r="AJ54" s="342">
        <f>IF(T54="Air",(IF(U54="1C",'Catalogue Aluminium'!$L$141,'Catalogue Aluminium'!$M$141)),IF(T54="DUCT",(IF($U54="1C",'Catalogue Aluminium'!$L$142,'Catalogue Aluminium'!$M$142)),IF(T54="GROUND",(IF($U54="1C",'Catalogue Aluminium'!$L$143,'Catalogue Aluminium'!$M$143)),IF(T54="TRENCH",(IF($U54="1C",'Catalogue Aluminium'!$L$144,'Catalogue Aluminium'!$M$144))))))</f>
        <v>0.73</v>
      </c>
      <c r="AK54" s="344" t="str">
        <f>IF(T54="Air",'Catalogue Aluminium'!$N$141,IF(T54="GROUND",'Catalogue Aluminium'!$N$142,IF(T54="DUCT",'Catalogue Aluminium'!$N$143,IF(T54="TRENCH",'Catalogue Aluminium'!$N$144,"NA"))))</f>
        <v>NA</v>
      </c>
      <c r="AL54" s="344" t="str">
        <f>IF(T54="Air",(IF(U54="1C",'Catalogue Aluminium'!$O$141,'Catalogue Aluminium'!$P$141)),IF(T54="DUCT",(IF($U54="1C",'Catalogue Aluminium'!$O$142,'Catalogue Aluminium'!$P$142)),IF(T54="GROUND",(IF($U54="1C",'Catalogue Aluminium'!$O$143,'Catalogue Aluminium'!$P$143)),IF(T54="TRENCH",(IF($U54="1C",'Catalogue Aluminium'!$O$144,'Catalogue Aluminium'!$P$144))))))</f>
        <v>NA</v>
      </c>
      <c r="AM54" s="344" t="str">
        <f>IF(T54="AIR","NA",IF(T54="TRENCH","NA",IF(T54="DUCT",IF(U54="1C",VLOOKUP(V54,'Catalogue Aluminium'!$Q$142:$S$153,2,FALSE),VLOOKUP(V54,'Catalogue Aluminium'!$Q$142:$S$153,3)),IF(T54="GROUND",IF(U54="1C",VLOOKUP(V54,'Catalogue Aluminium'!$Q$142:$S$153,2,FALSE),VLOOKUP(V54,'Catalogue Aluminium'!$Q$142:$S$153,3))))))</f>
        <v>NA</v>
      </c>
      <c r="AN54" s="348">
        <f t="shared" si="1237"/>
        <v>0.59859999999999991</v>
      </c>
      <c r="AO54" s="342">
        <f t="shared" si="1238"/>
        <v>184.96739999999997</v>
      </c>
      <c r="AP54" s="349">
        <f t="shared" si="1239"/>
        <v>1</v>
      </c>
      <c r="AQ54" s="350" t="str">
        <f t="shared" si="1240"/>
        <v>YES</v>
      </c>
      <c r="AR54" s="351">
        <f t="shared" si="1241"/>
        <v>0.18698507206114104</v>
      </c>
      <c r="AS54" s="343" t="str">
        <f t="shared" si="89"/>
        <v>YES</v>
      </c>
      <c r="AT54" s="351" t="str">
        <f t="shared" si="1242"/>
        <v>NA</v>
      </c>
      <c r="AU54" s="343" t="str">
        <f t="shared" si="1243"/>
        <v>NA</v>
      </c>
      <c r="AV54" s="351" t="str">
        <f t="shared" si="1244"/>
        <v>1R x 6/10 (12)kV x 3C x 150 Sqmm</v>
      </c>
      <c r="AW54" s="351" t="str">
        <f t="shared" si="1245"/>
        <v>1R x 6/10 (12)kV x 3C x 150 Sqmm</v>
      </c>
      <c r="AX54" s="343">
        <f t="shared" si="1246"/>
        <v>490</v>
      </c>
      <c r="AY54" s="343"/>
      <c r="AZ54" s="343">
        <f t="shared" si="1247"/>
        <v>2</v>
      </c>
      <c r="BA54" s="356" t="str">
        <f t="shared" si="1248"/>
        <v>ACDEFGIIA</v>
      </c>
      <c r="BB54" s="340">
        <f>VLOOKUP(W54,'Catalogue Aluminium'!$B$141:$H$173,7,FALSE)</f>
        <v>62</v>
      </c>
      <c r="BC54" s="328">
        <f t="shared" si="1249"/>
        <v>62</v>
      </c>
      <c r="BE54" s="344"/>
      <c r="BF54" s="344">
        <v>1</v>
      </c>
      <c r="BG54" s="344"/>
      <c r="BH54" s="344"/>
      <c r="BI54" s="344">
        <v>1</v>
      </c>
      <c r="BJ54" s="344">
        <v>1</v>
      </c>
      <c r="BK54" s="344"/>
      <c r="BL54" s="344"/>
      <c r="BM54" s="344"/>
      <c r="BN54" s="344">
        <v>1</v>
      </c>
      <c r="BO54" s="344"/>
      <c r="BP54" s="344"/>
      <c r="BQ54" s="344"/>
      <c r="BR54" s="344"/>
      <c r="BS54" s="344"/>
      <c r="BT54" s="344"/>
      <c r="BU54" s="344"/>
      <c r="BV54" s="344">
        <v>1</v>
      </c>
      <c r="BW54" s="344">
        <v>1</v>
      </c>
      <c r="BX54" s="344"/>
      <c r="BY54" s="344"/>
      <c r="BZ54" s="344">
        <v>1</v>
      </c>
      <c r="CA54" s="344"/>
      <c r="CB54" s="344"/>
      <c r="CC54" s="344">
        <v>1</v>
      </c>
      <c r="CD54" s="344"/>
      <c r="CE54" s="344"/>
      <c r="CF54" s="416"/>
      <c r="CG54" s="416"/>
      <c r="CH54" s="416"/>
      <c r="CI54" s="416"/>
      <c r="CJ54" s="416"/>
      <c r="CK54" s="416"/>
      <c r="CL54" s="416"/>
      <c r="CM54" s="416"/>
      <c r="CN54" s="416"/>
      <c r="CO54" s="416"/>
      <c r="CP54" s="416"/>
      <c r="CQ54" s="416"/>
      <c r="CR54" s="416"/>
      <c r="CS54" s="416"/>
      <c r="CT54" s="416"/>
      <c r="CU54" s="416"/>
      <c r="CV54" s="416"/>
      <c r="CW54" s="416"/>
      <c r="CX54" s="416"/>
      <c r="CY54" s="416"/>
      <c r="CZ54" s="416"/>
      <c r="DA54" s="416"/>
      <c r="DB54" s="416"/>
      <c r="DC54" s="416"/>
      <c r="DD54" s="416"/>
      <c r="DE54" s="416"/>
      <c r="DF54" s="416"/>
      <c r="DG54" s="416"/>
      <c r="DH54" s="416"/>
      <c r="DI54" s="416"/>
      <c r="DJ54" s="416"/>
      <c r="DK54" s="416"/>
      <c r="DL54" s="416"/>
      <c r="DM54" s="416"/>
      <c r="DN54" s="416"/>
      <c r="DO54" s="416"/>
      <c r="DP54" s="416"/>
      <c r="DQ54" s="416"/>
      <c r="DR54" s="416"/>
      <c r="DS54" s="416"/>
      <c r="DT54" s="416"/>
      <c r="DU54" s="416"/>
      <c r="DW54" s="336">
        <f t="shared" si="81"/>
        <v>0</v>
      </c>
      <c r="DX54" s="336">
        <f t="shared" si="0"/>
        <v>62</v>
      </c>
      <c r="DY54" s="336">
        <f t="shared" si="1"/>
        <v>0</v>
      </c>
      <c r="DZ54" s="336">
        <f t="shared" si="2"/>
        <v>0</v>
      </c>
      <c r="EA54" s="336">
        <f t="shared" si="3"/>
        <v>62</v>
      </c>
      <c r="EB54" s="336">
        <f t="shared" si="4"/>
        <v>62</v>
      </c>
      <c r="EC54" s="336">
        <f t="shared" si="5"/>
        <v>0</v>
      </c>
      <c r="ED54" s="336">
        <f t="shared" si="6"/>
        <v>0</v>
      </c>
      <c r="EE54" s="336">
        <f t="shared" si="7"/>
        <v>0</v>
      </c>
      <c r="EF54" s="336">
        <f t="shared" si="8"/>
        <v>62</v>
      </c>
      <c r="EG54" s="336">
        <f t="shared" si="9"/>
        <v>0</v>
      </c>
      <c r="EH54" s="336">
        <f t="shared" si="10"/>
        <v>0</v>
      </c>
      <c r="EI54" s="336">
        <f t="shared" si="11"/>
        <v>0</v>
      </c>
      <c r="EJ54" s="336">
        <f t="shared" si="12"/>
        <v>0</v>
      </c>
      <c r="EK54" s="336">
        <f t="shared" si="13"/>
        <v>0</v>
      </c>
      <c r="EL54" s="336">
        <f t="shared" si="14"/>
        <v>0</v>
      </c>
      <c r="EM54" s="336">
        <f t="shared" si="15"/>
        <v>0</v>
      </c>
      <c r="EN54" s="336">
        <f t="shared" si="16"/>
        <v>62</v>
      </c>
      <c r="EO54" s="336">
        <f t="shared" si="17"/>
        <v>62</v>
      </c>
      <c r="EP54" s="336">
        <f t="shared" si="18"/>
        <v>0</v>
      </c>
      <c r="EQ54" s="336">
        <f t="shared" si="19"/>
        <v>0</v>
      </c>
      <c r="ER54" s="336">
        <f t="shared" si="20"/>
        <v>62</v>
      </c>
      <c r="ES54" s="336">
        <f t="shared" si="21"/>
        <v>0</v>
      </c>
      <c r="ET54" s="336">
        <f t="shared" si="22"/>
        <v>0</v>
      </c>
      <c r="EU54" s="336">
        <f t="shared" si="23"/>
        <v>62</v>
      </c>
      <c r="EV54" s="336">
        <f t="shared" si="24"/>
        <v>0</v>
      </c>
      <c r="EW54" s="336">
        <f t="shared" si="25"/>
        <v>0</v>
      </c>
      <c r="EX54" s="336">
        <f t="shared" si="26"/>
        <v>0</v>
      </c>
      <c r="EY54" s="336">
        <f t="shared" si="27"/>
        <v>0</v>
      </c>
      <c r="EZ54" s="336">
        <f t="shared" si="28"/>
        <v>0</v>
      </c>
      <c r="FA54" s="336">
        <f t="shared" si="29"/>
        <v>0</v>
      </c>
      <c r="FB54" s="336">
        <f t="shared" si="30"/>
        <v>0</v>
      </c>
      <c r="FC54" s="336">
        <f t="shared" si="31"/>
        <v>0</v>
      </c>
      <c r="FD54" s="336">
        <f t="shared" si="32"/>
        <v>0</v>
      </c>
      <c r="FE54" s="336">
        <f t="shared" si="33"/>
        <v>0</v>
      </c>
      <c r="FF54" s="336">
        <f t="shared" si="34"/>
        <v>0</v>
      </c>
      <c r="FG54" s="336">
        <f t="shared" si="35"/>
        <v>0</v>
      </c>
      <c r="FH54" s="336">
        <f t="shared" si="36"/>
        <v>0</v>
      </c>
      <c r="FI54" s="336">
        <f t="shared" si="37"/>
        <v>0</v>
      </c>
      <c r="FJ54" s="336">
        <f t="shared" si="38"/>
        <v>0</v>
      </c>
      <c r="FK54" s="336">
        <f t="shared" si="39"/>
        <v>0</v>
      </c>
      <c r="FL54" s="336">
        <f t="shared" si="40"/>
        <v>0</v>
      </c>
      <c r="FM54" s="336">
        <f t="shared" si="41"/>
        <v>0</v>
      </c>
      <c r="FN54" s="336">
        <f t="shared" si="42"/>
        <v>0</v>
      </c>
      <c r="FO54" s="336">
        <f t="shared" si="43"/>
        <v>0</v>
      </c>
      <c r="FP54" s="336">
        <f t="shared" si="44"/>
        <v>0</v>
      </c>
      <c r="FQ54" s="336">
        <f t="shared" si="45"/>
        <v>0</v>
      </c>
      <c r="FR54" s="336">
        <f t="shared" si="46"/>
        <v>0</v>
      </c>
      <c r="FS54" s="336">
        <f t="shared" si="47"/>
        <v>0</v>
      </c>
      <c r="FT54" s="336">
        <f t="shared" si="48"/>
        <v>0</v>
      </c>
      <c r="FU54" s="336">
        <f t="shared" si="1216"/>
        <v>0</v>
      </c>
      <c r="FV54" s="336">
        <f t="shared" si="1217"/>
        <v>0</v>
      </c>
      <c r="FW54" s="336">
        <f t="shared" si="1218"/>
        <v>0</v>
      </c>
      <c r="FX54" s="336">
        <f t="shared" si="1219"/>
        <v>0</v>
      </c>
      <c r="FY54" s="336">
        <f t="shared" si="53"/>
        <v>0</v>
      </c>
      <c r="FZ54" s="336">
        <f t="shared" si="54"/>
        <v>0</v>
      </c>
      <c r="GA54" s="336">
        <f t="shared" si="55"/>
        <v>0</v>
      </c>
      <c r="GB54" s="336">
        <f t="shared" si="56"/>
        <v>0</v>
      </c>
      <c r="GC54" s="336">
        <f t="shared" si="57"/>
        <v>0</v>
      </c>
      <c r="GD54" s="336">
        <f t="shared" si="58"/>
        <v>0</v>
      </c>
      <c r="GE54" s="336">
        <f t="shared" si="59"/>
        <v>0</v>
      </c>
      <c r="GF54" s="336">
        <f t="shared" si="60"/>
        <v>0</v>
      </c>
      <c r="GG54" s="336">
        <f t="shared" si="61"/>
        <v>0</v>
      </c>
      <c r="GH54" s="336">
        <f t="shared" si="62"/>
        <v>0</v>
      </c>
      <c r="GI54" s="336">
        <f t="shared" si="63"/>
        <v>0</v>
      </c>
      <c r="GJ54" s="336">
        <f t="shared" si="64"/>
        <v>0</v>
      </c>
      <c r="GK54" s="336">
        <f t="shared" si="1215"/>
        <v>0</v>
      </c>
      <c r="GL54" s="336">
        <f t="shared" si="1148"/>
        <v>0</v>
      </c>
      <c r="GM54" s="336">
        <f t="shared" si="66"/>
        <v>0</v>
      </c>
    </row>
    <row r="55" spans="1:195" ht="25.5" customHeight="1">
      <c r="A55" s="337">
        <f t="shared" si="1250"/>
        <v>42</v>
      </c>
      <c r="B55" s="372" t="s">
        <v>425</v>
      </c>
      <c r="C55" s="337" t="str">
        <f t="shared" si="1230"/>
        <v>11kV MV Switchgear-1</v>
      </c>
      <c r="D55" s="440" t="s">
        <v>426</v>
      </c>
      <c r="E55" s="416" t="s">
        <v>427</v>
      </c>
      <c r="F55" s="417" t="s">
        <v>29</v>
      </c>
      <c r="G55" s="340" t="s">
        <v>329</v>
      </c>
      <c r="H55" s="350">
        <v>1600</v>
      </c>
      <c r="I55" s="337" t="s">
        <v>414</v>
      </c>
      <c r="J55" s="337" t="s">
        <v>331</v>
      </c>
      <c r="K55" s="341">
        <v>11000</v>
      </c>
      <c r="L55" s="342">
        <v>0.84920557345737013</v>
      </c>
      <c r="M55" s="342">
        <v>0.95</v>
      </c>
      <c r="N55" s="342">
        <f t="shared" si="1251"/>
        <v>88.400720465871785</v>
      </c>
      <c r="O55" s="342">
        <f t="shared" si="67"/>
        <v>0</v>
      </c>
      <c r="P55" s="343" t="str">
        <f t="shared" si="1231"/>
        <v>0.00</v>
      </c>
      <c r="Q55" s="342">
        <v>31.5</v>
      </c>
      <c r="R55" s="342">
        <v>0.16</v>
      </c>
      <c r="S55" s="342">
        <f t="shared" si="1232"/>
        <v>134.04255319148936</v>
      </c>
      <c r="T55" s="344" t="s">
        <v>131</v>
      </c>
      <c r="U55" s="342" t="s">
        <v>333</v>
      </c>
      <c r="V55" s="344">
        <v>150</v>
      </c>
      <c r="W55" s="343" t="str">
        <f t="shared" si="69"/>
        <v>3C X 150</v>
      </c>
      <c r="X55" s="343" t="str">
        <f t="shared" si="1233"/>
        <v>3C X 150</v>
      </c>
      <c r="Y55" s="419" t="s">
        <v>346</v>
      </c>
      <c r="Z55" s="344">
        <f>IF(T55="AIR",VLOOKUP(W55,'Catalogue Aluminium'!$B$141:$G$173,2,FALSE),IF(T55="GROUND",VLOOKUP(W55,'Catalogue Aluminium'!$B$141:$G$173,3,FALSE),IF(T55="DUCT",VLOOKUP(W55,'Catalogue Aluminium'!$B$141:$G$173,4,FALSE),IF(T55="TRENCH",VLOOKUP(W55,'Catalogue Aluminium'!$B$141:$G$173,2,FALSE)))))</f>
        <v>309</v>
      </c>
      <c r="AA55" s="345">
        <f>VLOOKUP(W55,'Catalogue Aluminium'!$B$141:$G$173,5,FALSE)</f>
        <v>0.26500000000000001</v>
      </c>
      <c r="AB55" s="345">
        <f>VLOOKUP(W55,'Catalogue Aluminium'!$B$141:$G$173,6,FALSE)</f>
        <v>9.2999999999999999E-2</v>
      </c>
      <c r="AC55" s="349">
        <f>23+30</f>
        <v>53</v>
      </c>
      <c r="AD55" s="337">
        <f>40+50+38+48+58+60+18+21+13</f>
        <v>346</v>
      </c>
      <c r="AE55" s="343">
        <v>20</v>
      </c>
      <c r="AF55" s="343">
        <v>8</v>
      </c>
      <c r="AG55" s="343">
        <f t="shared" si="1235"/>
        <v>43</v>
      </c>
      <c r="AH55" s="347">
        <f t="shared" si="1236"/>
        <v>470</v>
      </c>
      <c r="AI55" s="344">
        <f>IF(T55="AIR",'Catalogue Aluminium'!$K$141,IF(T55="TRENCH",'Catalogue Aluminium'!$K$144,"NA"))</f>
        <v>0.82</v>
      </c>
      <c r="AJ55" s="342">
        <f>IF(T55="Air",(IF(U55="1C",'Catalogue Aluminium'!$L$141,'Catalogue Aluminium'!$M$141)),IF(T55="DUCT",(IF($U55="1C",'Catalogue Aluminium'!$L$142,'Catalogue Aluminium'!$M$142)),IF(T55="GROUND",(IF($U55="1C",'Catalogue Aluminium'!$L$143,'Catalogue Aluminium'!$M$143)),IF(T55="TRENCH",(IF($U55="1C",'Catalogue Aluminium'!$L$144,'Catalogue Aluminium'!$M$144))))))</f>
        <v>0.73</v>
      </c>
      <c r="AK55" s="344" t="str">
        <f>IF(T55="Air",'Catalogue Aluminium'!$N$141,IF(T55="GROUND",'Catalogue Aluminium'!$N$142,IF(T55="DUCT",'Catalogue Aluminium'!$N$143,IF(T55="TRENCH",'Catalogue Aluminium'!$N$144,"NA"))))</f>
        <v>NA</v>
      </c>
      <c r="AL55" s="344" t="str">
        <f>IF(T55="Air",(IF(U55="1C",'Catalogue Aluminium'!$O$141,'Catalogue Aluminium'!$P$141)),IF(T55="DUCT",(IF($U55="1C",'Catalogue Aluminium'!$O$142,'Catalogue Aluminium'!$P$142)),IF(T55="GROUND",(IF($U55="1C",'Catalogue Aluminium'!$O$143,'Catalogue Aluminium'!$P$143)),IF(T55="TRENCH",(IF($U55="1C",'Catalogue Aluminium'!$O$144,'Catalogue Aluminium'!$P$144))))))</f>
        <v>NA</v>
      </c>
      <c r="AM55" s="344" t="str">
        <f>IF(T55="AIR","NA",IF(T55="TRENCH","NA",IF(T55="DUCT",IF(U55="1C",VLOOKUP(V55,'Catalogue Aluminium'!$Q$142:$S$153,2,FALSE),VLOOKUP(V55,'Catalogue Aluminium'!$Q$142:$S$153,3)),IF(T55="GROUND",IF(U55="1C",VLOOKUP(V55,'Catalogue Aluminium'!$Q$142:$S$153,2,FALSE),VLOOKUP(V55,'Catalogue Aluminium'!$Q$142:$S$153,3))))))</f>
        <v>NA</v>
      </c>
      <c r="AN55" s="348">
        <f t="shared" si="1237"/>
        <v>0.59859999999999991</v>
      </c>
      <c r="AO55" s="342">
        <f t="shared" si="1238"/>
        <v>184.96739999999997</v>
      </c>
      <c r="AP55" s="349">
        <f t="shared" si="1239"/>
        <v>1</v>
      </c>
      <c r="AQ55" s="350" t="str">
        <f t="shared" si="1240"/>
        <v>YES</v>
      </c>
      <c r="AR55" s="351">
        <f t="shared" si="1241"/>
        <v>0.17935302830354341</v>
      </c>
      <c r="AS55" s="343" t="str">
        <f t="shared" si="89"/>
        <v>YES</v>
      </c>
      <c r="AT55" s="351" t="str">
        <f t="shared" si="1242"/>
        <v>NA</v>
      </c>
      <c r="AU55" s="343" t="str">
        <f t="shared" si="1243"/>
        <v>NA</v>
      </c>
      <c r="AV55" s="351" t="str">
        <f t="shared" si="1244"/>
        <v>1R x 6/10 (12)kV x 3C x 150 Sqmm</v>
      </c>
      <c r="AW55" s="351" t="str">
        <f t="shared" si="1245"/>
        <v>1R x 6/10 (12)kV x 3C x 150 Sqmm</v>
      </c>
      <c r="AX55" s="343">
        <f t="shared" si="1246"/>
        <v>470</v>
      </c>
      <c r="AY55" s="343"/>
      <c r="AZ55" s="343">
        <f t="shared" si="1247"/>
        <v>2</v>
      </c>
      <c r="BA55" s="356" t="str">
        <f t="shared" si="1248"/>
        <v>ACDEFGIIA</v>
      </c>
      <c r="BB55" s="340">
        <f>VLOOKUP(W55,'Catalogue Aluminium'!$B$141:$H$173,7,FALSE)</f>
        <v>62</v>
      </c>
      <c r="BC55" s="328">
        <f t="shared" si="1249"/>
        <v>62</v>
      </c>
      <c r="BE55" s="344"/>
      <c r="BF55" s="344">
        <v>1</v>
      </c>
      <c r="BG55" s="344"/>
      <c r="BH55" s="344"/>
      <c r="BI55" s="344">
        <v>1</v>
      </c>
      <c r="BJ55" s="344">
        <v>1</v>
      </c>
      <c r="BK55" s="344"/>
      <c r="BL55" s="344"/>
      <c r="BM55" s="344"/>
      <c r="BN55" s="344">
        <v>1</v>
      </c>
      <c r="BO55" s="344"/>
      <c r="BP55" s="344"/>
      <c r="BQ55" s="344"/>
      <c r="BR55" s="344"/>
      <c r="BS55" s="344"/>
      <c r="BT55" s="344"/>
      <c r="BU55" s="344"/>
      <c r="BV55" s="344">
        <v>1</v>
      </c>
      <c r="BW55" s="344">
        <v>1</v>
      </c>
      <c r="BX55" s="344"/>
      <c r="BY55" s="344"/>
      <c r="BZ55" s="344">
        <v>1</v>
      </c>
      <c r="CA55" s="344"/>
      <c r="CB55" s="344"/>
      <c r="CC55" s="344">
        <v>1</v>
      </c>
      <c r="CD55" s="344"/>
      <c r="CE55" s="344"/>
      <c r="CF55" s="416"/>
      <c r="CG55" s="416"/>
      <c r="CH55" s="416"/>
      <c r="CI55" s="416"/>
      <c r="CJ55" s="416"/>
      <c r="CK55" s="416"/>
      <c r="CL55" s="416"/>
      <c r="CM55" s="416"/>
      <c r="CN55" s="416"/>
      <c r="CO55" s="416"/>
      <c r="CP55" s="416"/>
      <c r="CQ55" s="416"/>
      <c r="CR55" s="416"/>
      <c r="CS55" s="416"/>
      <c r="CT55" s="416"/>
      <c r="CU55" s="416"/>
      <c r="CV55" s="416"/>
      <c r="CW55" s="416"/>
      <c r="CX55" s="416"/>
      <c r="CY55" s="416"/>
      <c r="CZ55" s="416"/>
      <c r="DA55" s="416"/>
      <c r="DB55" s="416"/>
      <c r="DC55" s="416"/>
      <c r="DD55" s="416"/>
      <c r="DE55" s="416"/>
      <c r="DF55" s="416"/>
      <c r="DG55" s="416"/>
      <c r="DH55" s="416"/>
      <c r="DI55" s="416"/>
      <c r="DJ55" s="416"/>
      <c r="DK55" s="416"/>
      <c r="DL55" s="416"/>
      <c r="DM55" s="416"/>
      <c r="DN55" s="416"/>
      <c r="DO55" s="416"/>
      <c r="DP55" s="416"/>
      <c r="DQ55" s="416"/>
      <c r="DR55" s="416"/>
      <c r="DS55" s="416"/>
      <c r="DT55" s="416"/>
      <c r="DU55" s="416"/>
      <c r="DW55" s="336">
        <f t="shared" si="81"/>
        <v>0</v>
      </c>
      <c r="DX55" s="336">
        <f t="shared" si="0"/>
        <v>62</v>
      </c>
      <c r="DY55" s="336">
        <f t="shared" si="1"/>
        <v>0</v>
      </c>
      <c r="DZ55" s="336">
        <f t="shared" si="2"/>
        <v>0</v>
      </c>
      <c r="EA55" s="336">
        <f t="shared" si="3"/>
        <v>62</v>
      </c>
      <c r="EB55" s="336">
        <f t="shared" si="4"/>
        <v>62</v>
      </c>
      <c r="EC55" s="336">
        <f t="shared" si="5"/>
        <v>0</v>
      </c>
      <c r="ED55" s="336">
        <f t="shared" si="6"/>
        <v>0</v>
      </c>
      <c r="EE55" s="336">
        <f t="shared" si="7"/>
        <v>0</v>
      </c>
      <c r="EF55" s="336">
        <f t="shared" si="8"/>
        <v>62</v>
      </c>
      <c r="EG55" s="336">
        <f t="shared" si="9"/>
        <v>0</v>
      </c>
      <c r="EH55" s="336">
        <f t="shared" si="10"/>
        <v>0</v>
      </c>
      <c r="EI55" s="336">
        <f t="shared" si="11"/>
        <v>0</v>
      </c>
      <c r="EJ55" s="336">
        <f t="shared" si="12"/>
        <v>0</v>
      </c>
      <c r="EK55" s="336">
        <f t="shared" si="13"/>
        <v>0</v>
      </c>
      <c r="EL55" s="336">
        <f t="shared" si="14"/>
        <v>0</v>
      </c>
      <c r="EM55" s="336">
        <f t="shared" si="15"/>
        <v>0</v>
      </c>
      <c r="EN55" s="336">
        <f t="shared" si="16"/>
        <v>62</v>
      </c>
      <c r="EO55" s="336">
        <f t="shared" si="17"/>
        <v>62</v>
      </c>
      <c r="EP55" s="336">
        <f t="shared" si="18"/>
        <v>0</v>
      </c>
      <c r="EQ55" s="336">
        <f t="shared" si="19"/>
        <v>0</v>
      </c>
      <c r="ER55" s="336">
        <f t="shared" si="20"/>
        <v>62</v>
      </c>
      <c r="ES55" s="336">
        <f t="shared" si="21"/>
        <v>0</v>
      </c>
      <c r="ET55" s="336">
        <f t="shared" si="22"/>
        <v>0</v>
      </c>
      <c r="EU55" s="336">
        <f t="shared" si="23"/>
        <v>62</v>
      </c>
      <c r="EV55" s="336">
        <f t="shared" si="24"/>
        <v>0</v>
      </c>
      <c r="EW55" s="336">
        <f t="shared" si="25"/>
        <v>0</v>
      </c>
      <c r="EX55" s="336">
        <f t="shared" si="26"/>
        <v>0</v>
      </c>
      <c r="EY55" s="336">
        <f t="shared" si="27"/>
        <v>0</v>
      </c>
      <c r="EZ55" s="336">
        <f t="shared" si="28"/>
        <v>0</v>
      </c>
      <c r="FA55" s="336">
        <f t="shared" si="29"/>
        <v>0</v>
      </c>
      <c r="FB55" s="336">
        <f t="shared" si="30"/>
        <v>0</v>
      </c>
      <c r="FC55" s="336">
        <f t="shared" si="31"/>
        <v>0</v>
      </c>
      <c r="FD55" s="336">
        <f t="shared" si="32"/>
        <v>0</v>
      </c>
      <c r="FE55" s="336">
        <f t="shared" si="33"/>
        <v>0</v>
      </c>
      <c r="FF55" s="336">
        <f t="shared" si="34"/>
        <v>0</v>
      </c>
      <c r="FG55" s="336">
        <f t="shared" si="35"/>
        <v>0</v>
      </c>
      <c r="FH55" s="336">
        <f t="shared" si="36"/>
        <v>0</v>
      </c>
      <c r="FI55" s="336">
        <f t="shared" si="37"/>
        <v>0</v>
      </c>
      <c r="FJ55" s="336">
        <f t="shared" si="38"/>
        <v>0</v>
      </c>
      <c r="FK55" s="336">
        <f t="shared" si="39"/>
        <v>0</v>
      </c>
      <c r="FL55" s="336">
        <f t="shared" si="40"/>
        <v>0</v>
      </c>
      <c r="FM55" s="336">
        <f t="shared" si="41"/>
        <v>0</v>
      </c>
      <c r="FN55" s="336">
        <f t="shared" si="42"/>
        <v>0</v>
      </c>
      <c r="FO55" s="336">
        <f t="shared" si="43"/>
        <v>0</v>
      </c>
      <c r="FP55" s="336">
        <f t="shared" si="44"/>
        <v>0</v>
      </c>
      <c r="FQ55" s="336">
        <f t="shared" si="45"/>
        <v>0</v>
      </c>
      <c r="FR55" s="336">
        <f t="shared" si="46"/>
        <v>0</v>
      </c>
      <c r="FS55" s="336">
        <f t="shared" si="47"/>
        <v>0</v>
      </c>
      <c r="FT55" s="336">
        <f t="shared" si="48"/>
        <v>0</v>
      </c>
      <c r="FU55" s="336">
        <f t="shared" si="1216"/>
        <v>0</v>
      </c>
      <c r="FV55" s="336">
        <f t="shared" si="1217"/>
        <v>0</v>
      </c>
      <c r="FW55" s="336">
        <f t="shared" si="1218"/>
        <v>0</v>
      </c>
      <c r="FX55" s="336">
        <f t="shared" si="1219"/>
        <v>0</v>
      </c>
      <c r="FY55" s="336">
        <f t="shared" si="53"/>
        <v>0</v>
      </c>
      <c r="FZ55" s="336">
        <f t="shared" si="54"/>
        <v>0</v>
      </c>
      <c r="GA55" s="336">
        <f t="shared" si="55"/>
        <v>0</v>
      </c>
      <c r="GB55" s="336">
        <f t="shared" si="56"/>
        <v>0</v>
      </c>
      <c r="GC55" s="336">
        <f t="shared" si="57"/>
        <v>0</v>
      </c>
      <c r="GD55" s="336">
        <f t="shared" si="58"/>
        <v>0</v>
      </c>
      <c r="GE55" s="336">
        <f t="shared" si="59"/>
        <v>0</v>
      </c>
      <c r="GF55" s="336">
        <f t="shared" si="60"/>
        <v>0</v>
      </c>
      <c r="GG55" s="336">
        <f t="shared" si="61"/>
        <v>0</v>
      </c>
      <c r="GH55" s="336">
        <f t="shared" si="62"/>
        <v>0</v>
      </c>
      <c r="GI55" s="336">
        <f t="shared" si="63"/>
        <v>0</v>
      </c>
      <c r="GJ55" s="336">
        <f t="shared" si="64"/>
        <v>0</v>
      </c>
      <c r="GK55" s="336">
        <f t="shared" si="1215"/>
        <v>0</v>
      </c>
      <c r="GL55" s="336">
        <f t="shared" si="1148"/>
        <v>0</v>
      </c>
      <c r="GM55" s="336">
        <f t="shared" si="66"/>
        <v>0</v>
      </c>
    </row>
    <row r="56" spans="1:195" ht="25.5" customHeight="1">
      <c r="A56" s="388">
        <f t="shared" si="1250"/>
        <v>43</v>
      </c>
      <c r="B56" s="338" t="s">
        <v>428</v>
      </c>
      <c r="C56" s="388" t="s">
        <v>343</v>
      </c>
      <c r="D56" s="441" t="s">
        <v>429</v>
      </c>
      <c r="E56" s="432" t="s">
        <v>430</v>
      </c>
      <c r="F56" s="433" t="s">
        <v>28</v>
      </c>
      <c r="G56" s="390" t="s">
        <v>329</v>
      </c>
      <c r="H56" s="418">
        <v>1600</v>
      </c>
      <c r="I56" s="388" t="s">
        <v>414</v>
      </c>
      <c r="J56" s="388" t="s">
        <v>331</v>
      </c>
      <c r="K56" s="391">
        <v>11000</v>
      </c>
      <c r="L56" s="392">
        <v>0.84920557345737013</v>
      </c>
      <c r="M56" s="392">
        <v>0.95</v>
      </c>
      <c r="N56" s="392">
        <f t="shared" ref="N56" si="1254">IF(I56="kVA",IF(J56="3Ph",(H56*1000/(1.732*M56*K56)),(H56*1000/(M56*K56))),IF(I56="kW",IF(J56="3Ph",(H56*1000/(1.732*M56*K56*L56)),(H56*1000/(M56*K56*L56)))))</f>
        <v>88.400720465871785</v>
      </c>
      <c r="O56" s="392">
        <f t="shared" ref="O56" si="1255">IF(G56="MOTOR",(6*N56),IF(G56="VFD",(1*N56),0))</f>
        <v>0</v>
      </c>
      <c r="P56" s="401" t="str">
        <f t="shared" ref="P56" si="1256">IF(G56="MOTOR",0.2,"0.00")</f>
        <v>0.00</v>
      </c>
      <c r="Q56" s="392">
        <v>31.5</v>
      </c>
      <c r="R56" s="392">
        <v>0.16</v>
      </c>
      <c r="S56" s="392">
        <f t="shared" si="1232"/>
        <v>134.04255319148936</v>
      </c>
      <c r="T56" s="393" t="s">
        <v>131</v>
      </c>
      <c r="U56" s="392" t="s">
        <v>333</v>
      </c>
      <c r="V56" s="393">
        <v>150</v>
      </c>
      <c r="W56" s="401" t="str">
        <f t="shared" ref="W56" si="1257">CONCATENATE(U56," X ",V56)</f>
        <v>3C X 150</v>
      </c>
      <c r="X56" s="401" t="str">
        <f t="shared" si="1233"/>
        <v>3C X 150</v>
      </c>
      <c r="Y56" s="443" t="s">
        <v>346</v>
      </c>
      <c r="Z56" s="393">
        <f>IF(T56="AIR",VLOOKUP(W56,'Catalogue Aluminium'!$B$141:$G$173,2,FALSE),IF(T56="GROUND",VLOOKUP(W56,'Catalogue Aluminium'!$B$141:$G$173,3,FALSE),IF(T56="DUCT",VLOOKUP(W56,'Catalogue Aluminium'!$B$141:$G$173,4,FALSE),IF(T56="TRENCH",VLOOKUP(W56,'Catalogue Aluminium'!$B$141:$G$173,2,FALSE)))))</f>
        <v>309</v>
      </c>
      <c r="AA56" s="402">
        <f>VLOOKUP(W56,'Catalogue Aluminium'!$B$141:$G$173,5,FALSE)</f>
        <v>0.26500000000000001</v>
      </c>
      <c r="AB56" s="402">
        <f>VLOOKUP(W56,'Catalogue Aluminium'!$B$141:$G$173,6,FALSE)</f>
        <v>9.2999999999999999E-2</v>
      </c>
      <c r="AC56" s="434">
        <f t="shared" ref="AC56" si="1258">37+30</f>
        <v>67</v>
      </c>
      <c r="AD56" s="854">
        <f>45+50+5</f>
        <v>100</v>
      </c>
      <c r="AE56" s="401">
        <f t="shared" ref="AE56" si="1259">11+8+3</f>
        <v>22</v>
      </c>
      <c r="AF56" s="401">
        <f t="shared" ref="AF56" si="1260">5+5</f>
        <v>10</v>
      </c>
      <c r="AG56" s="401">
        <f t="shared" ref="AG56" si="1261">ROUNDUP(SUM(AC56:AF56)*0.1,0)</f>
        <v>20</v>
      </c>
      <c r="AH56" s="436">
        <f t="shared" si="1236"/>
        <v>220</v>
      </c>
      <c r="AI56" s="393">
        <f>IF(T56="AIR",'Catalogue Aluminium'!$K$141,IF(T56="TRENCH",'Catalogue Aluminium'!$K$144,"NA"))</f>
        <v>0.82</v>
      </c>
      <c r="AJ56" s="392">
        <f>IF(T56="Air",(IF(U56="1C",'Catalogue Aluminium'!$L$141,'Catalogue Aluminium'!$M$141)),IF(T56="DUCT",(IF($U56="1C",'Catalogue Aluminium'!$L$142,'Catalogue Aluminium'!$M$142)),IF(T56="GROUND",(IF($U56="1C",'Catalogue Aluminium'!$L$143,'Catalogue Aluminium'!$M$143)),IF(T56="TRENCH",(IF($U56="1C",'Catalogue Aluminium'!$L$144,'Catalogue Aluminium'!$M$144))))))</f>
        <v>0.73</v>
      </c>
      <c r="AK56" s="393" t="str">
        <f>IF(T56="Air",'Catalogue Aluminium'!$N$141,IF(T56="GROUND",'Catalogue Aluminium'!$N$142,IF(T56="DUCT",'Catalogue Aluminium'!$N$143,IF(T56="TRENCH",'Catalogue Aluminium'!$N$144,"NA"))))</f>
        <v>NA</v>
      </c>
      <c r="AL56" s="393" t="str">
        <f>IF(T56="Air",(IF(U56="1C",'Catalogue Aluminium'!$O$141,'Catalogue Aluminium'!$P$141)),IF(T56="DUCT",(IF($U56="1C",'Catalogue Aluminium'!$O$142,'Catalogue Aluminium'!$P$142)),IF(T56="GROUND",(IF($U56="1C",'Catalogue Aluminium'!$O$143,'Catalogue Aluminium'!$P$143)),IF(T56="TRENCH",(IF($U56="1C",'Catalogue Aluminium'!$O$144,'Catalogue Aluminium'!$P$144))))))</f>
        <v>NA</v>
      </c>
      <c r="AM56" s="393" t="str">
        <f>IF(T56="AIR","NA",IF(T56="TRENCH","NA",IF(T56="DUCT",IF(U56="1C",VLOOKUP(V56,'Catalogue Aluminium'!$Q$142:$S$153,2,FALSE),VLOOKUP(V56,'Catalogue Aluminium'!$Q$142:$S$153,3)),IF(T56="GROUND",IF(U56="1C",VLOOKUP(V56,'Catalogue Aluminium'!$Q$142:$S$153,2,FALSE),VLOOKUP(V56,'Catalogue Aluminium'!$Q$142:$S$153,3))))))</f>
        <v>NA</v>
      </c>
      <c r="AN56" s="404">
        <f t="shared" ref="AN56" si="1262">IF(T56="AIR",AI56*AJ56,IF(T56="TRENCH",AI56*AJ56,IF(T56="DUCT",AJ56*AK56*AL56*AM56,IF(T56="GROUND",AJ56*AK56*AL56*AM56))))</f>
        <v>0.59859999999999991</v>
      </c>
      <c r="AO56" s="392">
        <f t="shared" ref="AO56" si="1263">Z56*AN56</f>
        <v>184.96739999999997</v>
      </c>
      <c r="AP56" s="434">
        <f t="shared" ref="AP56" si="1264">CEILING(((N56)/AO56),1)</f>
        <v>1</v>
      </c>
      <c r="AQ56" s="418" t="str">
        <f t="shared" ref="AQ56" si="1265">IF(AO56*AP56&gt;=N56,"YES","NO")</f>
        <v>YES</v>
      </c>
      <c r="AR56" s="437">
        <f t="shared" ref="AR56" si="1266">SQRT(3)*AH56*N56*((AA56*L56)+(AB56*SIN(ACOS(L56))))*100/(AP56*K56*1000)</f>
        <v>8.3952481333573512E-2</v>
      </c>
      <c r="AS56" s="401" t="str">
        <f t="shared" si="89"/>
        <v>YES</v>
      </c>
      <c r="AT56" s="437" t="str">
        <f t="shared" si="1242"/>
        <v>NA</v>
      </c>
      <c r="AU56" s="401" t="str">
        <f t="shared" si="1243"/>
        <v>NA</v>
      </c>
      <c r="AV56" s="437" t="str">
        <f t="shared" si="1244"/>
        <v>1R x 6/10 (12)kV x 3C x 150 Sqmm</v>
      </c>
      <c r="AW56" s="437" t="str">
        <f t="shared" si="1245"/>
        <v>1R x 6/10 (12)kV x 3C x 150 Sqmm</v>
      </c>
      <c r="AX56" s="401">
        <f t="shared" si="1246"/>
        <v>220</v>
      </c>
      <c r="AY56" s="401"/>
      <c r="AZ56" s="401">
        <f t="shared" si="1247"/>
        <v>2</v>
      </c>
      <c r="BA56" s="438" t="str">
        <f t="shared" si="1248"/>
        <v>AC</v>
      </c>
      <c r="BB56" s="390">
        <f>VLOOKUP(W56,'Catalogue Aluminium'!$B$141:$H$173,7,FALSE)</f>
        <v>62</v>
      </c>
      <c r="BC56" s="439">
        <f t="shared" si="1249"/>
        <v>62</v>
      </c>
      <c r="BE56" s="344"/>
      <c r="BF56" s="344">
        <v>1</v>
      </c>
      <c r="BG56" s="344"/>
      <c r="BH56" s="344"/>
      <c r="BI56" s="344">
        <v>1</v>
      </c>
      <c r="BJ56" s="344"/>
      <c r="BK56" s="344"/>
      <c r="BL56" s="344"/>
      <c r="BM56" s="344"/>
      <c r="BN56" s="344"/>
      <c r="BO56" s="344"/>
      <c r="BP56" s="344"/>
      <c r="BQ56" s="344"/>
      <c r="BR56" s="344"/>
      <c r="BS56" s="344"/>
      <c r="BT56" s="344"/>
      <c r="BU56" s="344"/>
      <c r="BV56" s="344"/>
      <c r="BW56" s="344"/>
      <c r="BX56" s="344"/>
      <c r="BY56" s="344"/>
      <c r="BZ56" s="344"/>
      <c r="CA56" s="344"/>
      <c r="CB56" s="344"/>
      <c r="CC56" s="344"/>
      <c r="CD56" s="344"/>
      <c r="CE56" s="344"/>
      <c r="CF56" s="416"/>
      <c r="CG56" s="416"/>
      <c r="CH56" s="416"/>
      <c r="CI56" s="416"/>
      <c r="CJ56" s="416"/>
      <c r="CK56" s="416"/>
      <c r="CL56" s="416"/>
      <c r="CM56" s="416"/>
      <c r="CN56" s="416"/>
      <c r="CO56" s="416"/>
      <c r="CP56" s="416"/>
      <c r="CQ56" s="416"/>
      <c r="CR56" s="416"/>
      <c r="CS56" s="416"/>
      <c r="CT56" s="416"/>
      <c r="CU56" s="416"/>
      <c r="CV56" s="416"/>
      <c r="CW56" s="416"/>
      <c r="CX56" s="416"/>
      <c r="CY56" s="416"/>
      <c r="CZ56" s="416"/>
      <c r="DA56" s="416"/>
      <c r="DB56" s="416"/>
      <c r="DC56" s="416"/>
      <c r="DD56" s="416"/>
      <c r="DE56" s="416"/>
      <c r="DF56" s="416"/>
      <c r="DG56" s="416"/>
      <c r="DH56" s="416"/>
      <c r="DI56" s="416"/>
      <c r="DJ56" s="416"/>
      <c r="DK56" s="416"/>
      <c r="DL56" s="416"/>
      <c r="DM56" s="416"/>
      <c r="DN56" s="416"/>
      <c r="DO56" s="416"/>
      <c r="DP56" s="416"/>
      <c r="DQ56" s="416"/>
      <c r="DR56" s="416"/>
      <c r="DS56" s="416"/>
      <c r="DT56" s="416"/>
      <c r="DU56" s="416"/>
      <c r="DW56" s="336">
        <f t="shared" si="81"/>
        <v>0</v>
      </c>
      <c r="DX56" s="336">
        <f t="shared" si="0"/>
        <v>62</v>
      </c>
      <c r="DY56" s="336">
        <f t="shared" si="1"/>
        <v>0</v>
      </c>
      <c r="DZ56" s="336">
        <f t="shared" si="2"/>
        <v>0</v>
      </c>
      <c r="EA56" s="336">
        <f t="shared" si="3"/>
        <v>62</v>
      </c>
      <c r="EB56" s="336">
        <f t="shared" si="4"/>
        <v>0</v>
      </c>
      <c r="EC56" s="336">
        <f t="shared" si="5"/>
        <v>0</v>
      </c>
      <c r="ED56" s="336">
        <f t="shared" si="6"/>
        <v>0</v>
      </c>
      <c r="EE56" s="336">
        <f t="shared" si="7"/>
        <v>0</v>
      </c>
      <c r="EF56" s="336">
        <f t="shared" si="8"/>
        <v>0</v>
      </c>
      <c r="EG56" s="336">
        <f t="shared" si="9"/>
        <v>0</v>
      </c>
      <c r="EH56" s="336">
        <f t="shared" si="10"/>
        <v>0</v>
      </c>
      <c r="EI56" s="336">
        <f t="shared" si="11"/>
        <v>0</v>
      </c>
      <c r="EJ56" s="336">
        <f t="shared" si="12"/>
        <v>0</v>
      </c>
      <c r="EK56" s="336">
        <f t="shared" si="13"/>
        <v>0</v>
      </c>
      <c r="EL56" s="336">
        <f t="shared" si="14"/>
        <v>0</v>
      </c>
      <c r="EM56" s="336">
        <f t="shared" si="15"/>
        <v>0</v>
      </c>
      <c r="EN56" s="336">
        <f t="shared" si="16"/>
        <v>0</v>
      </c>
      <c r="EO56" s="336">
        <f t="shared" si="17"/>
        <v>0</v>
      </c>
      <c r="EP56" s="336">
        <f t="shared" si="18"/>
        <v>0</v>
      </c>
      <c r="EQ56" s="336">
        <f t="shared" si="19"/>
        <v>0</v>
      </c>
      <c r="ER56" s="336">
        <f t="shared" si="20"/>
        <v>0</v>
      </c>
      <c r="ES56" s="336">
        <f t="shared" si="21"/>
        <v>0</v>
      </c>
      <c r="ET56" s="336">
        <f t="shared" si="22"/>
        <v>0</v>
      </c>
      <c r="EU56" s="336">
        <f t="shared" si="23"/>
        <v>0</v>
      </c>
      <c r="EV56" s="336">
        <f t="shared" si="24"/>
        <v>0</v>
      </c>
      <c r="EW56" s="336">
        <f t="shared" si="25"/>
        <v>0</v>
      </c>
      <c r="EX56" s="336">
        <f t="shared" si="26"/>
        <v>0</v>
      </c>
      <c r="EY56" s="336">
        <f t="shared" si="27"/>
        <v>0</v>
      </c>
      <c r="EZ56" s="336">
        <f t="shared" si="28"/>
        <v>0</v>
      </c>
      <c r="FA56" s="336">
        <f t="shared" si="29"/>
        <v>0</v>
      </c>
      <c r="FB56" s="336">
        <f t="shared" si="30"/>
        <v>0</v>
      </c>
      <c r="FC56" s="336">
        <f t="shared" si="31"/>
        <v>0</v>
      </c>
      <c r="FD56" s="336">
        <f t="shared" si="32"/>
        <v>0</v>
      </c>
      <c r="FE56" s="336">
        <f t="shared" si="33"/>
        <v>0</v>
      </c>
      <c r="FF56" s="336">
        <f t="shared" si="34"/>
        <v>0</v>
      </c>
      <c r="FG56" s="336">
        <f t="shared" si="35"/>
        <v>0</v>
      </c>
      <c r="FH56" s="336">
        <f t="shared" si="36"/>
        <v>0</v>
      </c>
      <c r="FI56" s="336">
        <f t="shared" si="37"/>
        <v>0</v>
      </c>
      <c r="FJ56" s="336">
        <f t="shared" si="38"/>
        <v>0</v>
      </c>
      <c r="FK56" s="336">
        <f t="shared" si="39"/>
        <v>0</v>
      </c>
      <c r="FL56" s="336">
        <f t="shared" si="40"/>
        <v>0</v>
      </c>
      <c r="FM56" s="336">
        <f t="shared" si="41"/>
        <v>0</v>
      </c>
      <c r="FN56" s="336">
        <f t="shared" si="42"/>
        <v>0</v>
      </c>
      <c r="FO56" s="336">
        <f t="shared" si="43"/>
        <v>0</v>
      </c>
      <c r="FP56" s="336">
        <f t="shared" si="44"/>
        <v>0</v>
      </c>
      <c r="FQ56" s="336">
        <f t="shared" si="45"/>
        <v>0</v>
      </c>
      <c r="FR56" s="336">
        <f t="shared" si="46"/>
        <v>0</v>
      </c>
      <c r="FS56" s="336">
        <f t="shared" si="47"/>
        <v>0</v>
      </c>
      <c r="FT56" s="336">
        <f t="shared" si="48"/>
        <v>0</v>
      </c>
      <c r="FU56" s="336">
        <f t="shared" si="1216"/>
        <v>0</v>
      </c>
      <c r="FV56" s="336">
        <f t="shared" si="1217"/>
        <v>0</v>
      </c>
      <c r="FW56" s="336">
        <f t="shared" si="1218"/>
        <v>0</v>
      </c>
      <c r="FX56" s="336">
        <f t="shared" si="1219"/>
        <v>0</v>
      </c>
      <c r="FY56" s="336">
        <f t="shared" si="53"/>
        <v>0</v>
      </c>
      <c r="FZ56" s="336">
        <f t="shared" si="54"/>
        <v>0</v>
      </c>
      <c r="GA56" s="336">
        <f t="shared" si="55"/>
        <v>0</v>
      </c>
      <c r="GB56" s="336">
        <f t="shared" si="56"/>
        <v>0</v>
      </c>
      <c r="GC56" s="336">
        <f t="shared" si="57"/>
        <v>0</v>
      </c>
      <c r="GD56" s="336">
        <f t="shared" si="58"/>
        <v>0</v>
      </c>
      <c r="GE56" s="336">
        <f t="shared" si="59"/>
        <v>0</v>
      </c>
      <c r="GF56" s="336">
        <f t="shared" si="60"/>
        <v>0</v>
      </c>
      <c r="GG56" s="336">
        <f t="shared" si="61"/>
        <v>0</v>
      </c>
      <c r="GH56" s="336">
        <f t="shared" si="62"/>
        <v>0</v>
      </c>
      <c r="GI56" s="336">
        <f t="shared" si="63"/>
        <v>0</v>
      </c>
      <c r="GJ56" s="336">
        <f t="shared" si="64"/>
        <v>0</v>
      </c>
      <c r="GK56" s="336">
        <f t="shared" si="1215"/>
        <v>0</v>
      </c>
      <c r="GL56" s="336">
        <f t="shared" si="1148"/>
        <v>0</v>
      </c>
      <c r="GM56" s="336">
        <f t="shared" si="66"/>
        <v>0</v>
      </c>
    </row>
    <row r="57" spans="1:195" ht="20.25" customHeight="1">
      <c r="A57" s="337">
        <f t="shared" si="1250"/>
        <v>44</v>
      </c>
      <c r="B57" s="372" t="s">
        <v>431</v>
      </c>
      <c r="C57" s="337" t="e">
        <f>#REF!</f>
        <v>#REF!</v>
      </c>
      <c r="D57" s="440" t="s">
        <v>432</v>
      </c>
      <c r="E57" s="416" t="s">
        <v>335</v>
      </c>
      <c r="F57" s="417" t="s">
        <v>28</v>
      </c>
      <c r="G57" s="340" t="s">
        <v>337</v>
      </c>
      <c r="H57" s="350">
        <v>40000</v>
      </c>
      <c r="I57" s="337" t="s">
        <v>414</v>
      </c>
      <c r="J57" s="337" t="s">
        <v>331</v>
      </c>
      <c r="K57" s="341">
        <v>11000</v>
      </c>
      <c r="L57" s="342">
        <v>0.88004393023541583</v>
      </c>
      <c r="M57" s="342">
        <v>0.958208333333333</v>
      </c>
      <c r="N57" s="342">
        <f t="shared" si="1251"/>
        <v>2191.0862575791166</v>
      </c>
      <c r="O57" s="926"/>
      <c r="P57" s="927"/>
      <c r="Q57" s="927"/>
      <c r="R57" s="927"/>
      <c r="S57" s="927"/>
      <c r="T57" s="927"/>
      <c r="U57" s="927"/>
      <c r="V57" s="927"/>
      <c r="W57" s="927"/>
      <c r="X57" s="927"/>
      <c r="Y57" s="927"/>
      <c r="Z57" s="927"/>
      <c r="AA57" s="927"/>
      <c r="AB57" s="927"/>
      <c r="AC57" s="927"/>
      <c r="AD57" s="927"/>
      <c r="AE57" s="927"/>
      <c r="AF57" s="927"/>
      <c r="AG57" s="927"/>
      <c r="AH57" s="927"/>
      <c r="AI57" s="927"/>
      <c r="AJ57" s="927"/>
      <c r="AK57" s="927"/>
      <c r="AL57" s="927"/>
      <c r="AM57" s="927"/>
      <c r="AN57" s="927"/>
      <c r="AO57" s="927"/>
      <c r="AP57" s="927"/>
      <c r="AQ57" s="927"/>
      <c r="AR57" s="927"/>
      <c r="AS57" s="927"/>
      <c r="AT57" s="927"/>
      <c r="AU57" s="927"/>
      <c r="AV57" s="927"/>
      <c r="AW57" s="927"/>
      <c r="AX57" s="927"/>
      <c r="AY57" s="927"/>
      <c r="AZ57" s="927"/>
      <c r="BA57" s="927"/>
      <c r="BB57" s="927"/>
      <c r="BC57" s="1020"/>
      <c r="BE57" s="416"/>
      <c r="BF57" s="416"/>
      <c r="BG57" s="416"/>
      <c r="BH57" s="416"/>
      <c r="BI57" s="416"/>
      <c r="BJ57" s="416"/>
      <c r="BK57" s="416"/>
      <c r="BL57" s="416"/>
      <c r="BM57" s="416"/>
      <c r="BN57" s="416"/>
      <c r="BO57" s="416"/>
      <c r="BP57" s="416"/>
      <c r="BQ57" s="416"/>
      <c r="BR57" s="416"/>
      <c r="BS57" s="416"/>
      <c r="BT57" s="416"/>
      <c r="BU57" s="416"/>
      <c r="BV57" s="416"/>
      <c r="BW57" s="416"/>
      <c r="BX57" s="416"/>
      <c r="BY57" s="416"/>
      <c r="BZ57" s="416"/>
      <c r="CA57" s="416"/>
      <c r="CB57" s="416"/>
      <c r="CC57" s="416"/>
      <c r="CD57" s="416"/>
      <c r="CE57" s="416"/>
      <c r="CF57" s="416"/>
      <c r="CG57" s="416"/>
      <c r="CH57" s="416"/>
      <c r="CI57" s="416"/>
      <c r="CJ57" s="416"/>
      <c r="CK57" s="416"/>
      <c r="CL57" s="416"/>
      <c r="CM57" s="416"/>
      <c r="CN57" s="416"/>
      <c r="CO57" s="416"/>
      <c r="CP57" s="416"/>
      <c r="CQ57" s="416"/>
      <c r="CR57" s="416"/>
      <c r="CS57" s="416"/>
      <c r="CT57" s="416"/>
      <c r="CU57" s="416"/>
      <c r="CV57" s="416"/>
      <c r="CW57" s="416"/>
      <c r="CX57" s="416"/>
      <c r="CY57" s="416"/>
      <c r="CZ57" s="416"/>
      <c r="DA57" s="416"/>
      <c r="DB57" s="416"/>
      <c r="DC57" s="416"/>
      <c r="DD57" s="416"/>
      <c r="DE57" s="416"/>
      <c r="DF57" s="416"/>
      <c r="DG57" s="416"/>
      <c r="DH57" s="416"/>
      <c r="DI57" s="416"/>
      <c r="DJ57" s="416"/>
      <c r="DK57" s="416"/>
      <c r="DL57" s="416"/>
      <c r="DM57" s="416"/>
      <c r="DN57" s="416"/>
      <c r="DO57" s="416"/>
      <c r="DP57" s="416"/>
      <c r="DQ57" s="416"/>
      <c r="DR57" s="416"/>
      <c r="DS57" s="416"/>
      <c r="DT57" s="416"/>
      <c r="DU57" s="416"/>
      <c r="DW57" s="336">
        <f t="shared" si="81"/>
        <v>0</v>
      </c>
      <c r="DX57" s="336">
        <f t="shared" si="0"/>
        <v>0</v>
      </c>
      <c r="DY57" s="336">
        <f t="shared" si="1"/>
        <v>0</v>
      </c>
      <c r="DZ57" s="336">
        <f t="shared" si="2"/>
        <v>0</v>
      </c>
      <c r="EA57" s="336">
        <f t="shared" si="3"/>
        <v>0</v>
      </c>
      <c r="EB57" s="336">
        <f t="shared" si="4"/>
        <v>0</v>
      </c>
      <c r="EC57" s="336">
        <f t="shared" si="5"/>
        <v>0</v>
      </c>
      <c r="ED57" s="336">
        <f t="shared" si="6"/>
        <v>0</v>
      </c>
      <c r="EE57" s="336">
        <f t="shared" si="7"/>
        <v>0</v>
      </c>
      <c r="EF57" s="336">
        <f t="shared" si="8"/>
        <v>0</v>
      </c>
      <c r="EG57" s="336">
        <f t="shared" si="9"/>
        <v>0</v>
      </c>
      <c r="EH57" s="336">
        <f t="shared" si="10"/>
        <v>0</v>
      </c>
      <c r="EI57" s="336">
        <f t="shared" si="11"/>
        <v>0</v>
      </c>
      <c r="EJ57" s="336">
        <f t="shared" si="12"/>
        <v>0</v>
      </c>
      <c r="EK57" s="336">
        <f t="shared" si="13"/>
        <v>0</v>
      </c>
      <c r="EL57" s="336">
        <f t="shared" si="14"/>
        <v>0</v>
      </c>
      <c r="EM57" s="336">
        <f t="shared" si="15"/>
        <v>0</v>
      </c>
      <c r="EN57" s="336">
        <f t="shared" si="16"/>
        <v>0</v>
      </c>
      <c r="EO57" s="336">
        <f t="shared" si="17"/>
        <v>0</v>
      </c>
      <c r="EP57" s="336">
        <f t="shared" si="18"/>
        <v>0</v>
      </c>
      <c r="EQ57" s="336">
        <f t="shared" si="19"/>
        <v>0</v>
      </c>
      <c r="ER57" s="336">
        <f t="shared" si="20"/>
        <v>0</v>
      </c>
      <c r="ES57" s="336">
        <f t="shared" si="21"/>
        <v>0</v>
      </c>
      <c r="ET57" s="336">
        <f t="shared" si="22"/>
        <v>0</v>
      </c>
      <c r="EU57" s="336">
        <f t="shared" si="23"/>
        <v>0</v>
      </c>
      <c r="EV57" s="336">
        <f t="shared" si="24"/>
        <v>0</v>
      </c>
      <c r="EW57" s="336">
        <f t="shared" si="25"/>
        <v>0</v>
      </c>
      <c r="EX57" s="336">
        <f t="shared" si="26"/>
        <v>0</v>
      </c>
      <c r="EY57" s="336">
        <f t="shared" si="27"/>
        <v>0</v>
      </c>
      <c r="EZ57" s="336">
        <f t="shared" si="28"/>
        <v>0</v>
      </c>
      <c r="FA57" s="336">
        <f t="shared" si="29"/>
        <v>0</v>
      </c>
      <c r="FB57" s="336">
        <f t="shared" si="30"/>
        <v>0</v>
      </c>
      <c r="FC57" s="336">
        <f t="shared" si="31"/>
        <v>0</v>
      </c>
      <c r="FD57" s="336">
        <f t="shared" si="32"/>
        <v>0</v>
      </c>
      <c r="FE57" s="336">
        <f t="shared" si="33"/>
        <v>0</v>
      </c>
      <c r="FF57" s="336">
        <f t="shared" si="34"/>
        <v>0</v>
      </c>
      <c r="FG57" s="336">
        <f t="shared" si="35"/>
        <v>0</v>
      </c>
      <c r="FH57" s="336">
        <f t="shared" si="36"/>
        <v>0</v>
      </c>
      <c r="FI57" s="336">
        <f t="shared" si="37"/>
        <v>0</v>
      </c>
      <c r="FJ57" s="336">
        <f t="shared" si="38"/>
        <v>0</v>
      </c>
      <c r="FK57" s="336">
        <f t="shared" si="39"/>
        <v>0</v>
      </c>
      <c r="FL57" s="336">
        <f t="shared" si="40"/>
        <v>0</v>
      </c>
      <c r="FM57" s="336">
        <f t="shared" si="41"/>
        <v>0</v>
      </c>
      <c r="FN57" s="336">
        <f t="shared" si="42"/>
        <v>0</v>
      </c>
      <c r="FO57" s="336">
        <f t="shared" si="43"/>
        <v>0</v>
      </c>
      <c r="FP57" s="336">
        <f t="shared" si="44"/>
        <v>0</v>
      </c>
      <c r="FQ57" s="336">
        <f t="shared" si="45"/>
        <v>0</v>
      </c>
      <c r="FR57" s="336">
        <f t="shared" si="46"/>
        <v>0</v>
      </c>
      <c r="FS57" s="336">
        <f t="shared" si="47"/>
        <v>0</v>
      </c>
      <c r="FT57" s="336">
        <f t="shared" si="48"/>
        <v>0</v>
      </c>
      <c r="FU57" s="336">
        <f t="shared" si="1216"/>
        <v>0</v>
      </c>
      <c r="FV57" s="336">
        <f t="shared" si="1217"/>
        <v>0</v>
      </c>
      <c r="FW57" s="336">
        <f t="shared" si="1218"/>
        <v>0</v>
      </c>
      <c r="FX57" s="336">
        <f t="shared" si="1219"/>
        <v>0</v>
      </c>
      <c r="FY57" s="336">
        <f t="shared" si="53"/>
        <v>0</v>
      </c>
      <c r="FZ57" s="336">
        <f t="shared" si="54"/>
        <v>0</v>
      </c>
      <c r="GA57" s="336">
        <f t="shared" si="55"/>
        <v>0</v>
      </c>
      <c r="GB57" s="336">
        <f t="shared" si="56"/>
        <v>0</v>
      </c>
      <c r="GC57" s="336">
        <f t="shared" si="57"/>
        <v>0</v>
      </c>
      <c r="GD57" s="336">
        <f t="shared" si="58"/>
        <v>0</v>
      </c>
      <c r="GE57" s="336">
        <f t="shared" si="59"/>
        <v>0</v>
      </c>
      <c r="GF57" s="336">
        <f t="shared" si="60"/>
        <v>0</v>
      </c>
      <c r="GG57" s="336">
        <f t="shared" si="61"/>
        <v>0</v>
      </c>
      <c r="GH57" s="336">
        <f t="shared" si="62"/>
        <v>0</v>
      </c>
      <c r="GI57" s="336">
        <f t="shared" si="63"/>
        <v>0</v>
      </c>
      <c r="GJ57" s="336">
        <f t="shared" si="64"/>
        <v>0</v>
      </c>
      <c r="GK57" s="336">
        <f t="shared" si="1215"/>
        <v>0</v>
      </c>
      <c r="GL57" s="336">
        <f t="shared" si="1148"/>
        <v>0</v>
      </c>
      <c r="GM57" s="336">
        <f t="shared" si="66"/>
        <v>0</v>
      </c>
    </row>
    <row r="58" spans="1:195" ht="26.25" customHeight="1">
      <c r="A58" s="337">
        <f t="shared" si="1250"/>
        <v>45</v>
      </c>
      <c r="B58" s="372" t="s">
        <v>328</v>
      </c>
      <c r="C58" s="337" t="str">
        <f t="shared" si="1230"/>
        <v>11kV MV Switchgear-1</v>
      </c>
      <c r="D58" s="440" t="s">
        <v>433</v>
      </c>
      <c r="E58" s="416" t="s">
        <v>335</v>
      </c>
      <c r="F58" s="417" t="s">
        <v>28</v>
      </c>
      <c r="G58" s="340" t="s">
        <v>329</v>
      </c>
      <c r="H58" s="350"/>
      <c r="I58" s="337" t="s">
        <v>330</v>
      </c>
      <c r="J58" s="337" t="s">
        <v>357</v>
      </c>
      <c r="K58" s="341">
        <v>11000</v>
      </c>
      <c r="L58" s="342">
        <v>0.85573287086927674</v>
      </c>
      <c r="M58" s="342">
        <v>0.94462500000000016</v>
      </c>
      <c r="N58" s="342">
        <v>400</v>
      </c>
      <c r="O58" s="342">
        <f t="shared" si="67"/>
        <v>0</v>
      </c>
      <c r="P58" s="343" t="str">
        <f t="shared" si="1231"/>
        <v>0.00</v>
      </c>
      <c r="Q58" s="342">
        <v>31.5</v>
      </c>
      <c r="R58" s="342">
        <v>1</v>
      </c>
      <c r="S58" s="342">
        <f t="shared" ref="S58" si="1267">(Q58*1000*SQRT(R58)/94)</f>
        <v>335.10638297872339</v>
      </c>
      <c r="T58" s="344" t="s">
        <v>131</v>
      </c>
      <c r="U58" s="342" t="s">
        <v>336</v>
      </c>
      <c r="V58" s="344">
        <v>400</v>
      </c>
      <c r="W58" s="343" t="str">
        <f t="shared" si="69"/>
        <v>1C X 400</v>
      </c>
      <c r="X58" s="343" t="str">
        <f t="shared" ref="X58" si="1268">(IF(J58="1Ph",W58,IF(J58="3Ph",(IF(G58="MOTOR",(CONCATENATE(W58,"+PE")),W58)))))</f>
        <v>1C X 400</v>
      </c>
      <c r="Y58" s="419" t="s">
        <v>346</v>
      </c>
      <c r="Z58" s="344">
        <f>IF(T58="AIR",VLOOKUP(W58,'Catalogue Aluminium'!$B$141:$G$173,2,FALSE),IF(T58="GROUND",VLOOKUP(W58,'Catalogue Aluminium'!$B$141:$G$173,3,FALSE),IF(T58="DUCT",VLOOKUP(W58,'Catalogue Aluminium'!$B$141:$G$173,4,FALSE),IF(T58="TRENCH",VLOOKUP(W58,'Catalogue Aluminium'!$B$141:$G$173,2,FALSE)))))</f>
        <v>673</v>
      </c>
      <c r="AA58" s="345">
        <f>VLOOKUP(W58,'Catalogue Aluminium'!$B$141:$G$173,5,FALSE)</f>
        <v>0.10199999999999999</v>
      </c>
      <c r="AB58" s="345">
        <f>VLOOKUP(W58,'Catalogue Aluminium'!$B$141:$G$173,6,FALSE)</f>
        <v>9.8000000000000004E-2</v>
      </c>
      <c r="AC58" s="343">
        <v>10</v>
      </c>
      <c r="AD58" s="346">
        <v>0</v>
      </c>
      <c r="AE58" s="346">
        <v>0</v>
      </c>
      <c r="AF58" s="343">
        <v>8</v>
      </c>
      <c r="AG58" s="343">
        <f>ROUNDUP(SUM(AC58:AF58)*0.1,0)</f>
        <v>2</v>
      </c>
      <c r="AH58" s="347">
        <f t="shared" si="1236"/>
        <v>20</v>
      </c>
      <c r="AI58" s="344">
        <f>IF(T58="AIR",'Catalogue Aluminium'!$K$141,IF(T58="TRENCH",'Catalogue Aluminium'!$K$144,"NA"))</f>
        <v>0.82</v>
      </c>
      <c r="AJ58" s="342">
        <f>IF(T58="Air",(IF(U58="1C",'Catalogue Aluminium'!$L$141,'Catalogue Aluminium'!$M$141)),IF(T58="DUCT",(IF($U58="1C",'Catalogue Aluminium'!$L$142,'Catalogue Aluminium'!$M$142)),IF(T58="GROUND",(IF($U58="1C",'Catalogue Aluminium'!$L$143,'Catalogue Aluminium'!$M$143)),IF(T58="TRENCH",(IF($U58="1C",'Catalogue Aluminium'!$L$144,'Catalogue Aluminium'!$M$144))))))</f>
        <v>0.9</v>
      </c>
      <c r="AK58" s="344" t="str">
        <f>IF(T58="Air",'Catalogue Aluminium'!$N$141,IF(T58="GROUND",'Catalogue Aluminium'!$N$142,IF(T58="DUCT",'Catalogue Aluminium'!$N$143,IF(T58="TRENCH",'Catalogue Aluminium'!$N$144,"NA"))))</f>
        <v>NA</v>
      </c>
      <c r="AL58" s="344" t="str">
        <f>IF(T58="Air",(IF(U58="1C",'Catalogue Aluminium'!$O$141,'Catalogue Aluminium'!$P$141)),IF(T58="DUCT",(IF($U58="1C",'Catalogue Aluminium'!$O$142,'Catalogue Aluminium'!$P$142)),IF(T58="GROUND",(IF($U58="1C",'Catalogue Aluminium'!$O$143,'Catalogue Aluminium'!$P$143)),IF(T58="TRENCH",(IF($U58="1C",'Catalogue Aluminium'!$O$144,'Catalogue Aluminium'!$P$144))))))</f>
        <v>NA</v>
      </c>
      <c r="AM58" s="344" t="str">
        <f>IF(T58="AIR","NA",IF(T58="TRENCH","NA",IF(T58="DUCT",IF(U58="1C",VLOOKUP(V58,'Catalogue Aluminium'!$Q$142:$S$153,2,FALSE),VLOOKUP(V58,'Catalogue Aluminium'!$Q$142:$S$153,3)),IF(T58="GROUND",IF(U58="1C",VLOOKUP(V58,'Catalogue Aluminium'!$Q$142:$S$153,2,FALSE),VLOOKUP(V58,'Catalogue Aluminium'!$Q$142:$S$153,3))))))</f>
        <v>NA</v>
      </c>
      <c r="AN58" s="348">
        <f>IF(T58="AIR",AI58*AJ58,IF(T58="TRENCH",AI58*AJ58,IF(T58="DUCT",AJ58*AK58*AL58*AM58,IF(T58="GROUND",AJ58*AK58*AL58*AM58))))</f>
        <v>0.73799999999999999</v>
      </c>
      <c r="AO58" s="342">
        <f>Z58*AN58</f>
        <v>496.67399999999998</v>
      </c>
      <c r="AP58" s="349">
        <f>CEILING(((N58)/AO58),1)</f>
        <v>1</v>
      </c>
      <c r="AQ58" s="350" t="str">
        <f>IF(AO58*AP58&gt;=N58,"YES","NO")</f>
        <v>YES</v>
      </c>
      <c r="AR58" s="351">
        <f>SQRT(3)*AH58*N58*((AA58*L58)+(AB58*SIN(ACOS(L58))))*100/(AP58*K58*1000)</f>
        <v>1.7382446745720214E-2</v>
      </c>
      <c r="AS58" s="343" t="str">
        <f>IF(G58="INCOMER",(IF(AR58&lt;=2,"YES","NO")),IF(G58="POWER",(IF(AR58&lt;=2.5,"YES","NO")),IF(G58="MOTOR",(IF(AR58&lt;=3,"YES","NO")))))</f>
        <v>YES</v>
      </c>
      <c r="AT58" s="351" t="str">
        <f>IF(G58="MOTOR",(SQRT(3)*AH58*O58*((AA58*P58)+(AB58*SIN(ACOS(P58))))*100/(AP58*K58*1000)),"NA")</f>
        <v>NA</v>
      </c>
      <c r="AU58" s="343" t="str">
        <f>IF(G58="MOTOR",IF(AT58&lt;=15,"YES","NO"),"NA")</f>
        <v>NA</v>
      </c>
      <c r="AV58" s="351" t="str">
        <f>IF(U58="1C",CONCATENATE(AP58,"R x ",Y58,"kV x ",U58," x ",V58," Sqmm/Phase"),CONCATENATE(AP58,"R x ","6/10 (12)kV x ",U58," x ",V58," Sqmm"))</f>
        <v>1R x 6/10(12)kV x 1C x 400 Sqmm/Phase</v>
      </c>
      <c r="AW58" s="351" t="str">
        <f>IF(U58="1C",CONCATENATE(AP58,"R x ",Y58,"kV x ",U58," x ",V58," Sqmm/Phase"),CONCATENATE(AP58,"R x ","6/10 (12)kV x ",U58," x ",V58," Sqmm"))</f>
        <v>1R x 6/10(12)kV x 1C x 400 Sqmm/Phase</v>
      </c>
      <c r="AX58" s="920">
        <v>50</v>
      </c>
      <c r="AY58" s="343"/>
      <c r="AZ58" s="343">
        <f>AP58*2</f>
        <v>2</v>
      </c>
      <c r="BA58" s="356" t="str">
        <f t="shared" ref="BA58" si="1269">CONCATENATE(IF(BE58=1,BE$4,""),IF(BF58=1,BF$4,""),IF(BG58=1,BG$4,""),IF(BH58=1,BH$4,""),IF(BI58=1,BI$4,""),IF(BJ58=1,BJ$4,""),IF(BK58=1,BK$4,""),IF(BL58=1,BL$4,""),IF(BM58=1,BM$4,""),IF(BN58=1,BN$4,""),IF(BO58=1,BO$4,""),IF(BP58=1,BP$4,""),IF(BQ58=1,BQ$4,""),IF(BR58=1,BR$4,""),IF(BS58=1,BS$4,""),IF(BT58=1,BT$4,""),IF(BU58=1,BU$4,""),IF(BV58=1,BV$4,""),IF(BW58=1,BW$4,""),IF(BX58=1,BX$4,""),IF(BY58=1,BY$4,""),IF(BZ58=1,BZ$4,""),IF(CA58=1,CA$4,""),IF(CB58=1,CB$4,""),IF(CC58=1,CC$4,""),IF(CD58=1,CD$4,""),IF(CE58=1,CE$4,""),IF(CF58=1,CF$4,""),IF(CG58=1,CG$4,""),IF(CH58=1,CH$4,""),IF(CI58=1,CI$4,""),IF(CJ58=1,CJ$4,""),IF(CK58=1,CK$4,""),IF(CL58=1,CL$4,""),IF(CM58=1,CM$4,""),IF(CN58=1,CN$4,""),IF(CO58=1,CO$4,""),IF(CP58=1,CP$4,""),IF(CQ58=1,CQ$4,""),IF(CR58=1,CR$4,""),IF(CS58=1,CS$4,""),IF(CT58=1,CT$4,""),IF(CU58=1,CU$4,""),IF(CV58=1,CV$4,""),IF(CW58=1,CW$4,""),IF(CX58=1,CX$4,""),IF(CY58=1,CY$4,""),IF(CZ58=1,CZ$4,""),IF(DA58=1,DA$4,""),IF(DB58=1,DB$4,""),IF(DC58=1,DC$4,""),IF(DD58=1,DD$4,""),IF(DE58=1,DE$4,""),IF(DF58=1,DF$4,""),IF(DG58=1,DG$4,""),IF(DH58=1,DH$4,""),IF(DI58=1,DI$4,""),IF(DJ58=1,DJ$4,""),IF(DK58=1,DK$4,""),IF(DL58=1,DL$4,""),IF(DM58=1,DM$4,""),IF(DN58=1,DN$4,""),IF(DO58=1,DO$4,""),IF(DP58=1,DP$4,""),IF(DQ58=1,DQ$4,""),IF(DR58=1,DR$4,""),IF(DS58=1,DS$4,""),IF(DT58=1,DT$4,""),IF(DU58=1,DU$4,""))</f>
        <v/>
      </c>
      <c r="BB58" s="340">
        <f>VLOOKUP(W58,'Catalogue Aluminium'!$B$141:$H$173,7,FALSE)</f>
        <v>42</v>
      </c>
      <c r="BC58" s="328">
        <f>AP58*BB58</f>
        <v>42</v>
      </c>
      <c r="BE58" s="416"/>
      <c r="BF58" s="416"/>
      <c r="BG58" s="416"/>
      <c r="BH58" s="416"/>
      <c r="BI58" s="416"/>
      <c r="BJ58" s="416"/>
      <c r="BK58" s="416"/>
      <c r="BL58" s="416"/>
      <c r="BM58" s="416"/>
      <c r="BN58" s="416"/>
      <c r="BO58" s="416"/>
      <c r="BP58" s="416"/>
      <c r="BQ58" s="416"/>
      <c r="BR58" s="416"/>
      <c r="BS58" s="416"/>
      <c r="BT58" s="416"/>
      <c r="BU58" s="416"/>
      <c r="BV58" s="416"/>
      <c r="BW58" s="416"/>
      <c r="BX58" s="416"/>
      <c r="BY58" s="416"/>
      <c r="BZ58" s="416"/>
      <c r="CA58" s="416"/>
      <c r="CB58" s="416"/>
      <c r="CC58" s="416"/>
      <c r="CD58" s="416"/>
      <c r="CE58" s="416"/>
      <c r="CF58" s="416"/>
      <c r="CG58" s="416"/>
      <c r="CH58" s="416"/>
      <c r="CI58" s="416"/>
      <c r="CJ58" s="416"/>
      <c r="CK58" s="416"/>
      <c r="CL58" s="416"/>
      <c r="CM58" s="416"/>
      <c r="CN58" s="416"/>
      <c r="CO58" s="416"/>
      <c r="CP58" s="416"/>
      <c r="CQ58" s="416"/>
      <c r="CR58" s="416"/>
      <c r="CS58" s="416"/>
      <c r="CT58" s="416"/>
      <c r="CU58" s="416"/>
      <c r="CV58" s="416"/>
      <c r="CW58" s="416"/>
      <c r="CX58" s="416"/>
      <c r="CY58" s="416"/>
      <c r="CZ58" s="416"/>
      <c r="DA58" s="416"/>
      <c r="DB58" s="416"/>
      <c r="DC58" s="416"/>
      <c r="DD58" s="416"/>
      <c r="DE58" s="416"/>
      <c r="DF58" s="416"/>
      <c r="DG58" s="416"/>
      <c r="DH58" s="416"/>
      <c r="DI58" s="416"/>
      <c r="DJ58" s="416"/>
      <c r="DK58" s="416"/>
      <c r="DL58" s="416"/>
      <c r="DM58" s="416"/>
      <c r="DN58" s="416"/>
      <c r="DO58" s="416"/>
      <c r="DP58" s="416"/>
      <c r="DQ58" s="416"/>
      <c r="DR58" s="416"/>
      <c r="DS58" s="416"/>
      <c r="DT58" s="416"/>
      <c r="DU58" s="416"/>
      <c r="DW58" s="336">
        <f t="shared" si="81"/>
        <v>0</v>
      </c>
      <c r="DX58" s="336">
        <f t="shared" si="0"/>
        <v>0</v>
      </c>
      <c r="DY58" s="336">
        <f t="shared" si="1"/>
        <v>0</v>
      </c>
      <c r="DZ58" s="336">
        <f t="shared" si="2"/>
        <v>0</v>
      </c>
      <c r="EA58" s="336">
        <f t="shared" si="3"/>
        <v>0</v>
      </c>
      <c r="EB58" s="336">
        <f t="shared" si="4"/>
        <v>0</v>
      </c>
      <c r="EC58" s="336">
        <f t="shared" si="5"/>
        <v>0</v>
      </c>
      <c r="ED58" s="336">
        <f t="shared" si="6"/>
        <v>0</v>
      </c>
      <c r="EE58" s="336">
        <f t="shared" si="7"/>
        <v>0</v>
      </c>
      <c r="EF58" s="336">
        <f t="shared" si="8"/>
        <v>0</v>
      </c>
      <c r="EG58" s="336">
        <f t="shared" si="9"/>
        <v>0</v>
      </c>
      <c r="EH58" s="336">
        <f t="shared" si="10"/>
        <v>0</v>
      </c>
      <c r="EI58" s="336">
        <f t="shared" si="11"/>
        <v>0</v>
      </c>
      <c r="EJ58" s="336">
        <f t="shared" si="12"/>
        <v>0</v>
      </c>
      <c r="EK58" s="336">
        <f t="shared" si="13"/>
        <v>0</v>
      </c>
      <c r="EL58" s="336">
        <f t="shared" si="14"/>
        <v>0</v>
      </c>
      <c r="EM58" s="336">
        <f t="shared" si="15"/>
        <v>0</v>
      </c>
      <c r="EN58" s="336">
        <f t="shared" si="16"/>
        <v>0</v>
      </c>
      <c r="EO58" s="336">
        <f t="shared" si="17"/>
        <v>0</v>
      </c>
      <c r="EP58" s="336">
        <f t="shared" si="18"/>
        <v>0</v>
      </c>
      <c r="EQ58" s="336">
        <f t="shared" si="19"/>
        <v>0</v>
      </c>
      <c r="ER58" s="336">
        <f t="shared" si="20"/>
        <v>0</v>
      </c>
      <c r="ES58" s="336">
        <f t="shared" si="21"/>
        <v>0</v>
      </c>
      <c r="ET58" s="336">
        <f t="shared" si="22"/>
        <v>0</v>
      </c>
      <c r="EU58" s="336">
        <f t="shared" si="23"/>
        <v>0</v>
      </c>
      <c r="EV58" s="336">
        <f t="shared" si="24"/>
        <v>0</v>
      </c>
      <c r="EW58" s="336">
        <f t="shared" si="25"/>
        <v>0</v>
      </c>
      <c r="EX58" s="336">
        <f t="shared" si="26"/>
        <v>0</v>
      </c>
      <c r="EY58" s="336">
        <f t="shared" si="27"/>
        <v>0</v>
      </c>
      <c r="EZ58" s="336">
        <f t="shared" si="28"/>
        <v>0</v>
      </c>
      <c r="FA58" s="336">
        <f t="shared" si="29"/>
        <v>0</v>
      </c>
      <c r="FB58" s="336">
        <f t="shared" si="30"/>
        <v>0</v>
      </c>
      <c r="FC58" s="336">
        <f t="shared" si="31"/>
        <v>0</v>
      </c>
      <c r="FD58" s="336">
        <f t="shared" si="32"/>
        <v>0</v>
      </c>
      <c r="FE58" s="336">
        <f t="shared" si="33"/>
        <v>0</v>
      </c>
      <c r="FF58" s="336">
        <f t="shared" si="34"/>
        <v>0</v>
      </c>
      <c r="FG58" s="336">
        <f t="shared" si="35"/>
        <v>0</v>
      </c>
      <c r="FH58" s="336">
        <f t="shared" si="36"/>
        <v>0</v>
      </c>
      <c r="FI58" s="336">
        <f t="shared" si="37"/>
        <v>0</v>
      </c>
      <c r="FJ58" s="336">
        <f t="shared" si="38"/>
        <v>0</v>
      </c>
      <c r="FK58" s="336">
        <f t="shared" si="39"/>
        <v>0</v>
      </c>
      <c r="FL58" s="336">
        <f t="shared" si="40"/>
        <v>0</v>
      </c>
      <c r="FM58" s="336">
        <f t="shared" si="41"/>
        <v>0</v>
      </c>
      <c r="FN58" s="336">
        <f t="shared" si="42"/>
        <v>0</v>
      </c>
      <c r="FO58" s="336">
        <f t="shared" si="43"/>
        <v>0</v>
      </c>
      <c r="FP58" s="336">
        <f t="shared" si="44"/>
        <v>0</v>
      </c>
      <c r="FQ58" s="336">
        <f t="shared" si="45"/>
        <v>0</v>
      </c>
      <c r="FR58" s="336">
        <f t="shared" si="46"/>
        <v>0</v>
      </c>
      <c r="FS58" s="336">
        <f t="shared" si="47"/>
        <v>0</v>
      </c>
      <c r="FT58" s="336">
        <f t="shared" si="48"/>
        <v>0</v>
      </c>
      <c r="FU58" s="336">
        <f t="shared" si="1216"/>
        <v>0</v>
      </c>
      <c r="FV58" s="336">
        <f t="shared" si="1217"/>
        <v>0</v>
      </c>
      <c r="FW58" s="336">
        <f t="shared" si="1218"/>
        <v>0</v>
      </c>
      <c r="FX58" s="336">
        <f t="shared" si="1219"/>
        <v>0</v>
      </c>
      <c r="FY58" s="336">
        <f t="shared" si="53"/>
        <v>0</v>
      </c>
      <c r="FZ58" s="336">
        <f t="shared" si="54"/>
        <v>0</v>
      </c>
      <c r="GA58" s="336">
        <f t="shared" si="55"/>
        <v>0</v>
      </c>
      <c r="GB58" s="336">
        <f t="shared" si="56"/>
        <v>0</v>
      </c>
      <c r="GC58" s="336">
        <f t="shared" si="57"/>
        <v>0</v>
      </c>
      <c r="GD58" s="336">
        <f t="shared" si="58"/>
        <v>0</v>
      </c>
      <c r="GE58" s="336">
        <f t="shared" si="59"/>
        <v>0</v>
      </c>
      <c r="GF58" s="336">
        <f t="shared" si="60"/>
        <v>0</v>
      </c>
      <c r="GG58" s="336">
        <f t="shared" si="61"/>
        <v>0</v>
      </c>
      <c r="GH58" s="336">
        <f t="shared" si="62"/>
        <v>0</v>
      </c>
      <c r="GI58" s="336">
        <f t="shared" si="63"/>
        <v>0</v>
      </c>
      <c r="GJ58" s="336">
        <f t="shared" si="64"/>
        <v>0</v>
      </c>
      <c r="GK58" s="336">
        <f t="shared" si="1215"/>
        <v>0</v>
      </c>
      <c r="GL58" s="336">
        <f t="shared" si="1148"/>
        <v>0</v>
      </c>
      <c r="GM58" s="336">
        <f t="shared" si="66"/>
        <v>0</v>
      </c>
    </row>
    <row r="59" spans="1:195" ht="20.25" customHeight="1">
      <c r="A59" s="337">
        <f t="shared" si="1250"/>
        <v>46</v>
      </c>
      <c r="B59" s="372" t="s">
        <v>431</v>
      </c>
      <c r="C59" s="337" t="e">
        <f>#REF!</f>
        <v>#REF!</v>
      </c>
      <c r="D59" s="440" t="s">
        <v>434</v>
      </c>
      <c r="E59" s="416" t="s">
        <v>335</v>
      </c>
      <c r="F59" s="417" t="s">
        <v>29</v>
      </c>
      <c r="G59" s="340" t="s">
        <v>337</v>
      </c>
      <c r="H59" s="350">
        <v>40000</v>
      </c>
      <c r="I59" s="337" t="s">
        <v>330</v>
      </c>
      <c r="J59" s="337" t="s">
        <v>331</v>
      </c>
      <c r="K59" s="341">
        <v>11000</v>
      </c>
      <c r="L59" s="342">
        <v>0.88004393023541583</v>
      </c>
      <c r="M59" s="342">
        <v>0.958208333333333</v>
      </c>
      <c r="N59" s="342">
        <f t="shared" si="1251"/>
        <v>2489.7464573080924</v>
      </c>
      <c r="O59" s="926"/>
      <c r="P59" s="927"/>
      <c r="Q59" s="927"/>
      <c r="R59" s="927"/>
      <c r="S59" s="927"/>
      <c r="T59" s="927"/>
      <c r="U59" s="927"/>
      <c r="V59" s="927"/>
      <c r="W59" s="927"/>
      <c r="X59" s="927"/>
      <c r="Y59" s="927"/>
      <c r="Z59" s="927"/>
      <c r="AA59" s="927"/>
      <c r="AB59" s="927"/>
      <c r="AC59" s="927"/>
      <c r="AD59" s="927"/>
      <c r="AE59" s="927"/>
      <c r="AF59" s="927"/>
      <c r="AG59" s="927"/>
      <c r="AH59" s="927"/>
      <c r="AI59" s="927"/>
      <c r="AJ59" s="927"/>
      <c r="AK59" s="927"/>
      <c r="AL59" s="927"/>
      <c r="AM59" s="927"/>
      <c r="AN59" s="927"/>
      <c r="AO59" s="927"/>
      <c r="AP59" s="927"/>
      <c r="AQ59" s="927"/>
      <c r="AR59" s="927"/>
      <c r="AS59" s="927"/>
      <c r="AT59" s="927"/>
      <c r="AU59" s="927"/>
      <c r="AV59" s="927"/>
      <c r="AW59" s="927"/>
      <c r="AX59" s="927"/>
      <c r="AY59" s="927"/>
      <c r="AZ59" s="927"/>
      <c r="BA59" s="927"/>
      <c r="BB59" s="927"/>
      <c r="BC59" s="1020"/>
      <c r="BE59" s="416"/>
      <c r="BF59" s="416"/>
      <c r="BG59" s="416"/>
      <c r="BH59" s="416"/>
      <c r="BI59" s="416"/>
      <c r="BJ59" s="416"/>
      <c r="BK59" s="416"/>
      <c r="BL59" s="416"/>
      <c r="BM59" s="416"/>
      <c r="BN59" s="416"/>
      <c r="BO59" s="416"/>
      <c r="BP59" s="416"/>
      <c r="BQ59" s="416"/>
      <c r="BR59" s="416"/>
      <c r="BS59" s="416"/>
      <c r="BT59" s="416"/>
      <c r="BU59" s="416"/>
      <c r="BV59" s="416"/>
      <c r="BW59" s="416"/>
      <c r="BX59" s="416"/>
      <c r="BY59" s="416"/>
      <c r="BZ59" s="416"/>
      <c r="CA59" s="416"/>
      <c r="CB59" s="416"/>
      <c r="CC59" s="416"/>
      <c r="CD59" s="416"/>
      <c r="CE59" s="416"/>
      <c r="CF59" s="416"/>
      <c r="CG59" s="416"/>
      <c r="CH59" s="416"/>
      <c r="CI59" s="416"/>
      <c r="CJ59" s="416"/>
      <c r="CK59" s="416"/>
      <c r="CL59" s="416"/>
      <c r="CM59" s="416"/>
      <c r="CN59" s="416"/>
      <c r="CO59" s="416"/>
      <c r="CP59" s="416"/>
      <c r="CQ59" s="416"/>
      <c r="CR59" s="416"/>
      <c r="CS59" s="416"/>
      <c r="CT59" s="416"/>
      <c r="CU59" s="416"/>
      <c r="CV59" s="416"/>
      <c r="CW59" s="416"/>
      <c r="CX59" s="416"/>
      <c r="CY59" s="416"/>
      <c r="CZ59" s="416"/>
      <c r="DA59" s="416"/>
      <c r="DB59" s="416"/>
      <c r="DC59" s="416"/>
      <c r="DD59" s="416"/>
      <c r="DE59" s="416"/>
      <c r="DF59" s="416"/>
      <c r="DG59" s="416"/>
      <c r="DH59" s="416"/>
      <c r="DI59" s="416"/>
      <c r="DJ59" s="416"/>
      <c r="DK59" s="416"/>
      <c r="DL59" s="416"/>
      <c r="DM59" s="416"/>
      <c r="DN59" s="416"/>
      <c r="DO59" s="416"/>
      <c r="DP59" s="416"/>
      <c r="DQ59" s="416"/>
      <c r="DR59" s="416"/>
      <c r="DS59" s="416"/>
      <c r="DT59" s="416"/>
      <c r="DU59" s="416"/>
      <c r="DW59" s="336">
        <f t="shared" si="81"/>
        <v>0</v>
      </c>
      <c r="DX59" s="336">
        <f t="shared" si="0"/>
        <v>0</v>
      </c>
      <c r="DY59" s="336">
        <f t="shared" si="1"/>
        <v>0</v>
      </c>
      <c r="DZ59" s="336">
        <f t="shared" si="2"/>
        <v>0</v>
      </c>
      <c r="EA59" s="336">
        <f t="shared" si="3"/>
        <v>0</v>
      </c>
      <c r="EB59" s="336">
        <f t="shared" si="4"/>
        <v>0</v>
      </c>
      <c r="EC59" s="336">
        <f t="shared" si="5"/>
        <v>0</v>
      </c>
      <c r="ED59" s="336">
        <f t="shared" si="6"/>
        <v>0</v>
      </c>
      <c r="EE59" s="336">
        <f t="shared" si="7"/>
        <v>0</v>
      </c>
      <c r="EF59" s="336">
        <f t="shared" si="8"/>
        <v>0</v>
      </c>
      <c r="EG59" s="336">
        <f t="shared" si="9"/>
        <v>0</v>
      </c>
      <c r="EH59" s="336">
        <f t="shared" si="10"/>
        <v>0</v>
      </c>
      <c r="EI59" s="336">
        <f t="shared" si="11"/>
        <v>0</v>
      </c>
      <c r="EJ59" s="336">
        <f t="shared" si="12"/>
        <v>0</v>
      </c>
      <c r="EK59" s="336">
        <f t="shared" si="13"/>
        <v>0</v>
      </c>
      <c r="EL59" s="336">
        <f t="shared" si="14"/>
        <v>0</v>
      </c>
      <c r="EM59" s="336">
        <f t="shared" si="15"/>
        <v>0</v>
      </c>
      <c r="EN59" s="336">
        <f t="shared" si="16"/>
        <v>0</v>
      </c>
      <c r="EO59" s="336">
        <f t="shared" si="17"/>
        <v>0</v>
      </c>
      <c r="EP59" s="336">
        <f t="shared" si="18"/>
        <v>0</v>
      </c>
      <c r="EQ59" s="336">
        <f t="shared" si="19"/>
        <v>0</v>
      </c>
      <c r="ER59" s="336">
        <f t="shared" si="20"/>
        <v>0</v>
      </c>
      <c r="ES59" s="336">
        <f t="shared" si="21"/>
        <v>0</v>
      </c>
      <c r="ET59" s="336">
        <f t="shared" si="22"/>
        <v>0</v>
      </c>
      <c r="EU59" s="336">
        <f t="shared" si="23"/>
        <v>0</v>
      </c>
      <c r="EV59" s="336">
        <f t="shared" si="24"/>
        <v>0</v>
      </c>
      <c r="EW59" s="336">
        <f t="shared" si="25"/>
        <v>0</v>
      </c>
      <c r="EX59" s="336">
        <f t="shared" si="26"/>
        <v>0</v>
      </c>
      <c r="EY59" s="336">
        <f t="shared" si="27"/>
        <v>0</v>
      </c>
      <c r="EZ59" s="336">
        <f t="shared" si="28"/>
        <v>0</v>
      </c>
      <c r="FA59" s="336">
        <f t="shared" si="29"/>
        <v>0</v>
      </c>
      <c r="FB59" s="336">
        <f t="shared" si="30"/>
        <v>0</v>
      </c>
      <c r="FC59" s="336">
        <f t="shared" si="31"/>
        <v>0</v>
      </c>
      <c r="FD59" s="336">
        <f t="shared" si="32"/>
        <v>0</v>
      </c>
      <c r="FE59" s="336">
        <f t="shared" si="33"/>
        <v>0</v>
      </c>
      <c r="FF59" s="336">
        <f t="shared" si="34"/>
        <v>0</v>
      </c>
      <c r="FG59" s="336">
        <f t="shared" si="35"/>
        <v>0</v>
      </c>
      <c r="FH59" s="336">
        <f t="shared" si="36"/>
        <v>0</v>
      </c>
      <c r="FI59" s="336">
        <f t="shared" si="37"/>
        <v>0</v>
      </c>
      <c r="FJ59" s="336">
        <f t="shared" si="38"/>
        <v>0</v>
      </c>
      <c r="FK59" s="336">
        <f t="shared" si="39"/>
        <v>0</v>
      </c>
      <c r="FL59" s="336">
        <f t="shared" si="40"/>
        <v>0</v>
      </c>
      <c r="FM59" s="336">
        <f t="shared" si="41"/>
        <v>0</v>
      </c>
      <c r="FN59" s="336">
        <f t="shared" si="42"/>
        <v>0</v>
      </c>
      <c r="FO59" s="336">
        <f t="shared" si="43"/>
        <v>0</v>
      </c>
      <c r="FP59" s="336">
        <f t="shared" si="44"/>
        <v>0</v>
      </c>
      <c r="FQ59" s="336">
        <f t="shared" si="45"/>
        <v>0</v>
      </c>
      <c r="FR59" s="336">
        <f t="shared" si="46"/>
        <v>0</v>
      </c>
      <c r="FS59" s="336">
        <f t="shared" si="47"/>
        <v>0</v>
      </c>
      <c r="FT59" s="336">
        <f t="shared" si="48"/>
        <v>0</v>
      </c>
      <c r="FU59" s="336">
        <f t="shared" si="1216"/>
        <v>0</v>
      </c>
      <c r="FV59" s="336">
        <f t="shared" si="1217"/>
        <v>0</v>
      </c>
      <c r="FW59" s="336">
        <f t="shared" si="1218"/>
        <v>0</v>
      </c>
      <c r="FX59" s="336">
        <f t="shared" si="1219"/>
        <v>0</v>
      </c>
      <c r="FY59" s="336">
        <f t="shared" si="53"/>
        <v>0</v>
      </c>
      <c r="FZ59" s="336">
        <f t="shared" si="54"/>
        <v>0</v>
      </c>
      <c r="GA59" s="336">
        <f t="shared" si="55"/>
        <v>0</v>
      </c>
      <c r="GB59" s="336">
        <f t="shared" si="56"/>
        <v>0</v>
      </c>
      <c r="GC59" s="336">
        <f t="shared" si="57"/>
        <v>0</v>
      </c>
      <c r="GD59" s="336">
        <f t="shared" si="58"/>
        <v>0</v>
      </c>
      <c r="GE59" s="336">
        <f t="shared" si="59"/>
        <v>0</v>
      </c>
      <c r="GF59" s="336">
        <f t="shared" si="60"/>
        <v>0</v>
      </c>
      <c r="GG59" s="336">
        <f t="shared" si="61"/>
        <v>0</v>
      </c>
      <c r="GH59" s="336">
        <f t="shared" si="62"/>
        <v>0</v>
      </c>
      <c r="GI59" s="336">
        <f t="shared" si="63"/>
        <v>0</v>
      </c>
      <c r="GJ59" s="336">
        <f t="shared" si="64"/>
        <v>0</v>
      </c>
      <c r="GK59" s="336">
        <f t="shared" si="1215"/>
        <v>0</v>
      </c>
      <c r="GL59" s="336">
        <f t="shared" si="1148"/>
        <v>0</v>
      </c>
      <c r="GM59" s="336">
        <f t="shared" si="66"/>
        <v>0</v>
      </c>
    </row>
    <row r="60" spans="1:195" ht="26.25" customHeight="1">
      <c r="A60" s="337">
        <f t="shared" si="1250"/>
        <v>47</v>
      </c>
      <c r="B60" s="372" t="s">
        <v>328</v>
      </c>
      <c r="C60" s="337" t="str">
        <f t="shared" si="1230"/>
        <v>11kV MV Switchgear-1</v>
      </c>
      <c r="D60" s="440" t="s">
        <v>435</v>
      </c>
      <c r="E60" s="416" t="s">
        <v>335</v>
      </c>
      <c r="F60" s="417" t="s">
        <v>29</v>
      </c>
      <c r="G60" s="340" t="s">
        <v>329</v>
      </c>
      <c r="H60" s="350"/>
      <c r="I60" s="337" t="s">
        <v>330</v>
      </c>
      <c r="J60" s="337" t="s">
        <v>357</v>
      </c>
      <c r="K60" s="341">
        <v>11000</v>
      </c>
      <c r="L60" s="342">
        <v>0.85573287086927674</v>
      </c>
      <c r="M60" s="342">
        <v>0.94462500000000016</v>
      </c>
      <c r="N60" s="342">
        <v>400</v>
      </c>
      <c r="O60" s="342">
        <f t="shared" si="67"/>
        <v>0</v>
      </c>
      <c r="P60" s="343" t="str">
        <f t="shared" ref="P60" si="1270">IF(G60="MOTOR",0.2,"0.00")</f>
        <v>0.00</v>
      </c>
      <c r="Q60" s="342">
        <v>31.5</v>
      </c>
      <c r="R60" s="342">
        <v>1</v>
      </c>
      <c r="S60" s="342">
        <f t="shared" ref="S60:S62" si="1271">(Q60*1000*SQRT(R60)/94)</f>
        <v>335.10638297872339</v>
      </c>
      <c r="T60" s="344" t="s">
        <v>131</v>
      </c>
      <c r="U60" s="342" t="s">
        <v>336</v>
      </c>
      <c r="V60" s="344">
        <v>400</v>
      </c>
      <c r="W60" s="343" t="str">
        <f t="shared" ref="W60" si="1272">CONCATENATE(U60," X ",V60)</f>
        <v>1C X 400</v>
      </c>
      <c r="X60" s="343" t="str">
        <f t="shared" ref="X60:X62" si="1273">(IF(J60="1Ph",W60,IF(J60="3Ph",(IF(G60="MOTOR",(CONCATENATE(W60,"+PE")),W60)))))</f>
        <v>1C X 400</v>
      </c>
      <c r="Y60" s="419" t="s">
        <v>346</v>
      </c>
      <c r="Z60" s="344">
        <f>IF(T60="AIR",VLOOKUP(W60,'Catalogue Aluminium'!$B$141:$G$173,2,FALSE),IF(T60="GROUND",VLOOKUP(W60,'Catalogue Aluminium'!$B$141:$G$173,3,FALSE),IF(T60="DUCT",VLOOKUP(W60,'Catalogue Aluminium'!$B$141:$G$173,4,FALSE),IF(T60="TRENCH",VLOOKUP(W60,'Catalogue Aluminium'!$B$141:$G$173,2,FALSE)))))</f>
        <v>673</v>
      </c>
      <c r="AA60" s="345">
        <f>VLOOKUP(W60,'Catalogue Aluminium'!$B$141:$G$173,5,FALSE)</f>
        <v>0.10199999999999999</v>
      </c>
      <c r="AB60" s="345">
        <f>VLOOKUP(W60,'Catalogue Aluminium'!$B$141:$G$173,6,FALSE)</f>
        <v>9.8000000000000004E-2</v>
      </c>
      <c r="AC60" s="398">
        <v>10</v>
      </c>
      <c r="AD60" s="346">
        <v>0</v>
      </c>
      <c r="AE60" s="343">
        <v>0</v>
      </c>
      <c r="AF60" s="343">
        <v>8</v>
      </c>
      <c r="AG60" s="343">
        <f t="shared" ref="AG60:AG62" si="1274">ROUNDUP(SUM(AC60:AF60)*0.1,0)</f>
        <v>2</v>
      </c>
      <c r="AH60" s="347">
        <f t="shared" si="1236"/>
        <v>20</v>
      </c>
      <c r="AI60" s="344">
        <f>IF(T60="AIR",'Catalogue Aluminium'!$K$141,IF(T60="TRENCH",'Catalogue Aluminium'!$K$144,"NA"))</f>
        <v>0.82</v>
      </c>
      <c r="AJ60" s="342">
        <f>IF(T60="Air",(IF(U60="1C",'Catalogue Aluminium'!$L$141,'Catalogue Aluminium'!$M$141)),IF(T60="DUCT",(IF($U60="1C",'Catalogue Aluminium'!$L$142,'Catalogue Aluminium'!$M$142)),IF(T60="GROUND",(IF($U60="1C",'Catalogue Aluminium'!$L$143,'Catalogue Aluminium'!$M$143)),IF(T60="TRENCH",(IF($U60="1C",'Catalogue Aluminium'!$L$144,'Catalogue Aluminium'!$M$144))))))</f>
        <v>0.9</v>
      </c>
      <c r="AK60" s="344" t="str">
        <f>IF(T60="Air",'Catalogue Aluminium'!$N$141,IF(T60="GROUND",'Catalogue Aluminium'!$N$142,IF(T60="DUCT",'Catalogue Aluminium'!$N$143,IF(T60="TRENCH",'Catalogue Aluminium'!$N$144,"NA"))))</f>
        <v>NA</v>
      </c>
      <c r="AL60" s="344" t="str">
        <f>IF(T60="Air",(IF(U60="1C",'Catalogue Aluminium'!$O$141,'Catalogue Aluminium'!$P$141)),IF(T60="DUCT",(IF($U60="1C",'Catalogue Aluminium'!$O$142,'Catalogue Aluminium'!$P$142)),IF(T60="GROUND",(IF($U60="1C",'Catalogue Aluminium'!$O$143,'Catalogue Aluminium'!$P$143)),IF(T60="TRENCH",(IF($U60="1C",'Catalogue Aluminium'!$O$144,'Catalogue Aluminium'!$P$144))))))</f>
        <v>NA</v>
      </c>
      <c r="AM60" s="344" t="str">
        <f>IF(T60="AIR","NA",IF(T60="TRENCH","NA",IF(T60="DUCT",IF(U60="1C",VLOOKUP(V60,'Catalogue Aluminium'!$Q$142:$S$153,2,FALSE),VLOOKUP(V60,'Catalogue Aluminium'!$Q$142:$S$153,3)),IF(T60="GROUND",IF(U60="1C",VLOOKUP(V60,'Catalogue Aluminium'!$Q$142:$S$153,2,FALSE),VLOOKUP(V60,'Catalogue Aluminium'!$Q$142:$S$153,3))))))</f>
        <v>NA</v>
      </c>
      <c r="AN60" s="348">
        <f>IF(T60="AIR",AI60*AJ60,IF(T60="TRENCH",AI60*AJ60,IF(T60="DUCT",AJ60*AK60*AL60*AM60,IF(T60="GROUND",AJ60*AK60*AL60*AM60))))</f>
        <v>0.73799999999999999</v>
      </c>
      <c r="AO60" s="342">
        <f>Z60*AN60</f>
        <v>496.67399999999998</v>
      </c>
      <c r="AP60" s="349">
        <f>CEILING(((N60)/AO60),1)</f>
        <v>1</v>
      </c>
      <c r="AQ60" s="350" t="str">
        <f>IF(AO60*AP60&gt;=N60,"YES","NO")</f>
        <v>YES</v>
      </c>
      <c r="AR60" s="351">
        <f>SQRT(3)*AH60*N60*((AA60*L60)+(AB60*SIN(ACOS(L60))))*100/(AP60*K60*1000)</f>
        <v>1.7382446745720214E-2</v>
      </c>
      <c r="AS60" s="343" t="str">
        <f t="shared" ref="AS60:AS62" si="1275">IF(G60="INCOMER",(IF(AR60&lt;=2,"YES","NO")),IF(G60="POWER",(IF(AR60&lt;=2.5,"YES","NO")),IF(G60="MOTOR",(IF(AR60&lt;=3,"YES","NO")))))</f>
        <v>YES</v>
      </c>
      <c r="AT60" s="351" t="str">
        <f>IF(G60="MOTOR",(SQRT(3)*AH60*O60*((AA60*P60)+(AB60*SIN(ACOS(P60))))*100/(AP60*K60*1000)),"NA")</f>
        <v>NA</v>
      </c>
      <c r="AU60" s="343" t="str">
        <f>IF(G60="MOTOR",IF(AT60&lt;=15,"YES","NO"),"NA")</f>
        <v>NA</v>
      </c>
      <c r="AV60" s="351" t="str">
        <f>IF(U60="1C",CONCATENATE(AP60,"R x ",Y60,"kV x ",U60," x ",V60," Sqmm/Phase"),CONCATENATE(AP60,"R x ","6/10 (12)kV x ",U60," x ",V60," Sqmm"))</f>
        <v>1R x 6/10(12)kV x 1C x 400 Sqmm/Phase</v>
      </c>
      <c r="AW60" s="351" t="str">
        <f>IF(U60="1C",CONCATENATE(AP60,"R x ",Y60,"kV x ",U60," x ",V60," Sqmm/Phase"),CONCATENATE(AP60,"R x ","6/10 (12)kV x ",U60," x ",V60," Sqmm"))</f>
        <v>1R x 6/10(12)kV x 1C x 400 Sqmm/Phase</v>
      </c>
      <c r="AX60" s="920">
        <v>50</v>
      </c>
      <c r="AY60" s="343"/>
      <c r="AZ60" s="401">
        <f>AP60*2</f>
        <v>2</v>
      </c>
      <c r="BA60" s="356" t="str">
        <f t="shared" ref="BA60:BA62" si="1276">CONCATENATE(IF(BE60=1,BE$4,""),IF(BF60=1,BF$4,""),IF(BG60=1,BG$4,""),IF(BH60=1,BH$4,""),IF(BI60=1,BI$4,""),IF(BJ60=1,BJ$4,""),IF(BK60=1,BK$4,""),IF(BL60=1,BL$4,""),IF(BM60=1,BM$4,""),IF(BN60=1,BN$4,""),IF(BO60=1,BO$4,""),IF(BP60=1,BP$4,""),IF(BQ60=1,BQ$4,""),IF(BR60=1,BR$4,""),IF(BS60=1,BS$4,""),IF(BT60=1,BT$4,""),IF(BU60=1,BU$4,""),IF(BV60=1,BV$4,""),IF(BW60=1,BW$4,""),IF(BX60=1,BX$4,""),IF(BY60=1,BY$4,""),IF(BZ60=1,BZ$4,""),IF(CA60=1,CA$4,""),IF(CB60=1,CB$4,""),IF(CC60=1,CC$4,""),IF(CD60=1,CD$4,""),IF(CE60=1,CE$4,""),IF(CF60=1,CF$4,""),IF(CG60=1,CG$4,""),IF(CH60=1,CH$4,""),IF(CI60=1,CI$4,""),IF(CJ60=1,CJ$4,""),IF(CK60=1,CK$4,""),IF(CL60=1,CL$4,""),IF(CM60=1,CM$4,""),IF(CN60=1,CN$4,""),IF(CO60=1,CO$4,""),IF(CP60=1,CP$4,""),IF(CQ60=1,CQ$4,""),IF(CR60=1,CR$4,""),IF(CS60=1,CS$4,""),IF(CT60=1,CT$4,""),IF(CU60=1,CU$4,""),IF(CV60=1,CV$4,""),IF(CW60=1,CW$4,""),IF(CX60=1,CX$4,""),IF(CY60=1,CY$4,""),IF(CZ60=1,CZ$4,""),IF(DA60=1,DA$4,""),IF(DB60=1,DB$4,""),IF(DC60=1,DC$4,""),IF(DD60=1,DD$4,""),IF(DE60=1,DE$4,""),IF(DF60=1,DF$4,""),IF(DG60=1,DG$4,""),IF(DH60=1,DH$4,""),IF(DI60=1,DI$4,""),IF(DJ60=1,DJ$4,""),IF(DK60=1,DK$4,""),IF(DL60=1,DL$4,""),IF(DM60=1,DM$4,""),IF(DN60=1,DN$4,""),IF(DO60=1,DO$4,""),IF(DP60=1,DP$4,""),IF(DQ60=1,DQ$4,""),IF(DR60=1,DR$4,""),IF(DS60=1,DS$4,""),IF(DT60=1,DT$4,""),IF(DU60=1,DU$4,""))</f>
        <v/>
      </c>
      <c r="BB60" s="340">
        <f>VLOOKUP(W60,'Catalogue Aluminium'!$B$141:$H$173,7,FALSE)</f>
        <v>42</v>
      </c>
      <c r="BC60" s="328">
        <f>AP60*BB60</f>
        <v>42</v>
      </c>
      <c r="BE60" s="416"/>
      <c r="BF60" s="416"/>
      <c r="BG60" s="416"/>
      <c r="BH60" s="416"/>
      <c r="BI60" s="416"/>
      <c r="BJ60" s="416"/>
      <c r="BK60" s="416"/>
      <c r="BL60" s="416"/>
      <c r="BM60" s="416"/>
      <c r="BN60" s="416"/>
      <c r="BO60" s="416"/>
      <c r="BP60" s="416"/>
      <c r="BQ60" s="416"/>
      <c r="BR60" s="416"/>
      <c r="BS60" s="416"/>
      <c r="BT60" s="416"/>
      <c r="BU60" s="416"/>
      <c r="BV60" s="416"/>
      <c r="BW60" s="416"/>
      <c r="BX60" s="416"/>
      <c r="BY60" s="416"/>
      <c r="BZ60" s="416"/>
      <c r="CA60" s="416"/>
      <c r="CB60" s="416"/>
      <c r="CC60" s="416"/>
      <c r="CD60" s="416"/>
      <c r="CE60" s="416"/>
      <c r="CF60" s="416"/>
      <c r="CG60" s="416"/>
      <c r="CH60" s="416"/>
      <c r="CI60" s="416"/>
      <c r="CJ60" s="416"/>
      <c r="CK60" s="416"/>
      <c r="CL60" s="416"/>
      <c r="CM60" s="416"/>
      <c r="CN60" s="416"/>
      <c r="CO60" s="416"/>
      <c r="CP60" s="416"/>
      <c r="CQ60" s="416"/>
      <c r="CR60" s="416"/>
      <c r="CS60" s="416"/>
      <c r="CT60" s="416"/>
      <c r="CU60" s="416"/>
      <c r="CV60" s="416"/>
      <c r="CW60" s="416"/>
      <c r="CX60" s="416"/>
      <c r="CY60" s="416"/>
      <c r="CZ60" s="416"/>
      <c r="DA60" s="416"/>
      <c r="DB60" s="416"/>
      <c r="DC60" s="416"/>
      <c r="DD60" s="416"/>
      <c r="DE60" s="416"/>
      <c r="DF60" s="416"/>
      <c r="DG60" s="416"/>
      <c r="DH60" s="416"/>
      <c r="DI60" s="416"/>
      <c r="DJ60" s="416"/>
      <c r="DK60" s="416"/>
      <c r="DL60" s="416"/>
      <c r="DM60" s="416"/>
      <c r="DN60" s="416"/>
      <c r="DO60" s="416"/>
      <c r="DP60" s="416"/>
      <c r="DQ60" s="416"/>
      <c r="DR60" s="416"/>
      <c r="DS60" s="416"/>
      <c r="DT60" s="416"/>
      <c r="DU60" s="416"/>
      <c r="DW60" s="336">
        <f t="shared" si="81"/>
        <v>0</v>
      </c>
      <c r="DX60" s="336">
        <f t="shared" si="0"/>
        <v>0</v>
      </c>
      <c r="DY60" s="336">
        <f t="shared" si="1"/>
        <v>0</v>
      </c>
      <c r="DZ60" s="336">
        <f t="shared" si="2"/>
        <v>0</v>
      </c>
      <c r="EA60" s="336">
        <f t="shared" si="3"/>
        <v>0</v>
      </c>
      <c r="EB60" s="336">
        <f t="shared" si="4"/>
        <v>0</v>
      </c>
      <c r="EC60" s="336">
        <f t="shared" si="5"/>
        <v>0</v>
      </c>
      <c r="ED60" s="336">
        <f t="shared" si="6"/>
        <v>0</v>
      </c>
      <c r="EE60" s="336">
        <f t="shared" si="7"/>
        <v>0</v>
      </c>
      <c r="EF60" s="336">
        <f t="shared" si="8"/>
        <v>0</v>
      </c>
      <c r="EG60" s="336">
        <f t="shared" si="9"/>
        <v>0</v>
      </c>
      <c r="EH60" s="336">
        <f t="shared" si="10"/>
        <v>0</v>
      </c>
      <c r="EI60" s="336">
        <f t="shared" si="11"/>
        <v>0</v>
      </c>
      <c r="EJ60" s="336">
        <f t="shared" si="12"/>
        <v>0</v>
      </c>
      <c r="EK60" s="336">
        <f t="shared" si="13"/>
        <v>0</v>
      </c>
      <c r="EL60" s="336">
        <f t="shared" si="14"/>
        <v>0</v>
      </c>
      <c r="EM60" s="336">
        <f t="shared" si="15"/>
        <v>0</v>
      </c>
      <c r="EN60" s="336">
        <f t="shared" si="16"/>
        <v>0</v>
      </c>
      <c r="EO60" s="336">
        <f t="shared" si="17"/>
        <v>0</v>
      </c>
      <c r="EP60" s="336">
        <f t="shared" si="18"/>
        <v>0</v>
      </c>
      <c r="EQ60" s="336">
        <f t="shared" si="19"/>
        <v>0</v>
      </c>
      <c r="ER60" s="336">
        <f t="shared" si="20"/>
        <v>0</v>
      </c>
      <c r="ES60" s="336">
        <f t="shared" si="21"/>
        <v>0</v>
      </c>
      <c r="ET60" s="336">
        <f t="shared" si="22"/>
        <v>0</v>
      </c>
      <c r="EU60" s="336">
        <f t="shared" si="23"/>
        <v>0</v>
      </c>
      <c r="EV60" s="336">
        <f t="shared" si="24"/>
        <v>0</v>
      </c>
      <c r="EW60" s="336">
        <f t="shared" si="25"/>
        <v>0</v>
      </c>
      <c r="EX60" s="336">
        <f t="shared" si="26"/>
        <v>0</v>
      </c>
      <c r="EY60" s="336">
        <f t="shared" si="27"/>
        <v>0</v>
      </c>
      <c r="EZ60" s="336">
        <f t="shared" si="28"/>
        <v>0</v>
      </c>
      <c r="FA60" s="336">
        <f t="shared" si="29"/>
        <v>0</v>
      </c>
      <c r="FB60" s="336">
        <f t="shared" si="30"/>
        <v>0</v>
      </c>
      <c r="FC60" s="336">
        <f t="shared" si="31"/>
        <v>0</v>
      </c>
      <c r="FD60" s="336">
        <f t="shared" si="32"/>
        <v>0</v>
      </c>
      <c r="FE60" s="336">
        <f t="shared" si="33"/>
        <v>0</v>
      </c>
      <c r="FF60" s="336">
        <f t="shared" si="34"/>
        <v>0</v>
      </c>
      <c r="FG60" s="336">
        <f t="shared" si="35"/>
        <v>0</v>
      </c>
      <c r="FH60" s="336">
        <f t="shared" si="36"/>
        <v>0</v>
      </c>
      <c r="FI60" s="336">
        <f t="shared" si="37"/>
        <v>0</v>
      </c>
      <c r="FJ60" s="336">
        <f t="shared" si="38"/>
        <v>0</v>
      </c>
      <c r="FK60" s="336">
        <f t="shared" si="39"/>
        <v>0</v>
      </c>
      <c r="FL60" s="336">
        <f t="shared" si="40"/>
        <v>0</v>
      </c>
      <c r="FM60" s="336">
        <f t="shared" si="41"/>
        <v>0</v>
      </c>
      <c r="FN60" s="336">
        <f t="shared" si="42"/>
        <v>0</v>
      </c>
      <c r="FO60" s="336">
        <f t="shared" si="43"/>
        <v>0</v>
      </c>
      <c r="FP60" s="336">
        <f t="shared" si="44"/>
        <v>0</v>
      </c>
      <c r="FQ60" s="336">
        <f t="shared" si="45"/>
        <v>0</v>
      </c>
      <c r="FR60" s="336">
        <f t="shared" si="46"/>
        <v>0</v>
      </c>
      <c r="FS60" s="336">
        <f t="shared" si="47"/>
        <v>0</v>
      </c>
      <c r="FT60" s="336">
        <f t="shared" si="48"/>
        <v>0</v>
      </c>
      <c r="FU60" s="336">
        <f t="shared" si="1216"/>
        <v>0</v>
      </c>
      <c r="FV60" s="336">
        <f t="shared" si="1217"/>
        <v>0</v>
      </c>
      <c r="FW60" s="336">
        <f t="shared" si="1218"/>
        <v>0</v>
      </c>
      <c r="FX60" s="336">
        <f t="shared" si="1219"/>
        <v>0</v>
      </c>
      <c r="FY60" s="336">
        <f t="shared" si="53"/>
        <v>0</v>
      </c>
      <c r="FZ60" s="336">
        <f t="shared" si="54"/>
        <v>0</v>
      </c>
      <c r="GA60" s="336">
        <f t="shared" si="55"/>
        <v>0</v>
      </c>
      <c r="GB60" s="336">
        <f t="shared" si="56"/>
        <v>0</v>
      </c>
      <c r="GC60" s="336">
        <f t="shared" si="57"/>
        <v>0</v>
      </c>
      <c r="GD60" s="336">
        <f t="shared" si="58"/>
        <v>0</v>
      </c>
      <c r="GE60" s="336">
        <f t="shared" si="59"/>
        <v>0</v>
      </c>
      <c r="GF60" s="336">
        <f t="shared" si="60"/>
        <v>0</v>
      </c>
      <c r="GG60" s="336">
        <f t="shared" si="61"/>
        <v>0</v>
      </c>
      <c r="GH60" s="336">
        <f t="shared" si="62"/>
        <v>0</v>
      </c>
      <c r="GI60" s="336">
        <f t="shared" si="63"/>
        <v>0</v>
      </c>
      <c r="GJ60" s="336">
        <f t="shared" si="64"/>
        <v>0</v>
      </c>
      <c r="GK60" s="336">
        <f t="shared" si="1215"/>
        <v>0</v>
      </c>
      <c r="GL60" s="336">
        <f t="shared" si="1148"/>
        <v>0</v>
      </c>
      <c r="GM60" s="336">
        <f t="shared" si="66"/>
        <v>0</v>
      </c>
    </row>
    <row r="61" spans="1:195" ht="20.25" customHeight="1">
      <c r="A61" s="337">
        <f t="shared" si="1250"/>
        <v>48</v>
      </c>
      <c r="B61" s="372" t="s">
        <v>436</v>
      </c>
      <c r="C61" s="337" t="str">
        <f t="shared" si="1230"/>
        <v>11kV MV Switchgear-1</v>
      </c>
      <c r="D61" s="440" t="s">
        <v>437</v>
      </c>
      <c r="E61" s="416" t="s">
        <v>335</v>
      </c>
      <c r="F61" s="417" t="s">
        <v>28</v>
      </c>
      <c r="G61" s="340" t="s">
        <v>329</v>
      </c>
      <c r="H61" s="418">
        <v>3550</v>
      </c>
      <c r="I61" s="337" t="s">
        <v>414</v>
      </c>
      <c r="J61" s="337" t="s">
        <v>331</v>
      </c>
      <c r="K61" s="341">
        <v>11000</v>
      </c>
      <c r="L61" s="342">
        <v>0.88004393023541583</v>
      </c>
      <c r="M61" s="342">
        <v>0.958208333333333</v>
      </c>
      <c r="N61" s="342">
        <f t="shared" si="1251"/>
        <v>194.45890536014659</v>
      </c>
      <c r="O61" s="342">
        <f t="shared" si="67"/>
        <v>0</v>
      </c>
      <c r="P61" s="343" t="str">
        <f t="shared" si="1231"/>
        <v>0.00</v>
      </c>
      <c r="Q61" s="342">
        <v>31.5</v>
      </c>
      <c r="R61" s="342">
        <v>0.16</v>
      </c>
      <c r="S61" s="342">
        <f t="shared" si="1271"/>
        <v>134.04255319148936</v>
      </c>
      <c r="T61" s="344" t="s">
        <v>131</v>
      </c>
      <c r="U61" s="342" t="s">
        <v>333</v>
      </c>
      <c r="V61" s="344">
        <v>185</v>
      </c>
      <c r="W61" s="343" t="str">
        <f t="shared" ref="W61:W76" si="1277">CONCATENATE(U61," X ",V61)</f>
        <v>3C X 185</v>
      </c>
      <c r="X61" s="343" t="str">
        <f t="shared" si="1273"/>
        <v>3C X 185</v>
      </c>
      <c r="Y61" s="419" t="s">
        <v>346</v>
      </c>
      <c r="Z61" s="344">
        <f>IF(T61="AIR",VLOOKUP(W61,'Catalogue Aluminium'!$B$141:$G$173,2,FALSE),IF(T61="GROUND",VLOOKUP(W61,'Catalogue Aluminium'!$B$141:$G$173,3,FALSE),IF(T61="DUCT",VLOOKUP(W61,'Catalogue Aluminium'!$B$141:$G$173,4,FALSE),IF(T61="TRENCH",VLOOKUP(W61,'Catalogue Aluminium'!$B$141:$G$173,2,FALSE)))))</f>
        <v>354</v>
      </c>
      <c r="AA61" s="345">
        <f>VLOOKUP(W61,'Catalogue Aluminium'!$B$141:$G$173,5,FALSE)</f>
        <v>0.21099999999999999</v>
      </c>
      <c r="AB61" s="345">
        <f>VLOOKUP(W61,'Catalogue Aluminium'!$B$141:$G$173,6,FALSE)</f>
        <v>8.8999999999999996E-2</v>
      </c>
      <c r="AC61" s="398">
        <v>10</v>
      </c>
      <c r="AD61" s="346">
        <v>0</v>
      </c>
      <c r="AE61" s="343">
        <v>0</v>
      </c>
      <c r="AF61" s="343">
        <v>8</v>
      </c>
      <c r="AG61" s="343">
        <f t="shared" si="1274"/>
        <v>2</v>
      </c>
      <c r="AH61" s="347">
        <f t="shared" si="1236"/>
        <v>20</v>
      </c>
      <c r="AI61" s="344">
        <f>IF(T61="AIR",'Catalogue Aluminium'!$K$141,IF(T61="TRENCH",'Catalogue Aluminium'!$K$144,"NA"))</f>
        <v>0.82</v>
      </c>
      <c r="AJ61" s="342">
        <f>IF(T61="Air",(IF(U61="1C",'Catalogue Aluminium'!$L$141,'Catalogue Aluminium'!$M$141)),IF(T61="DUCT",(IF($U61="1C",'Catalogue Aluminium'!$L$142,'Catalogue Aluminium'!$M$142)),IF(T61="GROUND",(IF($U61="1C",'Catalogue Aluminium'!$L$143,'Catalogue Aluminium'!$M$143)),IF(T61="TRENCH",(IF($U61="1C",'Catalogue Aluminium'!$L$144,'Catalogue Aluminium'!$M$144))))))</f>
        <v>0.73</v>
      </c>
      <c r="AK61" s="344" t="str">
        <f>IF(T61="Air",'Catalogue Aluminium'!$N$141,IF(T61="GROUND",'Catalogue Aluminium'!$N$142,IF(T61="DUCT",'Catalogue Aluminium'!$N$143,IF(T61="TRENCH",'Catalogue Aluminium'!$N$144,"NA"))))</f>
        <v>NA</v>
      </c>
      <c r="AL61" s="344" t="str">
        <f>IF(T61="Air",(IF(U61="1C",'Catalogue Aluminium'!$O$141,'Catalogue Aluminium'!$P$141)),IF(T61="DUCT",(IF($U61="1C",'Catalogue Aluminium'!$O$142,'Catalogue Aluminium'!$P$142)),IF(T61="GROUND",(IF($U61="1C",'Catalogue Aluminium'!$O$143,'Catalogue Aluminium'!$P$143)),IF(T61="TRENCH",(IF($U61="1C",'Catalogue Aluminium'!$O$144,'Catalogue Aluminium'!$P$144))))))</f>
        <v>NA</v>
      </c>
      <c r="AM61" s="344" t="str">
        <f>IF(T61="AIR","NA",IF(T61="TRENCH","NA",IF(T61="DUCT",IF(U61="1C",VLOOKUP(V61,'Catalogue Aluminium'!$Q$142:$S$153,2,FALSE),VLOOKUP(V61,'Catalogue Aluminium'!$Q$142:$S$153,3)),IF(T61="GROUND",IF(U61="1C",VLOOKUP(V61,'Catalogue Aluminium'!$Q$142:$S$153,2,FALSE),VLOOKUP(V61,'Catalogue Aluminium'!$Q$142:$S$153,3))))))</f>
        <v>NA</v>
      </c>
      <c r="AN61" s="348">
        <f>IF(T61="AIR",AI61*AJ61,IF(T61="TRENCH",AI61*AJ61,IF(T61="DUCT",AJ61*AK61*AL61*AM61,IF(T61="GROUND",AJ61*AK61*AL61*AM61))))</f>
        <v>0.59859999999999991</v>
      </c>
      <c r="AO61" s="342">
        <f>Z61*AN61</f>
        <v>211.90439999999998</v>
      </c>
      <c r="AP61" s="349">
        <f>CEILING(((N61)/AO61),1)</f>
        <v>1</v>
      </c>
      <c r="AQ61" s="350" t="str">
        <f>IF(AO61*AP61&gt;=N61,"YES","NO")</f>
        <v>YES</v>
      </c>
      <c r="AR61" s="351">
        <f>SQRT(3)*AH61*N61*((AA61*L61)+(AB61*SIN(ACOS(L61))))*100/(AP61*K61*1000)</f>
        <v>1.3959642367141308E-2</v>
      </c>
      <c r="AS61" s="343" t="str">
        <f t="shared" si="1275"/>
        <v>YES</v>
      </c>
      <c r="AT61" s="351" t="str">
        <f>IF(G61="MOTOR",(SQRT(3)*AH61*O61*((AA61*P61)+(AB61*SIN(ACOS(P61))))*100/(AP61*K61*1000)),"NA")</f>
        <v>NA</v>
      </c>
      <c r="AU61" s="343" t="str">
        <f>IF(G61="MOTOR",IF(AT61&lt;=15,"YES","NO"),"NA")</f>
        <v>NA</v>
      </c>
      <c r="AV61" s="351" t="str">
        <f>IF(U61="1C",CONCATENATE(AP61,"R x ",Y61,"kV x ",U61," x ",V61," Sqmm/Phase"),CONCATENATE(AP61,"R x ","6/10 (12)kV x ",U61," x ",V61," Sqmm"))</f>
        <v>1R x 6/10 (12)kV x 3C x 185 Sqmm</v>
      </c>
      <c r="AW61" s="351" t="str">
        <f>IF(U61="1C",CONCATENATE(AP61,"R x ",Y61,"kV x ",U61," x ",V61," Sqmm/Phase"),CONCATENATE(AP61,"R x ","6/10 (12)kV x ",U61," x ",V61," Sqmm"))</f>
        <v>1R x 6/10 (12)kV x 3C x 185 Sqmm</v>
      </c>
      <c r="AX61" s="343">
        <f>IF(U61="1C",(3*AH61*AP61),(AH61*AP61))</f>
        <v>20</v>
      </c>
      <c r="AY61" s="343"/>
      <c r="AZ61" s="343">
        <f>IF(U61="1C",(3*AP61*2),(AP61*2))</f>
        <v>2</v>
      </c>
      <c r="BA61" s="356" t="str">
        <f t="shared" si="1276"/>
        <v/>
      </c>
      <c r="BB61" s="340">
        <f>VLOOKUP(W61,'Catalogue Aluminium'!$B$141:$H$173,7,FALSE)</f>
        <v>66</v>
      </c>
      <c r="BC61" s="328">
        <f>AP61*BB61</f>
        <v>66</v>
      </c>
      <c r="BE61" s="416"/>
      <c r="BF61" s="416"/>
      <c r="BG61" s="416"/>
      <c r="BH61" s="416"/>
      <c r="BI61" s="416"/>
      <c r="BJ61" s="416"/>
      <c r="BK61" s="416"/>
      <c r="BL61" s="416"/>
      <c r="BM61" s="416"/>
      <c r="BN61" s="416"/>
      <c r="BO61" s="416"/>
      <c r="BP61" s="416"/>
      <c r="BQ61" s="416"/>
      <c r="BR61" s="416"/>
      <c r="BS61" s="416"/>
      <c r="BT61" s="416"/>
      <c r="BU61" s="416"/>
      <c r="BV61" s="416"/>
      <c r="BW61" s="416"/>
      <c r="BX61" s="416"/>
      <c r="BY61" s="416"/>
      <c r="BZ61" s="416"/>
      <c r="CA61" s="416"/>
      <c r="CB61" s="416"/>
      <c r="CC61" s="416"/>
      <c r="CD61" s="416"/>
      <c r="CE61" s="416"/>
      <c r="CF61" s="416"/>
      <c r="CG61" s="416"/>
      <c r="CH61" s="416"/>
      <c r="CI61" s="416"/>
      <c r="CJ61" s="416"/>
      <c r="CK61" s="416"/>
      <c r="CL61" s="416"/>
      <c r="CM61" s="416"/>
      <c r="CN61" s="416"/>
      <c r="CO61" s="416"/>
      <c r="CP61" s="416"/>
      <c r="CQ61" s="416"/>
      <c r="CR61" s="416"/>
      <c r="CS61" s="416"/>
      <c r="CT61" s="416"/>
      <c r="CU61" s="416"/>
      <c r="CV61" s="416"/>
      <c r="CW61" s="416"/>
      <c r="CX61" s="416"/>
      <c r="CY61" s="416"/>
      <c r="CZ61" s="416"/>
      <c r="DA61" s="416"/>
      <c r="DB61" s="416"/>
      <c r="DC61" s="416"/>
      <c r="DD61" s="416"/>
      <c r="DE61" s="416"/>
      <c r="DF61" s="416"/>
      <c r="DG61" s="416"/>
      <c r="DH61" s="416"/>
      <c r="DI61" s="416"/>
      <c r="DJ61" s="416"/>
      <c r="DK61" s="416"/>
      <c r="DL61" s="416"/>
      <c r="DM61" s="416"/>
      <c r="DN61" s="416"/>
      <c r="DO61" s="416"/>
      <c r="DP61" s="416"/>
      <c r="DQ61" s="416"/>
      <c r="DR61" s="416"/>
      <c r="DS61" s="416"/>
      <c r="DT61" s="416"/>
      <c r="DU61" s="416"/>
      <c r="DW61" s="336">
        <f t="shared" si="81"/>
        <v>0</v>
      </c>
      <c r="DX61" s="336">
        <f t="shared" si="0"/>
        <v>0</v>
      </c>
      <c r="DY61" s="336">
        <f t="shared" si="1"/>
        <v>0</v>
      </c>
      <c r="DZ61" s="336">
        <f t="shared" si="2"/>
        <v>0</v>
      </c>
      <c r="EA61" s="336">
        <f t="shared" si="3"/>
        <v>0</v>
      </c>
      <c r="EB61" s="336">
        <f t="shared" si="4"/>
        <v>0</v>
      </c>
      <c r="EC61" s="336">
        <f t="shared" si="5"/>
        <v>0</v>
      </c>
      <c r="ED61" s="336">
        <f t="shared" si="6"/>
        <v>0</v>
      </c>
      <c r="EE61" s="336">
        <f t="shared" si="7"/>
        <v>0</v>
      </c>
      <c r="EF61" s="336">
        <f t="shared" si="8"/>
        <v>0</v>
      </c>
      <c r="EG61" s="336">
        <f t="shared" si="9"/>
        <v>0</v>
      </c>
      <c r="EH61" s="336">
        <f t="shared" si="10"/>
        <v>0</v>
      </c>
      <c r="EI61" s="336">
        <f t="shared" si="11"/>
        <v>0</v>
      </c>
      <c r="EJ61" s="336">
        <f t="shared" si="12"/>
        <v>0</v>
      </c>
      <c r="EK61" s="336">
        <f t="shared" si="13"/>
        <v>0</v>
      </c>
      <c r="EL61" s="336">
        <f t="shared" si="14"/>
        <v>0</v>
      </c>
      <c r="EM61" s="336">
        <f t="shared" si="15"/>
        <v>0</v>
      </c>
      <c r="EN61" s="336">
        <f t="shared" si="16"/>
        <v>0</v>
      </c>
      <c r="EO61" s="336">
        <f t="shared" si="17"/>
        <v>0</v>
      </c>
      <c r="EP61" s="336">
        <f t="shared" si="18"/>
        <v>0</v>
      </c>
      <c r="EQ61" s="336">
        <f t="shared" si="19"/>
        <v>0</v>
      </c>
      <c r="ER61" s="336">
        <f t="shared" si="20"/>
        <v>0</v>
      </c>
      <c r="ES61" s="336">
        <f t="shared" si="21"/>
        <v>0</v>
      </c>
      <c r="ET61" s="336">
        <f t="shared" si="22"/>
        <v>0</v>
      </c>
      <c r="EU61" s="336">
        <f t="shared" si="23"/>
        <v>0</v>
      </c>
      <c r="EV61" s="336">
        <f t="shared" si="24"/>
        <v>0</v>
      </c>
      <c r="EW61" s="336">
        <f t="shared" si="25"/>
        <v>0</v>
      </c>
      <c r="EX61" s="336">
        <f t="shared" si="26"/>
        <v>0</v>
      </c>
      <c r="EY61" s="336">
        <f t="shared" si="27"/>
        <v>0</v>
      </c>
      <c r="EZ61" s="336">
        <f t="shared" si="28"/>
        <v>0</v>
      </c>
      <c r="FA61" s="336">
        <f t="shared" si="29"/>
        <v>0</v>
      </c>
      <c r="FB61" s="336">
        <f t="shared" si="30"/>
        <v>0</v>
      </c>
      <c r="FC61" s="336">
        <f t="shared" si="31"/>
        <v>0</v>
      </c>
      <c r="FD61" s="336">
        <f t="shared" si="32"/>
        <v>0</v>
      </c>
      <c r="FE61" s="336">
        <f t="shared" si="33"/>
        <v>0</v>
      </c>
      <c r="FF61" s="336">
        <f t="shared" si="34"/>
        <v>0</v>
      </c>
      <c r="FG61" s="336">
        <f t="shared" si="35"/>
        <v>0</v>
      </c>
      <c r="FH61" s="336">
        <f t="shared" si="36"/>
        <v>0</v>
      </c>
      <c r="FI61" s="336">
        <f t="shared" si="37"/>
        <v>0</v>
      </c>
      <c r="FJ61" s="336">
        <f t="shared" si="38"/>
        <v>0</v>
      </c>
      <c r="FK61" s="336">
        <f t="shared" si="39"/>
        <v>0</v>
      </c>
      <c r="FL61" s="336">
        <f t="shared" si="40"/>
        <v>0</v>
      </c>
      <c r="FM61" s="336">
        <f t="shared" si="41"/>
        <v>0</v>
      </c>
      <c r="FN61" s="336">
        <f t="shared" si="42"/>
        <v>0</v>
      </c>
      <c r="FO61" s="336">
        <f t="shared" si="43"/>
        <v>0</v>
      </c>
      <c r="FP61" s="336">
        <f t="shared" si="44"/>
        <v>0</v>
      </c>
      <c r="FQ61" s="336">
        <f t="shared" si="45"/>
        <v>0</v>
      </c>
      <c r="FR61" s="336">
        <f t="shared" si="46"/>
        <v>0</v>
      </c>
      <c r="FS61" s="336">
        <f t="shared" si="47"/>
        <v>0</v>
      </c>
      <c r="FT61" s="336">
        <f t="shared" si="48"/>
        <v>0</v>
      </c>
      <c r="FU61" s="336">
        <f t="shared" si="1216"/>
        <v>0</v>
      </c>
      <c r="FV61" s="336">
        <f t="shared" si="1217"/>
        <v>0</v>
      </c>
      <c r="FW61" s="336">
        <f t="shared" si="1218"/>
        <v>0</v>
      </c>
      <c r="FX61" s="336">
        <f t="shared" si="1219"/>
        <v>0</v>
      </c>
      <c r="FY61" s="336">
        <f t="shared" si="53"/>
        <v>0</v>
      </c>
      <c r="FZ61" s="336">
        <f t="shared" si="54"/>
        <v>0</v>
      </c>
      <c r="GA61" s="336">
        <f t="shared" si="55"/>
        <v>0</v>
      </c>
      <c r="GB61" s="336">
        <f t="shared" si="56"/>
        <v>0</v>
      </c>
      <c r="GC61" s="336">
        <f t="shared" si="57"/>
        <v>0</v>
      </c>
      <c r="GD61" s="336">
        <f t="shared" si="58"/>
        <v>0</v>
      </c>
      <c r="GE61" s="336">
        <f t="shared" si="59"/>
        <v>0</v>
      </c>
      <c r="GF61" s="336">
        <f t="shared" si="60"/>
        <v>0</v>
      </c>
      <c r="GG61" s="336">
        <f t="shared" si="61"/>
        <v>0</v>
      </c>
      <c r="GH61" s="336">
        <f t="shared" si="62"/>
        <v>0</v>
      </c>
      <c r="GI61" s="336">
        <f t="shared" si="63"/>
        <v>0</v>
      </c>
      <c r="GJ61" s="336">
        <f t="shared" si="64"/>
        <v>0</v>
      </c>
      <c r="GK61" s="336">
        <f t="shared" si="1215"/>
        <v>0</v>
      </c>
      <c r="GL61" s="336">
        <f t="shared" si="1148"/>
        <v>0</v>
      </c>
      <c r="GM61" s="336">
        <f t="shared" si="66"/>
        <v>0</v>
      </c>
    </row>
    <row r="62" spans="1:195" ht="20.25" customHeight="1">
      <c r="A62" s="337">
        <f t="shared" si="1250"/>
        <v>49</v>
      </c>
      <c r="B62" s="372" t="s">
        <v>436</v>
      </c>
      <c r="C62" s="337" t="str">
        <f t="shared" si="1230"/>
        <v>11kV MV Switchgear-1</v>
      </c>
      <c r="D62" s="440" t="s">
        <v>437</v>
      </c>
      <c r="E62" s="416" t="s">
        <v>335</v>
      </c>
      <c r="F62" s="417" t="s">
        <v>29</v>
      </c>
      <c r="G62" s="340" t="s">
        <v>329</v>
      </c>
      <c r="H62" s="418">
        <v>3550</v>
      </c>
      <c r="I62" s="337" t="s">
        <v>414</v>
      </c>
      <c r="J62" s="337" t="s">
        <v>331</v>
      </c>
      <c r="K62" s="341">
        <v>11000</v>
      </c>
      <c r="L62" s="342">
        <v>0.88004393023541583</v>
      </c>
      <c r="M62" s="342">
        <v>0.958208333333333</v>
      </c>
      <c r="N62" s="342">
        <f t="shared" si="1251"/>
        <v>194.45890536014659</v>
      </c>
      <c r="O62" s="342">
        <f t="shared" si="67"/>
        <v>0</v>
      </c>
      <c r="P62" s="343" t="str">
        <f t="shared" si="1231"/>
        <v>0.00</v>
      </c>
      <c r="Q62" s="342">
        <v>31.5</v>
      </c>
      <c r="R62" s="342">
        <v>0.16</v>
      </c>
      <c r="S62" s="342">
        <f t="shared" si="1271"/>
        <v>134.04255319148936</v>
      </c>
      <c r="T62" s="344" t="s">
        <v>131</v>
      </c>
      <c r="U62" s="342" t="s">
        <v>333</v>
      </c>
      <c r="V62" s="344">
        <v>185</v>
      </c>
      <c r="W62" s="343" t="str">
        <f t="shared" si="1277"/>
        <v>3C X 185</v>
      </c>
      <c r="X62" s="343" t="str">
        <f t="shared" si="1273"/>
        <v>3C X 185</v>
      </c>
      <c r="Y62" s="419" t="s">
        <v>346</v>
      </c>
      <c r="Z62" s="344">
        <f>IF(T62="AIR",VLOOKUP(W62,'Catalogue Aluminium'!$B$141:$G$173,2,FALSE),IF(T62="GROUND",VLOOKUP(W62,'Catalogue Aluminium'!$B$141:$G$173,3,FALSE),IF(T62="DUCT",VLOOKUP(W62,'Catalogue Aluminium'!$B$141:$G$173,4,FALSE),IF(T62="TRENCH",VLOOKUP(W62,'Catalogue Aluminium'!$B$141:$G$173,2,FALSE)))))</f>
        <v>354</v>
      </c>
      <c r="AA62" s="345">
        <f>VLOOKUP(W62,'Catalogue Aluminium'!$B$141:$G$173,5,FALSE)</f>
        <v>0.21099999999999999</v>
      </c>
      <c r="AB62" s="345">
        <f>VLOOKUP(W62,'Catalogue Aluminium'!$B$141:$G$173,6,FALSE)</f>
        <v>8.8999999999999996E-2</v>
      </c>
      <c r="AC62" s="398">
        <v>10</v>
      </c>
      <c r="AD62" s="346">
        <v>0</v>
      </c>
      <c r="AE62" s="343">
        <v>0</v>
      </c>
      <c r="AF62" s="343">
        <v>8</v>
      </c>
      <c r="AG62" s="343">
        <f t="shared" si="1274"/>
        <v>2</v>
      </c>
      <c r="AH62" s="347">
        <f t="shared" si="1236"/>
        <v>20</v>
      </c>
      <c r="AI62" s="344">
        <f>IF(T62="AIR",'Catalogue Aluminium'!$K$141,IF(T62="TRENCH",'Catalogue Aluminium'!$K$144,"NA"))</f>
        <v>0.82</v>
      </c>
      <c r="AJ62" s="342">
        <f>IF(T62="Air",(IF(U62="1C",'Catalogue Aluminium'!$L$141,'Catalogue Aluminium'!$M$141)),IF(T62="DUCT",(IF($U62="1C",'Catalogue Aluminium'!$L$142,'Catalogue Aluminium'!$M$142)),IF(T62="GROUND",(IF($U62="1C",'Catalogue Aluminium'!$L$143,'Catalogue Aluminium'!$M$143)),IF(T62="TRENCH",(IF($U62="1C",'Catalogue Aluminium'!$L$144,'Catalogue Aluminium'!$M$144))))))</f>
        <v>0.73</v>
      </c>
      <c r="AK62" s="344" t="str">
        <f>IF(T62="Air",'Catalogue Aluminium'!$N$141,IF(T62="GROUND",'Catalogue Aluminium'!$N$142,IF(T62="DUCT",'Catalogue Aluminium'!$N$143,IF(T62="TRENCH",'Catalogue Aluminium'!$N$144,"NA"))))</f>
        <v>NA</v>
      </c>
      <c r="AL62" s="344" t="str">
        <f>IF(T62="Air",(IF(U62="1C",'Catalogue Aluminium'!$O$141,'Catalogue Aluminium'!$P$141)),IF(T62="DUCT",(IF($U62="1C",'Catalogue Aluminium'!$O$142,'Catalogue Aluminium'!$P$142)),IF(T62="GROUND",(IF($U62="1C",'Catalogue Aluminium'!$O$143,'Catalogue Aluminium'!$P$143)),IF(T62="TRENCH",(IF($U62="1C",'Catalogue Aluminium'!$O$144,'Catalogue Aluminium'!$P$144))))))</f>
        <v>NA</v>
      </c>
      <c r="AM62" s="344" t="str">
        <f>IF(T62="AIR","NA",IF(T62="TRENCH","NA",IF(T62="DUCT",IF(U62="1C",VLOOKUP(V62,'Catalogue Aluminium'!$Q$142:$S$153,2,FALSE),VLOOKUP(V62,'Catalogue Aluminium'!$Q$142:$S$153,3)),IF(T62="GROUND",IF(U62="1C",VLOOKUP(V62,'Catalogue Aluminium'!$Q$142:$S$153,2,FALSE),VLOOKUP(V62,'Catalogue Aluminium'!$Q$142:$S$153,3))))))</f>
        <v>NA</v>
      </c>
      <c r="AN62" s="348">
        <f>IF(T62="AIR",AI62*AJ62,IF(T62="TRENCH",AI62*AJ62,IF(T62="DUCT",AJ62*AK62*AL62*AM62,IF(T62="GROUND",AJ62*AK62*AL62*AM62))))</f>
        <v>0.59859999999999991</v>
      </c>
      <c r="AO62" s="342">
        <f>Z62*AN62</f>
        <v>211.90439999999998</v>
      </c>
      <c r="AP62" s="349">
        <f>CEILING(((N62)/AO62),1)</f>
        <v>1</v>
      </c>
      <c r="AQ62" s="350" t="str">
        <f>IF(AO62*AP62&gt;=N62,"YES","NO")</f>
        <v>YES</v>
      </c>
      <c r="AR62" s="351">
        <f>SQRT(3)*AH62*N62*((AA62*L62)+(AB62*SIN(ACOS(L62))))*100/(AP62*K62*1000)</f>
        <v>1.3959642367141308E-2</v>
      </c>
      <c r="AS62" s="343" t="str">
        <f t="shared" si="1275"/>
        <v>YES</v>
      </c>
      <c r="AT62" s="351" t="str">
        <f>IF(G62="MOTOR",(SQRT(3)*AH62*O62*((AA62*P62)+(AB62*SIN(ACOS(P62))))*100/(AP62*K62*1000)),"NA")</f>
        <v>NA</v>
      </c>
      <c r="AU62" s="343" t="str">
        <f>IF(G62="MOTOR",IF(AT62&lt;=15,"YES","NO"),"NA")</f>
        <v>NA</v>
      </c>
      <c r="AV62" s="351" t="str">
        <f>IF(U62="1C",CONCATENATE(AP62,"R x ",Y62,"kV x ",U62," x ",V62," Sqmm/Phase"),CONCATENATE(AP62,"R x ","6/10 (12)kV x ",U62," x ",V62," Sqmm"))</f>
        <v>1R x 6/10 (12)kV x 3C x 185 Sqmm</v>
      </c>
      <c r="AW62" s="351" t="str">
        <f>IF(U62="1C",CONCATENATE(AP62,"R x ",Y62,"kV x ",U62," x ",V62," Sqmm/Phase"),CONCATENATE(AP62,"R x ","6/10 (12)kV x ",U62," x ",V62," Sqmm"))</f>
        <v>1R x 6/10 (12)kV x 3C x 185 Sqmm</v>
      </c>
      <c r="AX62" s="343">
        <f>IF(U62="1C",(3*AH62*AP62),(AH62*AP62))</f>
        <v>20</v>
      </c>
      <c r="AY62" s="343"/>
      <c r="AZ62" s="343">
        <f>IF(U62="1C",(3*AP62*2),(AP62*2))</f>
        <v>2</v>
      </c>
      <c r="BA62" s="356" t="str">
        <f t="shared" si="1276"/>
        <v/>
      </c>
      <c r="BB62" s="340">
        <f>VLOOKUP(W62,'Catalogue Aluminium'!$B$141:$H$173,7,FALSE)</f>
        <v>66</v>
      </c>
      <c r="BC62" s="328">
        <f>AP62*BB62</f>
        <v>66</v>
      </c>
      <c r="BE62" s="416"/>
      <c r="BF62" s="416"/>
      <c r="BG62" s="416"/>
      <c r="BH62" s="416"/>
      <c r="BI62" s="416"/>
      <c r="BJ62" s="416"/>
      <c r="BK62" s="416"/>
      <c r="BL62" s="416"/>
      <c r="BM62" s="416"/>
      <c r="BN62" s="416"/>
      <c r="BO62" s="416"/>
      <c r="BP62" s="416"/>
      <c r="BQ62" s="416"/>
      <c r="BR62" s="416"/>
      <c r="BS62" s="416"/>
      <c r="BT62" s="416"/>
      <c r="BU62" s="416"/>
      <c r="BV62" s="416"/>
      <c r="BW62" s="416"/>
      <c r="BX62" s="416"/>
      <c r="BY62" s="416"/>
      <c r="BZ62" s="416"/>
      <c r="CA62" s="416"/>
      <c r="CB62" s="416"/>
      <c r="CC62" s="416"/>
      <c r="CD62" s="416"/>
      <c r="CE62" s="416"/>
      <c r="CF62" s="416"/>
      <c r="CG62" s="416"/>
      <c r="CH62" s="416"/>
      <c r="CI62" s="416"/>
      <c r="CJ62" s="416"/>
      <c r="CK62" s="416"/>
      <c r="CL62" s="416"/>
      <c r="CM62" s="416"/>
      <c r="CN62" s="416"/>
      <c r="CO62" s="416"/>
      <c r="CP62" s="416"/>
      <c r="CQ62" s="416"/>
      <c r="CR62" s="416"/>
      <c r="CS62" s="416"/>
      <c r="CT62" s="416"/>
      <c r="CU62" s="416"/>
      <c r="CV62" s="416"/>
      <c r="CW62" s="416"/>
      <c r="CX62" s="416"/>
      <c r="CY62" s="416"/>
      <c r="CZ62" s="416"/>
      <c r="DA62" s="416"/>
      <c r="DB62" s="416"/>
      <c r="DC62" s="416"/>
      <c r="DD62" s="416"/>
      <c r="DE62" s="416"/>
      <c r="DF62" s="416"/>
      <c r="DG62" s="416"/>
      <c r="DH62" s="416"/>
      <c r="DI62" s="416"/>
      <c r="DJ62" s="416"/>
      <c r="DK62" s="416"/>
      <c r="DL62" s="416"/>
      <c r="DM62" s="416"/>
      <c r="DN62" s="416"/>
      <c r="DO62" s="416"/>
      <c r="DP62" s="416"/>
      <c r="DQ62" s="416"/>
      <c r="DR62" s="416"/>
      <c r="DS62" s="416"/>
      <c r="DT62" s="416"/>
      <c r="DU62" s="416"/>
      <c r="DW62" s="336">
        <f t="shared" si="81"/>
        <v>0</v>
      </c>
      <c r="DX62" s="336">
        <f t="shared" si="0"/>
        <v>0</v>
      </c>
      <c r="DY62" s="336">
        <f t="shared" si="1"/>
        <v>0</v>
      </c>
      <c r="DZ62" s="336">
        <f t="shared" si="2"/>
        <v>0</v>
      </c>
      <c r="EA62" s="336">
        <f t="shared" si="3"/>
        <v>0</v>
      </c>
      <c r="EB62" s="336">
        <f t="shared" si="4"/>
        <v>0</v>
      </c>
      <c r="EC62" s="336">
        <f t="shared" si="5"/>
        <v>0</v>
      </c>
      <c r="ED62" s="336">
        <f t="shared" si="6"/>
        <v>0</v>
      </c>
      <c r="EE62" s="336">
        <f t="shared" si="7"/>
        <v>0</v>
      </c>
      <c r="EF62" s="336">
        <f t="shared" si="8"/>
        <v>0</v>
      </c>
      <c r="EG62" s="336">
        <f t="shared" si="9"/>
        <v>0</v>
      </c>
      <c r="EH62" s="336">
        <f t="shared" si="10"/>
        <v>0</v>
      </c>
      <c r="EI62" s="336">
        <f t="shared" si="11"/>
        <v>0</v>
      </c>
      <c r="EJ62" s="336">
        <f t="shared" si="12"/>
        <v>0</v>
      </c>
      <c r="EK62" s="336">
        <f t="shared" si="13"/>
        <v>0</v>
      </c>
      <c r="EL62" s="336">
        <f t="shared" si="14"/>
        <v>0</v>
      </c>
      <c r="EM62" s="336">
        <f t="shared" si="15"/>
        <v>0</v>
      </c>
      <c r="EN62" s="336">
        <f t="shared" si="16"/>
        <v>0</v>
      </c>
      <c r="EO62" s="336">
        <f t="shared" si="17"/>
        <v>0</v>
      </c>
      <c r="EP62" s="336">
        <f t="shared" si="18"/>
        <v>0</v>
      </c>
      <c r="EQ62" s="336">
        <f t="shared" si="19"/>
        <v>0</v>
      </c>
      <c r="ER62" s="336">
        <f t="shared" si="20"/>
        <v>0</v>
      </c>
      <c r="ES62" s="336">
        <f t="shared" si="21"/>
        <v>0</v>
      </c>
      <c r="ET62" s="336">
        <f t="shared" si="22"/>
        <v>0</v>
      </c>
      <c r="EU62" s="336">
        <f t="shared" si="23"/>
        <v>0</v>
      </c>
      <c r="EV62" s="336">
        <f t="shared" si="24"/>
        <v>0</v>
      </c>
      <c r="EW62" s="336">
        <f t="shared" si="25"/>
        <v>0</v>
      </c>
      <c r="EX62" s="336">
        <f t="shared" si="26"/>
        <v>0</v>
      </c>
      <c r="EY62" s="336">
        <f t="shared" si="27"/>
        <v>0</v>
      </c>
      <c r="EZ62" s="336">
        <f t="shared" si="28"/>
        <v>0</v>
      </c>
      <c r="FA62" s="336">
        <f t="shared" si="29"/>
        <v>0</v>
      </c>
      <c r="FB62" s="336">
        <f t="shared" si="30"/>
        <v>0</v>
      </c>
      <c r="FC62" s="336">
        <f t="shared" si="31"/>
        <v>0</v>
      </c>
      <c r="FD62" s="336">
        <f t="shared" si="32"/>
        <v>0</v>
      </c>
      <c r="FE62" s="336">
        <f t="shared" si="33"/>
        <v>0</v>
      </c>
      <c r="FF62" s="336">
        <f t="shared" si="34"/>
        <v>0</v>
      </c>
      <c r="FG62" s="336">
        <f t="shared" si="35"/>
        <v>0</v>
      </c>
      <c r="FH62" s="336">
        <f t="shared" si="36"/>
        <v>0</v>
      </c>
      <c r="FI62" s="336">
        <f t="shared" si="37"/>
        <v>0</v>
      </c>
      <c r="FJ62" s="336">
        <f t="shared" si="38"/>
        <v>0</v>
      </c>
      <c r="FK62" s="336">
        <f t="shared" si="39"/>
        <v>0</v>
      </c>
      <c r="FL62" s="336">
        <f t="shared" si="40"/>
        <v>0</v>
      </c>
      <c r="FM62" s="336">
        <f t="shared" si="41"/>
        <v>0</v>
      </c>
      <c r="FN62" s="336">
        <f t="shared" si="42"/>
        <v>0</v>
      </c>
      <c r="FO62" s="336">
        <f t="shared" si="43"/>
        <v>0</v>
      </c>
      <c r="FP62" s="336">
        <f t="shared" si="44"/>
        <v>0</v>
      </c>
      <c r="FQ62" s="336">
        <f t="shared" si="45"/>
        <v>0</v>
      </c>
      <c r="FR62" s="336">
        <f t="shared" si="46"/>
        <v>0</v>
      </c>
      <c r="FS62" s="336">
        <f t="shared" si="47"/>
        <v>0</v>
      </c>
      <c r="FT62" s="336">
        <f t="shared" si="48"/>
        <v>0</v>
      </c>
      <c r="FU62" s="336">
        <f t="shared" si="1216"/>
        <v>0</v>
      </c>
      <c r="FV62" s="336">
        <f t="shared" si="1217"/>
        <v>0</v>
      </c>
      <c r="FW62" s="336">
        <f t="shared" si="1218"/>
        <v>0</v>
      </c>
      <c r="FX62" s="336">
        <f t="shared" si="1219"/>
        <v>0</v>
      </c>
      <c r="FY62" s="336">
        <f t="shared" si="53"/>
        <v>0</v>
      </c>
      <c r="FZ62" s="336">
        <f t="shared" si="54"/>
        <v>0</v>
      </c>
      <c r="GA62" s="336">
        <f t="shared" si="55"/>
        <v>0</v>
      </c>
      <c r="GB62" s="336">
        <f t="shared" si="56"/>
        <v>0</v>
      </c>
      <c r="GC62" s="336">
        <f t="shared" si="57"/>
        <v>0</v>
      </c>
      <c r="GD62" s="336">
        <f t="shared" si="58"/>
        <v>0</v>
      </c>
      <c r="GE62" s="336">
        <f t="shared" si="59"/>
        <v>0</v>
      </c>
      <c r="GF62" s="336">
        <f t="shared" si="60"/>
        <v>0</v>
      </c>
      <c r="GG62" s="336">
        <f t="shared" si="61"/>
        <v>0</v>
      </c>
      <c r="GH62" s="336">
        <f t="shared" si="62"/>
        <v>0</v>
      </c>
      <c r="GI62" s="336">
        <f t="shared" si="63"/>
        <v>0</v>
      </c>
      <c r="GJ62" s="336">
        <f t="shared" si="64"/>
        <v>0</v>
      </c>
      <c r="GK62" s="336">
        <f t="shared" si="1215"/>
        <v>0</v>
      </c>
      <c r="GL62" s="336">
        <f t="shared" si="1148"/>
        <v>0</v>
      </c>
      <c r="GM62" s="336">
        <f t="shared" si="66"/>
        <v>0</v>
      </c>
    </row>
    <row r="63" spans="1:195" s="35" customFormat="1" ht="26.25" customHeight="1">
      <c r="A63" s="329"/>
      <c r="B63" s="330"/>
      <c r="C63" s="330"/>
      <c r="D63" s="331" t="s">
        <v>438</v>
      </c>
      <c r="E63" s="332"/>
      <c r="F63" s="332"/>
      <c r="G63" s="333"/>
      <c r="H63" s="334"/>
      <c r="I63" s="329"/>
      <c r="J63" s="329"/>
      <c r="K63" s="329"/>
      <c r="L63" s="329"/>
      <c r="M63" s="329"/>
      <c r="N63" s="329"/>
      <c r="O63" s="329"/>
      <c r="P63" s="329"/>
      <c r="Q63" s="329"/>
      <c r="R63" s="329"/>
      <c r="S63" s="329"/>
      <c r="T63" s="329"/>
      <c r="U63" s="329"/>
      <c r="V63" s="329"/>
      <c r="W63" s="329"/>
      <c r="X63" s="329"/>
      <c r="Y63" s="329"/>
      <c r="Z63" s="329"/>
      <c r="AA63" s="329"/>
      <c r="AB63" s="329"/>
      <c r="AC63" s="329"/>
      <c r="AD63" s="329"/>
      <c r="AE63" s="329"/>
      <c r="AF63" s="329"/>
      <c r="AG63" s="329"/>
      <c r="AH63" s="329"/>
      <c r="AI63" s="329"/>
      <c r="AJ63" s="329"/>
      <c r="AK63" s="329"/>
      <c r="AL63" s="329"/>
      <c r="AM63" s="329"/>
      <c r="AN63" s="329"/>
      <c r="AO63" s="329"/>
      <c r="AP63" s="329"/>
      <c r="AQ63" s="329"/>
      <c r="AR63" s="329"/>
      <c r="AS63" s="329"/>
      <c r="AT63" s="329"/>
      <c r="AU63" s="329"/>
      <c r="AV63" s="329"/>
      <c r="AW63" s="329"/>
      <c r="AX63" s="329"/>
      <c r="AY63" s="329"/>
      <c r="AZ63" s="413"/>
      <c r="BA63" s="329"/>
      <c r="BB63" s="329"/>
      <c r="BC63" s="329"/>
      <c r="BE63" s="332"/>
      <c r="BF63" s="332"/>
      <c r="BG63" s="332"/>
      <c r="BH63" s="332"/>
      <c r="BI63" s="332"/>
      <c r="BJ63" s="332"/>
      <c r="BK63" s="332"/>
      <c r="BL63" s="332"/>
      <c r="BM63" s="332"/>
      <c r="BN63" s="332"/>
      <c r="BO63" s="332"/>
      <c r="BP63" s="332"/>
      <c r="BQ63" s="332"/>
      <c r="BR63" s="332"/>
      <c r="BS63" s="332"/>
      <c r="BT63" s="332"/>
      <c r="BU63" s="332"/>
      <c r="BV63" s="332"/>
      <c r="BW63" s="332"/>
      <c r="BX63" s="332"/>
      <c r="BY63" s="332"/>
      <c r="BZ63" s="332"/>
      <c r="CA63" s="332"/>
      <c r="CB63" s="332"/>
      <c r="CC63" s="332"/>
      <c r="CD63" s="332"/>
      <c r="CE63" s="332"/>
      <c r="CF63" s="332"/>
      <c r="CG63" s="332"/>
      <c r="CH63" s="332"/>
      <c r="CI63" s="332"/>
      <c r="CJ63" s="332"/>
      <c r="CK63" s="332"/>
      <c r="CL63" s="332"/>
      <c r="CM63" s="332"/>
      <c r="CN63" s="332"/>
      <c r="CO63" s="332"/>
      <c r="CP63" s="332"/>
      <c r="CQ63" s="332"/>
      <c r="CR63" s="332"/>
      <c r="CS63" s="332"/>
      <c r="CT63" s="332"/>
      <c r="CU63" s="332"/>
      <c r="CV63" s="332"/>
      <c r="CW63" s="332"/>
      <c r="CX63" s="332"/>
      <c r="CY63" s="332"/>
      <c r="CZ63" s="332"/>
      <c r="DA63" s="332"/>
      <c r="DB63" s="332"/>
      <c r="DC63" s="332"/>
      <c r="DD63" s="332"/>
      <c r="DE63" s="332"/>
      <c r="DF63" s="332"/>
      <c r="DG63" s="332"/>
      <c r="DH63" s="332"/>
      <c r="DI63" s="332"/>
      <c r="DJ63" s="332"/>
      <c r="DK63" s="332"/>
      <c r="DL63" s="332"/>
      <c r="DM63" s="332"/>
      <c r="DN63" s="332"/>
      <c r="DO63" s="332"/>
      <c r="DP63" s="332"/>
      <c r="DQ63" s="332"/>
      <c r="DR63" s="332"/>
      <c r="DS63" s="332"/>
      <c r="DT63" s="332"/>
      <c r="DU63" s="332"/>
      <c r="DV63" s="61"/>
      <c r="DW63" s="336">
        <f t="shared" si="81"/>
        <v>0</v>
      </c>
      <c r="DX63" s="336">
        <f t="shared" si="0"/>
        <v>0</v>
      </c>
      <c r="DY63" s="336">
        <f t="shared" si="1"/>
        <v>0</v>
      </c>
      <c r="DZ63" s="336">
        <f t="shared" si="2"/>
        <v>0</v>
      </c>
      <c r="EA63" s="336">
        <f t="shared" si="3"/>
        <v>0</v>
      </c>
      <c r="EB63" s="336">
        <f t="shared" si="4"/>
        <v>0</v>
      </c>
      <c r="EC63" s="336">
        <f t="shared" si="5"/>
        <v>0</v>
      </c>
      <c r="ED63" s="336">
        <f t="shared" si="6"/>
        <v>0</v>
      </c>
      <c r="EE63" s="336">
        <f t="shared" si="7"/>
        <v>0</v>
      </c>
      <c r="EF63" s="336">
        <f t="shared" si="8"/>
        <v>0</v>
      </c>
      <c r="EG63" s="336">
        <f t="shared" si="9"/>
        <v>0</v>
      </c>
      <c r="EH63" s="336">
        <f t="shared" si="10"/>
        <v>0</v>
      </c>
      <c r="EI63" s="336">
        <f t="shared" si="11"/>
        <v>0</v>
      </c>
      <c r="EJ63" s="336">
        <f t="shared" si="12"/>
        <v>0</v>
      </c>
      <c r="EK63" s="336">
        <f t="shared" si="13"/>
        <v>0</v>
      </c>
      <c r="EL63" s="336">
        <f t="shared" si="14"/>
        <v>0</v>
      </c>
      <c r="EM63" s="336">
        <f t="shared" si="15"/>
        <v>0</v>
      </c>
      <c r="EN63" s="336">
        <f t="shared" si="16"/>
        <v>0</v>
      </c>
      <c r="EO63" s="336">
        <f t="shared" si="17"/>
        <v>0</v>
      </c>
      <c r="EP63" s="336">
        <f t="shared" si="18"/>
        <v>0</v>
      </c>
      <c r="EQ63" s="336">
        <f t="shared" si="19"/>
        <v>0</v>
      </c>
      <c r="ER63" s="336">
        <f t="shared" si="20"/>
        <v>0</v>
      </c>
      <c r="ES63" s="336">
        <f t="shared" si="21"/>
        <v>0</v>
      </c>
      <c r="ET63" s="336">
        <f t="shared" si="22"/>
        <v>0</v>
      </c>
      <c r="EU63" s="336">
        <f t="shared" si="23"/>
        <v>0</v>
      </c>
      <c r="EV63" s="336">
        <f t="shared" si="24"/>
        <v>0</v>
      </c>
      <c r="EW63" s="336">
        <f t="shared" si="25"/>
        <v>0</v>
      </c>
      <c r="EX63" s="336">
        <f t="shared" si="26"/>
        <v>0</v>
      </c>
      <c r="EY63" s="336">
        <f t="shared" si="27"/>
        <v>0</v>
      </c>
      <c r="EZ63" s="336">
        <f t="shared" si="28"/>
        <v>0</v>
      </c>
      <c r="FA63" s="336">
        <f t="shared" si="29"/>
        <v>0</v>
      </c>
      <c r="FB63" s="336">
        <f t="shared" si="30"/>
        <v>0</v>
      </c>
      <c r="FC63" s="336">
        <f t="shared" si="31"/>
        <v>0</v>
      </c>
      <c r="FD63" s="336">
        <f t="shared" si="32"/>
        <v>0</v>
      </c>
      <c r="FE63" s="336">
        <f t="shared" si="33"/>
        <v>0</v>
      </c>
      <c r="FF63" s="336">
        <f t="shared" si="34"/>
        <v>0</v>
      </c>
      <c r="FG63" s="336">
        <f t="shared" si="35"/>
        <v>0</v>
      </c>
      <c r="FH63" s="336">
        <f t="shared" si="36"/>
        <v>0</v>
      </c>
      <c r="FI63" s="336">
        <f t="shared" si="37"/>
        <v>0</v>
      </c>
      <c r="FJ63" s="336">
        <f t="shared" si="38"/>
        <v>0</v>
      </c>
      <c r="FK63" s="336">
        <f t="shared" si="39"/>
        <v>0</v>
      </c>
      <c r="FL63" s="336">
        <f t="shared" si="40"/>
        <v>0</v>
      </c>
      <c r="FM63" s="336">
        <f t="shared" si="41"/>
        <v>0</v>
      </c>
      <c r="FN63" s="336">
        <f t="shared" si="42"/>
        <v>0</v>
      </c>
      <c r="FO63" s="336">
        <f t="shared" si="43"/>
        <v>0</v>
      </c>
      <c r="FP63" s="336">
        <f t="shared" si="44"/>
        <v>0</v>
      </c>
      <c r="FQ63" s="336">
        <f t="shared" si="45"/>
        <v>0</v>
      </c>
      <c r="FR63" s="336">
        <f t="shared" si="46"/>
        <v>0</v>
      </c>
      <c r="FS63" s="336">
        <f t="shared" si="47"/>
        <v>0</v>
      </c>
      <c r="FT63" s="336">
        <f t="shared" si="48"/>
        <v>0</v>
      </c>
      <c r="FU63" s="336">
        <f t="shared" si="1216"/>
        <v>0</v>
      </c>
      <c r="FV63" s="336">
        <f t="shared" si="1217"/>
        <v>0</v>
      </c>
      <c r="FW63" s="336">
        <f t="shared" si="1218"/>
        <v>0</v>
      </c>
      <c r="FX63" s="336">
        <f t="shared" si="1219"/>
        <v>0</v>
      </c>
      <c r="FY63" s="336">
        <f t="shared" si="53"/>
        <v>0</v>
      </c>
      <c r="FZ63" s="336">
        <f t="shared" si="54"/>
        <v>0</v>
      </c>
      <c r="GA63" s="336">
        <f t="shared" si="55"/>
        <v>0</v>
      </c>
      <c r="GB63" s="336">
        <f t="shared" si="56"/>
        <v>0</v>
      </c>
      <c r="GC63" s="336">
        <f t="shared" si="57"/>
        <v>0</v>
      </c>
      <c r="GD63" s="336">
        <f t="shared" si="58"/>
        <v>0</v>
      </c>
      <c r="GE63" s="336">
        <f t="shared" si="59"/>
        <v>0</v>
      </c>
      <c r="GF63" s="336">
        <f t="shared" si="60"/>
        <v>0</v>
      </c>
      <c r="GG63" s="336">
        <f t="shared" si="61"/>
        <v>0</v>
      </c>
      <c r="GH63" s="336">
        <f t="shared" si="62"/>
        <v>0</v>
      </c>
      <c r="GI63" s="336">
        <f t="shared" si="63"/>
        <v>0</v>
      </c>
      <c r="GJ63" s="336">
        <f t="shared" si="64"/>
        <v>0</v>
      </c>
      <c r="GK63" s="336">
        <f t="shared" si="1215"/>
        <v>0</v>
      </c>
      <c r="GL63" s="336">
        <f t="shared" si="1148"/>
        <v>0</v>
      </c>
      <c r="GM63" s="336">
        <f t="shared" si="66"/>
        <v>0</v>
      </c>
    </row>
    <row r="64" spans="1:195" s="36" customFormat="1" ht="26.25" customHeight="1">
      <c r="A64" s="446"/>
      <c r="B64" s="447"/>
      <c r="C64" s="447"/>
      <c r="D64" s="448" t="s">
        <v>439</v>
      </c>
      <c r="E64" s="449"/>
      <c r="F64" s="449"/>
      <c r="G64" s="450"/>
      <c r="H64" s="382"/>
      <c r="I64" s="373"/>
      <c r="J64" s="373"/>
      <c r="K64" s="373"/>
      <c r="L64" s="446"/>
      <c r="M64" s="446"/>
      <c r="N64" s="446"/>
      <c r="O64" s="446"/>
      <c r="P64" s="446"/>
      <c r="Q64" s="446"/>
      <c r="R64" s="446"/>
      <c r="S64" s="446"/>
      <c r="T64" s="446"/>
      <c r="U64" s="446"/>
      <c r="V64" s="446"/>
      <c r="W64" s="446"/>
      <c r="X64" s="446"/>
      <c r="Y64" s="446"/>
      <c r="Z64" s="446"/>
      <c r="AA64" s="446"/>
      <c r="AB64" s="446"/>
      <c r="AC64" s="446"/>
      <c r="AD64" s="446"/>
      <c r="AE64" s="446"/>
      <c r="AF64" s="446"/>
      <c r="AG64" s="446"/>
      <c r="AH64" s="446"/>
      <c r="AI64" s="446"/>
      <c r="AJ64" s="446"/>
      <c r="AK64" s="446"/>
      <c r="AL64" s="446"/>
      <c r="AM64" s="446"/>
      <c r="AN64" s="446"/>
      <c r="AO64" s="446"/>
      <c r="AP64" s="446"/>
      <c r="AQ64" s="446"/>
      <c r="AR64" s="446"/>
      <c r="AS64" s="446"/>
      <c r="AT64" s="446"/>
      <c r="AU64" s="446"/>
      <c r="AV64" s="446"/>
      <c r="AW64" s="446"/>
      <c r="AX64" s="446"/>
      <c r="AY64" s="446"/>
      <c r="AZ64" s="452"/>
      <c r="BA64" s="446"/>
      <c r="BB64" s="446"/>
      <c r="BC64" s="446"/>
      <c r="BE64" s="449"/>
      <c r="BF64" s="449"/>
      <c r="BG64" s="449"/>
      <c r="BH64" s="449"/>
      <c r="BI64" s="449"/>
      <c r="BJ64" s="449"/>
      <c r="BK64" s="449"/>
      <c r="BL64" s="449"/>
      <c r="BM64" s="449"/>
      <c r="BN64" s="449"/>
      <c r="BO64" s="449"/>
      <c r="BP64" s="449"/>
      <c r="BQ64" s="449"/>
      <c r="BR64" s="449"/>
      <c r="BS64" s="449"/>
      <c r="BT64" s="449"/>
      <c r="BU64" s="449"/>
      <c r="BV64" s="449"/>
      <c r="BW64" s="449"/>
      <c r="BX64" s="449"/>
      <c r="BY64" s="449"/>
      <c r="BZ64" s="449"/>
      <c r="CA64" s="449"/>
      <c r="CB64" s="449"/>
      <c r="CC64" s="449"/>
      <c r="CD64" s="449"/>
      <c r="CE64" s="449"/>
      <c r="CF64" s="449"/>
      <c r="CG64" s="449"/>
      <c r="CH64" s="449"/>
      <c r="CI64" s="449"/>
      <c r="CJ64" s="449"/>
      <c r="CK64" s="449"/>
      <c r="CL64" s="449"/>
      <c r="CM64" s="449"/>
      <c r="CN64" s="449"/>
      <c r="CO64" s="449"/>
      <c r="CP64" s="449"/>
      <c r="CQ64" s="449"/>
      <c r="CR64" s="449"/>
      <c r="CS64" s="449"/>
      <c r="CT64" s="449"/>
      <c r="CU64" s="449"/>
      <c r="CV64" s="449"/>
      <c r="CW64" s="449"/>
      <c r="CX64" s="449"/>
      <c r="CY64" s="449"/>
      <c r="CZ64" s="449"/>
      <c r="DA64" s="449"/>
      <c r="DB64" s="449"/>
      <c r="DC64" s="449"/>
      <c r="DD64" s="449"/>
      <c r="DE64" s="449"/>
      <c r="DF64" s="449"/>
      <c r="DG64" s="449"/>
      <c r="DH64" s="449"/>
      <c r="DI64" s="449"/>
      <c r="DJ64" s="449"/>
      <c r="DK64" s="449"/>
      <c r="DL64" s="449"/>
      <c r="DM64" s="449"/>
      <c r="DN64" s="449"/>
      <c r="DO64" s="449"/>
      <c r="DP64" s="449"/>
      <c r="DQ64" s="449"/>
      <c r="DR64" s="449"/>
      <c r="DS64" s="449"/>
      <c r="DT64" s="449"/>
      <c r="DU64" s="449"/>
      <c r="DV64" s="61"/>
      <c r="DW64" s="336">
        <f t="shared" si="81"/>
        <v>0</v>
      </c>
      <c r="DX64" s="336">
        <f t="shared" si="0"/>
        <v>0</v>
      </c>
      <c r="DY64" s="336">
        <f t="shared" si="1"/>
        <v>0</v>
      </c>
      <c r="DZ64" s="336">
        <f t="shared" si="2"/>
        <v>0</v>
      </c>
      <c r="EA64" s="336">
        <f t="shared" si="3"/>
        <v>0</v>
      </c>
      <c r="EB64" s="336">
        <f t="shared" si="4"/>
        <v>0</v>
      </c>
      <c r="EC64" s="336">
        <f t="shared" si="5"/>
        <v>0</v>
      </c>
      <c r="ED64" s="336">
        <f t="shared" si="6"/>
        <v>0</v>
      </c>
      <c r="EE64" s="336">
        <f t="shared" si="7"/>
        <v>0</v>
      </c>
      <c r="EF64" s="336">
        <f t="shared" si="8"/>
        <v>0</v>
      </c>
      <c r="EG64" s="336">
        <f t="shared" si="9"/>
        <v>0</v>
      </c>
      <c r="EH64" s="336">
        <f t="shared" si="10"/>
        <v>0</v>
      </c>
      <c r="EI64" s="336">
        <f t="shared" si="11"/>
        <v>0</v>
      </c>
      <c r="EJ64" s="336">
        <f t="shared" si="12"/>
        <v>0</v>
      </c>
      <c r="EK64" s="336">
        <f t="shared" si="13"/>
        <v>0</v>
      </c>
      <c r="EL64" s="336">
        <f t="shared" si="14"/>
        <v>0</v>
      </c>
      <c r="EM64" s="336">
        <f t="shared" si="15"/>
        <v>0</v>
      </c>
      <c r="EN64" s="336">
        <f t="shared" si="16"/>
        <v>0</v>
      </c>
      <c r="EO64" s="336">
        <f t="shared" si="17"/>
        <v>0</v>
      </c>
      <c r="EP64" s="336">
        <f t="shared" si="18"/>
        <v>0</v>
      </c>
      <c r="EQ64" s="336">
        <f t="shared" si="19"/>
        <v>0</v>
      </c>
      <c r="ER64" s="336">
        <f t="shared" si="20"/>
        <v>0</v>
      </c>
      <c r="ES64" s="336">
        <f t="shared" si="21"/>
        <v>0</v>
      </c>
      <c r="ET64" s="336">
        <f t="shared" si="22"/>
        <v>0</v>
      </c>
      <c r="EU64" s="336">
        <f t="shared" si="23"/>
        <v>0</v>
      </c>
      <c r="EV64" s="336">
        <f t="shared" si="24"/>
        <v>0</v>
      </c>
      <c r="EW64" s="336">
        <f t="shared" si="25"/>
        <v>0</v>
      </c>
      <c r="EX64" s="336">
        <f t="shared" si="26"/>
        <v>0</v>
      </c>
      <c r="EY64" s="336">
        <f t="shared" si="27"/>
        <v>0</v>
      </c>
      <c r="EZ64" s="336">
        <f t="shared" si="28"/>
        <v>0</v>
      </c>
      <c r="FA64" s="336">
        <f t="shared" si="29"/>
        <v>0</v>
      </c>
      <c r="FB64" s="336">
        <f t="shared" si="30"/>
        <v>0</v>
      </c>
      <c r="FC64" s="336">
        <f t="shared" si="31"/>
        <v>0</v>
      </c>
      <c r="FD64" s="336">
        <f t="shared" si="32"/>
        <v>0</v>
      </c>
      <c r="FE64" s="336">
        <f t="shared" si="33"/>
        <v>0</v>
      </c>
      <c r="FF64" s="336">
        <f t="shared" si="34"/>
        <v>0</v>
      </c>
      <c r="FG64" s="336">
        <f t="shared" si="35"/>
        <v>0</v>
      </c>
      <c r="FH64" s="336">
        <f t="shared" si="36"/>
        <v>0</v>
      </c>
      <c r="FI64" s="336">
        <f t="shared" si="37"/>
        <v>0</v>
      </c>
      <c r="FJ64" s="336">
        <f t="shared" si="38"/>
        <v>0</v>
      </c>
      <c r="FK64" s="336">
        <f t="shared" si="39"/>
        <v>0</v>
      </c>
      <c r="FL64" s="336">
        <f t="shared" si="40"/>
        <v>0</v>
      </c>
      <c r="FM64" s="336">
        <f t="shared" si="41"/>
        <v>0</v>
      </c>
      <c r="FN64" s="336">
        <f t="shared" si="42"/>
        <v>0</v>
      </c>
      <c r="FO64" s="336">
        <f t="shared" si="43"/>
        <v>0</v>
      </c>
      <c r="FP64" s="336">
        <f t="shared" si="44"/>
        <v>0</v>
      </c>
      <c r="FQ64" s="336">
        <f t="shared" si="45"/>
        <v>0</v>
      </c>
      <c r="FR64" s="336">
        <f t="shared" si="46"/>
        <v>0</v>
      </c>
      <c r="FS64" s="336">
        <f t="shared" si="47"/>
        <v>0</v>
      </c>
      <c r="FT64" s="336">
        <f t="shared" si="48"/>
        <v>0</v>
      </c>
      <c r="FU64" s="336">
        <f t="shared" si="1216"/>
        <v>0</v>
      </c>
      <c r="FV64" s="336">
        <f t="shared" si="1217"/>
        <v>0</v>
      </c>
      <c r="FW64" s="336">
        <f t="shared" si="1218"/>
        <v>0</v>
      </c>
      <c r="FX64" s="336">
        <f t="shared" si="1219"/>
        <v>0</v>
      </c>
      <c r="FY64" s="336">
        <f t="shared" si="53"/>
        <v>0</v>
      </c>
      <c r="FZ64" s="336">
        <f t="shared" si="54"/>
        <v>0</v>
      </c>
      <c r="GA64" s="336">
        <f t="shared" si="55"/>
        <v>0</v>
      </c>
      <c r="GB64" s="336">
        <f t="shared" si="56"/>
        <v>0</v>
      </c>
      <c r="GC64" s="336">
        <f t="shared" si="57"/>
        <v>0</v>
      </c>
      <c r="GD64" s="336">
        <f t="shared" si="58"/>
        <v>0</v>
      </c>
      <c r="GE64" s="336">
        <f t="shared" si="59"/>
        <v>0</v>
      </c>
      <c r="GF64" s="336">
        <f t="shared" si="60"/>
        <v>0</v>
      </c>
      <c r="GG64" s="336">
        <f t="shared" si="61"/>
        <v>0</v>
      </c>
      <c r="GH64" s="336">
        <f t="shared" si="62"/>
        <v>0</v>
      </c>
      <c r="GI64" s="336">
        <f t="shared" si="63"/>
        <v>0</v>
      </c>
      <c r="GJ64" s="336">
        <f t="shared" si="64"/>
        <v>0</v>
      </c>
      <c r="GK64" s="336">
        <f t="shared" si="1215"/>
        <v>0</v>
      </c>
      <c r="GL64" s="336">
        <f t="shared" si="1148"/>
        <v>0</v>
      </c>
      <c r="GM64" s="336">
        <f t="shared" si="66"/>
        <v>0</v>
      </c>
    </row>
    <row r="65" spans="1:195" ht="25.5" customHeight="1">
      <c r="A65" s="337">
        <f>A62+1</f>
        <v>50</v>
      </c>
      <c r="B65" s="444" t="s">
        <v>328</v>
      </c>
      <c r="C65" s="337" t="str">
        <f>$D$63</f>
        <v>11kV MV Switchgear-3</v>
      </c>
      <c r="D65" s="440" t="s">
        <v>440</v>
      </c>
      <c r="E65" s="416" t="s">
        <v>441</v>
      </c>
      <c r="F65" s="337" t="s">
        <v>28</v>
      </c>
      <c r="G65" s="340" t="s">
        <v>350</v>
      </c>
      <c r="H65" s="864">
        <v>425</v>
      </c>
      <c r="I65" s="337" t="s">
        <v>330</v>
      </c>
      <c r="J65" s="337" t="s">
        <v>331</v>
      </c>
      <c r="K65" s="341">
        <v>11000</v>
      </c>
      <c r="L65" s="342">
        <v>0.87</v>
      </c>
      <c r="M65" s="342">
        <v>0.95499999999999996</v>
      </c>
      <c r="N65" s="342">
        <f t="shared" ref="N65:N70" si="1278">IF(I65="kVA",IF(J65="3Ph",(H65*1000/(1.732*M65*K65)),(H65*1000/(M65*K65))),IF(I65="kW",IF(J65="3Ph",(H65*1000/(1.732*M65*K65*L65)),(H65*1000/(M65*K65*L65)))))</f>
        <v>26.848852747258636</v>
      </c>
      <c r="O65" s="392">
        <f t="shared" ref="O65:O70" si="1279">IF(G65="MOTOR",(6*N65),IF(G65="VFD",(1*N65),0))</f>
        <v>161.09311648355182</v>
      </c>
      <c r="P65" s="343">
        <f t="shared" ref="P65:P70" si="1280">IF(G65="MOTOR",0.2,"0.00")</f>
        <v>0.2</v>
      </c>
      <c r="Q65" s="342">
        <v>31.5</v>
      </c>
      <c r="R65" s="342">
        <v>0.16</v>
      </c>
      <c r="S65" s="342">
        <f t="shared" ref="S65:S70" si="1281">(Q65*1000*SQRT(R65)/94)</f>
        <v>134.04255319148936</v>
      </c>
      <c r="T65" s="344" t="s">
        <v>131</v>
      </c>
      <c r="U65" s="342" t="s">
        <v>333</v>
      </c>
      <c r="V65" s="344">
        <v>150</v>
      </c>
      <c r="W65" s="343" t="str">
        <f t="shared" si="1277"/>
        <v>3C X 150</v>
      </c>
      <c r="X65" s="343" t="str">
        <f t="shared" ref="X65:X70" si="1282">(IF(J65="1Ph",W65,IF(J65="3Ph",(IF(G65="MOTOR",(CONCATENATE(W65,"+PE")),W65)))))</f>
        <v>3C X 150+PE</v>
      </c>
      <c r="Y65" s="419" t="s">
        <v>346</v>
      </c>
      <c r="Z65" s="344">
        <f>IF(T65="AIR",VLOOKUP(W65,'Catalogue Aluminium'!$B$141:$G$173,2,FALSE),IF(T65="GROUND",VLOOKUP(W65,'Catalogue Aluminium'!$B$141:$G$173,3,FALSE),IF(T65="DUCT",VLOOKUP(W65,'Catalogue Aluminium'!$B$141:$G$173,4,FALSE),IF(T65="TRENCH",VLOOKUP(W65,'Catalogue Aluminium'!$B$141:$G$173,2,FALSE)))))</f>
        <v>309</v>
      </c>
      <c r="AA65" s="345">
        <f>VLOOKUP(W65,'Catalogue Aluminium'!$B$141:$G$173,5,FALSE)</f>
        <v>0.26500000000000001</v>
      </c>
      <c r="AB65" s="345">
        <f>VLOOKUP(W65,'Catalogue Aluminium'!$B$141:$G$173,6,FALSE)</f>
        <v>9.2999999999999999E-2</v>
      </c>
      <c r="AC65" s="346">
        <v>15</v>
      </c>
      <c r="AD65" s="346">
        <v>0</v>
      </c>
      <c r="AE65" s="343">
        <v>0</v>
      </c>
      <c r="AF65" s="343">
        <v>8</v>
      </c>
      <c r="AG65" s="343">
        <f t="shared" ref="AG65:AG69" si="1283">ROUNDUP(SUM(AC65:AF65)*0.1,0)</f>
        <v>3</v>
      </c>
      <c r="AH65" s="347">
        <f t="shared" ref="AH65:AH80" si="1284">CEILING(SUM(AC65:AG65),10)</f>
        <v>30</v>
      </c>
      <c r="AI65" s="344">
        <f>IF(T65="AIR",'Catalogue Aluminium'!$K$141,IF(T65="TRENCH",'Catalogue Aluminium'!$K$144,"NA"))</f>
        <v>0.82</v>
      </c>
      <c r="AJ65" s="342">
        <f>IF(T65="Air",(IF(U65="1C",'Catalogue Aluminium'!$L$141,'Catalogue Aluminium'!$M$141)),IF(T65="DUCT",(IF($U65="1C",'Catalogue Aluminium'!$L$142,'Catalogue Aluminium'!$M$142)),IF(T65="GROUND",(IF($U65="1C",'Catalogue Aluminium'!$L$143,'Catalogue Aluminium'!$M$143)),IF(T65="TRENCH",(IF($U65="1C",'Catalogue Aluminium'!$L$144,'Catalogue Aluminium'!$M$144))))))</f>
        <v>0.73</v>
      </c>
      <c r="AK65" s="344" t="str">
        <f>IF(T65="Air",'Catalogue Aluminium'!$N$141,IF(T65="GROUND",'Catalogue Aluminium'!$N$142,IF(T65="DUCT",'Catalogue Aluminium'!$N$143,IF(T65="TRENCH",'Catalogue Aluminium'!$N$144,"NA"))))</f>
        <v>NA</v>
      </c>
      <c r="AL65" s="344" t="str">
        <f>IF(T65="Air",(IF(U65="1C",'Catalogue Aluminium'!$O$141,'Catalogue Aluminium'!$P$141)),IF(T65="DUCT",(IF($U65="1C",'Catalogue Aluminium'!$O$142,'Catalogue Aluminium'!$P$142)),IF(T65="GROUND",(IF($U65="1C",'Catalogue Aluminium'!$O$143,'Catalogue Aluminium'!$P$143)),IF(T65="TRENCH",(IF($U65="1C",'Catalogue Aluminium'!$O$144,'Catalogue Aluminium'!$P$144))))))</f>
        <v>NA</v>
      </c>
      <c r="AM65" s="344" t="str">
        <f>IF(T65="AIR","NA",IF(T65="TRENCH","NA",IF(T65="DUCT",IF(U65="1C",VLOOKUP(V65,'Catalogue Aluminium'!$Q$142:$S$153,2,FALSE),VLOOKUP(V65,'Catalogue Aluminium'!$Q$142:$S$153,3)),IF(T65="GROUND",IF(U65="1C",VLOOKUP(V65,'Catalogue Aluminium'!$Q$142:$S$153,2,FALSE),VLOOKUP(V65,'Catalogue Aluminium'!$Q$142:$S$153,3))))))</f>
        <v>NA</v>
      </c>
      <c r="AN65" s="348">
        <f t="shared" ref="AN65:AN70" si="1285">IF(T65="AIR",AI65*AJ65,IF(T65="TRENCH",AI65*AJ65,IF(T65="DUCT",AJ65*AK65*AL65*AM65,IF(T65="GROUND",AJ65*AK65*AL65*AM65))))</f>
        <v>0.59859999999999991</v>
      </c>
      <c r="AO65" s="342">
        <f t="shared" ref="AO65:AO70" si="1286">Z65*AN65</f>
        <v>184.96739999999997</v>
      </c>
      <c r="AP65" s="349">
        <f t="shared" ref="AP65:AP70" si="1287">CEILING(((N65)/AO65),1)</f>
        <v>1</v>
      </c>
      <c r="AQ65" s="350" t="str">
        <f t="shared" ref="AQ65:AQ70" si="1288">IF(AO65*AP65&gt;=N65,"YES","NO")</f>
        <v>YES</v>
      </c>
      <c r="AR65" s="351">
        <f t="shared" ref="AR65:AR70" si="1289">SQRT(3)*AH65*N65*((AA65*L65)+(AB65*SIN(ACOS(L65))))*100/(AP65*K65*1000)</f>
        <v>3.5055725151064599E-3</v>
      </c>
      <c r="AS65" s="343" t="str">
        <f t="shared" ref="AS65:AS70" si="1290">IF(G65="INCOMER",(IF(AR65&lt;=2,"YES","NO")),IF(G65="POWER",(IF(AR65&lt;=2.5,"YES","NO")),IF(G65="MOTOR",(IF(AR65&lt;=3,"YES","NO")))))</f>
        <v>YES</v>
      </c>
      <c r="AT65" s="351">
        <f t="shared" ref="AT65:AT70" si="1291">IF(G65="MOTOR",(SQRT(3)*AH65*O65*((AA65*P65)+(AB65*SIN(ACOS(P65))))*100/(AP65*K65*1000)),"NA")</f>
        <v>1.0967142910808117E-2</v>
      </c>
      <c r="AU65" s="343" t="str">
        <f t="shared" ref="AU65:AU70" si="1292">IF(G65="MOTOR",IF(AT65&lt;=15,"YES","NO"),"NA")</f>
        <v>YES</v>
      </c>
      <c r="AV65" s="351" t="str">
        <f t="shared" ref="AV65:AV70" si="1293">IF(U65="1C",CONCATENATE(AP65,"R x ",Y65,"kV x ",U65," x ",V65," Sqmm/Phase"),CONCATENATE(AP65,"R x ","6/10 (12)kV x ",U65," x ",V65," Sqmm"))</f>
        <v>1R x 6/10 (12)kV x 3C x 150 Sqmm</v>
      </c>
      <c r="AW65" s="351" t="str">
        <f t="shared" ref="AW65:AW70" si="1294">IF(U65="1C",CONCATENATE(AP65,"R x ",Y65,"kV x ",U65," x ",V65," Sqmm/Phase"),CONCATENATE(AP65,"R x ","6/10 (12)kV x ",U65," x ",V65," Sqmm"))</f>
        <v>1R x 6/10 (12)kV x 3C x 150 Sqmm</v>
      </c>
      <c r="AX65" s="343">
        <f t="shared" ref="AX65:AX70" si="1295">IF(U65="1C",(3*AH65*AP65),(AH65*AP65))</f>
        <v>30</v>
      </c>
      <c r="AY65" s="343"/>
      <c r="AZ65" s="343">
        <f t="shared" ref="AZ65:AZ70" si="1296">IF(U65="1C",(3*AP65*2),(AP65*2))</f>
        <v>2</v>
      </c>
      <c r="BA65" s="356" t="str">
        <f t="shared" ref="BA65:BA70" si="1297">CONCATENATE(IF(BE65=1,BE$4,""),IF(BF65=1,BF$4,""),IF(BG65=1,BG$4,""),IF(BH65=1,BH$4,""),IF(BI65=1,BI$4,""),IF(BJ65=1,BJ$4,""),IF(BK65=1,BK$4,""),IF(BL65=1,BL$4,""),IF(BM65=1,BM$4,""),IF(BN65=1,BN$4,""),IF(BO65=1,BO$4,""),IF(BP65=1,BP$4,""),IF(BQ65=1,BQ$4,""),IF(BR65=1,BR$4,""),IF(BS65=1,BS$4,""),IF(BT65=1,BT$4,""),IF(BU65=1,BU$4,""),IF(BV65=1,BV$4,""),IF(BW65=1,BW$4,""),IF(BX65=1,BX$4,""),IF(BY65=1,BY$4,""),IF(BZ65=1,BZ$4,""),IF(CA65=1,CA$4,""),IF(CB65=1,CB$4,""),IF(CC65=1,CC$4,""),IF(CD65=1,CD$4,""),IF(CE65=1,CE$4,""),IF(CF65=1,CF$4,""),IF(CG65=1,CG$4,""),IF(CH65=1,CH$4,""),IF(CI65=1,CI$4,""),IF(CJ65=1,CJ$4,""),IF(CK65=1,CK$4,""),IF(CL65=1,CL$4,""),IF(CM65=1,CM$4,""),IF(CN65=1,CN$4,""),IF(CO65=1,CO$4,""),IF(CP65=1,CP$4,""),IF(CQ65=1,CQ$4,""),IF(CR65=1,CR$4,""),IF(CS65=1,CS$4,""),IF(CT65=1,CT$4,""),IF(CU65=1,CU$4,""),IF(CV65=1,CV$4,""),IF(CW65=1,CW$4,""),IF(CX65=1,CX$4,""),IF(CY65=1,CY$4,""),IF(CZ65=1,CZ$4,""),IF(DA65=1,DA$4,""),IF(DB65=1,DB$4,""),IF(DC65=1,DC$4,""),IF(DD65=1,DD$4,""),IF(DE65=1,DE$4,""),IF(DF65=1,DF$4,""),IF(DG65=1,DG$4,""),IF(DH65=1,DH$4,""),IF(DI65=1,DI$4,""),IF(DJ65=1,DJ$4,""),IF(DK65=1,DK$4,""),IF(DL65=1,DL$4,""),IF(DM65=1,DM$4,""),IF(DN65=1,DN$4,""),IF(DO65=1,DO$4,""),IF(DP65=1,DP$4,""),IF(DQ65=1,DQ$4,""),IF(DR65=1,DR$4,""),IF(DS65=1,DS$4,""),IF(DT65=1,DT$4,""),IF(DU65=1,DU$4,""))</f>
        <v/>
      </c>
      <c r="BB65" s="340">
        <f>VLOOKUP(W65,'Catalogue Aluminium'!$B$141:$H$173,7,FALSE)</f>
        <v>62</v>
      </c>
      <c r="BC65" s="328">
        <f t="shared" ref="BC65:BC70" si="1298">AP65*BB65</f>
        <v>62</v>
      </c>
      <c r="BE65" s="416"/>
      <c r="BF65" s="416"/>
      <c r="BG65" s="416"/>
      <c r="BH65" s="416"/>
      <c r="BI65" s="416"/>
      <c r="BJ65" s="416"/>
      <c r="BK65" s="416"/>
      <c r="BL65" s="416"/>
      <c r="BM65" s="416"/>
      <c r="BN65" s="416"/>
      <c r="BO65" s="416"/>
      <c r="BP65" s="416"/>
      <c r="BQ65" s="416"/>
      <c r="BR65" s="416"/>
      <c r="BS65" s="416"/>
      <c r="BT65" s="416"/>
      <c r="BU65" s="416"/>
      <c r="BV65" s="416"/>
      <c r="BW65" s="416"/>
      <c r="BX65" s="341"/>
      <c r="BY65" s="341"/>
      <c r="BZ65" s="416"/>
      <c r="CA65" s="416"/>
      <c r="CB65" s="416"/>
      <c r="CC65" s="416"/>
      <c r="CD65" s="416"/>
      <c r="CE65" s="416"/>
      <c r="CF65" s="416"/>
      <c r="CG65" s="416"/>
      <c r="CH65" s="416"/>
      <c r="CI65" s="416"/>
      <c r="CJ65" s="416"/>
      <c r="CK65" s="416"/>
      <c r="CL65" s="416"/>
      <c r="CM65" s="416"/>
      <c r="CN65" s="416"/>
      <c r="CO65" s="416"/>
      <c r="CP65" s="416"/>
      <c r="CQ65" s="416"/>
      <c r="CR65" s="416"/>
      <c r="CS65" s="416"/>
      <c r="CT65" s="416"/>
      <c r="CU65" s="416"/>
      <c r="CV65" s="416"/>
      <c r="CW65" s="416"/>
      <c r="CX65" s="416"/>
      <c r="CY65" s="416"/>
      <c r="CZ65" s="416"/>
      <c r="DA65" s="416"/>
      <c r="DB65" s="416"/>
      <c r="DC65" s="416"/>
      <c r="DD65" s="416"/>
      <c r="DE65" s="416"/>
      <c r="DF65" s="416"/>
      <c r="DG65" s="416"/>
      <c r="DH65" s="416"/>
      <c r="DI65" s="416"/>
      <c r="DJ65" s="416"/>
      <c r="DK65" s="416"/>
      <c r="DL65" s="416"/>
      <c r="DM65" s="416"/>
      <c r="DN65" s="416"/>
      <c r="DO65" s="416"/>
      <c r="DP65" s="416"/>
      <c r="DQ65" s="416"/>
      <c r="DR65" s="416"/>
      <c r="DS65" s="416"/>
      <c r="DT65" s="416"/>
      <c r="DU65" s="416"/>
      <c r="DW65" s="336">
        <f t="shared" si="81"/>
        <v>0</v>
      </c>
      <c r="DX65" s="336">
        <f t="shared" si="0"/>
        <v>0</v>
      </c>
      <c r="DY65" s="336">
        <f t="shared" si="1"/>
        <v>0</v>
      </c>
      <c r="DZ65" s="336">
        <f t="shared" si="2"/>
        <v>0</v>
      </c>
      <c r="EA65" s="336">
        <f t="shared" si="3"/>
        <v>0</v>
      </c>
      <c r="EB65" s="336">
        <f t="shared" si="4"/>
        <v>0</v>
      </c>
      <c r="EC65" s="336">
        <f t="shared" si="5"/>
        <v>0</v>
      </c>
      <c r="ED65" s="336">
        <f t="shared" si="6"/>
        <v>0</v>
      </c>
      <c r="EE65" s="336">
        <f t="shared" si="7"/>
        <v>0</v>
      </c>
      <c r="EF65" s="336">
        <f t="shared" si="8"/>
        <v>0</v>
      </c>
      <c r="EG65" s="336">
        <f t="shared" si="9"/>
        <v>0</v>
      </c>
      <c r="EH65" s="336">
        <f t="shared" si="10"/>
        <v>0</v>
      </c>
      <c r="EI65" s="336">
        <f t="shared" si="11"/>
        <v>0</v>
      </c>
      <c r="EJ65" s="336">
        <f t="shared" si="12"/>
        <v>0</v>
      </c>
      <c r="EK65" s="336">
        <f t="shared" si="13"/>
        <v>0</v>
      </c>
      <c r="EL65" s="336">
        <f t="shared" si="14"/>
        <v>0</v>
      </c>
      <c r="EM65" s="336">
        <f t="shared" si="15"/>
        <v>0</v>
      </c>
      <c r="EN65" s="336">
        <f t="shared" si="16"/>
        <v>0</v>
      </c>
      <c r="EO65" s="336">
        <f t="shared" si="17"/>
        <v>0</v>
      </c>
      <c r="EP65" s="336">
        <f t="shared" si="18"/>
        <v>0</v>
      </c>
      <c r="EQ65" s="336">
        <f t="shared" si="19"/>
        <v>0</v>
      </c>
      <c r="ER65" s="336">
        <f t="shared" si="20"/>
        <v>0</v>
      </c>
      <c r="ES65" s="336">
        <f t="shared" si="21"/>
        <v>0</v>
      </c>
      <c r="ET65" s="336">
        <f t="shared" si="22"/>
        <v>0</v>
      </c>
      <c r="EU65" s="336">
        <f t="shared" si="23"/>
        <v>0</v>
      </c>
      <c r="EV65" s="336">
        <f t="shared" si="24"/>
        <v>0</v>
      </c>
      <c r="EW65" s="336">
        <f t="shared" si="25"/>
        <v>0</v>
      </c>
      <c r="EX65" s="336">
        <f t="shared" si="26"/>
        <v>0</v>
      </c>
      <c r="EY65" s="336">
        <f t="shared" si="27"/>
        <v>0</v>
      </c>
      <c r="EZ65" s="336">
        <f t="shared" si="28"/>
        <v>0</v>
      </c>
      <c r="FA65" s="336">
        <f t="shared" si="29"/>
        <v>0</v>
      </c>
      <c r="FB65" s="336">
        <f t="shared" si="30"/>
        <v>0</v>
      </c>
      <c r="FC65" s="336">
        <f t="shared" si="31"/>
        <v>0</v>
      </c>
      <c r="FD65" s="336">
        <f t="shared" si="32"/>
        <v>0</v>
      </c>
      <c r="FE65" s="336">
        <f t="shared" si="33"/>
        <v>0</v>
      </c>
      <c r="FF65" s="336">
        <f t="shared" si="34"/>
        <v>0</v>
      </c>
      <c r="FG65" s="336">
        <f t="shared" si="35"/>
        <v>0</v>
      </c>
      <c r="FH65" s="336">
        <f t="shared" si="36"/>
        <v>0</v>
      </c>
      <c r="FI65" s="336">
        <f t="shared" si="37"/>
        <v>0</v>
      </c>
      <c r="FJ65" s="336">
        <f t="shared" si="38"/>
        <v>0</v>
      </c>
      <c r="FK65" s="336">
        <f t="shared" si="39"/>
        <v>0</v>
      </c>
      <c r="FL65" s="336">
        <f t="shared" si="40"/>
        <v>0</v>
      </c>
      <c r="FM65" s="336">
        <f t="shared" si="41"/>
        <v>0</v>
      </c>
      <c r="FN65" s="336">
        <f t="shared" si="42"/>
        <v>0</v>
      </c>
      <c r="FO65" s="336">
        <f t="shared" si="43"/>
        <v>0</v>
      </c>
      <c r="FP65" s="336">
        <f t="shared" si="44"/>
        <v>0</v>
      </c>
      <c r="FQ65" s="336">
        <f t="shared" si="45"/>
        <v>0</v>
      </c>
      <c r="FR65" s="336">
        <f t="shared" si="46"/>
        <v>0</v>
      </c>
      <c r="FS65" s="336">
        <f t="shared" si="47"/>
        <v>0</v>
      </c>
      <c r="FT65" s="336">
        <f t="shared" si="48"/>
        <v>0</v>
      </c>
      <c r="FU65" s="336">
        <f t="shared" si="1216"/>
        <v>0</v>
      </c>
      <c r="FV65" s="336">
        <f t="shared" si="1217"/>
        <v>0</v>
      </c>
      <c r="FW65" s="336">
        <f t="shared" si="1218"/>
        <v>0</v>
      </c>
      <c r="FX65" s="336">
        <f t="shared" si="1219"/>
        <v>0</v>
      </c>
      <c r="FY65" s="336">
        <f t="shared" si="53"/>
        <v>0</v>
      </c>
      <c r="FZ65" s="336">
        <f t="shared" si="54"/>
        <v>0</v>
      </c>
      <c r="GA65" s="336">
        <f t="shared" si="55"/>
        <v>0</v>
      </c>
      <c r="GB65" s="336">
        <f t="shared" si="56"/>
        <v>0</v>
      </c>
      <c r="GC65" s="336">
        <f t="shared" si="57"/>
        <v>0</v>
      </c>
      <c r="GD65" s="336">
        <f t="shared" si="58"/>
        <v>0</v>
      </c>
      <c r="GE65" s="336">
        <f t="shared" si="59"/>
        <v>0</v>
      </c>
      <c r="GF65" s="336">
        <f t="shared" si="60"/>
        <v>0</v>
      </c>
      <c r="GG65" s="336">
        <f t="shared" si="61"/>
        <v>0</v>
      </c>
      <c r="GH65" s="336">
        <f t="shared" si="62"/>
        <v>0</v>
      </c>
      <c r="GI65" s="336">
        <f t="shared" si="63"/>
        <v>0</v>
      </c>
      <c r="GJ65" s="336">
        <f t="shared" si="64"/>
        <v>0</v>
      </c>
      <c r="GK65" s="336">
        <f t="shared" si="1215"/>
        <v>0</v>
      </c>
      <c r="GL65" s="336">
        <f t="shared" si="1148"/>
        <v>0</v>
      </c>
      <c r="GM65" s="336">
        <f t="shared" si="66"/>
        <v>0</v>
      </c>
    </row>
    <row r="66" spans="1:195" ht="25.5" customHeight="1">
      <c r="A66" s="388">
        <f>A65+1</f>
        <v>51</v>
      </c>
      <c r="B66" s="445" t="s">
        <v>328</v>
      </c>
      <c r="C66" s="388" t="str">
        <f>$D$63</f>
        <v>11kV MV Switchgear-3</v>
      </c>
      <c r="D66" s="441" t="s">
        <v>442</v>
      </c>
      <c r="E66" s="432" t="s">
        <v>441</v>
      </c>
      <c r="F66" s="388" t="s">
        <v>28</v>
      </c>
      <c r="G66" s="390" t="s">
        <v>329</v>
      </c>
      <c r="H66" s="396">
        <v>0.2</v>
      </c>
      <c r="I66" s="388" t="s">
        <v>330</v>
      </c>
      <c r="J66" s="388" t="s">
        <v>357</v>
      </c>
      <c r="K66" s="434">
        <v>230</v>
      </c>
      <c r="L66" s="401">
        <v>0.85</v>
      </c>
      <c r="M66" s="418">
        <v>0.95</v>
      </c>
      <c r="N66" s="392">
        <f t="shared" si="1278"/>
        <v>1.0768609503297888</v>
      </c>
      <c r="O66" s="392">
        <f t="shared" si="1279"/>
        <v>0</v>
      </c>
      <c r="P66" s="401" t="str">
        <f t="shared" si="1280"/>
        <v>0.00</v>
      </c>
      <c r="Q66" s="418">
        <v>65</v>
      </c>
      <c r="R66" s="418">
        <v>0</v>
      </c>
      <c r="S66" s="418">
        <f t="shared" si="1281"/>
        <v>0</v>
      </c>
      <c r="T66" s="401" t="s">
        <v>131</v>
      </c>
      <c r="U66" s="418" t="s">
        <v>333</v>
      </c>
      <c r="V66" s="401">
        <v>2.5</v>
      </c>
      <c r="W66" s="401" t="str">
        <f t="shared" si="1277"/>
        <v>3C X 2.5</v>
      </c>
      <c r="X66" s="401" t="str">
        <f t="shared" si="1282"/>
        <v>3C X 2.5</v>
      </c>
      <c r="Y66" s="435" t="s">
        <v>358</v>
      </c>
      <c r="Z66" s="393">
        <f>IF(T66="AIR",VLOOKUP(W66,'Catalogue Aluminium'!$B$141:$G$173,2,FALSE),IF(T66="GROUND",VLOOKUP(W66,'Catalogue Aluminium'!$B$141:$G$173,3,FALSE),IF(T66="DUCT",VLOOKUP(W66,'Catalogue Aluminium'!$B$141:$G$173,4,FALSE),IF(T66="TRENCH",VLOOKUP(W66,'Catalogue Aluminium'!$B$141:$G$173,2,FALSE)))))</f>
        <v>28</v>
      </c>
      <c r="AA66" s="402">
        <f>VLOOKUP(W66,'Catalogue Aluminium'!$B$141:$G$173,5,FALSE)</f>
        <v>9.48</v>
      </c>
      <c r="AB66" s="402">
        <f>VLOOKUP(W66,'Catalogue Aluminium'!$B$141:$G$173,6,FALSE)</f>
        <v>0.1007</v>
      </c>
      <c r="AC66" s="457">
        <v>15</v>
      </c>
      <c r="AD66" s="457">
        <v>0</v>
      </c>
      <c r="AE66" s="401">
        <v>0</v>
      </c>
      <c r="AF66" s="401">
        <v>8</v>
      </c>
      <c r="AG66" s="401">
        <f t="shared" ref="AG66" si="1299">ROUNDUP(SUM(AC66:AF66)*0.1,0)</f>
        <v>3</v>
      </c>
      <c r="AH66" s="436">
        <f t="shared" si="1284"/>
        <v>30</v>
      </c>
      <c r="AI66" s="393">
        <f>IF(T66="AIR",'Catalogue Aluminium'!$K$141,IF(T66="TRENCH",'Catalogue Aluminium'!$K$144,"NA"))</f>
        <v>0.82</v>
      </c>
      <c r="AJ66" s="392">
        <f>IF(T66="Air",(IF(U66="1C",'Catalogue Aluminium'!$L$141,'Catalogue Aluminium'!$M$141)),IF(T66="DUCT",(IF($U66="1C",'Catalogue Aluminium'!$L$142,'Catalogue Aluminium'!$M$142)),IF(T66="GROUND",(IF($U66="1C",'Catalogue Aluminium'!$L$143,'Catalogue Aluminium'!$M$143)),IF(T66="TRENCH",(IF($U66="1C",'Catalogue Aluminium'!$L$144,'Catalogue Aluminium'!$M$144))))))</f>
        <v>0.73</v>
      </c>
      <c r="AK66" s="393" t="str">
        <f>IF(T66="Air",'Catalogue Aluminium'!$N$141,IF(T66="GROUND",'Catalogue Aluminium'!$N$142,IF(T66="DUCT",'Catalogue Aluminium'!$N$143,IF(T66="TRENCH",'Catalogue Aluminium'!$N$144,"NA"))))</f>
        <v>NA</v>
      </c>
      <c r="AL66" s="393" t="str">
        <f>IF(T66="Air",(IF(U66="1C",'Catalogue Aluminium'!$O$141,'Catalogue Aluminium'!$P$141)),IF(T66="DUCT",(IF($U66="1C",'Catalogue Aluminium'!$O$142,'Catalogue Aluminium'!$P$142)),IF(T66="GROUND",(IF($U66="1C",'Catalogue Aluminium'!$O$143,'Catalogue Aluminium'!$P$143)),IF(T66="TRENCH",(IF($U66="1C",'Catalogue Aluminium'!$O$144,'Catalogue Aluminium'!$P$144))))))</f>
        <v>NA</v>
      </c>
      <c r="AM66" s="393" t="str">
        <f>IF(T66="AIR","NA",IF(T66="TRENCH","NA",IF(T66="DUCT",IF(U66="1C",VLOOKUP(V66,'Catalogue Aluminium'!$Q$142:$S$153,2,FALSE),VLOOKUP(V66,'Catalogue Aluminium'!$Q$142:$S$153,3)),IF(T66="GROUND",IF(U66="1C",VLOOKUP(V66,'Catalogue Aluminium'!$Q$142:$S$153,2,FALSE),VLOOKUP(V66,'Catalogue Aluminium'!$Q$142:$S$153,3))))))</f>
        <v>NA</v>
      </c>
      <c r="AN66" s="404">
        <f t="shared" si="1285"/>
        <v>0.59859999999999991</v>
      </c>
      <c r="AO66" s="392">
        <f t="shared" si="1286"/>
        <v>16.760799999999996</v>
      </c>
      <c r="AP66" s="434">
        <f t="shared" si="1287"/>
        <v>1</v>
      </c>
      <c r="AQ66" s="418" t="str">
        <f t="shared" si="1288"/>
        <v>YES</v>
      </c>
      <c r="AR66" s="437">
        <f t="shared" si="1289"/>
        <v>0.1973288539330848</v>
      </c>
      <c r="AS66" s="401" t="str">
        <f t="shared" si="1290"/>
        <v>YES</v>
      </c>
      <c r="AT66" s="437" t="str">
        <f t="shared" si="1291"/>
        <v>NA</v>
      </c>
      <c r="AU66" s="401" t="str">
        <f t="shared" si="1292"/>
        <v>NA</v>
      </c>
      <c r="AV66" s="437" t="str">
        <f t="shared" si="1293"/>
        <v>1R x 6/10 (12)kV x 3C x 2.5 Sqmm</v>
      </c>
      <c r="AW66" s="437" t="str">
        <f t="shared" si="1294"/>
        <v>1R x 6/10 (12)kV x 3C x 2.5 Sqmm</v>
      </c>
      <c r="AX66" s="401">
        <f t="shared" si="1295"/>
        <v>30</v>
      </c>
      <c r="AY66" s="401"/>
      <c r="AZ66" s="401">
        <f t="shared" si="1296"/>
        <v>2</v>
      </c>
      <c r="BA66" s="438" t="str">
        <f t="shared" si="1297"/>
        <v/>
      </c>
      <c r="BB66" s="390">
        <f>VLOOKUP(W66,'Catalogue Aluminium'!$B$141:$H$173,7,FALSE)</f>
        <v>14</v>
      </c>
      <c r="BC66" s="439">
        <f t="shared" si="1298"/>
        <v>14</v>
      </c>
      <c r="BE66" s="416"/>
      <c r="BF66" s="416"/>
      <c r="BG66" s="416"/>
      <c r="BH66" s="416"/>
      <c r="BI66" s="416"/>
      <c r="BJ66" s="416"/>
      <c r="BK66" s="416"/>
      <c r="BL66" s="416"/>
      <c r="BM66" s="416"/>
      <c r="BN66" s="416"/>
      <c r="BO66" s="416"/>
      <c r="BP66" s="416"/>
      <c r="BQ66" s="416"/>
      <c r="BR66" s="416"/>
      <c r="BS66" s="416"/>
      <c r="BT66" s="416"/>
      <c r="BU66" s="416"/>
      <c r="BV66" s="416"/>
      <c r="BW66" s="416"/>
      <c r="BX66" s="341"/>
      <c r="BY66" s="341"/>
      <c r="BZ66" s="416"/>
      <c r="CA66" s="416"/>
      <c r="CB66" s="416"/>
      <c r="CC66" s="416"/>
      <c r="CD66" s="416"/>
      <c r="CE66" s="416"/>
      <c r="CF66" s="416"/>
      <c r="CG66" s="416"/>
      <c r="CH66" s="416"/>
      <c r="CI66" s="416"/>
      <c r="CJ66" s="416"/>
      <c r="CK66" s="416"/>
      <c r="CL66" s="416"/>
      <c r="CM66" s="416"/>
      <c r="CN66" s="416"/>
      <c r="CO66" s="416"/>
      <c r="CP66" s="416"/>
      <c r="CQ66" s="416"/>
      <c r="CR66" s="416"/>
      <c r="CS66" s="416"/>
      <c r="CT66" s="416"/>
      <c r="CU66" s="416"/>
      <c r="CV66" s="416"/>
      <c r="CW66" s="416"/>
      <c r="CX66" s="416"/>
      <c r="CY66" s="416"/>
      <c r="CZ66" s="416"/>
      <c r="DA66" s="416"/>
      <c r="DB66" s="416"/>
      <c r="DC66" s="416"/>
      <c r="DD66" s="416"/>
      <c r="DE66" s="416"/>
      <c r="DF66" s="416"/>
      <c r="DG66" s="416"/>
      <c r="DH66" s="416"/>
      <c r="DI66" s="416"/>
      <c r="DJ66" s="416"/>
      <c r="DK66" s="416"/>
      <c r="DL66" s="416"/>
      <c r="DM66" s="416"/>
      <c r="DN66" s="416"/>
      <c r="DO66" s="416"/>
      <c r="DP66" s="416"/>
      <c r="DQ66" s="416"/>
      <c r="DR66" s="416"/>
      <c r="DS66" s="416"/>
      <c r="DT66" s="416"/>
      <c r="DU66" s="416"/>
      <c r="DW66" s="336">
        <f t="shared" ref="DW66" si="1300">IF(BE66=1,($BC66*BE66),0)</f>
        <v>0</v>
      </c>
      <c r="DX66" s="336">
        <f t="shared" ref="DX66" si="1301">IF(BF66=1,($BC66*BF66),0)</f>
        <v>0</v>
      </c>
      <c r="DY66" s="336">
        <f t="shared" ref="DY66" si="1302">IF(BG66=1,($BC66*BG66),0)</f>
        <v>0</v>
      </c>
      <c r="DZ66" s="336">
        <f t="shared" ref="DZ66" si="1303">IF(BH66=1,($BC66*BH66),0)</f>
        <v>0</v>
      </c>
      <c r="EA66" s="336">
        <f t="shared" ref="EA66" si="1304">IF(BI66=1,($BC66*BI66),0)</f>
        <v>0</v>
      </c>
      <c r="EB66" s="336">
        <f t="shared" ref="EB66" si="1305">IF(BJ66=1,($BC66*BJ66),0)</f>
        <v>0</v>
      </c>
      <c r="EC66" s="336">
        <f t="shared" ref="EC66" si="1306">IF(BK66=1,($BC66*BK66),0)</f>
        <v>0</v>
      </c>
      <c r="ED66" s="336">
        <f t="shared" ref="ED66" si="1307">IF(BL66=1,($BC66*BL66),0)</f>
        <v>0</v>
      </c>
      <c r="EE66" s="336">
        <f t="shared" ref="EE66" si="1308">IF(BM66=1,($BC66*BM66),0)</f>
        <v>0</v>
      </c>
      <c r="EF66" s="336">
        <f t="shared" ref="EF66" si="1309">IF(BN66=1,($BC66*BN66),0)</f>
        <v>0</v>
      </c>
      <c r="EG66" s="336">
        <f t="shared" ref="EG66" si="1310">IF(BO66=1,($BC66*BO66),0)</f>
        <v>0</v>
      </c>
      <c r="EH66" s="336">
        <f t="shared" ref="EH66" si="1311">IF(BP66=1,($BC66*BP66),0)</f>
        <v>0</v>
      </c>
      <c r="EI66" s="336">
        <f t="shared" ref="EI66" si="1312">IF(BQ66=1,($BC66*BQ66),0)</f>
        <v>0</v>
      </c>
      <c r="EJ66" s="336">
        <f t="shared" ref="EJ66" si="1313">IF(BR66=1,($BC66*BR66),0)</f>
        <v>0</v>
      </c>
      <c r="EK66" s="336">
        <f t="shared" ref="EK66" si="1314">IF(BS66=1,($BC66*BS66),0)</f>
        <v>0</v>
      </c>
      <c r="EL66" s="336">
        <f t="shared" ref="EL66" si="1315">IF(BT66=1,($BC66*BT66),0)</f>
        <v>0</v>
      </c>
      <c r="EM66" s="336">
        <f t="shared" ref="EM66" si="1316">IF(BU66=1,($BC66*BU66),0)</f>
        <v>0</v>
      </c>
      <c r="EN66" s="336">
        <f t="shared" ref="EN66" si="1317">IF(BV66=1,($BC66*BV66),0)</f>
        <v>0</v>
      </c>
      <c r="EO66" s="336">
        <f t="shared" ref="EO66" si="1318">IF(BW66=1,($BC66*BW66),0)</f>
        <v>0</v>
      </c>
      <c r="EP66" s="336">
        <f t="shared" ref="EP66" si="1319">IF(BX66=1,($BC66*BX66),0)</f>
        <v>0</v>
      </c>
      <c r="EQ66" s="336">
        <f t="shared" ref="EQ66" si="1320">IF(BY66=1,($BC66*BY66),0)</f>
        <v>0</v>
      </c>
      <c r="ER66" s="336">
        <f t="shared" ref="ER66" si="1321">IF(BZ66=1,($BC66*BZ66),0)</f>
        <v>0</v>
      </c>
      <c r="ES66" s="336">
        <f t="shared" ref="ES66" si="1322">IF(CA66=1,($BC66*CA66),0)</f>
        <v>0</v>
      </c>
      <c r="ET66" s="336">
        <f t="shared" si="22"/>
        <v>0</v>
      </c>
      <c r="EU66" s="336">
        <f t="shared" si="23"/>
        <v>0</v>
      </c>
      <c r="EV66" s="336">
        <f t="shared" ref="EV66" si="1323">IF(CD66=1,($BC66*CD66),0)</f>
        <v>0</v>
      </c>
      <c r="EW66" s="336">
        <f t="shared" ref="EW66" si="1324">IF(CE66=1,($BC66*CE66),0)</f>
        <v>0</v>
      </c>
      <c r="EX66" s="336">
        <f t="shared" ref="EX66" si="1325">IF(CF66=1,($BC66*CF66),0)</f>
        <v>0</v>
      </c>
      <c r="EY66" s="336">
        <f t="shared" ref="EY66" si="1326">IF(CG66=1,($BC66*CG66),0)</f>
        <v>0</v>
      </c>
      <c r="EZ66" s="336">
        <f t="shared" ref="EZ66" si="1327">IF(CH66=1,($BC66*CH66),0)</f>
        <v>0</v>
      </c>
      <c r="FA66" s="336">
        <f t="shared" ref="FA66" si="1328">IF(CI66=1,($BC66*CI66),0)</f>
        <v>0</v>
      </c>
      <c r="FB66" s="336">
        <f t="shared" ref="FB66" si="1329">IF(CJ66=1,($BC66*CJ66),0)</f>
        <v>0</v>
      </c>
      <c r="FC66" s="336">
        <f t="shared" ref="FC66" si="1330">IF(CK66=1,($BC66*CK66),0)</f>
        <v>0</v>
      </c>
      <c r="FD66" s="336">
        <f t="shared" ref="FD66" si="1331">IF(CL66=1,($BC66*CL66),0)</f>
        <v>0</v>
      </c>
      <c r="FE66" s="336">
        <f t="shared" ref="FE66" si="1332">IF(CM66=1,($BC66*CM66),0)</f>
        <v>0</v>
      </c>
      <c r="FF66" s="336">
        <f t="shared" ref="FF66" si="1333">IF(CN66=1,($BC66*CN66),0)</f>
        <v>0</v>
      </c>
      <c r="FG66" s="336">
        <f t="shared" ref="FG66" si="1334">IF(CO66=1,($BC66*CO66),0)</f>
        <v>0</v>
      </c>
      <c r="FH66" s="336">
        <f t="shared" ref="FH66" si="1335">IF(CP66=1,($BC66*CP66),0)</f>
        <v>0</v>
      </c>
      <c r="FI66" s="336">
        <f t="shared" ref="FI66" si="1336">IF(CQ66=1,($BC66*CQ66),0)</f>
        <v>0</v>
      </c>
      <c r="FJ66" s="336">
        <f t="shared" ref="FJ66" si="1337">IF(CR66=1,($BC66*CR66),0)</f>
        <v>0</v>
      </c>
      <c r="FK66" s="336">
        <f t="shared" ref="FK66" si="1338">IF(CS66=1,($BC66*CS66),0)</f>
        <v>0</v>
      </c>
      <c r="FL66" s="336">
        <f t="shared" ref="FL66" si="1339">IF(CT66=1,($BC66*CT66),0)</f>
        <v>0</v>
      </c>
      <c r="FM66" s="336">
        <f t="shared" ref="FM66" si="1340">IF(CU66=1,($BC66*CU66),0)</f>
        <v>0</v>
      </c>
      <c r="FN66" s="336">
        <f t="shared" ref="FN66" si="1341">IF(CV66=1,($BC66*CV66),0)</f>
        <v>0</v>
      </c>
      <c r="FO66" s="336">
        <f t="shared" ref="FO66" si="1342">IF(CW66=1,($BC66*CW66),0)</f>
        <v>0</v>
      </c>
      <c r="FP66" s="336">
        <f t="shared" ref="FP66" si="1343">IF(CX66=1,($BC66*CX66),0)</f>
        <v>0</v>
      </c>
      <c r="FQ66" s="336">
        <f t="shared" ref="FQ66" si="1344">IF(CY66=1,($BC66*CY66),0)</f>
        <v>0</v>
      </c>
      <c r="FR66" s="336">
        <f t="shared" ref="FR66" si="1345">IF(CZ66=1,($BC66*CZ66),0)</f>
        <v>0</v>
      </c>
      <c r="FS66" s="336">
        <f t="shared" ref="FS66" si="1346">IF(DA66=1,($BC66*DA66),0)</f>
        <v>0</v>
      </c>
      <c r="FT66" s="336">
        <f t="shared" ref="FT66" si="1347">IF(DB66=1,($BC66*DB66),0)</f>
        <v>0</v>
      </c>
      <c r="FU66" s="336">
        <f t="shared" si="1216"/>
        <v>0</v>
      </c>
      <c r="FV66" s="336">
        <f t="shared" si="1217"/>
        <v>0</v>
      </c>
      <c r="FW66" s="336">
        <f t="shared" si="1218"/>
        <v>0</v>
      </c>
      <c r="FX66" s="336">
        <f t="shared" si="1219"/>
        <v>0</v>
      </c>
      <c r="FY66" s="336">
        <f t="shared" ref="FY66" si="1348">IF(DG66=1,($BC66*DG66),0)</f>
        <v>0</v>
      </c>
      <c r="FZ66" s="336">
        <f t="shared" ref="FZ66" si="1349">IF(DH66=1,($BC66*DH66),0)</f>
        <v>0</v>
      </c>
      <c r="GA66" s="336">
        <f t="shared" ref="GA66" si="1350">IF(DI66=1,($BC66*DI66),0)</f>
        <v>0</v>
      </c>
      <c r="GB66" s="336">
        <f t="shared" ref="GB66" si="1351">IF(DJ66=1,($BC66*DJ66),0)</f>
        <v>0</v>
      </c>
      <c r="GC66" s="336">
        <f t="shared" ref="GC66" si="1352">IF(DK66=1,($BC66*DK66),0)</f>
        <v>0</v>
      </c>
      <c r="GD66" s="336">
        <f t="shared" ref="GD66" si="1353">IF(DL66=1,($BC66*DL66),0)</f>
        <v>0</v>
      </c>
      <c r="GE66" s="336">
        <f t="shared" ref="GE66" si="1354">IF(DM66=1,($BC66*DM66),0)</f>
        <v>0</v>
      </c>
      <c r="GF66" s="336">
        <f t="shared" ref="GF66" si="1355">IF(DN66=1,($BC66*DN66),0)</f>
        <v>0</v>
      </c>
      <c r="GG66" s="336">
        <f t="shared" ref="GG66" si="1356">IF(DO66=1,($BC66*DO66),0)</f>
        <v>0</v>
      </c>
      <c r="GH66" s="336">
        <f t="shared" ref="GH66" si="1357">IF(DP66=1,($BC66*DP66),0)</f>
        <v>0</v>
      </c>
      <c r="GI66" s="336">
        <f t="shared" ref="GI66" si="1358">IF(DQ66=1,($BC66*DQ66),0)</f>
        <v>0</v>
      </c>
      <c r="GJ66" s="336">
        <f t="shared" ref="GJ66" si="1359">IF(DR66=1,($BC66*DR66),0)</f>
        <v>0</v>
      </c>
      <c r="GK66" s="336">
        <f t="shared" ref="GK66" si="1360">IF(DS66=1,($BC66*DS66),0)</f>
        <v>0</v>
      </c>
      <c r="GL66" s="336">
        <f t="shared" si="1148"/>
        <v>0</v>
      </c>
      <c r="GM66" s="336">
        <f t="shared" ref="GM66" si="1361">IF(DU66=1,($BC66*DU66),0)</f>
        <v>0</v>
      </c>
    </row>
    <row r="67" spans="1:195" ht="25.5" customHeight="1">
      <c r="A67" s="337">
        <f>A66+1</f>
        <v>52</v>
      </c>
      <c r="B67" s="444" t="s">
        <v>328</v>
      </c>
      <c r="C67" s="337" t="str">
        <f t="shared" ref="C67:C70" si="1362">$D$63</f>
        <v>11kV MV Switchgear-3</v>
      </c>
      <c r="D67" s="440" t="s">
        <v>443</v>
      </c>
      <c r="E67" s="416" t="s">
        <v>441</v>
      </c>
      <c r="F67" s="337" t="s">
        <v>29</v>
      </c>
      <c r="G67" s="340" t="s">
        <v>350</v>
      </c>
      <c r="H67" s="864">
        <v>425</v>
      </c>
      <c r="I67" s="337" t="s">
        <v>330</v>
      </c>
      <c r="J67" s="337" t="s">
        <v>331</v>
      </c>
      <c r="K67" s="341">
        <v>11000</v>
      </c>
      <c r="L67" s="342">
        <v>0.87</v>
      </c>
      <c r="M67" s="342">
        <v>0.95499999999999996</v>
      </c>
      <c r="N67" s="342">
        <f t="shared" si="1278"/>
        <v>26.848852747258636</v>
      </c>
      <c r="O67" s="392">
        <f t="shared" si="1279"/>
        <v>161.09311648355182</v>
      </c>
      <c r="P67" s="343">
        <f t="shared" si="1280"/>
        <v>0.2</v>
      </c>
      <c r="Q67" s="342">
        <v>31.5</v>
      </c>
      <c r="R67" s="342">
        <v>0.16</v>
      </c>
      <c r="S67" s="342">
        <f t="shared" si="1281"/>
        <v>134.04255319148936</v>
      </c>
      <c r="T67" s="344" t="s">
        <v>131</v>
      </c>
      <c r="U67" s="342" t="s">
        <v>333</v>
      </c>
      <c r="V67" s="344">
        <v>150</v>
      </c>
      <c r="W67" s="343" t="str">
        <f t="shared" si="1277"/>
        <v>3C X 150</v>
      </c>
      <c r="X67" s="343" t="str">
        <f t="shared" si="1282"/>
        <v>3C X 150+PE</v>
      </c>
      <c r="Y67" s="419" t="s">
        <v>346</v>
      </c>
      <c r="Z67" s="344">
        <f>IF(T67="AIR",VLOOKUP(W67,'Catalogue Aluminium'!$B$141:$G$173,2,FALSE),IF(T67="GROUND",VLOOKUP(W67,'Catalogue Aluminium'!$B$141:$G$173,3,FALSE),IF(T67="DUCT",VLOOKUP(W67,'Catalogue Aluminium'!$B$141:$G$173,4,FALSE),IF(T67="TRENCH",VLOOKUP(W67,'Catalogue Aluminium'!$B$141:$G$173,2,FALSE)))))</f>
        <v>309</v>
      </c>
      <c r="AA67" s="345">
        <f>VLOOKUP(W67,'Catalogue Aluminium'!$B$141:$G$173,5,FALSE)</f>
        <v>0.26500000000000001</v>
      </c>
      <c r="AB67" s="345">
        <f>VLOOKUP(W67,'Catalogue Aluminium'!$B$141:$G$173,6,FALSE)</f>
        <v>9.2999999999999999E-2</v>
      </c>
      <c r="AC67" s="346">
        <v>20</v>
      </c>
      <c r="AD67" s="346">
        <v>0</v>
      </c>
      <c r="AE67" s="343">
        <v>0</v>
      </c>
      <c r="AF67" s="343">
        <v>8</v>
      </c>
      <c r="AG67" s="343">
        <f t="shared" si="1283"/>
        <v>3</v>
      </c>
      <c r="AH67" s="347">
        <f t="shared" si="1284"/>
        <v>40</v>
      </c>
      <c r="AI67" s="344">
        <f>IF(T67="AIR",'Catalogue Aluminium'!$K$141,IF(T67="TRENCH",'Catalogue Aluminium'!$K$144,"NA"))</f>
        <v>0.82</v>
      </c>
      <c r="AJ67" s="342">
        <f>IF(T67="Air",(IF(U67="1C",'Catalogue Aluminium'!$L$141,'Catalogue Aluminium'!$M$141)),IF(T67="DUCT",(IF($U67="1C",'Catalogue Aluminium'!$L$142,'Catalogue Aluminium'!$M$142)),IF(T67="GROUND",(IF($U67="1C",'Catalogue Aluminium'!$L$143,'Catalogue Aluminium'!$M$143)),IF(T67="TRENCH",(IF($U67="1C",'Catalogue Aluminium'!$L$144,'Catalogue Aluminium'!$M$144))))))</f>
        <v>0.73</v>
      </c>
      <c r="AK67" s="344" t="str">
        <f>IF(T67="Air",'Catalogue Aluminium'!$N$141,IF(T67="GROUND",'Catalogue Aluminium'!$N$142,IF(T67="DUCT",'Catalogue Aluminium'!$N$143,IF(T67="TRENCH",'Catalogue Aluminium'!$N$144,"NA"))))</f>
        <v>NA</v>
      </c>
      <c r="AL67" s="344" t="str">
        <f>IF(T67="Air",(IF(U67="1C",'Catalogue Aluminium'!$O$141,'Catalogue Aluminium'!$P$141)),IF(T67="DUCT",(IF($U67="1C",'Catalogue Aluminium'!$O$142,'Catalogue Aluminium'!$P$142)),IF(T67="GROUND",(IF($U67="1C",'Catalogue Aluminium'!$O$143,'Catalogue Aluminium'!$P$143)),IF(T67="TRENCH",(IF($U67="1C",'Catalogue Aluminium'!$O$144,'Catalogue Aluminium'!$P$144))))))</f>
        <v>NA</v>
      </c>
      <c r="AM67" s="344" t="str">
        <f>IF(T67="AIR","NA",IF(T67="TRENCH","NA",IF(T67="DUCT",IF(U67="1C",VLOOKUP(V67,'Catalogue Aluminium'!$Q$142:$S$153,2,FALSE),VLOOKUP(V67,'Catalogue Aluminium'!$Q$142:$S$153,3)),IF(T67="GROUND",IF(U67="1C",VLOOKUP(V67,'Catalogue Aluminium'!$Q$142:$S$153,2,FALSE),VLOOKUP(V67,'Catalogue Aluminium'!$Q$142:$S$153,3))))))</f>
        <v>NA</v>
      </c>
      <c r="AN67" s="348">
        <f t="shared" si="1285"/>
        <v>0.59859999999999991</v>
      </c>
      <c r="AO67" s="342">
        <f t="shared" si="1286"/>
        <v>184.96739999999997</v>
      </c>
      <c r="AP67" s="349">
        <f t="shared" si="1287"/>
        <v>1</v>
      </c>
      <c r="AQ67" s="350" t="str">
        <f t="shared" si="1288"/>
        <v>YES</v>
      </c>
      <c r="AR67" s="351">
        <f t="shared" si="1289"/>
        <v>4.6740966868086134E-3</v>
      </c>
      <c r="AS67" s="343" t="str">
        <f t="shared" si="1290"/>
        <v>YES</v>
      </c>
      <c r="AT67" s="351">
        <f t="shared" si="1291"/>
        <v>1.462285721441082E-2</v>
      </c>
      <c r="AU67" s="343" t="str">
        <f t="shared" si="1292"/>
        <v>YES</v>
      </c>
      <c r="AV67" s="351" t="str">
        <f t="shared" si="1293"/>
        <v>1R x 6/10 (12)kV x 3C x 150 Sqmm</v>
      </c>
      <c r="AW67" s="351" t="str">
        <f t="shared" si="1294"/>
        <v>1R x 6/10 (12)kV x 3C x 150 Sqmm</v>
      </c>
      <c r="AX67" s="343">
        <f t="shared" si="1295"/>
        <v>40</v>
      </c>
      <c r="AY67" s="343"/>
      <c r="AZ67" s="343">
        <f t="shared" si="1296"/>
        <v>2</v>
      </c>
      <c r="BA67" s="356" t="str">
        <f t="shared" si="1297"/>
        <v/>
      </c>
      <c r="BB67" s="340">
        <f>VLOOKUP(W67,'Catalogue Aluminium'!$B$141:$H$173,7,FALSE)</f>
        <v>62</v>
      </c>
      <c r="BC67" s="328">
        <f t="shared" si="1298"/>
        <v>62</v>
      </c>
      <c r="BE67" s="416"/>
      <c r="BF67" s="416"/>
      <c r="BG67" s="416"/>
      <c r="BH67" s="416"/>
      <c r="BI67" s="416"/>
      <c r="BJ67" s="416"/>
      <c r="BK67" s="416"/>
      <c r="BL67" s="416"/>
      <c r="BM67" s="416"/>
      <c r="BN67" s="416"/>
      <c r="BO67" s="416"/>
      <c r="BP67" s="416"/>
      <c r="BQ67" s="416"/>
      <c r="BR67" s="416"/>
      <c r="BS67" s="416"/>
      <c r="BT67" s="416"/>
      <c r="BU67" s="416"/>
      <c r="BV67" s="416"/>
      <c r="BW67" s="416"/>
      <c r="BX67" s="341"/>
      <c r="BY67" s="341"/>
      <c r="BZ67" s="416"/>
      <c r="CA67" s="416"/>
      <c r="CB67" s="416"/>
      <c r="CC67" s="416"/>
      <c r="CD67" s="416"/>
      <c r="CE67" s="416"/>
      <c r="CF67" s="416"/>
      <c r="CG67" s="416"/>
      <c r="CH67" s="416"/>
      <c r="CI67" s="416"/>
      <c r="CJ67" s="416"/>
      <c r="CK67" s="416"/>
      <c r="CL67" s="416"/>
      <c r="CM67" s="416"/>
      <c r="CN67" s="416"/>
      <c r="CO67" s="416"/>
      <c r="CP67" s="416"/>
      <c r="CQ67" s="416"/>
      <c r="CR67" s="416"/>
      <c r="CS67" s="416"/>
      <c r="CT67" s="416"/>
      <c r="CU67" s="416"/>
      <c r="CV67" s="416"/>
      <c r="CW67" s="416"/>
      <c r="CX67" s="416"/>
      <c r="CY67" s="416"/>
      <c r="CZ67" s="416"/>
      <c r="DA67" s="416"/>
      <c r="DB67" s="416"/>
      <c r="DC67" s="416"/>
      <c r="DD67" s="416"/>
      <c r="DE67" s="416"/>
      <c r="DF67" s="416"/>
      <c r="DG67" s="416"/>
      <c r="DH67" s="416"/>
      <c r="DI67" s="416"/>
      <c r="DJ67" s="416"/>
      <c r="DK67" s="416"/>
      <c r="DL67" s="416"/>
      <c r="DM67" s="416"/>
      <c r="DN67" s="416"/>
      <c r="DO67" s="416"/>
      <c r="DP67" s="416"/>
      <c r="DQ67" s="416"/>
      <c r="DR67" s="416"/>
      <c r="DS67" s="416"/>
      <c r="DT67" s="416"/>
      <c r="DU67" s="416"/>
      <c r="DW67" s="336">
        <f t="shared" si="81"/>
        <v>0</v>
      </c>
      <c r="DX67" s="336">
        <f t="shared" si="0"/>
        <v>0</v>
      </c>
      <c r="DY67" s="336">
        <f t="shared" si="1"/>
        <v>0</v>
      </c>
      <c r="DZ67" s="336">
        <f t="shared" si="2"/>
        <v>0</v>
      </c>
      <c r="EA67" s="336">
        <f t="shared" si="3"/>
        <v>0</v>
      </c>
      <c r="EB67" s="336">
        <f t="shared" si="4"/>
        <v>0</v>
      </c>
      <c r="EC67" s="336">
        <f t="shared" si="5"/>
        <v>0</v>
      </c>
      <c r="ED67" s="336">
        <f t="shared" si="6"/>
        <v>0</v>
      </c>
      <c r="EE67" s="336">
        <f t="shared" si="7"/>
        <v>0</v>
      </c>
      <c r="EF67" s="336">
        <f t="shared" si="8"/>
        <v>0</v>
      </c>
      <c r="EG67" s="336">
        <f t="shared" si="9"/>
        <v>0</v>
      </c>
      <c r="EH67" s="336">
        <f t="shared" si="10"/>
        <v>0</v>
      </c>
      <c r="EI67" s="336">
        <f t="shared" si="11"/>
        <v>0</v>
      </c>
      <c r="EJ67" s="336">
        <f t="shared" si="12"/>
        <v>0</v>
      </c>
      <c r="EK67" s="336">
        <f t="shared" si="13"/>
        <v>0</v>
      </c>
      <c r="EL67" s="336">
        <f t="shared" si="14"/>
        <v>0</v>
      </c>
      <c r="EM67" s="336">
        <f t="shared" si="15"/>
        <v>0</v>
      </c>
      <c r="EN67" s="336">
        <f t="shared" si="16"/>
        <v>0</v>
      </c>
      <c r="EO67" s="336">
        <f t="shared" si="17"/>
        <v>0</v>
      </c>
      <c r="EP67" s="336">
        <f t="shared" si="18"/>
        <v>0</v>
      </c>
      <c r="EQ67" s="336">
        <f t="shared" si="19"/>
        <v>0</v>
      </c>
      <c r="ER67" s="336">
        <f t="shared" si="20"/>
        <v>0</v>
      </c>
      <c r="ES67" s="336">
        <f t="shared" si="21"/>
        <v>0</v>
      </c>
      <c r="ET67" s="336">
        <f t="shared" si="22"/>
        <v>0</v>
      </c>
      <c r="EU67" s="336">
        <f t="shared" si="23"/>
        <v>0</v>
      </c>
      <c r="EV67" s="336">
        <f t="shared" si="24"/>
        <v>0</v>
      </c>
      <c r="EW67" s="336">
        <f t="shared" si="25"/>
        <v>0</v>
      </c>
      <c r="EX67" s="336">
        <f t="shared" si="26"/>
        <v>0</v>
      </c>
      <c r="EY67" s="336">
        <f t="shared" si="27"/>
        <v>0</v>
      </c>
      <c r="EZ67" s="336">
        <f t="shared" si="28"/>
        <v>0</v>
      </c>
      <c r="FA67" s="336">
        <f t="shared" si="29"/>
        <v>0</v>
      </c>
      <c r="FB67" s="336">
        <f t="shared" si="30"/>
        <v>0</v>
      </c>
      <c r="FC67" s="336">
        <f t="shared" si="31"/>
        <v>0</v>
      </c>
      <c r="FD67" s="336">
        <f t="shared" si="32"/>
        <v>0</v>
      </c>
      <c r="FE67" s="336">
        <f t="shared" si="33"/>
        <v>0</v>
      </c>
      <c r="FF67" s="336">
        <f t="shared" si="34"/>
        <v>0</v>
      </c>
      <c r="FG67" s="336">
        <f t="shared" si="35"/>
        <v>0</v>
      </c>
      <c r="FH67" s="336">
        <f t="shared" si="36"/>
        <v>0</v>
      </c>
      <c r="FI67" s="336">
        <f t="shared" si="37"/>
        <v>0</v>
      </c>
      <c r="FJ67" s="336">
        <f t="shared" si="38"/>
        <v>0</v>
      </c>
      <c r="FK67" s="336">
        <f t="shared" si="39"/>
        <v>0</v>
      </c>
      <c r="FL67" s="336">
        <f t="shared" si="40"/>
        <v>0</v>
      </c>
      <c r="FM67" s="336">
        <f t="shared" si="41"/>
        <v>0</v>
      </c>
      <c r="FN67" s="336">
        <f t="shared" si="42"/>
        <v>0</v>
      </c>
      <c r="FO67" s="336">
        <f t="shared" si="43"/>
        <v>0</v>
      </c>
      <c r="FP67" s="336">
        <f t="shared" si="44"/>
        <v>0</v>
      </c>
      <c r="FQ67" s="336">
        <f t="shared" si="45"/>
        <v>0</v>
      </c>
      <c r="FR67" s="336">
        <f t="shared" si="46"/>
        <v>0</v>
      </c>
      <c r="FS67" s="336">
        <f t="shared" si="47"/>
        <v>0</v>
      </c>
      <c r="FT67" s="336">
        <f t="shared" si="48"/>
        <v>0</v>
      </c>
      <c r="FU67" s="336">
        <f t="shared" si="1216"/>
        <v>0</v>
      </c>
      <c r="FV67" s="336">
        <f t="shared" si="1217"/>
        <v>0</v>
      </c>
      <c r="FW67" s="336">
        <f t="shared" si="1218"/>
        <v>0</v>
      </c>
      <c r="FX67" s="336">
        <f t="shared" si="1219"/>
        <v>0</v>
      </c>
      <c r="FY67" s="336">
        <f t="shared" si="53"/>
        <v>0</v>
      </c>
      <c r="FZ67" s="336">
        <f t="shared" si="54"/>
        <v>0</v>
      </c>
      <c r="GA67" s="336">
        <f t="shared" si="55"/>
        <v>0</v>
      </c>
      <c r="GB67" s="336">
        <f t="shared" si="56"/>
        <v>0</v>
      </c>
      <c r="GC67" s="336">
        <f t="shared" si="57"/>
        <v>0</v>
      </c>
      <c r="GD67" s="336">
        <f t="shared" si="58"/>
        <v>0</v>
      </c>
      <c r="GE67" s="336">
        <f t="shared" si="59"/>
        <v>0</v>
      </c>
      <c r="GF67" s="336">
        <f t="shared" si="60"/>
        <v>0</v>
      </c>
      <c r="GG67" s="336">
        <f t="shared" si="61"/>
        <v>0</v>
      </c>
      <c r="GH67" s="336">
        <f t="shared" si="62"/>
        <v>0</v>
      </c>
      <c r="GI67" s="336">
        <f t="shared" si="63"/>
        <v>0</v>
      </c>
      <c r="GJ67" s="336">
        <f t="shared" si="64"/>
        <v>0</v>
      </c>
      <c r="GK67" s="336">
        <f>IF(DS67=1,($BC67*DS67),0)</f>
        <v>0</v>
      </c>
      <c r="GL67" s="336">
        <f t="shared" si="1148"/>
        <v>0</v>
      </c>
      <c r="GM67" s="336">
        <f t="shared" si="66"/>
        <v>0</v>
      </c>
    </row>
    <row r="68" spans="1:195" ht="25.5" customHeight="1">
      <c r="A68" s="388">
        <f t="shared" ref="A68:A70" si="1363">A67+1</f>
        <v>53</v>
      </c>
      <c r="B68" s="445" t="s">
        <v>328</v>
      </c>
      <c r="C68" s="388" t="str">
        <f t="shared" si="1362"/>
        <v>11kV MV Switchgear-3</v>
      </c>
      <c r="D68" s="441" t="s">
        <v>444</v>
      </c>
      <c r="E68" s="432" t="s">
        <v>441</v>
      </c>
      <c r="F68" s="388" t="s">
        <v>29</v>
      </c>
      <c r="G68" s="390" t="s">
        <v>329</v>
      </c>
      <c r="H68" s="396">
        <v>0.2</v>
      </c>
      <c r="I68" s="388" t="s">
        <v>330</v>
      </c>
      <c r="J68" s="388" t="s">
        <v>357</v>
      </c>
      <c r="K68" s="434">
        <v>230</v>
      </c>
      <c r="L68" s="401">
        <v>0.85</v>
      </c>
      <c r="M68" s="418">
        <v>0.95</v>
      </c>
      <c r="N68" s="392">
        <f t="shared" si="1278"/>
        <v>1.0768609503297888</v>
      </c>
      <c r="O68" s="392">
        <f t="shared" si="1279"/>
        <v>0</v>
      </c>
      <c r="P68" s="401" t="str">
        <f t="shared" si="1280"/>
        <v>0.00</v>
      </c>
      <c r="Q68" s="418">
        <v>65</v>
      </c>
      <c r="R68" s="418">
        <v>0</v>
      </c>
      <c r="S68" s="418">
        <f t="shared" si="1281"/>
        <v>0</v>
      </c>
      <c r="T68" s="401" t="s">
        <v>131</v>
      </c>
      <c r="U68" s="418" t="s">
        <v>333</v>
      </c>
      <c r="V68" s="401">
        <v>2.5</v>
      </c>
      <c r="W68" s="401" t="str">
        <f t="shared" si="1277"/>
        <v>3C X 2.5</v>
      </c>
      <c r="X68" s="401" t="str">
        <f t="shared" si="1282"/>
        <v>3C X 2.5</v>
      </c>
      <c r="Y68" s="435" t="s">
        <v>358</v>
      </c>
      <c r="Z68" s="393">
        <f>IF(T68="AIR",VLOOKUP(W68,'Catalogue Aluminium'!$B$141:$G$173,2,FALSE),IF(T68="GROUND",VLOOKUP(W68,'Catalogue Aluminium'!$B$141:$G$173,3,FALSE),IF(T68="DUCT",VLOOKUP(W68,'Catalogue Aluminium'!$B$141:$G$173,4,FALSE),IF(T68="TRENCH",VLOOKUP(W68,'Catalogue Aluminium'!$B$141:$G$173,2,FALSE)))))</f>
        <v>28</v>
      </c>
      <c r="AA68" s="402">
        <f>VLOOKUP(W68,'Catalogue Aluminium'!$B$141:$G$173,5,FALSE)</f>
        <v>9.48</v>
      </c>
      <c r="AB68" s="402">
        <f>VLOOKUP(W68,'Catalogue Aluminium'!$B$141:$G$173,6,FALSE)</f>
        <v>0.1007</v>
      </c>
      <c r="AC68" s="457">
        <v>20</v>
      </c>
      <c r="AD68" s="457">
        <v>0</v>
      </c>
      <c r="AE68" s="401">
        <v>0</v>
      </c>
      <c r="AF68" s="401">
        <v>8</v>
      </c>
      <c r="AG68" s="401">
        <f t="shared" ref="AG68" si="1364">ROUNDUP(SUM(AC68:AF68)*0.1,0)</f>
        <v>3</v>
      </c>
      <c r="AH68" s="436">
        <f t="shared" si="1284"/>
        <v>40</v>
      </c>
      <c r="AI68" s="393">
        <f>IF(T68="AIR",'Catalogue Aluminium'!$K$141,IF(T68="TRENCH",'Catalogue Aluminium'!$K$144,"NA"))</f>
        <v>0.82</v>
      </c>
      <c r="AJ68" s="392">
        <f>IF(T68="Air",(IF(U68="1C",'Catalogue Aluminium'!$L$141,'Catalogue Aluminium'!$M$141)),IF(T68="DUCT",(IF($U68="1C",'Catalogue Aluminium'!$L$142,'Catalogue Aluminium'!$M$142)),IF(T68="GROUND",(IF($U68="1C",'Catalogue Aluminium'!$L$143,'Catalogue Aluminium'!$M$143)),IF(T68="TRENCH",(IF($U68="1C",'Catalogue Aluminium'!$L$144,'Catalogue Aluminium'!$M$144))))))</f>
        <v>0.73</v>
      </c>
      <c r="AK68" s="393" t="str">
        <f>IF(T68="Air",'Catalogue Aluminium'!$N$141,IF(T68="GROUND",'Catalogue Aluminium'!$N$142,IF(T68="DUCT",'Catalogue Aluminium'!$N$143,IF(T68="TRENCH",'Catalogue Aluminium'!$N$144,"NA"))))</f>
        <v>NA</v>
      </c>
      <c r="AL68" s="393" t="str">
        <f>IF(T68="Air",(IF(U68="1C",'Catalogue Aluminium'!$O$141,'Catalogue Aluminium'!$P$141)),IF(T68="DUCT",(IF($U68="1C",'Catalogue Aluminium'!$O$142,'Catalogue Aluminium'!$P$142)),IF(T68="GROUND",(IF($U68="1C",'Catalogue Aluminium'!$O$143,'Catalogue Aluminium'!$P$143)),IF(T68="TRENCH",(IF($U68="1C",'Catalogue Aluminium'!$O$144,'Catalogue Aluminium'!$P$144))))))</f>
        <v>NA</v>
      </c>
      <c r="AM68" s="393" t="str">
        <f>IF(T68="AIR","NA",IF(T68="TRENCH","NA",IF(T68="DUCT",IF(U68="1C",VLOOKUP(V68,'Catalogue Aluminium'!$Q$142:$S$153,2,FALSE),VLOOKUP(V68,'Catalogue Aluminium'!$Q$142:$S$153,3)),IF(T68="GROUND",IF(U68="1C",VLOOKUP(V68,'Catalogue Aluminium'!$Q$142:$S$153,2,FALSE),VLOOKUP(V68,'Catalogue Aluminium'!$Q$142:$S$153,3))))))</f>
        <v>NA</v>
      </c>
      <c r="AN68" s="404">
        <f t="shared" si="1285"/>
        <v>0.59859999999999991</v>
      </c>
      <c r="AO68" s="392">
        <f t="shared" si="1286"/>
        <v>16.760799999999996</v>
      </c>
      <c r="AP68" s="434">
        <f t="shared" si="1287"/>
        <v>1</v>
      </c>
      <c r="AQ68" s="418" t="str">
        <f t="shared" si="1288"/>
        <v>YES</v>
      </c>
      <c r="AR68" s="437">
        <f t="shared" si="1289"/>
        <v>0.26310513857744638</v>
      </c>
      <c r="AS68" s="401" t="str">
        <f t="shared" si="1290"/>
        <v>YES</v>
      </c>
      <c r="AT68" s="437" t="str">
        <f t="shared" si="1291"/>
        <v>NA</v>
      </c>
      <c r="AU68" s="401" t="str">
        <f t="shared" si="1292"/>
        <v>NA</v>
      </c>
      <c r="AV68" s="437" t="str">
        <f t="shared" si="1293"/>
        <v>1R x 6/10 (12)kV x 3C x 2.5 Sqmm</v>
      </c>
      <c r="AW68" s="437" t="str">
        <f t="shared" si="1294"/>
        <v>1R x 6/10 (12)kV x 3C x 2.5 Sqmm</v>
      </c>
      <c r="AX68" s="401">
        <f t="shared" si="1295"/>
        <v>40</v>
      </c>
      <c r="AY68" s="401"/>
      <c r="AZ68" s="401">
        <f t="shared" si="1296"/>
        <v>2</v>
      </c>
      <c r="BA68" s="438" t="str">
        <f t="shared" si="1297"/>
        <v/>
      </c>
      <c r="BB68" s="390">
        <f>VLOOKUP(W68,'Catalogue Aluminium'!$B$141:$H$173,7,FALSE)</f>
        <v>14</v>
      </c>
      <c r="BC68" s="439">
        <f t="shared" si="1298"/>
        <v>14</v>
      </c>
      <c r="BE68" s="416"/>
      <c r="BF68" s="416"/>
      <c r="BG68" s="416"/>
      <c r="BH68" s="416"/>
      <c r="BI68" s="416"/>
      <c r="BJ68" s="416"/>
      <c r="BK68" s="416"/>
      <c r="BL68" s="416"/>
      <c r="BM68" s="416"/>
      <c r="BN68" s="416"/>
      <c r="BO68" s="416"/>
      <c r="BP68" s="416"/>
      <c r="BQ68" s="416"/>
      <c r="BR68" s="416"/>
      <c r="BS68" s="416"/>
      <c r="BT68" s="416"/>
      <c r="BU68" s="416"/>
      <c r="BV68" s="416"/>
      <c r="BW68" s="416"/>
      <c r="BX68" s="341"/>
      <c r="BY68" s="341"/>
      <c r="BZ68" s="416"/>
      <c r="CA68" s="416"/>
      <c r="CB68" s="416"/>
      <c r="CC68" s="416"/>
      <c r="CD68" s="416"/>
      <c r="CE68" s="416"/>
      <c r="CF68" s="416"/>
      <c r="CG68" s="416"/>
      <c r="CH68" s="416"/>
      <c r="CI68" s="416"/>
      <c r="CJ68" s="416"/>
      <c r="CK68" s="416"/>
      <c r="CL68" s="416"/>
      <c r="CM68" s="416"/>
      <c r="CN68" s="416"/>
      <c r="CO68" s="416"/>
      <c r="CP68" s="416"/>
      <c r="CQ68" s="416"/>
      <c r="CR68" s="416"/>
      <c r="CS68" s="416"/>
      <c r="CT68" s="416"/>
      <c r="CU68" s="416"/>
      <c r="CV68" s="416"/>
      <c r="CW68" s="416"/>
      <c r="CX68" s="416"/>
      <c r="CY68" s="416"/>
      <c r="CZ68" s="416"/>
      <c r="DA68" s="416"/>
      <c r="DB68" s="416"/>
      <c r="DC68" s="416"/>
      <c r="DD68" s="416"/>
      <c r="DE68" s="416"/>
      <c r="DF68" s="416"/>
      <c r="DG68" s="416"/>
      <c r="DH68" s="416"/>
      <c r="DI68" s="416"/>
      <c r="DJ68" s="416"/>
      <c r="DK68" s="416"/>
      <c r="DL68" s="416"/>
      <c r="DM68" s="416"/>
      <c r="DN68" s="416"/>
      <c r="DO68" s="416"/>
      <c r="DP68" s="416"/>
      <c r="DQ68" s="416"/>
      <c r="DR68" s="416"/>
      <c r="DS68" s="416"/>
      <c r="DT68" s="416"/>
      <c r="DU68" s="416"/>
      <c r="DW68" s="336">
        <f t="shared" ref="DW68" si="1365">IF(BE68=1,($BC68*BE68),0)</f>
        <v>0</v>
      </c>
      <c r="DX68" s="336">
        <f t="shared" ref="DX68" si="1366">IF(BF68=1,($BC68*BF68),0)</f>
        <v>0</v>
      </c>
      <c r="DY68" s="336">
        <f t="shared" ref="DY68" si="1367">IF(BG68=1,($BC68*BG68),0)</f>
        <v>0</v>
      </c>
      <c r="DZ68" s="336">
        <f t="shared" ref="DZ68" si="1368">IF(BH68=1,($BC68*BH68),0)</f>
        <v>0</v>
      </c>
      <c r="EA68" s="336">
        <f t="shared" ref="EA68" si="1369">IF(BI68=1,($BC68*BI68),0)</f>
        <v>0</v>
      </c>
      <c r="EB68" s="336">
        <f t="shared" ref="EB68" si="1370">IF(BJ68=1,($BC68*BJ68),0)</f>
        <v>0</v>
      </c>
      <c r="EC68" s="336">
        <f t="shared" ref="EC68" si="1371">IF(BK68=1,($BC68*BK68),0)</f>
        <v>0</v>
      </c>
      <c r="ED68" s="336">
        <f t="shared" ref="ED68" si="1372">IF(BL68=1,($BC68*BL68),0)</f>
        <v>0</v>
      </c>
      <c r="EE68" s="336">
        <f t="shared" ref="EE68" si="1373">IF(BM68=1,($BC68*BM68),0)</f>
        <v>0</v>
      </c>
      <c r="EF68" s="336">
        <f t="shared" ref="EF68" si="1374">IF(BN68=1,($BC68*BN68),0)</f>
        <v>0</v>
      </c>
      <c r="EG68" s="336">
        <f t="shared" ref="EG68" si="1375">IF(BO68=1,($BC68*BO68),0)</f>
        <v>0</v>
      </c>
      <c r="EH68" s="336">
        <f t="shared" ref="EH68" si="1376">IF(BP68=1,($BC68*BP68),0)</f>
        <v>0</v>
      </c>
      <c r="EI68" s="336">
        <f t="shared" ref="EI68" si="1377">IF(BQ68=1,($BC68*BQ68),0)</f>
        <v>0</v>
      </c>
      <c r="EJ68" s="336">
        <f t="shared" ref="EJ68" si="1378">IF(BR68=1,($BC68*BR68),0)</f>
        <v>0</v>
      </c>
      <c r="EK68" s="336">
        <f t="shared" ref="EK68" si="1379">IF(BS68=1,($BC68*BS68),0)</f>
        <v>0</v>
      </c>
      <c r="EL68" s="336">
        <f t="shared" ref="EL68" si="1380">IF(BT68=1,($BC68*BT68),0)</f>
        <v>0</v>
      </c>
      <c r="EM68" s="336">
        <f t="shared" ref="EM68" si="1381">IF(BU68=1,($BC68*BU68),0)</f>
        <v>0</v>
      </c>
      <c r="EN68" s="336">
        <f t="shared" ref="EN68" si="1382">IF(BV68=1,($BC68*BV68),0)</f>
        <v>0</v>
      </c>
      <c r="EO68" s="336">
        <f t="shared" ref="EO68" si="1383">IF(BW68=1,($BC68*BW68),0)</f>
        <v>0</v>
      </c>
      <c r="EP68" s="336">
        <f t="shared" ref="EP68" si="1384">IF(BX68=1,($BC68*BX68),0)</f>
        <v>0</v>
      </c>
      <c r="EQ68" s="336">
        <f t="shared" ref="EQ68" si="1385">IF(BY68=1,($BC68*BY68),0)</f>
        <v>0</v>
      </c>
      <c r="ER68" s="336">
        <f t="shared" ref="ER68" si="1386">IF(BZ68=1,($BC68*BZ68),0)</f>
        <v>0</v>
      </c>
      <c r="ES68" s="336">
        <f t="shared" ref="ES68" si="1387">IF(CA68=1,($BC68*CA68),0)</f>
        <v>0</v>
      </c>
      <c r="ET68" s="336">
        <f t="shared" si="22"/>
        <v>0</v>
      </c>
      <c r="EU68" s="336">
        <f t="shared" si="23"/>
        <v>0</v>
      </c>
      <c r="EV68" s="336">
        <f t="shared" ref="EV68" si="1388">IF(CD68=1,($BC68*CD68),0)</f>
        <v>0</v>
      </c>
      <c r="EW68" s="336">
        <f t="shared" ref="EW68" si="1389">IF(CE68=1,($BC68*CE68),0)</f>
        <v>0</v>
      </c>
      <c r="EX68" s="336">
        <f t="shared" ref="EX68" si="1390">IF(CF68=1,($BC68*CF68),0)</f>
        <v>0</v>
      </c>
      <c r="EY68" s="336">
        <f t="shared" ref="EY68" si="1391">IF(CG68=1,($BC68*CG68),0)</f>
        <v>0</v>
      </c>
      <c r="EZ68" s="336">
        <f t="shared" ref="EZ68" si="1392">IF(CH68=1,($BC68*CH68),0)</f>
        <v>0</v>
      </c>
      <c r="FA68" s="336">
        <f t="shared" ref="FA68" si="1393">IF(CI68=1,($BC68*CI68),0)</f>
        <v>0</v>
      </c>
      <c r="FB68" s="336">
        <f t="shared" ref="FB68" si="1394">IF(CJ68=1,($BC68*CJ68),0)</f>
        <v>0</v>
      </c>
      <c r="FC68" s="336">
        <f t="shared" ref="FC68" si="1395">IF(CK68=1,($BC68*CK68),0)</f>
        <v>0</v>
      </c>
      <c r="FD68" s="336">
        <f t="shared" ref="FD68" si="1396">IF(CL68=1,($BC68*CL68),0)</f>
        <v>0</v>
      </c>
      <c r="FE68" s="336">
        <f t="shared" ref="FE68" si="1397">IF(CM68=1,($BC68*CM68),0)</f>
        <v>0</v>
      </c>
      <c r="FF68" s="336">
        <f t="shared" ref="FF68" si="1398">IF(CN68=1,($BC68*CN68),0)</f>
        <v>0</v>
      </c>
      <c r="FG68" s="336">
        <f t="shared" ref="FG68" si="1399">IF(CO68=1,($BC68*CO68),0)</f>
        <v>0</v>
      </c>
      <c r="FH68" s="336">
        <f t="shared" ref="FH68" si="1400">IF(CP68=1,($BC68*CP68),0)</f>
        <v>0</v>
      </c>
      <c r="FI68" s="336">
        <f t="shared" ref="FI68" si="1401">IF(CQ68=1,($BC68*CQ68),0)</f>
        <v>0</v>
      </c>
      <c r="FJ68" s="336">
        <f t="shared" ref="FJ68" si="1402">IF(CR68=1,($BC68*CR68),0)</f>
        <v>0</v>
      </c>
      <c r="FK68" s="336">
        <f t="shared" ref="FK68" si="1403">IF(CS68=1,($BC68*CS68),0)</f>
        <v>0</v>
      </c>
      <c r="FL68" s="336">
        <f t="shared" ref="FL68" si="1404">IF(CT68=1,($BC68*CT68),0)</f>
        <v>0</v>
      </c>
      <c r="FM68" s="336">
        <f t="shared" ref="FM68" si="1405">IF(CU68=1,($BC68*CU68),0)</f>
        <v>0</v>
      </c>
      <c r="FN68" s="336">
        <f t="shared" ref="FN68" si="1406">IF(CV68=1,($BC68*CV68),0)</f>
        <v>0</v>
      </c>
      <c r="FO68" s="336">
        <f t="shared" ref="FO68" si="1407">IF(CW68=1,($BC68*CW68),0)</f>
        <v>0</v>
      </c>
      <c r="FP68" s="336">
        <f t="shared" ref="FP68" si="1408">IF(CX68=1,($BC68*CX68),0)</f>
        <v>0</v>
      </c>
      <c r="FQ68" s="336">
        <f t="shared" ref="FQ68" si="1409">IF(CY68=1,($BC68*CY68),0)</f>
        <v>0</v>
      </c>
      <c r="FR68" s="336">
        <f t="shared" ref="FR68" si="1410">IF(CZ68=1,($BC68*CZ68),0)</f>
        <v>0</v>
      </c>
      <c r="FS68" s="336">
        <f t="shared" ref="FS68" si="1411">IF(DA68=1,($BC68*DA68),0)</f>
        <v>0</v>
      </c>
      <c r="FT68" s="336">
        <f t="shared" ref="FT68" si="1412">IF(DB68=1,($BC68*DB68),0)</f>
        <v>0</v>
      </c>
      <c r="FU68" s="336">
        <f t="shared" si="1216"/>
        <v>0</v>
      </c>
      <c r="FV68" s="336">
        <f t="shared" si="1217"/>
        <v>0</v>
      </c>
      <c r="FW68" s="336">
        <f t="shared" si="1218"/>
        <v>0</v>
      </c>
      <c r="FX68" s="336">
        <f t="shared" si="1219"/>
        <v>0</v>
      </c>
      <c r="FY68" s="336">
        <f t="shared" ref="FY68" si="1413">IF(DG68=1,($BC68*DG68),0)</f>
        <v>0</v>
      </c>
      <c r="FZ68" s="336">
        <f t="shared" ref="FZ68" si="1414">IF(DH68=1,($BC68*DH68),0)</f>
        <v>0</v>
      </c>
      <c r="GA68" s="336">
        <f t="shared" ref="GA68" si="1415">IF(DI68=1,($BC68*DI68),0)</f>
        <v>0</v>
      </c>
      <c r="GB68" s="336">
        <f t="shared" ref="GB68" si="1416">IF(DJ68=1,($BC68*DJ68),0)</f>
        <v>0</v>
      </c>
      <c r="GC68" s="336">
        <f t="shared" ref="GC68" si="1417">IF(DK68=1,($BC68*DK68),0)</f>
        <v>0</v>
      </c>
      <c r="GD68" s="336">
        <f t="shared" ref="GD68" si="1418">IF(DL68=1,($BC68*DL68),0)</f>
        <v>0</v>
      </c>
      <c r="GE68" s="336">
        <f t="shared" ref="GE68" si="1419">IF(DM68=1,($BC68*DM68),0)</f>
        <v>0</v>
      </c>
      <c r="GF68" s="336">
        <f t="shared" ref="GF68" si="1420">IF(DN68=1,($BC68*DN68),0)</f>
        <v>0</v>
      </c>
      <c r="GG68" s="336">
        <f t="shared" ref="GG68" si="1421">IF(DO68=1,($BC68*DO68),0)</f>
        <v>0</v>
      </c>
      <c r="GH68" s="336">
        <f t="shared" ref="GH68" si="1422">IF(DP68=1,($BC68*DP68),0)</f>
        <v>0</v>
      </c>
      <c r="GI68" s="336">
        <f t="shared" ref="GI68" si="1423">IF(DQ68=1,($BC68*DQ68),0)</f>
        <v>0</v>
      </c>
      <c r="GJ68" s="336">
        <f t="shared" ref="GJ68" si="1424">IF(DR68=1,($BC68*DR68),0)</f>
        <v>0</v>
      </c>
      <c r="GK68" s="336">
        <f t="shared" ref="GK68" si="1425">IF(DS68=1,($BC68*DS68),0)</f>
        <v>0</v>
      </c>
      <c r="GL68" s="336">
        <f t="shared" si="1148"/>
        <v>0</v>
      </c>
      <c r="GM68" s="336">
        <f t="shared" ref="GM68" si="1426">IF(DU68=1,($BC68*DU68),0)</f>
        <v>0</v>
      </c>
    </row>
    <row r="69" spans="1:195" ht="25.5" customHeight="1">
      <c r="A69" s="337">
        <f t="shared" si="1363"/>
        <v>54</v>
      </c>
      <c r="B69" s="444" t="s">
        <v>328</v>
      </c>
      <c r="C69" s="337" t="str">
        <f t="shared" si="1362"/>
        <v>11kV MV Switchgear-3</v>
      </c>
      <c r="D69" s="440" t="s">
        <v>445</v>
      </c>
      <c r="E69" s="416" t="s">
        <v>441</v>
      </c>
      <c r="F69" s="337" t="s">
        <v>29</v>
      </c>
      <c r="G69" s="340" t="s">
        <v>350</v>
      </c>
      <c r="H69" s="864">
        <v>425</v>
      </c>
      <c r="I69" s="337" t="s">
        <v>330</v>
      </c>
      <c r="J69" s="337" t="s">
        <v>331</v>
      </c>
      <c r="K69" s="341">
        <v>11000</v>
      </c>
      <c r="L69" s="342">
        <v>0.87</v>
      </c>
      <c r="M69" s="342">
        <v>0.95499999999999996</v>
      </c>
      <c r="N69" s="342">
        <f t="shared" si="1278"/>
        <v>26.848852747258636</v>
      </c>
      <c r="O69" s="392">
        <f t="shared" si="1279"/>
        <v>161.09311648355182</v>
      </c>
      <c r="P69" s="343">
        <f t="shared" si="1280"/>
        <v>0.2</v>
      </c>
      <c r="Q69" s="342">
        <v>31.5</v>
      </c>
      <c r="R69" s="342">
        <v>0.16</v>
      </c>
      <c r="S69" s="342">
        <f t="shared" si="1281"/>
        <v>134.04255319148936</v>
      </c>
      <c r="T69" s="344" t="s">
        <v>131</v>
      </c>
      <c r="U69" s="342" t="s">
        <v>333</v>
      </c>
      <c r="V69" s="344">
        <v>150</v>
      </c>
      <c r="W69" s="343" t="str">
        <f t="shared" si="1277"/>
        <v>3C X 150</v>
      </c>
      <c r="X69" s="343" t="str">
        <f t="shared" si="1282"/>
        <v>3C X 150+PE</v>
      </c>
      <c r="Y69" s="419" t="s">
        <v>346</v>
      </c>
      <c r="Z69" s="344">
        <f>IF(T69="AIR",VLOOKUP(W69,'Catalogue Aluminium'!$B$141:$G$173,2,FALSE),IF(T69="GROUND",VLOOKUP(W69,'Catalogue Aluminium'!$B$141:$G$173,3,FALSE),IF(T69="DUCT",VLOOKUP(W69,'Catalogue Aluminium'!$B$141:$G$173,4,FALSE),IF(T69="TRENCH",VLOOKUP(W69,'Catalogue Aluminium'!$B$141:$G$173,2,FALSE)))))</f>
        <v>309</v>
      </c>
      <c r="AA69" s="345">
        <f>VLOOKUP(W69,'Catalogue Aluminium'!$B$141:$G$173,5,FALSE)</f>
        <v>0.26500000000000001</v>
      </c>
      <c r="AB69" s="345">
        <f>VLOOKUP(W69,'Catalogue Aluminium'!$B$141:$G$173,6,FALSE)</f>
        <v>9.2999999999999999E-2</v>
      </c>
      <c r="AC69" s="346">
        <v>25</v>
      </c>
      <c r="AD69" s="346">
        <v>0</v>
      </c>
      <c r="AE69" s="343">
        <v>0</v>
      </c>
      <c r="AF69" s="343">
        <v>8</v>
      </c>
      <c r="AG69" s="343">
        <f t="shared" si="1283"/>
        <v>4</v>
      </c>
      <c r="AH69" s="347">
        <f t="shared" si="1284"/>
        <v>40</v>
      </c>
      <c r="AI69" s="344">
        <f>IF(T69="AIR",'Catalogue Aluminium'!$K$141,IF(T69="TRENCH",'Catalogue Aluminium'!$K$144,"NA"))</f>
        <v>0.82</v>
      </c>
      <c r="AJ69" s="342">
        <f>IF(T69="Air",(IF(U69="1C",'Catalogue Aluminium'!$L$141,'Catalogue Aluminium'!$M$141)),IF(T69="DUCT",(IF($U69="1C",'Catalogue Aluminium'!$L$142,'Catalogue Aluminium'!$M$142)),IF(T69="GROUND",(IF($U69="1C",'Catalogue Aluminium'!$L$143,'Catalogue Aluminium'!$M$143)),IF(T69="TRENCH",(IF($U69="1C",'Catalogue Aluminium'!$L$144,'Catalogue Aluminium'!$M$144))))))</f>
        <v>0.73</v>
      </c>
      <c r="AK69" s="344" t="str">
        <f>IF(T69="Air",'Catalogue Aluminium'!$N$141,IF(T69="GROUND",'Catalogue Aluminium'!$N$142,IF(T69="DUCT",'Catalogue Aluminium'!$N$143,IF(T69="TRENCH",'Catalogue Aluminium'!$N$144,"NA"))))</f>
        <v>NA</v>
      </c>
      <c r="AL69" s="344" t="str">
        <f>IF(T69="Air",(IF(U69="1C",'Catalogue Aluminium'!$O$141,'Catalogue Aluminium'!$P$141)),IF(T69="DUCT",(IF($U69="1C",'Catalogue Aluminium'!$O$142,'Catalogue Aluminium'!$P$142)),IF(T69="GROUND",(IF($U69="1C",'Catalogue Aluminium'!$O$143,'Catalogue Aluminium'!$P$143)),IF(T69="TRENCH",(IF($U69="1C",'Catalogue Aluminium'!$O$144,'Catalogue Aluminium'!$P$144))))))</f>
        <v>NA</v>
      </c>
      <c r="AM69" s="344" t="str">
        <f>IF(T69="AIR","NA",IF(T69="TRENCH","NA",IF(T69="DUCT",IF(U69="1C",VLOOKUP(V69,'Catalogue Aluminium'!$Q$142:$S$153,2,FALSE),VLOOKUP(V69,'Catalogue Aluminium'!$Q$142:$S$153,3)),IF(T69="GROUND",IF(U69="1C",VLOOKUP(V69,'Catalogue Aluminium'!$Q$142:$S$153,2,FALSE),VLOOKUP(V69,'Catalogue Aluminium'!$Q$142:$S$153,3))))))</f>
        <v>NA</v>
      </c>
      <c r="AN69" s="348">
        <f t="shared" si="1285"/>
        <v>0.59859999999999991</v>
      </c>
      <c r="AO69" s="342">
        <f t="shared" si="1286"/>
        <v>184.96739999999997</v>
      </c>
      <c r="AP69" s="349">
        <f t="shared" si="1287"/>
        <v>1</v>
      </c>
      <c r="AQ69" s="350" t="str">
        <f t="shared" si="1288"/>
        <v>YES</v>
      </c>
      <c r="AR69" s="351">
        <f t="shared" si="1289"/>
        <v>4.6740966868086134E-3</v>
      </c>
      <c r="AS69" s="343" t="str">
        <f t="shared" si="1290"/>
        <v>YES</v>
      </c>
      <c r="AT69" s="351">
        <f t="shared" si="1291"/>
        <v>1.462285721441082E-2</v>
      </c>
      <c r="AU69" s="343" t="str">
        <f t="shared" si="1292"/>
        <v>YES</v>
      </c>
      <c r="AV69" s="351" t="str">
        <f t="shared" si="1293"/>
        <v>1R x 6/10 (12)kV x 3C x 150 Sqmm</v>
      </c>
      <c r="AW69" s="351" t="str">
        <f t="shared" si="1294"/>
        <v>1R x 6/10 (12)kV x 3C x 150 Sqmm</v>
      </c>
      <c r="AX69" s="343">
        <f t="shared" si="1295"/>
        <v>40</v>
      </c>
      <c r="AY69" s="343"/>
      <c r="AZ69" s="343">
        <f t="shared" si="1296"/>
        <v>2</v>
      </c>
      <c r="BA69" s="356" t="str">
        <f t="shared" si="1297"/>
        <v/>
      </c>
      <c r="BB69" s="340">
        <f>VLOOKUP(W69,'Catalogue Aluminium'!$B$141:$H$173,7,FALSE)</f>
        <v>62</v>
      </c>
      <c r="BC69" s="328">
        <f t="shared" si="1298"/>
        <v>62</v>
      </c>
      <c r="BE69" s="416"/>
      <c r="BF69" s="416"/>
      <c r="BG69" s="416"/>
      <c r="BH69" s="416"/>
      <c r="BI69" s="416"/>
      <c r="BJ69" s="416"/>
      <c r="BK69" s="416"/>
      <c r="BL69" s="416"/>
      <c r="BM69" s="416"/>
      <c r="BN69" s="416"/>
      <c r="BO69" s="416"/>
      <c r="BP69" s="416"/>
      <c r="BQ69" s="416"/>
      <c r="BR69" s="416"/>
      <c r="BS69" s="416"/>
      <c r="BT69" s="416"/>
      <c r="BU69" s="416"/>
      <c r="BV69" s="416"/>
      <c r="BW69" s="416"/>
      <c r="BX69" s="341"/>
      <c r="BY69" s="341"/>
      <c r="BZ69" s="416"/>
      <c r="CA69" s="416"/>
      <c r="CB69" s="416"/>
      <c r="CC69" s="416"/>
      <c r="CD69" s="416"/>
      <c r="CE69" s="416"/>
      <c r="CF69" s="416"/>
      <c r="CG69" s="416"/>
      <c r="CH69" s="416"/>
      <c r="CI69" s="416"/>
      <c r="CJ69" s="416"/>
      <c r="CK69" s="416"/>
      <c r="CL69" s="416"/>
      <c r="CM69" s="416"/>
      <c r="CN69" s="416"/>
      <c r="CO69" s="416"/>
      <c r="CP69" s="416"/>
      <c r="CQ69" s="416"/>
      <c r="CR69" s="416"/>
      <c r="CS69" s="416"/>
      <c r="CT69" s="416"/>
      <c r="CU69" s="416"/>
      <c r="CV69" s="416"/>
      <c r="CW69" s="416"/>
      <c r="CX69" s="416"/>
      <c r="CY69" s="416"/>
      <c r="CZ69" s="416"/>
      <c r="DA69" s="416"/>
      <c r="DB69" s="416"/>
      <c r="DC69" s="416"/>
      <c r="DD69" s="416"/>
      <c r="DE69" s="416"/>
      <c r="DF69" s="416"/>
      <c r="DG69" s="416"/>
      <c r="DH69" s="416"/>
      <c r="DI69" s="416"/>
      <c r="DJ69" s="416"/>
      <c r="DK69" s="416"/>
      <c r="DL69" s="416"/>
      <c r="DM69" s="416"/>
      <c r="DN69" s="416"/>
      <c r="DO69" s="416"/>
      <c r="DP69" s="416"/>
      <c r="DQ69" s="416"/>
      <c r="DR69" s="416"/>
      <c r="DS69" s="416"/>
      <c r="DT69" s="416"/>
      <c r="DU69" s="416"/>
      <c r="DW69" s="336">
        <f t="shared" si="81"/>
        <v>0</v>
      </c>
      <c r="DX69" s="336">
        <f t="shared" si="0"/>
        <v>0</v>
      </c>
      <c r="DY69" s="336">
        <f t="shared" si="1"/>
        <v>0</v>
      </c>
      <c r="DZ69" s="336">
        <f t="shared" si="2"/>
        <v>0</v>
      </c>
      <c r="EA69" s="336">
        <f t="shared" si="3"/>
        <v>0</v>
      </c>
      <c r="EB69" s="336">
        <f t="shared" si="4"/>
        <v>0</v>
      </c>
      <c r="EC69" s="336">
        <f t="shared" si="5"/>
        <v>0</v>
      </c>
      <c r="ED69" s="336">
        <f t="shared" si="6"/>
        <v>0</v>
      </c>
      <c r="EE69" s="336">
        <f t="shared" si="7"/>
        <v>0</v>
      </c>
      <c r="EF69" s="336">
        <f t="shared" si="8"/>
        <v>0</v>
      </c>
      <c r="EG69" s="336">
        <f t="shared" si="9"/>
        <v>0</v>
      </c>
      <c r="EH69" s="336">
        <f t="shared" si="10"/>
        <v>0</v>
      </c>
      <c r="EI69" s="336">
        <f t="shared" si="11"/>
        <v>0</v>
      </c>
      <c r="EJ69" s="336">
        <f t="shared" si="12"/>
        <v>0</v>
      </c>
      <c r="EK69" s="336">
        <f t="shared" si="13"/>
        <v>0</v>
      </c>
      <c r="EL69" s="336">
        <f t="shared" si="14"/>
        <v>0</v>
      </c>
      <c r="EM69" s="336">
        <f t="shared" si="15"/>
        <v>0</v>
      </c>
      <c r="EN69" s="336">
        <f t="shared" si="16"/>
        <v>0</v>
      </c>
      <c r="EO69" s="336">
        <f t="shared" si="17"/>
        <v>0</v>
      </c>
      <c r="EP69" s="336">
        <f t="shared" si="18"/>
        <v>0</v>
      </c>
      <c r="EQ69" s="336">
        <f t="shared" si="19"/>
        <v>0</v>
      </c>
      <c r="ER69" s="336">
        <f t="shared" si="20"/>
        <v>0</v>
      </c>
      <c r="ES69" s="336">
        <f t="shared" si="21"/>
        <v>0</v>
      </c>
      <c r="ET69" s="336">
        <f t="shared" si="22"/>
        <v>0</v>
      </c>
      <c r="EU69" s="336">
        <f t="shared" si="23"/>
        <v>0</v>
      </c>
      <c r="EV69" s="336">
        <f t="shared" si="24"/>
        <v>0</v>
      </c>
      <c r="EW69" s="336">
        <f t="shared" si="25"/>
        <v>0</v>
      </c>
      <c r="EX69" s="336">
        <f t="shared" si="26"/>
        <v>0</v>
      </c>
      <c r="EY69" s="336">
        <f t="shared" si="27"/>
        <v>0</v>
      </c>
      <c r="EZ69" s="336">
        <f t="shared" si="28"/>
        <v>0</v>
      </c>
      <c r="FA69" s="336">
        <f t="shared" si="29"/>
        <v>0</v>
      </c>
      <c r="FB69" s="336">
        <f t="shared" si="30"/>
        <v>0</v>
      </c>
      <c r="FC69" s="336">
        <f t="shared" si="31"/>
        <v>0</v>
      </c>
      <c r="FD69" s="336">
        <f t="shared" si="32"/>
        <v>0</v>
      </c>
      <c r="FE69" s="336">
        <f t="shared" si="33"/>
        <v>0</v>
      </c>
      <c r="FF69" s="336">
        <f t="shared" si="34"/>
        <v>0</v>
      </c>
      <c r="FG69" s="336">
        <f t="shared" si="35"/>
        <v>0</v>
      </c>
      <c r="FH69" s="336">
        <f t="shared" si="36"/>
        <v>0</v>
      </c>
      <c r="FI69" s="336">
        <f t="shared" si="37"/>
        <v>0</v>
      </c>
      <c r="FJ69" s="336">
        <f t="shared" si="38"/>
        <v>0</v>
      </c>
      <c r="FK69" s="336">
        <f t="shared" si="39"/>
        <v>0</v>
      </c>
      <c r="FL69" s="336">
        <f t="shared" si="40"/>
        <v>0</v>
      </c>
      <c r="FM69" s="336">
        <f t="shared" si="41"/>
        <v>0</v>
      </c>
      <c r="FN69" s="336">
        <f t="shared" si="42"/>
        <v>0</v>
      </c>
      <c r="FO69" s="336">
        <f t="shared" si="43"/>
        <v>0</v>
      </c>
      <c r="FP69" s="336">
        <f t="shared" si="44"/>
        <v>0</v>
      </c>
      <c r="FQ69" s="336">
        <f t="shared" si="45"/>
        <v>0</v>
      </c>
      <c r="FR69" s="336">
        <f t="shared" si="46"/>
        <v>0</v>
      </c>
      <c r="FS69" s="336">
        <f t="shared" si="47"/>
        <v>0</v>
      </c>
      <c r="FT69" s="336">
        <f t="shared" si="48"/>
        <v>0</v>
      </c>
      <c r="FU69" s="336">
        <f t="shared" si="1216"/>
        <v>0</v>
      </c>
      <c r="FV69" s="336">
        <f t="shared" si="1217"/>
        <v>0</v>
      </c>
      <c r="FW69" s="336">
        <f t="shared" si="1218"/>
        <v>0</v>
      </c>
      <c r="FX69" s="336">
        <f t="shared" si="1219"/>
        <v>0</v>
      </c>
      <c r="FY69" s="336">
        <f t="shared" si="53"/>
        <v>0</v>
      </c>
      <c r="FZ69" s="336">
        <f t="shared" si="54"/>
        <v>0</v>
      </c>
      <c r="GA69" s="336">
        <f t="shared" si="55"/>
        <v>0</v>
      </c>
      <c r="GB69" s="336">
        <f t="shared" si="56"/>
        <v>0</v>
      </c>
      <c r="GC69" s="336">
        <f t="shared" si="57"/>
        <v>0</v>
      </c>
      <c r="GD69" s="336">
        <f t="shared" si="58"/>
        <v>0</v>
      </c>
      <c r="GE69" s="336">
        <f t="shared" si="59"/>
        <v>0</v>
      </c>
      <c r="GF69" s="336">
        <f t="shared" si="60"/>
        <v>0</v>
      </c>
      <c r="GG69" s="336">
        <f t="shared" si="61"/>
        <v>0</v>
      </c>
      <c r="GH69" s="336">
        <f t="shared" si="62"/>
        <v>0</v>
      </c>
      <c r="GI69" s="336">
        <f t="shared" si="63"/>
        <v>0</v>
      </c>
      <c r="GJ69" s="336">
        <f t="shared" si="64"/>
        <v>0</v>
      </c>
      <c r="GK69" s="336">
        <f>IF(DS69=1,($BC69*DS69),0)</f>
        <v>0</v>
      </c>
      <c r="GL69" s="336">
        <f t="shared" si="1148"/>
        <v>0</v>
      </c>
      <c r="GM69" s="336">
        <f t="shared" si="66"/>
        <v>0</v>
      </c>
    </row>
    <row r="70" spans="1:195" ht="25.5" customHeight="1">
      <c r="A70" s="388">
        <f t="shared" si="1363"/>
        <v>55</v>
      </c>
      <c r="B70" s="445" t="s">
        <v>328</v>
      </c>
      <c r="C70" s="388" t="str">
        <f t="shared" si="1362"/>
        <v>11kV MV Switchgear-3</v>
      </c>
      <c r="D70" s="441" t="s">
        <v>446</v>
      </c>
      <c r="E70" s="432" t="s">
        <v>441</v>
      </c>
      <c r="F70" s="388" t="s">
        <v>29</v>
      </c>
      <c r="G70" s="390" t="s">
        <v>329</v>
      </c>
      <c r="H70" s="396">
        <v>0.2</v>
      </c>
      <c r="I70" s="388" t="s">
        <v>330</v>
      </c>
      <c r="J70" s="388" t="s">
        <v>357</v>
      </c>
      <c r="K70" s="434">
        <v>230</v>
      </c>
      <c r="L70" s="401">
        <v>0.85</v>
      </c>
      <c r="M70" s="418">
        <v>0.95</v>
      </c>
      <c r="N70" s="392">
        <f t="shared" si="1278"/>
        <v>1.0768609503297888</v>
      </c>
      <c r="O70" s="392">
        <f t="shared" si="1279"/>
        <v>0</v>
      </c>
      <c r="P70" s="401" t="str">
        <f t="shared" si="1280"/>
        <v>0.00</v>
      </c>
      <c r="Q70" s="418">
        <v>65</v>
      </c>
      <c r="R70" s="418">
        <v>0</v>
      </c>
      <c r="S70" s="418">
        <f t="shared" si="1281"/>
        <v>0</v>
      </c>
      <c r="T70" s="401" t="s">
        <v>131</v>
      </c>
      <c r="U70" s="418" t="s">
        <v>333</v>
      </c>
      <c r="V70" s="401">
        <v>2.5</v>
      </c>
      <c r="W70" s="401" t="str">
        <f t="shared" si="1277"/>
        <v>3C X 2.5</v>
      </c>
      <c r="X70" s="401" t="str">
        <f t="shared" si="1282"/>
        <v>3C X 2.5</v>
      </c>
      <c r="Y70" s="435" t="s">
        <v>358</v>
      </c>
      <c r="Z70" s="393">
        <f>IF(T70="AIR",VLOOKUP(W70,'Catalogue Aluminium'!$B$141:$G$173,2,FALSE),IF(T70="GROUND",VLOOKUP(W70,'Catalogue Aluminium'!$B$141:$G$173,3,FALSE),IF(T70="DUCT",VLOOKUP(W70,'Catalogue Aluminium'!$B$141:$G$173,4,FALSE),IF(T70="TRENCH",VLOOKUP(W70,'Catalogue Aluminium'!$B$141:$G$173,2,FALSE)))))</f>
        <v>28</v>
      </c>
      <c r="AA70" s="402">
        <f>VLOOKUP(W70,'Catalogue Aluminium'!$B$141:$G$173,5,FALSE)</f>
        <v>9.48</v>
      </c>
      <c r="AB70" s="402">
        <f>VLOOKUP(W70,'Catalogue Aluminium'!$B$141:$G$173,6,FALSE)</f>
        <v>0.1007</v>
      </c>
      <c r="AC70" s="457">
        <v>25</v>
      </c>
      <c r="AD70" s="457">
        <v>0</v>
      </c>
      <c r="AE70" s="401">
        <v>0</v>
      </c>
      <c r="AF70" s="401">
        <v>8</v>
      </c>
      <c r="AG70" s="401">
        <f t="shared" ref="AG70" si="1427">ROUNDUP(SUM(AC70:AF70)*0.1,0)</f>
        <v>4</v>
      </c>
      <c r="AH70" s="436">
        <f t="shared" si="1284"/>
        <v>40</v>
      </c>
      <c r="AI70" s="393">
        <f>IF(T70="AIR",'Catalogue Aluminium'!$K$141,IF(T70="TRENCH",'Catalogue Aluminium'!$K$144,"NA"))</f>
        <v>0.82</v>
      </c>
      <c r="AJ70" s="392">
        <f>IF(T70="Air",(IF(U70="1C",'Catalogue Aluminium'!$L$141,'Catalogue Aluminium'!$M$141)),IF(T70="DUCT",(IF($U70="1C",'Catalogue Aluminium'!$L$142,'Catalogue Aluminium'!$M$142)),IF(T70="GROUND",(IF($U70="1C",'Catalogue Aluminium'!$L$143,'Catalogue Aluminium'!$M$143)),IF(T70="TRENCH",(IF($U70="1C",'Catalogue Aluminium'!$L$144,'Catalogue Aluminium'!$M$144))))))</f>
        <v>0.73</v>
      </c>
      <c r="AK70" s="393" t="str">
        <f>IF(T70="Air",'Catalogue Aluminium'!$N$141,IF(T70="GROUND",'Catalogue Aluminium'!$N$142,IF(T70="DUCT",'Catalogue Aluminium'!$N$143,IF(T70="TRENCH",'Catalogue Aluminium'!$N$144,"NA"))))</f>
        <v>NA</v>
      </c>
      <c r="AL70" s="393" t="str">
        <f>IF(T70="Air",(IF(U70="1C",'Catalogue Aluminium'!$O$141,'Catalogue Aluminium'!$P$141)),IF(T70="DUCT",(IF($U70="1C",'Catalogue Aluminium'!$O$142,'Catalogue Aluminium'!$P$142)),IF(T70="GROUND",(IF($U70="1C",'Catalogue Aluminium'!$O$143,'Catalogue Aluminium'!$P$143)),IF(T70="TRENCH",(IF($U70="1C",'Catalogue Aluminium'!$O$144,'Catalogue Aluminium'!$P$144))))))</f>
        <v>NA</v>
      </c>
      <c r="AM70" s="393" t="str">
        <f>IF(T70="AIR","NA",IF(T70="TRENCH","NA",IF(T70="DUCT",IF(U70="1C",VLOOKUP(V70,'Catalogue Aluminium'!$Q$142:$S$153,2,FALSE),VLOOKUP(V70,'Catalogue Aluminium'!$Q$142:$S$153,3)),IF(T70="GROUND",IF(U70="1C",VLOOKUP(V70,'Catalogue Aluminium'!$Q$142:$S$153,2,FALSE),VLOOKUP(V70,'Catalogue Aluminium'!$Q$142:$S$153,3))))))</f>
        <v>NA</v>
      </c>
      <c r="AN70" s="404">
        <f t="shared" si="1285"/>
        <v>0.59859999999999991</v>
      </c>
      <c r="AO70" s="392">
        <f t="shared" si="1286"/>
        <v>16.760799999999996</v>
      </c>
      <c r="AP70" s="434">
        <f t="shared" si="1287"/>
        <v>1</v>
      </c>
      <c r="AQ70" s="418" t="str">
        <f t="shared" si="1288"/>
        <v>YES</v>
      </c>
      <c r="AR70" s="437">
        <f t="shared" si="1289"/>
        <v>0.26310513857744638</v>
      </c>
      <c r="AS70" s="401" t="str">
        <f t="shared" si="1290"/>
        <v>YES</v>
      </c>
      <c r="AT70" s="437" t="str">
        <f t="shared" si="1291"/>
        <v>NA</v>
      </c>
      <c r="AU70" s="401" t="str">
        <f t="shared" si="1292"/>
        <v>NA</v>
      </c>
      <c r="AV70" s="437" t="str">
        <f t="shared" si="1293"/>
        <v>1R x 6/10 (12)kV x 3C x 2.5 Sqmm</v>
      </c>
      <c r="AW70" s="437" t="str">
        <f t="shared" si="1294"/>
        <v>1R x 6/10 (12)kV x 3C x 2.5 Sqmm</v>
      </c>
      <c r="AX70" s="401">
        <f t="shared" si="1295"/>
        <v>40</v>
      </c>
      <c r="AY70" s="401"/>
      <c r="AZ70" s="401">
        <f t="shared" si="1296"/>
        <v>2</v>
      </c>
      <c r="BA70" s="438" t="str">
        <f t="shared" si="1297"/>
        <v/>
      </c>
      <c r="BB70" s="390">
        <f>VLOOKUP(W70,'Catalogue Aluminium'!$B$141:$H$173,7,FALSE)</f>
        <v>14</v>
      </c>
      <c r="BC70" s="439">
        <f t="shared" si="1298"/>
        <v>14</v>
      </c>
      <c r="BE70" s="416"/>
      <c r="BF70" s="416"/>
      <c r="BG70" s="416"/>
      <c r="BH70" s="416"/>
      <c r="BI70" s="416"/>
      <c r="BJ70" s="416"/>
      <c r="BK70" s="416"/>
      <c r="BL70" s="416"/>
      <c r="BM70" s="416"/>
      <c r="BN70" s="416"/>
      <c r="BO70" s="416"/>
      <c r="BP70" s="416"/>
      <c r="BQ70" s="416"/>
      <c r="BR70" s="416"/>
      <c r="BS70" s="416"/>
      <c r="BT70" s="416"/>
      <c r="BU70" s="416"/>
      <c r="BV70" s="416"/>
      <c r="BW70" s="416"/>
      <c r="BX70" s="341"/>
      <c r="BY70" s="341"/>
      <c r="BZ70" s="416"/>
      <c r="CA70" s="416"/>
      <c r="CB70" s="416"/>
      <c r="CC70" s="416"/>
      <c r="CD70" s="416"/>
      <c r="CE70" s="416"/>
      <c r="CF70" s="416"/>
      <c r="CG70" s="416"/>
      <c r="CH70" s="416"/>
      <c r="CI70" s="416"/>
      <c r="CJ70" s="416"/>
      <c r="CK70" s="416"/>
      <c r="CL70" s="416"/>
      <c r="CM70" s="416"/>
      <c r="CN70" s="416"/>
      <c r="CO70" s="416"/>
      <c r="CP70" s="416"/>
      <c r="CQ70" s="416"/>
      <c r="CR70" s="416"/>
      <c r="CS70" s="416"/>
      <c r="CT70" s="416"/>
      <c r="CU70" s="416"/>
      <c r="CV70" s="416"/>
      <c r="CW70" s="416"/>
      <c r="CX70" s="416"/>
      <c r="CY70" s="416"/>
      <c r="CZ70" s="416"/>
      <c r="DA70" s="416"/>
      <c r="DB70" s="416"/>
      <c r="DC70" s="416"/>
      <c r="DD70" s="416"/>
      <c r="DE70" s="416"/>
      <c r="DF70" s="416"/>
      <c r="DG70" s="416"/>
      <c r="DH70" s="416"/>
      <c r="DI70" s="416"/>
      <c r="DJ70" s="416"/>
      <c r="DK70" s="416"/>
      <c r="DL70" s="416"/>
      <c r="DM70" s="416"/>
      <c r="DN70" s="416"/>
      <c r="DO70" s="416"/>
      <c r="DP70" s="416"/>
      <c r="DQ70" s="416"/>
      <c r="DR70" s="416"/>
      <c r="DS70" s="416"/>
      <c r="DT70" s="416"/>
      <c r="DU70" s="416"/>
      <c r="DW70" s="336">
        <f t="shared" ref="DW70" si="1428">IF(BE70=1,($BC70*BE70),0)</f>
        <v>0</v>
      </c>
      <c r="DX70" s="336">
        <f t="shared" ref="DX70" si="1429">IF(BF70=1,($BC70*BF70),0)</f>
        <v>0</v>
      </c>
      <c r="DY70" s="336">
        <f t="shared" ref="DY70" si="1430">IF(BG70=1,($BC70*BG70),0)</f>
        <v>0</v>
      </c>
      <c r="DZ70" s="336">
        <f t="shared" ref="DZ70" si="1431">IF(BH70=1,($BC70*BH70),0)</f>
        <v>0</v>
      </c>
      <c r="EA70" s="336">
        <f t="shared" ref="EA70" si="1432">IF(BI70=1,($BC70*BI70),0)</f>
        <v>0</v>
      </c>
      <c r="EB70" s="336">
        <f t="shared" ref="EB70" si="1433">IF(BJ70=1,($BC70*BJ70),0)</f>
        <v>0</v>
      </c>
      <c r="EC70" s="336">
        <f t="shared" ref="EC70" si="1434">IF(BK70=1,($BC70*BK70),0)</f>
        <v>0</v>
      </c>
      <c r="ED70" s="336">
        <f t="shared" ref="ED70" si="1435">IF(BL70=1,($BC70*BL70),0)</f>
        <v>0</v>
      </c>
      <c r="EE70" s="336">
        <f t="shared" ref="EE70" si="1436">IF(BM70=1,($BC70*BM70),0)</f>
        <v>0</v>
      </c>
      <c r="EF70" s="336">
        <f t="shared" ref="EF70" si="1437">IF(BN70=1,($BC70*BN70),0)</f>
        <v>0</v>
      </c>
      <c r="EG70" s="336">
        <f t="shared" ref="EG70" si="1438">IF(BO70=1,($BC70*BO70),0)</f>
        <v>0</v>
      </c>
      <c r="EH70" s="336">
        <f t="shared" ref="EH70" si="1439">IF(BP70=1,($BC70*BP70),0)</f>
        <v>0</v>
      </c>
      <c r="EI70" s="336">
        <f t="shared" ref="EI70" si="1440">IF(BQ70=1,($BC70*BQ70),0)</f>
        <v>0</v>
      </c>
      <c r="EJ70" s="336">
        <f t="shared" ref="EJ70" si="1441">IF(BR70=1,($BC70*BR70),0)</f>
        <v>0</v>
      </c>
      <c r="EK70" s="336">
        <f t="shared" ref="EK70" si="1442">IF(BS70=1,($BC70*BS70),0)</f>
        <v>0</v>
      </c>
      <c r="EL70" s="336">
        <f t="shared" ref="EL70" si="1443">IF(BT70=1,($BC70*BT70),0)</f>
        <v>0</v>
      </c>
      <c r="EM70" s="336">
        <f t="shared" ref="EM70" si="1444">IF(BU70=1,($BC70*BU70),0)</f>
        <v>0</v>
      </c>
      <c r="EN70" s="336">
        <f t="shared" ref="EN70" si="1445">IF(BV70=1,($BC70*BV70),0)</f>
        <v>0</v>
      </c>
      <c r="EO70" s="336">
        <f t="shared" ref="EO70" si="1446">IF(BW70=1,($BC70*BW70),0)</f>
        <v>0</v>
      </c>
      <c r="EP70" s="336">
        <f t="shared" ref="EP70" si="1447">IF(BX70=1,($BC70*BX70),0)</f>
        <v>0</v>
      </c>
      <c r="EQ70" s="336">
        <f t="shared" ref="EQ70" si="1448">IF(BY70=1,($BC70*BY70),0)</f>
        <v>0</v>
      </c>
      <c r="ER70" s="336">
        <f t="shared" ref="ER70" si="1449">IF(BZ70=1,($BC70*BZ70),0)</f>
        <v>0</v>
      </c>
      <c r="ES70" s="336">
        <f t="shared" ref="ES70" si="1450">IF(CA70=1,($BC70*CA70),0)</f>
        <v>0</v>
      </c>
      <c r="ET70" s="336">
        <f t="shared" ref="ET70:ET82" si="1451">IF(CB70=1,($BC70*CB70),0)</f>
        <v>0</v>
      </c>
      <c r="EU70" s="336">
        <f t="shared" ref="EU70:EU82" si="1452">IF(CC70=1,($BC70*CC70),0)</f>
        <v>0</v>
      </c>
      <c r="EV70" s="336">
        <f t="shared" ref="EV70" si="1453">IF(CD70=1,($BC70*CD70),0)</f>
        <v>0</v>
      </c>
      <c r="EW70" s="336">
        <f t="shared" ref="EW70" si="1454">IF(CE70=1,($BC70*CE70),0)</f>
        <v>0</v>
      </c>
      <c r="EX70" s="336">
        <f t="shared" ref="EX70" si="1455">IF(CF70=1,($BC70*CF70),0)</f>
        <v>0</v>
      </c>
      <c r="EY70" s="336">
        <f t="shared" ref="EY70" si="1456">IF(CG70=1,($BC70*CG70),0)</f>
        <v>0</v>
      </c>
      <c r="EZ70" s="336">
        <f t="shared" ref="EZ70" si="1457">IF(CH70=1,($BC70*CH70),0)</f>
        <v>0</v>
      </c>
      <c r="FA70" s="336">
        <f t="shared" ref="FA70" si="1458">IF(CI70=1,($BC70*CI70),0)</f>
        <v>0</v>
      </c>
      <c r="FB70" s="336">
        <f t="shared" ref="FB70" si="1459">IF(CJ70=1,($BC70*CJ70),0)</f>
        <v>0</v>
      </c>
      <c r="FC70" s="336">
        <f t="shared" ref="FC70" si="1460">IF(CK70=1,($BC70*CK70),0)</f>
        <v>0</v>
      </c>
      <c r="FD70" s="336">
        <f t="shared" ref="FD70" si="1461">IF(CL70=1,($BC70*CL70),0)</f>
        <v>0</v>
      </c>
      <c r="FE70" s="336">
        <f t="shared" ref="FE70" si="1462">IF(CM70=1,($BC70*CM70),0)</f>
        <v>0</v>
      </c>
      <c r="FF70" s="336">
        <f t="shared" ref="FF70" si="1463">IF(CN70=1,($BC70*CN70),0)</f>
        <v>0</v>
      </c>
      <c r="FG70" s="336">
        <f t="shared" ref="FG70" si="1464">IF(CO70=1,($BC70*CO70),0)</f>
        <v>0</v>
      </c>
      <c r="FH70" s="336">
        <f t="shared" ref="FH70" si="1465">IF(CP70=1,($BC70*CP70),0)</f>
        <v>0</v>
      </c>
      <c r="FI70" s="336">
        <f t="shared" ref="FI70" si="1466">IF(CQ70=1,($BC70*CQ70),0)</f>
        <v>0</v>
      </c>
      <c r="FJ70" s="336">
        <f t="shared" ref="FJ70" si="1467">IF(CR70=1,($BC70*CR70),0)</f>
        <v>0</v>
      </c>
      <c r="FK70" s="336">
        <f t="shared" ref="FK70" si="1468">IF(CS70=1,($BC70*CS70),0)</f>
        <v>0</v>
      </c>
      <c r="FL70" s="336">
        <f t="shared" ref="FL70" si="1469">IF(CT70=1,($BC70*CT70),0)</f>
        <v>0</v>
      </c>
      <c r="FM70" s="336">
        <f t="shared" ref="FM70" si="1470">IF(CU70=1,($BC70*CU70),0)</f>
        <v>0</v>
      </c>
      <c r="FN70" s="336">
        <f t="shared" ref="FN70" si="1471">IF(CV70=1,($BC70*CV70),0)</f>
        <v>0</v>
      </c>
      <c r="FO70" s="336">
        <f t="shared" ref="FO70" si="1472">IF(CW70=1,($BC70*CW70),0)</f>
        <v>0</v>
      </c>
      <c r="FP70" s="336">
        <f t="shared" ref="FP70" si="1473">IF(CX70=1,($BC70*CX70),0)</f>
        <v>0</v>
      </c>
      <c r="FQ70" s="336">
        <f t="shared" ref="FQ70" si="1474">IF(CY70=1,($BC70*CY70),0)</f>
        <v>0</v>
      </c>
      <c r="FR70" s="336">
        <f t="shared" ref="FR70" si="1475">IF(CZ70=1,($BC70*CZ70),0)</f>
        <v>0</v>
      </c>
      <c r="FS70" s="336">
        <f t="shared" ref="FS70" si="1476">IF(DA70=1,($BC70*DA70),0)</f>
        <v>0</v>
      </c>
      <c r="FT70" s="336">
        <f t="shared" ref="FT70" si="1477">IF(DB70=1,($BC70*DB70),0)</f>
        <v>0</v>
      </c>
      <c r="FU70" s="336">
        <f t="shared" si="1216"/>
        <v>0</v>
      </c>
      <c r="FV70" s="336">
        <f t="shared" si="1217"/>
        <v>0</v>
      </c>
      <c r="FW70" s="336">
        <f t="shared" si="1218"/>
        <v>0</v>
      </c>
      <c r="FX70" s="336">
        <f t="shared" si="1219"/>
        <v>0</v>
      </c>
      <c r="FY70" s="336">
        <f t="shared" ref="FY70" si="1478">IF(DG70=1,($BC70*DG70),0)</f>
        <v>0</v>
      </c>
      <c r="FZ70" s="336">
        <f t="shared" ref="FZ70" si="1479">IF(DH70=1,($BC70*DH70),0)</f>
        <v>0</v>
      </c>
      <c r="GA70" s="336">
        <f t="shared" ref="GA70" si="1480">IF(DI70=1,($BC70*DI70),0)</f>
        <v>0</v>
      </c>
      <c r="GB70" s="336">
        <f t="shared" ref="GB70" si="1481">IF(DJ70=1,($BC70*DJ70),0)</f>
        <v>0</v>
      </c>
      <c r="GC70" s="336">
        <f t="shared" ref="GC70" si="1482">IF(DK70=1,($BC70*DK70),0)</f>
        <v>0</v>
      </c>
      <c r="GD70" s="336">
        <f t="shared" ref="GD70" si="1483">IF(DL70=1,($BC70*DL70),0)</f>
        <v>0</v>
      </c>
      <c r="GE70" s="336">
        <f t="shared" ref="GE70" si="1484">IF(DM70=1,($BC70*DM70),0)</f>
        <v>0</v>
      </c>
      <c r="GF70" s="336">
        <f t="shared" ref="GF70" si="1485">IF(DN70=1,($BC70*DN70),0)</f>
        <v>0</v>
      </c>
      <c r="GG70" s="336">
        <f t="shared" ref="GG70" si="1486">IF(DO70=1,($BC70*DO70),0)</f>
        <v>0</v>
      </c>
      <c r="GH70" s="336">
        <f t="shared" ref="GH70" si="1487">IF(DP70=1,($BC70*DP70),0)</f>
        <v>0</v>
      </c>
      <c r="GI70" s="336">
        <f t="shared" ref="GI70" si="1488">IF(DQ70=1,($BC70*DQ70),0)</f>
        <v>0</v>
      </c>
      <c r="GJ70" s="336">
        <f t="shared" ref="GJ70" si="1489">IF(DR70=1,($BC70*DR70),0)</f>
        <v>0</v>
      </c>
      <c r="GK70" s="336">
        <f t="shared" ref="GK70" si="1490">IF(DS70=1,($BC70*DS70),0)</f>
        <v>0</v>
      </c>
      <c r="GL70" s="336">
        <f t="shared" si="1148"/>
        <v>0</v>
      </c>
      <c r="GM70" s="336">
        <f t="shared" ref="GM70" si="1491">IF(DU70=1,($BC70*DU70),0)</f>
        <v>0</v>
      </c>
    </row>
    <row r="71" spans="1:195" s="36" customFormat="1" ht="26.25" customHeight="1">
      <c r="A71" s="446"/>
      <c r="B71" s="447"/>
      <c r="C71" s="447"/>
      <c r="D71" s="448" t="s">
        <v>447</v>
      </c>
      <c r="E71" s="449"/>
      <c r="F71" s="449"/>
      <c r="G71" s="450"/>
      <c r="H71" s="382"/>
      <c r="I71" s="373"/>
      <c r="J71" s="373"/>
      <c r="K71" s="373"/>
      <c r="L71" s="446"/>
      <c r="M71" s="446"/>
      <c r="N71" s="446"/>
      <c r="O71" s="446"/>
      <c r="P71" s="446"/>
      <c r="Q71" s="446"/>
      <c r="R71" s="446"/>
      <c r="S71" s="446"/>
      <c r="T71" s="446"/>
      <c r="U71" s="446"/>
      <c r="V71" s="446"/>
      <c r="W71" s="446"/>
      <c r="X71" s="446"/>
      <c r="Y71" s="446"/>
      <c r="Z71" s="446"/>
      <c r="AA71" s="446"/>
      <c r="AB71" s="446"/>
      <c r="AC71" s="446"/>
      <c r="AD71" s="446"/>
      <c r="AE71" s="446"/>
      <c r="AF71" s="446"/>
      <c r="AG71" s="446"/>
      <c r="AH71" s="446"/>
      <c r="AI71" s="446"/>
      <c r="AJ71" s="446"/>
      <c r="AK71" s="446"/>
      <c r="AL71" s="446"/>
      <c r="AM71" s="446"/>
      <c r="AN71" s="446"/>
      <c r="AO71" s="446"/>
      <c r="AP71" s="446"/>
      <c r="AQ71" s="446"/>
      <c r="AR71" s="446"/>
      <c r="AS71" s="446"/>
      <c r="AT71" s="446"/>
      <c r="AU71" s="446"/>
      <c r="AV71" s="446"/>
      <c r="AW71" s="446"/>
      <c r="AX71" s="446"/>
      <c r="AY71" s="446"/>
      <c r="AZ71" s="452"/>
      <c r="BA71" s="446"/>
      <c r="BB71" s="446"/>
      <c r="BC71" s="446"/>
      <c r="BE71" s="449"/>
      <c r="BF71" s="449"/>
      <c r="BG71" s="449"/>
      <c r="BH71" s="449"/>
      <c r="BI71" s="449"/>
      <c r="BJ71" s="449"/>
      <c r="BK71" s="449"/>
      <c r="BL71" s="449"/>
      <c r="BM71" s="449"/>
      <c r="BN71" s="449"/>
      <c r="BO71" s="449"/>
      <c r="BP71" s="449"/>
      <c r="BQ71" s="449"/>
      <c r="BR71" s="449"/>
      <c r="BS71" s="449"/>
      <c r="BT71" s="449"/>
      <c r="BU71" s="449"/>
      <c r="BV71" s="449"/>
      <c r="BW71" s="449"/>
      <c r="BX71" s="449"/>
      <c r="BY71" s="449"/>
      <c r="BZ71" s="449"/>
      <c r="CA71" s="449"/>
      <c r="CB71" s="449"/>
      <c r="CC71" s="449"/>
      <c r="CD71" s="449"/>
      <c r="CE71" s="449"/>
      <c r="CF71" s="449"/>
      <c r="CG71" s="449"/>
      <c r="CH71" s="449"/>
      <c r="CI71" s="449"/>
      <c r="CJ71" s="449"/>
      <c r="CK71" s="449"/>
      <c r="CL71" s="449"/>
      <c r="CM71" s="449"/>
      <c r="CN71" s="449"/>
      <c r="CO71" s="449"/>
      <c r="CP71" s="449"/>
      <c r="CQ71" s="449"/>
      <c r="CR71" s="449"/>
      <c r="CS71" s="449"/>
      <c r="CT71" s="449"/>
      <c r="CU71" s="449"/>
      <c r="CV71" s="449"/>
      <c r="CW71" s="449"/>
      <c r="CX71" s="449"/>
      <c r="CY71" s="449"/>
      <c r="CZ71" s="449"/>
      <c r="DA71" s="449"/>
      <c r="DB71" s="449"/>
      <c r="DC71" s="449"/>
      <c r="DD71" s="449"/>
      <c r="DE71" s="449"/>
      <c r="DF71" s="449"/>
      <c r="DG71" s="449"/>
      <c r="DH71" s="449"/>
      <c r="DI71" s="449"/>
      <c r="DJ71" s="449"/>
      <c r="DK71" s="449"/>
      <c r="DL71" s="449"/>
      <c r="DM71" s="449"/>
      <c r="DN71" s="449"/>
      <c r="DO71" s="449"/>
      <c r="DP71" s="449"/>
      <c r="DQ71" s="449"/>
      <c r="DR71" s="449"/>
      <c r="DS71" s="449"/>
      <c r="DT71" s="449"/>
      <c r="DU71" s="449"/>
      <c r="DV71" s="61"/>
      <c r="DW71" s="336">
        <f t="shared" si="81"/>
        <v>0</v>
      </c>
      <c r="DX71" s="336">
        <f t="shared" si="0"/>
        <v>0</v>
      </c>
      <c r="DY71" s="336">
        <f t="shared" si="1"/>
        <v>0</v>
      </c>
      <c r="DZ71" s="336">
        <f t="shared" si="2"/>
        <v>0</v>
      </c>
      <c r="EA71" s="336">
        <f t="shared" si="3"/>
        <v>0</v>
      </c>
      <c r="EB71" s="336">
        <f t="shared" si="4"/>
        <v>0</v>
      </c>
      <c r="EC71" s="336">
        <f t="shared" si="5"/>
        <v>0</v>
      </c>
      <c r="ED71" s="336">
        <f t="shared" si="6"/>
        <v>0</v>
      </c>
      <c r="EE71" s="336">
        <f t="shared" si="7"/>
        <v>0</v>
      </c>
      <c r="EF71" s="336">
        <f t="shared" si="8"/>
        <v>0</v>
      </c>
      <c r="EG71" s="336">
        <f t="shared" si="9"/>
        <v>0</v>
      </c>
      <c r="EH71" s="336">
        <f t="shared" si="10"/>
        <v>0</v>
      </c>
      <c r="EI71" s="336">
        <f t="shared" si="11"/>
        <v>0</v>
      </c>
      <c r="EJ71" s="336">
        <f t="shared" si="12"/>
        <v>0</v>
      </c>
      <c r="EK71" s="336">
        <f t="shared" si="13"/>
        <v>0</v>
      </c>
      <c r="EL71" s="336">
        <f t="shared" si="14"/>
        <v>0</v>
      </c>
      <c r="EM71" s="336">
        <f t="shared" si="15"/>
        <v>0</v>
      </c>
      <c r="EN71" s="336">
        <f t="shared" si="16"/>
        <v>0</v>
      </c>
      <c r="EO71" s="336">
        <f t="shared" si="17"/>
        <v>0</v>
      </c>
      <c r="EP71" s="336">
        <f t="shared" si="18"/>
        <v>0</v>
      </c>
      <c r="EQ71" s="336">
        <f t="shared" si="19"/>
        <v>0</v>
      </c>
      <c r="ER71" s="336">
        <f t="shared" si="20"/>
        <v>0</v>
      </c>
      <c r="ES71" s="336">
        <f t="shared" si="21"/>
        <v>0</v>
      </c>
      <c r="ET71" s="336">
        <f t="shared" si="1451"/>
        <v>0</v>
      </c>
      <c r="EU71" s="336">
        <f t="shared" si="1452"/>
        <v>0</v>
      </c>
      <c r="EV71" s="336">
        <f t="shared" si="24"/>
        <v>0</v>
      </c>
      <c r="EW71" s="336">
        <f t="shared" si="25"/>
        <v>0</v>
      </c>
      <c r="EX71" s="336">
        <f t="shared" si="26"/>
        <v>0</v>
      </c>
      <c r="EY71" s="336">
        <f t="shared" si="27"/>
        <v>0</v>
      </c>
      <c r="EZ71" s="336">
        <f t="shared" si="28"/>
        <v>0</v>
      </c>
      <c r="FA71" s="336">
        <f t="shared" si="29"/>
        <v>0</v>
      </c>
      <c r="FB71" s="336">
        <f t="shared" si="30"/>
        <v>0</v>
      </c>
      <c r="FC71" s="336">
        <f t="shared" si="31"/>
        <v>0</v>
      </c>
      <c r="FD71" s="336">
        <f t="shared" si="32"/>
        <v>0</v>
      </c>
      <c r="FE71" s="336">
        <f t="shared" si="33"/>
        <v>0</v>
      </c>
      <c r="FF71" s="336">
        <f t="shared" si="34"/>
        <v>0</v>
      </c>
      <c r="FG71" s="336">
        <f t="shared" si="35"/>
        <v>0</v>
      </c>
      <c r="FH71" s="336">
        <f t="shared" si="36"/>
        <v>0</v>
      </c>
      <c r="FI71" s="336">
        <f t="shared" si="37"/>
        <v>0</v>
      </c>
      <c r="FJ71" s="336">
        <f t="shared" si="38"/>
        <v>0</v>
      </c>
      <c r="FK71" s="336">
        <f t="shared" si="39"/>
        <v>0</v>
      </c>
      <c r="FL71" s="336">
        <f t="shared" si="40"/>
        <v>0</v>
      </c>
      <c r="FM71" s="336">
        <f t="shared" si="41"/>
        <v>0</v>
      </c>
      <c r="FN71" s="336">
        <f t="shared" si="42"/>
        <v>0</v>
      </c>
      <c r="FO71" s="336">
        <f t="shared" si="43"/>
        <v>0</v>
      </c>
      <c r="FP71" s="336">
        <f t="shared" si="44"/>
        <v>0</v>
      </c>
      <c r="FQ71" s="336">
        <f t="shared" si="45"/>
        <v>0</v>
      </c>
      <c r="FR71" s="336">
        <f t="shared" si="46"/>
        <v>0</v>
      </c>
      <c r="FS71" s="336">
        <f t="shared" si="47"/>
        <v>0</v>
      </c>
      <c r="FT71" s="336">
        <f t="shared" si="48"/>
        <v>0</v>
      </c>
      <c r="FU71" s="336">
        <f t="shared" si="1216"/>
        <v>0</v>
      </c>
      <c r="FV71" s="336">
        <f t="shared" si="1217"/>
        <v>0</v>
      </c>
      <c r="FW71" s="336">
        <f t="shared" si="1218"/>
        <v>0</v>
      </c>
      <c r="FX71" s="336">
        <f t="shared" si="1219"/>
        <v>0</v>
      </c>
      <c r="FY71" s="336">
        <f t="shared" si="53"/>
        <v>0</v>
      </c>
      <c r="FZ71" s="336">
        <f t="shared" si="54"/>
        <v>0</v>
      </c>
      <c r="GA71" s="336">
        <f t="shared" si="55"/>
        <v>0</v>
      </c>
      <c r="GB71" s="336">
        <f t="shared" si="56"/>
        <v>0</v>
      </c>
      <c r="GC71" s="336">
        <f t="shared" si="57"/>
        <v>0</v>
      </c>
      <c r="GD71" s="336">
        <f t="shared" si="58"/>
        <v>0</v>
      </c>
      <c r="GE71" s="336">
        <f t="shared" si="59"/>
        <v>0</v>
      </c>
      <c r="GF71" s="336">
        <f t="shared" si="60"/>
        <v>0</v>
      </c>
      <c r="GG71" s="336">
        <f t="shared" si="61"/>
        <v>0</v>
      </c>
      <c r="GH71" s="336">
        <f t="shared" si="62"/>
        <v>0</v>
      </c>
      <c r="GI71" s="336">
        <f t="shared" si="63"/>
        <v>0</v>
      </c>
      <c r="GJ71" s="336">
        <f t="shared" si="64"/>
        <v>0</v>
      </c>
      <c r="GK71" s="336">
        <f>IF(DS71=1,($BC71*DS71),0)</f>
        <v>0</v>
      </c>
      <c r="GL71" s="336">
        <f t="shared" si="1148"/>
        <v>0</v>
      </c>
      <c r="GM71" s="336">
        <f t="shared" si="66"/>
        <v>0</v>
      </c>
    </row>
    <row r="72" spans="1:195" ht="18" customHeight="1">
      <c r="A72" s="337">
        <f>A70+1</f>
        <v>56</v>
      </c>
      <c r="B72" s="444" t="s">
        <v>448</v>
      </c>
      <c r="C72" s="337" t="str">
        <f t="shared" ref="C72:C77" si="1492">$D$63</f>
        <v>11kV MV Switchgear-3</v>
      </c>
      <c r="D72" s="440" t="s">
        <v>449</v>
      </c>
      <c r="E72" s="416" t="s">
        <v>450</v>
      </c>
      <c r="F72" s="337" t="s">
        <v>28</v>
      </c>
      <c r="G72" s="340" t="s">
        <v>350</v>
      </c>
      <c r="H72" s="418">
        <v>250</v>
      </c>
      <c r="I72" s="337" t="s">
        <v>330</v>
      </c>
      <c r="J72" s="337" t="s">
        <v>331</v>
      </c>
      <c r="K72" s="341">
        <v>11000</v>
      </c>
      <c r="L72" s="342">
        <v>0.86</v>
      </c>
      <c r="M72" s="342">
        <v>0.96400000000000008</v>
      </c>
      <c r="N72" s="342">
        <f t="shared" ref="N72:N77" si="1493">IF(I72="kVA",IF(J72="3Ph",(H72*1000/(1.732*M72*K72)),(H72*1000/(M72*K72))),IF(I72="kW",IF(J72="3Ph",(H72*1000/(1.732*M72*K72*L72)),(H72*1000/(M72*K72*L72)))))</f>
        <v>15.827923796382375</v>
      </c>
      <c r="O72" s="392">
        <f t="shared" ref="O72:O77" si="1494">IF(G72="MOTOR",(6*N72),IF(G72="VFD",(1*N72),0))</f>
        <v>94.967542778294245</v>
      </c>
      <c r="P72" s="343">
        <f t="shared" ref="P72:P77" si="1495">IF(G72="MOTOR",0.2,"0.00")</f>
        <v>0.2</v>
      </c>
      <c r="Q72" s="342">
        <v>31.5</v>
      </c>
      <c r="R72" s="342">
        <v>0.16</v>
      </c>
      <c r="S72" s="342">
        <f t="shared" ref="S72:S77" si="1496">(Q72*1000*SQRT(R72)/94)</f>
        <v>134.04255319148936</v>
      </c>
      <c r="T72" s="344" t="s">
        <v>131</v>
      </c>
      <c r="U72" s="342" t="s">
        <v>333</v>
      </c>
      <c r="V72" s="344">
        <v>150</v>
      </c>
      <c r="W72" s="343" t="str">
        <f t="shared" si="1277"/>
        <v>3C X 150</v>
      </c>
      <c r="X72" s="343" t="str">
        <f t="shared" ref="X72:X77" si="1497">(IF(J72="1Ph",W72,IF(J72="3Ph",(IF(G72="MOTOR",(CONCATENATE(W72,"+PE")),W72)))))</f>
        <v>3C X 150+PE</v>
      </c>
      <c r="Y72" s="419" t="s">
        <v>346</v>
      </c>
      <c r="Z72" s="344">
        <f>IF(T72="AIR",VLOOKUP(W72,'Catalogue Aluminium'!$B$141:$G$173,2,FALSE),IF(T72="GROUND",VLOOKUP(W72,'Catalogue Aluminium'!$B$141:$G$173,3,FALSE),IF(T72="DUCT",VLOOKUP(W72,'Catalogue Aluminium'!$B$141:$G$173,4,FALSE),IF(T72="TRENCH",VLOOKUP(W72,'Catalogue Aluminium'!$B$141:$G$173,2,FALSE)))))</f>
        <v>309</v>
      </c>
      <c r="AA72" s="345">
        <f>VLOOKUP(W72,'Catalogue Aluminium'!$B$141:$G$173,5,FALSE)</f>
        <v>0.26500000000000001</v>
      </c>
      <c r="AB72" s="345">
        <f>VLOOKUP(W72,'Catalogue Aluminium'!$B$141:$G$173,6,FALSE)</f>
        <v>9.2999999999999999E-2</v>
      </c>
      <c r="AC72" s="346">
        <v>20</v>
      </c>
      <c r="AD72" s="346">
        <v>920</v>
      </c>
      <c r="AE72" s="343">
        <v>20</v>
      </c>
      <c r="AF72" s="346">
        <v>8</v>
      </c>
      <c r="AG72" s="343">
        <f t="shared" ref="AG72:AG76" si="1498">ROUNDUP(SUM(AC72:AF72)*0.1,0)</f>
        <v>97</v>
      </c>
      <c r="AH72" s="347">
        <f t="shared" si="1284"/>
        <v>1070</v>
      </c>
      <c r="AI72" s="344">
        <f>IF(T72="AIR",'Catalogue Aluminium'!$K$141,IF(T72="TRENCH",'Catalogue Aluminium'!$K$144,"NA"))</f>
        <v>0.82</v>
      </c>
      <c r="AJ72" s="342">
        <f>IF(T72="Air",(IF(U72="1C",'Catalogue Aluminium'!$L$141,'Catalogue Aluminium'!$M$141)),IF(T72="DUCT",(IF($U72="1C",'Catalogue Aluminium'!$L$142,'Catalogue Aluminium'!$M$142)),IF(T72="GROUND",(IF($U72="1C",'Catalogue Aluminium'!$L$143,'Catalogue Aluminium'!$M$143)),IF(T72="TRENCH",(IF($U72="1C",'Catalogue Aluminium'!$L$144,'Catalogue Aluminium'!$M$144))))))</f>
        <v>0.73</v>
      </c>
      <c r="AK72" s="344" t="str">
        <f>IF(T72="Air",'Catalogue Aluminium'!$N$141,IF(T72="GROUND",'Catalogue Aluminium'!$N$142,IF(T72="DUCT",'Catalogue Aluminium'!$N$143,IF(T72="TRENCH",'Catalogue Aluminium'!$N$144,"NA"))))</f>
        <v>NA</v>
      </c>
      <c r="AL72" s="344" t="str">
        <f>IF(T72="Air",(IF(U72="1C",'Catalogue Aluminium'!$O$141,'Catalogue Aluminium'!$P$141)),IF(T72="DUCT",(IF($U72="1C",'Catalogue Aluminium'!$O$142,'Catalogue Aluminium'!$P$142)),IF(T72="GROUND",(IF($U72="1C",'Catalogue Aluminium'!$O$143,'Catalogue Aluminium'!$P$143)),IF(T72="TRENCH",(IF($U72="1C",'Catalogue Aluminium'!$O$144,'Catalogue Aluminium'!$P$144))))))</f>
        <v>NA</v>
      </c>
      <c r="AM72" s="344" t="str">
        <f>IF(T72="AIR","NA",IF(T72="TRENCH","NA",IF(T72="DUCT",IF(U72="1C",VLOOKUP(V72,'Catalogue Aluminium'!$Q$142:$S$153,2,FALSE),VLOOKUP(V72,'Catalogue Aluminium'!$Q$142:$S$153,3)),IF(T72="GROUND",IF(U72="1C",VLOOKUP(V72,'Catalogue Aluminium'!$Q$142:$S$153,2,FALSE),VLOOKUP(V72,'Catalogue Aluminium'!$Q$142:$S$153,3))))))</f>
        <v>NA</v>
      </c>
      <c r="AN72" s="348">
        <f t="shared" ref="AN72:AN77" si="1499">IF(T72="AIR",AI72*AJ72,IF(T72="TRENCH",AI72*AJ72,IF(T72="DUCT",AJ72*AK72*AL72*AM72,IF(T72="GROUND",AJ72*AK72*AL72*AM72))))</f>
        <v>0.59859999999999991</v>
      </c>
      <c r="AO72" s="342">
        <f t="shared" ref="AO72:AO77" si="1500">Z72*AN72</f>
        <v>184.96739999999997</v>
      </c>
      <c r="AP72" s="349">
        <f t="shared" ref="AP72:AP77" si="1501">CEILING(((N72)/AO72),1)</f>
        <v>1</v>
      </c>
      <c r="AQ72" s="350" t="str">
        <f t="shared" ref="AQ72:AQ77" si="1502">IF(AO72*AP72&gt;=N72,"YES","NO")</f>
        <v>YES</v>
      </c>
      <c r="AR72" s="351">
        <f t="shared" ref="AR72:AR77" si="1503">SQRT(3)*AH72*N72*((AA72*L72)+(AB72*SIN(ACOS(L72))))*100/(AP72*K72*1000)</f>
        <v>7.3429798456043568E-2</v>
      </c>
      <c r="AS72" s="343" t="str">
        <f t="shared" ref="AS72:AS77" si="1504">IF(G72="INCOMER",(IF(AR72&lt;=2,"YES","NO")),IF(G72="POWER",(IF(AR72&lt;=2.5,"YES","NO")),IF(G72="MOTOR",(IF(AR72&lt;=3,"YES","NO")))))</f>
        <v>YES</v>
      </c>
      <c r="AT72" s="351">
        <f t="shared" ref="AT72:AT77" si="1505">IF(G72="MOTOR",(SQRT(3)*AH72*O72*((AA72*P72)+(AB72*SIN(ACOS(P72))))*100/(AP72*K72*1000)),"NA")</f>
        <v>0.23059731349006715</v>
      </c>
      <c r="AU72" s="343" t="str">
        <f t="shared" ref="AU72:AU77" si="1506">IF(G72="MOTOR",IF(AT72&lt;=15,"YES","NO"),"NA")</f>
        <v>YES</v>
      </c>
      <c r="AV72" s="351" t="str">
        <f t="shared" ref="AV72:AV77" si="1507">IF(U72="1C",CONCATENATE(AP72,"R x ",Y72,"kV x ",U72," x ",V72," Sqmm/Phase"),CONCATENATE(AP72,"R x ","6/10 (12)kV x ",U72," x ",V72," Sqmm"))</f>
        <v>1R x 6/10 (12)kV x 3C x 150 Sqmm</v>
      </c>
      <c r="AW72" s="351" t="str">
        <f t="shared" ref="AW72:AW80" si="1508">IF(U72="1C",CONCATENATE(AP72,"R x ",Y72,"kV x ",U72," x ",V72," Sqmm/Phase"),CONCATENATE(AP72,"R x ","6/10 (12)kV x ",U72," x ",V72," Sqmm"))</f>
        <v>1R x 6/10 (12)kV x 3C x 150 Sqmm</v>
      </c>
      <c r="AX72" s="343">
        <f t="shared" ref="AX72:AX77" si="1509">IF(U72="1C",(3*AH72*AP72),(AH72*AP72))</f>
        <v>1070</v>
      </c>
      <c r="AY72" s="343"/>
      <c r="AZ72" s="343">
        <f t="shared" ref="AZ72:AZ77" si="1510">IF(U72="1C",(3*AP72*2),(AP72*2))</f>
        <v>2</v>
      </c>
      <c r="BA72" s="356" t="str">
        <f t="shared" ref="BA72:BA77" si="1511">CONCATENATE(IF(BE72=1,BE$4,""),IF(BF72=1,BF$4,""),IF(BG72=1,BG$4,""),IF(BH72=1,BH$4,""),IF(BI72=1,BI$4,""),IF(BJ72=1,BJ$4,""),IF(BK72=1,BK$4,""),IF(BL72=1,BL$4,""),IF(BM72=1,BM$4,""),IF(BN72=1,BN$4,""),IF(BO72=1,BO$4,""),IF(BP72=1,BP$4,""),IF(BQ72=1,BQ$4,""),IF(BR72=1,BR$4,""),IF(BS72=1,BS$4,""),IF(BT72=1,BT$4,""),IF(BU72=1,BU$4,""),IF(BV72=1,BV$4,""),IF(BW72=1,BW$4,""),IF(BX72=1,BX$4,""),IF(BY72=1,BY$4,""),IF(BZ72=1,BZ$4,""),IF(CA72=1,CA$4,""),IF(CB72=1,CB$4,""),IF(CC72=1,CC$4,""),IF(CD72=1,CD$4,""),IF(CE72=1,CE$4,""),IF(CF72=1,CF$4,""),IF(CG72=1,CG$4,""),IF(CH72=1,CH$4,""),IF(CI72=1,CI$4,""),IF(CJ72=1,CJ$4,""),IF(CK72=1,CK$4,""),IF(CL72=1,CL$4,""),IF(CM72=1,CM$4,""),IF(CN72=1,CN$4,""),IF(CO72=1,CO$4,""),IF(CP72=1,CP$4,""),IF(CQ72=1,CQ$4,""),IF(CR72=1,CR$4,""),IF(CS72=1,CS$4,""),IF(CT72=1,CT$4,""),IF(CU72=1,CU$4,""),IF(CV72=1,CV$4,""),IF(CW72=1,CW$4,""),IF(CX72=1,CX$4,""),IF(CY72=1,CY$4,""),IF(CZ72=1,CZ$4,""),IF(DA72=1,DA$4,""),IF(DB72=1,DB$4,""),IF(DC72=1,DC$4,""),IF(DD72=1,DD$4,""),IF(DE72=1,DE$4,""),IF(DF72=1,DF$4,""),IF(DG72=1,DG$4,""),IF(DH72=1,DH$4,""),IF(DI72=1,DI$4,""),IF(DJ72=1,DJ$4,""),IF(DK72=1,DK$4,""),IF(DL72=1,DL$4,""),IF(DM72=1,DM$4,""),IF(DN72=1,DN$4,""),IF(DO72=1,DO$4,""),IF(DP72=1,DP$4,""),IF(DQ72=1,DQ$4,""),IF(DR72=1,DR$4,""),IF(DS72=1,DS$4,""),IF(DT72=1,DT$4,""),IF(DU72=1,DU$4,""))</f>
        <v>H1IK</v>
      </c>
      <c r="BB72" s="340">
        <f>VLOOKUP(W72,'Catalogue Aluminium'!$B$141:$H$173,7,FALSE)</f>
        <v>62</v>
      </c>
      <c r="BC72" s="328">
        <f t="shared" ref="BC72:BC77" si="1512">AP72*BB72</f>
        <v>62</v>
      </c>
      <c r="BE72" s="416"/>
      <c r="BF72" s="416"/>
      <c r="BG72" s="416"/>
      <c r="BH72" s="416"/>
      <c r="BI72" s="416"/>
      <c r="BJ72" s="416"/>
      <c r="BK72" s="416"/>
      <c r="BL72" s="416"/>
      <c r="BM72" s="416"/>
      <c r="BN72" s="416"/>
      <c r="BO72" s="416"/>
      <c r="BP72" s="416"/>
      <c r="BQ72" s="416"/>
      <c r="BR72" s="416"/>
      <c r="BS72" s="416"/>
      <c r="BT72" s="416"/>
      <c r="BU72" s="416"/>
      <c r="BV72" s="416"/>
      <c r="BW72" s="416"/>
      <c r="BX72" s="416"/>
      <c r="BY72" s="458">
        <v>1</v>
      </c>
      <c r="BZ72" s="341">
        <v>1</v>
      </c>
      <c r="CA72" s="341"/>
      <c r="CB72" s="341"/>
      <c r="CC72" s="341"/>
      <c r="CD72" s="416"/>
      <c r="CE72" s="341">
        <v>1</v>
      </c>
      <c r="CF72" s="416"/>
      <c r="CG72" s="416"/>
      <c r="CH72" s="416"/>
      <c r="CI72" s="416"/>
      <c r="CJ72" s="416"/>
      <c r="CK72" s="416"/>
      <c r="CL72" s="416"/>
      <c r="CM72" s="416"/>
      <c r="CN72" s="416"/>
      <c r="CO72" s="416"/>
      <c r="CP72" s="416"/>
      <c r="CQ72" s="416"/>
      <c r="CR72" s="416"/>
      <c r="CS72" s="416"/>
      <c r="CT72" s="416"/>
      <c r="CU72" s="416"/>
      <c r="CV72" s="416"/>
      <c r="CW72" s="416"/>
      <c r="CX72" s="416"/>
      <c r="CY72" s="416"/>
      <c r="CZ72" s="416"/>
      <c r="DA72" s="416"/>
      <c r="DB72" s="416"/>
      <c r="DC72" s="416"/>
      <c r="DD72" s="416"/>
      <c r="DE72" s="416"/>
      <c r="DF72" s="416"/>
      <c r="DG72" s="416"/>
      <c r="DH72" s="416"/>
      <c r="DI72" s="416"/>
      <c r="DJ72" s="416"/>
      <c r="DK72" s="416"/>
      <c r="DL72" s="416"/>
      <c r="DM72" s="416"/>
      <c r="DN72" s="416"/>
      <c r="DO72" s="416"/>
      <c r="DP72" s="416"/>
      <c r="DQ72" s="416"/>
      <c r="DR72" s="416"/>
      <c r="DS72" s="416"/>
      <c r="DT72" s="416"/>
      <c r="DU72" s="416"/>
      <c r="DW72" s="336">
        <f t="shared" si="81"/>
        <v>0</v>
      </c>
      <c r="DX72" s="336">
        <f t="shared" si="0"/>
        <v>0</v>
      </c>
      <c r="DY72" s="336">
        <f t="shared" si="1"/>
        <v>0</v>
      </c>
      <c r="DZ72" s="336">
        <f t="shared" si="2"/>
        <v>0</v>
      </c>
      <c r="EA72" s="336">
        <f t="shared" si="3"/>
        <v>0</v>
      </c>
      <c r="EB72" s="336">
        <f t="shared" si="4"/>
        <v>0</v>
      </c>
      <c r="EC72" s="336">
        <f t="shared" si="5"/>
        <v>0</v>
      </c>
      <c r="ED72" s="336">
        <f t="shared" si="6"/>
        <v>0</v>
      </c>
      <c r="EE72" s="336">
        <f t="shared" si="7"/>
        <v>0</v>
      </c>
      <c r="EF72" s="336">
        <f t="shared" si="8"/>
        <v>0</v>
      </c>
      <c r="EG72" s="336">
        <f t="shared" si="9"/>
        <v>0</v>
      </c>
      <c r="EH72" s="336">
        <f t="shared" si="10"/>
        <v>0</v>
      </c>
      <c r="EI72" s="336">
        <f t="shared" si="11"/>
        <v>0</v>
      </c>
      <c r="EJ72" s="336">
        <f t="shared" si="12"/>
        <v>0</v>
      </c>
      <c r="EK72" s="336">
        <f t="shared" si="13"/>
        <v>0</v>
      </c>
      <c r="EL72" s="336">
        <f t="shared" si="14"/>
        <v>0</v>
      </c>
      <c r="EM72" s="336">
        <f t="shared" si="15"/>
        <v>0</v>
      </c>
      <c r="EN72" s="336">
        <f t="shared" si="16"/>
        <v>0</v>
      </c>
      <c r="EO72" s="336">
        <f t="shared" si="17"/>
        <v>0</v>
      </c>
      <c r="EP72" s="336">
        <f t="shared" si="18"/>
        <v>0</v>
      </c>
      <c r="EQ72" s="336">
        <f t="shared" si="19"/>
        <v>62</v>
      </c>
      <c r="ER72" s="336">
        <f t="shared" si="20"/>
        <v>62</v>
      </c>
      <c r="ES72" s="336">
        <f t="shared" si="21"/>
        <v>0</v>
      </c>
      <c r="ET72" s="336">
        <f t="shared" si="1451"/>
        <v>0</v>
      </c>
      <c r="EU72" s="336">
        <f t="shared" si="1452"/>
        <v>0</v>
      </c>
      <c r="EV72" s="336">
        <f t="shared" si="24"/>
        <v>0</v>
      </c>
      <c r="EW72" s="336">
        <f t="shared" si="25"/>
        <v>62</v>
      </c>
      <c r="EX72" s="336">
        <f t="shared" si="26"/>
        <v>0</v>
      </c>
      <c r="EY72" s="336">
        <f t="shared" si="27"/>
        <v>0</v>
      </c>
      <c r="EZ72" s="336">
        <f t="shared" si="28"/>
        <v>0</v>
      </c>
      <c r="FA72" s="336">
        <f t="shared" si="29"/>
        <v>0</v>
      </c>
      <c r="FB72" s="336">
        <f t="shared" si="30"/>
        <v>0</v>
      </c>
      <c r="FC72" s="336">
        <f t="shared" si="31"/>
        <v>0</v>
      </c>
      <c r="FD72" s="336">
        <f t="shared" si="32"/>
        <v>0</v>
      </c>
      <c r="FE72" s="336">
        <f t="shared" si="33"/>
        <v>0</v>
      </c>
      <c r="FF72" s="336">
        <f t="shared" si="34"/>
        <v>0</v>
      </c>
      <c r="FG72" s="336">
        <f t="shared" si="35"/>
        <v>0</v>
      </c>
      <c r="FH72" s="336">
        <f t="shared" si="36"/>
        <v>0</v>
      </c>
      <c r="FI72" s="336">
        <f t="shared" si="37"/>
        <v>0</v>
      </c>
      <c r="FJ72" s="336">
        <f t="shared" si="38"/>
        <v>0</v>
      </c>
      <c r="FK72" s="336">
        <f t="shared" si="39"/>
        <v>0</v>
      </c>
      <c r="FL72" s="336">
        <f t="shared" si="40"/>
        <v>0</v>
      </c>
      <c r="FM72" s="336">
        <f t="shared" si="41"/>
        <v>0</v>
      </c>
      <c r="FN72" s="336">
        <f t="shared" si="42"/>
        <v>0</v>
      </c>
      <c r="FO72" s="336">
        <f t="shared" si="43"/>
        <v>0</v>
      </c>
      <c r="FP72" s="336">
        <f t="shared" si="44"/>
        <v>0</v>
      </c>
      <c r="FQ72" s="336">
        <f t="shared" si="45"/>
        <v>0</v>
      </c>
      <c r="FR72" s="336">
        <f t="shared" si="46"/>
        <v>0</v>
      </c>
      <c r="FS72" s="336">
        <f t="shared" si="47"/>
        <v>0</v>
      </c>
      <c r="FT72" s="336">
        <f t="shared" si="48"/>
        <v>0</v>
      </c>
      <c r="FU72" s="336">
        <f t="shared" si="1216"/>
        <v>0</v>
      </c>
      <c r="FV72" s="336">
        <f t="shared" si="1217"/>
        <v>0</v>
      </c>
      <c r="FW72" s="336">
        <f t="shared" si="1218"/>
        <v>0</v>
      </c>
      <c r="FX72" s="336">
        <f t="shared" si="1219"/>
        <v>0</v>
      </c>
      <c r="FY72" s="336">
        <f t="shared" si="53"/>
        <v>0</v>
      </c>
      <c r="FZ72" s="336">
        <f t="shared" si="54"/>
        <v>0</v>
      </c>
      <c r="GA72" s="336">
        <f t="shared" si="55"/>
        <v>0</v>
      </c>
      <c r="GB72" s="336">
        <f t="shared" si="56"/>
        <v>0</v>
      </c>
      <c r="GC72" s="336">
        <f t="shared" si="57"/>
        <v>0</v>
      </c>
      <c r="GD72" s="336">
        <f t="shared" si="58"/>
        <v>0</v>
      </c>
      <c r="GE72" s="336">
        <f t="shared" si="59"/>
        <v>0</v>
      </c>
      <c r="GF72" s="336">
        <f t="shared" si="60"/>
        <v>0</v>
      </c>
      <c r="GG72" s="336">
        <f t="shared" si="61"/>
        <v>0</v>
      </c>
      <c r="GH72" s="336">
        <f t="shared" si="62"/>
        <v>0</v>
      </c>
      <c r="GI72" s="336">
        <f t="shared" si="63"/>
        <v>0</v>
      </c>
      <c r="GJ72" s="336">
        <f t="shared" si="64"/>
        <v>0</v>
      </c>
      <c r="GK72" s="336">
        <f>IF(DS72=1,($BC72*DS72),0)</f>
        <v>0</v>
      </c>
      <c r="GL72" s="336">
        <f t="shared" si="1148"/>
        <v>0</v>
      </c>
      <c r="GM72" s="336">
        <f t="shared" si="66"/>
        <v>0</v>
      </c>
    </row>
    <row r="73" spans="1:195" ht="18" customHeight="1">
      <c r="A73" s="388">
        <f>A72+1</f>
        <v>57</v>
      </c>
      <c r="B73" s="445" t="s">
        <v>448</v>
      </c>
      <c r="C73" s="388" t="str">
        <f t="shared" si="1492"/>
        <v>11kV MV Switchgear-3</v>
      </c>
      <c r="D73" s="441" t="s">
        <v>451</v>
      </c>
      <c r="E73" s="432" t="s">
        <v>450</v>
      </c>
      <c r="F73" s="388" t="s">
        <v>28</v>
      </c>
      <c r="G73" s="390" t="s">
        <v>329</v>
      </c>
      <c r="H73" s="396">
        <v>0.15</v>
      </c>
      <c r="I73" s="388" t="s">
        <v>330</v>
      </c>
      <c r="J73" s="388" t="s">
        <v>357</v>
      </c>
      <c r="K73" s="434">
        <v>230</v>
      </c>
      <c r="L73" s="401">
        <v>0.85</v>
      </c>
      <c r="M73" s="418">
        <v>0.95</v>
      </c>
      <c r="N73" s="392">
        <f t="shared" si="1493"/>
        <v>0.80764571274734154</v>
      </c>
      <c r="O73" s="392">
        <f t="shared" si="1494"/>
        <v>0</v>
      </c>
      <c r="P73" s="401" t="str">
        <f t="shared" si="1495"/>
        <v>0.00</v>
      </c>
      <c r="Q73" s="418">
        <v>65</v>
      </c>
      <c r="R73" s="418">
        <v>0</v>
      </c>
      <c r="S73" s="418">
        <f t="shared" si="1496"/>
        <v>0</v>
      </c>
      <c r="T73" s="401" t="s">
        <v>131</v>
      </c>
      <c r="U73" s="418" t="s">
        <v>333</v>
      </c>
      <c r="V73" s="401">
        <v>6</v>
      </c>
      <c r="W73" s="401" t="str">
        <f t="shared" ref="W73" si="1513">CONCATENATE(U73," X ",V73)</f>
        <v>3C X 6</v>
      </c>
      <c r="X73" s="401" t="str">
        <f t="shared" si="1497"/>
        <v>3C X 6</v>
      </c>
      <c r="Y73" s="435" t="s">
        <v>358</v>
      </c>
      <c r="Z73" s="393">
        <f>IF(T73="AIR",VLOOKUP(W73,'Catalogue Aluminium'!$B$141:$G$173,2,FALSE),IF(T73="GROUND",VLOOKUP(W73,'Catalogue Aluminium'!$B$141:$G$173,3,FALSE),IF(T73="DUCT",VLOOKUP(W73,'Catalogue Aluminium'!$B$141:$G$173,4,FALSE),IF(T73="TRENCH",VLOOKUP(W73,'Catalogue Aluminium'!$B$141:$G$173,2,FALSE)))))</f>
        <v>51</v>
      </c>
      <c r="AA73" s="402">
        <f>VLOOKUP(W73,'Catalogue Aluminium'!$B$141:$G$173,5,FALSE)</f>
        <v>3.94</v>
      </c>
      <c r="AB73" s="402">
        <f>VLOOKUP(W73,'Catalogue Aluminium'!$B$141:$G$173,6,FALSE)</f>
        <v>9.0200000000000002E-2</v>
      </c>
      <c r="AC73" s="457">
        <v>20</v>
      </c>
      <c r="AD73" s="457">
        <v>920</v>
      </c>
      <c r="AE73" s="401">
        <v>20</v>
      </c>
      <c r="AF73" s="457">
        <v>8</v>
      </c>
      <c r="AG73" s="401">
        <f t="shared" ref="AG73" si="1514">ROUNDUP(SUM(AC73:AF73)*0.1,0)</f>
        <v>97</v>
      </c>
      <c r="AH73" s="436">
        <f t="shared" si="1284"/>
        <v>1070</v>
      </c>
      <c r="AI73" s="393">
        <f>IF(T73="AIR",'Catalogue Aluminium'!$K$141,IF(T73="TRENCH",'Catalogue Aluminium'!$K$144,"NA"))</f>
        <v>0.82</v>
      </c>
      <c r="AJ73" s="392">
        <f>IF(T73="Air",(IF(U73="1C",'Catalogue Aluminium'!$L$141,'Catalogue Aluminium'!$M$141)),IF(T73="DUCT",(IF($U73="1C",'Catalogue Aluminium'!$L$142,'Catalogue Aluminium'!$M$142)),IF(T73="GROUND",(IF($U73="1C",'Catalogue Aluminium'!$L$143,'Catalogue Aluminium'!$M$143)),IF(T73="TRENCH",(IF($U73="1C",'Catalogue Aluminium'!$L$144,'Catalogue Aluminium'!$M$144))))))</f>
        <v>0.73</v>
      </c>
      <c r="AK73" s="393" t="str">
        <f>IF(T73="Air",'Catalogue Aluminium'!$N$141,IF(T73="GROUND",'Catalogue Aluminium'!$N$142,IF(T73="DUCT",'Catalogue Aluminium'!$N$143,IF(T73="TRENCH",'Catalogue Aluminium'!$N$144,"NA"))))</f>
        <v>NA</v>
      </c>
      <c r="AL73" s="393" t="str">
        <f>IF(T73="Air",(IF(U73="1C",'Catalogue Aluminium'!$O$141,'Catalogue Aluminium'!$P$141)),IF(T73="DUCT",(IF($U73="1C",'Catalogue Aluminium'!$O$142,'Catalogue Aluminium'!$P$142)),IF(T73="GROUND",(IF($U73="1C",'Catalogue Aluminium'!$O$143,'Catalogue Aluminium'!$P$143)),IF(T73="TRENCH",(IF($U73="1C",'Catalogue Aluminium'!$O$144,'Catalogue Aluminium'!$P$144))))))</f>
        <v>NA</v>
      </c>
      <c r="AM73" s="393" t="str">
        <f>IF(T73="AIR","NA",IF(T73="TRENCH","NA",IF(T73="DUCT",IF(U73="1C",VLOOKUP(V73,'Catalogue Aluminium'!$Q$142:$S$153,2,FALSE),VLOOKUP(V73,'Catalogue Aluminium'!$Q$142:$S$153,3)),IF(T73="GROUND",IF(U73="1C",VLOOKUP(V73,'Catalogue Aluminium'!$Q$142:$S$153,2,FALSE),VLOOKUP(V73,'Catalogue Aluminium'!$Q$142:$S$153,3))))))</f>
        <v>NA</v>
      </c>
      <c r="AN73" s="404">
        <f t="shared" si="1499"/>
        <v>0.59859999999999991</v>
      </c>
      <c r="AO73" s="392">
        <f t="shared" si="1500"/>
        <v>30.528599999999994</v>
      </c>
      <c r="AP73" s="434">
        <f t="shared" si="1501"/>
        <v>1</v>
      </c>
      <c r="AQ73" s="418" t="str">
        <f t="shared" si="1502"/>
        <v>YES</v>
      </c>
      <c r="AR73" s="437">
        <f t="shared" si="1503"/>
        <v>2.2104011611817107</v>
      </c>
      <c r="AS73" s="401" t="str">
        <f t="shared" si="1504"/>
        <v>YES</v>
      </c>
      <c r="AT73" s="437" t="str">
        <f t="shared" si="1505"/>
        <v>NA</v>
      </c>
      <c r="AU73" s="401" t="str">
        <f t="shared" si="1506"/>
        <v>NA</v>
      </c>
      <c r="AV73" s="437" t="str">
        <f t="shared" si="1507"/>
        <v>1R x 6/10 (12)kV x 3C x 6 Sqmm</v>
      </c>
      <c r="AW73" s="437" t="str">
        <f t="shared" si="1508"/>
        <v>1R x 6/10 (12)kV x 3C x 6 Sqmm</v>
      </c>
      <c r="AX73" s="401">
        <f t="shared" si="1509"/>
        <v>1070</v>
      </c>
      <c r="AY73" s="401"/>
      <c r="AZ73" s="401">
        <f t="shared" si="1510"/>
        <v>2</v>
      </c>
      <c r="BA73" s="438" t="str">
        <f t="shared" si="1511"/>
        <v>H1IK</v>
      </c>
      <c r="BB73" s="390">
        <f>VLOOKUP(W73,'Catalogue Aluminium'!$B$141:$H$173,7,FALSE)</f>
        <v>16</v>
      </c>
      <c r="BC73" s="439">
        <f t="shared" si="1512"/>
        <v>16</v>
      </c>
      <c r="BE73" s="416"/>
      <c r="BF73" s="416"/>
      <c r="BG73" s="416"/>
      <c r="BH73" s="416"/>
      <c r="BI73" s="416"/>
      <c r="BJ73" s="416"/>
      <c r="BK73" s="416"/>
      <c r="BL73" s="416"/>
      <c r="BM73" s="416"/>
      <c r="BN73" s="416"/>
      <c r="BO73" s="416"/>
      <c r="BP73" s="416"/>
      <c r="BQ73" s="416"/>
      <c r="BR73" s="416"/>
      <c r="BS73" s="416"/>
      <c r="BT73" s="416"/>
      <c r="BU73" s="416"/>
      <c r="BV73" s="416"/>
      <c r="BW73" s="416"/>
      <c r="BX73" s="416"/>
      <c r="BY73" s="458">
        <v>1</v>
      </c>
      <c r="BZ73" s="341">
        <v>1</v>
      </c>
      <c r="CA73" s="341"/>
      <c r="CB73" s="341"/>
      <c r="CC73" s="341"/>
      <c r="CD73" s="416"/>
      <c r="CE73" s="341">
        <v>1</v>
      </c>
      <c r="CF73" s="416"/>
      <c r="CG73" s="416"/>
      <c r="CH73" s="416"/>
      <c r="CI73" s="416"/>
      <c r="CJ73" s="416"/>
      <c r="CK73" s="416"/>
      <c r="CL73" s="416"/>
      <c r="CM73" s="416"/>
      <c r="CN73" s="416"/>
      <c r="CO73" s="416"/>
      <c r="CP73" s="416"/>
      <c r="CQ73" s="416"/>
      <c r="CR73" s="416"/>
      <c r="CS73" s="416"/>
      <c r="CT73" s="416"/>
      <c r="CU73" s="416"/>
      <c r="CV73" s="416"/>
      <c r="CW73" s="416"/>
      <c r="CX73" s="416"/>
      <c r="CY73" s="416"/>
      <c r="CZ73" s="416"/>
      <c r="DA73" s="416"/>
      <c r="DB73" s="416"/>
      <c r="DC73" s="416"/>
      <c r="DD73" s="416"/>
      <c r="DE73" s="416"/>
      <c r="DF73" s="416"/>
      <c r="DG73" s="416"/>
      <c r="DH73" s="416"/>
      <c r="DI73" s="416"/>
      <c r="DJ73" s="416"/>
      <c r="DK73" s="416"/>
      <c r="DL73" s="416"/>
      <c r="DM73" s="416"/>
      <c r="DN73" s="416"/>
      <c r="DO73" s="416"/>
      <c r="DP73" s="416"/>
      <c r="DQ73" s="416"/>
      <c r="DR73" s="416"/>
      <c r="DS73" s="416"/>
      <c r="DT73" s="416"/>
      <c r="DU73" s="416"/>
      <c r="DW73" s="336">
        <f t="shared" ref="DW73" si="1515">IF(BE73=1,($BC73*BE73),0)</f>
        <v>0</v>
      </c>
      <c r="DX73" s="336">
        <f t="shared" ref="DX73" si="1516">IF(BF73=1,($BC73*BF73),0)</f>
        <v>0</v>
      </c>
      <c r="DY73" s="336">
        <f t="shared" ref="DY73" si="1517">IF(BG73=1,($BC73*BG73),0)</f>
        <v>0</v>
      </c>
      <c r="DZ73" s="336">
        <f t="shared" ref="DZ73" si="1518">IF(BH73=1,($BC73*BH73),0)</f>
        <v>0</v>
      </c>
      <c r="EA73" s="336">
        <f t="shared" ref="EA73" si="1519">IF(BI73=1,($BC73*BI73),0)</f>
        <v>0</v>
      </c>
      <c r="EB73" s="336">
        <f t="shared" ref="EB73" si="1520">IF(BJ73=1,($BC73*BJ73),0)</f>
        <v>0</v>
      </c>
      <c r="EC73" s="336">
        <f t="shared" ref="EC73" si="1521">IF(BK73=1,($BC73*BK73),0)</f>
        <v>0</v>
      </c>
      <c r="ED73" s="336">
        <f t="shared" ref="ED73" si="1522">IF(BL73=1,($BC73*BL73),0)</f>
        <v>0</v>
      </c>
      <c r="EE73" s="336">
        <f t="shared" ref="EE73" si="1523">IF(BM73=1,($BC73*BM73),0)</f>
        <v>0</v>
      </c>
      <c r="EF73" s="336">
        <f t="shared" ref="EF73" si="1524">IF(BN73=1,($BC73*BN73),0)</f>
        <v>0</v>
      </c>
      <c r="EG73" s="336">
        <f t="shared" ref="EG73" si="1525">IF(BO73=1,($BC73*BO73),0)</f>
        <v>0</v>
      </c>
      <c r="EH73" s="336">
        <f t="shared" ref="EH73" si="1526">IF(BP73=1,($BC73*BP73),0)</f>
        <v>0</v>
      </c>
      <c r="EI73" s="336">
        <f t="shared" ref="EI73" si="1527">IF(BQ73=1,($BC73*BQ73),0)</f>
        <v>0</v>
      </c>
      <c r="EJ73" s="336">
        <f t="shared" ref="EJ73" si="1528">IF(BR73=1,($BC73*BR73),0)</f>
        <v>0</v>
      </c>
      <c r="EK73" s="336">
        <f t="shared" ref="EK73" si="1529">IF(BS73=1,($BC73*BS73),0)</f>
        <v>0</v>
      </c>
      <c r="EL73" s="336">
        <f t="shared" ref="EL73" si="1530">IF(BT73=1,($BC73*BT73),0)</f>
        <v>0</v>
      </c>
      <c r="EM73" s="336">
        <f t="shared" ref="EM73" si="1531">IF(BU73=1,($BC73*BU73),0)</f>
        <v>0</v>
      </c>
      <c r="EN73" s="336">
        <f t="shared" ref="EN73" si="1532">IF(BV73=1,($BC73*BV73),0)</f>
        <v>0</v>
      </c>
      <c r="EO73" s="336">
        <f t="shared" ref="EO73" si="1533">IF(BW73=1,($BC73*BW73),0)</f>
        <v>0</v>
      </c>
      <c r="EP73" s="336">
        <f t="shared" ref="EP73" si="1534">IF(BX73=1,($BC73*BX73),0)</f>
        <v>0</v>
      </c>
      <c r="EQ73" s="336">
        <f t="shared" ref="EQ73" si="1535">IF(BY73=1,($BC73*BY73),0)</f>
        <v>16</v>
      </c>
      <c r="ER73" s="336">
        <f t="shared" ref="ER73" si="1536">IF(BZ73=1,($BC73*BZ73),0)</f>
        <v>16</v>
      </c>
      <c r="ES73" s="336">
        <f t="shared" ref="ES73" si="1537">IF(CA73=1,($BC73*CA73),0)</f>
        <v>0</v>
      </c>
      <c r="ET73" s="336">
        <f t="shared" si="1451"/>
        <v>0</v>
      </c>
      <c r="EU73" s="336">
        <f t="shared" si="1452"/>
        <v>0</v>
      </c>
      <c r="EV73" s="336">
        <f t="shared" ref="EV73" si="1538">IF(CD73=1,($BC73*CD73),0)</f>
        <v>0</v>
      </c>
      <c r="EW73" s="336">
        <f t="shared" ref="EW73" si="1539">IF(CE73=1,($BC73*CE73),0)</f>
        <v>16</v>
      </c>
      <c r="EX73" s="336">
        <f t="shared" ref="EX73" si="1540">IF(CF73=1,($BC73*CF73),0)</f>
        <v>0</v>
      </c>
      <c r="EY73" s="336">
        <f t="shared" ref="EY73" si="1541">IF(CG73=1,($BC73*CG73),0)</f>
        <v>0</v>
      </c>
      <c r="EZ73" s="336">
        <f t="shared" ref="EZ73" si="1542">IF(CH73=1,($BC73*CH73),0)</f>
        <v>0</v>
      </c>
      <c r="FA73" s="336">
        <f t="shared" ref="FA73" si="1543">IF(CI73=1,($BC73*CI73),0)</f>
        <v>0</v>
      </c>
      <c r="FB73" s="336">
        <f t="shared" ref="FB73" si="1544">IF(CJ73=1,($BC73*CJ73),0)</f>
        <v>0</v>
      </c>
      <c r="FC73" s="336">
        <f t="shared" ref="FC73" si="1545">IF(CK73=1,($BC73*CK73),0)</f>
        <v>0</v>
      </c>
      <c r="FD73" s="336">
        <f t="shared" ref="FD73" si="1546">IF(CL73=1,($BC73*CL73),0)</f>
        <v>0</v>
      </c>
      <c r="FE73" s="336">
        <f t="shared" ref="FE73" si="1547">IF(CM73=1,($BC73*CM73),0)</f>
        <v>0</v>
      </c>
      <c r="FF73" s="336">
        <f t="shared" ref="FF73" si="1548">IF(CN73=1,($BC73*CN73),0)</f>
        <v>0</v>
      </c>
      <c r="FG73" s="336">
        <f t="shared" ref="FG73" si="1549">IF(CO73=1,($BC73*CO73),0)</f>
        <v>0</v>
      </c>
      <c r="FH73" s="336">
        <f t="shared" ref="FH73" si="1550">IF(CP73=1,($BC73*CP73),0)</f>
        <v>0</v>
      </c>
      <c r="FI73" s="336">
        <f t="shared" ref="FI73" si="1551">IF(CQ73=1,($BC73*CQ73),0)</f>
        <v>0</v>
      </c>
      <c r="FJ73" s="336">
        <f t="shared" ref="FJ73" si="1552">IF(CR73=1,($BC73*CR73),0)</f>
        <v>0</v>
      </c>
      <c r="FK73" s="336">
        <f t="shared" ref="FK73" si="1553">IF(CS73=1,($BC73*CS73),0)</f>
        <v>0</v>
      </c>
      <c r="FL73" s="336">
        <f t="shared" ref="FL73" si="1554">IF(CT73=1,($BC73*CT73),0)</f>
        <v>0</v>
      </c>
      <c r="FM73" s="336">
        <f t="shared" ref="FM73" si="1555">IF(CU73=1,($BC73*CU73),0)</f>
        <v>0</v>
      </c>
      <c r="FN73" s="336">
        <f t="shared" ref="FN73" si="1556">IF(CV73=1,($BC73*CV73),0)</f>
        <v>0</v>
      </c>
      <c r="FO73" s="336">
        <f t="shared" ref="FO73" si="1557">IF(CW73=1,($BC73*CW73),0)</f>
        <v>0</v>
      </c>
      <c r="FP73" s="336">
        <f t="shared" ref="FP73" si="1558">IF(CX73=1,($BC73*CX73),0)</f>
        <v>0</v>
      </c>
      <c r="FQ73" s="336">
        <f t="shared" ref="FQ73" si="1559">IF(CY73=1,($BC73*CY73),0)</f>
        <v>0</v>
      </c>
      <c r="FR73" s="336">
        <f t="shared" ref="FR73" si="1560">IF(CZ73=1,($BC73*CZ73),0)</f>
        <v>0</v>
      </c>
      <c r="FS73" s="336">
        <f t="shared" ref="FS73" si="1561">IF(DA73=1,($BC73*DA73),0)</f>
        <v>0</v>
      </c>
      <c r="FT73" s="336">
        <f t="shared" ref="FT73" si="1562">IF(DB73=1,($BC73*DB73),0)</f>
        <v>0</v>
      </c>
      <c r="FU73" s="336">
        <f t="shared" si="1216"/>
        <v>0</v>
      </c>
      <c r="FV73" s="336">
        <f t="shared" si="1217"/>
        <v>0</v>
      </c>
      <c r="FW73" s="336">
        <f t="shared" si="1218"/>
        <v>0</v>
      </c>
      <c r="FX73" s="336">
        <f t="shared" si="1219"/>
        <v>0</v>
      </c>
      <c r="FY73" s="336">
        <f t="shared" ref="FY73" si="1563">IF(DG73=1,($BC73*DG73),0)</f>
        <v>0</v>
      </c>
      <c r="FZ73" s="336">
        <f t="shared" ref="FZ73" si="1564">IF(DH73=1,($BC73*DH73),0)</f>
        <v>0</v>
      </c>
      <c r="GA73" s="336">
        <f t="shared" ref="GA73" si="1565">IF(DI73=1,($BC73*DI73),0)</f>
        <v>0</v>
      </c>
      <c r="GB73" s="336">
        <f t="shared" ref="GB73" si="1566">IF(DJ73=1,($BC73*DJ73),0)</f>
        <v>0</v>
      </c>
      <c r="GC73" s="336">
        <f t="shared" ref="GC73" si="1567">IF(DK73=1,($BC73*DK73),0)</f>
        <v>0</v>
      </c>
      <c r="GD73" s="336">
        <f t="shared" ref="GD73" si="1568">IF(DL73=1,($BC73*DL73),0)</f>
        <v>0</v>
      </c>
      <c r="GE73" s="336">
        <f t="shared" ref="GE73" si="1569">IF(DM73=1,($BC73*DM73),0)</f>
        <v>0</v>
      </c>
      <c r="GF73" s="336">
        <f t="shared" ref="GF73" si="1570">IF(DN73=1,($BC73*DN73),0)</f>
        <v>0</v>
      </c>
      <c r="GG73" s="336">
        <f t="shared" ref="GG73" si="1571">IF(DO73=1,($BC73*DO73),0)</f>
        <v>0</v>
      </c>
      <c r="GH73" s="336">
        <f t="shared" ref="GH73" si="1572">IF(DP73=1,($BC73*DP73),0)</f>
        <v>0</v>
      </c>
      <c r="GI73" s="336">
        <f t="shared" ref="GI73" si="1573">IF(DQ73=1,($BC73*DQ73),0)</f>
        <v>0</v>
      </c>
      <c r="GJ73" s="336">
        <f t="shared" ref="GJ73" si="1574">IF(DR73=1,($BC73*DR73),0)</f>
        <v>0</v>
      </c>
      <c r="GK73" s="336">
        <f t="shared" ref="GK73" si="1575">IF(DS73=1,($BC73*DS73),0)</f>
        <v>0</v>
      </c>
      <c r="GL73" s="336">
        <f t="shared" si="1148"/>
        <v>0</v>
      </c>
      <c r="GM73" s="336">
        <f t="shared" ref="GM73" si="1576">IF(DU73=1,($BC73*DU73),0)</f>
        <v>0</v>
      </c>
    </row>
    <row r="74" spans="1:195" ht="18" customHeight="1">
      <c r="A74" s="337">
        <f>A73+1</f>
        <v>58</v>
      </c>
      <c r="B74" s="444" t="s">
        <v>452</v>
      </c>
      <c r="C74" s="337" t="str">
        <f t="shared" si="1492"/>
        <v>11kV MV Switchgear-3</v>
      </c>
      <c r="D74" s="440" t="s">
        <v>453</v>
      </c>
      <c r="E74" s="416" t="s">
        <v>450</v>
      </c>
      <c r="F74" s="337" t="s">
        <v>29</v>
      </c>
      <c r="G74" s="340" t="s">
        <v>350</v>
      </c>
      <c r="H74" s="418">
        <v>250</v>
      </c>
      <c r="I74" s="337" t="s">
        <v>330</v>
      </c>
      <c r="J74" s="337" t="s">
        <v>331</v>
      </c>
      <c r="K74" s="341">
        <v>11000</v>
      </c>
      <c r="L74" s="342">
        <v>0.86</v>
      </c>
      <c r="M74" s="342">
        <v>0.96400000000000008</v>
      </c>
      <c r="N74" s="342">
        <f t="shared" si="1493"/>
        <v>15.827923796382375</v>
      </c>
      <c r="O74" s="392">
        <f t="shared" si="1494"/>
        <v>94.967542778294245</v>
      </c>
      <c r="P74" s="343">
        <f t="shared" si="1495"/>
        <v>0.2</v>
      </c>
      <c r="Q74" s="342">
        <v>31.5</v>
      </c>
      <c r="R74" s="342">
        <v>0.16</v>
      </c>
      <c r="S74" s="342">
        <f t="shared" si="1496"/>
        <v>134.04255319148936</v>
      </c>
      <c r="T74" s="344" t="s">
        <v>131</v>
      </c>
      <c r="U74" s="342" t="s">
        <v>333</v>
      </c>
      <c r="V74" s="344">
        <v>150</v>
      </c>
      <c r="W74" s="343" t="str">
        <f t="shared" si="1277"/>
        <v>3C X 150</v>
      </c>
      <c r="X74" s="343" t="str">
        <f t="shared" si="1497"/>
        <v>3C X 150+PE</v>
      </c>
      <c r="Y74" s="419" t="s">
        <v>346</v>
      </c>
      <c r="Z74" s="344">
        <f>IF(T74="AIR",VLOOKUP(W74,'Catalogue Aluminium'!$B$141:$G$173,2,FALSE),IF(T74="GROUND",VLOOKUP(W74,'Catalogue Aluminium'!$B$141:$G$173,3,FALSE),IF(T74="DUCT",VLOOKUP(W74,'Catalogue Aluminium'!$B$141:$G$173,4,FALSE),IF(T74="TRENCH",VLOOKUP(W74,'Catalogue Aluminium'!$B$141:$G$173,2,FALSE)))))</f>
        <v>309</v>
      </c>
      <c r="AA74" s="345">
        <f>VLOOKUP(W74,'Catalogue Aluminium'!$B$141:$G$173,5,FALSE)</f>
        <v>0.26500000000000001</v>
      </c>
      <c r="AB74" s="345">
        <f>VLOOKUP(W74,'Catalogue Aluminium'!$B$141:$G$173,6,FALSE)</f>
        <v>9.2999999999999999E-2</v>
      </c>
      <c r="AC74" s="346">
        <v>20</v>
      </c>
      <c r="AD74" s="346">
        <v>920</v>
      </c>
      <c r="AE74" s="343">
        <v>20</v>
      </c>
      <c r="AF74" s="346">
        <v>8</v>
      </c>
      <c r="AG74" s="343">
        <f t="shared" si="1498"/>
        <v>97</v>
      </c>
      <c r="AH74" s="347">
        <f t="shared" si="1284"/>
        <v>1070</v>
      </c>
      <c r="AI74" s="344">
        <f>IF(T74="AIR",'Catalogue Aluminium'!$K$141,IF(T74="TRENCH",'Catalogue Aluminium'!$K$144,"NA"))</f>
        <v>0.82</v>
      </c>
      <c r="AJ74" s="342">
        <f>IF(T74="Air",(IF(U74="1C",'Catalogue Aluminium'!$L$141,'Catalogue Aluminium'!$M$141)),IF(T74="DUCT",(IF($U74="1C",'Catalogue Aluminium'!$L$142,'Catalogue Aluminium'!$M$142)),IF(T74="GROUND",(IF($U74="1C",'Catalogue Aluminium'!$L$143,'Catalogue Aluminium'!$M$143)),IF(T74="TRENCH",(IF($U74="1C",'Catalogue Aluminium'!$L$144,'Catalogue Aluminium'!$M$144))))))</f>
        <v>0.73</v>
      </c>
      <c r="AK74" s="344" t="str">
        <f>IF(T74="Air",'Catalogue Aluminium'!$N$141,IF(T74="GROUND",'Catalogue Aluminium'!$N$142,IF(T74="DUCT",'Catalogue Aluminium'!$N$143,IF(T74="TRENCH",'Catalogue Aluminium'!$N$144,"NA"))))</f>
        <v>NA</v>
      </c>
      <c r="AL74" s="344" t="str">
        <f>IF(T74="Air",(IF(U74="1C",'Catalogue Aluminium'!$O$141,'Catalogue Aluminium'!$P$141)),IF(T74="DUCT",(IF($U74="1C",'Catalogue Aluminium'!$O$142,'Catalogue Aluminium'!$P$142)),IF(T74="GROUND",(IF($U74="1C",'Catalogue Aluminium'!$O$143,'Catalogue Aluminium'!$P$143)),IF(T74="TRENCH",(IF($U74="1C",'Catalogue Aluminium'!$O$144,'Catalogue Aluminium'!$P$144))))))</f>
        <v>NA</v>
      </c>
      <c r="AM74" s="344" t="str">
        <f>IF(T74="AIR","NA",IF(T74="TRENCH","NA",IF(T74="DUCT",IF(U74="1C",VLOOKUP(V74,'Catalogue Aluminium'!$Q$142:$S$153,2,FALSE),VLOOKUP(V74,'Catalogue Aluminium'!$Q$142:$S$153,3)),IF(T74="GROUND",IF(U74="1C",VLOOKUP(V74,'Catalogue Aluminium'!$Q$142:$S$153,2,FALSE),VLOOKUP(V74,'Catalogue Aluminium'!$Q$142:$S$153,3))))))</f>
        <v>NA</v>
      </c>
      <c r="AN74" s="348">
        <f t="shared" si="1499"/>
        <v>0.59859999999999991</v>
      </c>
      <c r="AO74" s="342">
        <f t="shared" si="1500"/>
        <v>184.96739999999997</v>
      </c>
      <c r="AP74" s="349">
        <f t="shared" si="1501"/>
        <v>1</v>
      </c>
      <c r="AQ74" s="350" t="str">
        <f t="shared" si="1502"/>
        <v>YES</v>
      </c>
      <c r="AR74" s="351">
        <f t="shared" si="1503"/>
        <v>7.3429798456043568E-2</v>
      </c>
      <c r="AS74" s="343" t="str">
        <f t="shared" si="1504"/>
        <v>YES</v>
      </c>
      <c r="AT74" s="351">
        <f t="shared" si="1505"/>
        <v>0.23059731349006715</v>
      </c>
      <c r="AU74" s="343" t="str">
        <f t="shared" si="1506"/>
        <v>YES</v>
      </c>
      <c r="AV74" s="351" t="str">
        <f t="shared" si="1507"/>
        <v>1R x 6/10 (12)kV x 3C x 150 Sqmm</v>
      </c>
      <c r="AW74" s="351" t="str">
        <f t="shared" si="1508"/>
        <v>1R x 6/10 (12)kV x 3C x 150 Sqmm</v>
      </c>
      <c r="AX74" s="343">
        <f t="shared" si="1509"/>
        <v>1070</v>
      </c>
      <c r="AY74" s="343"/>
      <c r="AZ74" s="343">
        <f t="shared" si="1510"/>
        <v>2</v>
      </c>
      <c r="BA74" s="356" t="str">
        <f t="shared" si="1511"/>
        <v>H1IK</v>
      </c>
      <c r="BB74" s="340">
        <f>VLOOKUP(W74,'Catalogue Aluminium'!$B$141:$H$173,7,FALSE)</f>
        <v>62</v>
      </c>
      <c r="BC74" s="328">
        <f t="shared" si="1512"/>
        <v>62</v>
      </c>
      <c r="BE74" s="416"/>
      <c r="BF74" s="416"/>
      <c r="BG74" s="416"/>
      <c r="BH74" s="416"/>
      <c r="BI74" s="416"/>
      <c r="BJ74" s="416"/>
      <c r="BK74" s="416"/>
      <c r="BL74" s="416"/>
      <c r="BM74" s="416"/>
      <c r="BN74" s="416"/>
      <c r="BO74" s="416"/>
      <c r="BP74" s="416"/>
      <c r="BQ74" s="416"/>
      <c r="BR74" s="416"/>
      <c r="BS74" s="416"/>
      <c r="BT74" s="416"/>
      <c r="BU74" s="416"/>
      <c r="BV74" s="416"/>
      <c r="BW74" s="416"/>
      <c r="BX74" s="416"/>
      <c r="BY74" s="458">
        <v>1</v>
      </c>
      <c r="BZ74" s="341">
        <v>1</v>
      </c>
      <c r="CA74" s="341"/>
      <c r="CB74" s="341"/>
      <c r="CC74" s="341"/>
      <c r="CD74" s="416"/>
      <c r="CE74" s="341">
        <v>1</v>
      </c>
      <c r="CF74" s="416"/>
      <c r="CG74" s="416"/>
      <c r="CH74" s="416"/>
      <c r="CI74" s="416"/>
      <c r="CJ74" s="416"/>
      <c r="CK74" s="416"/>
      <c r="CL74" s="416"/>
      <c r="CM74" s="416"/>
      <c r="CN74" s="416"/>
      <c r="CO74" s="416"/>
      <c r="CP74" s="416"/>
      <c r="CQ74" s="416"/>
      <c r="CR74" s="416"/>
      <c r="CS74" s="416"/>
      <c r="CT74" s="416"/>
      <c r="CU74" s="416"/>
      <c r="CV74" s="416"/>
      <c r="CW74" s="416"/>
      <c r="CX74" s="416"/>
      <c r="CY74" s="416"/>
      <c r="CZ74" s="416"/>
      <c r="DA74" s="416"/>
      <c r="DB74" s="416"/>
      <c r="DC74" s="416"/>
      <c r="DD74" s="416"/>
      <c r="DE74" s="416"/>
      <c r="DF74" s="416"/>
      <c r="DG74" s="416"/>
      <c r="DH74" s="416"/>
      <c r="DI74" s="416"/>
      <c r="DJ74" s="416"/>
      <c r="DK74" s="416"/>
      <c r="DL74" s="416"/>
      <c r="DM74" s="416"/>
      <c r="DN74" s="416"/>
      <c r="DO74" s="416"/>
      <c r="DP74" s="416"/>
      <c r="DQ74" s="416"/>
      <c r="DR74" s="416"/>
      <c r="DS74" s="416"/>
      <c r="DT74" s="416"/>
      <c r="DU74" s="416"/>
      <c r="DW74" s="336">
        <f t="shared" si="81"/>
        <v>0</v>
      </c>
      <c r="DX74" s="336">
        <f t="shared" si="0"/>
        <v>0</v>
      </c>
      <c r="DY74" s="336">
        <f t="shared" si="1"/>
        <v>0</v>
      </c>
      <c r="DZ74" s="336">
        <f t="shared" si="2"/>
        <v>0</v>
      </c>
      <c r="EA74" s="336">
        <f t="shared" si="3"/>
        <v>0</v>
      </c>
      <c r="EB74" s="336">
        <f t="shared" si="4"/>
        <v>0</v>
      </c>
      <c r="EC74" s="336">
        <f t="shared" si="5"/>
        <v>0</v>
      </c>
      <c r="ED74" s="336">
        <f t="shared" si="6"/>
        <v>0</v>
      </c>
      <c r="EE74" s="336">
        <f t="shared" si="7"/>
        <v>0</v>
      </c>
      <c r="EF74" s="336">
        <f t="shared" si="8"/>
        <v>0</v>
      </c>
      <c r="EG74" s="336">
        <f t="shared" si="9"/>
        <v>0</v>
      </c>
      <c r="EH74" s="336">
        <f t="shared" si="10"/>
        <v>0</v>
      </c>
      <c r="EI74" s="336">
        <f t="shared" si="11"/>
        <v>0</v>
      </c>
      <c r="EJ74" s="336">
        <f t="shared" si="12"/>
        <v>0</v>
      </c>
      <c r="EK74" s="336">
        <f t="shared" si="13"/>
        <v>0</v>
      </c>
      <c r="EL74" s="336">
        <f t="shared" si="14"/>
        <v>0</v>
      </c>
      <c r="EM74" s="336">
        <f t="shared" si="15"/>
        <v>0</v>
      </c>
      <c r="EN74" s="336">
        <f t="shared" si="16"/>
        <v>0</v>
      </c>
      <c r="EO74" s="336">
        <f t="shared" si="17"/>
        <v>0</v>
      </c>
      <c r="EP74" s="336">
        <f t="shared" si="18"/>
        <v>0</v>
      </c>
      <c r="EQ74" s="336">
        <f t="shared" si="19"/>
        <v>62</v>
      </c>
      <c r="ER74" s="336">
        <f t="shared" si="20"/>
        <v>62</v>
      </c>
      <c r="ES74" s="336">
        <f t="shared" si="21"/>
        <v>0</v>
      </c>
      <c r="ET74" s="336">
        <f t="shared" si="1451"/>
        <v>0</v>
      </c>
      <c r="EU74" s="336">
        <f t="shared" si="1452"/>
        <v>0</v>
      </c>
      <c r="EV74" s="336">
        <f t="shared" si="24"/>
        <v>0</v>
      </c>
      <c r="EW74" s="336">
        <f t="shared" si="25"/>
        <v>62</v>
      </c>
      <c r="EX74" s="336">
        <f t="shared" si="26"/>
        <v>0</v>
      </c>
      <c r="EY74" s="336">
        <f t="shared" si="27"/>
        <v>0</v>
      </c>
      <c r="EZ74" s="336">
        <f t="shared" si="28"/>
        <v>0</v>
      </c>
      <c r="FA74" s="336">
        <f t="shared" si="29"/>
        <v>0</v>
      </c>
      <c r="FB74" s="336">
        <f t="shared" si="30"/>
        <v>0</v>
      </c>
      <c r="FC74" s="336">
        <f t="shared" si="31"/>
        <v>0</v>
      </c>
      <c r="FD74" s="336">
        <f t="shared" si="32"/>
        <v>0</v>
      </c>
      <c r="FE74" s="336">
        <f t="shared" si="33"/>
        <v>0</v>
      </c>
      <c r="FF74" s="336">
        <f t="shared" si="34"/>
        <v>0</v>
      </c>
      <c r="FG74" s="336">
        <f t="shared" si="35"/>
        <v>0</v>
      </c>
      <c r="FH74" s="336">
        <f t="shared" si="36"/>
        <v>0</v>
      </c>
      <c r="FI74" s="336">
        <f t="shared" si="37"/>
        <v>0</v>
      </c>
      <c r="FJ74" s="336">
        <f t="shared" si="38"/>
        <v>0</v>
      </c>
      <c r="FK74" s="336">
        <f t="shared" si="39"/>
        <v>0</v>
      </c>
      <c r="FL74" s="336">
        <f t="shared" si="40"/>
        <v>0</v>
      </c>
      <c r="FM74" s="336">
        <f t="shared" si="41"/>
        <v>0</v>
      </c>
      <c r="FN74" s="336">
        <f t="shared" si="42"/>
        <v>0</v>
      </c>
      <c r="FO74" s="336">
        <f t="shared" si="43"/>
        <v>0</v>
      </c>
      <c r="FP74" s="336">
        <f t="shared" si="44"/>
        <v>0</v>
      </c>
      <c r="FQ74" s="336">
        <f t="shared" si="45"/>
        <v>0</v>
      </c>
      <c r="FR74" s="336">
        <f t="shared" si="46"/>
        <v>0</v>
      </c>
      <c r="FS74" s="336">
        <f t="shared" si="47"/>
        <v>0</v>
      </c>
      <c r="FT74" s="336">
        <f t="shared" si="48"/>
        <v>0</v>
      </c>
      <c r="FU74" s="336">
        <f t="shared" si="1216"/>
        <v>0</v>
      </c>
      <c r="FV74" s="336">
        <f t="shared" si="1217"/>
        <v>0</v>
      </c>
      <c r="FW74" s="336">
        <f t="shared" si="1218"/>
        <v>0</v>
      </c>
      <c r="FX74" s="336">
        <f t="shared" si="1219"/>
        <v>0</v>
      </c>
      <c r="FY74" s="336">
        <f t="shared" si="53"/>
        <v>0</v>
      </c>
      <c r="FZ74" s="336">
        <f t="shared" si="54"/>
        <v>0</v>
      </c>
      <c r="GA74" s="336">
        <f t="shared" si="55"/>
        <v>0</v>
      </c>
      <c r="GB74" s="336">
        <f t="shared" si="56"/>
        <v>0</v>
      </c>
      <c r="GC74" s="336">
        <f t="shared" si="57"/>
        <v>0</v>
      </c>
      <c r="GD74" s="336">
        <f t="shared" si="58"/>
        <v>0</v>
      </c>
      <c r="GE74" s="336">
        <f t="shared" si="59"/>
        <v>0</v>
      </c>
      <c r="GF74" s="336">
        <f t="shared" si="60"/>
        <v>0</v>
      </c>
      <c r="GG74" s="336">
        <f t="shared" si="61"/>
        <v>0</v>
      </c>
      <c r="GH74" s="336">
        <f t="shared" si="62"/>
        <v>0</v>
      </c>
      <c r="GI74" s="336">
        <f t="shared" si="63"/>
        <v>0</v>
      </c>
      <c r="GJ74" s="336">
        <f t="shared" si="64"/>
        <v>0</v>
      </c>
      <c r="GK74" s="336">
        <f>IF(DS74=1,($BC74*DS74),0)</f>
        <v>0</v>
      </c>
      <c r="GL74" s="336">
        <f t="shared" si="1148"/>
        <v>0</v>
      </c>
      <c r="GM74" s="336">
        <f t="shared" si="66"/>
        <v>0</v>
      </c>
    </row>
    <row r="75" spans="1:195" ht="18" customHeight="1">
      <c r="A75" s="388">
        <f t="shared" ref="A75:A77" si="1577">A74+1</f>
        <v>59</v>
      </c>
      <c r="B75" s="445" t="s">
        <v>452</v>
      </c>
      <c r="C75" s="388" t="str">
        <f t="shared" si="1492"/>
        <v>11kV MV Switchgear-3</v>
      </c>
      <c r="D75" s="441" t="s">
        <v>454</v>
      </c>
      <c r="E75" s="432" t="s">
        <v>450</v>
      </c>
      <c r="F75" s="388" t="s">
        <v>29</v>
      </c>
      <c r="G75" s="390" t="s">
        <v>329</v>
      </c>
      <c r="H75" s="396">
        <v>0.15</v>
      </c>
      <c r="I75" s="388" t="s">
        <v>330</v>
      </c>
      <c r="J75" s="388" t="s">
        <v>357</v>
      </c>
      <c r="K75" s="434">
        <v>230</v>
      </c>
      <c r="L75" s="401">
        <v>0.85</v>
      </c>
      <c r="M75" s="418">
        <v>0.95</v>
      </c>
      <c r="N75" s="392">
        <f t="shared" si="1493"/>
        <v>0.80764571274734154</v>
      </c>
      <c r="O75" s="392">
        <f t="shared" si="1494"/>
        <v>0</v>
      </c>
      <c r="P75" s="401" t="str">
        <f t="shared" si="1495"/>
        <v>0.00</v>
      </c>
      <c r="Q75" s="418">
        <v>65</v>
      </c>
      <c r="R75" s="418">
        <v>0</v>
      </c>
      <c r="S75" s="418">
        <f t="shared" si="1496"/>
        <v>0</v>
      </c>
      <c r="T75" s="401" t="s">
        <v>131</v>
      </c>
      <c r="U75" s="418" t="s">
        <v>333</v>
      </c>
      <c r="V75" s="401">
        <v>6</v>
      </c>
      <c r="W75" s="401" t="str">
        <f t="shared" ref="W75" si="1578">CONCATENATE(U75," X ",V75)</f>
        <v>3C X 6</v>
      </c>
      <c r="X75" s="401" t="str">
        <f t="shared" si="1497"/>
        <v>3C X 6</v>
      </c>
      <c r="Y75" s="435" t="s">
        <v>358</v>
      </c>
      <c r="Z75" s="393">
        <f>IF(T75="AIR",VLOOKUP(W75,'Catalogue Aluminium'!$B$141:$G$173,2,FALSE),IF(T75="GROUND",VLOOKUP(W75,'Catalogue Aluminium'!$B$141:$G$173,3,FALSE),IF(T75="DUCT",VLOOKUP(W75,'Catalogue Aluminium'!$B$141:$G$173,4,FALSE),IF(T75="TRENCH",VLOOKUP(W75,'Catalogue Aluminium'!$B$141:$G$173,2,FALSE)))))</f>
        <v>51</v>
      </c>
      <c r="AA75" s="402">
        <f>VLOOKUP(W75,'Catalogue Aluminium'!$B$141:$G$173,5,FALSE)</f>
        <v>3.94</v>
      </c>
      <c r="AB75" s="402">
        <f>VLOOKUP(W75,'Catalogue Aluminium'!$B$141:$G$173,6,FALSE)</f>
        <v>9.0200000000000002E-2</v>
      </c>
      <c r="AC75" s="457">
        <v>20</v>
      </c>
      <c r="AD75" s="457">
        <v>920</v>
      </c>
      <c r="AE75" s="401">
        <v>20</v>
      </c>
      <c r="AF75" s="457">
        <v>8</v>
      </c>
      <c r="AG75" s="401">
        <f t="shared" ref="AG75" si="1579">ROUNDUP(SUM(AC75:AF75)*0.1,0)</f>
        <v>97</v>
      </c>
      <c r="AH75" s="436">
        <f t="shared" si="1284"/>
        <v>1070</v>
      </c>
      <c r="AI75" s="393">
        <f>IF(T75="AIR",'Catalogue Aluminium'!$K$141,IF(T75="TRENCH",'Catalogue Aluminium'!$K$144,"NA"))</f>
        <v>0.82</v>
      </c>
      <c r="AJ75" s="392">
        <f>IF(T75="Air",(IF(U75="1C",'Catalogue Aluminium'!$L$141,'Catalogue Aluminium'!$M$141)),IF(T75="DUCT",(IF($U75="1C",'Catalogue Aluminium'!$L$142,'Catalogue Aluminium'!$M$142)),IF(T75="GROUND",(IF($U75="1C",'Catalogue Aluminium'!$L$143,'Catalogue Aluminium'!$M$143)),IF(T75="TRENCH",(IF($U75="1C",'Catalogue Aluminium'!$L$144,'Catalogue Aluminium'!$M$144))))))</f>
        <v>0.73</v>
      </c>
      <c r="AK75" s="393" t="str">
        <f>IF(T75="Air",'Catalogue Aluminium'!$N$141,IF(T75="GROUND",'Catalogue Aluminium'!$N$142,IF(T75="DUCT",'Catalogue Aluminium'!$N$143,IF(T75="TRENCH",'Catalogue Aluminium'!$N$144,"NA"))))</f>
        <v>NA</v>
      </c>
      <c r="AL75" s="393" t="str">
        <f>IF(T75="Air",(IF(U75="1C",'Catalogue Aluminium'!$O$141,'Catalogue Aluminium'!$P$141)),IF(T75="DUCT",(IF($U75="1C",'Catalogue Aluminium'!$O$142,'Catalogue Aluminium'!$P$142)),IF(T75="GROUND",(IF($U75="1C",'Catalogue Aluminium'!$O$143,'Catalogue Aluminium'!$P$143)),IF(T75="TRENCH",(IF($U75="1C",'Catalogue Aluminium'!$O$144,'Catalogue Aluminium'!$P$144))))))</f>
        <v>NA</v>
      </c>
      <c r="AM75" s="393" t="str">
        <f>IF(T75="AIR","NA",IF(T75="TRENCH","NA",IF(T75="DUCT",IF(U75="1C",VLOOKUP(V75,'Catalogue Aluminium'!$Q$142:$S$153,2,FALSE),VLOOKUP(V75,'Catalogue Aluminium'!$Q$142:$S$153,3)),IF(T75="GROUND",IF(U75="1C",VLOOKUP(V75,'Catalogue Aluminium'!$Q$142:$S$153,2,FALSE),VLOOKUP(V75,'Catalogue Aluminium'!$Q$142:$S$153,3))))))</f>
        <v>NA</v>
      </c>
      <c r="AN75" s="404">
        <f t="shared" si="1499"/>
        <v>0.59859999999999991</v>
      </c>
      <c r="AO75" s="392">
        <f t="shared" si="1500"/>
        <v>30.528599999999994</v>
      </c>
      <c r="AP75" s="434">
        <f t="shared" si="1501"/>
        <v>1</v>
      </c>
      <c r="AQ75" s="418" t="str">
        <f t="shared" si="1502"/>
        <v>YES</v>
      </c>
      <c r="AR75" s="437">
        <f t="shared" si="1503"/>
        <v>2.2104011611817107</v>
      </c>
      <c r="AS75" s="401" t="str">
        <f t="shared" si="1504"/>
        <v>YES</v>
      </c>
      <c r="AT75" s="437" t="str">
        <f t="shared" si="1505"/>
        <v>NA</v>
      </c>
      <c r="AU75" s="401" t="str">
        <f t="shared" si="1506"/>
        <v>NA</v>
      </c>
      <c r="AV75" s="437" t="str">
        <f t="shared" si="1507"/>
        <v>1R x 6/10 (12)kV x 3C x 6 Sqmm</v>
      </c>
      <c r="AW75" s="437" t="str">
        <f t="shared" si="1508"/>
        <v>1R x 6/10 (12)kV x 3C x 6 Sqmm</v>
      </c>
      <c r="AX75" s="401">
        <f t="shared" si="1509"/>
        <v>1070</v>
      </c>
      <c r="AY75" s="401"/>
      <c r="AZ75" s="401">
        <f t="shared" si="1510"/>
        <v>2</v>
      </c>
      <c r="BA75" s="438" t="str">
        <f t="shared" si="1511"/>
        <v>H1IK</v>
      </c>
      <c r="BB75" s="390">
        <f>VLOOKUP(W75,'Catalogue Aluminium'!$B$141:$H$173,7,FALSE)</f>
        <v>16</v>
      </c>
      <c r="BC75" s="439">
        <f t="shared" si="1512"/>
        <v>16</v>
      </c>
      <c r="BE75" s="416"/>
      <c r="BF75" s="416"/>
      <c r="BG75" s="416"/>
      <c r="BH75" s="416"/>
      <c r="BI75" s="416"/>
      <c r="BJ75" s="416"/>
      <c r="BK75" s="416"/>
      <c r="BL75" s="416"/>
      <c r="BM75" s="416"/>
      <c r="BN75" s="416"/>
      <c r="BO75" s="416"/>
      <c r="BP75" s="416"/>
      <c r="BQ75" s="416"/>
      <c r="BR75" s="416"/>
      <c r="BS75" s="416"/>
      <c r="BT75" s="416"/>
      <c r="BU75" s="416"/>
      <c r="BV75" s="416"/>
      <c r="BW75" s="416"/>
      <c r="BX75" s="416"/>
      <c r="BY75" s="458">
        <v>1</v>
      </c>
      <c r="BZ75" s="341">
        <v>1</v>
      </c>
      <c r="CA75" s="341"/>
      <c r="CB75" s="341"/>
      <c r="CC75" s="341"/>
      <c r="CD75" s="416"/>
      <c r="CE75" s="341">
        <v>1</v>
      </c>
      <c r="CF75" s="416"/>
      <c r="CG75" s="416"/>
      <c r="CH75" s="416"/>
      <c r="CI75" s="416"/>
      <c r="CJ75" s="416"/>
      <c r="CK75" s="416"/>
      <c r="CL75" s="416"/>
      <c r="CM75" s="416"/>
      <c r="CN75" s="416"/>
      <c r="CO75" s="416"/>
      <c r="CP75" s="416"/>
      <c r="CQ75" s="416"/>
      <c r="CR75" s="416"/>
      <c r="CS75" s="416"/>
      <c r="CT75" s="416"/>
      <c r="CU75" s="416"/>
      <c r="CV75" s="416"/>
      <c r="CW75" s="416"/>
      <c r="CX75" s="416"/>
      <c r="CY75" s="416"/>
      <c r="CZ75" s="416"/>
      <c r="DA75" s="416"/>
      <c r="DB75" s="416"/>
      <c r="DC75" s="416"/>
      <c r="DD75" s="416"/>
      <c r="DE75" s="416"/>
      <c r="DF75" s="416"/>
      <c r="DG75" s="416"/>
      <c r="DH75" s="416"/>
      <c r="DI75" s="416"/>
      <c r="DJ75" s="416"/>
      <c r="DK75" s="416"/>
      <c r="DL75" s="416"/>
      <c r="DM75" s="416"/>
      <c r="DN75" s="416"/>
      <c r="DO75" s="416"/>
      <c r="DP75" s="416"/>
      <c r="DQ75" s="416"/>
      <c r="DR75" s="416"/>
      <c r="DS75" s="416"/>
      <c r="DT75" s="416"/>
      <c r="DU75" s="416"/>
      <c r="DW75" s="336">
        <f t="shared" ref="DW75" si="1580">IF(BE75=1,($BC75*BE75),0)</f>
        <v>0</v>
      </c>
      <c r="DX75" s="336">
        <f t="shared" ref="DX75" si="1581">IF(BF75=1,($BC75*BF75),0)</f>
        <v>0</v>
      </c>
      <c r="DY75" s="336">
        <f t="shared" ref="DY75" si="1582">IF(BG75=1,($BC75*BG75),0)</f>
        <v>0</v>
      </c>
      <c r="DZ75" s="336">
        <f t="shared" ref="DZ75" si="1583">IF(BH75=1,($BC75*BH75),0)</f>
        <v>0</v>
      </c>
      <c r="EA75" s="336">
        <f t="shared" ref="EA75" si="1584">IF(BI75=1,($BC75*BI75),0)</f>
        <v>0</v>
      </c>
      <c r="EB75" s="336">
        <f t="shared" ref="EB75" si="1585">IF(BJ75=1,($BC75*BJ75),0)</f>
        <v>0</v>
      </c>
      <c r="EC75" s="336">
        <f t="shared" ref="EC75" si="1586">IF(BK75=1,($BC75*BK75),0)</f>
        <v>0</v>
      </c>
      <c r="ED75" s="336">
        <f t="shared" ref="ED75" si="1587">IF(BL75=1,($BC75*BL75),0)</f>
        <v>0</v>
      </c>
      <c r="EE75" s="336">
        <f t="shared" ref="EE75" si="1588">IF(BM75=1,($BC75*BM75),0)</f>
        <v>0</v>
      </c>
      <c r="EF75" s="336">
        <f t="shared" ref="EF75" si="1589">IF(BN75=1,($BC75*BN75),0)</f>
        <v>0</v>
      </c>
      <c r="EG75" s="336">
        <f t="shared" ref="EG75" si="1590">IF(BO75=1,($BC75*BO75),0)</f>
        <v>0</v>
      </c>
      <c r="EH75" s="336">
        <f t="shared" ref="EH75" si="1591">IF(BP75=1,($BC75*BP75),0)</f>
        <v>0</v>
      </c>
      <c r="EI75" s="336">
        <f t="shared" ref="EI75" si="1592">IF(BQ75=1,($BC75*BQ75),0)</f>
        <v>0</v>
      </c>
      <c r="EJ75" s="336">
        <f t="shared" ref="EJ75" si="1593">IF(BR75=1,($BC75*BR75),0)</f>
        <v>0</v>
      </c>
      <c r="EK75" s="336">
        <f t="shared" ref="EK75" si="1594">IF(BS75=1,($BC75*BS75),0)</f>
        <v>0</v>
      </c>
      <c r="EL75" s="336">
        <f t="shared" ref="EL75" si="1595">IF(BT75=1,($BC75*BT75),0)</f>
        <v>0</v>
      </c>
      <c r="EM75" s="336">
        <f t="shared" ref="EM75" si="1596">IF(BU75=1,($BC75*BU75),0)</f>
        <v>0</v>
      </c>
      <c r="EN75" s="336">
        <f t="shared" ref="EN75" si="1597">IF(BV75=1,($BC75*BV75),0)</f>
        <v>0</v>
      </c>
      <c r="EO75" s="336">
        <f t="shared" ref="EO75" si="1598">IF(BW75=1,($BC75*BW75),0)</f>
        <v>0</v>
      </c>
      <c r="EP75" s="336">
        <f t="shared" ref="EP75" si="1599">IF(BX75=1,($BC75*BX75),0)</f>
        <v>0</v>
      </c>
      <c r="EQ75" s="336">
        <f t="shared" ref="EQ75" si="1600">IF(BY75=1,($BC75*BY75),0)</f>
        <v>16</v>
      </c>
      <c r="ER75" s="336">
        <f t="shared" ref="ER75" si="1601">IF(BZ75=1,($BC75*BZ75),0)</f>
        <v>16</v>
      </c>
      <c r="ES75" s="336">
        <f t="shared" ref="ES75" si="1602">IF(CA75=1,($BC75*CA75),0)</f>
        <v>0</v>
      </c>
      <c r="ET75" s="336">
        <f t="shared" si="1451"/>
        <v>0</v>
      </c>
      <c r="EU75" s="336">
        <f t="shared" si="1452"/>
        <v>0</v>
      </c>
      <c r="EV75" s="336">
        <f t="shared" ref="EV75" si="1603">IF(CD75=1,($BC75*CD75),0)</f>
        <v>0</v>
      </c>
      <c r="EW75" s="336">
        <f t="shared" ref="EW75" si="1604">IF(CE75=1,($BC75*CE75),0)</f>
        <v>16</v>
      </c>
      <c r="EX75" s="336">
        <f t="shared" ref="EX75" si="1605">IF(CF75=1,($BC75*CF75),0)</f>
        <v>0</v>
      </c>
      <c r="EY75" s="336">
        <f t="shared" ref="EY75" si="1606">IF(CG75=1,($BC75*CG75),0)</f>
        <v>0</v>
      </c>
      <c r="EZ75" s="336">
        <f t="shared" ref="EZ75" si="1607">IF(CH75=1,($BC75*CH75),0)</f>
        <v>0</v>
      </c>
      <c r="FA75" s="336">
        <f t="shared" ref="FA75" si="1608">IF(CI75=1,($BC75*CI75),0)</f>
        <v>0</v>
      </c>
      <c r="FB75" s="336">
        <f t="shared" ref="FB75" si="1609">IF(CJ75=1,($BC75*CJ75),0)</f>
        <v>0</v>
      </c>
      <c r="FC75" s="336">
        <f t="shared" ref="FC75" si="1610">IF(CK75=1,($BC75*CK75),0)</f>
        <v>0</v>
      </c>
      <c r="FD75" s="336">
        <f t="shared" ref="FD75" si="1611">IF(CL75=1,($BC75*CL75),0)</f>
        <v>0</v>
      </c>
      <c r="FE75" s="336">
        <f t="shared" ref="FE75" si="1612">IF(CM75=1,($BC75*CM75),0)</f>
        <v>0</v>
      </c>
      <c r="FF75" s="336">
        <f t="shared" ref="FF75" si="1613">IF(CN75=1,($BC75*CN75),0)</f>
        <v>0</v>
      </c>
      <c r="FG75" s="336">
        <f t="shared" ref="FG75" si="1614">IF(CO75=1,($BC75*CO75),0)</f>
        <v>0</v>
      </c>
      <c r="FH75" s="336">
        <f t="shared" ref="FH75" si="1615">IF(CP75=1,($BC75*CP75),0)</f>
        <v>0</v>
      </c>
      <c r="FI75" s="336">
        <f t="shared" ref="FI75" si="1616">IF(CQ75=1,($BC75*CQ75),0)</f>
        <v>0</v>
      </c>
      <c r="FJ75" s="336">
        <f t="shared" ref="FJ75" si="1617">IF(CR75=1,($BC75*CR75),0)</f>
        <v>0</v>
      </c>
      <c r="FK75" s="336">
        <f t="shared" ref="FK75" si="1618">IF(CS75=1,($BC75*CS75),0)</f>
        <v>0</v>
      </c>
      <c r="FL75" s="336">
        <f t="shared" ref="FL75" si="1619">IF(CT75=1,($BC75*CT75),0)</f>
        <v>0</v>
      </c>
      <c r="FM75" s="336">
        <f t="shared" ref="FM75" si="1620">IF(CU75=1,($BC75*CU75),0)</f>
        <v>0</v>
      </c>
      <c r="FN75" s="336">
        <f t="shared" ref="FN75" si="1621">IF(CV75=1,($BC75*CV75),0)</f>
        <v>0</v>
      </c>
      <c r="FO75" s="336">
        <f t="shared" ref="FO75" si="1622">IF(CW75=1,($BC75*CW75),0)</f>
        <v>0</v>
      </c>
      <c r="FP75" s="336">
        <f t="shared" ref="FP75" si="1623">IF(CX75=1,($BC75*CX75),0)</f>
        <v>0</v>
      </c>
      <c r="FQ75" s="336">
        <f t="shared" ref="FQ75" si="1624">IF(CY75=1,($BC75*CY75),0)</f>
        <v>0</v>
      </c>
      <c r="FR75" s="336">
        <f t="shared" ref="FR75" si="1625">IF(CZ75=1,($BC75*CZ75),0)</f>
        <v>0</v>
      </c>
      <c r="FS75" s="336">
        <f t="shared" ref="FS75" si="1626">IF(DA75=1,($BC75*DA75),0)</f>
        <v>0</v>
      </c>
      <c r="FT75" s="336">
        <f t="shared" ref="FT75" si="1627">IF(DB75=1,($BC75*DB75),0)</f>
        <v>0</v>
      </c>
      <c r="FU75" s="336">
        <f t="shared" si="1216"/>
        <v>0</v>
      </c>
      <c r="FV75" s="336">
        <f t="shared" si="1217"/>
        <v>0</v>
      </c>
      <c r="FW75" s="336">
        <f t="shared" si="1218"/>
        <v>0</v>
      </c>
      <c r="FX75" s="336">
        <f t="shared" si="1219"/>
        <v>0</v>
      </c>
      <c r="FY75" s="336">
        <f t="shared" ref="FY75" si="1628">IF(DG75=1,($BC75*DG75),0)</f>
        <v>0</v>
      </c>
      <c r="FZ75" s="336">
        <f t="shared" ref="FZ75" si="1629">IF(DH75=1,($BC75*DH75),0)</f>
        <v>0</v>
      </c>
      <c r="GA75" s="336">
        <f t="shared" ref="GA75" si="1630">IF(DI75=1,($BC75*DI75),0)</f>
        <v>0</v>
      </c>
      <c r="GB75" s="336">
        <f t="shared" ref="GB75" si="1631">IF(DJ75=1,($BC75*DJ75),0)</f>
        <v>0</v>
      </c>
      <c r="GC75" s="336">
        <f t="shared" ref="GC75" si="1632">IF(DK75=1,($BC75*DK75),0)</f>
        <v>0</v>
      </c>
      <c r="GD75" s="336">
        <f t="shared" ref="GD75" si="1633">IF(DL75=1,($BC75*DL75),0)</f>
        <v>0</v>
      </c>
      <c r="GE75" s="336">
        <f t="shared" ref="GE75" si="1634">IF(DM75=1,($BC75*DM75),0)</f>
        <v>0</v>
      </c>
      <c r="GF75" s="336">
        <f t="shared" ref="GF75" si="1635">IF(DN75=1,($BC75*DN75),0)</f>
        <v>0</v>
      </c>
      <c r="GG75" s="336">
        <f t="shared" ref="GG75" si="1636">IF(DO75=1,($BC75*DO75),0)</f>
        <v>0</v>
      </c>
      <c r="GH75" s="336">
        <f t="shared" ref="GH75" si="1637">IF(DP75=1,($BC75*DP75),0)</f>
        <v>0</v>
      </c>
      <c r="GI75" s="336">
        <f t="shared" ref="GI75" si="1638">IF(DQ75=1,($BC75*DQ75),0)</f>
        <v>0</v>
      </c>
      <c r="GJ75" s="336">
        <f t="shared" ref="GJ75" si="1639">IF(DR75=1,($BC75*DR75),0)</f>
        <v>0</v>
      </c>
      <c r="GK75" s="336">
        <f t="shared" ref="GK75" si="1640">IF(DS75=1,($BC75*DS75),0)</f>
        <v>0</v>
      </c>
      <c r="GL75" s="336">
        <f t="shared" ref="GL75:GL82" si="1641">IF(DT75=1,($BC75*DT75),0)</f>
        <v>0</v>
      </c>
      <c r="GM75" s="336">
        <f t="shared" ref="GM75" si="1642">IF(DU75=1,($BC75*DU75),0)</f>
        <v>0</v>
      </c>
    </row>
    <row r="76" spans="1:195" ht="18" customHeight="1">
      <c r="A76" s="337">
        <f t="shared" si="1577"/>
        <v>60</v>
      </c>
      <c r="B76" s="444" t="s">
        <v>455</v>
      </c>
      <c r="C76" s="337" t="str">
        <f t="shared" si="1492"/>
        <v>11kV MV Switchgear-3</v>
      </c>
      <c r="D76" s="440" t="s">
        <v>456</v>
      </c>
      <c r="E76" s="416" t="s">
        <v>450</v>
      </c>
      <c r="F76" s="337" t="s">
        <v>28</v>
      </c>
      <c r="G76" s="340" t="s">
        <v>350</v>
      </c>
      <c r="H76" s="418">
        <v>250</v>
      </c>
      <c r="I76" s="337" t="s">
        <v>330</v>
      </c>
      <c r="J76" s="337" t="s">
        <v>331</v>
      </c>
      <c r="K76" s="341">
        <v>11000</v>
      </c>
      <c r="L76" s="342">
        <v>0.86</v>
      </c>
      <c r="M76" s="342">
        <v>0.96400000000000008</v>
      </c>
      <c r="N76" s="342">
        <f t="shared" si="1493"/>
        <v>15.827923796382375</v>
      </c>
      <c r="O76" s="392">
        <f t="shared" si="1494"/>
        <v>94.967542778294245</v>
      </c>
      <c r="P76" s="343">
        <f t="shared" si="1495"/>
        <v>0.2</v>
      </c>
      <c r="Q76" s="342">
        <v>31.5</v>
      </c>
      <c r="R76" s="342">
        <v>0.16</v>
      </c>
      <c r="S76" s="342">
        <f t="shared" si="1496"/>
        <v>134.04255319148936</v>
      </c>
      <c r="T76" s="344" t="s">
        <v>131</v>
      </c>
      <c r="U76" s="342" t="s">
        <v>333</v>
      </c>
      <c r="V76" s="344">
        <v>150</v>
      </c>
      <c r="W76" s="343" t="str">
        <f t="shared" si="1277"/>
        <v>3C X 150</v>
      </c>
      <c r="X76" s="343" t="str">
        <f t="shared" si="1497"/>
        <v>3C X 150+PE</v>
      </c>
      <c r="Y76" s="419" t="s">
        <v>346</v>
      </c>
      <c r="Z76" s="344">
        <f>IF(T76="AIR",VLOOKUP(W76,'Catalogue Aluminium'!$B$141:$G$173,2,FALSE),IF(T76="GROUND",VLOOKUP(W76,'Catalogue Aluminium'!$B$141:$G$173,3,FALSE),IF(T76="DUCT",VLOOKUP(W76,'Catalogue Aluminium'!$B$141:$G$173,4,FALSE),IF(T76="TRENCH",VLOOKUP(W76,'Catalogue Aluminium'!$B$141:$G$173,2,FALSE)))))</f>
        <v>309</v>
      </c>
      <c r="AA76" s="345">
        <f>VLOOKUP(W76,'Catalogue Aluminium'!$B$141:$G$173,5,FALSE)</f>
        <v>0.26500000000000001</v>
      </c>
      <c r="AB76" s="345">
        <f>VLOOKUP(W76,'Catalogue Aluminium'!$B$141:$G$173,6,FALSE)</f>
        <v>9.2999999999999999E-2</v>
      </c>
      <c r="AC76" s="346">
        <v>20</v>
      </c>
      <c r="AD76" s="346">
        <v>920</v>
      </c>
      <c r="AE76" s="343">
        <v>20</v>
      </c>
      <c r="AF76" s="346">
        <v>8</v>
      </c>
      <c r="AG76" s="343">
        <f t="shared" si="1498"/>
        <v>97</v>
      </c>
      <c r="AH76" s="347">
        <f t="shared" si="1284"/>
        <v>1070</v>
      </c>
      <c r="AI76" s="344">
        <f>IF(T76="AIR",'Catalogue Aluminium'!$K$141,IF(T76="TRENCH",'Catalogue Aluminium'!$K$144,"NA"))</f>
        <v>0.82</v>
      </c>
      <c r="AJ76" s="342">
        <f>IF(T76="Air",(IF(U76="1C",'Catalogue Aluminium'!$L$141,'Catalogue Aluminium'!$M$141)),IF(T76="DUCT",(IF($U76="1C",'Catalogue Aluminium'!$L$142,'Catalogue Aluminium'!$M$142)),IF(T76="GROUND",(IF($U76="1C",'Catalogue Aluminium'!$L$143,'Catalogue Aluminium'!$M$143)),IF(T76="TRENCH",(IF($U76="1C",'Catalogue Aluminium'!$L$144,'Catalogue Aluminium'!$M$144))))))</f>
        <v>0.73</v>
      </c>
      <c r="AK76" s="344" t="str">
        <f>IF(T76="Air",'Catalogue Aluminium'!$N$141,IF(T76="GROUND",'Catalogue Aluminium'!$N$142,IF(T76="DUCT",'Catalogue Aluminium'!$N$143,IF(T76="TRENCH",'Catalogue Aluminium'!$N$144,"NA"))))</f>
        <v>NA</v>
      </c>
      <c r="AL76" s="344" t="str">
        <f>IF(T76="Air",(IF(U76="1C",'Catalogue Aluminium'!$O$141,'Catalogue Aluminium'!$P$141)),IF(T76="DUCT",(IF($U76="1C",'Catalogue Aluminium'!$O$142,'Catalogue Aluminium'!$P$142)),IF(T76="GROUND",(IF($U76="1C",'Catalogue Aluminium'!$O$143,'Catalogue Aluminium'!$P$143)),IF(T76="TRENCH",(IF($U76="1C",'Catalogue Aluminium'!$O$144,'Catalogue Aluminium'!$P$144))))))</f>
        <v>NA</v>
      </c>
      <c r="AM76" s="344" t="str">
        <f>IF(T76="AIR","NA",IF(T76="TRENCH","NA",IF(T76="DUCT",IF(U76="1C",VLOOKUP(V76,'Catalogue Aluminium'!$Q$142:$S$153,2,FALSE),VLOOKUP(V76,'Catalogue Aluminium'!$Q$142:$S$153,3)),IF(T76="GROUND",IF(U76="1C",VLOOKUP(V76,'Catalogue Aluminium'!$Q$142:$S$153,2,FALSE),VLOOKUP(V76,'Catalogue Aluminium'!$Q$142:$S$153,3))))))</f>
        <v>NA</v>
      </c>
      <c r="AN76" s="348">
        <f t="shared" si="1499"/>
        <v>0.59859999999999991</v>
      </c>
      <c r="AO76" s="342">
        <f t="shared" si="1500"/>
        <v>184.96739999999997</v>
      </c>
      <c r="AP76" s="349">
        <f t="shared" si="1501"/>
        <v>1</v>
      </c>
      <c r="AQ76" s="350" t="str">
        <f t="shared" si="1502"/>
        <v>YES</v>
      </c>
      <c r="AR76" s="351">
        <f t="shared" si="1503"/>
        <v>7.3429798456043568E-2</v>
      </c>
      <c r="AS76" s="343" t="str">
        <f t="shared" si="1504"/>
        <v>YES</v>
      </c>
      <c r="AT76" s="351">
        <f t="shared" si="1505"/>
        <v>0.23059731349006715</v>
      </c>
      <c r="AU76" s="343" t="str">
        <f t="shared" si="1506"/>
        <v>YES</v>
      </c>
      <c r="AV76" s="351" t="str">
        <f t="shared" si="1507"/>
        <v>1R x 6/10 (12)kV x 3C x 150 Sqmm</v>
      </c>
      <c r="AW76" s="351" t="str">
        <f t="shared" si="1508"/>
        <v>1R x 6/10 (12)kV x 3C x 150 Sqmm</v>
      </c>
      <c r="AX76" s="343">
        <f t="shared" si="1509"/>
        <v>1070</v>
      </c>
      <c r="AY76" s="343"/>
      <c r="AZ76" s="343">
        <f t="shared" si="1510"/>
        <v>2</v>
      </c>
      <c r="BA76" s="356" t="str">
        <f t="shared" si="1511"/>
        <v>H1IK</v>
      </c>
      <c r="BB76" s="340">
        <f>VLOOKUP(W76,'Catalogue Aluminium'!$B$141:$H$173,7,FALSE)</f>
        <v>62</v>
      </c>
      <c r="BC76" s="328">
        <f t="shared" si="1512"/>
        <v>62</v>
      </c>
      <c r="BE76" s="416"/>
      <c r="BF76" s="416"/>
      <c r="BG76" s="416"/>
      <c r="BH76" s="416"/>
      <c r="BI76" s="416"/>
      <c r="BJ76" s="416"/>
      <c r="BK76" s="416"/>
      <c r="BL76" s="416"/>
      <c r="BM76" s="416"/>
      <c r="BN76" s="416"/>
      <c r="BO76" s="416"/>
      <c r="BP76" s="416"/>
      <c r="BQ76" s="416"/>
      <c r="BR76" s="416"/>
      <c r="BS76" s="416"/>
      <c r="BT76" s="416"/>
      <c r="BU76" s="416"/>
      <c r="BV76" s="416"/>
      <c r="BW76" s="416"/>
      <c r="BX76" s="416"/>
      <c r="BY76" s="458">
        <v>1</v>
      </c>
      <c r="BZ76" s="341">
        <v>1</v>
      </c>
      <c r="CA76" s="341"/>
      <c r="CB76" s="341"/>
      <c r="CC76" s="341"/>
      <c r="CD76" s="416"/>
      <c r="CE76" s="341">
        <v>1</v>
      </c>
      <c r="CF76" s="416"/>
      <c r="CG76" s="416"/>
      <c r="CH76" s="416"/>
      <c r="CI76" s="416"/>
      <c r="CJ76" s="416"/>
      <c r="CK76" s="416"/>
      <c r="CL76" s="416"/>
      <c r="CM76" s="416"/>
      <c r="CN76" s="416"/>
      <c r="CO76" s="416"/>
      <c r="CP76" s="416"/>
      <c r="CQ76" s="416"/>
      <c r="CR76" s="416"/>
      <c r="CS76" s="416"/>
      <c r="CT76" s="416"/>
      <c r="CU76" s="416"/>
      <c r="CV76" s="416"/>
      <c r="CW76" s="416"/>
      <c r="CX76" s="416"/>
      <c r="CY76" s="416"/>
      <c r="CZ76" s="416"/>
      <c r="DA76" s="416"/>
      <c r="DB76" s="416"/>
      <c r="DC76" s="416"/>
      <c r="DD76" s="416"/>
      <c r="DE76" s="416"/>
      <c r="DF76" s="416"/>
      <c r="DG76" s="416"/>
      <c r="DH76" s="416"/>
      <c r="DI76" s="416"/>
      <c r="DJ76" s="416"/>
      <c r="DK76" s="416"/>
      <c r="DL76" s="416"/>
      <c r="DM76" s="416"/>
      <c r="DN76" s="416"/>
      <c r="DO76" s="416"/>
      <c r="DP76" s="416"/>
      <c r="DQ76" s="416"/>
      <c r="DR76" s="416"/>
      <c r="DS76" s="416"/>
      <c r="DT76" s="416"/>
      <c r="DU76" s="416"/>
      <c r="DW76" s="336">
        <f t="shared" si="81"/>
        <v>0</v>
      </c>
      <c r="DX76" s="336">
        <f t="shared" si="0"/>
        <v>0</v>
      </c>
      <c r="DY76" s="336">
        <f t="shared" si="1"/>
        <v>0</v>
      </c>
      <c r="DZ76" s="336">
        <f t="shared" si="2"/>
        <v>0</v>
      </c>
      <c r="EA76" s="336">
        <f t="shared" si="3"/>
        <v>0</v>
      </c>
      <c r="EB76" s="336">
        <f t="shared" si="4"/>
        <v>0</v>
      </c>
      <c r="EC76" s="336">
        <f t="shared" si="5"/>
        <v>0</v>
      </c>
      <c r="ED76" s="336">
        <f t="shared" si="6"/>
        <v>0</v>
      </c>
      <c r="EE76" s="336">
        <f t="shared" si="7"/>
        <v>0</v>
      </c>
      <c r="EF76" s="336">
        <f t="shared" si="8"/>
        <v>0</v>
      </c>
      <c r="EG76" s="336">
        <f t="shared" si="9"/>
        <v>0</v>
      </c>
      <c r="EH76" s="336">
        <f t="shared" si="10"/>
        <v>0</v>
      </c>
      <c r="EI76" s="336">
        <f t="shared" si="11"/>
        <v>0</v>
      </c>
      <c r="EJ76" s="336">
        <f t="shared" si="12"/>
        <v>0</v>
      </c>
      <c r="EK76" s="336">
        <f t="shared" si="13"/>
        <v>0</v>
      </c>
      <c r="EL76" s="336">
        <f t="shared" si="14"/>
        <v>0</v>
      </c>
      <c r="EM76" s="336">
        <f t="shared" si="15"/>
        <v>0</v>
      </c>
      <c r="EN76" s="336">
        <f t="shared" si="16"/>
        <v>0</v>
      </c>
      <c r="EO76" s="336">
        <f t="shared" si="17"/>
        <v>0</v>
      </c>
      <c r="EP76" s="336">
        <f t="shared" si="18"/>
        <v>0</v>
      </c>
      <c r="EQ76" s="336">
        <f t="shared" si="19"/>
        <v>62</v>
      </c>
      <c r="ER76" s="336">
        <f t="shared" si="20"/>
        <v>62</v>
      </c>
      <c r="ES76" s="336">
        <f t="shared" si="21"/>
        <v>0</v>
      </c>
      <c r="ET76" s="336">
        <f t="shared" si="1451"/>
        <v>0</v>
      </c>
      <c r="EU76" s="336">
        <f t="shared" si="1452"/>
        <v>0</v>
      </c>
      <c r="EV76" s="336">
        <f t="shared" si="24"/>
        <v>0</v>
      </c>
      <c r="EW76" s="336">
        <f t="shared" si="25"/>
        <v>62</v>
      </c>
      <c r="EX76" s="336">
        <f t="shared" si="26"/>
        <v>0</v>
      </c>
      <c r="EY76" s="336">
        <f t="shared" si="27"/>
        <v>0</v>
      </c>
      <c r="EZ76" s="336">
        <f t="shared" si="28"/>
        <v>0</v>
      </c>
      <c r="FA76" s="336">
        <f t="shared" si="29"/>
        <v>0</v>
      </c>
      <c r="FB76" s="336">
        <f t="shared" si="30"/>
        <v>0</v>
      </c>
      <c r="FC76" s="336">
        <f t="shared" si="31"/>
        <v>0</v>
      </c>
      <c r="FD76" s="336">
        <f t="shared" si="32"/>
        <v>0</v>
      </c>
      <c r="FE76" s="336">
        <f t="shared" si="33"/>
        <v>0</v>
      </c>
      <c r="FF76" s="336">
        <f t="shared" si="34"/>
        <v>0</v>
      </c>
      <c r="FG76" s="336">
        <f t="shared" si="35"/>
        <v>0</v>
      </c>
      <c r="FH76" s="336">
        <f t="shared" si="36"/>
        <v>0</v>
      </c>
      <c r="FI76" s="336">
        <f t="shared" si="37"/>
        <v>0</v>
      </c>
      <c r="FJ76" s="336">
        <f t="shared" si="38"/>
        <v>0</v>
      </c>
      <c r="FK76" s="336">
        <f t="shared" si="39"/>
        <v>0</v>
      </c>
      <c r="FL76" s="336">
        <f t="shared" si="40"/>
        <v>0</v>
      </c>
      <c r="FM76" s="336">
        <f t="shared" si="41"/>
        <v>0</v>
      </c>
      <c r="FN76" s="336">
        <f t="shared" si="42"/>
        <v>0</v>
      </c>
      <c r="FO76" s="336">
        <f t="shared" si="43"/>
        <v>0</v>
      </c>
      <c r="FP76" s="336">
        <f t="shared" si="44"/>
        <v>0</v>
      </c>
      <c r="FQ76" s="336">
        <f t="shared" si="45"/>
        <v>0</v>
      </c>
      <c r="FR76" s="336">
        <f t="shared" si="46"/>
        <v>0</v>
      </c>
      <c r="FS76" s="336">
        <f t="shared" si="47"/>
        <v>0</v>
      </c>
      <c r="FT76" s="336">
        <f t="shared" si="48"/>
        <v>0</v>
      </c>
      <c r="FU76" s="336">
        <f t="shared" si="1216"/>
        <v>0</v>
      </c>
      <c r="FV76" s="336">
        <f t="shared" si="1217"/>
        <v>0</v>
      </c>
      <c r="FW76" s="336">
        <f t="shared" si="1218"/>
        <v>0</v>
      </c>
      <c r="FX76" s="336">
        <f t="shared" si="1219"/>
        <v>0</v>
      </c>
      <c r="FY76" s="336">
        <f t="shared" si="53"/>
        <v>0</v>
      </c>
      <c r="FZ76" s="336">
        <f t="shared" si="54"/>
        <v>0</v>
      </c>
      <c r="GA76" s="336">
        <f t="shared" si="55"/>
        <v>0</v>
      </c>
      <c r="GB76" s="336">
        <f t="shared" si="56"/>
        <v>0</v>
      </c>
      <c r="GC76" s="336">
        <f t="shared" si="57"/>
        <v>0</v>
      </c>
      <c r="GD76" s="336">
        <f t="shared" si="58"/>
        <v>0</v>
      </c>
      <c r="GE76" s="336">
        <f t="shared" si="59"/>
        <v>0</v>
      </c>
      <c r="GF76" s="336">
        <f t="shared" si="60"/>
        <v>0</v>
      </c>
      <c r="GG76" s="336">
        <f t="shared" si="61"/>
        <v>0</v>
      </c>
      <c r="GH76" s="336">
        <f t="shared" si="62"/>
        <v>0</v>
      </c>
      <c r="GI76" s="336">
        <f t="shared" si="63"/>
        <v>0</v>
      </c>
      <c r="GJ76" s="336">
        <f t="shared" si="64"/>
        <v>0</v>
      </c>
      <c r="GK76" s="336">
        <f>IF(DS76=1,($BC76*DS76),0)</f>
        <v>0</v>
      </c>
      <c r="GL76" s="336">
        <f t="shared" si="1641"/>
        <v>0</v>
      </c>
      <c r="GM76" s="336">
        <f t="shared" si="66"/>
        <v>0</v>
      </c>
    </row>
    <row r="77" spans="1:195" ht="18" customHeight="1">
      <c r="A77" s="388">
        <f t="shared" si="1577"/>
        <v>61</v>
      </c>
      <c r="B77" s="445" t="s">
        <v>455</v>
      </c>
      <c r="C77" s="388" t="str">
        <f t="shared" si="1492"/>
        <v>11kV MV Switchgear-3</v>
      </c>
      <c r="D77" s="441" t="s">
        <v>457</v>
      </c>
      <c r="E77" s="432" t="s">
        <v>450</v>
      </c>
      <c r="F77" s="388" t="s">
        <v>28</v>
      </c>
      <c r="G77" s="390" t="s">
        <v>329</v>
      </c>
      <c r="H77" s="396">
        <v>0.15</v>
      </c>
      <c r="I77" s="388" t="s">
        <v>330</v>
      </c>
      <c r="J77" s="388" t="s">
        <v>357</v>
      </c>
      <c r="K77" s="434">
        <v>230</v>
      </c>
      <c r="L77" s="401">
        <v>0.85</v>
      </c>
      <c r="M77" s="418">
        <v>0.95</v>
      </c>
      <c r="N77" s="392">
        <f t="shared" si="1493"/>
        <v>0.80764571274734154</v>
      </c>
      <c r="O77" s="392">
        <f t="shared" si="1494"/>
        <v>0</v>
      </c>
      <c r="P77" s="401" t="str">
        <f t="shared" si="1495"/>
        <v>0.00</v>
      </c>
      <c r="Q77" s="418">
        <v>65</v>
      </c>
      <c r="R77" s="418">
        <v>0</v>
      </c>
      <c r="S77" s="418">
        <f t="shared" si="1496"/>
        <v>0</v>
      </c>
      <c r="T77" s="401" t="s">
        <v>131</v>
      </c>
      <c r="U77" s="418" t="s">
        <v>333</v>
      </c>
      <c r="V77" s="401">
        <v>6</v>
      </c>
      <c r="W77" s="401" t="str">
        <f t="shared" ref="W77" si="1643">CONCATENATE(U77," X ",V77)</f>
        <v>3C X 6</v>
      </c>
      <c r="X77" s="401" t="str">
        <f t="shared" si="1497"/>
        <v>3C X 6</v>
      </c>
      <c r="Y77" s="435" t="s">
        <v>358</v>
      </c>
      <c r="Z77" s="393">
        <f>IF(T77="AIR",VLOOKUP(W77,'Catalogue Aluminium'!$B$141:$G$173,2,FALSE),IF(T77="GROUND",VLOOKUP(W77,'Catalogue Aluminium'!$B$141:$G$173,3,FALSE),IF(T77="DUCT",VLOOKUP(W77,'Catalogue Aluminium'!$B$141:$G$173,4,FALSE),IF(T77="TRENCH",VLOOKUP(W77,'Catalogue Aluminium'!$B$141:$G$173,2,FALSE)))))</f>
        <v>51</v>
      </c>
      <c r="AA77" s="402">
        <f>VLOOKUP(W77,'Catalogue Aluminium'!$B$141:$G$173,5,FALSE)</f>
        <v>3.94</v>
      </c>
      <c r="AB77" s="402">
        <f>VLOOKUP(W77,'Catalogue Aluminium'!$B$141:$G$173,6,FALSE)</f>
        <v>9.0200000000000002E-2</v>
      </c>
      <c r="AC77" s="457">
        <v>20</v>
      </c>
      <c r="AD77" s="457">
        <v>920</v>
      </c>
      <c r="AE77" s="401">
        <v>20</v>
      </c>
      <c r="AF77" s="457">
        <v>8</v>
      </c>
      <c r="AG77" s="401">
        <f t="shared" ref="AG77" si="1644">ROUNDUP(SUM(AC77:AF77)*0.1,0)</f>
        <v>97</v>
      </c>
      <c r="AH77" s="436">
        <f t="shared" si="1284"/>
        <v>1070</v>
      </c>
      <c r="AI77" s="393">
        <f>IF(T77="AIR",'Catalogue Aluminium'!$K$141,IF(T77="TRENCH",'Catalogue Aluminium'!$K$144,"NA"))</f>
        <v>0.82</v>
      </c>
      <c r="AJ77" s="392">
        <f>IF(T77="Air",(IF(U77="1C",'Catalogue Aluminium'!$L$141,'Catalogue Aluminium'!$M$141)),IF(T77="DUCT",(IF($U77="1C",'Catalogue Aluminium'!$L$142,'Catalogue Aluminium'!$M$142)),IF(T77="GROUND",(IF($U77="1C",'Catalogue Aluminium'!$L$143,'Catalogue Aluminium'!$M$143)),IF(T77="TRENCH",(IF($U77="1C",'Catalogue Aluminium'!$L$144,'Catalogue Aluminium'!$M$144))))))</f>
        <v>0.73</v>
      </c>
      <c r="AK77" s="393" t="str">
        <f>IF(T77="Air",'Catalogue Aluminium'!$N$141,IF(T77="GROUND",'Catalogue Aluminium'!$N$142,IF(T77="DUCT",'Catalogue Aluminium'!$N$143,IF(T77="TRENCH",'Catalogue Aluminium'!$N$144,"NA"))))</f>
        <v>NA</v>
      </c>
      <c r="AL77" s="393" t="str">
        <f>IF(T77="Air",(IF(U77="1C",'Catalogue Aluminium'!$O$141,'Catalogue Aluminium'!$P$141)),IF(T77="DUCT",(IF($U77="1C",'Catalogue Aluminium'!$O$142,'Catalogue Aluminium'!$P$142)),IF(T77="GROUND",(IF($U77="1C",'Catalogue Aluminium'!$O$143,'Catalogue Aluminium'!$P$143)),IF(T77="TRENCH",(IF($U77="1C",'Catalogue Aluminium'!$O$144,'Catalogue Aluminium'!$P$144))))))</f>
        <v>NA</v>
      </c>
      <c r="AM77" s="393" t="str">
        <f>IF(T77="AIR","NA",IF(T77="TRENCH","NA",IF(T77="DUCT",IF(U77="1C",VLOOKUP(V77,'Catalogue Aluminium'!$Q$142:$S$153,2,FALSE),VLOOKUP(V77,'Catalogue Aluminium'!$Q$142:$S$153,3)),IF(T77="GROUND",IF(U77="1C",VLOOKUP(V77,'Catalogue Aluminium'!$Q$142:$S$153,2,FALSE),VLOOKUP(V77,'Catalogue Aluminium'!$Q$142:$S$153,3))))))</f>
        <v>NA</v>
      </c>
      <c r="AN77" s="404">
        <f t="shared" si="1499"/>
        <v>0.59859999999999991</v>
      </c>
      <c r="AO77" s="392">
        <f t="shared" si="1500"/>
        <v>30.528599999999994</v>
      </c>
      <c r="AP77" s="434">
        <f t="shared" si="1501"/>
        <v>1</v>
      </c>
      <c r="AQ77" s="418" t="str">
        <f t="shared" si="1502"/>
        <v>YES</v>
      </c>
      <c r="AR77" s="437">
        <f t="shared" si="1503"/>
        <v>2.2104011611817107</v>
      </c>
      <c r="AS77" s="401" t="str">
        <f t="shared" si="1504"/>
        <v>YES</v>
      </c>
      <c r="AT77" s="437" t="str">
        <f t="shared" si="1505"/>
        <v>NA</v>
      </c>
      <c r="AU77" s="401" t="str">
        <f t="shared" si="1506"/>
        <v>NA</v>
      </c>
      <c r="AV77" s="437" t="str">
        <f t="shared" si="1507"/>
        <v>1R x 6/10 (12)kV x 3C x 6 Sqmm</v>
      </c>
      <c r="AW77" s="437" t="str">
        <f t="shared" si="1508"/>
        <v>1R x 6/10 (12)kV x 3C x 6 Sqmm</v>
      </c>
      <c r="AX77" s="401">
        <f t="shared" si="1509"/>
        <v>1070</v>
      </c>
      <c r="AY77" s="401"/>
      <c r="AZ77" s="401">
        <f t="shared" si="1510"/>
        <v>2</v>
      </c>
      <c r="BA77" s="438" t="str">
        <f t="shared" si="1511"/>
        <v>H1IK</v>
      </c>
      <c r="BB77" s="390">
        <f>VLOOKUP(W77,'Catalogue Aluminium'!$B$141:$H$173,7,FALSE)</f>
        <v>16</v>
      </c>
      <c r="BC77" s="439">
        <f t="shared" si="1512"/>
        <v>16</v>
      </c>
      <c r="BE77" s="416"/>
      <c r="BF77" s="416"/>
      <c r="BG77" s="416"/>
      <c r="BH77" s="416"/>
      <c r="BI77" s="416"/>
      <c r="BJ77" s="416"/>
      <c r="BK77" s="416"/>
      <c r="BL77" s="416"/>
      <c r="BM77" s="416"/>
      <c r="BN77" s="416"/>
      <c r="BO77" s="416"/>
      <c r="BP77" s="416"/>
      <c r="BQ77" s="416"/>
      <c r="BR77" s="416"/>
      <c r="BS77" s="416"/>
      <c r="BT77" s="416"/>
      <c r="BU77" s="416"/>
      <c r="BV77" s="416"/>
      <c r="BW77" s="416"/>
      <c r="BX77" s="416"/>
      <c r="BY77" s="458">
        <v>1</v>
      </c>
      <c r="BZ77" s="341">
        <v>1</v>
      </c>
      <c r="CA77" s="341"/>
      <c r="CB77" s="341"/>
      <c r="CC77" s="341"/>
      <c r="CD77" s="416"/>
      <c r="CE77" s="341">
        <v>1</v>
      </c>
      <c r="CF77" s="416"/>
      <c r="CG77" s="416"/>
      <c r="CH77" s="416"/>
      <c r="CI77" s="416"/>
      <c r="CJ77" s="416"/>
      <c r="CK77" s="416"/>
      <c r="CL77" s="416"/>
      <c r="CM77" s="416"/>
      <c r="CN77" s="416"/>
      <c r="CO77" s="416"/>
      <c r="CP77" s="416"/>
      <c r="CQ77" s="416"/>
      <c r="CR77" s="416"/>
      <c r="CS77" s="416"/>
      <c r="CT77" s="416"/>
      <c r="CU77" s="416"/>
      <c r="CV77" s="416"/>
      <c r="CW77" s="416"/>
      <c r="CX77" s="416"/>
      <c r="CY77" s="416"/>
      <c r="CZ77" s="416"/>
      <c r="DA77" s="416"/>
      <c r="DB77" s="416"/>
      <c r="DC77" s="416"/>
      <c r="DD77" s="416"/>
      <c r="DE77" s="416"/>
      <c r="DF77" s="416"/>
      <c r="DG77" s="416"/>
      <c r="DH77" s="416"/>
      <c r="DI77" s="416"/>
      <c r="DJ77" s="416"/>
      <c r="DK77" s="416"/>
      <c r="DL77" s="416"/>
      <c r="DM77" s="416"/>
      <c r="DN77" s="416"/>
      <c r="DO77" s="416"/>
      <c r="DP77" s="416"/>
      <c r="DQ77" s="416"/>
      <c r="DR77" s="416"/>
      <c r="DS77" s="416"/>
      <c r="DT77" s="416"/>
      <c r="DU77" s="416"/>
      <c r="DW77" s="336">
        <f t="shared" ref="DW77" si="1645">IF(BE77=1,($BC77*BE77),0)</f>
        <v>0</v>
      </c>
      <c r="DX77" s="336">
        <f t="shared" ref="DX77" si="1646">IF(BF77=1,($BC77*BF77),0)</f>
        <v>0</v>
      </c>
      <c r="DY77" s="336">
        <f t="shared" ref="DY77" si="1647">IF(BG77=1,($BC77*BG77),0)</f>
        <v>0</v>
      </c>
      <c r="DZ77" s="336">
        <f t="shared" ref="DZ77" si="1648">IF(BH77=1,($BC77*BH77),0)</f>
        <v>0</v>
      </c>
      <c r="EA77" s="336">
        <f t="shared" ref="EA77" si="1649">IF(BI77=1,($BC77*BI77),0)</f>
        <v>0</v>
      </c>
      <c r="EB77" s="336">
        <f t="shared" ref="EB77" si="1650">IF(BJ77=1,($BC77*BJ77),0)</f>
        <v>0</v>
      </c>
      <c r="EC77" s="336">
        <f t="shared" ref="EC77" si="1651">IF(BK77=1,($BC77*BK77),0)</f>
        <v>0</v>
      </c>
      <c r="ED77" s="336">
        <f t="shared" ref="ED77" si="1652">IF(BL77=1,($BC77*BL77),0)</f>
        <v>0</v>
      </c>
      <c r="EE77" s="336">
        <f t="shared" ref="EE77" si="1653">IF(BM77=1,($BC77*BM77),0)</f>
        <v>0</v>
      </c>
      <c r="EF77" s="336">
        <f t="shared" ref="EF77" si="1654">IF(BN77=1,($BC77*BN77),0)</f>
        <v>0</v>
      </c>
      <c r="EG77" s="336">
        <f t="shared" ref="EG77" si="1655">IF(BO77=1,($BC77*BO77),0)</f>
        <v>0</v>
      </c>
      <c r="EH77" s="336">
        <f t="shared" ref="EH77" si="1656">IF(BP77=1,($BC77*BP77),0)</f>
        <v>0</v>
      </c>
      <c r="EI77" s="336">
        <f t="shared" ref="EI77" si="1657">IF(BQ77=1,($BC77*BQ77),0)</f>
        <v>0</v>
      </c>
      <c r="EJ77" s="336">
        <f t="shared" ref="EJ77" si="1658">IF(BR77=1,($BC77*BR77),0)</f>
        <v>0</v>
      </c>
      <c r="EK77" s="336">
        <f t="shared" ref="EK77" si="1659">IF(BS77=1,($BC77*BS77),0)</f>
        <v>0</v>
      </c>
      <c r="EL77" s="336">
        <f t="shared" ref="EL77" si="1660">IF(BT77=1,($BC77*BT77),0)</f>
        <v>0</v>
      </c>
      <c r="EM77" s="336">
        <f t="shared" ref="EM77" si="1661">IF(BU77=1,($BC77*BU77),0)</f>
        <v>0</v>
      </c>
      <c r="EN77" s="336">
        <f t="shared" ref="EN77" si="1662">IF(BV77=1,($BC77*BV77),0)</f>
        <v>0</v>
      </c>
      <c r="EO77" s="336">
        <f t="shared" ref="EO77" si="1663">IF(BW77=1,($BC77*BW77),0)</f>
        <v>0</v>
      </c>
      <c r="EP77" s="336">
        <f t="shared" ref="EP77" si="1664">IF(BX77=1,($BC77*BX77),0)</f>
        <v>0</v>
      </c>
      <c r="EQ77" s="336">
        <f t="shared" ref="EQ77" si="1665">IF(BY77=1,($BC77*BY77),0)</f>
        <v>16</v>
      </c>
      <c r="ER77" s="336">
        <f t="shared" ref="ER77" si="1666">IF(BZ77=1,($BC77*BZ77),0)</f>
        <v>16</v>
      </c>
      <c r="ES77" s="336">
        <f t="shared" ref="ES77" si="1667">IF(CA77=1,($BC77*CA77),0)</f>
        <v>0</v>
      </c>
      <c r="ET77" s="336">
        <f t="shared" si="1451"/>
        <v>0</v>
      </c>
      <c r="EU77" s="336">
        <f t="shared" si="1452"/>
        <v>0</v>
      </c>
      <c r="EV77" s="336">
        <f t="shared" ref="EV77" si="1668">IF(CD77=1,($BC77*CD77),0)</f>
        <v>0</v>
      </c>
      <c r="EW77" s="336">
        <f t="shared" ref="EW77" si="1669">IF(CE77=1,($BC77*CE77),0)</f>
        <v>16</v>
      </c>
      <c r="EX77" s="336">
        <f t="shared" ref="EX77" si="1670">IF(CF77=1,($BC77*CF77),0)</f>
        <v>0</v>
      </c>
      <c r="EY77" s="336">
        <f t="shared" ref="EY77" si="1671">IF(CG77=1,($BC77*CG77),0)</f>
        <v>0</v>
      </c>
      <c r="EZ77" s="336">
        <f t="shared" ref="EZ77" si="1672">IF(CH77=1,($BC77*CH77),0)</f>
        <v>0</v>
      </c>
      <c r="FA77" s="336">
        <f t="shared" ref="FA77" si="1673">IF(CI77=1,($BC77*CI77),0)</f>
        <v>0</v>
      </c>
      <c r="FB77" s="336">
        <f t="shared" ref="FB77" si="1674">IF(CJ77=1,($BC77*CJ77),0)</f>
        <v>0</v>
      </c>
      <c r="FC77" s="336">
        <f t="shared" ref="FC77" si="1675">IF(CK77=1,($BC77*CK77),0)</f>
        <v>0</v>
      </c>
      <c r="FD77" s="336">
        <f t="shared" ref="FD77" si="1676">IF(CL77=1,($BC77*CL77),0)</f>
        <v>0</v>
      </c>
      <c r="FE77" s="336">
        <f t="shared" ref="FE77" si="1677">IF(CM77=1,($BC77*CM77),0)</f>
        <v>0</v>
      </c>
      <c r="FF77" s="336">
        <f t="shared" ref="FF77" si="1678">IF(CN77=1,($BC77*CN77),0)</f>
        <v>0</v>
      </c>
      <c r="FG77" s="336">
        <f t="shared" ref="FG77" si="1679">IF(CO77=1,($BC77*CO77),0)</f>
        <v>0</v>
      </c>
      <c r="FH77" s="336">
        <f t="shared" ref="FH77" si="1680">IF(CP77=1,($BC77*CP77),0)</f>
        <v>0</v>
      </c>
      <c r="FI77" s="336">
        <f t="shared" ref="FI77" si="1681">IF(CQ77=1,($BC77*CQ77),0)</f>
        <v>0</v>
      </c>
      <c r="FJ77" s="336">
        <f t="shared" ref="FJ77" si="1682">IF(CR77=1,($BC77*CR77),0)</f>
        <v>0</v>
      </c>
      <c r="FK77" s="336">
        <f t="shared" ref="FK77" si="1683">IF(CS77=1,($BC77*CS77),0)</f>
        <v>0</v>
      </c>
      <c r="FL77" s="336">
        <f t="shared" ref="FL77" si="1684">IF(CT77=1,($BC77*CT77),0)</f>
        <v>0</v>
      </c>
      <c r="FM77" s="336">
        <f t="shared" ref="FM77" si="1685">IF(CU77=1,($BC77*CU77),0)</f>
        <v>0</v>
      </c>
      <c r="FN77" s="336">
        <f t="shared" ref="FN77" si="1686">IF(CV77=1,($BC77*CV77),0)</f>
        <v>0</v>
      </c>
      <c r="FO77" s="336">
        <f t="shared" ref="FO77" si="1687">IF(CW77=1,($BC77*CW77),0)</f>
        <v>0</v>
      </c>
      <c r="FP77" s="336">
        <f t="shared" ref="FP77" si="1688">IF(CX77=1,($BC77*CX77),0)</f>
        <v>0</v>
      </c>
      <c r="FQ77" s="336">
        <f t="shared" ref="FQ77" si="1689">IF(CY77=1,($BC77*CY77),0)</f>
        <v>0</v>
      </c>
      <c r="FR77" s="336">
        <f t="shared" ref="FR77" si="1690">IF(CZ77=1,($BC77*CZ77),0)</f>
        <v>0</v>
      </c>
      <c r="FS77" s="336">
        <f t="shared" ref="FS77" si="1691">IF(DA77=1,($BC77*DA77),0)</f>
        <v>0</v>
      </c>
      <c r="FT77" s="336">
        <f t="shared" ref="FT77" si="1692">IF(DB77=1,($BC77*DB77),0)</f>
        <v>0</v>
      </c>
      <c r="FU77" s="336">
        <f t="shared" si="1216"/>
        <v>0</v>
      </c>
      <c r="FV77" s="336">
        <f t="shared" si="1217"/>
        <v>0</v>
      </c>
      <c r="FW77" s="336">
        <f t="shared" si="1218"/>
        <v>0</v>
      </c>
      <c r="FX77" s="336">
        <f t="shared" si="1219"/>
        <v>0</v>
      </c>
      <c r="FY77" s="336">
        <f t="shared" ref="FY77" si="1693">IF(DG77=1,($BC77*DG77),0)</f>
        <v>0</v>
      </c>
      <c r="FZ77" s="336">
        <f t="shared" ref="FZ77" si="1694">IF(DH77=1,($BC77*DH77),0)</f>
        <v>0</v>
      </c>
      <c r="GA77" s="336">
        <f t="shared" ref="GA77" si="1695">IF(DI77=1,($BC77*DI77),0)</f>
        <v>0</v>
      </c>
      <c r="GB77" s="336">
        <f t="shared" ref="GB77" si="1696">IF(DJ77=1,($BC77*DJ77),0)</f>
        <v>0</v>
      </c>
      <c r="GC77" s="336">
        <f t="shared" ref="GC77" si="1697">IF(DK77=1,($BC77*DK77),0)</f>
        <v>0</v>
      </c>
      <c r="GD77" s="336">
        <f t="shared" ref="GD77" si="1698">IF(DL77=1,($BC77*DL77),0)</f>
        <v>0</v>
      </c>
      <c r="GE77" s="336">
        <f t="shared" ref="GE77" si="1699">IF(DM77=1,($BC77*DM77),0)</f>
        <v>0</v>
      </c>
      <c r="GF77" s="336">
        <f t="shared" ref="GF77" si="1700">IF(DN77=1,($BC77*DN77),0)</f>
        <v>0</v>
      </c>
      <c r="GG77" s="336">
        <f t="shared" ref="GG77" si="1701">IF(DO77=1,($BC77*DO77),0)</f>
        <v>0</v>
      </c>
      <c r="GH77" s="336">
        <f t="shared" ref="GH77" si="1702">IF(DP77=1,($BC77*DP77),0)</f>
        <v>0</v>
      </c>
      <c r="GI77" s="336">
        <f t="shared" ref="GI77" si="1703">IF(DQ77=1,($BC77*DQ77),0)</f>
        <v>0</v>
      </c>
      <c r="GJ77" s="336">
        <f t="shared" ref="GJ77" si="1704">IF(DR77=1,($BC77*DR77),0)</f>
        <v>0</v>
      </c>
      <c r="GK77" s="336">
        <f t="shared" ref="GK77" si="1705">IF(DS77=1,($BC77*DS77),0)</f>
        <v>0</v>
      </c>
      <c r="GL77" s="336">
        <f t="shared" si="1641"/>
        <v>0</v>
      </c>
      <c r="GM77" s="336">
        <f t="shared" ref="GM77" si="1706">IF(DU77=1,($BC77*DU77),0)</f>
        <v>0</v>
      </c>
    </row>
    <row r="78" spans="1:195" s="36" customFormat="1" ht="26.25" customHeight="1">
      <c r="A78" s="446"/>
      <c r="B78" s="447"/>
      <c r="C78" s="447"/>
      <c r="D78" s="448" t="s">
        <v>458</v>
      </c>
      <c r="E78" s="449"/>
      <c r="F78" s="449"/>
      <c r="G78" s="450"/>
      <c r="H78" s="382"/>
      <c r="I78" s="373"/>
      <c r="J78" s="373"/>
      <c r="K78" s="373"/>
      <c r="L78" s="446"/>
      <c r="M78" s="446"/>
      <c r="N78" s="446"/>
      <c r="O78" s="446"/>
      <c r="P78" s="446"/>
      <c r="Q78" s="446"/>
      <c r="R78" s="446"/>
      <c r="S78" s="446"/>
      <c r="T78" s="446"/>
      <c r="U78" s="446"/>
      <c r="V78" s="446"/>
      <c r="W78" s="446"/>
      <c r="X78" s="446"/>
      <c r="Y78" s="446"/>
      <c r="Z78" s="446"/>
      <c r="AA78" s="446"/>
      <c r="AB78" s="446"/>
      <c r="AC78" s="446"/>
      <c r="AD78" s="446"/>
      <c r="AE78" s="446"/>
      <c r="AF78" s="446"/>
      <c r="AG78" s="446"/>
      <c r="AH78" s="446"/>
      <c r="AI78" s="446"/>
      <c r="AJ78" s="446"/>
      <c r="AK78" s="446"/>
      <c r="AL78" s="446"/>
      <c r="AM78" s="446"/>
      <c r="AN78" s="446"/>
      <c r="AO78" s="446"/>
      <c r="AP78" s="446"/>
      <c r="AQ78" s="446"/>
      <c r="AR78" s="446"/>
      <c r="AS78" s="446"/>
      <c r="AT78" s="446"/>
      <c r="AU78" s="446"/>
      <c r="AV78" s="446"/>
      <c r="AW78" s="446"/>
      <c r="AX78" s="446"/>
      <c r="AY78" s="446"/>
      <c r="AZ78" s="452"/>
      <c r="BA78" s="446"/>
      <c r="BB78" s="446"/>
      <c r="BC78" s="446"/>
      <c r="BE78" s="449"/>
      <c r="BF78" s="449"/>
      <c r="BG78" s="449"/>
      <c r="BH78" s="449"/>
      <c r="BI78" s="449"/>
      <c r="BJ78" s="449"/>
      <c r="BK78" s="449"/>
      <c r="BL78" s="449"/>
      <c r="BM78" s="449"/>
      <c r="BN78" s="449"/>
      <c r="BO78" s="449"/>
      <c r="BP78" s="449"/>
      <c r="BQ78" s="449"/>
      <c r="BR78" s="449"/>
      <c r="BS78" s="449"/>
      <c r="BT78" s="449"/>
      <c r="BU78" s="449"/>
      <c r="BV78" s="449"/>
      <c r="BW78" s="449"/>
      <c r="BX78" s="449"/>
      <c r="BY78" s="449"/>
      <c r="BZ78" s="449"/>
      <c r="CA78" s="449"/>
      <c r="CB78" s="449"/>
      <c r="CC78" s="449"/>
      <c r="CD78" s="449"/>
      <c r="CE78" s="449"/>
      <c r="CF78" s="449"/>
      <c r="CG78" s="449"/>
      <c r="CH78" s="449"/>
      <c r="CI78" s="449"/>
      <c r="CJ78" s="449"/>
      <c r="CK78" s="449"/>
      <c r="CL78" s="449"/>
      <c r="CM78" s="449"/>
      <c r="CN78" s="449"/>
      <c r="CO78" s="449"/>
      <c r="CP78" s="449"/>
      <c r="CQ78" s="449"/>
      <c r="CR78" s="449"/>
      <c r="CS78" s="449"/>
      <c r="CT78" s="449"/>
      <c r="CU78" s="449"/>
      <c r="CV78" s="449"/>
      <c r="CW78" s="449"/>
      <c r="CX78" s="449"/>
      <c r="CY78" s="449"/>
      <c r="CZ78" s="449"/>
      <c r="DA78" s="449"/>
      <c r="DB78" s="449"/>
      <c r="DC78" s="449"/>
      <c r="DD78" s="449"/>
      <c r="DE78" s="449"/>
      <c r="DF78" s="449"/>
      <c r="DG78" s="449"/>
      <c r="DH78" s="449"/>
      <c r="DI78" s="449"/>
      <c r="DJ78" s="449"/>
      <c r="DK78" s="449"/>
      <c r="DL78" s="449"/>
      <c r="DM78" s="449"/>
      <c r="DN78" s="449"/>
      <c r="DO78" s="449"/>
      <c r="DP78" s="449"/>
      <c r="DQ78" s="449"/>
      <c r="DR78" s="449"/>
      <c r="DS78" s="449"/>
      <c r="DT78" s="449"/>
      <c r="DU78" s="449"/>
      <c r="DV78" s="61"/>
      <c r="DW78" s="336">
        <f t="shared" si="81"/>
        <v>0</v>
      </c>
      <c r="DX78" s="336">
        <f t="shared" si="0"/>
        <v>0</v>
      </c>
      <c r="DY78" s="336">
        <f t="shared" si="1"/>
        <v>0</v>
      </c>
      <c r="DZ78" s="336">
        <f t="shared" si="2"/>
        <v>0</v>
      </c>
      <c r="EA78" s="336">
        <f t="shared" si="3"/>
        <v>0</v>
      </c>
      <c r="EB78" s="336">
        <f t="shared" si="4"/>
        <v>0</v>
      </c>
      <c r="EC78" s="336">
        <f t="shared" si="5"/>
        <v>0</v>
      </c>
      <c r="ED78" s="336">
        <f t="shared" si="6"/>
        <v>0</v>
      </c>
      <c r="EE78" s="336">
        <f t="shared" si="7"/>
        <v>0</v>
      </c>
      <c r="EF78" s="336">
        <f t="shared" si="8"/>
        <v>0</v>
      </c>
      <c r="EG78" s="336">
        <f t="shared" si="9"/>
        <v>0</v>
      </c>
      <c r="EH78" s="336">
        <f t="shared" si="10"/>
        <v>0</v>
      </c>
      <c r="EI78" s="336">
        <f t="shared" si="11"/>
        <v>0</v>
      </c>
      <c r="EJ78" s="336">
        <f t="shared" si="12"/>
        <v>0</v>
      </c>
      <c r="EK78" s="336">
        <f t="shared" si="13"/>
        <v>0</v>
      </c>
      <c r="EL78" s="336">
        <f t="shared" si="14"/>
        <v>0</v>
      </c>
      <c r="EM78" s="336">
        <f t="shared" si="15"/>
        <v>0</v>
      </c>
      <c r="EN78" s="336">
        <f t="shared" si="16"/>
        <v>0</v>
      </c>
      <c r="EO78" s="336">
        <f t="shared" si="17"/>
        <v>0</v>
      </c>
      <c r="EP78" s="336">
        <f t="shared" si="18"/>
        <v>0</v>
      </c>
      <c r="EQ78" s="336">
        <f t="shared" si="19"/>
        <v>0</v>
      </c>
      <c r="ER78" s="336">
        <f t="shared" si="20"/>
        <v>0</v>
      </c>
      <c r="ES78" s="336">
        <f t="shared" si="21"/>
        <v>0</v>
      </c>
      <c r="ET78" s="336">
        <f t="shared" si="1451"/>
        <v>0</v>
      </c>
      <c r="EU78" s="336">
        <f t="shared" si="1452"/>
        <v>0</v>
      </c>
      <c r="EV78" s="336">
        <f t="shared" si="24"/>
        <v>0</v>
      </c>
      <c r="EW78" s="336">
        <f t="shared" si="25"/>
        <v>0</v>
      </c>
      <c r="EX78" s="336">
        <f t="shared" si="26"/>
        <v>0</v>
      </c>
      <c r="EY78" s="336">
        <f t="shared" si="27"/>
        <v>0</v>
      </c>
      <c r="EZ78" s="336">
        <f t="shared" si="28"/>
        <v>0</v>
      </c>
      <c r="FA78" s="336">
        <f t="shared" si="29"/>
        <v>0</v>
      </c>
      <c r="FB78" s="336">
        <f t="shared" si="30"/>
        <v>0</v>
      </c>
      <c r="FC78" s="336">
        <f t="shared" si="31"/>
        <v>0</v>
      </c>
      <c r="FD78" s="336">
        <f t="shared" si="32"/>
        <v>0</v>
      </c>
      <c r="FE78" s="336">
        <f t="shared" si="33"/>
        <v>0</v>
      </c>
      <c r="FF78" s="336">
        <f t="shared" si="34"/>
        <v>0</v>
      </c>
      <c r="FG78" s="336">
        <f t="shared" si="35"/>
        <v>0</v>
      </c>
      <c r="FH78" s="336">
        <f t="shared" si="36"/>
        <v>0</v>
      </c>
      <c r="FI78" s="336">
        <f t="shared" si="37"/>
        <v>0</v>
      </c>
      <c r="FJ78" s="336">
        <f t="shared" si="38"/>
        <v>0</v>
      </c>
      <c r="FK78" s="336">
        <f t="shared" si="39"/>
        <v>0</v>
      </c>
      <c r="FL78" s="336">
        <f t="shared" si="40"/>
        <v>0</v>
      </c>
      <c r="FM78" s="336">
        <f t="shared" si="41"/>
        <v>0</v>
      </c>
      <c r="FN78" s="336">
        <f t="shared" si="42"/>
        <v>0</v>
      </c>
      <c r="FO78" s="336">
        <f t="shared" si="43"/>
        <v>0</v>
      </c>
      <c r="FP78" s="336">
        <f t="shared" si="44"/>
        <v>0</v>
      </c>
      <c r="FQ78" s="336">
        <f t="shared" si="45"/>
        <v>0</v>
      </c>
      <c r="FR78" s="336">
        <f t="shared" si="46"/>
        <v>0</v>
      </c>
      <c r="FS78" s="336">
        <f t="shared" si="47"/>
        <v>0</v>
      </c>
      <c r="FT78" s="336">
        <f t="shared" si="48"/>
        <v>0</v>
      </c>
      <c r="FU78" s="336">
        <f t="shared" si="1216"/>
        <v>0</v>
      </c>
      <c r="FV78" s="336">
        <f t="shared" si="1217"/>
        <v>0</v>
      </c>
      <c r="FW78" s="336">
        <f t="shared" si="1218"/>
        <v>0</v>
      </c>
      <c r="FX78" s="336">
        <f t="shared" si="1219"/>
        <v>0</v>
      </c>
      <c r="FY78" s="336">
        <f t="shared" si="53"/>
        <v>0</v>
      </c>
      <c r="FZ78" s="336">
        <f t="shared" si="54"/>
        <v>0</v>
      </c>
      <c r="GA78" s="336">
        <f t="shared" si="55"/>
        <v>0</v>
      </c>
      <c r="GB78" s="336">
        <f t="shared" si="56"/>
        <v>0</v>
      </c>
      <c r="GC78" s="336">
        <f t="shared" si="57"/>
        <v>0</v>
      </c>
      <c r="GD78" s="336">
        <f t="shared" si="58"/>
        <v>0</v>
      </c>
      <c r="GE78" s="336">
        <f t="shared" si="59"/>
        <v>0</v>
      </c>
      <c r="GF78" s="336">
        <f t="shared" si="60"/>
        <v>0</v>
      </c>
      <c r="GG78" s="336">
        <f t="shared" si="61"/>
        <v>0</v>
      </c>
      <c r="GH78" s="336">
        <f t="shared" si="62"/>
        <v>0</v>
      </c>
      <c r="GI78" s="336">
        <f t="shared" si="63"/>
        <v>0</v>
      </c>
      <c r="GJ78" s="336">
        <f t="shared" si="64"/>
        <v>0</v>
      </c>
      <c r="GK78" s="336">
        <f>IF(DS78=1,($BC78*DS78),0)</f>
        <v>0</v>
      </c>
      <c r="GL78" s="336">
        <f t="shared" si="1641"/>
        <v>0</v>
      </c>
      <c r="GM78" s="336">
        <f t="shared" si="66"/>
        <v>0</v>
      </c>
    </row>
    <row r="79" spans="1:195" ht="35.25" customHeight="1">
      <c r="A79" s="337">
        <f>A77+1</f>
        <v>62</v>
      </c>
      <c r="B79" s="372" t="s">
        <v>459</v>
      </c>
      <c r="C79" s="337" t="str">
        <f t="shared" ref="C79:C80" si="1707">$D$63</f>
        <v>11kV MV Switchgear-3</v>
      </c>
      <c r="D79" s="440" t="s">
        <v>460</v>
      </c>
      <c r="E79" s="416" t="s">
        <v>461</v>
      </c>
      <c r="F79" s="337" t="s">
        <v>28</v>
      </c>
      <c r="G79" s="340" t="s">
        <v>329</v>
      </c>
      <c r="H79" s="418">
        <v>1317.42</v>
      </c>
      <c r="I79" s="337" t="s">
        <v>330</v>
      </c>
      <c r="J79" s="337" t="s">
        <v>331</v>
      </c>
      <c r="K79" s="341">
        <v>11000</v>
      </c>
      <c r="L79" s="342">
        <v>0.84225351123548098</v>
      </c>
      <c r="M79" s="342">
        <v>0.9</v>
      </c>
      <c r="N79" s="342">
        <f t="shared" ref="N79:N82" si="1708">IF(I79="kVA",IF(J79="3Ph",(H79*1000/(1.732*M79*K79)),(H79*1000/(M79*K79))),IF(I79="kW",IF(J79="3Ph",(H79*1000/(1.732*M79*K79*L79)),(H79*1000/(M79*K79*L79)))))</f>
        <v>91.221737463226503</v>
      </c>
      <c r="O79" s="342">
        <f t="shared" ref="O79:O80" si="1709">IF(G79="MOTOR",(6*N79),IF(G79="VFD",(1*N79),0))</f>
        <v>0</v>
      </c>
      <c r="P79" s="343" t="str">
        <f t="shared" ref="P79:P80" si="1710">IF(G79="MOTOR",0.2,"0.00")</f>
        <v>0.00</v>
      </c>
      <c r="Q79" s="342">
        <v>31.5</v>
      </c>
      <c r="R79" s="342">
        <v>0.16</v>
      </c>
      <c r="S79" s="342">
        <f t="shared" ref="S79:S80" si="1711">(Q79*1000*SQRT(R79)/94)</f>
        <v>134.04255319148936</v>
      </c>
      <c r="T79" s="344" t="s">
        <v>131</v>
      </c>
      <c r="U79" s="342" t="s">
        <v>333</v>
      </c>
      <c r="V79" s="344">
        <v>150</v>
      </c>
      <c r="W79" s="343" t="str">
        <f t="shared" ref="W79:W80" si="1712">CONCATENATE(U79," X ",V79)</f>
        <v>3C X 150</v>
      </c>
      <c r="X79" s="343" t="str">
        <f t="shared" ref="X79:X80" si="1713">(IF(J79="1Ph",W79,IF(J79="3Ph",(IF(G79="MOTOR",(CONCATENATE(W79,"+PE")),W79)))))</f>
        <v>3C X 150</v>
      </c>
      <c r="Y79" s="419" t="s">
        <v>346</v>
      </c>
      <c r="Z79" s="344">
        <f>IF(T79="AIR",VLOOKUP(W79,'Catalogue Aluminium'!$B$141:$G$173,2,FALSE),IF(T79="GROUND",VLOOKUP(W79,'Catalogue Aluminium'!$B$141:$G$173,3,FALSE),IF(T79="DUCT",VLOOKUP(W79,'Catalogue Aluminium'!$B$141:$G$173,4,FALSE),IF(T79="TRENCH",VLOOKUP(W79,'Catalogue Aluminium'!$B$141:$G$173,2,FALSE)))))</f>
        <v>309</v>
      </c>
      <c r="AA79" s="345">
        <f>VLOOKUP(W79,'Catalogue Aluminium'!$B$141:$G$173,5,FALSE)</f>
        <v>0.26500000000000001</v>
      </c>
      <c r="AB79" s="345">
        <f>VLOOKUP(W79,'Catalogue Aluminium'!$B$141:$G$173,6,FALSE)</f>
        <v>9.2999999999999999E-2</v>
      </c>
      <c r="AC79" s="346">
        <v>26</v>
      </c>
      <c r="AD79" s="343">
        <v>10</v>
      </c>
      <c r="AE79" s="343">
        <v>5</v>
      </c>
      <c r="AF79" s="343">
        <v>8</v>
      </c>
      <c r="AG79" s="343">
        <f t="shared" ref="AG79:AG80" si="1714">ROUNDUP(SUM(AC79:AF79)*0.1,0)</f>
        <v>5</v>
      </c>
      <c r="AH79" s="347">
        <f t="shared" si="1284"/>
        <v>60</v>
      </c>
      <c r="AI79" s="344">
        <f>IF(T79="AIR",'Catalogue Aluminium'!$K$141,IF(T79="TRENCH",'Catalogue Aluminium'!$K$144,"NA"))</f>
        <v>0.82</v>
      </c>
      <c r="AJ79" s="342">
        <f>IF(T79="Air",(IF(U79="1C",'Catalogue Aluminium'!$L$141,'Catalogue Aluminium'!$M$141)),IF(T79="DUCT",(IF($U79="1C",'Catalogue Aluminium'!$L$142,'Catalogue Aluminium'!$M$142)),IF(T79="GROUND",(IF($U79="1C",'Catalogue Aluminium'!$L$143,'Catalogue Aluminium'!$M$143)),IF(T79="TRENCH",(IF($U79="1C",'Catalogue Aluminium'!$L$144,'Catalogue Aluminium'!$M$144))))))</f>
        <v>0.73</v>
      </c>
      <c r="AK79" s="344" t="str">
        <f>IF(T79="Air",'Catalogue Aluminium'!$N$141,IF(T79="GROUND",'Catalogue Aluminium'!$N$142,IF(T79="DUCT",'Catalogue Aluminium'!$N$143,IF(T79="TRENCH",'Catalogue Aluminium'!$N$144,"NA"))))</f>
        <v>NA</v>
      </c>
      <c r="AL79" s="344" t="str">
        <f>IF(T79="Air",(IF(U79="1C",'Catalogue Aluminium'!$O$141,'Catalogue Aluminium'!$P$141)),IF(T79="DUCT",(IF($U79="1C",'Catalogue Aluminium'!$O$142,'Catalogue Aluminium'!$P$142)),IF(T79="GROUND",(IF($U79="1C",'Catalogue Aluminium'!$O$143,'Catalogue Aluminium'!$P$143)),IF(T79="TRENCH",(IF($U79="1C",'Catalogue Aluminium'!$O$144,'Catalogue Aluminium'!$P$144))))))</f>
        <v>NA</v>
      </c>
      <c r="AM79" s="344" t="str">
        <f>IF(T79="AIR","NA",IF(T79="TRENCH","NA",IF(T79="DUCT",IF(U79="1C",VLOOKUP(V79,'Catalogue Aluminium'!$Q$142:$S$153,2,FALSE),VLOOKUP(V79,'Catalogue Aluminium'!$Q$142:$S$153,3)),IF(T79="GROUND",IF(U79="1C",VLOOKUP(V79,'Catalogue Aluminium'!$Q$142:$S$153,2,FALSE),VLOOKUP(V79,'Catalogue Aluminium'!$Q$142:$S$153,3))))))</f>
        <v>NA</v>
      </c>
      <c r="AN79" s="348">
        <f>IF(T79="AIR",AI79*AJ79,IF(T79="TRENCH",AI79*AJ79,IF(T79="DUCT",AJ79*AK79*AL79*AM79,IF(T79="GROUND",AJ79*AK79*AL79*AM79))))</f>
        <v>0.59859999999999991</v>
      </c>
      <c r="AO79" s="342">
        <f>Z79*AN79</f>
        <v>184.96739999999997</v>
      </c>
      <c r="AP79" s="349">
        <f>CEILING(((N79)/AO79),1)</f>
        <v>1</v>
      </c>
      <c r="AQ79" s="350" t="str">
        <f>IF(AO79*AP79&gt;=N79,"YES","NO")</f>
        <v>YES</v>
      </c>
      <c r="AR79" s="351">
        <f>SQRT(3)*AH79*N79*((AA79*L79)+(AB79*SIN(ACOS(L79))))*100/(AP79*K79*1000)</f>
        <v>2.3556331208645354E-2</v>
      </c>
      <c r="AS79" s="343" t="str">
        <f t="shared" ref="AS79:AS80" si="1715">IF(G79="INCOMER",(IF(AR79&lt;=2,"YES","NO")),IF(G79="POWER",(IF(AR79&lt;=2.5,"YES","NO")),IF(G79="MOTOR",(IF(AR79&lt;=3,"YES","NO")))))</f>
        <v>YES</v>
      </c>
      <c r="AT79" s="351" t="str">
        <f>IF(G79="MOTOR",(SQRT(3)*AH79*O79*((AA79*P79)+(AB79*SIN(ACOS(P79))))*100/(AP79*K79*1000)),"NA")</f>
        <v>NA</v>
      </c>
      <c r="AU79" s="343" t="str">
        <f>IF(G79="MOTOR",IF(AT79&lt;=15,"YES","NO"),"NA")</f>
        <v>NA</v>
      </c>
      <c r="AV79" s="351" t="str">
        <f>IF(U79="1C",CONCATENATE(AP79,"R x ",Y79,"kV x ",U79," x ",V79," Sqmm/Phase"),CONCATENATE(AP79,"R x ","6/10 (12)kV x ",U79," x ",V79," Sqmm"))</f>
        <v>1R x 6/10 (12)kV x 3C x 150 Sqmm</v>
      </c>
      <c r="AW79" s="351" t="str">
        <f t="shared" si="1508"/>
        <v>1R x 6/10 (12)kV x 3C x 150 Sqmm</v>
      </c>
      <c r="AX79" s="343">
        <f>IF(U79="1C",(3*AH79*AP79),(AH79*AP79))</f>
        <v>60</v>
      </c>
      <c r="AY79" s="343"/>
      <c r="AZ79" s="343">
        <f>IF(U79="1C",(3*AP79*2),(AP79*2))</f>
        <v>2</v>
      </c>
      <c r="BA79" s="356" t="str">
        <f t="shared" ref="BA79:BA80" si="1716">CONCATENATE(IF(BE79=1,BE$4,""),IF(BF79=1,BF$4,""),IF(BG79=1,BG$4,""),IF(BH79=1,BH$4,""),IF(BI79=1,BI$4,""),IF(BJ79=1,BJ$4,""),IF(BK79=1,BK$4,""),IF(BL79=1,BL$4,""),IF(BM79=1,BM$4,""),IF(BN79=1,BN$4,""),IF(BO79=1,BO$4,""),IF(BP79=1,BP$4,""),IF(BQ79=1,BQ$4,""),IF(BR79=1,BR$4,""),IF(BS79=1,BS$4,""),IF(BT79=1,BT$4,""),IF(BU79=1,BU$4,""),IF(BV79=1,BV$4,""),IF(BW79=1,BW$4,""),IF(BX79=1,BX$4,""),IF(BY79=1,BY$4,""),IF(BZ79=1,BZ$4,""),IF(CA79=1,CA$4,""),IF(CB79=1,CB$4,""),IF(CC79=1,CC$4,""),IF(CD79=1,CD$4,""),IF(CE79=1,CE$4,""),IF(CF79=1,CF$4,""),IF(CG79=1,CG$4,""),IF(CH79=1,CH$4,""),IF(CI79=1,CI$4,""),IF(CJ79=1,CJ$4,""),IF(CK79=1,CK$4,""),IF(CL79=1,CL$4,""),IF(CM79=1,CM$4,""),IF(CN79=1,CN$4,""),IF(CO79=1,CO$4,""),IF(CP79=1,CP$4,""),IF(CQ79=1,CQ$4,""),IF(CR79=1,CR$4,""),IF(CS79=1,CS$4,""),IF(CT79=1,CT$4,""),IF(CU79=1,CU$4,""),IF(CV79=1,CV$4,""),IF(CW79=1,CW$4,""),IF(CX79=1,CX$4,""),IF(CY79=1,CY$4,""),IF(CZ79=1,CZ$4,""),IF(DA79=1,DA$4,""),IF(DB79=1,DB$4,""),IF(DC79=1,DC$4,""),IF(DD79=1,DD$4,""),IF(DE79=1,DE$4,""),IF(DF79=1,DF$4,""),IF(DG79=1,DG$4,""),IF(DH79=1,DH$4,""),IF(DI79=1,DI$4,""),IF(DJ79=1,DJ$4,""),IF(DK79=1,DK$4,""),IF(DL79=1,DL$4,""),IF(DM79=1,DM$4,""),IF(DN79=1,DN$4,""),IF(DO79=1,DO$4,""),IF(DP79=1,DP$4,""),IF(DQ79=1,DQ$4,""),IF(DR79=1,DR$4,""),IF(DS79=1,DS$4,""),IF(DT79=1,DT$4,""),IF(DU79=1,DU$4,""))</f>
        <v>H1</v>
      </c>
      <c r="BB79" s="340">
        <f>VLOOKUP(W79,'Catalogue Aluminium'!$B$141:$H$173,7,FALSE)</f>
        <v>62</v>
      </c>
      <c r="BC79" s="328">
        <f>AP79*BB79</f>
        <v>62</v>
      </c>
      <c r="BE79" s="416"/>
      <c r="BF79" s="416"/>
      <c r="BG79" s="416"/>
      <c r="BH79" s="416"/>
      <c r="BI79" s="416"/>
      <c r="BJ79" s="416"/>
      <c r="BK79" s="416"/>
      <c r="BL79" s="416"/>
      <c r="BM79" s="416"/>
      <c r="BN79" s="416"/>
      <c r="BO79" s="416"/>
      <c r="BP79" s="416"/>
      <c r="BQ79" s="416"/>
      <c r="BR79" s="416"/>
      <c r="BS79" s="416"/>
      <c r="BT79" s="416"/>
      <c r="BU79" s="416"/>
      <c r="BV79" s="416"/>
      <c r="BW79" s="416"/>
      <c r="BX79" s="416"/>
      <c r="BY79" s="458">
        <v>1</v>
      </c>
      <c r="BZ79" s="416"/>
      <c r="CA79" s="416"/>
      <c r="CB79" s="416"/>
      <c r="CC79" s="416"/>
      <c r="CD79" s="416"/>
      <c r="CE79" s="416"/>
      <c r="CF79" s="416"/>
      <c r="CG79" s="416"/>
      <c r="CH79" s="416"/>
      <c r="CI79" s="416"/>
      <c r="CJ79" s="416"/>
      <c r="CK79" s="416"/>
      <c r="CL79" s="416"/>
      <c r="CM79" s="416"/>
      <c r="CN79" s="416"/>
      <c r="CO79" s="416"/>
      <c r="CP79" s="416"/>
      <c r="CQ79" s="416"/>
      <c r="CR79" s="416"/>
      <c r="CS79" s="416"/>
      <c r="CT79" s="416"/>
      <c r="CU79" s="416"/>
      <c r="CV79" s="416"/>
      <c r="CW79" s="416"/>
      <c r="CX79" s="416"/>
      <c r="CY79" s="416"/>
      <c r="CZ79" s="416"/>
      <c r="DA79" s="416"/>
      <c r="DB79" s="416"/>
      <c r="DC79" s="416"/>
      <c r="DD79" s="416"/>
      <c r="DE79" s="416"/>
      <c r="DF79" s="416"/>
      <c r="DG79" s="416"/>
      <c r="DH79" s="416"/>
      <c r="DI79" s="416"/>
      <c r="DJ79" s="416"/>
      <c r="DK79" s="416"/>
      <c r="DL79" s="416"/>
      <c r="DM79" s="416"/>
      <c r="DN79" s="416"/>
      <c r="DO79" s="416"/>
      <c r="DP79" s="416"/>
      <c r="DQ79" s="416"/>
      <c r="DR79" s="416"/>
      <c r="DS79" s="416"/>
      <c r="DT79" s="416"/>
      <c r="DU79" s="416"/>
      <c r="DW79" s="336">
        <f t="shared" si="81"/>
        <v>0</v>
      </c>
      <c r="DX79" s="336">
        <f t="shared" si="0"/>
        <v>0</v>
      </c>
      <c r="DY79" s="336">
        <f t="shared" si="1"/>
        <v>0</v>
      </c>
      <c r="DZ79" s="336">
        <f t="shared" si="2"/>
        <v>0</v>
      </c>
      <c r="EA79" s="336">
        <f t="shared" si="3"/>
        <v>0</v>
      </c>
      <c r="EB79" s="336">
        <f t="shared" si="4"/>
        <v>0</v>
      </c>
      <c r="EC79" s="336">
        <f t="shared" si="5"/>
        <v>0</v>
      </c>
      <c r="ED79" s="336">
        <f t="shared" si="6"/>
        <v>0</v>
      </c>
      <c r="EE79" s="336">
        <f t="shared" si="7"/>
        <v>0</v>
      </c>
      <c r="EF79" s="336">
        <f t="shared" si="8"/>
        <v>0</v>
      </c>
      <c r="EG79" s="336">
        <f t="shared" si="9"/>
        <v>0</v>
      </c>
      <c r="EH79" s="336">
        <f t="shared" si="10"/>
        <v>0</v>
      </c>
      <c r="EI79" s="336">
        <f t="shared" si="11"/>
        <v>0</v>
      </c>
      <c r="EJ79" s="336">
        <f t="shared" si="12"/>
        <v>0</v>
      </c>
      <c r="EK79" s="336">
        <f t="shared" si="13"/>
        <v>0</v>
      </c>
      <c r="EL79" s="336">
        <f t="shared" si="14"/>
        <v>0</v>
      </c>
      <c r="EM79" s="336">
        <f t="shared" si="15"/>
        <v>0</v>
      </c>
      <c r="EN79" s="336">
        <f t="shared" si="16"/>
        <v>0</v>
      </c>
      <c r="EO79" s="336">
        <f t="shared" si="17"/>
        <v>0</v>
      </c>
      <c r="EP79" s="336">
        <f t="shared" si="18"/>
        <v>0</v>
      </c>
      <c r="EQ79" s="336">
        <f t="shared" si="19"/>
        <v>62</v>
      </c>
      <c r="ER79" s="336">
        <f t="shared" si="20"/>
        <v>0</v>
      </c>
      <c r="ES79" s="336">
        <f t="shared" si="21"/>
        <v>0</v>
      </c>
      <c r="ET79" s="336">
        <f t="shared" si="1451"/>
        <v>0</v>
      </c>
      <c r="EU79" s="336">
        <f t="shared" si="1452"/>
        <v>0</v>
      </c>
      <c r="EV79" s="336">
        <f t="shared" si="24"/>
        <v>0</v>
      </c>
      <c r="EW79" s="336">
        <f t="shared" si="25"/>
        <v>0</v>
      </c>
      <c r="EX79" s="336">
        <f t="shared" si="26"/>
        <v>0</v>
      </c>
      <c r="EY79" s="336">
        <f t="shared" si="27"/>
        <v>0</v>
      </c>
      <c r="EZ79" s="336">
        <f t="shared" si="28"/>
        <v>0</v>
      </c>
      <c r="FA79" s="336">
        <f t="shared" si="29"/>
        <v>0</v>
      </c>
      <c r="FB79" s="336">
        <f t="shared" si="30"/>
        <v>0</v>
      </c>
      <c r="FC79" s="336">
        <f t="shared" si="31"/>
        <v>0</v>
      </c>
      <c r="FD79" s="336">
        <f t="shared" si="32"/>
        <v>0</v>
      </c>
      <c r="FE79" s="336">
        <f t="shared" si="33"/>
        <v>0</v>
      </c>
      <c r="FF79" s="336">
        <f t="shared" si="34"/>
        <v>0</v>
      </c>
      <c r="FG79" s="336">
        <f t="shared" si="35"/>
        <v>0</v>
      </c>
      <c r="FH79" s="336">
        <f t="shared" si="36"/>
        <v>0</v>
      </c>
      <c r="FI79" s="336">
        <f t="shared" si="37"/>
        <v>0</v>
      </c>
      <c r="FJ79" s="336">
        <f t="shared" si="38"/>
        <v>0</v>
      </c>
      <c r="FK79" s="336">
        <f t="shared" si="39"/>
        <v>0</v>
      </c>
      <c r="FL79" s="336">
        <f t="shared" si="40"/>
        <v>0</v>
      </c>
      <c r="FM79" s="336">
        <f t="shared" si="41"/>
        <v>0</v>
      </c>
      <c r="FN79" s="336">
        <f t="shared" si="42"/>
        <v>0</v>
      </c>
      <c r="FO79" s="336">
        <f t="shared" si="43"/>
        <v>0</v>
      </c>
      <c r="FP79" s="336">
        <f t="shared" si="44"/>
        <v>0</v>
      </c>
      <c r="FQ79" s="336">
        <f t="shared" si="45"/>
        <v>0</v>
      </c>
      <c r="FR79" s="336">
        <f t="shared" si="46"/>
        <v>0</v>
      </c>
      <c r="FS79" s="336">
        <f t="shared" si="47"/>
        <v>0</v>
      </c>
      <c r="FT79" s="336">
        <f t="shared" si="48"/>
        <v>0</v>
      </c>
      <c r="FU79" s="336">
        <f t="shared" si="1216"/>
        <v>0</v>
      </c>
      <c r="FV79" s="336">
        <f t="shared" si="1217"/>
        <v>0</v>
      </c>
      <c r="FW79" s="336">
        <f t="shared" si="1218"/>
        <v>0</v>
      </c>
      <c r="FX79" s="336">
        <f t="shared" si="1219"/>
        <v>0</v>
      </c>
      <c r="FY79" s="336">
        <f t="shared" si="53"/>
        <v>0</v>
      </c>
      <c r="FZ79" s="336">
        <f t="shared" si="54"/>
        <v>0</v>
      </c>
      <c r="GA79" s="336">
        <f t="shared" si="55"/>
        <v>0</v>
      </c>
      <c r="GB79" s="336">
        <f t="shared" si="56"/>
        <v>0</v>
      </c>
      <c r="GC79" s="336">
        <f t="shared" si="57"/>
        <v>0</v>
      </c>
      <c r="GD79" s="336">
        <f t="shared" si="58"/>
        <v>0</v>
      </c>
      <c r="GE79" s="336">
        <f t="shared" si="59"/>
        <v>0</v>
      </c>
      <c r="GF79" s="336">
        <f t="shared" si="60"/>
        <v>0</v>
      </c>
      <c r="GG79" s="336">
        <f t="shared" si="61"/>
        <v>0</v>
      </c>
      <c r="GH79" s="336">
        <f t="shared" si="62"/>
        <v>0</v>
      </c>
      <c r="GI79" s="336">
        <f t="shared" si="63"/>
        <v>0</v>
      </c>
      <c r="GJ79" s="336">
        <f t="shared" si="64"/>
        <v>0</v>
      </c>
      <c r="GK79" s="336">
        <f>IF(DS79=1,($BC79*DS79),0)</f>
        <v>0</v>
      </c>
      <c r="GL79" s="336">
        <f t="shared" si="1641"/>
        <v>0</v>
      </c>
      <c r="GM79" s="336">
        <f t="shared" si="66"/>
        <v>0</v>
      </c>
    </row>
    <row r="80" spans="1:195" ht="37.5" customHeight="1">
      <c r="A80" s="337">
        <f t="shared" ref="A80:A81" si="1717">A79+1</f>
        <v>63</v>
      </c>
      <c r="B80" s="372" t="s">
        <v>462</v>
      </c>
      <c r="C80" s="337" t="str">
        <f t="shared" si="1707"/>
        <v>11kV MV Switchgear-3</v>
      </c>
      <c r="D80" s="440" t="s">
        <v>463</v>
      </c>
      <c r="E80" s="416" t="s">
        <v>461</v>
      </c>
      <c r="F80" s="337" t="s">
        <v>29</v>
      </c>
      <c r="G80" s="340" t="s">
        <v>329</v>
      </c>
      <c r="H80" s="418">
        <v>1317.42</v>
      </c>
      <c r="I80" s="337" t="s">
        <v>330</v>
      </c>
      <c r="J80" s="337" t="s">
        <v>331</v>
      </c>
      <c r="K80" s="341">
        <v>11000</v>
      </c>
      <c r="L80" s="342">
        <v>0.84225351123548098</v>
      </c>
      <c r="M80" s="342">
        <v>0.9</v>
      </c>
      <c r="N80" s="342">
        <f t="shared" si="1708"/>
        <v>91.221737463226503</v>
      </c>
      <c r="O80" s="342">
        <f t="shared" si="1709"/>
        <v>0</v>
      </c>
      <c r="P80" s="343" t="str">
        <f t="shared" si="1710"/>
        <v>0.00</v>
      </c>
      <c r="Q80" s="342">
        <v>31.5</v>
      </c>
      <c r="R80" s="342">
        <v>0.16</v>
      </c>
      <c r="S80" s="342">
        <f t="shared" si="1711"/>
        <v>134.04255319148936</v>
      </c>
      <c r="T80" s="344" t="s">
        <v>131</v>
      </c>
      <c r="U80" s="342" t="s">
        <v>333</v>
      </c>
      <c r="V80" s="344">
        <v>150</v>
      </c>
      <c r="W80" s="343" t="str">
        <f t="shared" si="1712"/>
        <v>3C X 150</v>
      </c>
      <c r="X80" s="343" t="str">
        <f t="shared" si="1713"/>
        <v>3C X 150</v>
      </c>
      <c r="Y80" s="419" t="s">
        <v>346</v>
      </c>
      <c r="Z80" s="344">
        <f>IF(T80="AIR",VLOOKUP(W80,'Catalogue Aluminium'!$B$141:$G$173,2,FALSE),IF(T80="GROUND",VLOOKUP(W80,'Catalogue Aluminium'!$B$141:$G$173,3,FALSE),IF(T80="DUCT",VLOOKUP(W80,'Catalogue Aluminium'!$B$141:$G$173,4,FALSE),IF(T80="TRENCH",VLOOKUP(W80,'Catalogue Aluminium'!$B$141:$G$173,2,FALSE)))))</f>
        <v>309</v>
      </c>
      <c r="AA80" s="345">
        <f>VLOOKUP(W80,'Catalogue Aluminium'!$B$141:$G$173,5,FALSE)</f>
        <v>0.26500000000000001</v>
      </c>
      <c r="AB80" s="345">
        <f>VLOOKUP(W80,'Catalogue Aluminium'!$B$141:$G$173,6,FALSE)</f>
        <v>9.2999999999999999E-2</v>
      </c>
      <c r="AC80" s="346">
        <v>26</v>
      </c>
      <c r="AD80" s="343">
        <v>15</v>
      </c>
      <c r="AE80" s="343">
        <v>5</v>
      </c>
      <c r="AF80" s="343">
        <v>8</v>
      </c>
      <c r="AG80" s="343">
        <f t="shared" si="1714"/>
        <v>6</v>
      </c>
      <c r="AH80" s="347">
        <f t="shared" si="1284"/>
        <v>60</v>
      </c>
      <c r="AI80" s="344">
        <f>IF(T80="AIR",'Catalogue Aluminium'!$K$141,IF(T80="TRENCH",'Catalogue Aluminium'!$K$144,"NA"))</f>
        <v>0.82</v>
      </c>
      <c r="AJ80" s="342">
        <f>IF(T80="Air",(IF(U80="1C",'Catalogue Aluminium'!$L$141,'Catalogue Aluminium'!$M$141)),IF(T80="DUCT",(IF($U80="1C",'Catalogue Aluminium'!$L$142,'Catalogue Aluminium'!$M$142)),IF(T80="GROUND",(IF($U80="1C",'Catalogue Aluminium'!$L$143,'Catalogue Aluminium'!$M$143)),IF(T80="TRENCH",(IF($U80="1C",'Catalogue Aluminium'!$L$144,'Catalogue Aluminium'!$M$144))))))</f>
        <v>0.73</v>
      </c>
      <c r="AK80" s="344" t="str">
        <f>IF(T80="Air",'Catalogue Aluminium'!$N$141,IF(T80="GROUND",'Catalogue Aluminium'!$N$142,IF(T80="DUCT",'Catalogue Aluminium'!$N$143,IF(T80="TRENCH",'Catalogue Aluminium'!$N$144,"NA"))))</f>
        <v>NA</v>
      </c>
      <c r="AL80" s="344" t="str">
        <f>IF(T80="Air",(IF(U80="1C",'Catalogue Aluminium'!$O$141,'Catalogue Aluminium'!$P$141)),IF(T80="DUCT",(IF($U80="1C",'Catalogue Aluminium'!$O$142,'Catalogue Aluminium'!$P$142)),IF(T80="GROUND",(IF($U80="1C",'Catalogue Aluminium'!$O$143,'Catalogue Aluminium'!$P$143)),IF(T80="TRENCH",(IF($U80="1C",'Catalogue Aluminium'!$O$144,'Catalogue Aluminium'!$P$144))))))</f>
        <v>NA</v>
      </c>
      <c r="AM80" s="344" t="str">
        <f>IF(T80="AIR","NA",IF(T80="TRENCH","NA",IF(T80="DUCT",IF(U80="1C",VLOOKUP(V80,'Catalogue Aluminium'!$Q$142:$S$153,2,FALSE),VLOOKUP(V80,'Catalogue Aluminium'!$Q$142:$S$153,3)),IF(T80="GROUND",IF(U80="1C",VLOOKUP(V80,'Catalogue Aluminium'!$Q$142:$S$153,2,FALSE),VLOOKUP(V80,'Catalogue Aluminium'!$Q$142:$S$153,3))))))</f>
        <v>NA</v>
      </c>
      <c r="AN80" s="348">
        <f>IF(T80="AIR",AI80*AJ80,IF(T80="TRENCH",AI80*AJ80,IF(T80="DUCT",AJ80*AK80*AL80*AM80,IF(T80="GROUND",AJ80*AK80*AL80*AM80))))</f>
        <v>0.59859999999999991</v>
      </c>
      <c r="AO80" s="342">
        <f>Z80*AN80</f>
        <v>184.96739999999997</v>
      </c>
      <c r="AP80" s="349">
        <f>CEILING(((N80)/AO80),1)</f>
        <v>1</v>
      </c>
      <c r="AQ80" s="350" t="str">
        <f>IF(AO80*AP80&gt;=N80,"YES","NO")</f>
        <v>YES</v>
      </c>
      <c r="AR80" s="351">
        <f>SQRT(3)*AH80*N80*((AA80*L80)+(AB80*SIN(ACOS(L80))))*100/(AP80*K80*1000)</f>
        <v>2.3556331208645354E-2</v>
      </c>
      <c r="AS80" s="343" t="str">
        <f t="shared" si="1715"/>
        <v>YES</v>
      </c>
      <c r="AT80" s="351" t="str">
        <f>IF(G80="MOTOR",(SQRT(3)*AH80*O80*((AA80*P80)+(AB80*SIN(ACOS(P80))))*100/(AP80*K80*1000)),"NA")</f>
        <v>NA</v>
      </c>
      <c r="AU80" s="343" t="str">
        <f>IF(G80="MOTOR",IF(AT80&lt;=15,"YES","NO"),"NA")</f>
        <v>NA</v>
      </c>
      <c r="AV80" s="351" t="str">
        <f>IF(U80="1C",CONCATENATE(AP80,"R x ",Y80,"kV x ",U80," x ",V80," Sqmm/Phase"),CONCATENATE(AP80,"R x ","6/10 (12)kV x ",U80," x ",V80," Sqmm"))</f>
        <v>1R x 6/10 (12)kV x 3C x 150 Sqmm</v>
      </c>
      <c r="AW80" s="351" t="str">
        <f t="shared" si="1508"/>
        <v>1R x 6/10 (12)kV x 3C x 150 Sqmm</v>
      </c>
      <c r="AX80" s="343">
        <f>IF(U80="1C",(3*AH80*AP80),(AH80*AP80))</f>
        <v>60</v>
      </c>
      <c r="AY80" s="343"/>
      <c r="AZ80" s="343">
        <f>IF(U80="1C",(3*AP80*2),(AP80*2))</f>
        <v>2</v>
      </c>
      <c r="BA80" s="356" t="str">
        <f t="shared" si="1716"/>
        <v>H1</v>
      </c>
      <c r="BB80" s="340">
        <f>VLOOKUP(W80,'Catalogue Aluminium'!$B$141:$H$173,7,FALSE)</f>
        <v>62</v>
      </c>
      <c r="BC80" s="328">
        <f>AP80*BB80</f>
        <v>62</v>
      </c>
      <c r="BE80" s="416"/>
      <c r="BF80" s="416"/>
      <c r="BG80" s="416"/>
      <c r="BH80" s="416"/>
      <c r="BI80" s="416"/>
      <c r="BJ80" s="416"/>
      <c r="BK80" s="416"/>
      <c r="BL80" s="416"/>
      <c r="BM80" s="416"/>
      <c r="BN80" s="416"/>
      <c r="BO80" s="416"/>
      <c r="BP80" s="416"/>
      <c r="BQ80" s="416"/>
      <c r="BR80" s="416"/>
      <c r="BS80" s="416"/>
      <c r="BT80" s="416"/>
      <c r="BU80" s="416"/>
      <c r="BV80" s="416"/>
      <c r="BW80" s="416"/>
      <c r="BX80" s="416"/>
      <c r="BY80" s="458">
        <v>1</v>
      </c>
      <c r="BZ80" s="416"/>
      <c r="CA80" s="416"/>
      <c r="CB80" s="416"/>
      <c r="CC80" s="416"/>
      <c r="CD80" s="416"/>
      <c r="CE80" s="416"/>
      <c r="CF80" s="416"/>
      <c r="CG80" s="416"/>
      <c r="CH80" s="416"/>
      <c r="CI80" s="416"/>
      <c r="CJ80" s="416"/>
      <c r="CK80" s="416"/>
      <c r="CL80" s="416"/>
      <c r="CM80" s="416"/>
      <c r="CN80" s="416"/>
      <c r="CO80" s="416"/>
      <c r="CP80" s="416"/>
      <c r="CQ80" s="416"/>
      <c r="CR80" s="416"/>
      <c r="CS80" s="416"/>
      <c r="CT80" s="416"/>
      <c r="CU80" s="416"/>
      <c r="CV80" s="416"/>
      <c r="CW80" s="416"/>
      <c r="CX80" s="416"/>
      <c r="CY80" s="416"/>
      <c r="CZ80" s="416"/>
      <c r="DA80" s="416"/>
      <c r="DB80" s="416"/>
      <c r="DC80" s="416"/>
      <c r="DD80" s="416"/>
      <c r="DE80" s="416"/>
      <c r="DF80" s="416"/>
      <c r="DG80" s="416"/>
      <c r="DH80" s="416"/>
      <c r="DI80" s="416"/>
      <c r="DJ80" s="416"/>
      <c r="DK80" s="416"/>
      <c r="DL80" s="416"/>
      <c r="DM80" s="416"/>
      <c r="DN80" s="416"/>
      <c r="DO80" s="416"/>
      <c r="DP80" s="416"/>
      <c r="DQ80" s="416"/>
      <c r="DR80" s="416"/>
      <c r="DS80" s="416"/>
      <c r="DT80" s="416"/>
      <c r="DU80" s="416"/>
      <c r="DW80" s="336">
        <f t="shared" si="81"/>
        <v>0</v>
      </c>
      <c r="DX80" s="336">
        <f t="shared" si="0"/>
        <v>0</v>
      </c>
      <c r="DY80" s="336">
        <f t="shared" si="1"/>
        <v>0</v>
      </c>
      <c r="DZ80" s="336">
        <f t="shared" si="2"/>
        <v>0</v>
      </c>
      <c r="EA80" s="336">
        <f t="shared" si="3"/>
        <v>0</v>
      </c>
      <c r="EB80" s="336">
        <f t="shared" si="4"/>
        <v>0</v>
      </c>
      <c r="EC80" s="336">
        <f t="shared" si="5"/>
        <v>0</v>
      </c>
      <c r="ED80" s="336">
        <f t="shared" si="6"/>
        <v>0</v>
      </c>
      <c r="EE80" s="336">
        <f t="shared" si="7"/>
        <v>0</v>
      </c>
      <c r="EF80" s="336">
        <f t="shared" si="8"/>
        <v>0</v>
      </c>
      <c r="EG80" s="336">
        <f t="shared" si="9"/>
        <v>0</v>
      </c>
      <c r="EH80" s="336">
        <f t="shared" si="10"/>
        <v>0</v>
      </c>
      <c r="EI80" s="336">
        <f t="shared" si="11"/>
        <v>0</v>
      </c>
      <c r="EJ80" s="336">
        <f t="shared" si="12"/>
        <v>0</v>
      </c>
      <c r="EK80" s="336">
        <f t="shared" si="13"/>
        <v>0</v>
      </c>
      <c r="EL80" s="336">
        <f t="shared" si="14"/>
        <v>0</v>
      </c>
      <c r="EM80" s="336">
        <f t="shared" si="15"/>
        <v>0</v>
      </c>
      <c r="EN80" s="336">
        <f t="shared" si="16"/>
        <v>0</v>
      </c>
      <c r="EO80" s="336">
        <f t="shared" si="17"/>
        <v>0</v>
      </c>
      <c r="EP80" s="336">
        <f t="shared" si="18"/>
        <v>0</v>
      </c>
      <c r="EQ80" s="336">
        <f t="shared" si="19"/>
        <v>62</v>
      </c>
      <c r="ER80" s="336">
        <f t="shared" si="20"/>
        <v>0</v>
      </c>
      <c r="ES80" s="336">
        <f t="shared" si="21"/>
        <v>0</v>
      </c>
      <c r="ET80" s="336">
        <f t="shared" si="1451"/>
        <v>0</v>
      </c>
      <c r="EU80" s="336">
        <f t="shared" si="1452"/>
        <v>0</v>
      </c>
      <c r="EV80" s="336">
        <f t="shared" si="24"/>
        <v>0</v>
      </c>
      <c r="EW80" s="336">
        <f t="shared" si="25"/>
        <v>0</v>
      </c>
      <c r="EX80" s="336">
        <f t="shared" si="26"/>
        <v>0</v>
      </c>
      <c r="EY80" s="336">
        <f t="shared" si="27"/>
        <v>0</v>
      </c>
      <c r="EZ80" s="336">
        <f t="shared" si="28"/>
        <v>0</v>
      </c>
      <c r="FA80" s="336">
        <f t="shared" si="29"/>
        <v>0</v>
      </c>
      <c r="FB80" s="336">
        <f t="shared" si="30"/>
        <v>0</v>
      </c>
      <c r="FC80" s="336">
        <f t="shared" si="31"/>
        <v>0</v>
      </c>
      <c r="FD80" s="336">
        <f t="shared" si="32"/>
        <v>0</v>
      </c>
      <c r="FE80" s="336">
        <f t="shared" si="33"/>
        <v>0</v>
      </c>
      <c r="FF80" s="336">
        <f t="shared" si="34"/>
        <v>0</v>
      </c>
      <c r="FG80" s="336">
        <f t="shared" si="35"/>
        <v>0</v>
      </c>
      <c r="FH80" s="336">
        <f t="shared" si="36"/>
        <v>0</v>
      </c>
      <c r="FI80" s="336">
        <f t="shared" si="37"/>
        <v>0</v>
      </c>
      <c r="FJ80" s="336">
        <f t="shared" si="38"/>
        <v>0</v>
      </c>
      <c r="FK80" s="336">
        <f t="shared" si="39"/>
        <v>0</v>
      </c>
      <c r="FL80" s="336">
        <f t="shared" si="40"/>
        <v>0</v>
      </c>
      <c r="FM80" s="336">
        <f t="shared" si="41"/>
        <v>0</v>
      </c>
      <c r="FN80" s="336">
        <f t="shared" si="42"/>
        <v>0</v>
      </c>
      <c r="FO80" s="336">
        <f t="shared" si="43"/>
        <v>0</v>
      </c>
      <c r="FP80" s="336">
        <f t="shared" si="44"/>
        <v>0</v>
      </c>
      <c r="FQ80" s="336">
        <f t="shared" si="45"/>
        <v>0</v>
      </c>
      <c r="FR80" s="336">
        <f t="shared" si="46"/>
        <v>0</v>
      </c>
      <c r="FS80" s="336">
        <f t="shared" si="47"/>
        <v>0</v>
      </c>
      <c r="FT80" s="336">
        <f t="shared" si="48"/>
        <v>0</v>
      </c>
      <c r="FU80" s="336">
        <f t="shared" si="1216"/>
        <v>0</v>
      </c>
      <c r="FV80" s="336">
        <f t="shared" si="1217"/>
        <v>0</v>
      </c>
      <c r="FW80" s="336">
        <f t="shared" si="1218"/>
        <v>0</v>
      </c>
      <c r="FX80" s="336">
        <f t="shared" si="1219"/>
        <v>0</v>
      </c>
      <c r="FY80" s="336">
        <f t="shared" si="53"/>
        <v>0</v>
      </c>
      <c r="FZ80" s="336">
        <f t="shared" si="54"/>
        <v>0</v>
      </c>
      <c r="GA80" s="336">
        <f t="shared" si="55"/>
        <v>0</v>
      </c>
      <c r="GB80" s="336">
        <f t="shared" si="56"/>
        <v>0</v>
      </c>
      <c r="GC80" s="336">
        <f t="shared" si="57"/>
        <v>0</v>
      </c>
      <c r="GD80" s="336">
        <f t="shared" si="58"/>
        <v>0</v>
      </c>
      <c r="GE80" s="336">
        <f t="shared" si="59"/>
        <v>0</v>
      </c>
      <c r="GF80" s="336">
        <f t="shared" si="60"/>
        <v>0</v>
      </c>
      <c r="GG80" s="336">
        <f t="shared" si="61"/>
        <v>0</v>
      </c>
      <c r="GH80" s="336">
        <f t="shared" si="62"/>
        <v>0</v>
      </c>
      <c r="GI80" s="336">
        <f t="shared" si="63"/>
        <v>0</v>
      </c>
      <c r="GJ80" s="336">
        <f t="shared" si="64"/>
        <v>0</v>
      </c>
      <c r="GK80" s="336">
        <f>IF(DS80=1,($BC80*DS80),0)</f>
        <v>0</v>
      </c>
      <c r="GL80" s="336">
        <f t="shared" si="1641"/>
        <v>0</v>
      </c>
      <c r="GM80" s="336">
        <f t="shared" si="66"/>
        <v>0</v>
      </c>
    </row>
    <row r="81" spans="1:197" ht="31.5" customHeight="1">
      <c r="A81" s="337">
        <f t="shared" si="1717"/>
        <v>64</v>
      </c>
      <c r="B81" s="372" t="s">
        <v>408</v>
      </c>
      <c r="C81" s="337" t="str">
        <f t="shared" ref="C81:C82" si="1718">$D$6</f>
        <v>11kV MV Switchgear-1</v>
      </c>
      <c r="D81" s="440" t="s">
        <v>464</v>
      </c>
      <c r="E81" s="416" t="s">
        <v>335</v>
      </c>
      <c r="F81" s="387" t="s">
        <v>28</v>
      </c>
      <c r="G81" s="340" t="s">
        <v>329</v>
      </c>
      <c r="H81" s="418">
        <v>3036.33</v>
      </c>
      <c r="I81" s="337" t="s">
        <v>330</v>
      </c>
      <c r="J81" s="337" t="s">
        <v>331</v>
      </c>
      <c r="K81" s="341">
        <v>11000</v>
      </c>
      <c r="L81" s="342">
        <v>0.85573287086927674</v>
      </c>
      <c r="M81" s="342">
        <v>0.94462500000000016</v>
      </c>
      <c r="N81" s="342">
        <f t="shared" si="1708"/>
        <v>197.15634023393292</v>
      </c>
      <c r="O81" s="924"/>
      <c r="P81" s="925"/>
      <c r="Q81" s="925"/>
      <c r="R81" s="925"/>
      <c r="S81" s="925"/>
      <c r="T81" s="925"/>
      <c r="U81" s="925"/>
      <c r="V81" s="925"/>
      <c r="W81" s="925"/>
      <c r="X81" s="925"/>
      <c r="Y81" s="925"/>
      <c r="Z81" s="925"/>
      <c r="AA81" s="925"/>
      <c r="AB81" s="925"/>
      <c r="AC81" s="925"/>
      <c r="AD81" s="925"/>
      <c r="AE81" s="925"/>
      <c r="AF81" s="925"/>
      <c r="AG81" s="925"/>
      <c r="AH81" s="925"/>
      <c r="AI81" s="925"/>
      <c r="AJ81" s="925"/>
      <c r="AK81" s="925"/>
      <c r="AL81" s="925"/>
      <c r="AM81" s="925"/>
      <c r="AN81" s="925"/>
      <c r="AO81" s="925"/>
      <c r="AP81" s="925"/>
      <c r="AQ81" s="925"/>
      <c r="AR81" s="925"/>
      <c r="AS81" s="925"/>
      <c r="AT81" s="925"/>
      <c r="AU81" s="925"/>
      <c r="AV81" s="925"/>
      <c r="AW81" s="925"/>
      <c r="AX81" s="925"/>
      <c r="AY81" s="925"/>
      <c r="AZ81" s="925"/>
      <c r="BA81" s="925"/>
      <c r="BB81" s="925"/>
      <c r="BC81" s="1019"/>
      <c r="BE81" s="416"/>
      <c r="BF81" s="416"/>
      <c r="BG81" s="416"/>
      <c r="BH81" s="416"/>
      <c r="BI81" s="416"/>
      <c r="BJ81" s="416"/>
      <c r="BK81" s="416"/>
      <c r="BL81" s="416"/>
      <c r="BM81" s="416"/>
      <c r="BN81" s="416"/>
      <c r="BO81" s="416"/>
      <c r="BP81" s="416"/>
      <c r="BQ81" s="416"/>
      <c r="BR81" s="416"/>
      <c r="BS81" s="416"/>
      <c r="BT81" s="416"/>
      <c r="BU81" s="416"/>
      <c r="BV81" s="416"/>
      <c r="BW81" s="416"/>
      <c r="BX81" s="416"/>
      <c r="BY81" s="416"/>
      <c r="BZ81" s="416"/>
      <c r="CA81" s="416"/>
      <c r="CB81" s="416"/>
      <c r="CC81" s="416"/>
      <c r="CD81" s="416"/>
      <c r="CE81" s="416"/>
      <c r="CF81" s="416"/>
      <c r="CG81" s="416"/>
      <c r="CH81" s="416"/>
      <c r="CI81" s="416"/>
      <c r="CJ81" s="416"/>
      <c r="CK81" s="416"/>
      <c r="CL81" s="416"/>
      <c r="CM81" s="416"/>
      <c r="CN81" s="416"/>
      <c r="CO81" s="416"/>
      <c r="CP81" s="416"/>
      <c r="CQ81" s="416"/>
      <c r="CR81" s="416"/>
      <c r="CS81" s="416"/>
      <c r="CT81" s="416"/>
      <c r="CU81" s="416"/>
      <c r="CV81" s="416"/>
      <c r="CW81" s="416"/>
      <c r="CX81" s="416"/>
      <c r="CY81" s="416"/>
      <c r="CZ81" s="416"/>
      <c r="DA81" s="416"/>
      <c r="DB81" s="416"/>
      <c r="DC81" s="416"/>
      <c r="DD81" s="416"/>
      <c r="DE81" s="416"/>
      <c r="DF81" s="416"/>
      <c r="DG81" s="416"/>
      <c r="DH81" s="416"/>
      <c r="DI81" s="416"/>
      <c r="DJ81" s="416"/>
      <c r="DK81" s="416"/>
      <c r="DL81" s="416"/>
      <c r="DM81" s="416"/>
      <c r="DN81" s="416"/>
      <c r="DO81" s="416"/>
      <c r="DP81" s="416"/>
      <c r="DQ81" s="416"/>
      <c r="DR81" s="416"/>
      <c r="DS81" s="416"/>
      <c r="DT81" s="416"/>
      <c r="DU81" s="416"/>
      <c r="DW81" s="336">
        <f t="shared" si="81"/>
        <v>0</v>
      </c>
      <c r="DX81" s="336">
        <f t="shared" si="0"/>
        <v>0</v>
      </c>
      <c r="DY81" s="336">
        <f t="shared" si="1"/>
        <v>0</v>
      </c>
      <c r="DZ81" s="336">
        <f t="shared" si="2"/>
        <v>0</v>
      </c>
      <c r="EA81" s="336">
        <f t="shared" si="3"/>
        <v>0</v>
      </c>
      <c r="EB81" s="336">
        <f t="shared" si="4"/>
        <v>0</v>
      </c>
      <c r="EC81" s="336">
        <f t="shared" si="5"/>
        <v>0</v>
      </c>
      <c r="ED81" s="336">
        <f t="shared" si="6"/>
        <v>0</v>
      </c>
      <c r="EE81" s="336">
        <f t="shared" si="7"/>
        <v>0</v>
      </c>
      <c r="EF81" s="336">
        <f t="shared" si="8"/>
        <v>0</v>
      </c>
      <c r="EG81" s="336">
        <f t="shared" si="9"/>
        <v>0</v>
      </c>
      <c r="EH81" s="336">
        <f t="shared" si="10"/>
        <v>0</v>
      </c>
      <c r="EI81" s="336">
        <f t="shared" si="11"/>
        <v>0</v>
      </c>
      <c r="EJ81" s="336">
        <f t="shared" si="12"/>
        <v>0</v>
      </c>
      <c r="EK81" s="336">
        <f t="shared" si="13"/>
        <v>0</v>
      </c>
      <c r="EL81" s="336">
        <f t="shared" si="14"/>
        <v>0</v>
      </c>
      <c r="EM81" s="336">
        <f t="shared" si="15"/>
        <v>0</v>
      </c>
      <c r="EN81" s="336">
        <f t="shared" si="16"/>
        <v>0</v>
      </c>
      <c r="EO81" s="336">
        <f t="shared" si="17"/>
        <v>0</v>
      </c>
      <c r="EP81" s="336">
        <f t="shared" si="18"/>
        <v>0</v>
      </c>
      <c r="EQ81" s="336">
        <f t="shared" si="19"/>
        <v>0</v>
      </c>
      <c r="ER81" s="336">
        <f t="shared" si="20"/>
        <v>0</v>
      </c>
      <c r="ES81" s="336">
        <f t="shared" si="21"/>
        <v>0</v>
      </c>
      <c r="ET81" s="336">
        <f t="shared" si="1451"/>
        <v>0</v>
      </c>
      <c r="EU81" s="336">
        <f t="shared" si="1452"/>
        <v>0</v>
      </c>
      <c r="EV81" s="336">
        <f t="shared" si="24"/>
        <v>0</v>
      </c>
      <c r="EW81" s="336">
        <f t="shared" si="25"/>
        <v>0</v>
      </c>
      <c r="EX81" s="336">
        <f t="shared" si="26"/>
        <v>0</v>
      </c>
      <c r="EY81" s="336">
        <f t="shared" si="27"/>
        <v>0</v>
      </c>
      <c r="EZ81" s="336">
        <f t="shared" si="28"/>
        <v>0</v>
      </c>
      <c r="FA81" s="336">
        <f t="shared" si="29"/>
        <v>0</v>
      </c>
      <c r="FB81" s="336">
        <f t="shared" si="30"/>
        <v>0</v>
      </c>
      <c r="FC81" s="336">
        <f t="shared" si="31"/>
        <v>0</v>
      </c>
      <c r="FD81" s="336">
        <f t="shared" si="32"/>
        <v>0</v>
      </c>
      <c r="FE81" s="336">
        <f t="shared" si="33"/>
        <v>0</v>
      </c>
      <c r="FF81" s="336">
        <f t="shared" si="34"/>
        <v>0</v>
      </c>
      <c r="FG81" s="336">
        <f t="shared" si="35"/>
        <v>0</v>
      </c>
      <c r="FH81" s="336">
        <f t="shared" si="36"/>
        <v>0</v>
      </c>
      <c r="FI81" s="336">
        <f t="shared" si="37"/>
        <v>0</v>
      </c>
      <c r="FJ81" s="336">
        <f t="shared" si="38"/>
        <v>0</v>
      </c>
      <c r="FK81" s="336">
        <f t="shared" si="39"/>
        <v>0</v>
      </c>
      <c r="FL81" s="336">
        <f t="shared" si="40"/>
        <v>0</v>
      </c>
      <c r="FM81" s="336">
        <f t="shared" si="41"/>
        <v>0</v>
      </c>
      <c r="FN81" s="336">
        <f t="shared" si="42"/>
        <v>0</v>
      </c>
      <c r="FO81" s="336">
        <f t="shared" si="43"/>
        <v>0</v>
      </c>
      <c r="FP81" s="336">
        <f t="shared" si="44"/>
        <v>0</v>
      </c>
      <c r="FQ81" s="336">
        <f t="shared" si="45"/>
        <v>0</v>
      </c>
      <c r="FR81" s="336">
        <f t="shared" si="46"/>
        <v>0</v>
      </c>
      <c r="FS81" s="336">
        <f t="shared" si="47"/>
        <v>0</v>
      </c>
      <c r="FT81" s="336">
        <f t="shared" si="48"/>
        <v>0</v>
      </c>
      <c r="FU81" s="336">
        <f t="shared" si="1216"/>
        <v>0</v>
      </c>
      <c r="FV81" s="336">
        <f t="shared" si="1217"/>
        <v>0</v>
      </c>
      <c r="FW81" s="336">
        <f t="shared" si="1218"/>
        <v>0</v>
      </c>
      <c r="FX81" s="336">
        <f t="shared" si="1219"/>
        <v>0</v>
      </c>
      <c r="FY81" s="336">
        <f t="shared" si="53"/>
        <v>0</v>
      </c>
      <c r="FZ81" s="336">
        <f t="shared" si="54"/>
        <v>0</v>
      </c>
      <c r="GA81" s="336">
        <f t="shared" si="55"/>
        <v>0</v>
      </c>
      <c r="GB81" s="336">
        <f t="shared" si="56"/>
        <v>0</v>
      </c>
      <c r="GC81" s="336">
        <f t="shared" si="57"/>
        <v>0</v>
      </c>
      <c r="GD81" s="336">
        <f t="shared" si="58"/>
        <v>0</v>
      </c>
      <c r="GE81" s="336">
        <f t="shared" si="59"/>
        <v>0</v>
      </c>
      <c r="GF81" s="336">
        <f t="shared" si="60"/>
        <v>0</v>
      </c>
      <c r="GG81" s="336">
        <f t="shared" si="61"/>
        <v>0</v>
      </c>
      <c r="GH81" s="336">
        <f t="shared" si="62"/>
        <v>0</v>
      </c>
      <c r="GI81" s="336">
        <f t="shared" si="63"/>
        <v>0</v>
      </c>
      <c r="GJ81" s="336">
        <f t="shared" si="64"/>
        <v>0</v>
      </c>
      <c r="GK81" s="336">
        <f>IF(DS81=1,($BC81*DS81),0)</f>
        <v>0</v>
      </c>
      <c r="GL81" s="336">
        <f t="shared" si="1641"/>
        <v>0</v>
      </c>
      <c r="GM81" s="336">
        <f t="shared" si="66"/>
        <v>0</v>
      </c>
    </row>
    <row r="82" spans="1:197" ht="32.25" customHeight="1">
      <c r="A82" s="337">
        <f>A81+1</f>
        <v>65</v>
      </c>
      <c r="B82" s="372" t="s">
        <v>408</v>
      </c>
      <c r="C82" s="337" t="str">
        <f t="shared" si="1718"/>
        <v>11kV MV Switchgear-1</v>
      </c>
      <c r="D82" s="440" t="s">
        <v>465</v>
      </c>
      <c r="E82" s="416" t="s">
        <v>335</v>
      </c>
      <c r="F82" s="387" t="s">
        <v>29</v>
      </c>
      <c r="G82" s="340" t="s">
        <v>329</v>
      </c>
      <c r="H82" s="418">
        <v>3036.33</v>
      </c>
      <c r="I82" s="337" t="s">
        <v>330</v>
      </c>
      <c r="J82" s="337" t="s">
        <v>331</v>
      </c>
      <c r="K82" s="341">
        <v>11000</v>
      </c>
      <c r="L82" s="342">
        <v>0.85573287086927674</v>
      </c>
      <c r="M82" s="342">
        <v>0.94462500000000016</v>
      </c>
      <c r="N82" s="342">
        <f t="shared" si="1708"/>
        <v>197.15634023393292</v>
      </c>
      <c r="O82" s="924"/>
      <c r="P82" s="925"/>
      <c r="Q82" s="925"/>
      <c r="R82" s="925"/>
      <c r="S82" s="925"/>
      <c r="T82" s="925"/>
      <c r="U82" s="925"/>
      <c r="V82" s="925"/>
      <c r="W82" s="925"/>
      <c r="X82" s="925"/>
      <c r="Y82" s="925"/>
      <c r="Z82" s="925"/>
      <c r="AA82" s="925"/>
      <c r="AB82" s="925"/>
      <c r="AC82" s="925"/>
      <c r="AD82" s="925"/>
      <c r="AE82" s="925"/>
      <c r="AF82" s="925"/>
      <c r="AG82" s="925"/>
      <c r="AH82" s="925"/>
      <c r="AI82" s="925"/>
      <c r="AJ82" s="925"/>
      <c r="AK82" s="925"/>
      <c r="AL82" s="925"/>
      <c r="AM82" s="925"/>
      <c r="AN82" s="925"/>
      <c r="AO82" s="925"/>
      <c r="AP82" s="925"/>
      <c r="AQ82" s="925"/>
      <c r="AR82" s="925"/>
      <c r="AS82" s="925"/>
      <c r="AT82" s="925"/>
      <c r="AU82" s="925"/>
      <c r="AV82" s="925"/>
      <c r="AW82" s="925"/>
      <c r="AX82" s="925"/>
      <c r="AY82" s="925"/>
      <c r="AZ82" s="925"/>
      <c r="BA82" s="925"/>
      <c r="BB82" s="925"/>
      <c r="BC82" s="1019"/>
      <c r="BE82" s="416"/>
      <c r="BF82" s="416"/>
      <c r="BG82" s="416"/>
      <c r="BH82" s="416"/>
      <c r="BI82" s="416"/>
      <c r="BJ82" s="416"/>
      <c r="BK82" s="416"/>
      <c r="BL82" s="416"/>
      <c r="BM82" s="416"/>
      <c r="BN82" s="416"/>
      <c r="BO82" s="416"/>
      <c r="BP82" s="416"/>
      <c r="BQ82" s="416"/>
      <c r="BR82" s="416"/>
      <c r="BS82" s="416"/>
      <c r="BT82" s="416"/>
      <c r="BU82" s="416"/>
      <c r="BV82" s="416"/>
      <c r="BW82" s="416"/>
      <c r="BX82" s="416"/>
      <c r="BY82" s="416"/>
      <c r="BZ82" s="416"/>
      <c r="CA82" s="416"/>
      <c r="CB82" s="416"/>
      <c r="CC82" s="416"/>
      <c r="CD82" s="416"/>
      <c r="CE82" s="416"/>
      <c r="CF82" s="416"/>
      <c r="CG82" s="416"/>
      <c r="CH82" s="416"/>
      <c r="CI82" s="416"/>
      <c r="CJ82" s="416"/>
      <c r="CK82" s="416"/>
      <c r="CL82" s="416"/>
      <c r="CM82" s="416"/>
      <c r="CN82" s="416"/>
      <c r="CO82" s="416"/>
      <c r="CP82" s="416"/>
      <c r="CQ82" s="416"/>
      <c r="CR82" s="416"/>
      <c r="CS82" s="416"/>
      <c r="CT82" s="416"/>
      <c r="CU82" s="416"/>
      <c r="CV82" s="416"/>
      <c r="CW82" s="416"/>
      <c r="CX82" s="416"/>
      <c r="CY82" s="416"/>
      <c r="CZ82" s="416"/>
      <c r="DA82" s="416"/>
      <c r="DB82" s="416"/>
      <c r="DC82" s="416"/>
      <c r="DD82" s="416"/>
      <c r="DE82" s="416"/>
      <c r="DF82" s="416"/>
      <c r="DG82" s="416"/>
      <c r="DH82" s="416"/>
      <c r="DI82" s="416"/>
      <c r="DJ82" s="416"/>
      <c r="DK82" s="416"/>
      <c r="DL82" s="416"/>
      <c r="DM82" s="416"/>
      <c r="DN82" s="416"/>
      <c r="DO82" s="416"/>
      <c r="DP82" s="416"/>
      <c r="DQ82" s="416"/>
      <c r="DR82" s="416"/>
      <c r="DS82" s="416"/>
      <c r="DT82" s="416"/>
      <c r="DU82" s="416"/>
      <c r="DW82" s="336">
        <f t="shared" si="81"/>
        <v>0</v>
      </c>
      <c r="DX82" s="336">
        <f t="shared" si="0"/>
        <v>0</v>
      </c>
      <c r="DY82" s="336">
        <f t="shared" si="1"/>
        <v>0</v>
      </c>
      <c r="DZ82" s="336">
        <f t="shared" si="2"/>
        <v>0</v>
      </c>
      <c r="EA82" s="336">
        <f t="shared" si="3"/>
        <v>0</v>
      </c>
      <c r="EB82" s="336">
        <f t="shared" si="4"/>
        <v>0</v>
      </c>
      <c r="EC82" s="336">
        <f t="shared" si="5"/>
        <v>0</v>
      </c>
      <c r="ED82" s="336">
        <f t="shared" si="6"/>
        <v>0</v>
      </c>
      <c r="EE82" s="336">
        <f t="shared" si="7"/>
        <v>0</v>
      </c>
      <c r="EF82" s="336">
        <f t="shared" si="8"/>
        <v>0</v>
      </c>
      <c r="EG82" s="336">
        <f t="shared" si="9"/>
        <v>0</v>
      </c>
      <c r="EH82" s="336">
        <f t="shared" si="10"/>
        <v>0</v>
      </c>
      <c r="EI82" s="336">
        <f t="shared" si="11"/>
        <v>0</v>
      </c>
      <c r="EJ82" s="336">
        <f t="shared" si="12"/>
        <v>0</v>
      </c>
      <c r="EK82" s="336">
        <f t="shared" si="13"/>
        <v>0</v>
      </c>
      <c r="EL82" s="336">
        <f t="shared" si="14"/>
        <v>0</v>
      </c>
      <c r="EM82" s="336">
        <f t="shared" si="15"/>
        <v>0</v>
      </c>
      <c r="EN82" s="336">
        <f t="shared" si="16"/>
        <v>0</v>
      </c>
      <c r="EO82" s="336">
        <f t="shared" si="17"/>
        <v>0</v>
      </c>
      <c r="EP82" s="336">
        <f t="shared" si="18"/>
        <v>0</v>
      </c>
      <c r="EQ82" s="336">
        <f t="shared" si="19"/>
        <v>0</v>
      </c>
      <c r="ER82" s="336">
        <f t="shared" si="20"/>
        <v>0</v>
      </c>
      <c r="ES82" s="336">
        <f t="shared" si="21"/>
        <v>0</v>
      </c>
      <c r="ET82" s="336">
        <f t="shared" si="1451"/>
        <v>0</v>
      </c>
      <c r="EU82" s="336">
        <f t="shared" si="1452"/>
        <v>0</v>
      </c>
      <c r="EV82" s="336">
        <f t="shared" si="24"/>
        <v>0</v>
      </c>
      <c r="EW82" s="336">
        <f t="shared" si="25"/>
        <v>0</v>
      </c>
      <c r="EX82" s="336">
        <f t="shared" si="26"/>
        <v>0</v>
      </c>
      <c r="EY82" s="336">
        <f t="shared" si="27"/>
        <v>0</v>
      </c>
      <c r="EZ82" s="336">
        <f t="shared" si="28"/>
        <v>0</v>
      </c>
      <c r="FA82" s="336">
        <f t="shared" si="29"/>
        <v>0</v>
      </c>
      <c r="FB82" s="336">
        <f t="shared" si="30"/>
        <v>0</v>
      </c>
      <c r="FC82" s="336">
        <f t="shared" si="31"/>
        <v>0</v>
      </c>
      <c r="FD82" s="336">
        <f t="shared" si="32"/>
        <v>0</v>
      </c>
      <c r="FE82" s="336">
        <f t="shared" si="33"/>
        <v>0</v>
      </c>
      <c r="FF82" s="336">
        <f t="shared" si="34"/>
        <v>0</v>
      </c>
      <c r="FG82" s="336">
        <f t="shared" si="35"/>
        <v>0</v>
      </c>
      <c r="FH82" s="336">
        <f t="shared" si="36"/>
        <v>0</v>
      </c>
      <c r="FI82" s="336">
        <f t="shared" si="37"/>
        <v>0</v>
      </c>
      <c r="FJ82" s="336">
        <f t="shared" si="38"/>
        <v>0</v>
      </c>
      <c r="FK82" s="336">
        <f t="shared" si="39"/>
        <v>0</v>
      </c>
      <c r="FL82" s="336">
        <f t="shared" si="40"/>
        <v>0</v>
      </c>
      <c r="FM82" s="336">
        <f t="shared" si="41"/>
        <v>0</v>
      </c>
      <c r="FN82" s="336">
        <f t="shared" si="42"/>
        <v>0</v>
      </c>
      <c r="FO82" s="336">
        <f t="shared" si="43"/>
        <v>0</v>
      </c>
      <c r="FP82" s="336">
        <f t="shared" si="44"/>
        <v>0</v>
      </c>
      <c r="FQ82" s="336">
        <f t="shared" si="45"/>
        <v>0</v>
      </c>
      <c r="FR82" s="336">
        <f t="shared" si="46"/>
        <v>0</v>
      </c>
      <c r="FS82" s="336">
        <f t="shared" si="47"/>
        <v>0</v>
      </c>
      <c r="FT82" s="336">
        <f t="shared" si="48"/>
        <v>0</v>
      </c>
      <c r="FU82" s="336">
        <f t="shared" si="1216"/>
        <v>0</v>
      </c>
      <c r="FV82" s="336">
        <f t="shared" si="1217"/>
        <v>0</v>
      </c>
      <c r="FW82" s="336">
        <f t="shared" si="1218"/>
        <v>0</v>
      </c>
      <c r="FX82" s="336">
        <f t="shared" si="1219"/>
        <v>0</v>
      </c>
      <c r="FY82" s="336">
        <f t="shared" si="53"/>
        <v>0</v>
      </c>
      <c r="FZ82" s="336">
        <f t="shared" si="54"/>
        <v>0</v>
      </c>
      <c r="GA82" s="336">
        <f t="shared" si="55"/>
        <v>0</v>
      </c>
      <c r="GB82" s="336">
        <f t="shared" si="56"/>
        <v>0</v>
      </c>
      <c r="GC82" s="336">
        <f t="shared" si="57"/>
        <v>0</v>
      </c>
      <c r="GD82" s="336">
        <f t="shared" si="58"/>
        <v>0</v>
      </c>
      <c r="GE82" s="336">
        <f t="shared" si="59"/>
        <v>0</v>
      </c>
      <c r="GF82" s="336">
        <f t="shared" si="60"/>
        <v>0</v>
      </c>
      <c r="GG82" s="336">
        <f t="shared" si="61"/>
        <v>0</v>
      </c>
      <c r="GH82" s="336">
        <f t="shared" si="62"/>
        <v>0</v>
      </c>
      <c r="GI82" s="336">
        <f t="shared" si="63"/>
        <v>0</v>
      </c>
      <c r="GJ82" s="336">
        <f t="shared" si="64"/>
        <v>0</v>
      </c>
      <c r="GK82" s="336">
        <f>IF(DS82=1,($BC82*DS82),0)</f>
        <v>0</v>
      </c>
      <c r="GL82" s="336">
        <f t="shared" si="1641"/>
        <v>0</v>
      </c>
      <c r="GM82" s="336">
        <f t="shared" si="66"/>
        <v>0</v>
      </c>
    </row>
    <row r="83" spans="1:197" ht="31.5" customHeight="1">
      <c r="A83" s="337"/>
      <c r="B83" s="372"/>
      <c r="C83" s="372"/>
      <c r="D83" s="440"/>
      <c r="E83" s="416"/>
      <c r="F83" s="416"/>
      <c r="G83" s="340"/>
      <c r="H83" s="350"/>
      <c r="I83" s="337"/>
      <c r="J83" s="337"/>
      <c r="K83" s="341"/>
      <c r="L83" s="342"/>
      <c r="M83" s="342"/>
      <c r="N83" s="342"/>
      <c r="O83" s="342"/>
      <c r="P83" s="344"/>
      <c r="Q83" s="342"/>
      <c r="R83" s="342"/>
      <c r="S83" s="342"/>
      <c r="T83" s="344"/>
      <c r="U83" s="342"/>
      <c r="V83" s="344"/>
      <c r="W83" s="343"/>
      <c r="X83" s="343"/>
      <c r="Y83" s="419"/>
      <c r="Z83" s="344"/>
      <c r="AA83" s="345"/>
      <c r="AB83" s="345"/>
      <c r="AC83" s="345"/>
      <c r="AD83" s="345"/>
      <c r="AE83" s="345"/>
      <c r="AF83" s="345"/>
      <c r="AG83" s="459"/>
      <c r="AH83" s="460"/>
      <c r="AI83" s="344"/>
      <c r="AJ83" s="342"/>
      <c r="AK83" s="344"/>
      <c r="AL83" s="344"/>
      <c r="AM83" s="344"/>
      <c r="AN83" s="348"/>
      <c r="AO83" s="342"/>
      <c r="AP83" s="349"/>
      <c r="AQ83" s="350"/>
      <c r="AR83" s="351"/>
      <c r="AS83" s="343"/>
      <c r="AT83" s="351"/>
      <c r="AU83" s="351"/>
      <c r="AV83" s="351"/>
      <c r="AW83" s="351"/>
      <c r="AX83" s="343"/>
      <c r="AY83" s="355"/>
      <c r="AZ83" s="355"/>
      <c r="BA83" s="348"/>
      <c r="BB83" s="340"/>
      <c r="BC83" s="344"/>
      <c r="BE83" s="416"/>
      <c r="BF83" s="416"/>
      <c r="BG83" s="416"/>
      <c r="BH83" s="416"/>
      <c r="BI83" s="416"/>
      <c r="BJ83" s="416"/>
      <c r="BK83" s="416"/>
      <c r="BL83" s="416"/>
      <c r="BM83" s="416"/>
      <c r="BN83" s="416"/>
      <c r="BO83" s="416"/>
      <c r="BP83" s="416"/>
      <c r="BQ83" s="416"/>
      <c r="BR83" s="416"/>
      <c r="BS83" s="416"/>
      <c r="BT83" s="416"/>
      <c r="BU83" s="416"/>
      <c r="BV83" s="416"/>
      <c r="BW83" s="416"/>
      <c r="BX83" s="416"/>
      <c r="BY83" s="416"/>
      <c r="BZ83" s="416"/>
      <c r="CA83" s="416"/>
      <c r="CB83" s="416"/>
      <c r="CC83" s="416"/>
      <c r="CD83" s="416"/>
      <c r="CE83" s="416"/>
      <c r="CF83" s="416"/>
      <c r="CG83" s="416"/>
      <c r="CH83" s="416"/>
      <c r="CI83" s="416"/>
      <c r="CJ83" s="416"/>
      <c r="CK83" s="416"/>
      <c r="CL83" s="416"/>
      <c r="CM83" s="416"/>
      <c r="CN83" s="416"/>
      <c r="CO83" s="416"/>
      <c r="CP83" s="416"/>
      <c r="CQ83" s="416"/>
      <c r="CR83" s="416"/>
      <c r="CS83" s="416"/>
      <c r="CT83" s="416"/>
      <c r="CU83" s="416"/>
      <c r="CV83" s="416"/>
      <c r="CW83" s="416"/>
      <c r="CX83" s="416"/>
      <c r="CY83" s="416"/>
      <c r="CZ83" s="416"/>
      <c r="DA83" s="416"/>
      <c r="DB83" s="416"/>
      <c r="DC83" s="416"/>
      <c r="DD83" s="416"/>
      <c r="DE83" s="416"/>
      <c r="DF83" s="416"/>
      <c r="DG83" s="416"/>
      <c r="DH83" s="416"/>
      <c r="DI83" s="416"/>
      <c r="DJ83" s="416"/>
      <c r="DK83" s="416"/>
      <c r="DL83" s="416"/>
      <c r="DM83" s="416"/>
      <c r="DN83" s="416"/>
      <c r="DO83" s="416"/>
      <c r="DP83" s="416"/>
      <c r="DQ83" s="416"/>
      <c r="DR83" s="416"/>
      <c r="DS83" s="416"/>
      <c r="DT83" s="416"/>
      <c r="DU83" s="416"/>
      <c r="DW83" s="336"/>
      <c r="DX83" s="336"/>
      <c r="DY83" s="336"/>
      <c r="DZ83" s="336"/>
      <c r="EA83" s="336"/>
      <c r="EB83" s="336"/>
      <c r="EC83" s="336"/>
      <c r="ED83" s="336"/>
      <c r="EE83" s="336"/>
      <c r="EF83" s="336"/>
      <c r="EG83" s="336"/>
      <c r="EH83" s="336"/>
      <c r="EI83" s="336"/>
      <c r="EJ83" s="336"/>
      <c r="EK83" s="336"/>
      <c r="EL83" s="336"/>
      <c r="EM83" s="336"/>
      <c r="EN83" s="336"/>
      <c r="EO83" s="336"/>
      <c r="EP83" s="336"/>
      <c r="EQ83" s="336"/>
      <c r="ER83" s="336"/>
      <c r="ES83" s="336"/>
      <c r="ET83" s="336"/>
      <c r="EU83" s="336"/>
      <c r="EV83" s="336"/>
      <c r="EW83" s="336"/>
      <c r="EX83" s="336"/>
      <c r="EY83" s="336"/>
      <c r="EZ83" s="336"/>
      <c r="FA83" s="336"/>
      <c r="FB83" s="336"/>
      <c r="FC83" s="336"/>
      <c r="FD83" s="336"/>
      <c r="FE83" s="336"/>
      <c r="FF83" s="336"/>
      <c r="FG83" s="336"/>
      <c r="FH83" s="336"/>
      <c r="FI83" s="336"/>
      <c r="FJ83" s="336"/>
      <c r="FK83" s="336"/>
      <c r="FL83" s="336"/>
      <c r="FM83" s="336"/>
      <c r="FN83" s="336"/>
      <c r="FO83" s="336"/>
      <c r="FP83" s="336"/>
      <c r="FQ83" s="336"/>
      <c r="FR83" s="336"/>
      <c r="FS83" s="336"/>
      <c r="FT83" s="336"/>
      <c r="FU83" s="336"/>
      <c r="FV83" s="336"/>
      <c r="FW83" s="336"/>
      <c r="FX83" s="336"/>
      <c r="FY83" s="336"/>
      <c r="FZ83" s="336"/>
      <c r="GA83" s="336"/>
      <c r="GB83" s="336"/>
      <c r="GC83" s="336"/>
      <c r="GD83" s="336"/>
      <c r="GE83" s="336"/>
      <c r="GF83" s="336"/>
      <c r="GG83" s="336"/>
      <c r="GH83" s="336"/>
      <c r="GI83" s="336"/>
      <c r="GJ83" s="336"/>
      <c r="GK83" s="336"/>
      <c r="GL83" s="336"/>
      <c r="GM83" s="336"/>
    </row>
    <row r="84" spans="1:197" s="40" customFormat="1" ht="31.5" customHeight="1">
      <c r="A84" s="390"/>
      <c r="B84" s="389"/>
      <c r="C84" s="389"/>
      <c r="D84" s="441"/>
      <c r="E84" s="432"/>
      <c r="F84" s="432"/>
      <c r="G84" s="390"/>
      <c r="H84" s="392"/>
      <c r="I84" s="388"/>
      <c r="J84" s="388"/>
      <c r="K84" s="391"/>
      <c r="L84" s="392"/>
      <c r="M84" s="392"/>
      <c r="N84" s="392"/>
      <c r="O84" s="392"/>
      <c r="P84" s="393"/>
      <c r="Q84" s="392"/>
      <c r="R84" s="392"/>
      <c r="S84" s="392"/>
      <c r="T84" s="393"/>
      <c r="U84" s="392"/>
      <c r="V84" s="393"/>
      <c r="W84" s="401"/>
      <c r="X84" s="401"/>
      <c r="Y84" s="401"/>
      <c r="Z84" s="393"/>
      <c r="AA84" s="402"/>
      <c r="AB84" s="402"/>
      <c r="AC84" s="402"/>
      <c r="AD84" s="402"/>
      <c r="AE84" s="402"/>
      <c r="AF84" s="402"/>
      <c r="AG84" s="461"/>
      <c r="AH84" s="462"/>
      <c r="AI84" s="393"/>
      <c r="AJ84" s="392"/>
      <c r="AK84" s="393"/>
      <c r="AL84" s="393"/>
      <c r="AM84" s="393"/>
      <c r="AN84" s="404"/>
      <c r="AO84" s="392"/>
      <c r="AP84" s="371"/>
      <c r="AQ84" s="392"/>
      <c r="AR84" s="404"/>
      <c r="AS84" s="393"/>
      <c r="AT84" s="404"/>
      <c r="AU84" s="404"/>
      <c r="AV84" s="404"/>
      <c r="AW84" s="404"/>
      <c r="AX84" s="404"/>
      <c r="AY84" s="404"/>
      <c r="AZ84" s="404"/>
      <c r="BA84" s="404"/>
      <c r="BB84" s="404"/>
      <c r="BC84" s="404"/>
      <c r="BE84" s="432"/>
      <c r="BF84" s="432"/>
      <c r="BG84" s="432"/>
      <c r="BH84" s="432"/>
      <c r="BI84" s="432"/>
      <c r="BJ84" s="432"/>
      <c r="BK84" s="432"/>
      <c r="BL84" s="432"/>
      <c r="BM84" s="432"/>
      <c r="BN84" s="432"/>
      <c r="BO84" s="432"/>
      <c r="BP84" s="432"/>
      <c r="BQ84" s="432"/>
      <c r="BR84" s="432"/>
      <c r="BS84" s="432"/>
      <c r="BT84" s="432"/>
      <c r="BU84" s="432"/>
      <c r="BV84" s="432"/>
      <c r="BW84" s="432"/>
      <c r="BX84" s="432"/>
      <c r="BY84" s="432"/>
      <c r="BZ84" s="432"/>
      <c r="CA84" s="432"/>
      <c r="CB84" s="432"/>
      <c r="CC84" s="432"/>
      <c r="CD84" s="432"/>
      <c r="CE84" s="432"/>
      <c r="CF84" s="432"/>
      <c r="CG84" s="432"/>
      <c r="CH84" s="432"/>
      <c r="CI84" s="432"/>
      <c r="CJ84" s="432"/>
      <c r="CK84" s="432"/>
      <c r="CL84" s="432"/>
      <c r="CM84" s="432"/>
      <c r="CN84" s="432"/>
      <c r="CO84" s="432"/>
      <c r="CP84" s="432"/>
      <c r="CQ84" s="432"/>
      <c r="CR84" s="432"/>
      <c r="CS84" s="432"/>
      <c r="CT84" s="432"/>
      <c r="CU84" s="432"/>
      <c r="CV84" s="432"/>
      <c r="CW84" s="432"/>
      <c r="CX84" s="432"/>
      <c r="CY84" s="432"/>
      <c r="CZ84" s="432"/>
      <c r="DA84" s="432"/>
      <c r="DB84" s="432"/>
      <c r="DC84" s="432"/>
      <c r="DD84" s="432"/>
      <c r="DE84" s="432"/>
      <c r="DF84" s="432"/>
      <c r="DG84" s="432"/>
      <c r="DH84" s="432"/>
      <c r="DI84" s="432"/>
      <c r="DJ84" s="432"/>
      <c r="DK84" s="432"/>
      <c r="DL84" s="432"/>
      <c r="DM84" s="432"/>
      <c r="DN84" s="432"/>
      <c r="DO84" s="432"/>
      <c r="DP84" s="432"/>
      <c r="DQ84" s="432"/>
      <c r="DR84" s="432"/>
      <c r="DS84" s="432"/>
      <c r="DT84" s="432"/>
      <c r="DU84" s="432"/>
      <c r="DV84" s="61"/>
      <c r="DW84" s="336"/>
      <c r="DX84" s="336"/>
      <c r="DY84" s="336"/>
      <c r="DZ84" s="336"/>
      <c r="EA84" s="336"/>
      <c r="EB84" s="336"/>
      <c r="EC84" s="336"/>
      <c r="ED84" s="336"/>
      <c r="EE84" s="336"/>
      <c r="EF84" s="336"/>
      <c r="EG84" s="336"/>
      <c r="EH84" s="336"/>
      <c r="EI84" s="336"/>
      <c r="EJ84" s="336"/>
      <c r="EK84" s="336"/>
      <c r="EL84" s="336"/>
      <c r="EM84" s="336"/>
      <c r="EN84" s="336"/>
      <c r="EO84" s="336"/>
      <c r="EP84" s="336"/>
      <c r="EQ84" s="336"/>
      <c r="ER84" s="336"/>
      <c r="ES84" s="336"/>
      <c r="ET84" s="336"/>
      <c r="EU84" s="336"/>
      <c r="EV84" s="336"/>
      <c r="EW84" s="336"/>
      <c r="EX84" s="336"/>
      <c r="EY84" s="336"/>
      <c r="EZ84" s="336"/>
      <c r="FA84" s="336"/>
      <c r="FB84" s="336"/>
      <c r="FC84" s="336"/>
      <c r="FD84" s="336"/>
      <c r="FE84" s="336"/>
      <c r="FF84" s="336"/>
      <c r="FG84" s="336"/>
      <c r="FH84" s="336"/>
      <c r="FI84" s="336"/>
      <c r="FJ84" s="336"/>
      <c r="FK84" s="336"/>
      <c r="FL84" s="336"/>
      <c r="FM84" s="336"/>
      <c r="FN84" s="336"/>
      <c r="FO84" s="336"/>
      <c r="FP84" s="336"/>
      <c r="FQ84" s="336"/>
      <c r="FR84" s="336"/>
      <c r="FS84" s="336"/>
      <c r="FT84" s="336"/>
      <c r="FU84" s="336"/>
      <c r="FV84" s="336"/>
      <c r="FW84" s="336"/>
      <c r="FX84" s="336"/>
      <c r="FY84" s="336"/>
      <c r="FZ84" s="336"/>
      <c r="GA84" s="336"/>
      <c r="GB84" s="336"/>
      <c r="GC84" s="336"/>
      <c r="GD84" s="336"/>
      <c r="GE84" s="336"/>
      <c r="GF84" s="336"/>
      <c r="GG84" s="336"/>
      <c r="GH84" s="336"/>
      <c r="GI84" s="336"/>
      <c r="GJ84" s="336"/>
      <c r="GK84" s="336"/>
      <c r="GL84" s="336"/>
      <c r="GM84" s="336"/>
    </row>
    <row r="85" spans="1:197" s="41" customFormat="1" ht="31.5" customHeight="1">
      <c r="A85" s="463"/>
      <c r="B85" s="464"/>
      <c r="C85" s="464"/>
      <c r="D85" s="465"/>
      <c r="E85" s="465"/>
      <c r="F85" s="465"/>
      <c r="G85" s="463"/>
      <c r="H85" s="463"/>
      <c r="I85" s="463"/>
      <c r="J85" s="463"/>
      <c r="K85" s="463"/>
      <c r="L85" s="463"/>
      <c r="M85" s="463"/>
      <c r="N85" s="463"/>
      <c r="O85" s="463"/>
      <c r="P85" s="463"/>
      <c r="Q85" s="463"/>
      <c r="R85" s="463"/>
      <c r="S85" s="463"/>
      <c r="T85" s="463"/>
      <c r="U85" s="463"/>
      <c r="V85" s="463"/>
      <c r="W85" s="463"/>
      <c r="X85" s="463"/>
      <c r="Y85" s="463"/>
      <c r="Z85" s="463"/>
      <c r="AA85" s="463"/>
      <c r="AB85" s="463"/>
      <c r="AC85" s="463"/>
      <c r="AD85" s="463"/>
      <c r="AE85" s="463"/>
      <c r="AF85" s="463"/>
      <c r="AG85" s="466"/>
      <c r="AH85" s="467"/>
      <c r="AI85" s="463"/>
      <c r="AJ85" s="463"/>
      <c r="AK85" s="463"/>
      <c r="AL85" s="463"/>
      <c r="AM85" s="463"/>
      <c r="AN85" s="463"/>
      <c r="AO85" s="463"/>
      <c r="AP85" s="463"/>
      <c r="AQ85" s="463"/>
      <c r="AR85" s="463"/>
      <c r="AS85" s="463"/>
      <c r="AT85" s="463"/>
      <c r="AU85" s="463"/>
      <c r="AV85" s="463"/>
      <c r="AW85" s="463"/>
      <c r="AX85" s="463">
        <f>SUM(AX7:AX84)</f>
        <v>24990</v>
      </c>
      <c r="AY85" s="463"/>
      <c r="AZ85" s="463">
        <f>SUM(AZ7:AZ84)</f>
        <v>128</v>
      </c>
      <c r="BA85" s="463"/>
      <c r="BB85" s="463"/>
      <c r="BC85" s="463"/>
      <c r="BE85" s="465"/>
      <c r="BF85" s="465"/>
      <c r="BG85" s="465"/>
      <c r="BH85" s="465"/>
      <c r="BI85" s="465"/>
      <c r="BJ85" s="465"/>
      <c r="BK85" s="465"/>
      <c r="BL85" s="465"/>
      <c r="BM85" s="465"/>
      <c r="BN85" s="465"/>
      <c r="BO85" s="465"/>
      <c r="BP85" s="465"/>
      <c r="BQ85" s="465"/>
      <c r="BR85" s="465"/>
      <c r="BS85" s="465"/>
      <c r="BT85" s="465"/>
      <c r="BU85" s="465"/>
      <c r="BV85" s="465"/>
      <c r="BW85" s="465"/>
      <c r="BX85" s="465"/>
      <c r="BY85" s="465"/>
      <c r="BZ85" s="465"/>
      <c r="CA85" s="465"/>
      <c r="CB85" s="465"/>
      <c r="CC85" s="465"/>
      <c r="CD85" s="465"/>
      <c r="CE85" s="465"/>
      <c r="CF85" s="465"/>
      <c r="CG85" s="465"/>
      <c r="CH85" s="465"/>
      <c r="CI85" s="465"/>
      <c r="CJ85" s="465"/>
      <c r="CK85" s="465"/>
      <c r="CL85" s="465"/>
      <c r="CM85" s="465"/>
      <c r="CN85" s="465"/>
      <c r="CO85" s="465"/>
      <c r="CP85" s="465"/>
      <c r="CQ85" s="465"/>
      <c r="CR85" s="465"/>
      <c r="CS85" s="465"/>
      <c r="CT85" s="465"/>
      <c r="CU85" s="465"/>
      <c r="CV85" s="465"/>
      <c r="CW85" s="465"/>
      <c r="CX85" s="465"/>
      <c r="CY85" s="465"/>
      <c r="CZ85" s="465"/>
      <c r="DA85" s="465"/>
      <c r="DB85" s="465"/>
      <c r="DC85" s="465"/>
      <c r="DD85" s="465"/>
      <c r="DE85" s="465"/>
      <c r="DF85" s="465"/>
      <c r="DG85" s="465"/>
      <c r="DH85" s="465"/>
      <c r="DI85" s="465"/>
      <c r="DJ85" s="465"/>
      <c r="DK85" s="465"/>
      <c r="DL85" s="465"/>
      <c r="DM85" s="465"/>
      <c r="DN85" s="465"/>
      <c r="DO85" s="465"/>
      <c r="DP85" s="465"/>
      <c r="DQ85" s="465"/>
      <c r="DR85" s="465"/>
      <c r="DS85" s="465"/>
      <c r="DT85" s="465"/>
      <c r="DU85" s="465"/>
      <c r="DV85" s="61"/>
      <c r="DW85" s="411">
        <f t="shared" ref="DW85:FC85" si="1719">SUM(DW6:DW84)</f>
        <v>0</v>
      </c>
      <c r="DX85" s="411">
        <f t="shared" si="1719"/>
        <v>1979</v>
      </c>
      <c r="DY85" s="411">
        <f t="shared" si="1719"/>
        <v>0</v>
      </c>
      <c r="DZ85" s="411">
        <f t="shared" si="1719"/>
        <v>0</v>
      </c>
      <c r="EA85" s="411">
        <f t="shared" si="1719"/>
        <v>1550</v>
      </c>
      <c r="EB85" s="411">
        <f t="shared" si="1719"/>
        <v>1336</v>
      </c>
      <c r="EC85" s="411">
        <f t="shared" si="1719"/>
        <v>0</v>
      </c>
      <c r="ED85" s="411">
        <f t="shared" si="1719"/>
        <v>0</v>
      </c>
      <c r="EE85" s="411">
        <f t="shared" si="1719"/>
        <v>0</v>
      </c>
      <c r="EF85" s="411">
        <f t="shared" si="1719"/>
        <v>1336</v>
      </c>
      <c r="EG85" s="411">
        <f t="shared" si="1719"/>
        <v>0</v>
      </c>
      <c r="EH85" s="411">
        <f t="shared" si="1719"/>
        <v>772</v>
      </c>
      <c r="EI85" s="411">
        <f t="shared" si="1719"/>
        <v>618</v>
      </c>
      <c r="EJ85" s="411">
        <f t="shared" si="1719"/>
        <v>464</v>
      </c>
      <c r="EK85" s="411">
        <f t="shared" si="1719"/>
        <v>263</v>
      </c>
      <c r="EL85" s="411">
        <f t="shared" si="1719"/>
        <v>139</v>
      </c>
      <c r="EM85" s="411">
        <f t="shared" si="1719"/>
        <v>0</v>
      </c>
      <c r="EN85" s="411">
        <f t="shared" si="1719"/>
        <v>564</v>
      </c>
      <c r="EO85" s="411">
        <f t="shared" si="1719"/>
        <v>564</v>
      </c>
      <c r="EP85" s="411">
        <f t="shared" si="1719"/>
        <v>132</v>
      </c>
      <c r="EQ85" s="411">
        <f t="shared" si="1719"/>
        <v>490</v>
      </c>
      <c r="ER85" s="411">
        <f t="shared" si="1719"/>
        <v>666</v>
      </c>
      <c r="ES85" s="411">
        <f t="shared" si="1719"/>
        <v>0</v>
      </c>
      <c r="ET85" s="411">
        <f t="shared" ref="ET85" si="1720">SUM(ET6:ET84)</f>
        <v>0</v>
      </c>
      <c r="EU85" s="411">
        <f t="shared" si="1719"/>
        <v>124</v>
      </c>
      <c r="EV85" s="411">
        <f t="shared" si="1719"/>
        <v>308</v>
      </c>
      <c r="EW85" s="411">
        <f t="shared" si="1719"/>
        <v>234</v>
      </c>
      <c r="EX85" s="411">
        <f t="shared" si="1719"/>
        <v>0</v>
      </c>
      <c r="EY85" s="411">
        <f t="shared" si="1719"/>
        <v>0</v>
      </c>
      <c r="EZ85" s="411">
        <f t="shared" si="1719"/>
        <v>0</v>
      </c>
      <c r="FA85" s="411">
        <f t="shared" si="1719"/>
        <v>0</v>
      </c>
      <c r="FB85" s="411">
        <f t="shared" si="1719"/>
        <v>0</v>
      </c>
      <c r="FC85" s="411">
        <f t="shared" si="1719"/>
        <v>0</v>
      </c>
      <c r="FD85" s="411">
        <f t="shared" ref="FD85:FX85" si="1721">SUM(FD6:FD84)</f>
        <v>0</v>
      </c>
      <c r="FE85" s="411">
        <f t="shared" si="1721"/>
        <v>0</v>
      </c>
      <c r="FF85" s="411">
        <f t="shared" si="1721"/>
        <v>0</v>
      </c>
      <c r="FG85" s="411">
        <f t="shared" si="1721"/>
        <v>0</v>
      </c>
      <c r="FH85" s="411">
        <f t="shared" si="1721"/>
        <v>0</v>
      </c>
      <c r="FI85" s="411">
        <f t="shared" si="1721"/>
        <v>0</v>
      </c>
      <c r="FJ85" s="411">
        <f t="shared" si="1721"/>
        <v>0</v>
      </c>
      <c r="FK85" s="411">
        <f t="shared" si="1721"/>
        <v>0</v>
      </c>
      <c r="FL85" s="411">
        <f t="shared" si="1721"/>
        <v>0</v>
      </c>
      <c r="FM85" s="411">
        <f t="shared" si="1721"/>
        <v>0</v>
      </c>
      <c r="FN85" s="411">
        <f t="shared" si="1721"/>
        <v>0</v>
      </c>
      <c r="FO85" s="411">
        <f t="shared" si="1721"/>
        <v>0</v>
      </c>
      <c r="FP85" s="411">
        <f t="shared" si="1721"/>
        <v>429</v>
      </c>
      <c r="FQ85" s="411">
        <f t="shared" si="1721"/>
        <v>0</v>
      </c>
      <c r="FR85" s="411">
        <f t="shared" si="1721"/>
        <v>429</v>
      </c>
      <c r="FS85" s="411">
        <f t="shared" si="1721"/>
        <v>0</v>
      </c>
      <c r="FT85" s="411">
        <f t="shared" si="1721"/>
        <v>0</v>
      </c>
      <c r="FU85" s="411">
        <f t="shared" si="1721"/>
        <v>0</v>
      </c>
      <c r="FV85" s="411">
        <f t="shared" si="1721"/>
        <v>0</v>
      </c>
      <c r="FW85" s="411">
        <f t="shared" si="1721"/>
        <v>0</v>
      </c>
      <c r="FX85" s="411">
        <f t="shared" si="1721"/>
        <v>0</v>
      </c>
      <c r="FY85" s="411">
        <f t="shared" ref="FY85:GK85" si="1722">SUM(FY6:FY84)</f>
        <v>305</v>
      </c>
      <c r="FZ85" s="411">
        <f t="shared" si="1722"/>
        <v>305</v>
      </c>
      <c r="GA85" s="411">
        <f t="shared" si="1722"/>
        <v>0</v>
      </c>
      <c r="GB85" s="411">
        <f t="shared" si="1722"/>
        <v>0</v>
      </c>
      <c r="GC85" s="411">
        <f t="shared" si="1722"/>
        <v>0</v>
      </c>
      <c r="GD85" s="411">
        <f t="shared" si="1722"/>
        <v>0</v>
      </c>
      <c r="GE85" s="411">
        <f t="shared" si="1722"/>
        <v>0</v>
      </c>
      <c r="GF85" s="411">
        <f t="shared" si="1722"/>
        <v>0</v>
      </c>
      <c r="GG85" s="411">
        <f t="shared" si="1722"/>
        <v>0</v>
      </c>
      <c r="GH85" s="411">
        <f t="shared" si="1722"/>
        <v>0</v>
      </c>
      <c r="GI85" s="411">
        <f t="shared" si="1722"/>
        <v>0</v>
      </c>
      <c r="GJ85" s="411">
        <f t="shared" si="1722"/>
        <v>0</v>
      </c>
      <c r="GK85" s="411">
        <f t="shared" si="1722"/>
        <v>0</v>
      </c>
      <c r="GL85" s="411">
        <f t="shared" ref="GL85" si="1723">SUM(GL6:GL84)</f>
        <v>0</v>
      </c>
      <c r="GM85" s="411">
        <f>SUM(GM6:GM84)</f>
        <v>0</v>
      </c>
      <c r="GN85" s="38"/>
      <c r="GO85" s="38"/>
    </row>
    <row r="86" spans="1:197" ht="15" customHeight="1" thickBot="1">
      <c r="AC86" s="38"/>
      <c r="AD86" s="38"/>
      <c r="AE86" s="38"/>
      <c r="AF86" s="38"/>
      <c r="AG86" s="469"/>
    </row>
    <row r="87" spans="1:197" ht="15">
      <c r="AC87" s="38"/>
      <c r="AD87" s="38"/>
      <c r="AE87" s="38"/>
      <c r="AF87" s="38"/>
      <c r="DV87" s="118">
        <v>600</v>
      </c>
      <c r="DW87" s="85">
        <f t="shared" ref="DW87" si="1724">DW85/$DV$87*1.2</f>
        <v>0</v>
      </c>
      <c r="DX87" s="85">
        <f t="shared" ref="DX87:GM87" si="1725">DX85/$DV$87*1.2</f>
        <v>3.9579999999999997</v>
      </c>
      <c r="DY87" s="85">
        <f t="shared" si="1725"/>
        <v>0</v>
      </c>
      <c r="DZ87" s="85">
        <f t="shared" si="1725"/>
        <v>0</v>
      </c>
      <c r="EA87" s="85">
        <f t="shared" si="1725"/>
        <v>3.1</v>
      </c>
      <c r="EB87" s="85">
        <f t="shared" si="1725"/>
        <v>2.6719999999999997</v>
      </c>
      <c r="EC87" s="85">
        <f t="shared" si="1725"/>
        <v>0</v>
      </c>
      <c r="ED87" s="85">
        <f t="shared" si="1725"/>
        <v>0</v>
      </c>
      <c r="EE87" s="85">
        <f t="shared" si="1725"/>
        <v>0</v>
      </c>
      <c r="EF87" s="85">
        <f t="shared" si="1725"/>
        <v>2.6719999999999997</v>
      </c>
      <c r="EG87" s="85">
        <f t="shared" si="1725"/>
        <v>0</v>
      </c>
      <c r="EH87" s="85">
        <f t="shared" si="1725"/>
        <v>1.5439999999999998</v>
      </c>
      <c r="EI87" s="85">
        <f t="shared" si="1725"/>
        <v>1.236</v>
      </c>
      <c r="EJ87" s="85">
        <f t="shared" si="1725"/>
        <v>0.92799999999999994</v>
      </c>
      <c r="EK87" s="85">
        <f t="shared" si="1725"/>
        <v>0.52600000000000002</v>
      </c>
      <c r="EL87" s="85">
        <f t="shared" si="1725"/>
        <v>0.27799999999999997</v>
      </c>
      <c r="EM87" s="85">
        <f t="shared" si="1725"/>
        <v>0</v>
      </c>
      <c r="EN87" s="85">
        <f t="shared" si="1725"/>
        <v>1.1279999999999999</v>
      </c>
      <c r="EO87" s="85">
        <f t="shared" si="1725"/>
        <v>1.1279999999999999</v>
      </c>
      <c r="EP87" s="85">
        <f t="shared" si="1725"/>
        <v>0.26400000000000001</v>
      </c>
      <c r="EQ87" s="85">
        <f t="shared" si="1725"/>
        <v>0.98</v>
      </c>
      <c r="ER87" s="85">
        <f t="shared" si="1725"/>
        <v>1.3320000000000001</v>
      </c>
      <c r="ES87" s="85">
        <f t="shared" si="1725"/>
        <v>0</v>
      </c>
      <c r="ET87" s="85">
        <f t="shared" ref="ET87" si="1726">ET85/$DV$87*1.2</f>
        <v>0</v>
      </c>
      <c r="EU87" s="85">
        <f t="shared" si="1725"/>
        <v>0.248</v>
      </c>
      <c r="EV87" s="85">
        <f t="shared" si="1725"/>
        <v>0.61599999999999999</v>
      </c>
      <c r="EW87" s="85">
        <f t="shared" si="1725"/>
        <v>0.46799999999999997</v>
      </c>
      <c r="EX87" s="85">
        <f t="shared" si="1725"/>
        <v>0</v>
      </c>
      <c r="EY87" s="85">
        <f t="shared" si="1725"/>
        <v>0</v>
      </c>
      <c r="EZ87" s="85">
        <f t="shared" si="1725"/>
        <v>0</v>
      </c>
      <c r="FA87" s="85">
        <f t="shared" si="1725"/>
        <v>0</v>
      </c>
      <c r="FB87" s="85">
        <f t="shared" si="1725"/>
        <v>0</v>
      </c>
      <c r="FC87" s="85">
        <f t="shared" si="1725"/>
        <v>0</v>
      </c>
      <c r="FD87" s="85">
        <f t="shared" si="1725"/>
        <v>0</v>
      </c>
      <c r="FE87" s="85">
        <f t="shared" si="1725"/>
        <v>0</v>
      </c>
      <c r="FF87" s="85">
        <f t="shared" si="1725"/>
        <v>0</v>
      </c>
      <c r="FG87" s="85">
        <f t="shared" si="1725"/>
        <v>0</v>
      </c>
      <c r="FH87" s="85">
        <f t="shared" si="1725"/>
        <v>0</v>
      </c>
      <c r="FI87" s="85">
        <f t="shared" si="1725"/>
        <v>0</v>
      </c>
      <c r="FJ87" s="85">
        <f t="shared" si="1725"/>
        <v>0</v>
      </c>
      <c r="FK87" s="85">
        <f t="shared" si="1725"/>
        <v>0</v>
      </c>
      <c r="FL87" s="85">
        <f t="shared" si="1725"/>
        <v>0</v>
      </c>
      <c r="FM87" s="85">
        <f t="shared" si="1725"/>
        <v>0</v>
      </c>
      <c r="FN87" s="85">
        <f t="shared" si="1725"/>
        <v>0</v>
      </c>
      <c r="FO87" s="85">
        <f t="shared" si="1725"/>
        <v>0</v>
      </c>
      <c r="FP87" s="85">
        <f t="shared" si="1725"/>
        <v>0.85799999999999998</v>
      </c>
      <c r="FQ87" s="85">
        <f t="shared" si="1725"/>
        <v>0</v>
      </c>
      <c r="FR87" s="85">
        <f t="shared" si="1725"/>
        <v>0.85799999999999998</v>
      </c>
      <c r="FS87" s="85">
        <f t="shared" si="1725"/>
        <v>0</v>
      </c>
      <c r="FT87" s="85">
        <f t="shared" si="1725"/>
        <v>0</v>
      </c>
      <c r="FU87" s="85">
        <f t="shared" ref="FU87:FX87" si="1727">FU85/$DV$87*1.2</f>
        <v>0</v>
      </c>
      <c r="FV87" s="85">
        <f t="shared" si="1727"/>
        <v>0</v>
      </c>
      <c r="FW87" s="85">
        <f t="shared" si="1727"/>
        <v>0</v>
      </c>
      <c r="FX87" s="85">
        <f t="shared" si="1727"/>
        <v>0</v>
      </c>
      <c r="FY87" s="85">
        <f t="shared" si="1725"/>
        <v>0.61</v>
      </c>
      <c r="FZ87" s="85">
        <f t="shared" si="1725"/>
        <v>0.61</v>
      </c>
      <c r="GA87" s="85">
        <f t="shared" si="1725"/>
        <v>0</v>
      </c>
      <c r="GB87" s="85">
        <f t="shared" si="1725"/>
        <v>0</v>
      </c>
      <c r="GC87" s="85">
        <f t="shared" si="1725"/>
        <v>0</v>
      </c>
      <c r="GD87" s="85">
        <f t="shared" si="1725"/>
        <v>0</v>
      </c>
      <c r="GE87" s="85">
        <f t="shared" si="1725"/>
        <v>0</v>
      </c>
      <c r="GF87" s="85">
        <f t="shared" si="1725"/>
        <v>0</v>
      </c>
      <c r="GG87" s="85">
        <f t="shared" si="1725"/>
        <v>0</v>
      </c>
      <c r="GH87" s="85">
        <f t="shared" si="1725"/>
        <v>0</v>
      </c>
      <c r="GI87" s="85">
        <f t="shared" si="1725"/>
        <v>0</v>
      </c>
      <c r="GJ87" s="85">
        <f t="shared" si="1725"/>
        <v>0</v>
      </c>
      <c r="GK87" s="85">
        <f t="shared" si="1725"/>
        <v>0</v>
      </c>
      <c r="GL87" s="85">
        <f t="shared" ref="GL87" si="1728">GL85/$DV$87*1.2</f>
        <v>0</v>
      </c>
      <c r="GM87" s="173">
        <f t="shared" si="1725"/>
        <v>0</v>
      </c>
    </row>
    <row r="88" spans="1:197" ht="15" customHeight="1" thickBot="1">
      <c r="AC88" s="38"/>
      <c r="AD88" s="38"/>
      <c r="AE88" s="38"/>
      <c r="AF88" s="38"/>
      <c r="AV88" s="13"/>
      <c r="AW88" s="13"/>
      <c r="AX88" s="13"/>
      <c r="AY88" s="13"/>
      <c r="AZ88" s="13"/>
      <c r="BA88" s="13"/>
      <c r="DV88" s="87"/>
      <c r="DW88" s="88">
        <f>IF(DW85=0,0,ROUNDUP(DW87,0))</f>
        <v>0</v>
      </c>
      <c r="DX88" s="88">
        <f t="shared" ref="DX88:GM88" si="1729">IF(DX85=0,0,ROUNDUP(DX87,0))</f>
        <v>4</v>
      </c>
      <c r="DY88" s="88">
        <f t="shared" si="1729"/>
        <v>0</v>
      </c>
      <c r="DZ88" s="88">
        <f t="shared" si="1729"/>
        <v>0</v>
      </c>
      <c r="EA88" s="88">
        <f t="shared" si="1729"/>
        <v>4</v>
      </c>
      <c r="EB88" s="88">
        <f t="shared" si="1729"/>
        <v>3</v>
      </c>
      <c r="EC88" s="88">
        <f t="shared" si="1729"/>
        <v>0</v>
      </c>
      <c r="ED88" s="88">
        <f t="shared" si="1729"/>
        <v>0</v>
      </c>
      <c r="EE88" s="88">
        <f t="shared" si="1729"/>
        <v>0</v>
      </c>
      <c r="EF88" s="88">
        <f t="shared" si="1729"/>
        <v>3</v>
      </c>
      <c r="EG88" s="88">
        <f t="shared" si="1729"/>
        <v>0</v>
      </c>
      <c r="EH88" s="88">
        <f t="shared" si="1729"/>
        <v>2</v>
      </c>
      <c r="EI88" s="88">
        <f t="shared" si="1729"/>
        <v>2</v>
      </c>
      <c r="EJ88" s="88">
        <f t="shared" si="1729"/>
        <v>1</v>
      </c>
      <c r="EK88" s="88">
        <f t="shared" si="1729"/>
        <v>1</v>
      </c>
      <c r="EL88" s="88">
        <f t="shared" si="1729"/>
        <v>1</v>
      </c>
      <c r="EM88" s="88">
        <f t="shared" si="1729"/>
        <v>0</v>
      </c>
      <c r="EN88" s="88">
        <f t="shared" si="1729"/>
        <v>2</v>
      </c>
      <c r="EO88" s="88">
        <f t="shared" si="1729"/>
        <v>2</v>
      </c>
      <c r="EP88" s="88">
        <f t="shared" si="1729"/>
        <v>1</v>
      </c>
      <c r="EQ88" s="88">
        <f t="shared" si="1729"/>
        <v>1</v>
      </c>
      <c r="ER88" s="88">
        <f t="shared" si="1729"/>
        <v>2</v>
      </c>
      <c r="ES88" s="88">
        <f t="shared" si="1729"/>
        <v>0</v>
      </c>
      <c r="ET88" s="88">
        <f t="shared" ref="ET88" si="1730">IF(ET85=0,0,ROUNDUP(ET87,0))</f>
        <v>0</v>
      </c>
      <c r="EU88" s="88">
        <f t="shared" si="1729"/>
        <v>1</v>
      </c>
      <c r="EV88" s="88">
        <f t="shared" si="1729"/>
        <v>1</v>
      </c>
      <c r="EW88" s="88">
        <f t="shared" si="1729"/>
        <v>1</v>
      </c>
      <c r="EX88" s="88">
        <f t="shared" si="1729"/>
        <v>0</v>
      </c>
      <c r="EY88" s="88">
        <f t="shared" si="1729"/>
        <v>0</v>
      </c>
      <c r="EZ88" s="88">
        <f t="shared" si="1729"/>
        <v>0</v>
      </c>
      <c r="FA88" s="88">
        <f t="shared" si="1729"/>
        <v>0</v>
      </c>
      <c r="FB88" s="88">
        <f t="shared" si="1729"/>
        <v>0</v>
      </c>
      <c r="FC88" s="88">
        <f t="shared" si="1729"/>
        <v>0</v>
      </c>
      <c r="FD88" s="88">
        <f t="shared" si="1729"/>
        <v>0</v>
      </c>
      <c r="FE88" s="88">
        <f t="shared" si="1729"/>
        <v>0</v>
      </c>
      <c r="FF88" s="88">
        <f t="shared" si="1729"/>
        <v>0</v>
      </c>
      <c r="FG88" s="88">
        <f t="shared" si="1729"/>
        <v>0</v>
      </c>
      <c r="FH88" s="88">
        <f t="shared" si="1729"/>
        <v>0</v>
      </c>
      <c r="FI88" s="88">
        <f t="shared" si="1729"/>
        <v>0</v>
      </c>
      <c r="FJ88" s="88">
        <f t="shared" si="1729"/>
        <v>0</v>
      </c>
      <c r="FK88" s="88">
        <f t="shared" si="1729"/>
        <v>0</v>
      </c>
      <c r="FL88" s="88">
        <f t="shared" si="1729"/>
        <v>0</v>
      </c>
      <c r="FM88" s="88">
        <f t="shared" si="1729"/>
        <v>0</v>
      </c>
      <c r="FN88" s="88">
        <f t="shared" si="1729"/>
        <v>0</v>
      </c>
      <c r="FO88" s="88">
        <f t="shared" si="1729"/>
        <v>0</v>
      </c>
      <c r="FP88" s="88">
        <f t="shared" si="1729"/>
        <v>1</v>
      </c>
      <c r="FQ88" s="88">
        <f t="shared" si="1729"/>
        <v>0</v>
      </c>
      <c r="FR88" s="88">
        <f t="shared" si="1729"/>
        <v>1</v>
      </c>
      <c r="FS88" s="88">
        <f t="shared" si="1729"/>
        <v>0</v>
      </c>
      <c r="FT88" s="88">
        <f t="shared" si="1729"/>
        <v>0</v>
      </c>
      <c r="FU88" s="88">
        <f t="shared" ref="FU88:FX88" si="1731">IF(FU85=0,0,ROUNDUP(FU87,0))</f>
        <v>0</v>
      </c>
      <c r="FV88" s="88">
        <f t="shared" si="1731"/>
        <v>0</v>
      </c>
      <c r="FW88" s="88">
        <f t="shared" si="1731"/>
        <v>0</v>
      </c>
      <c r="FX88" s="88">
        <f t="shared" si="1731"/>
        <v>0</v>
      </c>
      <c r="FY88" s="88">
        <f t="shared" si="1729"/>
        <v>1</v>
      </c>
      <c r="FZ88" s="88">
        <f t="shared" si="1729"/>
        <v>1</v>
      </c>
      <c r="GA88" s="88">
        <f t="shared" si="1729"/>
        <v>0</v>
      </c>
      <c r="GB88" s="88">
        <f t="shared" si="1729"/>
        <v>0</v>
      </c>
      <c r="GC88" s="88">
        <f t="shared" si="1729"/>
        <v>0</v>
      </c>
      <c r="GD88" s="88">
        <f t="shared" si="1729"/>
        <v>0</v>
      </c>
      <c r="GE88" s="88">
        <f t="shared" si="1729"/>
        <v>0</v>
      </c>
      <c r="GF88" s="88">
        <f t="shared" si="1729"/>
        <v>0</v>
      </c>
      <c r="GG88" s="88">
        <f t="shared" si="1729"/>
        <v>0</v>
      </c>
      <c r="GH88" s="88">
        <f t="shared" si="1729"/>
        <v>0</v>
      </c>
      <c r="GI88" s="88">
        <f t="shared" si="1729"/>
        <v>0</v>
      </c>
      <c r="GJ88" s="88">
        <f t="shared" si="1729"/>
        <v>0</v>
      </c>
      <c r="GK88" s="88">
        <f t="shared" si="1729"/>
        <v>0</v>
      </c>
      <c r="GL88" s="88">
        <f t="shared" ref="GL88" si="1732">IF(GL85=0,0,ROUNDUP(GL87,0))</f>
        <v>0</v>
      </c>
      <c r="GM88" s="174">
        <f t="shared" si="1729"/>
        <v>0</v>
      </c>
    </row>
    <row r="89" spans="1:197" ht="15" customHeight="1" thickBot="1">
      <c r="AC89" s="38"/>
      <c r="AD89" s="38"/>
      <c r="AE89" s="38"/>
      <c r="AF89" s="38"/>
      <c r="AV89" s="13"/>
      <c r="AW89" s="13"/>
      <c r="AX89" s="13"/>
      <c r="AY89" s="13"/>
      <c r="AZ89" s="13"/>
      <c r="BA89" s="13"/>
    </row>
    <row r="90" spans="1:197" ht="15">
      <c r="AC90" s="38"/>
      <c r="AD90" s="38"/>
      <c r="AE90" s="38"/>
      <c r="AF90" s="38"/>
      <c r="AV90" s="13"/>
      <c r="AW90" s="13"/>
      <c r="AX90" s="13"/>
      <c r="AY90" s="13"/>
      <c r="AZ90" s="13"/>
      <c r="BA90" s="13"/>
      <c r="DV90" s="118">
        <v>750</v>
      </c>
      <c r="DW90" s="85">
        <f t="shared" ref="DW90" si="1733">DW85/$DV$90*1.2</f>
        <v>0</v>
      </c>
      <c r="DX90" s="85">
        <f t="shared" ref="DX90:GM90" si="1734">DX85/$DV$90*1.2</f>
        <v>3.1663999999999999</v>
      </c>
      <c r="DY90" s="85">
        <f t="shared" si="1734"/>
        <v>0</v>
      </c>
      <c r="DZ90" s="85">
        <f t="shared" si="1734"/>
        <v>0</v>
      </c>
      <c r="EA90" s="85">
        <f t="shared" si="1734"/>
        <v>2.48</v>
      </c>
      <c r="EB90" s="85">
        <f t="shared" si="1734"/>
        <v>2.1375999999999999</v>
      </c>
      <c r="EC90" s="85">
        <f t="shared" si="1734"/>
        <v>0</v>
      </c>
      <c r="ED90" s="85">
        <f t="shared" si="1734"/>
        <v>0</v>
      </c>
      <c r="EE90" s="85">
        <f t="shared" si="1734"/>
        <v>0</v>
      </c>
      <c r="EF90" s="85">
        <f t="shared" si="1734"/>
        <v>2.1375999999999999</v>
      </c>
      <c r="EG90" s="85">
        <f t="shared" si="1734"/>
        <v>0</v>
      </c>
      <c r="EH90" s="85">
        <f t="shared" si="1734"/>
        <v>1.2352000000000001</v>
      </c>
      <c r="EI90" s="85">
        <f t="shared" si="1734"/>
        <v>0.9887999999999999</v>
      </c>
      <c r="EJ90" s="85">
        <f t="shared" si="1734"/>
        <v>0.74240000000000006</v>
      </c>
      <c r="EK90" s="85">
        <f t="shared" si="1734"/>
        <v>0.42080000000000001</v>
      </c>
      <c r="EL90" s="85">
        <f t="shared" si="1734"/>
        <v>0.22239999999999999</v>
      </c>
      <c r="EM90" s="85">
        <f t="shared" si="1734"/>
        <v>0</v>
      </c>
      <c r="EN90" s="85">
        <f t="shared" si="1734"/>
        <v>0.90239999999999998</v>
      </c>
      <c r="EO90" s="85">
        <f t="shared" si="1734"/>
        <v>0.90239999999999998</v>
      </c>
      <c r="EP90" s="85">
        <f t="shared" si="1734"/>
        <v>0.21119999999999997</v>
      </c>
      <c r="EQ90" s="85">
        <f t="shared" si="1734"/>
        <v>0.78399999999999992</v>
      </c>
      <c r="ER90" s="85">
        <f t="shared" si="1734"/>
        <v>1.0655999999999999</v>
      </c>
      <c r="ES90" s="85">
        <f t="shared" si="1734"/>
        <v>0</v>
      </c>
      <c r="ET90" s="85">
        <f t="shared" ref="ET90" si="1735">ET85/$DV$90*1.2</f>
        <v>0</v>
      </c>
      <c r="EU90" s="85">
        <f t="shared" si="1734"/>
        <v>0.19839999999999999</v>
      </c>
      <c r="EV90" s="85">
        <f t="shared" si="1734"/>
        <v>0.49280000000000002</v>
      </c>
      <c r="EW90" s="85">
        <f t="shared" si="1734"/>
        <v>0.37440000000000001</v>
      </c>
      <c r="EX90" s="85">
        <f t="shared" si="1734"/>
        <v>0</v>
      </c>
      <c r="EY90" s="85">
        <f t="shared" si="1734"/>
        <v>0</v>
      </c>
      <c r="EZ90" s="85">
        <f t="shared" si="1734"/>
        <v>0</v>
      </c>
      <c r="FA90" s="85">
        <f t="shared" si="1734"/>
        <v>0</v>
      </c>
      <c r="FB90" s="85">
        <f t="shared" si="1734"/>
        <v>0</v>
      </c>
      <c r="FC90" s="85">
        <f t="shared" si="1734"/>
        <v>0</v>
      </c>
      <c r="FD90" s="85">
        <f t="shared" si="1734"/>
        <v>0</v>
      </c>
      <c r="FE90" s="85">
        <f t="shared" si="1734"/>
        <v>0</v>
      </c>
      <c r="FF90" s="85">
        <f t="shared" si="1734"/>
        <v>0</v>
      </c>
      <c r="FG90" s="85">
        <f t="shared" si="1734"/>
        <v>0</v>
      </c>
      <c r="FH90" s="85">
        <f t="shared" si="1734"/>
        <v>0</v>
      </c>
      <c r="FI90" s="85">
        <f t="shared" si="1734"/>
        <v>0</v>
      </c>
      <c r="FJ90" s="85">
        <f t="shared" si="1734"/>
        <v>0</v>
      </c>
      <c r="FK90" s="85">
        <f t="shared" si="1734"/>
        <v>0</v>
      </c>
      <c r="FL90" s="85">
        <f t="shared" si="1734"/>
        <v>0</v>
      </c>
      <c r="FM90" s="85">
        <f t="shared" si="1734"/>
        <v>0</v>
      </c>
      <c r="FN90" s="85">
        <f t="shared" si="1734"/>
        <v>0</v>
      </c>
      <c r="FO90" s="85">
        <f t="shared" si="1734"/>
        <v>0</v>
      </c>
      <c r="FP90" s="85">
        <f t="shared" si="1734"/>
        <v>0.6863999999999999</v>
      </c>
      <c r="FQ90" s="85">
        <f t="shared" si="1734"/>
        <v>0</v>
      </c>
      <c r="FR90" s="85">
        <f t="shared" si="1734"/>
        <v>0.6863999999999999</v>
      </c>
      <c r="FS90" s="85">
        <f t="shared" si="1734"/>
        <v>0</v>
      </c>
      <c r="FT90" s="85">
        <f t="shared" si="1734"/>
        <v>0</v>
      </c>
      <c r="FU90" s="85">
        <f t="shared" ref="FU90:FX90" si="1736">FU85/$DV$90*1.2</f>
        <v>0</v>
      </c>
      <c r="FV90" s="85">
        <f t="shared" si="1736"/>
        <v>0</v>
      </c>
      <c r="FW90" s="85">
        <f t="shared" si="1736"/>
        <v>0</v>
      </c>
      <c r="FX90" s="85">
        <f t="shared" si="1736"/>
        <v>0</v>
      </c>
      <c r="FY90" s="85">
        <f t="shared" si="1734"/>
        <v>0.48799999999999999</v>
      </c>
      <c r="FZ90" s="85">
        <f t="shared" si="1734"/>
        <v>0.48799999999999999</v>
      </c>
      <c r="GA90" s="85">
        <f t="shared" si="1734"/>
        <v>0</v>
      </c>
      <c r="GB90" s="85">
        <f t="shared" si="1734"/>
        <v>0</v>
      </c>
      <c r="GC90" s="85">
        <f t="shared" si="1734"/>
        <v>0</v>
      </c>
      <c r="GD90" s="85">
        <f t="shared" si="1734"/>
        <v>0</v>
      </c>
      <c r="GE90" s="85">
        <f t="shared" si="1734"/>
        <v>0</v>
      </c>
      <c r="GF90" s="85">
        <f t="shared" si="1734"/>
        <v>0</v>
      </c>
      <c r="GG90" s="85">
        <f t="shared" si="1734"/>
        <v>0</v>
      </c>
      <c r="GH90" s="85">
        <f t="shared" si="1734"/>
        <v>0</v>
      </c>
      <c r="GI90" s="85">
        <f t="shared" si="1734"/>
        <v>0</v>
      </c>
      <c r="GJ90" s="85">
        <f t="shared" si="1734"/>
        <v>0</v>
      </c>
      <c r="GK90" s="85">
        <f t="shared" si="1734"/>
        <v>0</v>
      </c>
      <c r="GL90" s="85">
        <f t="shared" ref="GL90" si="1737">GL85/$DV$90*1.2</f>
        <v>0</v>
      </c>
      <c r="GM90" s="173">
        <f t="shared" si="1734"/>
        <v>0</v>
      </c>
    </row>
    <row r="91" spans="1:197" ht="15" customHeight="1" thickBot="1">
      <c r="AC91" s="38"/>
      <c r="AD91" s="38"/>
      <c r="AE91" s="38"/>
      <c r="AF91" s="38"/>
      <c r="AV91" s="13"/>
      <c r="AW91" s="13"/>
      <c r="AX91" s="13"/>
      <c r="AY91" s="13"/>
      <c r="AZ91" s="13"/>
      <c r="BA91" s="13"/>
      <c r="DV91" s="87"/>
      <c r="DW91" s="88">
        <f>IF(DW85=0,0,ROUNDUP(DW90,0))</f>
        <v>0</v>
      </c>
      <c r="DX91" s="88">
        <f t="shared" ref="DX91:GM91" si="1738">IF(DX85=0,0,ROUNDUP(DX90,0))</f>
        <v>4</v>
      </c>
      <c r="DY91" s="88">
        <f t="shared" si="1738"/>
        <v>0</v>
      </c>
      <c r="DZ91" s="88">
        <f t="shared" si="1738"/>
        <v>0</v>
      </c>
      <c r="EA91" s="88">
        <f t="shared" si="1738"/>
        <v>3</v>
      </c>
      <c r="EB91" s="88">
        <f t="shared" si="1738"/>
        <v>3</v>
      </c>
      <c r="EC91" s="88">
        <f t="shared" si="1738"/>
        <v>0</v>
      </c>
      <c r="ED91" s="88">
        <f t="shared" si="1738"/>
        <v>0</v>
      </c>
      <c r="EE91" s="88">
        <f t="shared" si="1738"/>
        <v>0</v>
      </c>
      <c r="EF91" s="88">
        <f t="shared" si="1738"/>
        <v>3</v>
      </c>
      <c r="EG91" s="88">
        <f t="shared" si="1738"/>
        <v>0</v>
      </c>
      <c r="EH91" s="88">
        <f t="shared" si="1738"/>
        <v>2</v>
      </c>
      <c r="EI91" s="88">
        <f t="shared" si="1738"/>
        <v>1</v>
      </c>
      <c r="EJ91" s="88">
        <f t="shared" si="1738"/>
        <v>1</v>
      </c>
      <c r="EK91" s="88">
        <f t="shared" si="1738"/>
        <v>1</v>
      </c>
      <c r="EL91" s="88">
        <f t="shared" si="1738"/>
        <v>1</v>
      </c>
      <c r="EM91" s="88">
        <f t="shared" si="1738"/>
        <v>0</v>
      </c>
      <c r="EN91" s="88">
        <f t="shared" si="1738"/>
        <v>1</v>
      </c>
      <c r="EO91" s="88">
        <f t="shared" si="1738"/>
        <v>1</v>
      </c>
      <c r="EP91" s="88">
        <f t="shared" si="1738"/>
        <v>1</v>
      </c>
      <c r="EQ91" s="88">
        <f t="shared" si="1738"/>
        <v>1</v>
      </c>
      <c r="ER91" s="88">
        <f t="shared" si="1738"/>
        <v>2</v>
      </c>
      <c r="ES91" s="88">
        <f t="shared" si="1738"/>
        <v>0</v>
      </c>
      <c r="ET91" s="88">
        <f t="shared" ref="ET91" si="1739">IF(ET85=0,0,ROUNDUP(ET90,0))</f>
        <v>0</v>
      </c>
      <c r="EU91" s="88">
        <f t="shared" si="1738"/>
        <v>1</v>
      </c>
      <c r="EV91" s="88">
        <f t="shared" si="1738"/>
        <v>1</v>
      </c>
      <c r="EW91" s="88">
        <f t="shared" si="1738"/>
        <v>1</v>
      </c>
      <c r="EX91" s="88">
        <f t="shared" si="1738"/>
        <v>0</v>
      </c>
      <c r="EY91" s="88">
        <f t="shared" si="1738"/>
        <v>0</v>
      </c>
      <c r="EZ91" s="88">
        <f t="shared" si="1738"/>
        <v>0</v>
      </c>
      <c r="FA91" s="88">
        <f t="shared" si="1738"/>
        <v>0</v>
      </c>
      <c r="FB91" s="88">
        <f t="shared" si="1738"/>
        <v>0</v>
      </c>
      <c r="FC91" s="88">
        <f t="shared" si="1738"/>
        <v>0</v>
      </c>
      <c r="FD91" s="88">
        <f t="shared" si="1738"/>
        <v>0</v>
      </c>
      <c r="FE91" s="88">
        <f t="shared" si="1738"/>
        <v>0</v>
      </c>
      <c r="FF91" s="88">
        <f t="shared" si="1738"/>
        <v>0</v>
      </c>
      <c r="FG91" s="88">
        <f t="shared" si="1738"/>
        <v>0</v>
      </c>
      <c r="FH91" s="88">
        <f t="shared" si="1738"/>
        <v>0</v>
      </c>
      <c r="FI91" s="88">
        <f t="shared" si="1738"/>
        <v>0</v>
      </c>
      <c r="FJ91" s="88">
        <f t="shared" si="1738"/>
        <v>0</v>
      </c>
      <c r="FK91" s="88">
        <f t="shared" si="1738"/>
        <v>0</v>
      </c>
      <c r="FL91" s="88">
        <f t="shared" si="1738"/>
        <v>0</v>
      </c>
      <c r="FM91" s="88">
        <f t="shared" si="1738"/>
        <v>0</v>
      </c>
      <c r="FN91" s="88">
        <f t="shared" si="1738"/>
        <v>0</v>
      </c>
      <c r="FO91" s="88">
        <f t="shared" si="1738"/>
        <v>0</v>
      </c>
      <c r="FP91" s="88">
        <f t="shared" si="1738"/>
        <v>1</v>
      </c>
      <c r="FQ91" s="88">
        <f t="shared" si="1738"/>
        <v>0</v>
      </c>
      <c r="FR91" s="88">
        <f t="shared" si="1738"/>
        <v>1</v>
      </c>
      <c r="FS91" s="88">
        <f t="shared" si="1738"/>
        <v>0</v>
      </c>
      <c r="FT91" s="88">
        <f t="shared" si="1738"/>
        <v>0</v>
      </c>
      <c r="FU91" s="88">
        <f t="shared" ref="FU91:FX91" si="1740">IF(FU85=0,0,ROUNDUP(FU90,0))</f>
        <v>0</v>
      </c>
      <c r="FV91" s="88">
        <f t="shared" si="1740"/>
        <v>0</v>
      </c>
      <c r="FW91" s="88">
        <f t="shared" si="1740"/>
        <v>0</v>
      </c>
      <c r="FX91" s="88">
        <f t="shared" si="1740"/>
        <v>0</v>
      </c>
      <c r="FY91" s="88">
        <f t="shared" si="1738"/>
        <v>1</v>
      </c>
      <c r="FZ91" s="88">
        <f t="shared" si="1738"/>
        <v>1</v>
      </c>
      <c r="GA91" s="88">
        <f t="shared" si="1738"/>
        <v>0</v>
      </c>
      <c r="GB91" s="88">
        <f t="shared" si="1738"/>
        <v>0</v>
      </c>
      <c r="GC91" s="88">
        <f t="shared" si="1738"/>
        <v>0</v>
      </c>
      <c r="GD91" s="88">
        <f t="shared" si="1738"/>
        <v>0</v>
      </c>
      <c r="GE91" s="88">
        <f t="shared" si="1738"/>
        <v>0</v>
      </c>
      <c r="GF91" s="88">
        <f t="shared" si="1738"/>
        <v>0</v>
      </c>
      <c r="GG91" s="88">
        <f t="shared" si="1738"/>
        <v>0</v>
      </c>
      <c r="GH91" s="88">
        <f t="shared" si="1738"/>
        <v>0</v>
      </c>
      <c r="GI91" s="88">
        <f t="shared" si="1738"/>
        <v>0</v>
      </c>
      <c r="GJ91" s="88">
        <f t="shared" si="1738"/>
        <v>0</v>
      </c>
      <c r="GK91" s="88">
        <f t="shared" si="1738"/>
        <v>0</v>
      </c>
      <c r="GL91" s="88">
        <f t="shared" ref="GL91" si="1741">IF(GL85=0,0,ROUNDUP(GL90,0))</f>
        <v>0</v>
      </c>
      <c r="GM91" s="174">
        <f t="shared" si="1738"/>
        <v>0</v>
      </c>
    </row>
    <row r="92" spans="1:197" ht="15" customHeight="1" thickBot="1">
      <c r="AC92" s="38"/>
      <c r="AD92" s="38"/>
      <c r="AE92" s="38"/>
      <c r="AF92" s="38"/>
      <c r="AV92" s="13"/>
      <c r="AW92" s="13"/>
      <c r="AX92" s="13"/>
      <c r="AY92" s="13"/>
      <c r="AZ92" s="13"/>
      <c r="BA92" s="13"/>
    </row>
    <row r="93" spans="1:197" ht="15">
      <c r="AC93" s="38"/>
      <c r="AD93" s="38"/>
      <c r="AE93" s="38"/>
      <c r="AF93" s="38"/>
      <c r="AV93" s="13"/>
      <c r="AW93" s="13"/>
      <c r="AX93" s="13"/>
      <c r="AY93" s="13"/>
      <c r="AZ93" s="13"/>
      <c r="BA93" s="13"/>
      <c r="DV93" s="118">
        <v>900</v>
      </c>
      <c r="DW93" s="85">
        <f>DW88/$DV$90*1.2</f>
        <v>0</v>
      </c>
      <c r="DX93" s="85">
        <f t="shared" ref="DX93:GM93" si="1742">DX88/$DV$90*1.2</f>
        <v>6.3999999999999994E-3</v>
      </c>
      <c r="DY93" s="85">
        <f t="shared" si="1742"/>
        <v>0</v>
      </c>
      <c r="DZ93" s="85">
        <f t="shared" si="1742"/>
        <v>0</v>
      </c>
      <c r="EA93" s="85">
        <f t="shared" si="1742"/>
        <v>6.3999999999999994E-3</v>
      </c>
      <c r="EB93" s="85">
        <f t="shared" si="1742"/>
        <v>4.7999999999999996E-3</v>
      </c>
      <c r="EC93" s="85">
        <f t="shared" si="1742"/>
        <v>0</v>
      </c>
      <c r="ED93" s="85">
        <f t="shared" si="1742"/>
        <v>0</v>
      </c>
      <c r="EE93" s="85">
        <f t="shared" si="1742"/>
        <v>0</v>
      </c>
      <c r="EF93" s="85">
        <f t="shared" si="1742"/>
        <v>4.7999999999999996E-3</v>
      </c>
      <c r="EG93" s="85">
        <f t="shared" si="1742"/>
        <v>0</v>
      </c>
      <c r="EH93" s="85">
        <f t="shared" si="1742"/>
        <v>3.1999999999999997E-3</v>
      </c>
      <c r="EI93" s="85">
        <f t="shared" si="1742"/>
        <v>3.1999999999999997E-3</v>
      </c>
      <c r="EJ93" s="85">
        <f t="shared" si="1742"/>
        <v>1.5999999999999999E-3</v>
      </c>
      <c r="EK93" s="85">
        <f t="shared" si="1742"/>
        <v>1.5999999999999999E-3</v>
      </c>
      <c r="EL93" s="85">
        <f t="shared" si="1742"/>
        <v>1.5999999999999999E-3</v>
      </c>
      <c r="EM93" s="85">
        <f t="shared" si="1742"/>
        <v>0</v>
      </c>
      <c r="EN93" s="85">
        <f t="shared" si="1742"/>
        <v>3.1999999999999997E-3</v>
      </c>
      <c r="EO93" s="85">
        <f t="shared" si="1742"/>
        <v>3.1999999999999997E-3</v>
      </c>
      <c r="EP93" s="85">
        <f t="shared" si="1742"/>
        <v>1.5999999999999999E-3</v>
      </c>
      <c r="EQ93" s="85">
        <f t="shared" si="1742"/>
        <v>1.5999999999999999E-3</v>
      </c>
      <c r="ER93" s="85">
        <f t="shared" si="1742"/>
        <v>3.1999999999999997E-3</v>
      </c>
      <c r="ES93" s="85">
        <f t="shared" si="1742"/>
        <v>0</v>
      </c>
      <c r="ET93" s="85">
        <f t="shared" ref="ET93" si="1743">ET88/$DV$90*1.2</f>
        <v>0</v>
      </c>
      <c r="EU93" s="85">
        <f t="shared" si="1742"/>
        <v>1.5999999999999999E-3</v>
      </c>
      <c r="EV93" s="85">
        <f t="shared" si="1742"/>
        <v>1.5999999999999999E-3</v>
      </c>
      <c r="EW93" s="85">
        <f t="shared" si="1742"/>
        <v>1.5999999999999999E-3</v>
      </c>
      <c r="EX93" s="85">
        <f t="shared" si="1742"/>
        <v>0</v>
      </c>
      <c r="EY93" s="85">
        <f t="shared" si="1742"/>
        <v>0</v>
      </c>
      <c r="EZ93" s="85">
        <f t="shared" si="1742"/>
        <v>0</v>
      </c>
      <c r="FA93" s="85">
        <f t="shared" si="1742"/>
        <v>0</v>
      </c>
      <c r="FB93" s="85">
        <f t="shared" si="1742"/>
        <v>0</v>
      </c>
      <c r="FC93" s="85">
        <f t="shared" si="1742"/>
        <v>0</v>
      </c>
      <c r="FD93" s="85">
        <f t="shared" si="1742"/>
        <v>0</v>
      </c>
      <c r="FE93" s="85">
        <f t="shared" si="1742"/>
        <v>0</v>
      </c>
      <c r="FF93" s="85">
        <f t="shared" si="1742"/>
        <v>0</v>
      </c>
      <c r="FG93" s="85">
        <f t="shared" si="1742"/>
        <v>0</v>
      </c>
      <c r="FH93" s="85">
        <f t="shared" si="1742"/>
        <v>0</v>
      </c>
      <c r="FI93" s="85">
        <f t="shared" si="1742"/>
        <v>0</v>
      </c>
      <c r="FJ93" s="85">
        <f t="shared" si="1742"/>
        <v>0</v>
      </c>
      <c r="FK93" s="85">
        <f t="shared" si="1742"/>
        <v>0</v>
      </c>
      <c r="FL93" s="85">
        <f t="shared" si="1742"/>
        <v>0</v>
      </c>
      <c r="FM93" s="85">
        <f t="shared" si="1742"/>
        <v>0</v>
      </c>
      <c r="FN93" s="85">
        <f t="shared" si="1742"/>
        <v>0</v>
      </c>
      <c r="FO93" s="85">
        <f t="shared" si="1742"/>
        <v>0</v>
      </c>
      <c r="FP93" s="85">
        <f t="shared" si="1742"/>
        <v>1.5999999999999999E-3</v>
      </c>
      <c r="FQ93" s="85">
        <f t="shared" si="1742"/>
        <v>0</v>
      </c>
      <c r="FR93" s="85">
        <f t="shared" si="1742"/>
        <v>1.5999999999999999E-3</v>
      </c>
      <c r="FS93" s="85">
        <f t="shared" si="1742"/>
        <v>0</v>
      </c>
      <c r="FT93" s="85">
        <f t="shared" si="1742"/>
        <v>0</v>
      </c>
      <c r="FU93" s="85">
        <f t="shared" ref="FU93:FX93" si="1744">FU88/$DV$90*1.2</f>
        <v>0</v>
      </c>
      <c r="FV93" s="85">
        <f t="shared" si="1744"/>
        <v>0</v>
      </c>
      <c r="FW93" s="85">
        <f t="shared" si="1744"/>
        <v>0</v>
      </c>
      <c r="FX93" s="85">
        <f t="shared" si="1744"/>
        <v>0</v>
      </c>
      <c r="FY93" s="85">
        <f t="shared" si="1742"/>
        <v>1.5999999999999999E-3</v>
      </c>
      <c r="FZ93" s="85">
        <f t="shared" si="1742"/>
        <v>1.5999999999999999E-3</v>
      </c>
      <c r="GA93" s="85">
        <f t="shared" si="1742"/>
        <v>0</v>
      </c>
      <c r="GB93" s="85">
        <f t="shared" si="1742"/>
        <v>0</v>
      </c>
      <c r="GC93" s="85">
        <f t="shared" si="1742"/>
        <v>0</v>
      </c>
      <c r="GD93" s="85">
        <f t="shared" si="1742"/>
        <v>0</v>
      </c>
      <c r="GE93" s="85">
        <f t="shared" si="1742"/>
        <v>0</v>
      </c>
      <c r="GF93" s="85">
        <f t="shared" si="1742"/>
        <v>0</v>
      </c>
      <c r="GG93" s="85">
        <f t="shared" si="1742"/>
        <v>0</v>
      </c>
      <c r="GH93" s="85">
        <f t="shared" si="1742"/>
        <v>0</v>
      </c>
      <c r="GI93" s="85">
        <f t="shared" si="1742"/>
        <v>0</v>
      </c>
      <c r="GJ93" s="85">
        <f t="shared" si="1742"/>
        <v>0</v>
      </c>
      <c r="GK93" s="85">
        <f t="shared" si="1742"/>
        <v>0</v>
      </c>
      <c r="GL93" s="85">
        <f t="shared" ref="GL93" si="1745">GL88/$DV$90*1.2</f>
        <v>0</v>
      </c>
      <c r="GM93" s="173">
        <f t="shared" si="1742"/>
        <v>0</v>
      </c>
    </row>
    <row r="94" spans="1:197" ht="15" customHeight="1" thickBot="1">
      <c r="AC94" s="38"/>
      <c r="AD94" s="38"/>
      <c r="AE94" s="38"/>
      <c r="AF94" s="38"/>
      <c r="AV94" s="13"/>
      <c r="AW94" s="13"/>
      <c r="AX94" s="13"/>
      <c r="AY94" s="13"/>
      <c r="AZ94" s="13"/>
      <c r="BA94" s="13"/>
      <c r="DV94" s="87"/>
      <c r="DW94" s="88">
        <f>IF(DW88=0,0,ROUNDUP(DW93,0))</f>
        <v>0</v>
      </c>
      <c r="DX94" s="88">
        <f t="shared" ref="DX94:GM94" si="1746">IF(DX88=0,0,ROUNDUP(DX93,0))</f>
        <v>1</v>
      </c>
      <c r="DY94" s="88">
        <f t="shared" si="1746"/>
        <v>0</v>
      </c>
      <c r="DZ94" s="88">
        <f t="shared" si="1746"/>
        <v>0</v>
      </c>
      <c r="EA94" s="88">
        <f t="shared" si="1746"/>
        <v>1</v>
      </c>
      <c r="EB94" s="88">
        <f t="shared" si="1746"/>
        <v>1</v>
      </c>
      <c r="EC94" s="88">
        <f t="shared" si="1746"/>
        <v>0</v>
      </c>
      <c r="ED94" s="88">
        <f t="shared" si="1746"/>
        <v>0</v>
      </c>
      <c r="EE94" s="88">
        <f t="shared" si="1746"/>
        <v>0</v>
      </c>
      <c r="EF94" s="88">
        <f t="shared" si="1746"/>
        <v>1</v>
      </c>
      <c r="EG94" s="88">
        <f t="shared" si="1746"/>
        <v>0</v>
      </c>
      <c r="EH94" s="88">
        <f t="shared" si="1746"/>
        <v>1</v>
      </c>
      <c r="EI94" s="88">
        <f t="shared" si="1746"/>
        <v>1</v>
      </c>
      <c r="EJ94" s="88">
        <f t="shared" si="1746"/>
        <v>1</v>
      </c>
      <c r="EK94" s="88">
        <f t="shared" si="1746"/>
        <v>1</v>
      </c>
      <c r="EL94" s="88">
        <f t="shared" si="1746"/>
        <v>1</v>
      </c>
      <c r="EM94" s="88">
        <f t="shared" si="1746"/>
        <v>0</v>
      </c>
      <c r="EN94" s="88">
        <f t="shared" si="1746"/>
        <v>1</v>
      </c>
      <c r="EO94" s="88">
        <f t="shared" si="1746"/>
        <v>1</v>
      </c>
      <c r="EP94" s="88">
        <f t="shared" si="1746"/>
        <v>1</v>
      </c>
      <c r="EQ94" s="88">
        <f t="shared" si="1746"/>
        <v>1</v>
      </c>
      <c r="ER94" s="88">
        <f t="shared" si="1746"/>
        <v>1</v>
      </c>
      <c r="ES94" s="88">
        <f t="shared" si="1746"/>
        <v>0</v>
      </c>
      <c r="ET94" s="88">
        <f t="shared" ref="ET94" si="1747">IF(ET88=0,0,ROUNDUP(ET93,0))</f>
        <v>0</v>
      </c>
      <c r="EU94" s="88">
        <f t="shared" si="1746"/>
        <v>1</v>
      </c>
      <c r="EV94" s="88">
        <f t="shared" si="1746"/>
        <v>1</v>
      </c>
      <c r="EW94" s="88">
        <f t="shared" si="1746"/>
        <v>1</v>
      </c>
      <c r="EX94" s="88">
        <f t="shared" si="1746"/>
        <v>0</v>
      </c>
      <c r="EY94" s="88">
        <f t="shared" si="1746"/>
        <v>0</v>
      </c>
      <c r="EZ94" s="88">
        <f t="shared" si="1746"/>
        <v>0</v>
      </c>
      <c r="FA94" s="88">
        <f t="shared" si="1746"/>
        <v>0</v>
      </c>
      <c r="FB94" s="88">
        <f t="shared" si="1746"/>
        <v>0</v>
      </c>
      <c r="FC94" s="88">
        <f t="shared" si="1746"/>
        <v>0</v>
      </c>
      <c r="FD94" s="88">
        <f t="shared" si="1746"/>
        <v>0</v>
      </c>
      <c r="FE94" s="88">
        <f t="shared" si="1746"/>
        <v>0</v>
      </c>
      <c r="FF94" s="88">
        <f t="shared" si="1746"/>
        <v>0</v>
      </c>
      <c r="FG94" s="88">
        <f t="shared" si="1746"/>
        <v>0</v>
      </c>
      <c r="FH94" s="88">
        <f t="shared" si="1746"/>
        <v>0</v>
      </c>
      <c r="FI94" s="88">
        <f t="shared" si="1746"/>
        <v>0</v>
      </c>
      <c r="FJ94" s="88">
        <f t="shared" si="1746"/>
        <v>0</v>
      </c>
      <c r="FK94" s="88">
        <f t="shared" si="1746"/>
        <v>0</v>
      </c>
      <c r="FL94" s="88">
        <f t="shared" si="1746"/>
        <v>0</v>
      </c>
      <c r="FM94" s="88">
        <f t="shared" si="1746"/>
        <v>0</v>
      </c>
      <c r="FN94" s="88">
        <f t="shared" si="1746"/>
        <v>0</v>
      </c>
      <c r="FO94" s="88">
        <f t="shared" si="1746"/>
        <v>0</v>
      </c>
      <c r="FP94" s="88">
        <f t="shared" si="1746"/>
        <v>1</v>
      </c>
      <c r="FQ94" s="88">
        <f t="shared" si="1746"/>
        <v>0</v>
      </c>
      <c r="FR94" s="88">
        <f t="shared" si="1746"/>
        <v>1</v>
      </c>
      <c r="FS94" s="88">
        <f t="shared" si="1746"/>
        <v>0</v>
      </c>
      <c r="FT94" s="88">
        <f t="shared" si="1746"/>
        <v>0</v>
      </c>
      <c r="FU94" s="88">
        <f t="shared" ref="FU94:FX94" si="1748">IF(FU88=0,0,ROUNDUP(FU93,0))</f>
        <v>0</v>
      </c>
      <c r="FV94" s="88">
        <f t="shared" si="1748"/>
        <v>0</v>
      </c>
      <c r="FW94" s="88">
        <f t="shared" si="1748"/>
        <v>0</v>
      </c>
      <c r="FX94" s="88">
        <f t="shared" si="1748"/>
        <v>0</v>
      </c>
      <c r="FY94" s="88">
        <f t="shared" si="1746"/>
        <v>1</v>
      </c>
      <c r="FZ94" s="88">
        <f t="shared" si="1746"/>
        <v>1</v>
      </c>
      <c r="GA94" s="88">
        <f t="shared" si="1746"/>
        <v>0</v>
      </c>
      <c r="GB94" s="88">
        <f t="shared" si="1746"/>
        <v>0</v>
      </c>
      <c r="GC94" s="88">
        <f t="shared" si="1746"/>
        <v>0</v>
      </c>
      <c r="GD94" s="88">
        <f t="shared" si="1746"/>
        <v>0</v>
      </c>
      <c r="GE94" s="88">
        <f t="shared" si="1746"/>
        <v>0</v>
      </c>
      <c r="GF94" s="88">
        <f t="shared" si="1746"/>
        <v>0</v>
      </c>
      <c r="GG94" s="88">
        <f t="shared" si="1746"/>
        <v>0</v>
      </c>
      <c r="GH94" s="88">
        <f t="shared" si="1746"/>
        <v>0</v>
      </c>
      <c r="GI94" s="88">
        <f t="shared" si="1746"/>
        <v>0</v>
      </c>
      <c r="GJ94" s="88">
        <f t="shared" si="1746"/>
        <v>0</v>
      </c>
      <c r="GK94" s="88">
        <f t="shared" si="1746"/>
        <v>0</v>
      </c>
      <c r="GL94" s="88">
        <f t="shared" ref="GL94" si="1749">IF(GL88=0,0,ROUNDUP(GL93,0))</f>
        <v>0</v>
      </c>
      <c r="GM94" s="174">
        <f t="shared" si="1746"/>
        <v>0</v>
      </c>
    </row>
    <row r="95" spans="1:197">
      <c r="AC95" s="38"/>
      <c r="AD95" s="38"/>
      <c r="AE95" s="38"/>
      <c r="AF95" s="38"/>
      <c r="AV95" s="13"/>
      <c r="AW95" s="13"/>
      <c r="AX95" s="13"/>
      <c r="AY95" s="13"/>
      <c r="AZ95" s="13"/>
      <c r="BA95" s="13"/>
    </row>
    <row r="96" spans="1:197">
      <c r="AC96" s="38"/>
      <c r="AD96" s="38"/>
      <c r="AE96" s="38"/>
      <c r="AF96" s="38"/>
      <c r="AV96" s="13"/>
      <c r="AW96" s="13"/>
      <c r="AX96" s="13"/>
      <c r="AY96" s="13"/>
      <c r="AZ96" s="13"/>
      <c r="BA96" s="13"/>
    </row>
    <row r="97" spans="29:53">
      <c r="AC97" s="38"/>
      <c r="AD97" s="38"/>
      <c r="AE97" s="38"/>
      <c r="AF97" s="38"/>
      <c r="AV97" s="13"/>
      <c r="AW97" s="13"/>
      <c r="AX97" s="13"/>
      <c r="AY97" s="13"/>
      <c r="AZ97" s="13"/>
      <c r="BA97" s="13"/>
    </row>
    <row r="98" spans="29:53">
      <c r="AC98" s="38"/>
      <c r="AD98" s="38"/>
      <c r="AE98" s="38"/>
      <c r="AF98" s="38"/>
      <c r="AV98" s="13"/>
      <c r="AW98" s="13"/>
      <c r="AX98" s="13"/>
      <c r="AY98" s="13"/>
      <c r="AZ98" s="13"/>
      <c r="BA98" s="13"/>
    </row>
    <row r="99" spans="29:53">
      <c r="AC99" s="38"/>
      <c r="AD99" s="38"/>
      <c r="AE99" s="38"/>
      <c r="AF99" s="38"/>
    </row>
    <row r="100" spans="29:53">
      <c r="AC100" s="38"/>
      <c r="AD100" s="38"/>
      <c r="AE100" s="38"/>
      <c r="AF100" s="38"/>
      <c r="AH100" s="38">
        <v>565</v>
      </c>
      <c r="AI100" s="38">
        <v>1</v>
      </c>
      <c r="AJ100" s="38">
        <v>1</v>
      </c>
    </row>
    <row r="101" spans="29:53">
      <c r="AC101" s="38"/>
      <c r="AD101" s="38"/>
      <c r="AE101" s="38"/>
      <c r="AF101" s="38"/>
      <c r="AH101" s="38">
        <v>547</v>
      </c>
      <c r="AI101" s="38">
        <v>1</v>
      </c>
      <c r="AJ101" s="38">
        <v>1</v>
      </c>
    </row>
    <row r="102" spans="29:53">
      <c r="AC102" s="38"/>
      <c r="AD102" s="38"/>
      <c r="AE102" s="38"/>
      <c r="AF102" s="38"/>
      <c r="AH102" s="38">
        <v>566</v>
      </c>
      <c r="AI102" s="38">
        <v>1</v>
      </c>
      <c r="AJ102" s="38">
        <v>1</v>
      </c>
    </row>
    <row r="103" spans="29:53">
      <c r="AC103" s="38"/>
      <c r="AD103" s="38"/>
      <c r="AE103" s="38"/>
      <c r="AF103" s="38"/>
      <c r="AH103" s="38">
        <v>554</v>
      </c>
      <c r="AI103" s="38">
        <v>1</v>
      </c>
      <c r="AJ103" s="38">
        <v>1</v>
      </c>
    </row>
    <row r="104" spans="29:53">
      <c r="AC104" s="38"/>
      <c r="AD104" s="38"/>
      <c r="AE104" s="38"/>
      <c r="AF104" s="38"/>
      <c r="AH104" s="38">
        <v>1065</v>
      </c>
      <c r="AI104" s="38">
        <v>1</v>
      </c>
      <c r="AJ104" s="38">
        <v>2</v>
      </c>
    </row>
    <row r="105" spans="29:53">
      <c r="AC105" s="38"/>
      <c r="AD105" s="38"/>
      <c r="AE105" s="38"/>
      <c r="AF105" s="38"/>
      <c r="AH105" s="38">
        <v>1065</v>
      </c>
      <c r="AI105" s="38">
        <v>1</v>
      </c>
      <c r="AJ105" s="38">
        <v>2</v>
      </c>
    </row>
    <row r="106" spans="29:53">
      <c r="AC106" s="38"/>
      <c r="AD106" s="38"/>
      <c r="AE106" s="38"/>
      <c r="AF106" s="38"/>
      <c r="AH106" s="38">
        <v>1065</v>
      </c>
      <c r="AI106" s="38">
        <v>1</v>
      </c>
      <c r="AJ106" s="38">
        <v>2</v>
      </c>
    </row>
    <row r="107" spans="29:53">
      <c r="AC107" s="38"/>
      <c r="AD107" s="38"/>
      <c r="AE107" s="38"/>
      <c r="AF107" s="38"/>
      <c r="AJ107" s="344">
        <f>SUBTOTAL(9,AJ100:AJ106)</f>
        <v>10</v>
      </c>
    </row>
    <row r="108" spans="29:53">
      <c r="AC108" s="38"/>
      <c r="AD108" s="38"/>
      <c r="AE108" s="38"/>
      <c r="AF108" s="38"/>
    </row>
    <row r="109" spans="29:53">
      <c r="AC109" s="38"/>
      <c r="AD109" s="38"/>
      <c r="AE109" s="38"/>
      <c r="AF109" s="38"/>
    </row>
    <row r="110" spans="29:53">
      <c r="AC110" s="38"/>
      <c r="AD110" s="38"/>
      <c r="AE110" s="38"/>
      <c r="AF110" s="38"/>
    </row>
    <row r="111" spans="29:53">
      <c r="AC111" s="38"/>
      <c r="AD111" s="38"/>
      <c r="AE111" s="38"/>
      <c r="AF111" s="38"/>
    </row>
    <row r="112" spans="29:53">
      <c r="AC112" s="38"/>
      <c r="AD112" s="38"/>
      <c r="AE112" s="38"/>
      <c r="AF112" s="38"/>
    </row>
    <row r="113" spans="29:32">
      <c r="AC113" s="38"/>
      <c r="AD113" s="38"/>
      <c r="AE113" s="38"/>
      <c r="AF113" s="38"/>
    </row>
    <row r="114" spans="29:32">
      <c r="AC114" s="38"/>
      <c r="AD114" s="38"/>
      <c r="AE114" s="38"/>
      <c r="AF114" s="38"/>
    </row>
    <row r="115" spans="29:32">
      <c r="AC115" s="38"/>
      <c r="AD115" s="38"/>
      <c r="AE115" s="38"/>
      <c r="AF115" s="38"/>
    </row>
    <row r="116" spans="29:32">
      <c r="AC116" s="38"/>
      <c r="AD116" s="38"/>
      <c r="AE116" s="38"/>
      <c r="AF116" s="38"/>
    </row>
    <row r="117" spans="29:32">
      <c r="AC117" s="38"/>
      <c r="AD117" s="38"/>
      <c r="AE117" s="38"/>
      <c r="AF117" s="38"/>
    </row>
    <row r="118" spans="29:32">
      <c r="AC118" s="38"/>
      <c r="AD118" s="38"/>
      <c r="AE118" s="38"/>
      <c r="AF118" s="38"/>
    </row>
    <row r="119" spans="29:32">
      <c r="AC119" s="38"/>
      <c r="AD119" s="38"/>
      <c r="AE119" s="38"/>
      <c r="AF119" s="38"/>
    </row>
    <row r="120" spans="29:32">
      <c r="AC120" s="38"/>
      <c r="AD120" s="38"/>
      <c r="AE120" s="38"/>
      <c r="AF120" s="38"/>
    </row>
    <row r="121" spans="29:32">
      <c r="AC121" s="38"/>
      <c r="AD121" s="38"/>
      <c r="AE121" s="38"/>
      <c r="AF121" s="38"/>
    </row>
    <row r="122" spans="29:32">
      <c r="AC122" s="38"/>
      <c r="AD122" s="38"/>
      <c r="AE122" s="38"/>
      <c r="AF122" s="38"/>
    </row>
    <row r="123" spans="29:32">
      <c r="AC123" s="38"/>
      <c r="AD123" s="38"/>
      <c r="AE123" s="38"/>
      <c r="AF123" s="38"/>
    </row>
    <row r="124" spans="29:32">
      <c r="AC124" s="38"/>
      <c r="AD124" s="38"/>
      <c r="AE124" s="38"/>
      <c r="AF124" s="38"/>
    </row>
    <row r="125" spans="29:32">
      <c r="AC125" s="38"/>
      <c r="AD125" s="38"/>
      <c r="AE125" s="38"/>
      <c r="AF125" s="38"/>
    </row>
    <row r="126" spans="29:32">
      <c r="AC126" s="38"/>
      <c r="AD126" s="38"/>
      <c r="AE126" s="38"/>
      <c r="AF126" s="38"/>
    </row>
    <row r="127" spans="29:32">
      <c r="AC127" s="38"/>
      <c r="AD127" s="38"/>
      <c r="AE127" s="38"/>
      <c r="AF127" s="38"/>
    </row>
    <row r="128" spans="29:32">
      <c r="AC128" s="38"/>
      <c r="AD128" s="38"/>
      <c r="AE128" s="38"/>
      <c r="AF128" s="38"/>
    </row>
    <row r="129" spans="29:32">
      <c r="AC129" s="38"/>
      <c r="AD129" s="38"/>
      <c r="AE129" s="38"/>
      <c r="AF129" s="38"/>
    </row>
    <row r="130" spans="29:32">
      <c r="AC130" s="38"/>
      <c r="AD130" s="38"/>
      <c r="AE130" s="38"/>
      <c r="AF130" s="38"/>
    </row>
    <row r="131" spans="29:32">
      <c r="AC131" s="38"/>
      <c r="AD131" s="38"/>
      <c r="AE131" s="38"/>
      <c r="AF131" s="38"/>
    </row>
    <row r="132" spans="29:32">
      <c r="AC132" s="38"/>
      <c r="AD132" s="38"/>
      <c r="AE132" s="38"/>
      <c r="AF132" s="38"/>
    </row>
    <row r="133" spans="29:32">
      <c r="AC133" s="38"/>
      <c r="AD133" s="38"/>
      <c r="AE133" s="38"/>
      <c r="AF133" s="38"/>
    </row>
    <row r="134" spans="29:32">
      <c r="AC134" s="38"/>
      <c r="AD134" s="38"/>
      <c r="AE134" s="38"/>
      <c r="AF134" s="38"/>
    </row>
    <row r="135" spans="29:32">
      <c r="AC135" s="38"/>
      <c r="AD135" s="38"/>
      <c r="AE135" s="38"/>
      <c r="AF135" s="38"/>
    </row>
    <row r="136" spans="29:32">
      <c r="AC136" s="38"/>
      <c r="AD136" s="38"/>
      <c r="AE136" s="38"/>
      <c r="AF136" s="38"/>
    </row>
    <row r="137" spans="29:32">
      <c r="AC137" s="38"/>
      <c r="AD137" s="38"/>
      <c r="AE137" s="38"/>
      <c r="AF137" s="38"/>
    </row>
    <row r="138" spans="29:32">
      <c r="AC138" s="38"/>
      <c r="AD138" s="38"/>
      <c r="AE138" s="38"/>
      <c r="AF138" s="38"/>
    </row>
    <row r="139" spans="29:32">
      <c r="AC139" s="38"/>
      <c r="AD139" s="38"/>
      <c r="AE139" s="38"/>
      <c r="AF139" s="38"/>
    </row>
    <row r="140" spans="29:32">
      <c r="AC140" s="38"/>
      <c r="AD140" s="38"/>
      <c r="AE140" s="38"/>
      <c r="AF140" s="38"/>
    </row>
    <row r="141" spans="29:32">
      <c r="AC141" s="38"/>
      <c r="AD141" s="38"/>
      <c r="AE141" s="38"/>
      <c r="AF141" s="38"/>
    </row>
    <row r="142" spans="29:32">
      <c r="AC142" s="38"/>
      <c r="AD142" s="38"/>
      <c r="AE142" s="38"/>
      <c r="AF142" s="38"/>
    </row>
    <row r="143" spans="29:32">
      <c r="AC143" s="38"/>
      <c r="AD143" s="38"/>
      <c r="AE143" s="38"/>
      <c r="AF143" s="38"/>
    </row>
    <row r="144" spans="29:32">
      <c r="AC144" s="38"/>
      <c r="AD144" s="38"/>
      <c r="AE144" s="38"/>
      <c r="AF144" s="38"/>
    </row>
    <row r="145" spans="29:32">
      <c r="AC145" s="38"/>
      <c r="AD145" s="38"/>
      <c r="AE145" s="38"/>
      <c r="AF145" s="38"/>
    </row>
    <row r="146" spans="29:32">
      <c r="AC146" s="38"/>
      <c r="AD146" s="38"/>
      <c r="AE146" s="38"/>
      <c r="AF146" s="38"/>
    </row>
    <row r="147" spans="29:32">
      <c r="AC147" s="38"/>
      <c r="AD147" s="38"/>
      <c r="AE147" s="38"/>
      <c r="AF147" s="38"/>
    </row>
    <row r="148" spans="29:32">
      <c r="AC148" s="38"/>
      <c r="AD148" s="38"/>
      <c r="AE148" s="38"/>
      <c r="AF148" s="38"/>
    </row>
    <row r="149" spans="29:32">
      <c r="AC149" s="38"/>
      <c r="AD149" s="38"/>
      <c r="AE149" s="38"/>
      <c r="AF149" s="38"/>
    </row>
    <row r="150" spans="29:32">
      <c r="AC150" s="38"/>
      <c r="AD150" s="38"/>
      <c r="AE150" s="38"/>
      <c r="AF150" s="38"/>
    </row>
    <row r="151" spans="29:32">
      <c r="AC151" s="38"/>
      <c r="AD151" s="38"/>
      <c r="AE151" s="38"/>
      <c r="AF151" s="38"/>
    </row>
    <row r="152" spans="29:32">
      <c r="AC152" s="38"/>
      <c r="AD152" s="38"/>
      <c r="AE152" s="38"/>
      <c r="AF152" s="38"/>
    </row>
    <row r="153" spans="29:32">
      <c r="AC153" s="38"/>
      <c r="AD153" s="38"/>
      <c r="AE153" s="38"/>
      <c r="AF153" s="38"/>
    </row>
    <row r="154" spans="29:32">
      <c r="AC154" s="38"/>
      <c r="AD154" s="38"/>
      <c r="AE154" s="38"/>
      <c r="AF154" s="38"/>
    </row>
    <row r="155" spans="29:32">
      <c r="AC155" s="38"/>
      <c r="AD155" s="38"/>
      <c r="AE155" s="38"/>
      <c r="AF155" s="38"/>
    </row>
    <row r="156" spans="29:32">
      <c r="AC156" s="38"/>
      <c r="AD156" s="38"/>
      <c r="AE156" s="38"/>
      <c r="AF156" s="38"/>
    </row>
    <row r="157" spans="29:32">
      <c r="AC157" s="38"/>
      <c r="AD157" s="38"/>
      <c r="AE157" s="38"/>
      <c r="AF157" s="38"/>
    </row>
    <row r="158" spans="29:32">
      <c r="AC158" s="38"/>
      <c r="AD158" s="38"/>
      <c r="AE158" s="38"/>
      <c r="AF158" s="38"/>
    </row>
    <row r="159" spans="29:32">
      <c r="AC159" s="38"/>
      <c r="AD159" s="38"/>
      <c r="AE159" s="38"/>
      <c r="AF159" s="38"/>
    </row>
    <row r="160" spans="29:32">
      <c r="AC160" s="38"/>
      <c r="AD160" s="38"/>
      <c r="AE160" s="38"/>
      <c r="AF160" s="38"/>
    </row>
    <row r="161" spans="29:32">
      <c r="AC161" s="38"/>
      <c r="AD161" s="38"/>
      <c r="AE161" s="38"/>
      <c r="AF161" s="38"/>
    </row>
    <row r="162" spans="29:32">
      <c r="AC162" s="38"/>
      <c r="AD162" s="38"/>
      <c r="AE162" s="38"/>
      <c r="AF162" s="38"/>
    </row>
    <row r="163" spans="29:32">
      <c r="AC163" s="38"/>
      <c r="AD163" s="38"/>
      <c r="AE163" s="38"/>
      <c r="AF163" s="38"/>
    </row>
    <row r="164" spans="29:32">
      <c r="AC164" s="38"/>
      <c r="AD164" s="38"/>
      <c r="AE164" s="38"/>
      <c r="AF164" s="38"/>
    </row>
    <row r="165" spans="29:32">
      <c r="AC165" s="38"/>
      <c r="AD165" s="38"/>
      <c r="AE165" s="38"/>
      <c r="AF165" s="38"/>
    </row>
    <row r="166" spans="29:32">
      <c r="AC166" s="38"/>
      <c r="AD166" s="38"/>
      <c r="AE166" s="38"/>
      <c r="AF166" s="38"/>
    </row>
    <row r="167" spans="29:32">
      <c r="AC167" s="38"/>
      <c r="AD167" s="38"/>
      <c r="AE167" s="38"/>
      <c r="AF167" s="38"/>
    </row>
    <row r="168" spans="29:32">
      <c r="AC168" s="38"/>
      <c r="AD168" s="38"/>
      <c r="AE168" s="38"/>
      <c r="AF168" s="38"/>
    </row>
    <row r="169" spans="29:32">
      <c r="AC169" s="38"/>
      <c r="AD169" s="38"/>
      <c r="AE169" s="38"/>
      <c r="AF169" s="38"/>
    </row>
    <row r="170" spans="29:32">
      <c r="AC170" s="38"/>
      <c r="AD170" s="38"/>
      <c r="AE170" s="38"/>
      <c r="AF170" s="38"/>
    </row>
    <row r="171" spans="29:32">
      <c r="AC171" s="38"/>
      <c r="AD171" s="38"/>
      <c r="AE171" s="38"/>
      <c r="AF171" s="38"/>
    </row>
    <row r="172" spans="29:32">
      <c r="AC172" s="38"/>
      <c r="AD172" s="38"/>
      <c r="AE172" s="38"/>
      <c r="AF172" s="38"/>
    </row>
    <row r="173" spans="29:32">
      <c r="AC173" s="38"/>
      <c r="AD173" s="38"/>
      <c r="AE173" s="38"/>
      <c r="AF173" s="38"/>
    </row>
    <row r="174" spans="29:32">
      <c r="AC174" s="38"/>
      <c r="AD174" s="38"/>
      <c r="AE174" s="38"/>
      <c r="AF174" s="38"/>
    </row>
    <row r="175" spans="29:32">
      <c r="AC175" s="38"/>
      <c r="AD175" s="38"/>
      <c r="AE175" s="38"/>
      <c r="AF175" s="38"/>
    </row>
    <row r="176" spans="29:32">
      <c r="AC176" s="38"/>
      <c r="AD176" s="38"/>
      <c r="AE176" s="38"/>
      <c r="AF176" s="38"/>
    </row>
    <row r="177" spans="29:32">
      <c r="AC177" s="38"/>
      <c r="AD177" s="38"/>
      <c r="AE177" s="38"/>
      <c r="AF177" s="38"/>
    </row>
    <row r="178" spans="29:32">
      <c r="AC178" s="38"/>
      <c r="AD178" s="38"/>
      <c r="AE178" s="38"/>
      <c r="AF178" s="38"/>
    </row>
    <row r="179" spans="29:32">
      <c r="AC179" s="38"/>
      <c r="AD179" s="38"/>
      <c r="AE179" s="38"/>
      <c r="AF179" s="38"/>
    </row>
  </sheetData>
  <protectedRanges>
    <protectedRange sqref="H11 H23 H25 H27 H29 H31 H33 H35 H37 H39 H42 H44 H66 H68 H70 H73 H13 H15 H17 H19 H75 H77" name="Range1_2_5"/>
  </protectedRanges>
  <autoFilter ref="A5:BC84" xr:uid="{0202CCB9-0166-41F9-98C9-CEF4499CF08D}">
    <filterColumn colId="0">
      <filters blank="1">
        <filter val="1"/>
        <filter val="10"/>
        <filter val="11"/>
        <filter val="12"/>
        <filter val="13"/>
        <filter val="14"/>
        <filter val="15"/>
        <filter val="16"/>
        <filter val="17"/>
        <filter val="18"/>
        <filter val="19"/>
        <filter val="2"/>
        <filter val="20"/>
        <filter val="21"/>
        <filter val="22"/>
        <filter val="23"/>
        <filter val="24"/>
        <filter val="25"/>
        <filter val="26"/>
        <filter val="27"/>
        <filter val="28"/>
        <filter val="29"/>
        <filter val="3"/>
        <filter val="30"/>
        <filter val="31"/>
        <filter val="32"/>
        <filter val="33"/>
        <filter val="34"/>
        <filter val="35"/>
        <filter val="36"/>
        <filter val="37"/>
        <filter val="38"/>
        <filter val="39"/>
        <filter val="4"/>
        <filter val="40"/>
        <filter val="41"/>
        <filter val="42"/>
        <filter val="43"/>
        <filter val="44"/>
        <filter val="45"/>
        <filter val="46"/>
        <filter val="47"/>
        <filter val="48"/>
        <filter val="49"/>
        <filter val="5"/>
        <filter val="50"/>
        <filter val="51"/>
        <filter val="52"/>
        <filter val="53"/>
        <filter val="54"/>
        <filter val="55"/>
        <filter val="56"/>
        <filter val="57"/>
        <filter val="58"/>
        <filter val="59"/>
        <filter val="6"/>
        <filter val="60"/>
        <filter val="61"/>
        <filter val="62"/>
        <filter val="63"/>
        <filter val="64"/>
        <filter val="65"/>
        <filter val="7"/>
        <filter val="8"/>
        <filter val="9"/>
      </filters>
    </filterColumn>
  </autoFilter>
  <mergeCells count="17">
    <mergeCell ref="O81:BC81"/>
    <mergeCell ref="O82:BC82"/>
    <mergeCell ref="O57:BC57"/>
    <mergeCell ref="O59:BC59"/>
    <mergeCell ref="A1:K1"/>
    <mergeCell ref="L1:AS1"/>
    <mergeCell ref="AT1:AV1"/>
    <mergeCell ref="A2:BA2"/>
    <mergeCell ref="A3:A4"/>
    <mergeCell ref="D3:P3"/>
    <mergeCell ref="Q3:S3"/>
    <mergeCell ref="T3:AH3"/>
    <mergeCell ref="AI3:AN3"/>
    <mergeCell ref="AO3:AQ3"/>
    <mergeCell ref="AR3:AS3"/>
    <mergeCell ref="AT3:AU3"/>
    <mergeCell ref="AV3:AX3"/>
  </mergeCells>
  <conditionalFormatting sqref="H7:H10 H12 H14 H16 H18 H20:H22 H24 H26 H28 H30 H32 H34 H36 H38 H41 H43 H45 H47:H48 H50:H62 H65 H67 H69 H72 H74 H76 H79:H83">
    <cfRule type="cellIs" dxfId="75" priority="21" operator="equal">
      <formula>"Total"</formula>
    </cfRule>
  </conditionalFormatting>
  <conditionalFormatting sqref="AQ7:AQ39 AQ41:AQ45 AQ47:AQ48 AQ50:AQ56 AQ58 AQ60:AQ62 AQ65:AQ70 AQ72:AQ77 AQ79:AQ80 AS79:AS80 AQ83 AS83">
    <cfRule type="containsText" dxfId="74" priority="20" operator="containsText" text="NO">
      <formula>NOT(ISERROR(SEARCH("NO",AQ7)))</formula>
    </cfRule>
  </conditionalFormatting>
  <conditionalFormatting sqref="AS7:AS39">
    <cfRule type="containsText" dxfId="73" priority="18" operator="containsText" text="NO">
      <formula>NOT(ISERROR(SEARCH("NO",AS7)))</formula>
    </cfRule>
  </conditionalFormatting>
  <conditionalFormatting sqref="AS41:AS45">
    <cfRule type="containsText" dxfId="72" priority="17" operator="containsText" text="NO">
      <formula>NOT(ISERROR(SEARCH("NO",AS41)))</formula>
    </cfRule>
  </conditionalFormatting>
  <conditionalFormatting sqref="AS47:AS48">
    <cfRule type="containsText" dxfId="71" priority="16" operator="containsText" text="NO">
      <formula>NOT(ISERROR(SEARCH("NO",AS47)))</formula>
    </cfRule>
  </conditionalFormatting>
  <conditionalFormatting sqref="AS50:AS56 AS58 AS60:AS62">
    <cfRule type="containsText" dxfId="70" priority="10" operator="containsText" text="NO">
      <formula>NOT(ISERROR(SEARCH("NO",AS50)))</formula>
    </cfRule>
  </conditionalFormatting>
  <conditionalFormatting sqref="AS65:AS70">
    <cfRule type="containsText" dxfId="69" priority="14" operator="containsText" text="NO">
      <formula>NOT(ISERROR(SEARCH("NO",AS65)))</formula>
    </cfRule>
  </conditionalFormatting>
  <conditionalFormatting sqref="AS72:AS77">
    <cfRule type="containsText" dxfId="68" priority="13" operator="containsText" text="NO">
      <formula>NOT(ISERROR(SEARCH("NO",AS72)))</formula>
    </cfRule>
  </conditionalFormatting>
  <conditionalFormatting sqref="AU7:AU39">
    <cfRule type="containsText" dxfId="67" priority="9" operator="containsText" text="NO">
      <formula>NOT(ISERROR(SEARCH("NO",AU7)))</formula>
    </cfRule>
  </conditionalFormatting>
  <conditionalFormatting sqref="AU41:AU45">
    <cfRule type="containsText" dxfId="66" priority="8" operator="containsText" text="NO">
      <formula>NOT(ISERROR(SEARCH("NO",AU41)))</formula>
    </cfRule>
  </conditionalFormatting>
  <conditionalFormatting sqref="AU47:AU48">
    <cfRule type="containsText" dxfId="65" priority="7" operator="containsText" text="NO">
      <formula>NOT(ISERROR(SEARCH("NO",AU47)))</formula>
    </cfRule>
  </conditionalFormatting>
  <conditionalFormatting sqref="AU50:AU56">
    <cfRule type="containsText" dxfId="64" priority="6" operator="containsText" text="NO">
      <formula>NOT(ISERROR(SEARCH("NO",AU50)))</formula>
    </cfRule>
  </conditionalFormatting>
  <conditionalFormatting sqref="AU58">
    <cfRule type="containsText" dxfId="63" priority="5" operator="containsText" text="NO">
      <formula>NOT(ISERROR(SEARCH("NO",AU58)))</formula>
    </cfRule>
  </conditionalFormatting>
  <conditionalFormatting sqref="AU60:AU62">
    <cfRule type="containsText" dxfId="62" priority="4" operator="containsText" text="NO">
      <formula>NOT(ISERROR(SEARCH("NO",AU60)))</formula>
    </cfRule>
  </conditionalFormatting>
  <conditionalFormatting sqref="AU65:AU70">
    <cfRule type="containsText" dxfId="61" priority="3" operator="containsText" text="NO">
      <formula>NOT(ISERROR(SEARCH("NO",AU65)))</formula>
    </cfRule>
  </conditionalFormatting>
  <conditionalFormatting sqref="AU72:AU77">
    <cfRule type="containsText" dxfId="60" priority="2" operator="containsText" text="NO">
      <formula>NOT(ISERROR(SEARCH("NO",AU72)))</formula>
    </cfRule>
  </conditionalFormatting>
  <conditionalFormatting sqref="AU79:AU80">
    <cfRule type="containsText" dxfId="59" priority="1" operator="containsText" text="NO">
      <formula>NOT(ISERROR(SEARCH("NO",AU79)))</formula>
    </cfRule>
  </conditionalFormatting>
  <dataValidations count="12">
    <dataValidation allowBlank="1" showInputMessage="1" sqref="G6 H45:H62 H7:H10 H12 H14 H16 H18 H20:H22 H24 H26 H28 H30 H32 H34 H36 H38 H40:H41 H43 H64:H65 H67 H69 H71:H72 H74 H76 H78:H83" xr:uid="{8BDBEE2A-2C6E-4B59-91AA-CFFED121CB8E}"/>
    <dataValidation type="list" allowBlank="1" showInputMessage="1" showErrorMessage="1" sqref="G83:G84" xr:uid="{4D4F9248-7026-4E66-AE13-8451E7492DF2}">
      <formula1>"P,M,I"</formula1>
    </dataValidation>
    <dataValidation type="list" allowBlank="1" showInputMessage="1" showErrorMessage="1" sqref="K45:K62 K7:K10 K12 K14 K16 K18 K20:K22 K24 K26 K28 K30 K32 K34 K36 K38 K40:K41 K43 K64:K65 K67 K69 K71:K72 K74 K76 K78:K84" xr:uid="{A7C52FE2-F502-4631-BD29-CCF9397EFEF3}">
      <formula1>"24,110,125,230,400,690,6600,11000,33000"</formula1>
    </dataValidation>
    <dataValidation type="list" allowBlank="1" showInputMessage="1" showErrorMessage="1" sqref="I7:I62 I64:I84" xr:uid="{D6298666-4825-4EED-9186-0E203AE0059B}">
      <formula1>"kVA,kW"</formula1>
    </dataValidation>
    <dataValidation type="list" allowBlank="1" showInputMessage="1" showErrorMessage="1" sqref="J45:J62 J7:J10 J12 J14 J16 J18 J20:J22 J24 J26 J28 J30 J32 J34 J36 J38 J40:J41 J43 J64:J65 J67 J69 J71:J72 J74 J76 J78:J84" xr:uid="{7D058928-2F23-4B2D-BD9B-62B7E6976945}">
      <formula1>"3Phase,1Phase"</formula1>
    </dataValidation>
    <dataValidation type="list" allowBlank="1" showInputMessage="1" showErrorMessage="1" sqref="U45:U56 U83:U84 U58 U60:U62 U7:U10 U12 U14 U16 U18 U20:U22 U24 U26 U28 U30 U32 U34 U36 U38 U40:U41 U43 U64:U65 U67 U69 U71:U72 U74 U76 U78:U80" xr:uid="{732B7F9B-6ABD-4128-B9B7-4BF20215C45B}">
      <formula1>"1C,2C,3C,4C"</formula1>
    </dataValidation>
    <dataValidation type="list" allowBlank="1" showInputMessage="1" showErrorMessage="1" sqref="V60:V62 V83:V84 V58 V7:V56 V64:V80" xr:uid="{34C664A4-F324-4390-A96B-445B3A35B880}">
      <formula1>"4,6,10,16,25,35,50,70,95,120,150,185,240,300,400,500,630,800,1000"</formula1>
    </dataValidation>
    <dataValidation type="list" allowBlank="1" showInputMessage="1" showErrorMessage="1" sqref="G7:G82" xr:uid="{6586E77F-B275-4156-9E7D-BF36CB618949}">
      <formula1>"POWER,MOTOR,INCOMER,VFD"</formula1>
    </dataValidation>
    <dataValidation type="list" allowBlank="1" showInputMessage="1" showErrorMessage="1" sqref="J11 J75 J13 J15 J17 J19 J23 J25 J27 J29 J31 J33 J35 J37 J39 J42 J44 J66 J68 J70 J73 J77" xr:uid="{0627E7DE-7690-4DD0-ACE3-1E23C4916B2A}">
      <formula1>"3Ph,1Ph"</formula1>
    </dataValidation>
    <dataValidation type="list" allowBlank="1" showInputMessage="1" showErrorMessage="1" sqref="K11 K75 K23 K13 K15 K17 K19 K25 K27 K29 K31 K33 K35 K37 K39 K42 K44 K66 K68 K70 K73 K77" xr:uid="{455376B6-EF41-461B-89C8-2B1F1E89CA90}">
      <formula1>"24,110,125,230,400,690,6600,33000"</formula1>
    </dataValidation>
    <dataValidation type="list" allowBlank="1" showInputMessage="1" showErrorMessage="1" sqref="U11 U13 U15 U17 U19 U23 U25 U27 U29 U31 U33 U35 U37 U39 U42 U44 U66 U68 U70 U73 U75 U77" xr:uid="{2B201863-1F39-4653-8303-BA2F52933E6C}">
      <formula1>"1C,2C,3C,3.5C,4C,5C"</formula1>
    </dataValidation>
    <dataValidation type="list" allowBlank="1" showInputMessage="1" showErrorMessage="1" sqref="T11 T13 T15 T17 T19 T23 T25 T27 T29 T31 T33 T35 T37 T39 T42 T44 T66 T68 T70 T73 T75 T77" xr:uid="{1FF7BA12-380C-494C-99D6-B916C017C122}">
      <formula1>"AIR,DUCT,GROUND,TRENCH"</formula1>
    </dataValidation>
  </dataValidations>
  <printOptions horizontalCentered="1"/>
  <pageMargins left="0" right="0" top="0.47244094488188998" bottom="0.511811023622047" header="0.511811023622047" footer="0.511811023622047"/>
  <pageSetup paperSize="8" scale="28" fitToHeight="0" orientation="landscape" r:id="rId1"/>
  <headerFooter alignWithMargins="0"/>
  <ignoredErrors>
    <ignoredError sqref="C57:C60"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11FFD-875C-486E-8B4A-2B4F0C0B755A}">
  <sheetPr codeName="Sheet7">
    <tabColor rgb="FFFFFF00"/>
  </sheetPr>
  <dimension ref="E2:L35"/>
  <sheetViews>
    <sheetView zoomScale="130" zoomScaleNormal="130" workbookViewId="0">
      <selection activeCell="M21" sqref="M21"/>
    </sheetView>
  </sheetViews>
  <sheetFormatPr defaultRowHeight="12.75"/>
  <cols>
    <col min="7" max="7" width="9.140625" style="156"/>
    <col min="8" max="8" width="24.28515625" style="156" customWidth="1"/>
  </cols>
  <sheetData>
    <row r="2" spans="5:12">
      <c r="E2" t="s">
        <v>466</v>
      </c>
      <c r="F2">
        <v>88</v>
      </c>
      <c r="G2" s="156">
        <v>24</v>
      </c>
      <c r="I2">
        <f>F2*G2</f>
        <v>2112</v>
      </c>
      <c r="J2">
        <f>I2*1.2</f>
        <v>2534.4</v>
      </c>
      <c r="L2" t="s">
        <v>467</v>
      </c>
    </row>
    <row r="3" spans="5:12">
      <c r="E3" t="s">
        <v>468</v>
      </c>
      <c r="F3">
        <v>86</v>
      </c>
      <c r="G3" s="156">
        <v>7</v>
      </c>
      <c r="I3">
        <f>F3*G3</f>
        <v>602</v>
      </c>
      <c r="J3">
        <f>I3*1.2</f>
        <v>722.4</v>
      </c>
      <c r="L3" t="s">
        <v>467</v>
      </c>
    </row>
    <row r="7" spans="5:12">
      <c r="E7" t="s">
        <v>469</v>
      </c>
      <c r="F7">
        <v>88</v>
      </c>
      <c r="G7" s="156">
        <v>8</v>
      </c>
      <c r="I7">
        <f>F7*G7</f>
        <v>704</v>
      </c>
      <c r="J7">
        <f>I7*1.2</f>
        <v>844.8</v>
      </c>
      <c r="L7" t="s">
        <v>467</v>
      </c>
    </row>
    <row r="9" spans="5:12">
      <c r="E9" t="s">
        <v>468</v>
      </c>
      <c r="F9">
        <v>86</v>
      </c>
      <c r="G9" s="156">
        <v>7</v>
      </c>
      <c r="I9">
        <f>F9*G9</f>
        <v>602</v>
      </c>
      <c r="J9">
        <f>I9*1.2</f>
        <v>722.4</v>
      </c>
      <c r="L9" t="s">
        <v>467</v>
      </c>
    </row>
    <row r="12" spans="5:12">
      <c r="F12" s="470" t="s">
        <v>470</v>
      </c>
      <c r="G12" s="471"/>
      <c r="H12" s="471"/>
      <c r="I12" s="470"/>
      <c r="J12" s="470"/>
      <c r="K12" s="470"/>
    </row>
    <row r="13" spans="5:12">
      <c r="F13" s="470" t="s">
        <v>471</v>
      </c>
      <c r="G13" s="471"/>
      <c r="H13" s="471"/>
      <c r="I13" s="470"/>
      <c r="J13" s="470"/>
      <c r="K13" s="470"/>
    </row>
    <row r="14" spans="5:12">
      <c r="F14" s="472" t="s">
        <v>472</v>
      </c>
      <c r="G14" s="473">
        <f>((F2*24)+(F3*7))*1.2/600</f>
        <v>5.4279999999999999</v>
      </c>
      <c r="H14" s="473" t="s">
        <v>473</v>
      </c>
      <c r="I14" s="472" t="s">
        <v>474</v>
      </c>
      <c r="J14" s="472" t="s">
        <v>475</v>
      </c>
      <c r="K14" s="473">
        <v>6</v>
      </c>
    </row>
    <row r="15" spans="5:12">
      <c r="F15" s="472" t="s">
        <v>114</v>
      </c>
      <c r="G15" s="473">
        <v>1</v>
      </c>
      <c r="H15" s="473" t="s">
        <v>473</v>
      </c>
      <c r="I15" s="472" t="s">
        <v>474</v>
      </c>
      <c r="J15" s="472" t="s">
        <v>475</v>
      </c>
      <c r="K15" s="473">
        <v>1</v>
      </c>
    </row>
    <row r="16" spans="5:12">
      <c r="F16" s="472" t="s">
        <v>476</v>
      </c>
      <c r="G16" s="473">
        <v>1</v>
      </c>
      <c r="H16" s="473" t="s">
        <v>473</v>
      </c>
      <c r="I16" s="472" t="s">
        <v>477</v>
      </c>
      <c r="J16" s="472" t="s">
        <v>475</v>
      </c>
      <c r="K16" s="473">
        <v>1</v>
      </c>
    </row>
    <row r="17" spans="6:11">
      <c r="F17" s="472" t="s">
        <v>478</v>
      </c>
      <c r="G17" s="473">
        <v>2</v>
      </c>
      <c r="H17" s="473" t="s">
        <v>473</v>
      </c>
      <c r="I17" s="472" t="s">
        <v>477</v>
      </c>
      <c r="J17" s="472" t="s">
        <v>475</v>
      </c>
      <c r="K17" s="473">
        <v>2</v>
      </c>
    </row>
    <row r="18" spans="6:11">
      <c r="F18" s="472"/>
      <c r="G18" s="473"/>
      <c r="H18" s="473"/>
      <c r="I18" s="472"/>
      <c r="J18" s="472"/>
      <c r="K18" s="472"/>
    </row>
    <row r="19" spans="6:11">
      <c r="F19" s="470" t="s">
        <v>479</v>
      </c>
      <c r="G19" s="471"/>
      <c r="H19" s="471"/>
      <c r="I19" s="470"/>
      <c r="J19" s="470"/>
      <c r="K19" s="470"/>
    </row>
    <row r="20" spans="6:11">
      <c r="F20" s="472" t="s">
        <v>472</v>
      </c>
      <c r="G20" s="473">
        <f>((F2*8)+(F3*7))*1.2/600</f>
        <v>2.6120000000000001</v>
      </c>
      <c r="H20" s="473" t="s">
        <v>473</v>
      </c>
      <c r="I20" s="472" t="s">
        <v>474</v>
      </c>
      <c r="J20" s="472" t="s">
        <v>475</v>
      </c>
      <c r="K20" s="473">
        <v>3</v>
      </c>
    </row>
    <row r="21" spans="6:11">
      <c r="F21" s="472" t="s">
        <v>114</v>
      </c>
      <c r="G21" s="473">
        <v>1</v>
      </c>
      <c r="H21" s="473" t="s">
        <v>473</v>
      </c>
      <c r="I21" s="472" t="s">
        <v>474</v>
      </c>
      <c r="J21" s="472" t="s">
        <v>475</v>
      </c>
      <c r="K21" s="473">
        <v>1</v>
      </c>
    </row>
    <row r="22" spans="6:11">
      <c r="F22" s="472" t="s">
        <v>476</v>
      </c>
      <c r="G22" s="473">
        <v>1</v>
      </c>
      <c r="H22" s="473" t="s">
        <v>473</v>
      </c>
      <c r="I22" s="472" t="s">
        <v>477</v>
      </c>
      <c r="J22" s="472" t="s">
        <v>475</v>
      </c>
      <c r="K22" s="473">
        <v>1</v>
      </c>
    </row>
    <row r="23" spans="6:11">
      <c r="F23" s="472" t="s">
        <v>478</v>
      </c>
      <c r="G23" s="473">
        <v>2</v>
      </c>
      <c r="H23" s="473" t="s">
        <v>473</v>
      </c>
      <c r="I23" s="472" t="s">
        <v>477</v>
      </c>
      <c r="J23" s="472" t="s">
        <v>475</v>
      </c>
      <c r="K23" s="473">
        <v>2</v>
      </c>
    </row>
    <row r="24" spans="6:11">
      <c r="F24" s="472"/>
      <c r="G24" s="473"/>
      <c r="H24" s="473"/>
      <c r="I24" s="472"/>
      <c r="J24" s="472"/>
      <c r="K24" s="472"/>
    </row>
    <row r="25" spans="6:11">
      <c r="F25" s="470" t="s">
        <v>480</v>
      </c>
      <c r="G25" s="471"/>
      <c r="H25" s="471"/>
      <c r="I25" s="470"/>
      <c r="J25" s="470"/>
      <c r="K25" s="470"/>
    </row>
    <row r="26" spans="6:11">
      <c r="F26" s="472" t="s">
        <v>472</v>
      </c>
      <c r="G26" s="473">
        <f>((F2*16))*1.2/600</f>
        <v>2.8159999999999998</v>
      </c>
      <c r="H26" s="473" t="s">
        <v>473</v>
      </c>
      <c r="I26" s="472" t="s">
        <v>474</v>
      </c>
      <c r="J26" s="472" t="s">
        <v>475</v>
      </c>
      <c r="K26" s="473">
        <v>3</v>
      </c>
    </row>
    <row r="27" spans="6:11">
      <c r="F27" s="472" t="s">
        <v>114</v>
      </c>
      <c r="G27" s="473">
        <v>1</v>
      </c>
      <c r="H27" s="473" t="s">
        <v>473</v>
      </c>
      <c r="I27" s="472" t="s">
        <v>474</v>
      </c>
      <c r="J27" s="472" t="s">
        <v>475</v>
      </c>
      <c r="K27" s="473">
        <v>1</v>
      </c>
    </row>
    <row r="28" spans="6:11">
      <c r="F28" s="472" t="s">
        <v>476</v>
      </c>
      <c r="G28" s="473">
        <v>1</v>
      </c>
      <c r="H28" s="473" t="s">
        <v>473</v>
      </c>
      <c r="I28" s="472" t="s">
        <v>477</v>
      </c>
      <c r="J28" s="472" t="s">
        <v>475</v>
      </c>
      <c r="K28" s="473">
        <v>1</v>
      </c>
    </row>
    <row r="29" spans="6:11">
      <c r="F29" s="472" t="s">
        <v>478</v>
      </c>
      <c r="G29" s="473">
        <v>2</v>
      </c>
      <c r="H29" s="473" t="s">
        <v>473</v>
      </c>
      <c r="I29" s="472" t="s">
        <v>477</v>
      </c>
      <c r="J29" s="472" t="s">
        <v>475</v>
      </c>
      <c r="K29" s="473">
        <v>2</v>
      </c>
    </row>
    <row r="30" spans="6:11">
      <c r="F30" s="472"/>
      <c r="G30" s="473"/>
      <c r="H30" s="473"/>
      <c r="I30" s="472"/>
      <c r="J30" s="472"/>
      <c r="K30" s="472"/>
    </row>
    <row r="31" spans="6:11">
      <c r="F31" s="470" t="s">
        <v>481</v>
      </c>
      <c r="G31" s="471"/>
      <c r="H31" s="471"/>
      <c r="I31" s="470"/>
      <c r="J31" s="470"/>
      <c r="K31" s="470"/>
    </row>
    <row r="32" spans="6:11">
      <c r="F32" s="472" t="s">
        <v>472</v>
      </c>
      <c r="G32" s="473">
        <f>(($F$2*8))*1.2/600</f>
        <v>1.4079999999999999</v>
      </c>
      <c r="H32" s="473" t="s">
        <v>482</v>
      </c>
      <c r="I32" s="472" t="s">
        <v>474</v>
      </c>
      <c r="J32" s="472" t="s">
        <v>475</v>
      </c>
      <c r="K32" s="473">
        <v>2</v>
      </c>
    </row>
    <row r="33" spans="6:11">
      <c r="F33" s="472" t="s">
        <v>114</v>
      </c>
      <c r="G33" s="473">
        <v>1</v>
      </c>
      <c r="H33" s="473" t="s">
        <v>482</v>
      </c>
      <c r="I33" s="472" t="s">
        <v>474</v>
      </c>
      <c r="J33" s="472" t="s">
        <v>475</v>
      </c>
      <c r="K33" s="473">
        <v>1</v>
      </c>
    </row>
    <row r="34" spans="6:11">
      <c r="F34" s="472" t="s">
        <v>476</v>
      </c>
      <c r="G34" s="473">
        <v>1</v>
      </c>
      <c r="H34" s="473" t="s">
        <v>482</v>
      </c>
      <c r="I34" s="472" t="s">
        <v>477</v>
      </c>
      <c r="J34" s="472" t="s">
        <v>475</v>
      </c>
      <c r="K34" s="473">
        <v>1</v>
      </c>
    </row>
    <row r="35" spans="6:11">
      <c r="F35" s="472" t="s">
        <v>478</v>
      </c>
      <c r="G35" s="473">
        <v>2</v>
      </c>
      <c r="H35" s="473" t="s">
        <v>482</v>
      </c>
      <c r="I35" s="472" t="s">
        <v>477</v>
      </c>
      <c r="J35" s="472" t="s">
        <v>475</v>
      </c>
      <c r="K35" s="473">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33586-BE0F-4F76-9F0C-2204AFCB2C79}">
  <sheetPr codeName="Sheet8" filterMode="1">
    <tabColor rgb="FFFFFF00"/>
    <pageSetUpPr fitToPage="1"/>
  </sheetPr>
  <dimension ref="A1:GM574"/>
  <sheetViews>
    <sheetView view="pageBreakPreview" zoomScale="55" zoomScaleNormal="70" zoomScaleSheetLayoutView="55" zoomScalePageLayoutView="70" workbookViewId="0">
      <pane xSplit="5" ySplit="10" topLeftCell="F11" activePane="bottomRight" state="frozen"/>
      <selection pane="topRight" activeCell="F1" sqref="F1"/>
      <selection pane="bottomLeft" activeCell="A11" sqref="A11"/>
      <selection pane="bottomRight" activeCell="J32" sqref="J32"/>
    </sheetView>
  </sheetViews>
  <sheetFormatPr defaultRowHeight="14.25"/>
  <cols>
    <col min="1" max="1" width="6.42578125" style="61" customWidth="1"/>
    <col min="2" max="3" width="21.140625" style="61" customWidth="1"/>
    <col min="4" max="4" width="54.5703125" style="63" customWidth="1"/>
    <col min="5" max="5" width="35.5703125" style="63" customWidth="1"/>
    <col min="6" max="6" width="10.28515625" style="62" customWidth="1"/>
    <col min="7" max="7" width="11.7109375" style="61" customWidth="1"/>
    <col min="8" max="8" width="12.85546875" style="61" customWidth="1"/>
    <col min="9" max="9" width="7.140625" style="61" customWidth="1"/>
    <col min="10" max="10" width="8.85546875" style="61" customWidth="1"/>
    <col min="11" max="11" width="13.42578125" style="61" customWidth="1"/>
    <col min="12" max="12" width="10.5703125" style="61" customWidth="1"/>
    <col min="13" max="13" width="9.85546875" style="61" customWidth="1"/>
    <col min="14" max="14" width="12.140625" style="80" customWidth="1"/>
    <col min="15" max="15" width="9.5703125" style="61" customWidth="1"/>
    <col min="16" max="16" width="9.7109375" style="61" customWidth="1"/>
    <col min="17" max="17" width="13.5703125" style="61" customWidth="1"/>
    <col min="18" max="18" width="12.5703125" style="61" customWidth="1"/>
    <col min="19" max="19" width="15.42578125" style="61" customWidth="1"/>
    <col min="20" max="20" width="9.140625" style="61" customWidth="1"/>
    <col min="21" max="21" width="8.85546875" style="61" customWidth="1"/>
    <col min="22" max="22" width="8" style="61" customWidth="1"/>
    <col min="23" max="23" width="11.28515625" style="61" customWidth="1"/>
    <col min="24" max="24" width="15.28515625" style="61" customWidth="1"/>
    <col min="25" max="25" width="9.7109375" style="61" customWidth="1"/>
    <col min="26" max="26" width="10.85546875" style="61" customWidth="1"/>
    <col min="27" max="27" width="12.7109375" style="61" customWidth="1"/>
    <col min="28" max="28" width="10.5703125" style="61" customWidth="1"/>
    <col min="29" max="29" width="11.85546875" style="75" customWidth="1"/>
    <col min="30" max="30" width="12.28515625" style="75" customWidth="1"/>
    <col min="31" max="31" width="11" style="75" customWidth="1"/>
    <col min="32" max="32" width="12.42578125" style="75" customWidth="1"/>
    <col min="33" max="33" width="7.5703125" style="75" customWidth="1"/>
    <col min="34" max="34" width="12" style="61" customWidth="1"/>
    <col min="35" max="35" width="14" style="61" hidden="1" customWidth="1"/>
    <col min="36" max="36" width="11.42578125" style="61" hidden="1" customWidth="1"/>
    <col min="37" max="37" width="14.42578125" style="61" hidden="1" customWidth="1"/>
    <col min="38" max="38" width="9" style="61" hidden="1" customWidth="1"/>
    <col min="39" max="39" width="12" style="61" hidden="1" customWidth="1"/>
    <col min="40" max="40" width="12.140625" style="61" customWidth="1"/>
    <col min="41" max="41" width="11.42578125" style="61" customWidth="1"/>
    <col min="42" max="42" width="6.5703125" style="61" customWidth="1"/>
    <col min="43" max="43" width="13" style="61" customWidth="1"/>
    <col min="44" max="45" width="14" style="61" customWidth="1"/>
    <col min="46" max="46" width="13.85546875" style="61" customWidth="1"/>
    <col min="47" max="47" width="18.7109375" style="61" customWidth="1"/>
    <col min="48" max="49" width="35.7109375" style="61" customWidth="1"/>
    <col min="50" max="50" width="10.5703125" style="61" customWidth="1"/>
    <col min="51" max="51" width="20.7109375" style="61" customWidth="1"/>
    <col min="52" max="52" width="10.5703125" style="61" customWidth="1"/>
    <col min="53" max="53" width="22.140625" style="61" customWidth="1"/>
    <col min="54" max="55" width="15" style="61" customWidth="1"/>
    <col min="56" max="56" width="6.7109375" style="61" customWidth="1"/>
    <col min="57" max="125" width="4.7109375" style="61" customWidth="1"/>
    <col min="126" max="126" width="6.85546875" style="61" customWidth="1"/>
    <col min="127" max="127" width="9.140625" style="61"/>
    <col min="128" max="170" width="7" style="61" customWidth="1"/>
    <col min="171" max="16384" width="9.140625" style="61"/>
  </cols>
  <sheetData>
    <row r="1" spans="1:195" ht="24.75" customHeight="1">
      <c r="A1" s="929"/>
      <c r="B1" s="929"/>
      <c r="C1" s="929"/>
      <c r="D1" s="1023"/>
      <c r="E1" s="1023"/>
      <c r="F1" s="929"/>
      <c r="G1" s="929"/>
      <c r="H1" s="929"/>
      <c r="I1" s="929"/>
      <c r="J1" s="929"/>
      <c r="K1" s="929"/>
      <c r="L1" s="930"/>
      <c r="M1" s="930"/>
      <c r="N1" s="930"/>
      <c r="O1" s="930"/>
      <c r="P1" s="930"/>
      <c r="Q1" s="930"/>
      <c r="R1" s="930"/>
      <c r="S1" s="930"/>
      <c r="T1" s="930"/>
      <c r="U1" s="930"/>
      <c r="V1" s="930"/>
      <c r="W1" s="930"/>
      <c r="X1" s="930"/>
      <c r="Y1" s="930"/>
      <c r="Z1" s="930"/>
      <c r="AA1" s="930"/>
      <c r="AB1" s="930"/>
      <c r="AC1" s="1024"/>
      <c r="AD1" s="1024"/>
      <c r="AE1" s="1024"/>
      <c r="AF1" s="1024"/>
      <c r="AG1" s="1024"/>
      <c r="AH1" s="930"/>
      <c r="AI1" s="930"/>
      <c r="AJ1" s="930"/>
      <c r="AK1" s="930"/>
      <c r="AL1" s="930"/>
      <c r="AM1" s="930"/>
      <c r="AN1" s="930"/>
      <c r="AO1" s="930"/>
      <c r="AP1" s="930"/>
      <c r="AQ1" s="930"/>
      <c r="AR1" s="930"/>
      <c r="AS1" s="930"/>
      <c r="AT1" s="929"/>
      <c r="AU1" s="929"/>
      <c r="AV1" s="929"/>
    </row>
    <row r="2" spans="1:195" ht="30.75" customHeight="1">
      <c r="A2" s="931" t="s">
        <v>1080</v>
      </c>
      <c r="B2" s="931"/>
      <c r="C2" s="931"/>
      <c r="D2" s="1025"/>
      <c r="E2" s="1025"/>
      <c r="F2" s="931"/>
      <c r="G2" s="931"/>
      <c r="H2" s="931"/>
      <c r="I2" s="931"/>
      <c r="J2" s="931"/>
      <c r="K2" s="931"/>
      <c r="L2" s="931"/>
      <c r="M2" s="931"/>
      <c r="N2" s="931"/>
      <c r="O2" s="931"/>
      <c r="P2" s="931"/>
      <c r="Q2" s="931"/>
      <c r="R2" s="931"/>
      <c r="S2" s="931"/>
      <c r="T2" s="931"/>
      <c r="U2" s="931"/>
      <c r="V2" s="931"/>
      <c r="W2" s="931"/>
      <c r="X2" s="931"/>
      <c r="Y2" s="931"/>
      <c r="Z2" s="931"/>
      <c r="AA2" s="931"/>
      <c r="AB2" s="931"/>
      <c r="AC2" s="1026"/>
      <c r="AD2" s="1026"/>
      <c r="AE2" s="1026"/>
      <c r="AF2" s="1026"/>
      <c r="AG2" s="1026"/>
      <c r="AH2" s="931"/>
      <c r="AI2" s="931"/>
      <c r="AJ2" s="931"/>
      <c r="AK2" s="931"/>
      <c r="AL2" s="931"/>
      <c r="AM2" s="931"/>
      <c r="AN2" s="931"/>
      <c r="AO2" s="931"/>
      <c r="AP2" s="931"/>
      <c r="AQ2" s="931"/>
      <c r="AR2" s="931"/>
      <c r="AS2" s="931"/>
      <c r="AT2" s="931"/>
      <c r="AU2" s="931"/>
      <c r="AV2" s="931"/>
      <c r="AW2" s="931"/>
      <c r="AX2" s="931"/>
      <c r="AY2" s="931"/>
      <c r="AZ2" s="931"/>
      <c r="BA2" s="931"/>
      <c r="BB2" s="320"/>
      <c r="BC2" s="320"/>
    </row>
    <row r="3" spans="1:195" s="11" customFormat="1" ht="25.5" customHeight="1">
      <c r="A3" s="932" t="s">
        <v>240</v>
      </c>
      <c r="B3" s="321"/>
      <c r="C3" s="321"/>
      <c r="D3" s="1027" t="s">
        <v>241</v>
      </c>
      <c r="E3" s="1027"/>
      <c r="F3" s="933"/>
      <c r="G3" s="933"/>
      <c r="H3" s="933"/>
      <c r="I3" s="933"/>
      <c r="J3" s="933"/>
      <c r="K3" s="933"/>
      <c r="L3" s="933"/>
      <c r="M3" s="933"/>
      <c r="N3" s="933"/>
      <c r="O3" s="933"/>
      <c r="P3" s="933"/>
      <c r="Q3" s="928" t="s">
        <v>242</v>
      </c>
      <c r="R3" s="928"/>
      <c r="S3" s="928"/>
      <c r="T3" s="928" t="s">
        <v>243</v>
      </c>
      <c r="U3" s="928"/>
      <c r="V3" s="928"/>
      <c r="W3" s="928"/>
      <c r="X3" s="928"/>
      <c r="Y3" s="928"/>
      <c r="Z3" s="928"/>
      <c r="AA3" s="928"/>
      <c r="AB3" s="928"/>
      <c r="AC3" s="1028"/>
      <c r="AD3" s="1028"/>
      <c r="AE3" s="1028"/>
      <c r="AF3" s="1028"/>
      <c r="AG3" s="1028"/>
      <c r="AH3" s="928"/>
      <c r="AI3" s="928" t="s">
        <v>244</v>
      </c>
      <c r="AJ3" s="928"/>
      <c r="AK3" s="928"/>
      <c r="AL3" s="928"/>
      <c r="AM3" s="928"/>
      <c r="AN3" s="928"/>
      <c r="AO3" s="928" t="s">
        <v>245</v>
      </c>
      <c r="AP3" s="928"/>
      <c r="AQ3" s="928"/>
      <c r="AR3" s="928" t="s">
        <v>246</v>
      </c>
      <c r="AS3" s="928"/>
      <c r="AT3" s="928" t="s">
        <v>247</v>
      </c>
      <c r="AU3" s="928"/>
      <c r="AV3" s="928" t="s">
        <v>248</v>
      </c>
      <c r="AW3" s="928"/>
      <c r="AX3" s="928"/>
      <c r="AY3" s="323"/>
      <c r="AZ3" s="323"/>
      <c r="BA3" s="323"/>
      <c r="BB3" s="323"/>
      <c r="BC3" s="323"/>
    </row>
    <row r="4" spans="1:195" s="11" customFormat="1" ht="89.25">
      <c r="A4" s="932"/>
      <c r="B4" s="323" t="s">
        <v>249</v>
      </c>
      <c r="C4" s="323" t="s">
        <v>250</v>
      </c>
      <c r="D4" s="323" t="s">
        <v>251</v>
      </c>
      <c r="E4" s="323" t="s">
        <v>252</v>
      </c>
      <c r="F4" s="323" t="s">
        <v>483</v>
      </c>
      <c r="G4" s="323" t="s">
        <v>254</v>
      </c>
      <c r="H4" s="323" t="s">
        <v>255</v>
      </c>
      <c r="I4" s="323" t="s">
        <v>484</v>
      </c>
      <c r="J4" s="323" t="s">
        <v>257</v>
      </c>
      <c r="K4" s="323" t="s">
        <v>258</v>
      </c>
      <c r="L4" s="323" t="s">
        <v>259</v>
      </c>
      <c r="M4" s="323" t="s">
        <v>260</v>
      </c>
      <c r="N4" s="323" t="s">
        <v>261</v>
      </c>
      <c r="O4" s="323" t="s">
        <v>262</v>
      </c>
      <c r="P4" s="323" t="s">
        <v>263</v>
      </c>
      <c r="Q4" s="323" t="s">
        <v>264</v>
      </c>
      <c r="R4" s="323" t="s">
        <v>265</v>
      </c>
      <c r="S4" s="323" t="s">
        <v>266</v>
      </c>
      <c r="T4" s="323" t="s">
        <v>267</v>
      </c>
      <c r="U4" s="323" t="s">
        <v>268</v>
      </c>
      <c r="V4" s="323" t="s">
        <v>269</v>
      </c>
      <c r="W4" s="323" t="s">
        <v>270</v>
      </c>
      <c r="X4" s="323" t="s">
        <v>271</v>
      </c>
      <c r="Y4" s="323" t="s">
        <v>272</v>
      </c>
      <c r="Z4" s="323" t="s">
        <v>273</v>
      </c>
      <c r="AA4" s="323" t="s">
        <v>274</v>
      </c>
      <c r="AB4" s="323" t="s">
        <v>275</v>
      </c>
      <c r="AC4" s="859" t="s">
        <v>276</v>
      </c>
      <c r="AD4" s="859" t="s">
        <v>277</v>
      </c>
      <c r="AE4" s="859" t="s">
        <v>278</v>
      </c>
      <c r="AF4" s="859" t="s">
        <v>279</v>
      </c>
      <c r="AG4" s="859" t="s">
        <v>280</v>
      </c>
      <c r="AH4" s="323" t="s">
        <v>485</v>
      </c>
      <c r="AI4" s="323" t="s">
        <v>281</v>
      </c>
      <c r="AJ4" s="323" t="s">
        <v>282</v>
      </c>
      <c r="AK4" s="323" t="s">
        <v>283</v>
      </c>
      <c r="AL4" s="323" t="s">
        <v>284</v>
      </c>
      <c r="AM4" s="323" t="s">
        <v>285</v>
      </c>
      <c r="AN4" s="323" t="s">
        <v>286</v>
      </c>
      <c r="AO4" s="323" t="s">
        <v>287</v>
      </c>
      <c r="AP4" s="323" t="s">
        <v>288</v>
      </c>
      <c r="AQ4" s="323" t="s">
        <v>289</v>
      </c>
      <c r="AR4" s="323" t="s">
        <v>290</v>
      </c>
      <c r="AS4" s="323" t="s">
        <v>291</v>
      </c>
      <c r="AT4" s="323" t="s">
        <v>294</v>
      </c>
      <c r="AU4" s="323" t="s">
        <v>295</v>
      </c>
      <c r="AV4" s="323" t="s">
        <v>296</v>
      </c>
      <c r="AW4" s="323" t="s">
        <v>296</v>
      </c>
      <c r="AX4" s="323" t="s">
        <v>1602</v>
      </c>
      <c r="AY4" s="323" t="s">
        <v>297</v>
      </c>
      <c r="AZ4" s="475" t="s">
        <v>299</v>
      </c>
      <c r="BA4" s="324" t="s">
        <v>300</v>
      </c>
      <c r="BB4" s="323" t="s">
        <v>486</v>
      </c>
      <c r="BC4" s="323" t="s">
        <v>487</v>
      </c>
      <c r="BE4" s="323" t="s">
        <v>27</v>
      </c>
      <c r="BF4" s="323" t="s">
        <v>28</v>
      </c>
      <c r="BG4" s="323" t="s">
        <v>29</v>
      </c>
      <c r="BH4" s="323" t="s">
        <v>30</v>
      </c>
      <c r="BI4" s="323" t="s">
        <v>31</v>
      </c>
      <c r="BJ4" s="323" t="s">
        <v>32</v>
      </c>
      <c r="BK4" s="323" t="s">
        <v>33</v>
      </c>
      <c r="BL4" s="323" t="s">
        <v>34</v>
      </c>
      <c r="BM4" s="323" t="s">
        <v>35</v>
      </c>
      <c r="BN4" s="323" t="s">
        <v>36</v>
      </c>
      <c r="BO4" s="323" t="s">
        <v>37</v>
      </c>
      <c r="BP4" s="323" t="s">
        <v>38</v>
      </c>
      <c r="BQ4" s="323" t="s">
        <v>39</v>
      </c>
      <c r="BR4" s="323" t="s">
        <v>40</v>
      </c>
      <c r="BS4" s="323" t="s">
        <v>41</v>
      </c>
      <c r="BT4" s="323" t="s">
        <v>42</v>
      </c>
      <c r="BU4" s="323" t="s">
        <v>43</v>
      </c>
      <c r="BV4" s="323" t="s">
        <v>44</v>
      </c>
      <c r="BW4" s="323" t="s">
        <v>45</v>
      </c>
      <c r="BX4" s="323" t="s">
        <v>50</v>
      </c>
      <c r="BY4" s="323" t="s">
        <v>303</v>
      </c>
      <c r="BZ4" s="323" t="s">
        <v>51</v>
      </c>
      <c r="CA4" s="323" t="s">
        <v>304</v>
      </c>
      <c r="CB4" s="323" t="s">
        <v>1614</v>
      </c>
      <c r="CC4" s="323" t="s">
        <v>488</v>
      </c>
      <c r="CD4" s="323" t="s">
        <v>52</v>
      </c>
      <c r="CE4" s="323" t="s">
        <v>56</v>
      </c>
      <c r="CF4" s="323" t="s">
        <v>57</v>
      </c>
      <c r="CG4" s="323" t="s">
        <v>58</v>
      </c>
      <c r="CH4" s="323" t="s">
        <v>59</v>
      </c>
      <c r="CI4" s="323" t="s">
        <v>60</v>
      </c>
      <c r="CJ4" s="323" t="s">
        <v>61</v>
      </c>
      <c r="CK4" s="323" t="s">
        <v>306</v>
      </c>
      <c r="CL4" s="323" t="s">
        <v>307</v>
      </c>
      <c r="CM4" s="323" t="s">
        <v>308</v>
      </c>
      <c r="CN4" s="323" t="s">
        <v>309</v>
      </c>
      <c r="CO4" s="323" t="s">
        <v>310</v>
      </c>
      <c r="CP4" s="323" t="s">
        <v>62</v>
      </c>
      <c r="CQ4" s="323" t="s">
        <v>311</v>
      </c>
      <c r="CR4" s="323" t="s">
        <v>63</v>
      </c>
      <c r="CS4" s="323" t="s">
        <v>312</v>
      </c>
      <c r="CT4" s="323" t="s">
        <v>313</v>
      </c>
      <c r="CU4" s="323" t="s">
        <v>64</v>
      </c>
      <c r="CV4" s="323" t="s">
        <v>65</v>
      </c>
      <c r="CW4" s="323" t="s">
        <v>66</v>
      </c>
      <c r="CX4" s="323" t="s">
        <v>67</v>
      </c>
      <c r="CY4" s="323" t="s">
        <v>68</v>
      </c>
      <c r="CZ4" s="323" t="s">
        <v>69</v>
      </c>
      <c r="DA4" s="323" t="s">
        <v>70</v>
      </c>
      <c r="DB4" s="323" t="s">
        <v>314</v>
      </c>
      <c r="DC4" s="323" t="s">
        <v>315</v>
      </c>
      <c r="DD4" s="323" t="s">
        <v>1611</v>
      </c>
      <c r="DE4" s="323" t="s">
        <v>1612</v>
      </c>
      <c r="DF4" s="323" t="s">
        <v>1613</v>
      </c>
      <c r="DG4" s="323" t="s">
        <v>71</v>
      </c>
      <c r="DH4" s="323" t="s">
        <v>72</v>
      </c>
      <c r="DI4" s="323" t="s">
        <v>73</v>
      </c>
      <c r="DJ4" s="323" t="s">
        <v>316</v>
      </c>
      <c r="DK4" s="323" t="s">
        <v>317</v>
      </c>
      <c r="DL4" s="323" t="s">
        <v>74</v>
      </c>
      <c r="DM4" s="323" t="s">
        <v>318</v>
      </c>
      <c r="DN4" s="323" t="s">
        <v>319</v>
      </c>
      <c r="DO4" s="323" t="s">
        <v>320</v>
      </c>
      <c r="DP4" s="323" t="s">
        <v>321</v>
      </c>
      <c r="DQ4" s="323" t="s">
        <v>75</v>
      </c>
      <c r="DR4" s="323" t="s">
        <v>323</v>
      </c>
      <c r="DS4" s="323" t="s">
        <v>322</v>
      </c>
      <c r="DT4" s="323" t="s">
        <v>324</v>
      </c>
      <c r="DU4" s="323" t="s">
        <v>325</v>
      </c>
      <c r="DW4" s="323" t="s">
        <v>27</v>
      </c>
      <c r="DX4" s="323" t="s">
        <v>28</v>
      </c>
      <c r="DY4" s="323" t="s">
        <v>29</v>
      </c>
      <c r="DZ4" s="323" t="s">
        <v>30</v>
      </c>
      <c r="EA4" s="323" t="s">
        <v>31</v>
      </c>
      <c r="EB4" s="323" t="s">
        <v>32</v>
      </c>
      <c r="EC4" s="323" t="s">
        <v>33</v>
      </c>
      <c r="ED4" s="323" t="s">
        <v>34</v>
      </c>
      <c r="EE4" s="323" t="s">
        <v>35</v>
      </c>
      <c r="EF4" s="323" t="s">
        <v>36</v>
      </c>
      <c r="EG4" s="323" t="s">
        <v>37</v>
      </c>
      <c r="EH4" s="323" t="s">
        <v>38</v>
      </c>
      <c r="EI4" s="323" t="s">
        <v>39</v>
      </c>
      <c r="EJ4" s="323" t="s">
        <v>40</v>
      </c>
      <c r="EK4" s="323" t="s">
        <v>41</v>
      </c>
      <c r="EL4" s="323" t="s">
        <v>42</v>
      </c>
      <c r="EM4" s="323" t="s">
        <v>43</v>
      </c>
      <c r="EN4" s="323" t="s">
        <v>44</v>
      </c>
      <c r="EO4" s="323" t="s">
        <v>45</v>
      </c>
      <c r="EP4" s="323" t="s">
        <v>50</v>
      </c>
      <c r="EQ4" s="323" t="s">
        <v>303</v>
      </c>
      <c r="ER4" s="323" t="s">
        <v>51</v>
      </c>
      <c r="ES4" s="323" t="s">
        <v>304</v>
      </c>
      <c r="ET4" s="323" t="s">
        <v>1614</v>
      </c>
      <c r="EU4" s="323" t="s">
        <v>488</v>
      </c>
      <c r="EV4" s="323" t="s">
        <v>52</v>
      </c>
      <c r="EW4" s="323" t="s">
        <v>56</v>
      </c>
      <c r="EX4" s="323" t="s">
        <v>57</v>
      </c>
      <c r="EY4" s="323" t="s">
        <v>58</v>
      </c>
      <c r="EZ4" s="323" t="s">
        <v>59</v>
      </c>
      <c r="FA4" s="323" t="s">
        <v>60</v>
      </c>
      <c r="FB4" s="323" t="s">
        <v>61</v>
      </c>
      <c r="FC4" s="323" t="s">
        <v>306</v>
      </c>
      <c r="FD4" s="323" t="s">
        <v>307</v>
      </c>
      <c r="FE4" s="323" t="s">
        <v>308</v>
      </c>
      <c r="FF4" s="323" t="s">
        <v>309</v>
      </c>
      <c r="FG4" s="323" t="s">
        <v>310</v>
      </c>
      <c r="FH4" s="323" t="s">
        <v>62</v>
      </c>
      <c r="FI4" s="323" t="s">
        <v>311</v>
      </c>
      <c r="FJ4" s="323" t="s">
        <v>63</v>
      </c>
      <c r="FK4" s="323" t="s">
        <v>312</v>
      </c>
      <c r="FL4" s="323" t="s">
        <v>313</v>
      </c>
      <c r="FM4" s="323" t="s">
        <v>64</v>
      </c>
      <c r="FN4" s="323" t="s">
        <v>65</v>
      </c>
      <c r="FO4" s="323" t="s">
        <v>66</v>
      </c>
      <c r="FP4" s="323" t="s">
        <v>67</v>
      </c>
      <c r="FQ4" s="323" t="s">
        <v>68</v>
      </c>
      <c r="FR4" s="323" t="s">
        <v>69</v>
      </c>
      <c r="FS4" s="323" t="s">
        <v>70</v>
      </c>
      <c r="FT4" s="323" t="s">
        <v>314</v>
      </c>
      <c r="FU4" s="323" t="s">
        <v>315</v>
      </c>
      <c r="FV4" s="323" t="s">
        <v>1611</v>
      </c>
      <c r="FW4" s="323" t="s">
        <v>1612</v>
      </c>
      <c r="FX4" s="323" t="s">
        <v>1613</v>
      </c>
      <c r="FY4" s="323" t="s">
        <v>71</v>
      </c>
      <c r="FZ4" s="323" t="s">
        <v>72</v>
      </c>
      <c r="GA4" s="323" t="s">
        <v>73</v>
      </c>
      <c r="GB4" s="323" t="s">
        <v>316</v>
      </c>
      <c r="GC4" s="323" t="s">
        <v>317</v>
      </c>
      <c r="GD4" s="323" t="s">
        <v>74</v>
      </c>
      <c r="GE4" s="323" t="s">
        <v>318</v>
      </c>
      <c r="GF4" s="323" t="s">
        <v>319</v>
      </c>
      <c r="GG4" s="323" t="s">
        <v>320</v>
      </c>
      <c r="GH4" s="323" t="s">
        <v>321</v>
      </c>
      <c r="GI4" s="323" t="s">
        <v>75</v>
      </c>
      <c r="GJ4" s="323" t="s">
        <v>323</v>
      </c>
      <c r="GK4" s="323" t="s">
        <v>322</v>
      </c>
      <c r="GL4" s="323" t="s">
        <v>324</v>
      </c>
      <c r="GM4" s="323" t="s">
        <v>325</v>
      </c>
    </row>
    <row r="5" spans="1:195" s="62" customFormat="1" ht="30.75" customHeight="1">
      <c r="A5" s="321"/>
      <c r="B5" s="321"/>
      <c r="C5" s="321"/>
      <c r="D5" s="325" t="s">
        <v>326</v>
      </c>
      <c r="E5" s="325"/>
      <c r="F5" s="321"/>
      <c r="G5" s="321"/>
      <c r="H5" s="321"/>
      <c r="I5" s="321"/>
      <c r="J5" s="321"/>
      <c r="K5" s="321"/>
      <c r="L5" s="321"/>
      <c r="M5" s="321"/>
      <c r="N5" s="321"/>
      <c r="O5" s="321"/>
      <c r="P5" s="321"/>
      <c r="Q5" s="321"/>
      <c r="R5" s="321"/>
      <c r="S5" s="321"/>
      <c r="T5" s="321"/>
      <c r="U5" s="321"/>
      <c r="V5" s="321"/>
      <c r="W5" s="321"/>
      <c r="X5" s="321"/>
      <c r="Y5" s="321"/>
      <c r="Z5" s="321"/>
      <c r="AA5" s="321"/>
      <c r="AB5" s="321"/>
      <c r="AC5" s="860"/>
      <c r="AD5" s="860"/>
      <c r="AE5" s="860"/>
      <c r="AF5" s="860"/>
      <c r="AG5" s="860"/>
      <c r="AH5" s="321"/>
      <c r="AI5" s="321"/>
      <c r="AJ5" s="321"/>
      <c r="AK5" s="321"/>
      <c r="AL5" s="321"/>
      <c r="AM5" s="321"/>
      <c r="AN5" s="321"/>
      <c r="AO5" s="321"/>
      <c r="AP5" s="321"/>
      <c r="AQ5" s="321"/>
      <c r="AR5" s="321"/>
      <c r="AS5" s="321"/>
      <c r="AT5" s="321"/>
      <c r="AU5" s="321"/>
      <c r="AV5" s="327"/>
      <c r="AW5" s="327"/>
      <c r="AX5" s="321"/>
      <c r="AY5" s="327"/>
      <c r="AZ5" s="327"/>
      <c r="BA5" s="327"/>
      <c r="BB5" s="327"/>
      <c r="BC5" s="327"/>
      <c r="BE5" s="321"/>
      <c r="BF5" s="321"/>
      <c r="BG5" s="321"/>
      <c r="BH5" s="321"/>
      <c r="BI5" s="321"/>
      <c r="BJ5" s="321"/>
      <c r="BK5" s="321"/>
      <c r="BL5" s="321"/>
      <c r="BM5" s="321"/>
      <c r="BN5" s="321"/>
      <c r="BO5" s="321"/>
      <c r="BP5" s="321"/>
      <c r="BQ5" s="321"/>
      <c r="BR5" s="321"/>
      <c r="BS5" s="321"/>
      <c r="BT5" s="321"/>
      <c r="BU5" s="321"/>
      <c r="BV5" s="321"/>
      <c r="BW5" s="321"/>
      <c r="BX5" s="321"/>
      <c r="BY5" s="321"/>
      <c r="BZ5" s="321"/>
      <c r="CA5" s="321"/>
      <c r="CB5" s="321"/>
      <c r="CC5" s="321"/>
      <c r="CD5" s="321"/>
      <c r="CE5" s="321"/>
      <c r="CF5" s="321"/>
      <c r="CG5" s="321"/>
      <c r="CH5" s="321"/>
      <c r="CI5" s="321"/>
      <c r="CJ5" s="321"/>
      <c r="CK5" s="321"/>
      <c r="CL5" s="321"/>
      <c r="CM5" s="321"/>
      <c r="CN5" s="321"/>
      <c r="CO5" s="321"/>
      <c r="CP5" s="321"/>
      <c r="CQ5" s="321"/>
      <c r="CR5" s="321"/>
      <c r="CS5" s="321"/>
      <c r="CT5" s="321"/>
      <c r="CU5" s="321"/>
      <c r="CV5" s="321"/>
      <c r="CW5" s="321"/>
      <c r="CX5" s="321"/>
      <c r="CY5" s="321"/>
      <c r="CZ5" s="321"/>
      <c r="DA5" s="321"/>
      <c r="DB5" s="321"/>
      <c r="DC5" s="321"/>
      <c r="DD5" s="321"/>
      <c r="DE5" s="321"/>
      <c r="DF5" s="321"/>
      <c r="DG5" s="321"/>
      <c r="DH5" s="327"/>
      <c r="DI5" s="327"/>
      <c r="DJ5" s="327"/>
      <c r="DK5" s="327"/>
      <c r="DL5" s="327"/>
      <c r="DM5" s="327"/>
      <c r="DN5" s="327"/>
      <c r="DO5" s="327"/>
      <c r="DP5" s="327"/>
      <c r="DQ5" s="327"/>
      <c r="DR5" s="327"/>
      <c r="DS5" s="327"/>
      <c r="DT5" s="327"/>
      <c r="DU5" s="321"/>
      <c r="DW5" s="321"/>
      <c r="DX5" s="321"/>
      <c r="DY5" s="321"/>
      <c r="DZ5" s="321"/>
      <c r="EA5" s="321"/>
      <c r="EB5" s="321"/>
      <c r="EC5" s="321"/>
      <c r="ED5" s="321"/>
      <c r="EE5" s="321"/>
      <c r="EF5" s="321"/>
      <c r="EG5" s="321"/>
      <c r="EH5" s="321"/>
      <c r="EI5" s="321"/>
      <c r="EJ5" s="321"/>
      <c r="EK5" s="321"/>
      <c r="EL5" s="321"/>
      <c r="EM5" s="321"/>
      <c r="EN5" s="321"/>
      <c r="EO5" s="321"/>
      <c r="EP5" s="321"/>
      <c r="EQ5" s="321"/>
      <c r="ER5" s="321"/>
      <c r="ES5" s="321"/>
      <c r="ET5" s="321"/>
      <c r="EU5" s="321"/>
      <c r="EV5" s="321"/>
      <c r="EW5" s="321"/>
      <c r="EX5" s="321"/>
      <c r="EY5" s="321"/>
      <c r="EZ5" s="321"/>
      <c r="FA5" s="321"/>
      <c r="FB5" s="321"/>
      <c r="FC5" s="321"/>
      <c r="FD5" s="321"/>
      <c r="FE5" s="321"/>
      <c r="FF5" s="321"/>
      <c r="FG5" s="321"/>
      <c r="FH5" s="321"/>
      <c r="FI5" s="321"/>
      <c r="FJ5" s="321"/>
      <c r="FK5" s="321"/>
      <c r="FL5" s="321"/>
      <c r="FM5" s="321"/>
      <c r="FN5" s="321"/>
      <c r="FO5" s="328"/>
      <c r="FP5" s="328"/>
      <c r="FQ5" s="328"/>
      <c r="FR5" s="328"/>
      <c r="FS5" s="328"/>
      <c r="FT5" s="328"/>
      <c r="FU5" s="328"/>
      <c r="FV5" s="328"/>
      <c r="FW5" s="328"/>
      <c r="FX5" s="328"/>
      <c r="FY5" s="328"/>
      <c r="FZ5" s="328"/>
      <c r="GA5" s="328"/>
      <c r="GB5" s="328"/>
      <c r="GC5" s="328"/>
      <c r="GD5" s="328"/>
      <c r="GE5" s="328"/>
      <c r="GF5" s="328"/>
      <c r="GG5" s="328"/>
      <c r="GH5" s="328"/>
      <c r="GI5" s="328"/>
      <c r="GJ5" s="328"/>
      <c r="GK5" s="328"/>
      <c r="GL5" s="328"/>
      <c r="GM5" s="328"/>
    </row>
    <row r="6" spans="1:195" s="76" customFormat="1" ht="27" customHeight="1">
      <c r="A6" s="476"/>
      <c r="B6" s="476"/>
      <c r="C6" s="476"/>
      <c r="D6" s="477" t="s">
        <v>489</v>
      </c>
      <c r="E6" s="478"/>
      <c r="F6" s="856"/>
      <c r="G6" s="476"/>
      <c r="H6" s="479"/>
      <c r="I6" s="476"/>
      <c r="J6" s="476"/>
      <c r="K6" s="480"/>
      <c r="L6" s="481"/>
      <c r="M6" s="479"/>
      <c r="N6" s="482"/>
      <c r="O6" s="482"/>
      <c r="P6" s="481"/>
      <c r="Q6" s="479"/>
      <c r="R6" s="479"/>
      <c r="S6" s="479"/>
      <c r="T6" s="481"/>
      <c r="U6" s="479"/>
      <c r="V6" s="481"/>
      <c r="W6" s="481"/>
      <c r="X6" s="481"/>
      <c r="Y6" s="481"/>
      <c r="Z6" s="483"/>
      <c r="AA6" s="484"/>
      <c r="AB6" s="484"/>
      <c r="AC6" s="457"/>
      <c r="AD6" s="457"/>
      <c r="AE6" s="457"/>
      <c r="AF6" s="457"/>
      <c r="AG6" s="457"/>
      <c r="AH6" s="486"/>
      <c r="AI6" s="483"/>
      <c r="AJ6" s="482"/>
      <c r="AK6" s="483"/>
      <c r="AL6" s="483"/>
      <c r="AM6" s="483"/>
      <c r="AN6" s="487"/>
      <c r="AO6" s="479"/>
      <c r="AP6" s="480"/>
      <c r="AQ6" s="479"/>
      <c r="AR6" s="487"/>
      <c r="AS6" s="481"/>
      <c r="AT6" s="487"/>
      <c r="AU6" s="487"/>
      <c r="AV6" s="488"/>
      <c r="AW6" s="488"/>
      <c r="AX6" s="481"/>
      <c r="AY6" s="489"/>
      <c r="AZ6" s="489"/>
      <c r="BA6" s="490"/>
      <c r="BB6" s="490"/>
      <c r="BC6" s="490"/>
      <c r="BE6" s="491"/>
      <c r="BF6" s="491"/>
      <c r="BG6" s="491"/>
      <c r="BH6" s="491"/>
      <c r="BI6" s="491"/>
      <c r="BJ6" s="491"/>
      <c r="BK6" s="491"/>
      <c r="BL6" s="491"/>
      <c r="BM6" s="491"/>
      <c r="BN6" s="491"/>
      <c r="BO6" s="491"/>
      <c r="BP6" s="491"/>
      <c r="BQ6" s="491"/>
      <c r="BR6" s="491"/>
      <c r="BS6" s="491"/>
      <c r="BT6" s="491"/>
      <c r="BU6" s="491"/>
      <c r="BV6" s="491"/>
      <c r="BW6" s="491"/>
      <c r="BX6" s="491"/>
      <c r="BY6" s="491"/>
      <c r="BZ6" s="491"/>
      <c r="CA6" s="491"/>
      <c r="CB6" s="491"/>
      <c r="CC6" s="491"/>
      <c r="CD6" s="491"/>
      <c r="CE6" s="491"/>
      <c r="CF6" s="491"/>
      <c r="CG6" s="491"/>
      <c r="CH6" s="491"/>
      <c r="CI6" s="491"/>
      <c r="CJ6" s="491"/>
      <c r="CK6" s="491"/>
      <c r="CL6" s="491"/>
      <c r="CM6" s="491"/>
      <c r="CN6" s="491"/>
      <c r="CO6" s="491"/>
      <c r="CP6" s="491"/>
      <c r="CQ6" s="491"/>
      <c r="CR6" s="491"/>
      <c r="CS6" s="491"/>
      <c r="CT6" s="491"/>
      <c r="CU6" s="491"/>
      <c r="CV6" s="491"/>
      <c r="CW6" s="491"/>
      <c r="CX6" s="491"/>
      <c r="CY6" s="491"/>
      <c r="CZ6" s="491"/>
      <c r="DA6" s="491"/>
      <c r="DB6" s="491"/>
      <c r="DC6" s="491"/>
      <c r="DD6" s="491"/>
      <c r="DE6" s="491"/>
      <c r="DF6" s="491"/>
      <c r="DG6" s="491"/>
      <c r="DH6" s="491"/>
      <c r="DI6" s="491"/>
      <c r="DJ6" s="491"/>
      <c r="DK6" s="491"/>
      <c r="DL6" s="491"/>
      <c r="DM6" s="491"/>
      <c r="DN6" s="491"/>
      <c r="DO6" s="491"/>
      <c r="DP6" s="491"/>
      <c r="DQ6" s="491"/>
      <c r="DR6" s="491"/>
      <c r="DS6" s="491"/>
      <c r="DT6" s="491"/>
      <c r="DU6" s="491"/>
      <c r="DV6" s="61"/>
      <c r="DW6" s="491"/>
      <c r="DX6" s="491"/>
      <c r="DY6" s="491"/>
      <c r="DZ6" s="491"/>
      <c r="EA6" s="491"/>
      <c r="EB6" s="491"/>
      <c r="EC6" s="491"/>
      <c r="ED6" s="491"/>
      <c r="EE6" s="491"/>
      <c r="EF6" s="491"/>
      <c r="EG6" s="491"/>
      <c r="EH6" s="491"/>
      <c r="EI6" s="491"/>
      <c r="EJ6" s="491"/>
      <c r="EK6" s="491"/>
      <c r="EL6" s="491"/>
      <c r="EM6" s="491"/>
      <c r="EN6" s="491"/>
      <c r="EO6" s="491"/>
      <c r="EP6" s="491"/>
      <c r="EQ6" s="491"/>
      <c r="ER6" s="491"/>
      <c r="ES6" s="491"/>
      <c r="ET6" s="491"/>
      <c r="EU6" s="491"/>
      <c r="EV6" s="491"/>
      <c r="EW6" s="491"/>
      <c r="EX6" s="491"/>
      <c r="EY6" s="491"/>
      <c r="EZ6" s="491"/>
      <c r="FA6" s="491"/>
      <c r="FB6" s="491"/>
      <c r="FC6" s="491"/>
      <c r="FD6" s="491"/>
      <c r="FE6" s="491"/>
      <c r="FF6" s="491"/>
      <c r="FG6" s="491"/>
      <c r="FH6" s="491"/>
      <c r="FI6" s="491"/>
      <c r="FJ6" s="491"/>
      <c r="FK6" s="491"/>
      <c r="FL6" s="491"/>
      <c r="FM6" s="491"/>
      <c r="FN6" s="491"/>
      <c r="FO6" s="492"/>
      <c r="FP6" s="492"/>
      <c r="FQ6" s="492"/>
      <c r="FR6" s="492"/>
      <c r="FS6" s="492"/>
      <c r="FT6" s="492"/>
      <c r="FU6" s="492"/>
      <c r="FV6" s="492"/>
      <c r="FW6" s="492"/>
      <c r="FX6" s="492"/>
      <c r="FY6" s="492"/>
      <c r="FZ6" s="492"/>
      <c r="GA6" s="492"/>
      <c r="GB6" s="492"/>
      <c r="GC6" s="492"/>
      <c r="GD6" s="492"/>
      <c r="GE6" s="492"/>
      <c r="GF6" s="492"/>
      <c r="GG6" s="492"/>
      <c r="GH6" s="492"/>
      <c r="GI6" s="492"/>
      <c r="GJ6" s="492"/>
      <c r="GK6" s="492"/>
      <c r="GL6" s="492"/>
      <c r="GM6" s="492"/>
    </row>
    <row r="7" spans="1:195" s="158" customFormat="1" ht="19.5" hidden="1" customHeight="1">
      <c r="A7" s="357" t="s">
        <v>334</v>
      </c>
      <c r="B7" s="357" t="s">
        <v>490</v>
      </c>
      <c r="C7" s="357" t="str">
        <f t="shared" ref="C7:C36" si="0">$D$6</f>
        <v>PMCC-1</v>
      </c>
      <c r="D7" s="395" t="s">
        <v>491</v>
      </c>
      <c r="E7" s="493" t="s">
        <v>345</v>
      </c>
      <c r="F7" s="357" t="s">
        <v>28</v>
      </c>
      <c r="G7" s="357" t="s">
        <v>350</v>
      </c>
      <c r="H7" s="352">
        <v>75</v>
      </c>
      <c r="I7" s="357" t="s">
        <v>330</v>
      </c>
      <c r="J7" s="357" t="s">
        <v>331</v>
      </c>
      <c r="K7" s="353">
        <v>400</v>
      </c>
      <c r="L7" s="360">
        <v>0.85</v>
      </c>
      <c r="M7" s="352">
        <v>0.95700000000000007</v>
      </c>
      <c r="N7" s="359">
        <f t="shared" ref="N7:N36" si="1">IF(I7="kVA",IF(J7="3Ph",(H7*1000/(1.732*M7*K7)),(H7*1000/(M7*K7))),IF(I7="kW",IF(J7="3Ph",(H7*1000/(1.732*M7*K7*L7)),(H7*1000/(M7*K7*L7)))))</f>
        <v>133.08298117802073</v>
      </c>
      <c r="O7" s="494">
        <f t="shared" ref="O7:O45" si="2">IF(G7="MOTOR",(6*N7),IF(G7="VFD",(1*N7),0))</f>
        <v>798.49788706812433</v>
      </c>
      <c r="P7" s="360">
        <f t="shared" ref="P7:P36" si="3">IF(G7="MOTOR",0.2,"0.00")</f>
        <v>0.2</v>
      </c>
      <c r="Q7" s="352">
        <v>65</v>
      </c>
      <c r="R7" s="352">
        <v>0</v>
      </c>
      <c r="S7" s="352">
        <f t="shared" ref="S7:S36" si="4">(Q7*1000*SQRT(R7)/143)</f>
        <v>0</v>
      </c>
      <c r="T7" s="360" t="s">
        <v>131</v>
      </c>
      <c r="U7" s="352" t="s">
        <v>333</v>
      </c>
      <c r="V7" s="360">
        <v>185</v>
      </c>
      <c r="W7" s="360" t="str">
        <f t="shared" ref="W7:W36" si="5">CONCATENATE(U7," X ",V7)</f>
        <v>3C X 185</v>
      </c>
      <c r="X7" s="360" t="str">
        <f t="shared" ref="X7:X36" si="6">(IF(J7="1Ph",W7,IF(J7="3Ph",(IF(G7="MOTOR",(CONCATENATE(W7,"+PE")),W7)))))</f>
        <v>3C X 185+PE</v>
      </c>
      <c r="Y7" s="360" t="s">
        <v>358</v>
      </c>
      <c r="Z7" s="361">
        <f>IF(T7="AIR",VLOOKUP(W7,'Catalogue Aluminium'!$B$9:$G$93,2,FALSE),IF(T7="GROUND",VLOOKUP(W7,'Catalogue Aluminium'!$B$9:$G$93,3,FALSE),IF(T7="DUCT",VLOOKUP(W7,'Catalogue Aluminium'!$B$9:$G$93,4,FALSE),IF(T7="TRENCH",VLOOKUP(W7,'Catalogue Aluminium'!$B$9:$G$93,2,FALSE)))))</f>
        <v>338</v>
      </c>
      <c r="AA7" s="362">
        <f>VLOOKUP(W7,'Catalogue Aluminium'!$B$9:$G$93,5,FALSE)</f>
        <v>0.21</v>
      </c>
      <c r="AB7" s="362">
        <f>VLOOKUP(W7,'Catalogue Aluminium'!$B$9:$G$93,6,FALSE)</f>
        <v>7.2700000000000001E-2</v>
      </c>
      <c r="AC7" s="360">
        <f>26+3</f>
        <v>29</v>
      </c>
      <c r="AD7" s="360">
        <f>11+34+48+35+30+11+24+(15+18+26+3+8)</f>
        <v>263</v>
      </c>
      <c r="AE7" s="360">
        <f>11+8+8+11</f>
        <v>38</v>
      </c>
      <c r="AF7" s="360">
        <v>8</v>
      </c>
      <c r="AG7" s="360">
        <f t="shared" ref="AG7" si="7">ROUNDUP((SUM(AC7:AF7)*0.1),0)</f>
        <v>34</v>
      </c>
      <c r="AH7" s="363"/>
      <c r="AI7" s="361">
        <f>IF(T7="AIR",'Catalogue Aluminium'!$K$9,IF(T7="TRENCH",'Catalogue Aluminium'!$K$12,"NA"))</f>
        <v>0.89</v>
      </c>
      <c r="AJ7" s="359">
        <f>IF(T7="Air",(IF(U7="1C",'Catalogue Aluminium'!$L$9,'Catalogue Aluminium'!$M$9)),IF(T7="DUCT",(IF($U7="1C",'Catalogue Aluminium'!$L$10,'Catalogue Aluminium'!$M$10)),IF(T7="GROUND",(IF($U7="1C",'Catalogue Aluminium'!$L$11,'Catalogue Aluminium'!$M$11)),IF(T7="TRENCH",(IF($U7="1C",'Catalogue Aluminium'!$L$12,'Catalogue Aluminium'!$M$12))))))</f>
        <v>0.66</v>
      </c>
      <c r="AK7" s="361" t="str">
        <f>IF(T7="Air",'Catalogue Aluminium'!$N$9,IF(T7="GROUND",'Catalogue Aluminium'!$N$10,IF(T7="DUCT",'Catalogue Aluminium'!$N$11,IF(T7="TRENCH",'Catalogue Aluminium'!$N$12,"NA"))))</f>
        <v>NA</v>
      </c>
      <c r="AL7" s="361" t="str">
        <f>IF(T7="Air",(IF(U7="1C",'Catalogue Aluminium'!$O$9,'Catalogue Aluminium'!$P$9)),IF(T7="DUCT",(IF($U7="1C",'Catalogue Aluminium'!$O$10,'Catalogue Aluminium'!$P$10)),IF(T7="GROUND",(IF($U7="1C",'Catalogue Aluminium'!$O$11,'Catalogue Aluminium'!$P$11)),IF(T7="TRENCH",(IF($U7="1C",'Catalogue Aluminium'!$O$12,'Catalogue Aluminium'!$P$12))))))</f>
        <v>NA</v>
      </c>
      <c r="AM7" s="361" t="str">
        <f>IF(T7="AIR","NA",IF(T7="TRENCH","NA",IF(T7="DUCT",IF(U7="1C",VLOOKUP(V7,'Catalogue Aluminium'!$Q$9:$S$28,2,FALSE),VLOOKUP(V7,'Catalogue Aluminium'!$Q$9:$S$28,3)),IF(T7="GROUND",IF(U7="1C",VLOOKUP(V7,'Catalogue Aluminium'!$Q$9:$S$28,2,FALSE),VLOOKUP(V7,'Catalogue Aluminium'!$Q$9:$S$28,3))))))</f>
        <v>NA</v>
      </c>
      <c r="AN7" s="365">
        <f t="shared" ref="AN7:AN36" si="8">IF(T7="AIR",AI7*AJ7,IF(T7="TRENCH",AI7*AJ7,IF(T7="DUCT",AJ7*AK7*AL7*AM7,IF(T7="GROUND",AJ7*AK7*AL7*AM7))))</f>
        <v>0.58740000000000003</v>
      </c>
      <c r="AO7" s="352">
        <f t="shared" ref="AO7:AO36" si="9">Z7*AN7</f>
        <v>198.5412</v>
      </c>
      <c r="AP7" s="495">
        <f t="shared" ref="AP7:AP81" si="10">CEILING(((N7)/AO7),1)</f>
        <v>1</v>
      </c>
      <c r="AQ7" s="352" t="str">
        <f t="shared" ref="AQ7:AQ36" si="11">IF(AO7*AP7&gt;=N7,"YES","NO")</f>
        <v>YES</v>
      </c>
      <c r="AR7" s="365">
        <f t="shared" ref="AR7:AR36" si="12">SQRT(3)*AH7*N7*((AA7*L7)+(AB7*SIN(ACOS(L7))))*100/(AP7*K7*1000)</f>
        <v>0</v>
      </c>
      <c r="AS7" s="496" t="str">
        <f t="shared" ref="AS7:AS36" si="13">IF(G7="INCOMER",(IF(AR7&lt;=2,"YES","NO")),IF(G7="POWER",(IF(AR7&lt;=2.5,"YES","NO")),IF(G7="MOTOR",(IF(AR7&lt;=3,"YES","NO")))))</f>
        <v>YES</v>
      </c>
      <c r="AT7" s="497">
        <f t="shared" ref="AT7:AT36" si="14">IF(G7="MOTOR",(SQRT(3)*AH7*O7*((AA7*P7)+(AB7*SIN(ACOS(P7))))*100/(AP7*K7*1000)),"NA")</f>
        <v>0</v>
      </c>
      <c r="AU7" s="360" t="str">
        <f t="shared" ref="AU7:AU36" si="15">IF(G7="MOTOR",IF(AT7&lt;=15,"YES","NO"),"NA")</f>
        <v>YES</v>
      </c>
      <c r="AV7" s="366" t="str">
        <f t="shared" ref="AV7:AV36" si="16">IF(U7="1C",CONCATENATE(AP7,"R x ",Y7,"kV x ",U7," x ",V7," Sqmm/Phase"),CONCATENATE(AP7,"R x ",0.6,"/1kV x ",U7," x ",V7," Sqmm"))</f>
        <v>1R x 0.6/1kV x 3C x 185 Sqmm</v>
      </c>
      <c r="AW7" s="354" t="str">
        <f t="shared" ref="AW7:AW36" si="17">IF(U7="1C",CONCATENATE(AP7,"R x ",Y7,"kV x ",U7," x ",V7," Sqmm/Phase"),CONCATENATE(AP7,"R x ",0.6,"/1kV x ",U7," x ",V7,(IF(G7="MOTOR","+PE",""))," Sqmm"))</f>
        <v>1R x 0.6/1kV x 3C x 185+PE Sqmm</v>
      </c>
      <c r="AX7" s="360"/>
      <c r="AY7" s="367"/>
      <c r="AZ7" s="367"/>
      <c r="BA7" s="356" t="str">
        <f t="shared" ref="BA7:BA10" si="18">CONCATENATE(IF(BE7=1,BE$4,""),IF(BF7=1,BF$4,""),IF(BG7=1,BG$4,""),IF(BH7=1,BH$4,""),IF(BI7=1,BI$4,""),IF(BJ7=1,BJ$4,""),IF(BK7=1,BK$4,""),IF(BL7=1,BL$4,""),IF(BM7=1,BM$4,""),IF(BN7=1,BN$4,""),IF(BO7=1,BO$4,""),IF(BP7=1,BP$4,""),IF(BQ7=1,BQ$4,""),IF(BR7=1,BR$4,""),IF(BS7=1,BS$4,""),IF(BT7=1,BT$4,""),IF(BU7=1,BU$4,""),IF(BV7=1,BV$4,""),IF(BW7=1,BW$4,""),IF(BX7=1,BX$4,""),IF(BY7=1,BY$4,""),IF(BZ7=1,BZ$4,""),IF(CA7=1,CA$4,""),IF(CC7=1,CC$4,""),IF(CD7=1,CD$4,""),IF(CE7=1,CE$4,""),IF(CF7=1,CF$4,""),IF(CG7=1,CG$4,""),IF(CH7=1,CH$4,""),IF(CI7=1,CI$4,""),IF(CJ7=1,CJ$4,""),IF(CK7=1,CK$4,""),IF(CL7=1,CL$4,""),IF(CM7=1,CM$4,""),IF(CN7=1,CN$4,""),IF(CO7=1,CO$4,""),IF(CP7=1,CP$4,""),IF(CQ7=1,CQ$4,""),IF(CR7=1,CR$4,""),IF(CS7=1,CS$4,""),IF(CT7=1,CT$4,""),IF(CU7=1,CU$4,""),IF(CV7=1,CV$4,""),IF(CW7=1,CW$4,""),IF(CX7=1,CX$4,""),IF(CY7=1,CY$4,""),IF(CZ7=1,CZ$4,""),IF(DA7=1,DA$4,""),IF(DB7=1,DB$4,""),IF(DC7=1,DC$4,""),IF(DG7=1,DG$4,""),IF(DH7=1,DH$4,""),IF(DI7=1,DI$4,""),IF(DJ7=1,DJ$4,""),IF(DK7=1,DK$4,""),IF(DL7=1,DL$4,""),IF(DM7=1,DM$4,""),IF(DN7=1,DN$4,""),IF(DO7=1,DO$4,""),IF(DP7=1,DP$4,""),IF(DQ7=1,DQ$4,""),IF(DR7=1,DR$4,""),IF(DS7=1,DS$4,""),IF(DT7=1,DT$4,""),IF(DU7=1,DU$4,""))</f>
        <v/>
      </c>
      <c r="BB7" s="498"/>
      <c r="BC7" s="426"/>
      <c r="BE7" s="368"/>
      <c r="BF7" s="368"/>
      <c r="BG7" s="368"/>
      <c r="BH7" s="368"/>
      <c r="BI7" s="368"/>
      <c r="BJ7" s="368"/>
      <c r="BK7" s="368"/>
      <c r="BL7" s="368"/>
      <c r="BM7" s="368"/>
      <c r="BN7" s="368"/>
      <c r="BO7" s="368"/>
      <c r="BP7" s="368"/>
      <c r="BQ7" s="368"/>
      <c r="BR7" s="368"/>
      <c r="BS7" s="368"/>
      <c r="BT7" s="368"/>
      <c r="BU7" s="368"/>
      <c r="BV7" s="368"/>
      <c r="BW7" s="368"/>
      <c r="BX7" s="368"/>
      <c r="BY7" s="368"/>
      <c r="BZ7" s="368"/>
      <c r="CA7" s="368"/>
      <c r="CB7" s="368"/>
      <c r="CC7" s="368"/>
      <c r="CD7" s="368"/>
      <c r="CE7" s="368"/>
      <c r="CF7" s="368"/>
      <c r="CG7" s="368"/>
      <c r="CH7" s="368"/>
      <c r="CI7" s="368"/>
      <c r="CJ7" s="368"/>
      <c r="CK7" s="368"/>
      <c r="CL7" s="368"/>
      <c r="CM7" s="368"/>
      <c r="CN7" s="368"/>
      <c r="CO7" s="368"/>
      <c r="CP7" s="368"/>
      <c r="CQ7" s="368"/>
      <c r="CR7" s="368"/>
      <c r="CS7" s="368"/>
      <c r="CT7" s="368"/>
      <c r="CU7" s="368"/>
      <c r="CV7" s="368"/>
      <c r="CW7" s="368"/>
      <c r="CX7" s="368"/>
      <c r="CY7" s="368"/>
      <c r="CZ7" s="368"/>
      <c r="DA7" s="368"/>
      <c r="DB7" s="368"/>
      <c r="DC7" s="368"/>
      <c r="DD7" s="368"/>
      <c r="DE7" s="368"/>
      <c r="DF7" s="368"/>
      <c r="DG7" s="368"/>
      <c r="DH7" s="368"/>
      <c r="DI7" s="368"/>
      <c r="DJ7" s="368"/>
      <c r="DK7" s="368"/>
      <c r="DL7" s="368"/>
      <c r="DM7" s="368"/>
      <c r="DN7" s="368"/>
      <c r="DO7" s="368"/>
      <c r="DP7" s="368"/>
      <c r="DQ7" s="368"/>
      <c r="DR7" s="368"/>
      <c r="DS7" s="368"/>
      <c r="DT7" s="368"/>
      <c r="DU7" s="368"/>
      <c r="DV7" s="83"/>
      <c r="DW7" s="368">
        <f t="shared" ref="DW7:DW23" si="19">IF(BE7=1,($BC7*BE7),0)</f>
        <v>0</v>
      </c>
      <c r="DX7" s="368">
        <f t="shared" ref="DX7:DX23" si="20">IF(BF7=1,($BC7*BF7),0)</f>
        <v>0</v>
      </c>
      <c r="DY7" s="368">
        <f t="shared" ref="DY7:DY23" si="21">IF(BG7=1,($BC7*BG7),0)</f>
        <v>0</v>
      </c>
      <c r="DZ7" s="368">
        <f t="shared" ref="DZ7:DZ23" si="22">IF(BH7=1,($BC7*BH7),0)</f>
        <v>0</v>
      </c>
      <c r="EA7" s="368">
        <f t="shared" ref="EA7:EA23" si="23">IF(BI7=1,($BC7*BI7),0)</f>
        <v>0</v>
      </c>
      <c r="EB7" s="368">
        <f t="shared" ref="EB7:EB23" si="24">IF(BJ7=1,($BC7*BJ7),0)</f>
        <v>0</v>
      </c>
      <c r="EC7" s="368">
        <f t="shared" ref="EC7:EC23" si="25">IF(BK7=1,($BC7*BK7),0)</f>
        <v>0</v>
      </c>
      <c r="ED7" s="368">
        <f t="shared" ref="ED7:ED23" si="26">IF(BL7=1,($BC7*BL7),0)</f>
        <v>0</v>
      </c>
      <c r="EE7" s="368">
        <f t="shared" ref="EE7:EE23" si="27">IF(BM7=1,($BC7*BM7),0)</f>
        <v>0</v>
      </c>
      <c r="EF7" s="368">
        <f t="shared" ref="EF7:EF23" si="28">IF(BN7=1,($BC7*BN7),0)</f>
        <v>0</v>
      </c>
      <c r="EG7" s="368">
        <f t="shared" ref="EG7:EG23" si="29">IF(BO7=1,($BC7*BO7),0)</f>
        <v>0</v>
      </c>
      <c r="EH7" s="368">
        <f t="shared" ref="EH7:EH23" si="30">IF(BP7=1,($BC7*BP7),0)</f>
        <v>0</v>
      </c>
      <c r="EI7" s="368">
        <f t="shared" ref="EI7:EI23" si="31">IF(BQ7=1,($BC7*BQ7),0)</f>
        <v>0</v>
      </c>
      <c r="EJ7" s="368">
        <f t="shared" ref="EJ7:EJ23" si="32">IF(BR7=1,($BC7*BR7),0)</f>
        <v>0</v>
      </c>
      <c r="EK7" s="368">
        <f t="shared" ref="EK7:EK23" si="33">IF(BS7=1,($BC7*BS7),0)</f>
        <v>0</v>
      </c>
      <c r="EL7" s="368">
        <f t="shared" ref="EL7:EL23" si="34">IF(BT7=1,($BC7*BT7),0)</f>
        <v>0</v>
      </c>
      <c r="EM7" s="368">
        <f t="shared" ref="EM7:EM23" si="35">IF(BU7=1,($BC7*BU7),0)</f>
        <v>0</v>
      </c>
      <c r="EN7" s="368">
        <f t="shared" ref="EN7:EN23" si="36">IF(BV7=1,($BC7*BV7),0)</f>
        <v>0</v>
      </c>
      <c r="EO7" s="368">
        <f t="shared" ref="EO7:EO23" si="37">IF(BW7=1,($BC7*BW7),0)</f>
        <v>0</v>
      </c>
      <c r="EP7" s="368">
        <f t="shared" ref="EP7:EP23" si="38">IF(BX7=1,($BC7*BX7),0)</f>
        <v>0</v>
      </c>
      <c r="EQ7" s="368">
        <f t="shared" ref="EQ7:EQ23" si="39">IF(BY7=1,($BC7*BY7),0)</f>
        <v>0</v>
      </c>
      <c r="ER7" s="368">
        <f t="shared" ref="ER7:ER23" si="40">IF(BZ7=1,($BC7*BZ7),0)</f>
        <v>0</v>
      </c>
      <c r="ES7" s="368">
        <f t="shared" ref="ES7:ET24" si="41">IF(CA7=1,($BC7*CA7),0)</f>
        <v>0</v>
      </c>
      <c r="ET7" s="368"/>
      <c r="EU7" s="368">
        <f t="shared" ref="EU7:EU23" si="42">IF(CC7=1,($BC7*CC7),0)</f>
        <v>0</v>
      </c>
      <c r="EV7" s="368">
        <f t="shared" ref="EV7:EV23" si="43">IF(CD7=1,($BC7*CD7),0)</f>
        <v>0</v>
      </c>
      <c r="EW7" s="368">
        <f t="shared" ref="EW7:EW23" si="44">IF(CE7=1,($BC7*CE7),0)</f>
        <v>0</v>
      </c>
      <c r="EX7" s="368">
        <f t="shared" ref="EX7:EX23" si="45">IF(CF7=1,($BC7*CF7),0)</f>
        <v>0</v>
      </c>
      <c r="EY7" s="368">
        <f t="shared" ref="EY7:EY23" si="46">IF(CG7=1,($BC7*CG7),0)</f>
        <v>0</v>
      </c>
      <c r="EZ7" s="368">
        <f t="shared" ref="EZ7:EZ23" si="47">IF(CH7=1,($BC7*CH7),0)</f>
        <v>0</v>
      </c>
      <c r="FA7" s="368">
        <f t="shared" ref="FA7:FA23" si="48">IF(CI7=1,($BC7*CI7),0)</f>
        <v>0</v>
      </c>
      <c r="FB7" s="368">
        <f t="shared" ref="FB7:FB23" si="49">IF(CJ7=1,($BC7*CJ7),0)</f>
        <v>0</v>
      </c>
      <c r="FC7" s="368">
        <f t="shared" ref="FC7:FC23" si="50">IF(CK7=1,($BC7*CK7),0)</f>
        <v>0</v>
      </c>
      <c r="FD7" s="368">
        <f t="shared" ref="FD7:FD23" si="51">IF(CL7=1,($BC7*CL7),0)</f>
        <v>0</v>
      </c>
      <c r="FE7" s="368">
        <f t="shared" ref="FE7:FE23" si="52">IF(CM7=1,($BC7*CM7),0)</f>
        <v>0</v>
      </c>
      <c r="FF7" s="368">
        <f t="shared" ref="FF7:FF23" si="53">IF(CN7=1,($BC7*CN7),0)</f>
        <v>0</v>
      </c>
      <c r="FG7" s="368">
        <f t="shared" ref="FG7:FG23" si="54">IF(CO7=1,($BC7*CO7),0)</f>
        <v>0</v>
      </c>
      <c r="FH7" s="368">
        <f t="shared" ref="FH7:FH23" si="55">IF(CP7=1,($BC7*CP7),0)</f>
        <v>0</v>
      </c>
      <c r="FI7" s="368">
        <f t="shared" ref="FI7:FI23" si="56">IF(CQ7=1,($BC7*CQ7),0)</f>
        <v>0</v>
      </c>
      <c r="FJ7" s="368">
        <f t="shared" ref="FJ7:FJ23" si="57">IF(CR7=1,($BC7*CR7),0)</f>
        <v>0</v>
      </c>
      <c r="FK7" s="368">
        <f t="shared" ref="FK7:FK23" si="58">IF(CS7=1,($BC7*CS7),0)</f>
        <v>0</v>
      </c>
      <c r="FL7" s="368">
        <f t="shared" ref="FL7:FL23" si="59">IF(CT7=1,($BC7*CT7),0)</f>
        <v>0</v>
      </c>
      <c r="FM7" s="368">
        <f t="shared" ref="FM7:FM23" si="60">IF(CU7=1,($BC7*CU7),0)</f>
        <v>0</v>
      </c>
      <c r="FN7" s="368">
        <f t="shared" ref="FN7:FN23" si="61">IF(CV7=1,($BC7*CV7),0)</f>
        <v>0</v>
      </c>
      <c r="FO7" s="499">
        <f t="shared" ref="FO7:FO23" si="62">IF(CW7=1,($BC7*CW7),0)</f>
        <v>0</v>
      </c>
      <c r="FP7" s="499">
        <f t="shared" ref="FP7:FP23" si="63">IF(CX7=1,($BC7*CX7),0)</f>
        <v>0</v>
      </c>
      <c r="FQ7" s="499">
        <f t="shared" ref="FQ7:FQ23" si="64">IF(CY7=1,($BC7*CY7),0)</f>
        <v>0</v>
      </c>
      <c r="FR7" s="499">
        <f t="shared" ref="FR7:FR23" si="65">IF(CZ7=1,($BC7*CZ7),0)</f>
        <v>0</v>
      </c>
      <c r="FS7" s="499">
        <f t="shared" ref="FS7:FS23" si="66">IF(DA7=1,($BC7*DA7),0)</f>
        <v>0</v>
      </c>
      <c r="FT7" s="499">
        <f t="shared" ref="FT7:FT23" si="67">IF(DB7=1,($BC7*DB7),0)</f>
        <v>0</v>
      </c>
      <c r="FU7" s="499"/>
      <c r="FV7" s="499"/>
      <c r="FW7" s="499"/>
      <c r="FX7" s="499"/>
      <c r="FY7" s="499">
        <f t="shared" ref="FY7:FY43" si="68">IF(DG7=1,($BC7*DG7),0)</f>
        <v>0</v>
      </c>
      <c r="FZ7" s="499">
        <f t="shared" ref="FZ7:FZ43" si="69">IF(DH7=1,($BC7*DH7),0)</f>
        <v>0</v>
      </c>
      <c r="GA7" s="499">
        <f t="shared" ref="GA7:GA43" si="70">IF(DI7=1,($BC7*DI7),0)</f>
        <v>0</v>
      </c>
      <c r="GB7" s="499">
        <f t="shared" ref="GB7:GB43" si="71">IF(DJ7=1,($BC7*DJ7),0)</f>
        <v>0</v>
      </c>
      <c r="GC7" s="499">
        <f t="shared" ref="GC7:GC43" si="72">IF(DK7=1,($BC7*DK7),0)</f>
        <v>0</v>
      </c>
      <c r="GD7" s="499">
        <f t="shared" ref="GD7:GD43" si="73">IF(DL7=1,($BC7*DL7),0)</f>
        <v>0</v>
      </c>
      <c r="GE7" s="499">
        <f t="shared" ref="GE7:GE43" si="74">IF(DM7=1,($BC7*DM7),0)</f>
        <v>0</v>
      </c>
      <c r="GF7" s="499">
        <f t="shared" ref="GF7:GF43" si="75">IF(DN7=1,($BC7*DN7),0)</f>
        <v>0</v>
      </c>
      <c r="GG7" s="499">
        <f t="shared" ref="GG7:GG43" si="76">IF(DO7=1,($BC7*DO7),0)</f>
        <v>0</v>
      </c>
      <c r="GH7" s="499">
        <f t="shared" ref="GH7:GH43" si="77">IF(DP7=1,($BC7*DP7),0)</f>
        <v>0</v>
      </c>
      <c r="GI7" s="499">
        <f t="shared" ref="GI7:GI43" si="78">IF(DQ7=1,($BC7*DQ7),0)</f>
        <v>0</v>
      </c>
      <c r="GJ7" s="499">
        <f t="shared" ref="GJ7:GJ43" si="79">IF(DR7=1,($BC7*DR7),0)</f>
        <v>0</v>
      </c>
      <c r="GK7" s="499">
        <f t="shared" ref="GK7:GK43" si="80">IF(DS7=1,($BC7*DS7),0)</f>
        <v>0</v>
      </c>
      <c r="GL7" s="499"/>
      <c r="GM7" s="499">
        <f t="shared" ref="GM7:GM43" si="81">IF(DU7=1,($BC7*DU7),0)</f>
        <v>0</v>
      </c>
    </row>
    <row r="8" spans="1:195" s="158" customFormat="1" ht="20.100000000000001" hidden="1" customHeight="1">
      <c r="A8" s="357" t="s">
        <v>334</v>
      </c>
      <c r="B8" s="357" t="s">
        <v>492</v>
      </c>
      <c r="C8" s="357" t="str">
        <f t="shared" si="0"/>
        <v>PMCC-1</v>
      </c>
      <c r="D8" s="395" t="s">
        <v>493</v>
      </c>
      <c r="E8" s="493" t="s">
        <v>345</v>
      </c>
      <c r="F8" s="357" t="s">
        <v>29</v>
      </c>
      <c r="G8" s="357" t="s">
        <v>350</v>
      </c>
      <c r="H8" s="352">
        <v>75</v>
      </c>
      <c r="I8" s="357" t="s">
        <v>330</v>
      </c>
      <c r="J8" s="357" t="s">
        <v>331</v>
      </c>
      <c r="K8" s="353">
        <v>400</v>
      </c>
      <c r="L8" s="360">
        <v>0.85</v>
      </c>
      <c r="M8" s="352">
        <v>0.95700000000000007</v>
      </c>
      <c r="N8" s="359">
        <f t="shared" si="1"/>
        <v>133.08298117802073</v>
      </c>
      <c r="O8" s="359">
        <f t="shared" si="2"/>
        <v>798.49788706812433</v>
      </c>
      <c r="P8" s="360">
        <f t="shared" si="3"/>
        <v>0.2</v>
      </c>
      <c r="Q8" s="352">
        <v>65</v>
      </c>
      <c r="R8" s="352">
        <v>0</v>
      </c>
      <c r="S8" s="352">
        <f t="shared" si="4"/>
        <v>0</v>
      </c>
      <c r="T8" s="360" t="s">
        <v>131</v>
      </c>
      <c r="U8" s="352" t="s">
        <v>333</v>
      </c>
      <c r="V8" s="360">
        <v>185</v>
      </c>
      <c r="W8" s="360" t="str">
        <f t="shared" si="5"/>
        <v>3C X 185</v>
      </c>
      <c r="X8" s="360" t="str">
        <f t="shared" si="6"/>
        <v>3C X 185+PE</v>
      </c>
      <c r="Y8" s="360" t="s">
        <v>358</v>
      </c>
      <c r="Z8" s="361">
        <f>IF(T8="AIR",VLOOKUP(W8,'Catalogue Aluminium'!$B$9:$G$93,2,FALSE),IF(T8="GROUND",VLOOKUP(W8,'Catalogue Aluminium'!$B$9:$G$93,3,FALSE),IF(T8="DUCT",VLOOKUP(W8,'Catalogue Aluminium'!$B$9:$G$93,4,FALSE),IF(T8="TRENCH",VLOOKUP(W8,'Catalogue Aluminium'!$B$9:$G$93,2,FALSE)))))</f>
        <v>338</v>
      </c>
      <c r="AA8" s="362">
        <f>VLOOKUP(W8,'Catalogue Aluminium'!$B$9:$G$93,5,FALSE)</f>
        <v>0.21</v>
      </c>
      <c r="AB8" s="362">
        <f>VLOOKUP(W8,'Catalogue Aluminium'!$B$9:$G$93,6,FALSE)</f>
        <v>7.2700000000000001E-2</v>
      </c>
      <c r="AC8" s="360">
        <f>35+3</f>
        <v>38</v>
      </c>
      <c r="AD8" s="360">
        <f>11+34+48+35+30+11+24+(15+18+26+3+8)</f>
        <v>263</v>
      </c>
      <c r="AE8" s="360">
        <f t="shared" ref="AE8:AE22" si="82">11+8+8+11</f>
        <v>38</v>
      </c>
      <c r="AF8" s="360">
        <v>8</v>
      </c>
      <c r="AG8" s="360">
        <f t="shared" ref="AG8:AG36" si="83">ROUNDUP((SUM(AC8:AF8)*0.1),0)</f>
        <v>35</v>
      </c>
      <c r="AH8" s="363"/>
      <c r="AI8" s="361">
        <f>IF(T8="AIR",'Catalogue Aluminium'!$K$9,IF(T8="TRENCH",'Catalogue Aluminium'!$K$12,"NA"))</f>
        <v>0.89</v>
      </c>
      <c r="AJ8" s="359">
        <f>IF(T8="Air",(IF(U8="1C",'Catalogue Aluminium'!$L$9,'Catalogue Aluminium'!$M$9)),IF(T8="DUCT",(IF($U8="1C",'Catalogue Aluminium'!$L$10,'Catalogue Aluminium'!$M$10)),IF(T8="GROUND",(IF($U8="1C",'Catalogue Aluminium'!$L$11,'Catalogue Aluminium'!$M$11)),IF(T8="TRENCH",(IF($U8="1C",'Catalogue Aluminium'!$L$12,'Catalogue Aluminium'!$M$12))))))</f>
        <v>0.66</v>
      </c>
      <c r="AK8" s="361" t="str">
        <f>IF(T8="Air",'Catalogue Aluminium'!$N$9,IF(T8="GROUND",'Catalogue Aluminium'!$N$10,IF(T8="DUCT",'Catalogue Aluminium'!$N$11,IF(T8="TRENCH",'Catalogue Aluminium'!$N$12,"NA"))))</f>
        <v>NA</v>
      </c>
      <c r="AL8" s="361" t="str">
        <f>IF(T8="Air",(IF(U8="1C",'Catalogue Aluminium'!$O$9,'Catalogue Aluminium'!$P$9)),IF(T8="DUCT",(IF($U8="1C",'Catalogue Aluminium'!$O$10,'Catalogue Aluminium'!$P$10)),IF(T8="GROUND",(IF($U8="1C",'Catalogue Aluminium'!$O$11,'Catalogue Aluminium'!$P$11)),IF(T8="TRENCH",(IF($U8="1C",'Catalogue Aluminium'!$O$12,'Catalogue Aluminium'!$P$12))))))</f>
        <v>NA</v>
      </c>
      <c r="AM8" s="361" t="str">
        <f>IF(T8="AIR","NA",IF(T8="TRENCH","NA",IF(T8="DUCT",IF(U8="1C",VLOOKUP(V8,'Catalogue Aluminium'!$Q$9:$S$28,2,FALSE),VLOOKUP(V8,'Catalogue Aluminium'!$Q$9:$S$28,3)),IF(T8="GROUND",IF(U8="1C",VLOOKUP(V8,'Catalogue Aluminium'!$Q$9:$S$28,2,FALSE),VLOOKUP(V8,'Catalogue Aluminium'!$Q$9:$S$28,3))))))</f>
        <v>NA</v>
      </c>
      <c r="AN8" s="365">
        <f t="shared" si="8"/>
        <v>0.58740000000000003</v>
      </c>
      <c r="AO8" s="352">
        <f t="shared" si="9"/>
        <v>198.5412</v>
      </c>
      <c r="AP8" s="495">
        <f t="shared" si="10"/>
        <v>1</v>
      </c>
      <c r="AQ8" s="352" t="str">
        <f t="shared" si="11"/>
        <v>YES</v>
      </c>
      <c r="AR8" s="365">
        <f t="shared" si="12"/>
        <v>0</v>
      </c>
      <c r="AS8" s="496" t="str">
        <f t="shared" si="13"/>
        <v>YES</v>
      </c>
      <c r="AT8" s="497">
        <f t="shared" si="14"/>
        <v>0</v>
      </c>
      <c r="AU8" s="360" t="str">
        <f t="shared" si="15"/>
        <v>YES</v>
      </c>
      <c r="AV8" s="366" t="str">
        <f t="shared" si="16"/>
        <v>1R x 0.6/1kV x 3C x 185 Sqmm</v>
      </c>
      <c r="AW8" s="354" t="str">
        <f t="shared" si="17"/>
        <v>1R x 0.6/1kV x 3C x 185+PE Sqmm</v>
      </c>
      <c r="AX8" s="360"/>
      <c r="AY8" s="367"/>
      <c r="AZ8" s="367"/>
      <c r="BA8" s="356" t="str">
        <f t="shared" si="18"/>
        <v/>
      </c>
      <c r="BB8" s="498"/>
      <c r="BC8" s="426"/>
      <c r="BE8" s="368"/>
      <c r="BF8" s="368"/>
      <c r="BG8" s="368"/>
      <c r="BH8" s="368"/>
      <c r="BI8" s="368"/>
      <c r="BJ8" s="368"/>
      <c r="BK8" s="368"/>
      <c r="BL8" s="368"/>
      <c r="BM8" s="368"/>
      <c r="BN8" s="368"/>
      <c r="BO8" s="368"/>
      <c r="BP8" s="368"/>
      <c r="BQ8" s="368"/>
      <c r="BR8" s="368"/>
      <c r="BS8" s="368"/>
      <c r="BT8" s="368"/>
      <c r="BU8" s="368"/>
      <c r="BV8" s="368"/>
      <c r="BW8" s="368"/>
      <c r="BX8" s="368"/>
      <c r="BY8" s="368"/>
      <c r="BZ8" s="368"/>
      <c r="CA8" s="368"/>
      <c r="CB8" s="368"/>
      <c r="CC8" s="368"/>
      <c r="CD8" s="368"/>
      <c r="CE8" s="368"/>
      <c r="CF8" s="368"/>
      <c r="CG8" s="368"/>
      <c r="CH8" s="368"/>
      <c r="CI8" s="368"/>
      <c r="CJ8" s="368"/>
      <c r="CK8" s="368"/>
      <c r="CL8" s="368"/>
      <c r="CM8" s="368"/>
      <c r="CN8" s="368"/>
      <c r="CO8" s="368"/>
      <c r="CP8" s="368"/>
      <c r="CQ8" s="368"/>
      <c r="CR8" s="368"/>
      <c r="CS8" s="368"/>
      <c r="CT8" s="368"/>
      <c r="CU8" s="368"/>
      <c r="CV8" s="368"/>
      <c r="CW8" s="368"/>
      <c r="CX8" s="368"/>
      <c r="CY8" s="368"/>
      <c r="CZ8" s="368"/>
      <c r="DA8" s="368"/>
      <c r="DB8" s="368"/>
      <c r="DC8" s="368"/>
      <c r="DD8" s="368"/>
      <c r="DE8" s="368"/>
      <c r="DF8" s="368"/>
      <c r="DG8" s="368"/>
      <c r="DH8" s="368"/>
      <c r="DI8" s="368"/>
      <c r="DJ8" s="368"/>
      <c r="DK8" s="368"/>
      <c r="DL8" s="368"/>
      <c r="DM8" s="368"/>
      <c r="DN8" s="368"/>
      <c r="DO8" s="368"/>
      <c r="DP8" s="368"/>
      <c r="DQ8" s="368"/>
      <c r="DR8" s="368"/>
      <c r="DS8" s="368"/>
      <c r="DT8" s="368"/>
      <c r="DU8" s="368"/>
      <c r="DV8" s="83"/>
      <c r="DW8" s="368">
        <f t="shared" si="19"/>
        <v>0</v>
      </c>
      <c r="DX8" s="368">
        <f t="shared" si="20"/>
        <v>0</v>
      </c>
      <c r="DY8" s="368">
        <f t="shared" si="21"/>
        <v>0</v>
      </c>
      <c r="DZ8" s="368">
        <f t="shared" si="22"/>
        <v>0</v>
      </c>
      <c r="EA8" s="368">
        <f t="shared" si="23"/>
        <v>0</v>
      </c>
      <c r="EB8" s="368">
        <f t="shared" si="24"/>
        <v>0</v>
      </c>
      <c r="EC8" s="368">
        <f t="shared" si="25"/>
        <v>0</v>
      </c>
      <c r="ED8" s="368">
        <f t="shared" si="26"/>
        <v>0</v>
      </c>
      <c r="EE8" s="368">
        <f t="shared" si="27"/>
        <v>0</v>
      </c>
      <c r="EF8" s="368">
        <f t="shared" si="28"/>
        <v>0</v>
      </c>
      <c r="EG8" s="368">
        <f t="shared" si="29"/>
        <v>0</v>
      </c>
      <c r="EH8" s="368">
        <f t="shared" si="30"/>
        <v>0</v>
      </c>
      <c r="EI8" s="368">
        <f t="shared" si="31"/>
        <v>0</v>
      </c>
      <c r="EJ8" s="368">
        <f t="shared" si="32"/>
        <v>0</v>
      </c>
      <c r="EK8" s="368">
        <f t="shared" si="33"/>
        <v>0</v>
      </c>
      <c r="EL8" s="368">
        <f t="shared" si="34"/>
        <v>0</v>
      </c>
      <c r="EM8" s="368">
        <f t="shared" si="35"/>
        <v>0</v>
      </c>
      <c r="EN8" s="368">
        <f t="shared" si="36"/>
        <v>0</v>
      </c>
      <c r="EO8" s="368">
        <f t="shared" si="37"/>
        <v>0</v>
      </c>
      <c r="EP8" s="368">
        <f t="shared" si="38"/>
        <v>0</v>
      </c>
      <c r="EQ8" s="368">
        <f t="shared" si="39"/>
        <v>0</v>
      </c>
      <c r="ER8" s="368">
        <f t="shared" si="40"/>
        <v>0</v>
      </c>
      <c r="ES8" s="368">
        <f t="shared" si="41"/>
        <v>0</v>
      </c>
      <c r="ET8" s="368"/>
      <c r="EU8" s="368">
        <f t="shared" si="42"/>
        <v>0</v>
      </c>
      <c r="EV8" s="368">
        <f t="shared" si="43"/>
        <v>0</v>
      </c>
      <c r="EW8" s="368">
        <f t="shared" si="44"/>
        <v>0</v>
      </c>
      <c r="EX8" s="368">
        <f t="shared" si="45"/>
        <v>0</v>
      </c>
      <c r="EY8" s="368">
        <f t="shared" si="46"/>
        <v>0</v>
      </c>
      <c r="EZ8" s="368">
        <f t="shared" si="47"/>
        <v>0</v>
      </c>
      <c r="FA8" s="368">
        <f t="shared" si="48"/>
        <v>0</v>
      </c>
      <c r="FB8" s="368">
        <f t="shared" si="49"/>
        <v>0</v>
      </c>
      <c r="FC8" s="368">
        <f t="shared" si="50"/>
        <v>0</v>
      </c>
      <c r="FD8" s="368">
        <f t="shared" si="51"/>
        <v>0</v>
      </c>
      <c r="FE8" s="368">
        <f t="shared" si="52"/>
        <v>0</v>
      </c>
      <c r="FF8" s="368">
        <f t="shared" si="53"/>
        <v>0</v>
      </c>
      <c r="FG8" s="368">
        <f t="shared" si="54"/>
        <v>0</v>
      </c>
      <c r="FH8" s="368">
        <f t="shared" si="55"/>
        <v>0</v>
      </c>
      <c r="FI8" s="368">
        <f t="shared" si="56"/>
        <v>0</v>
      </c>
      <c r="FJ8" s="368">
        <f t="shared" si="57"/>
        <v>0</v>
      </c>
      <c r="FK8" s="368">
        <f t="shared" si="58"/>
        <v>0</v>
      </c>
      <c r="FL8" s="368">
        <f t="shared" si="59"/>
        <v>0</v>
      </c>
      <c r="FM8" s="368">
        <f t="shared" si="60"/>
        <v>0</v>
      </c>
      <c r="FN8" s="368">
        <f t="shared" si="61"/>
        <v>0</v>
      </c>
      <c r="FO8" s="499">
        <f t="shared" si="62"/>
        <v>0</v>
      </c>
      <c r="FP8" s="499">
        <f t="shared" si="63"/>
        <v>0</v>
      </c>
      <c r="FQ8" s="499">
        <f t="shared" si="64"/>
        <v>0</v>
      </c>
      <c r="FR8" s="499">
        <f t="shared" si="65"/>
        <v>0</v>
      </c>
      <c r="FS8" s="499">
        <f t="shared" si="66"/>
        <v>0</v>
      </c>
      <c r="FT8" s="499">
        <f t="shared" si="67"/>
        <v>0</v>
      </c>
      <c r="FU8" s="499"/>
      <c r="FV8" s="499"/>
      <c r="FW8" s="499"/>
      <c r="FX8" s="499"/>
      <c r="FY8" s="499">
        <f t="shared" si="68"/>
        <v>0</v>
      </c>
      <c r="FZ8" s="499">
        <f t="shared" si="69"/>
        <v>0</v>
      </c>
      <c r="GA8" s="499">
        <f t="shared" si="70"/>
        <v>0</v>
      </c>
      <c r="GB8" s="499">
        <f t="shared" si="71"/>
        <v>0</v>
      </c>
      <c r="GC8" s="499">
        <f t="shared" si="72"/>
        <v>0</v>
      </c>
      <c r="GD8" s="499">
        <f t="shared" si="73"/>
        <v>0</v>
      </c>
      <c r="GE8" s="499">
        <f t="shared" si="74"/>
        <v>0</v>
      </c>
      <c r="GF8" s="499">
        <f t="shared" si="75"/>
        <v>0</v>
      </c>
      <c r="GG8" s="499">
        <f t="shared" si="76"/>
        <v>0</v>
      </c>
      <c r="GH8" s="499">
        <f t="shared" si="77"/>
        <v>0</v>
      </c>
      <c r="GI8" s="499">
        <f t="shared" si="78"/>
        <v>0</v>
      </c>
      <c r="GJ8" s="499">
        <f t="shared" si="79"/>
        <v>0</v>
      </c>
      <c r="GK8" s="499">
        <f t="shared" si="80"/>
        <v>0</v>
      </c>
      <c r="GL8" s="499"/>
      <c r="GM8" s="499">
        <f t="shared" si="81"/>
        <v>0</v>
      </c>
    </row>
    <row r="9" spans="1:195" s="83" customFormat="1" ht="20.100000000000001" hidden="1" customHeight="1">
      <c r="A9" s="357" t="s">
        <v>334</v>
      </c>
      <c r="B9" s="357" t="s">
        <v>494</v>
      </c>
      <c r="C9" s="357" t="str">
        <f t="shared" si="0"/>
        <v>PMCC-1</v>
      </c>
      <c r="D9" s="395" t="s">
        <v>495</v>
      </c>
      <c r="E9" s="493" t="s">
        <v>345</v>
      </c>
      <c r="F9" s="357" t="s">
        <v>28</v>
      </c>
      <c r="G9" s="357" t="s">
        <v>350</v>
      </c>
      <c r="H9" s="352">
        <v>9.3000000000000007</v>
      </c>
      <c r="I9" s="357" t="s">
        <v>330</v>
      </c>
      <c r="J9" s="357" t="s">
        <v>331</v>
      </c>
      <c r="K9" s="353">
        <v>400</v>
      </c>
      <c r="L9" s="360">
        <v>0.79</v>
      </c>
      <c r="M9" s="352">
        <v>0.90599999999999992</v>
      </c>
      <c r="N9" s="359">
        <f t="shared" si="1"/>
        <v>18.755117121955404</v>
      </c>
      <c r="O9" s="359">
        <f t="shared" si="2"/>
        <v>112.53070273173242</v>
      </c>
      <c r="P9" s="360">
        <f t="shared" si="3"/>
        <v>0.2</v>
      </c>
      <c r="Q9" s="352">
        <v>65</v>
      </c>
      <c r="R9" s="352">
        <v>0</v>
      </c>
      <c r="S9" s="352">
        <f t="shared" si="4"/>
        <v>0</v>
      </c>
      <c r="T9" s="360" t="s">
        <v>131</v>
      </c>
      <c r="U9" s="352" t="s">
        <v>333</v>
      </c>
      <c r="V9" s="360">
        <v>50</v>
      </c>
      <c r="W9" s="360" t="str">
        <f t="shared" si="5"/>
        <v>3C X 50</v>
      </c>
      <c r="X9" s="360" t="str">
        <f t="shared" si="6"/>
        <v>3C X 50+PE</v>
      </c>
      <c r="Y9" s="360" t="s">
        <v>358</v>
      </c>
      <c r="Z9" s="361">
        <f>IF(T9="AIR",VLOOKUP(W9,'Catalogue Aluminium'!$B$9:$G$93,2,FALSE),IF(T9="GROUND",VLOOKUP(W9,'Catalogue Aluminium'!$B$9:$G$93,3,FALSE),IF(T9="DUCT",VLOOKUP(W9,'Catalogue Aluminium'!$B$9:$G$93,4,FALSE),IF(T9="TRENCH",VLOOKUP(W9,'Catalogue Aluminium'!$B$9:$G$93,2,FALSE)))))</f>
        <v>141</v>
      </c>
      <c r="AA9" s="362">
        <f>VLOOKUP(W9,'Catalogue Aluminium'!$B$9:$G$93,5,FALSE)</f>
        <v>0.82</v>
      </c>
      <c r="AB9" s="362">
        <f>VLOOKUP(W9,'Catalogue Aluminium'!$B$9:$G$93,6,FALSE)</f>
        <v>7.9200000000000007E-2</v>
      </c>
      <c r="AC9" s="360">
        <f>26+3</f>
        <v>29</v>
      </c>
      <c r="AD9" s="360">
        <f>11+34+48+35+30+11+24+(15+18+26+22+12+12+3+8)</f>
        <v>309</v>
      </c>
      <c r="AE9" s="456">
        <f t="shared" si="82"/>
        <v>38</v>
      </c>
      <c r="AF9" s="360">
        <v>8</v>
      </c>
      <c r="AG9" s="360">
        <f t="shared" si="83"/>
        <v>39</v>
      </c>
      <c r="AH9" s="363"/>
      <c r="AI9" s="361">
        <f>IF(T9="AIR",'Catalogue Aluminium'!$K$9,IF(T9="TRENCH",'Catalogue Aluminium'!$K$12,"NA"))</f>
        <v>0.89</v>
      </c>
      <c r="AJ9" s="359">
        <f>IF(T9="Air",(IF(U9="1C",'Catalogue Aluminium'!$L$9,'Catalogue Aluminium'!$M$9)),IF(T9="DUCT",(IF($U9="1C",'Catalogue Aluminium'!$L$10,'Catalogue Aluminium'!$M$10)),IF(T9="GROUND",(IF($U9="1C",'Catalogue Aluminium'!$L$11,'Catalogue Aluminium'!$M$11)),IF(T9="TRENCH",(IF($U9="1C",'Catalogue Aluminium'!$L$12,'Catalogue Aluminium'!$M$12))))))</f>
        <v>0.66</v>
      </c>
      <c r="AK9" s="361" t="str">
        <f>IF(T9="Air",'Catalogue Aluminium'!$N$9,IF(T9="GROUND",'Catalogue Aluminium'!$N$10,IF(T9="DUCT",'Catalogue Aluminium'!$N$11,IF(T9="TRENCH",'Catalogue Aluminium'!$N$12,"NA"))))</f>
        <v>NA</v>
      </c>
      <c r="AL9" s="361" t="str">
        <f>IF(T9="Air",(IF(U9="1C",'Catalogue Aluminium'!$O$9,'Catalogue Aluminium'!$P$9)),IF(T9="DUCT",(IF($U9="1C",'Catalogue Aluminium'!$O$10,'Catalogue Aluminium'!$P$10)),IF(T9="GROUND",(IF($U9="1C",'Catalogue Aluminium'!$O$11,'Catalogue Aluminium'!$P$11)),IF(T9="TRENCH",(IF($U9="1C",'Catalogue Aluminium'!$O$12,'Catalogue Aluminium'!$P$12))))))</f>
        <v>NA</v>
      </c>
      <c r="AM9" s="361" t="str">
        <f>IF(T9="AIR","NA",IF(T9="TRENCH","NA",IF(T9="DUCT",IF(U9="1C",VLOOKUP(V9,'Catalogue Aluminium'!$Q$9:$S$28,2,FALSE),VLOOKUP(V9,'Catalogue Aluminium'!$Q$9:$S$28,3)),IF(T9="GROUND",IF(U9="1C",VLOOKUP(V9,'Catalogue Aluminium'!$Q$9:$S$28,2,FALSE),VLOOKUP(V9,'Catalogue Aluminium'!$Q$9:$S$28,3))))))</f>
        <v>NA</v>
      </c>
      <c r="AN9" s="365">
        <f t="shared" si="8"/>
        <v>0.58740000000000003</v>
      </c>
      <c r="AO9" s="352">
        <f t="shared" si="9"/>
        <v>82.823400000000007</v>
      </c>
      <c r="AP9" s="353">
        <f t="shared" si="10"/>
        <v>1</v>
      </c>
      <c r="AQ9" s="352" t="str">
        <f t="shared" si="11"/>
        <v>YES</v>
      </c>
      <c r="AR9" s="365">
        <f t="shared" si="12"/>
        <v>0</v>
      </c>
      <c r="AS9" s="496" t="str">
        <f t="shared" si="13"/>
        <v>YES</v>
      </c>
      <c r="AT9" s="497">
        <f t="shared" si="14"/>
        <v>0</v>
      </c>
      <c r="AU9" s="360" t="str">
        <f t="shared" si="15"/>
        <v>YES</v>
      </c>
      <c r="AV9" s="366" t="str">
        <f t="shared" si="16"/>
        <v>1R x 0.6/1kV x 3C x 50 Sqmm</v>
      </c>
      <c r="AW9" s="354" t="str">
        <f t="shared" si="17"/>
        <v>1R x 0.6/1kV x 3C x 50+PE Sqmm</v>
      </c>
      <c r="AX9" s="360"/>
      <c r="AY9" s="367"/>
      <c r="AZ9" s="367"/>
      <c r="BA9" s="356" t="str">
        <f t="shared" si="18"/>
        <v/>
      </c>
      <c r="BB9" s="498"/>
      <c r="BC9" s="426"/>
      <c r="BE9" s="368"/>
      <c r="BF9" s="368"/>
      <c r="BG9" s="368"/>
      <c r="BH9" s="368"/>
      <c r="BI9" s="368"/>
      <c r="BJ9" s="368"/>
      <c r="BK9" s="368"/>
      <c r="BL9" s="368"/>
      <c r="BM9" s="368"/>
      <c r="BN9" s="368"/>
      <c r="BO9" s="368"/>
      <c r="BP9" s="368"/>
      <c r="BQ9" s="368"/>
      <c r="BR9" s="368"/>
      <c r="BS9" s="368"/>
      <c r="BT9" s="368"/>
      <c r="BU9" s="368"/>
      <c r="BV9" s="368"/>
      <c r="BW9" s="368"/>
      <c r="BX9" s="368"/>
      <c r="BY9" s="368"/>
      <c r="BZ9" s="368"/>
      <c r="CA9" s="368"/>
      <c r="CB9" s="368"/>
      <c r="CC9" s="368"/>
      <c r="CD9" s="368"/>
      <c r="CE9" s="368"/>
      <c r="CF9" s="368"/>
      <c r="CG9" s="368"/>
      <c r="CH9" s="368"/>
      <c r="CI9" s="368"/>
      <c r="CJ9" s="368"/>
      <c r="CK9" s="368"/>
      <c r="CL9" s="368"/>
      <c r="CM9" s="368"/>
      <c r="CN9" s="368"/>
      <c r="CO9" s="368"/>
      <c r="CP9" s="368"/>
      <c r="CQ9" s="368"/>
      <c r="CR9" s="368"/>
      <c r="CS9" s="368"/>
      <c r="CT9" s="368"/>
      <c r="CU9" s="368"/>
      <c r="CV9" s="368"/>
      <c r="CW9" s="368"/>
      <c r="CX9" s="368"/>
      <c r="CY9" s="368"/>
      <c r="CZ9" s="368"/>
      <c r="DA9" s="368"/>
      <c r="DB9" s="368"/>
      <c r="DC9" s="368"/>
      <c r="DD9" s="368"/>
      <c r="DE9" s="368"/>
      <c r="DF9" s="368"/>
      <c r="DG9" s="368"/>
      <c r="DH9" s="368"/>
      <c r="DI9" s="368"/>
      <c r="DJ9" s="368"/>
      <c r="DK9" s="368"/>
      <c r="DL9" s="368"/>
      <c r="DM9" s="368"/>
      <c r="DN9" s="368"/>
      <c r="DO9" s="368"/>
      <c r="DP9" s="368"/>
      <c r="DQ9" s="368"/>
      <c r="DR9" s="368"/>
      <c r="DS9" s="368"/>
      <c r="DT9" s="368"/>
      <c r="DU9" s="368"/>
      <c r="DW9" s="368">
        <f t="shared" si="19"/>
        <v>0</v>
      </c>
      <c r="DX9" s="368">
        <f t="shared" si="20"/>
        <v>0</v>
      </c>
      <c r="DY9" s="368">
        <f t="shared" si="21"/>
        <v>0</v>
      </c>
      <c r="DZ9" s="368">
        <f t="shared" si="22"/>
        <v>0</v>
      </c>
      <c r="EA9" s="368">
        <f t="shared" si="23"/>
        <v>0</v>
      </c>
      <c r="EB9" s="368">
        <f t="shared" si="24"/>
        <v>0</v>
      </c>
      <c r="EC9" s="368">
        <f t="shared" si="25"/>
        <v>0</v>
      </c>
      <c r="ED9" s="368">
        <f t="shared" si="26"/>
        <v>0</v>
      </c>
      <c r="EE9" s="368">
        <f t="shared" si="27"/>
        <v>0</v>
      </c>
      <c r="EF9" s="368">
        <f t="shared" si="28"/>
        <v>0</v>
      </c>
      <c r="EG9" s="368">
        <f t="shared" si="29"/>
        <v>0</v>
      </c>
      <c r="EH9" s="368">
        <f t="shared" si="30"/>
        <v>0</v>
      </c>
      <c r="EI9" s="368">
        <f t="shared" si="31"/>
        <v>0</v>
      </c>
      <c r="EJ9" s="368">
        <f t="shared" si="32"/>
        <v>0</v>
      </c>
      <c r="EK9" s="368">
        <f t="shared" si="33"/>
        <v>0</v>
      </c>
      <c r="EL9" s="368">
        <f t="shared" si="34"/>
        <v>0</v>
      </c>
      <c r="EM9" s="368">
        <f t="shared" si="35"/>
        <v>0</v>
      </c>
      <c r="EN9" s="368">
        <f t="shared" si="36"/>
        <v>0</v>
      </c>
      <c r="EO9" s="368">
        <f t="shared" si="37"/>
        <v>0</v>
      </c>
      <c r="EP9" s="368">
        <f t="shared" si="38"/>
        <v>0</v>
      </c>
      <c r="EQ9" s="368">
        <f t="shared" si="39"/>
        <v>0</v>
      </c>
      <c r="ER9" s="368">
        <f t="shared" si="40"/>
        <v>0</v>
      </c>
      <c r="ES9" s="368">
        <f t="shared" si="41"/>
        <v>0</v>
      </c>
      <c r="ET9" s="368"/>
      <c r="EU9" s="368">
        <f t="shared" si="42"/>
        <v>0</v>
      </c>
      <c r="EV9" s="368">
        <f t="shared" si="43"/>
        <v>0</v>
      </c>
      <c r="EW9" s="368">
        <f t="shared" si="44"/>
        <v>0</v>
      </c>
      <c r="EX9" s="368">
        <f t="shared" si="45"/>
        <v>0</v>
      </c>
      <c r="EY9" s="368">
        <f t="shared" si="46"/>
        <v>0</v>
      </c>
      <c r="EZ9" s="368">
        <f t="shared" si="47"/>
        <v>0</v>
      </c>
      <c r="FA9" s="368">
        <f t="shared" si="48"/>
        <v>0</v>
      </c>
      <c r="FB9" s="368">
        <f t="shared" si="49"/>
        <v>0</v>
      </c>
      <c r="FC9" s="368">
        <f t="shared" si="50"/>
        <v>0</v>
      </c>
      <c r="FD9" s="368">
        <f t="shared" si="51"/>
        <v>0</v>
      </c>
      <c r="FE9" s="368">
        <f t="shared" si="52"/>
        <v>0</v>
      </c>
      <c r="FF9" s="368">
        <f t="shared" si="53"/>
        <v>0</v>
      </c>
      <c r="FG9" s="368">
        <f t="shared" si="54"/>
        <v>0</v>
      </c>
      <c r="FH9" s="368">
        <f t="shared" si="55"/>
        <v>0</v>
      </c>
      <c r="FI9" s="368">
        <f t="shared" si="56"/>
        <v>0</v>
      </c>
      <c r="FJ9" s="368">
        <f t="shared" si="57"/>
        <v>0</v>
      </c>
      <c r="FK9" s="368">
        <f t="shared" si="58"/>
        <v>0</v>
      </c>
      <c r="FL9" s="368">
        <f t="shared" si="59"/>
        <v>0</v>
      </c>
      <c r="FM9" s="368">
        <f t="shared" si="60"/>
        <v>0</v>
      </c>
      <c r="FN9" s="368">
        <f t="shared" si="61"/>
        <v>0</v>
      </c>
      <c r="FO9" s="368">
        <f t="shared" si="62"/>
        <v>0</v>
      </c>
      <c r="FP9" s="368">
        <f t="shared" si="63"/>
        <v>0</v>
      </c>
      <c r="FQ9" s="368">
        <f t="shared" si="64"/>
        <v>0</v>
      </c>
      <c r="FR9" s="368">
        <f t="shared" si="65"/>
        <v>0</v>
      </c>
      <c r="FS9" s="368">
        <f t="shared" si="66"/>
        <v>0</v>
      </c>
      <c r="FT9" s="368">
        <f t="shared" si="67"/>
        <v>0</v>
      </c>
      <c r="FU9" s="368"/>
      <c r="FV9" s="368"/>
      <c r="FW9" s="368"/>
      <c r="FX9" s="368"/>
      <c r="FY9" s="368">
        <f t="shared" si="68"/>
        <v>0</v>
      </c>
      <c r="FZ9" s="368">
        <f t="shared" si="69"/>
        <v>0</v>
      </c>
      <c r="GA9" s="368">
        <f t="shared" si="70"/>
        <v>0</v>
      </c>
      <c r="GB9" s="368">
        <f t="shared" si="71"/>
        <v>0</v>
      </c>
      <c r="GC9" s="368">
        <f t="shared" si="72"/>
        <v>0</v>
      </c>
      <c r="GD9" s="368">
        <f t="shared" si="73"/>
        <v>0</v>
      </c>
      <c r="GE9" s="368">
        <f t="shared" si="74"/>
        <v>0</v>
      </c>
      <c r="GF9" s="368">
        <f t="shared" si="75"/>
        <v>0</v>
      </c>
      <c r="GG9" s="368">
        <f t="shared" si="76"/>
        <v>0</v>
      </c>
      <c r="GH9" s="368">
        <f t="shared" si="77"/>
        <v>0</v>
      </c>
      <c r="GI9" s="368">
        <f t="shared" si="78"/>
        <v>0</v>
      </c>
      <c r="GJ9" s="368">
        <f t="shared" si="79"/>
        <v>0</v>
      </c>
      <c r="GK9" s="368">
        <f t="shared" si="80"/>
        <v>0</v>
      </c>
      <c r="GL9" s="368"/>
      <c r="GM9" s="368">
        <f t="shared" si="81"/>
        <v>0</v>
      </c>
    </row>
    <row r="10" spans="1:195" s="83" customFormat="1" ht="20.100000000000001" hidden="1" customHeight="1">
      <c r="A10" s="357" t="s">
        <v>334</v>
      </c>
      <c r="B10" s="357" t="s">
        <v>496</v>
      </c>
      <c r="C10" s="357" t="str">
        <f t="shared" si="0"/>
        <v>PMCC-1</v>
      </c>
      <c r="D10" s="395" t="s">
        <v>495</v>
      </c>
      <c r="E10" s="493" t="s">
        <v>345</v>
      </c>
      <c r="F10" s="357" t="s">
        <v>29</v>
      </c>
      <c r="G10" s="357" t="s">
        <v>350</v>
      </c>
      <c r="H10" s="352">
        <v>9.3000000000000007</v>
      </c>
      <c r="I10" s="357" t="s">
        <v>330</v>
      </c>
      <c r="J10" s="357" t="s">
        <v>331</v>
      </c>
      <c r="K10" s="353">
        <v>400</v>
      </c>
      <c r="L10" s="360">
        <v>0.79</v>
      </c>
      <c r="M10" s="352">
        <v>0.90599999999999992</v>
      </c>
      <c r="N10" s="359">
        <f t="shared" si="1"/>
        <v>18.755117121955404</v>
      </c>
      <c r="O10" s="359">
        <f t="shared" si="2"/>
        <v>112.53070273173242</v>
      </c>
      <c r="P10" s="360">
        <f t="shared" si="3"/>
        <v>0.2</v>
      </c>
      <c r="Q10" s="352">
        <v>65</v>
      </c>
      <c r="R10" s="352">
        <v>0</v>
      </c>
      <c r="S10" s="352">
        <f t="shared" si="4"/>
        <v>0</v>
      </c>
      <c r="T10" s="360" t="s">
        <v>131</v>
      </c>
      <c r="U10" s="352" t="s">
        <v>333</v>
      </c>
      <c r="V10" s="360">
        <v>50</v>
      </c>
      <c r="W10" s="360" t="str">
        <f t="shared" si="5"/>
        <v>3C X 50</v>
      </c>
      <c r="X10" s="360" t="str">
        <f t="shared" si="6"/>
        <v>3C X 50+PE</v>
      </c>
      <c r="Y10" s="360" t="s">
        <v>358</v>
      </c>
      <c r="Z10" s="361">
        <f>IF(T10="AIR",VLOOKUP(W10,'Catalogue Aluminium'!$B$9:$G$93,2,FALSE),IF(T10="GROUND",VLOOKUP(W10,'Catalogue Aluminium'!$B$9:$G$93,3,FALSE),IF(T10="DUCT",VLOOKUP(W10,'Catalogue Aluminium'!$B$9:$G$93,4,FALSE),IF(T10="TRENCH",VLOOKUP(W10,'Catalogue Aluminium'!$B$9:$G$93,2,FALSE)))))</f>
        <v>141</v>
      </c>
      <c r="AA10" s="362">
        <f>VLOOKUP(W10,'Catalogue Aluminium'!$B$9:$G$93,5,FALSE)</f>
        <v>0.82</v>
      </c>
      <c r="AB10" s="362">
        <f>VLOOKUP(W10,'Catalogue Aluminium'!$B$9:$G$93,6,FALSE)</f>
        <v>7.9200000000000007E-2</v>
      </c>
      <c r="AC10" s="360">
        <f>35+3</f>
        <v>38</v>
      </c>
      <c r="AD10" s="360">
        <f>11+34+48+35+30+11+24+(15+18+26+22+12+12+3+8)</f>
        <v>309</v>
      </c>
      <c r="AE10" s="456">
        <f t="shared" si="82"/>
        <v>38</v>
      </c>
      <c r="AF10" s="360">
        <v>8</v>
      </c>
      <c r="AG10" s="360">
        <f t="shared" si="83"/>
        <v>40</v>
      </c>
      <c r="AH10" s="363"/>
      <c r="AI10" s="361">
        <f>IF(T10="AIR",'Catalogue Aluminium'!$K$9,IF(T10="TRENCH",'Catalogue Aluminium'!$K$12,"NA"))</f>
        <v>0.89</v>
      </c>
      <c r="AJ10" s="359">
        <f>IF(T10="Air",(IF(U10="1C",'Catalogue Aluminium'!$L$9,'Catalogue Aluminium'!$M$9)),IF(T10="DUCT",(IF($U10="1C",'Catalogue Aluminium'!$L$10,'Catalogue Aluminium'!$M$10)),IF(T10="GROUND",(IF($U10="1C",'Catalogue Aluminium'!$L$11,'Catalogue Aluminium'!$M$11)),IF(T10="TRENCH",(IF($U10="1C",'Catalogue Aluminium'!$L$12,'Catalogue Aluminium'!$M$12))))))</f>
        <v>0.66</v>
      </c>
      <c r="AK10" s="361" t="str">
        <f>IF(T10="Air",'Catalogue Aluminium'!$N$9,IF(T10="GROUND",'Catalogue Aluminium'!$N$10,IF(T10="DUCT",'Catalogue Aluminium'!$N$11,IF(T10="TRENCH",'Catalogue Aluminium'!$N$12,"NA"))))</f>
        <v>NA</v>
      </c>
      <c r="AL10" s="361" t="str">
        <f>IF(T10="Air",(IF(U10="1C",'Catalogue Aluminium'!$O$9,'Catalogue Aluminium'!$P$9)),IF(T10="DUCT",(IF($U10="1C",'Catalogue Aluminium'!$O$10,'Catalogue Aluminium'!$P$10)),IF(T10="GROUND",(IF($U10="1C",'Catalogue Aluminium'!$O$11,'Catalogue Aluminium'!$P$11)),IF(T10="TRENCH",(IF($U10="1C",'Catalogue Aluminium'!$O$12,'Catalogue Aluminium'!$P$12))))))</f>
        <v>NA</v>
      </c>
      <c r="AM10" s="361" t="str">
        <f>IF(T10="AIR","NA",IF(T10="TRENCH","NA",IF(T10="DUCT",IF(U10="1C",VLOOKUP(V10,'Catalogue Aluminium'!$Q$9:$S$28,2,FALSE),VLOOKUP(V10,'Catalogue Aluminium'!$Q$9:$S$28,3)),IF(T10="GROUND",IF(U10="1C",VLOOKUP(V10,'Catalogue Aluminium'!$Q$9:$S$28,2,FALSE),VLOOKUP(V10,'Catalogue Aluminium'!$Q$9:$S$28,3))))))</f>
        <v>NA</v>
      </c>
      <c r="AN10" s="365">
        <f t="shared" si="8"/>
        <v>0.58740000000000003</v>
      </c>
      <c r="AO10" s="352">
        <f t="shared" si="9"/>
        <v>82.823400000000007</v>
      </c>
      <c r="AP10" s="353">
        <f t="shared" si="10"/>
        <v>1</v>
      </c>
      <c r="AQ10" s="352" t="str">
        <f t="shared" si="11"/>
        <v>YES</v>
      </c>
      <c r="AR10" s="365">
        <f t="shared" si="12"/>
        <v>0</v>
      </c>
      <c r="AS10" s="496" t="str">
        <f t="shared" si="13"/>
        <v>YES</v>
      </c>
      <c r="AT10" s="497">
        <f t="shared" si="14"/>
        <v>0</v>
      </c>
      <c r="AU10" s="360" t="str">
        <f t="shared" si="15"/>
        <v>YES</v>
      </c>
      <c r="AV10" s="366" t="str">
        <f t="shared" si="16"/>
        <v>1R x 0.6/1kV x 3C x 50 Sqmm</v>
      </c>
      <c r="AW10" s="354" t="str">
        <f t="shared" si="17"/>
        <v>1R x 0.6/1kV x 3C x 50+PE Sqmm</v>
      </c>
      <c r="AX10" s="360"/>
      <c r="AY10" s="367"/>
      <c r="AZ10" s="367"/>
      <c r="BA10" s="356" t="str">
        <f t="shared" si="18"/>
        <v/>
      </c>
      <c r="BB10" s="498"/>
      <c r="BC10" s="426"/>
      <c r="BE10" s="368"/>
      <c r="BF10" s="368"/>
      <c r="BG10" s="368"/>
      <c r="BH10" s="368"/>
      <c r="BI10" s="368"/>
      <c r="BJ10" s="368"/>
      <c r="BK10" s="368"/>
      <c r="BL10" s="368"/>
      <c r="BM10" s="368"/>
      <c r="BN10" s="368"/>
      <c r="BO10" s="368"/>
      <c r="BP10" s="368"/>
      <c r="BQ10" s="368"/>
      <c r="BR10" s="368"/>
      <c r="BS10" s="368"/>
      <c r="BT10" s="368"/>
      <c r="BU10" s="368"/>
      <c r="BV10" s="368"/>
      <c r="BW10" s="368"/>
      <c r="BX10" s="368"/>
      <c r="BY10" s="368"/>
      <c r="BZ10" s="368"/>
      <c r="CA10" s="368"/>
      <c r="CB10" s="368"/>
      <c r="CC10" s="368"/>
      <c r="CD10" s="368"/>
      <c r="CE10" s="368"/>
      <c r="CF10" s="368"/>
      <c r="CG10" s="368"/>
      <c r="CH10" s="368"/>
      <c r="CI10" s="368"/>
      <c r="CJ10" s="368"/>
      <c r="CK10" s="368"/>
      <c r="CL10" s="368"/>
      <c r="CM10" s="368"/>
      <c r="CN10" s="368"/>
      <c r="CO10" s="368"/>
      <c r="CP10" s="368"/>
      <c r="CQ10" s="368"/>
      <c r="CR10" s="368"/>
      <c r="CS10" s="368"/>
      <c r="CT10" s="368"/>
      <c r="CU10" s="368"/>
      <c r="CV10" s="368"/>
      <c r="CW10" s="368"/>
      <c r="CX10" s="368"/>
      <c r="CY10" s="368"/>
      <c r="CZ10" s="368"/>
      <c r="DA10" s="368"/>
      <c r="DB10" s="368"/>
      <c r="DC10" s="368"/>
      <c r="DD10" s="368"/>
      <c r="DE10" s="368"/>
      <c r="DF10" s="368"/>
      <c r="DG10" s="368"/>
      <c r="DH10" s="368"/>
      <c r="DI10" s="368"/>
      <c r="DJ10" s="368"/>
      <c r="DK10" s="368"/>
      <c r="DL10" s="368"/>
      <c r="DM10" s="368"/>
      <c r="DN10" s="368"/>
      <c r="DO10" s="368"/>
      <c r="DP10" s="368"/>
      <c r="DQ10" s="368"/>
      <c r="DR10" s="368"/>
      <c r="DS10" s="368"/>
      <c r="DT10" s="368"/>
      <c r="DU10" s="368"/>
      <c r="DW10" s="368">
        <f t="shared" si="19"/>
        <v>0</v>
      </c>
      <c r="DX10" s="368">
        <f t="shared" si="20"/>
        <v>0</v>
      </c>
      <c r="DY10" s="368">
        <f t="shared" si="21"/>
        <v>0</v>
      </c>
      <c r="DZ10" s="368">
        <f t="shared" si="22"/>
        <v>0</v>
      </c>
      <c r="EA10" s="368">
        <f t="shared" si="23"/>
        <v>0</v>
      </c>
      <c r="EB10" s="368">
        <f t="shared" si="24"/>
        <v>0</v>
      </c>
      <c r="EC10" s="368">
        <f t="shared" si="25"/>
        <v>0</v>
      </c>
      <c r="ED10" s="368">
        <f t="shared" si="26"/>
        <v>0</v>
      </c>
      <c r="EE10" s="368">
        <f t="shared" si="27"/>
        <v>0</v>
      </c>
      <c r="EF10" s="368">
        <f t="shared" si="28"/>
        <v>0</v>
      </c>
      <c r="EG10" s="368">
        <f t="shared" si="29"/>
        <v>0</v>
      </c>
      <c r="EH10" s="368">
        <f t="shared" si="30"/>
        <v>0</v>
      </c>
      <c r="EI10" s="368">
        <f t="shared" si="31"/>
        <v>0</v>
      </c>
      <c r="EJ10" s="368">
        <f t="shared" si="32"/>
        <v>0</v>
      </c>
      <c r="EK10" s="368">
        <f t="shared" si="33"/>
        <v>0</v>
      </c>
      <c r="EL10" s="368">
        <f t="shared" si="34"/>
        <v>0</v>
      </c>
      <c r="EM10" s="368">
        <f t="shared" si="35"/>
        <v>0</v>
      </c>
      <c r="EN10" s="368">
        <f t="shared" si="36"/>
        <v>0</v>
      </c>
      <c r="EO10" s="368">
        <f t="shared" si="37"/>
        <v>0</v>
      </c>
      <c r="EP10" s="368">
        <f t="shared" si="38"/>
        <v>0</v>
      </c>
      <c r="EQ10" s="368">
        <f t="shared" si="39"/>
        <v>0</v>
      </c>
      <c r="ER10" s="368">
        <f t="shared" si="40"/>
        <v>0</v>
      </c>
      <c r="ES10" s="368">
        <f t="shared" si="41"/>
        <v>0</v>
      </c>
      <c r="ET10" s="368"/>
      <c r="EU10" s="368">
        <f t="shared" si="42"/>
        <v>0</v>
      </c>
      <c r="EV10" s="368">
        <f t="shared" si="43"/>
        <v>0</v>
      </c>
      <c r="EW10" s="368">
        <f t="shared" si="44"/>
        <v>0</v>
      </c>
      <c r="EX10" s="368">
        <f t="shared" si="45"/>
        <v>0</v>
      </c>
      <c r="EY10" s="368">
        <f t="shared" si="46"/>
        <v>0</v>
      </c>
      <c r="EZ10" s="368">
        <f t="shared" si="47"/>
        <v>0</v>
      </c>
      <c r="FA10" s="368">
        <f t="shared" si="48"/>
        <v>0</v>
      </c>
      <c r="FB10" s="368">
        <f t="shared" si="49"/>
        <v>0</v>
      </c>
      <c r="FC10" s="368">
        <f t="shared" si="50"/>
        <v>0</v>
      </c>
      <c r="FD10" s="368">
        <f t="shared" si="51"/>
        <v>0</v>
      </c>
      <c r="FE10" s="368">
        <f t="shared" si="52"/>
        <v>0</v>
      </c>
      <c r="FF10" s="368">
        <f t="shared" si="53"/>
        <v>0</v>
      </c>
      <c r="FG10" s="368">
        <f t="shared" si="54"/>
        <v>0</v>
      </c>
      <c r="FH10" s="368">
        <f t="shared" si="55"/>
        <v>0</v>
      </c>
      <c r="FI10" s="368">
        <f t="shared" si="56"/>
        <v>0</v>
      </c>
      <c r="FJ10" s="368">
        <f t="shared" si="57"/>
        <v>0</v>
      </c>
      <c r="FK10" s="368">
        <f t="shared" si="58"/>
        <v>0</v>
      </c>
      <c r="FL10" s="368">
        <f t="shared" si="59"/>
        <v>0</v>
      </c>
      <c r="FM10" s="368">
        <f t="shared" si="60"/>
        <v>0</v>
      </c>
      <c r="FN10" s="368">
        <f t="shared" si="61"/>
        <v>0</v>
      </c>
      <c r="FO10" s="368">
        <f t="shared" si="62"/>
        <v>0</v>
      </c>
      <c r="FP10" s="368">
        <f t="shared" si="63"/>
        <v>0</v>
      </c>
      <c r="FQ10" s="368">
        <f t="shared" si="64"/>
        <v>0</v>
      </c>
      <c r="FR10" s="368">
        <f t="shared" si="65"/>
        <v>0</v>
      </c>
      <c r="FS10" s="368">
        <f t="shared" si="66"/>
        <v>0</v>
      </c>
      <c r="FT10" s="368">
        <f t="shared" si="67"/>
        <v>0</v>
      </c>
      <c r="FU10" s="368"/>
      <c r="FV10" s="368"/>
      <c r="FW10" s="368"/>
      <c r="FX10" s="368"/>
      <c r="FY10" s="368">
        <f t="shared" si="68"/>
        <v>0</v>
      </c>
      <c r="FZ10" s="368">
        <f t="shared" si="69"/>
        <v>0</v>
      </c>
      <c r="GA10" s="368">
        <f t="shared" si="70"/>
        <v>0</v>
      </c>
      <c r="GB10" s="368">
        <f t="shared" si="71"/>
        <v>0</v>
      </c>
      <c r="GC10" s="368">
        <f t="shared" si="72"/>
        <v>0</v>
      </c>
      <c r="GD10" s="368">
        <f t="shared" si="73"/>
        <v>0</v>
      </c>
      <c r="GE10" s="368">
        <f t="shared" si="74"/>
        <v>0</v>
      </c>
      <c r="GF10" s="368">
        <f t="shared" si="75"/>
        <v>0</v>
      </c>
      <c r="GG10" s="368">
        <f t="shared" si="76"/>
        <v>0</v>
      </c>
      <c r="GH10" s="368">
        <f t="shared" si="77"/>
        <v>0</v>
      </c>
      <c r="GI10" s="368">
        <f t="shared" si="78"/>
        <v>0</v>
      </c>
      <c r="GJ10" s="368">
        <f t="shared" si="79"/>
        <v>0</v>
      </c>
      <c r="GK10" s="368">
        <f t="shared" si="80"/>
        <v>0</v>
      </c>
      <c r="GL10" s="368"/>
      <c r="GM10" s="368">
        <f t="shared" si="81"/>
        <v>0</v>
      </c>
    </row>
    <row r="11" spans="1:195" ht="20.100000000000001" customHeight="1">
      <c r="A11" s="337">
        <v>1</v>
      </c>
      <c r="B11" s="337" t="s">
        <v>497</v>
      </c>
      <c r="C11" s="337" t="str">
        <f t="shared" si="0"/>
        <v>PMCC-1</v>
      </c>
      <c r="D11" s="372" t="s">
        <v>498</v>
      </c>
      <c r="E11" s="500" t="s">
        <v>345</v>
      </c>
      <c r="F11" s="337" t="s">
        <v>28</v>
      </c>
      <c r="G11" s="337" t="s">
        <v>350</v>
      </c>
      <c r="H11" s="396">
        <v>0.37</v>
      </c>
      <c r="I11" s="337" t="s">
        <v>330</v>
      </c>
      <c r="J11" s="337" t="s">
        <v>331</v>
      </c>
      <c r="K11" s="349">
        <v>400</v>
      </c>
      <c r="L11" s="343">
        <v>0.73</v>
      </c>
      <c r="M11" s="350">
        <v>0.82499999999999996</v>
      </c>
      <c r="N11" s="342">
        <f t="shared" si="1"/>
        <v>0.88678234143133383</v>
      </c>
      <c r="O11" s="342">
        <f t="shared" si="2"/>
        <v>5.3206940485880025</v>
      </c>
      <c r="P11" s="343">
        <f t="shared" si="3"/>
        <v>0.2</v>
      </c>
      <c r="Q11" s="350">
        <v>65</v>
      </c>
      <c r="R11" s="350">
        <v>0</v>
      </c>
      <c r="S11" s="350">
        <f t="shared" si="4"/>
        <v>0</v>
      </c>
      <c r="T11" s="343" t="s">
        <v>131</v>
      </c>
      <c r="U11" s="350" t="s">
        <v>333</v>
      </c>
      <c r="V11" s="343">
        <v>4</v>
      </c>
      <c r="W11" s="343" t="str">
        <f t="shared" si="5"/>
        <v>3C X 4</v>
      </c>
      <c r="X11" s="343" t="str">
        <f t="shared" si="6"/>
        <v>3C X 4+PE</v>
      </c>
      <c r="Y11" s="343" t="s">
        <v>358</v>
      </c>
      <c r="Z11" s="344">
        <f>IF(T11="AIR",VLOOKUP(W11,'Catalogue Aluminium'!$B$9:$G$93,2,FALSE),IF(T11="GROUND",VLOOKUP(W11,'Catalogue Aluminium'!$B$9:$G$93,3,FALSE),IF(T11="DUCT",VLOOKUP(W11,'Catalogue Aluminium'!$B$9:$G$93,4,FALSE),IF(T11="TRENCH",VLOOKUP(W11,'Catalogue Aluminium'!$B$9:$G$93,2,FALSE)))))</f>
        <v>38</v>
      </c>
      <c r="AA11" s="345">
        <f>VLOOKUP(W11,'Catalogue Aluminium'!$B$9:$G$93,5,FALSE)</f>
        <v>5.9</v>
      </c>
      <c r="AB11" s="345">
        <f>VLOOKUP(W11,'Catalogue Aluminium'!$B$9:$G$93,6,FALSE)</f>
        <v>9.4700000000000006E-2</v>
      </c>
      <c r="AC11" s="401">
        <f>26+3</f>
        <v>29</v>
      </c>
      <c r="AD11" s="401">
        <f>40+50+38+50+17+(27+42+51)</f>
        <v>315</v>
      </c>
      <c r="AE11" s="401">
        <f t="shared" si="82"/>
        <v>38</v>
      </c>
      <c r="AF11" s="401">
        <v>8</v>
      </c>
      <c r="AG11" s="401">
        <f t="shared" si="83"/>
        <v>39</v>
      </c>
      <c r="AH11" s="347">
        <f t="shared" ref="AH11:AH36" si="84">SUM(AC11:AG11)</f>
        <v>429</v>
      </c>
      <c r="AI11" s="344">
        <f>IF(T11="AIR",'Catalogue Aluminium'!$K$9,IF(T11="TRENCH",'Catalogue Aluminium'!$K$12,"NA"))</f>
        <v>0.89</v>
      </c>
      <c r="AJ11" s="342">
        <f>IF(T11="Air",(IF(U11="1C",'Catalogue Aluminium'!$L$9,'Catalogue Aluminium'!$M$9)),IF(T11="DUCT",(IF($U11="1C",'Catalogue Aluminium'!$L$10,'Catalogue Aluminium'!$M$10)),IF(T11="GROUND",(IF($U11="1C",'Catalogue Aluminium'!$L$11,'Catalogue Aluminium'!$M$11)),IF(T11="TRENCH",(IF($U11="1C",'Catalogue Aluminium'!$L$12,'Catalogue Aluminium'!$M$12))))))</f>
        <v>0.66</v>
      </c>
      <c r="AK11" s="344" t="str">
        <f>IF(T11="Air",'Catalogue Aluminium'!$N$9,IF(T11="GROUND",'Catalogue Aluminium'!$N$10,IF(T11="DUCT",'Catalogue Aluminium'!$N$11,IF(T11="TRENCH",'Catalogue Aluminium'!$N$12,"NA"))))</f>
        <v>NA</v>
      </c>
      <c r="AL11" s="344" t="str">
        <f>IF(T11="Air",(IF(U11="1C",'Catalogue Aluminium'!$O$9,'Catalogue Aluminium'!$P$9)),IF(T11="DUCT",(IF($U11="1C",'Catalogue Aluminium'!$O$10,'Catalogue Aluminium'!$P$10)),IF(T11="GROUND",(IF($U11="1C",'Catalogue Aluminium'!$O$11,'Catalogue Aluminium'!$P$11)),IF(T11="TRENCH",(IF($U11="1C",'Catalogue Aluminium'!$O$12,'Catalogue Aluminium'!$P$12))))))</f>
        <v>NA</v>
      </c>
      <c r="AM11" s="344" t="str">
        <f>IF(T11="AIR","NA",IF(T11="TRENCH","NA",IF(T11="DUCT",IF(U11="1C",VLOOKUP(V11,'Catalogue Aluminium'!$Q$9:$S$28,2,FALSE),VLOOKUP(V11,'Catalogue Aluminium'!$Q$9:$S$28,3)),IF(T11="GROUND",IF(U11="1C",VLOOKUP(V11,'Catalogue Aluminium'!$Q$9:$S$28,2,FALSE),VLOOKUP(V11,'Catalogue Aluminium'!$Q$9:$S$28,3))))))</f>
        <v>NA</v>
      </c>
      <c r="AN11" s="351">
        <f t="shared" si="8"/>
        <v>0.58740000000000003</v>
      </c>
      <c r="AO11" s="350">
        <f t="shared" si="9"/>
        <v>22.321200000000001</v>
      </c>
      <c r="AP11" s="349">
        <f t="shared" si="10"/>
        <v>1</v>
      </c>
      <c r="AQ11" s="350" t="str">
        <f t="shared" si="11"/>
        <v>YES</v>
      </c>
      <c r="AR11" s="351">
        <f t="shared" si="12"/>
        <v>0.72015759612014385</v>
      </c>
      <c r="AS11" s="343" t="str">
        <f t="shared" si="13"/>
        <v>YES</v>
      </c>
      <c r="AT11" s="351">
        <f t="shared" si="14"/>
        <v>1.2580034546552989</v>
      </c>
      <c r="AU11" s="343" t="str">
        <f t="shared" si="15"/>
        <v>YES</v>
      </c>
      <c r="AV11" s="354" t="str">
        <f t="shared" si="16"/>
        <v>1R x 0.6/1kV x 3C x 4 Sqmm</v>
      </c>
      <c r="AW11" s="354" t="str">
        <f t="shared" si="17"/>
        <v>1R x 0.6/1kV x 3C x 4+PE Sqmm</v>
      </c>
      <c r="AX11" s="343">
        <f t="shared" ref="AX11:AX36" si="85">(IF(K11=400,(IF(U11="1C",(4*AH11*AP11),(AH11*AP11))),IF(K11=230,(AH11*AP11))))</f>
        <v>429</v>
      </c>
      <c r="AY11" s="355"/>
      <c r="AZ11" s="355">
        <f t="shared" ref="AZ11:AZ36" si="86">IF(U11="1C",(3*AP11*2),(AP11*2))</f>
        <v>2</v>
      </c>
      <c r="BA11" s="356" t="str">
        <f t="shared" ref="BA11:BA36" si="87">CONCATENATE(IF(BE11=1,BE$4,""),IF(BF11=1,BF$4,""),IF(BG11=1,BG$4,""),IF(BH11=1,BH$4,""),IF(BI11=1,BI$4,""),IF(BJ11=1,BJ$4,""),IF(BK11=1,BK$4,""),IF(BL11=1,BL$4,""),IF(BM11=1,BM$4,""),IF(BN11=1,BN$4,""),IF(BO11=1,BO$4,""),IF(BP11=1,BP$4,""),IF(BQ11=1,BQ$4,""),IF(BR11=1,BR$4,""),IF(BS11=1,BS$4,""),IF(BT11=1,BT$4,""),IF(BU11=1,BU$4,""),IF(BV11=1,BV$4,""),IF(BW11=1,BW$4,""),IF(BX11=1,BX$4,""),IF(BY11=1,BY$4,""),IF(BZ11=1,BZ$4,""),IF(CA11=1,CA$4,""),IF(CB11=1,CB$4,""),IF(CC11=1,CC$4,""),IF(CD11=1,CD$4,""),IF(CE11=1,CE$4,""),IF(CF11=1,CF$4,""),IF(CG11=1,CG$4,""),IF(CH11=1,CH$4,""),IF(CI11=1,CI$4,""),IF(CJ11=1,CJ$4,""),IF(CK11=1,CK$4,""),IF(CL11=1,CL$4,""),IF(CM11=1,CM$4,""),IF(CN11=1,CN$4,""),IF(CO11=1,CO$4,""),IF(CP11=1,CP$4,""),IF(CQ11=1,CQ$4,""),IF(CR11=1,CR$4,""),IF(CS11=1,CS$4,""),IF(CT11=1,CT$4,""),IF(CU11=1,CU$4,""),IF(CV11=1,CV$4,""),IF(CW11=1,CW$4,""),IF(CX11=1,CX$4,""),IF(CY11=1,CY$4,""),IF(CZ11=1,CZ$4,""),IF(DA11=1,DA$4,""),IF(DB11=1,DB$4,""),IF(DC11=1,DC$4,""),IF(DD11=1,DD$4,""),IF(DE11=1,DE$4,""),IF(DF11=1,DF$4,""),IF(DG11=1,DG$4,""),IF(DH11=1,DH$4,""),IF(DI11=1,DI$4,""),IF(DJ11=1,DJ$4,""),IF(DK11=1,DK$4,""),IF(DL11=1,DL$4,""),IF(DM11=1,DM$4,""),IF(DN11=1,DN$4,""),IF(DO11=1,DO$4,""),IF(DP11=1,DP$4,""),IF(DQ11=1,DQ$4,""),IF(DR11=1,DR$4,""),IF(DS11=1,DS$4,""),IF(DT11=1,DT$4,""),IF(DU11=1,DU$4,""))</f>
        <v>ACDEE1E2E3E4E5</v>
      </c>
      <c r="BB11" s="501">
        <f>VLOOKUP(W11,'Catalogue Aluminium'!$B$9:$H$93,7,FALSE)</f>
        <v>15</v>
      </c>
      <c r="BC11" s="328">
        <f t="shared" ref="BC11:BC36" si="88">AP11*BB11</f>
        <v>15</v>
      </c>
      <c r="BE11" s="336"/>
      <c r="BF11" s="336">
        <v>1</v>
      </c>
      <c r="BG11" s="336"/>
      <c r="BH11" s="336"/>
      <c r="BI11" s="336">
        <v>1</v>
      </c>
      <c r="BJ11" s="336">
        <v>1</v>
      </c>
      <c r="BK11" s="336"/>
      <c r="BL11" s="336"/>
      <c r="BM11" s="336"/>
      <c r="BN11" s="336">
        <v>1</v>
      </c>
      <c r="BO11" s="336"/>
      <c r="BP11" s="336">
        <v>1</v>
      </c>
      <c r="BQ11" s="336">
        <v>1</v>
      </c>
      <c r="BR11" s="336">
        <v>1</v>
      </c>
      <c r="BS11" s="336">
        <v>1</v>
      </c>
      <c r="BT11" s="336">
        <v>1</v>
      </c>
      <c r="BU11" s="336"/>
      <c r="BV11" s="336"/>
      <c r="BW11" s="336"/>
      <c r="BX11" s="336"/>
      <c r="BY11" s="336"/>
      <c r="BZ11" s="336"/>
      <c r="CA11" s="336"/>
      <c r="CB11" s="336"/>
      <c r="CC11" s="336"/>
      <c r="CD11" s="336"/>
      <c r="CE11" s="336"/>
      <c r="CF11" s="336"/>
      <c r="CG11" s="336"/>
      <c r="CH11" s="336"/>
      <c r="CI11" s="336"/>
      <c r="CJ11" s="336"/>
      <c r="CK11" s="336"/>
      <c r="CL11" s="336"/>
      <c r="CM11" s="336"/>
      <c r="CN11" s="336"/>
      <c r="CO11" s="336"/>
      <c r="CP11" s="336"/>
      <c r="CQ11" s="336"/>
      <c r="CR11" s="336"/>
      <c r="CS11" s="336"/>
      <c r="CT11" s="336"/>
      <c r="CU11" s="336"/>
      <c r="CV11" s="336"/>
      <c r="CW11" s="336"/>
      <c r="CX11" s="336"/>
      <c r="CY11" s="336"/>
      <c r="CZ11" s="336"/>
      <c r="DA11" s="336"/>
      <c r="DB11" s="336"/>
      <c r="DC11" s="336"/>
      <c r="DD11" s="336"/>
      <c r="DE11" s="336"/>
      <c r="DF11" s="336"/>
      <c r="DG11" s="336"/>
      <c r="DH11" s="336"/>
      <c r="DI11" s="336"/>
      <c r="DJ11" s="336"/>
      <c r="DK11" s="336"/>
      <c r="DL11" s="336"/>
      <c r="DM11" s="336"/>
      <c r="DN11" s="336"/>
      <c r="DO11" s="336"/>
      <c r="DP11" s="336"/>
      <c r="DQ11" s="336"/>
      <c r="DR11" s="336"/>
      <c r="DS11" s="336"/>
      <c r="DT11" s="336"/>
      <c r="DU11" s="336"/>
      <c r="DW11" s="336">
        <f t="shared" si="19"/>
        <v>0</v>
      </c>
      <c r="DX11" s="336">
        <f t="shared" si="20"/>
        <v>15</v>
      </c>
      <c r="DY11" s="336">
        <f t="shared" si="21"/>
        <v>0</v>
      </c>
      <c r="DZ11" s="336">
        <f t="shared" si="22"/>
        <v>0</v>
      </c>
      <c r="EA11" s="336">
        <f t="shared" si="23"/>
        <v>15</v>
      </c>
      <c r="EB11" s="336">
        <f t="shared" si="24"/>
        <v>15</v>
      </c>
      <c r="EC11" s="336">
        <f t="shared" si="25"/>
        <v>0</v>
      </c>
      <c r="ED11" s="336">
        <f t="shared" si="26"/>
        <v>0</v>
      </c>
      <c r="EE11" s="336">
        <f t="shared" si="27"/>
        <v>0</v>
      </c>
      <c r="EF11" s="336">
        <f t="shared" si="28"/>
        <v>15</v>
      </c>
      <c r="EG11" s="336">
        <f t="shared" si="29"/>
        <v>0</v>
      </c>
      <c r="EH11" s="336">
        <f t="shared" si="30"/>
        <v>15</v>
      </c>
      <c r="EI11" s="336">
        <f t="shared" si="31"/>
        <v>15</v>
      </c>
      <c r="EJ11" s="336">
        <f t="shared" si="32"/>
        <v>15</v>
      </c>
      <c r="EK11" s="336">
        <f t="shared" si="33"/>
        <v>15</v>
      </c>
      <c r="EL11" s="336">
        <f t="shared" si="34"/>
        <v>15</v>
      </c>
      <c r="EM11" s="336">
        <f t="shared" si="35"/>
        <v>0</v>
      </c>
      <c r="EN11" s="336">
        <f t="shared" si="36"/>
        <v>0</v>
      </c>
      <c r="EO11" s="336">
        <f t="shared" si="37"/>
        <v>0</v>
      </c>
      <c r="EP11" s="336">
        <f t="shared" si="38"/>
        <v>0</v>
      </c>
      <c r="EQ11" s="336">
        <f t="shared" si="39"/>
        <v>0</v>
      </c>
      <c r="ER11" s="336">
        <f t="shared" si="40"/>
        <v>0</v>
      </c>
      <c r="ES11" s="336">
        <f t="shared" si="41"/>
        <v>0</v>
      </c>
      <c r="ET11" s="336">
        <f t="shared" si="41"/>
        <v>0</v>
      </c>
      <c r="EU11" s="336">
        <f t="shared" si="42"/>
        <v>0</v>
      </c>
      <c r="EV11" s="336">
        <f t="shared" si="43"/>
        <v>0</v>
      </c>
      <c r="EW11" s="336">
        <f t="shared" si="44"/>
        <v>0</v>
      </c>
      <c r="EX11" s="336">
        <f t="shared" si="45"/>
        <v>0</v>
      </c>
      <c r="EY11" s="336">
        <f t="shared" si="46"/>
        <v>0</v>
      </c>
      <c r="EZ11" s="336">
        <f t="shared" si="47"/>
        <v>0</v>
      </c>
      <c r="FA11" s="336">
        <f t="shared" si="48"/>
        <v>0</v>
      </c>
      <c r="FB11" s="336">
        <f t="shared" si="49"/>
        <v>0</v>
      </c>
      <c r="FC11" s="336">
        <f t="shared" si="50"/>
        <v>0</v>
      </c>
      <c r="FD11" s="336">
        <f t="shared" si="51"/>
        <v>0</v>
      </c>
      <c r="FE11" s="336">
        <f t="shared" si="52"/>
        <v>0</v>
      </c>
      <c r="FF11" s="336">
        <f t="shared" si="53"/>
        <v>0</v>
      </c>
      <c r="FG11" s="336">
        <f t="shared" si="54"/>
        <v>0</v>
      </c>
      <c r="FH11" s="336">
        <f t="shared" si="55"/>
        <v>0</v>
      </c>
      <c r="FI11" s="336">
        <f t="shared" si="56"/>
        <v>0</v>
      </c>
      <c r="FJ11" s="336">
        <f t="shared" si="57"/>
        <v>0</v>
      </c>
      <c r="FK11" s="336">
        <f t="shared" si="58"/>
        <v>0</v>
      </c>
      <c r="FL11" s="336">
        <f t="shared" si="59"/>
        <v>0</v>
      </c>
      <c r="FM11" s="336">
        <f t="shared" si="60"/>
        <v>0</v>
      </c>
      <c r="FN11" s="336">
        <f t="shared" si="61"/>
        <v>0</v>
      </c>
      <c r="FO11" s="336">
        <f t="shared" si="62"/>
        <v>0</v>
      </c>
      <c r="FP11" s="336">
        <f t="shared" si="63"/>
        <v>0</v>
      </c>
      <c r="FQ11" s="336">
        <f t="shared" si="64"/>
        <v>0</v>
      </c>
      <c r="FR11" s="336">
        <f t="shared" si="65"/>
        <v>0</v>
      </c>
      <c r="FS11" s="336">
        <f t="shared" si="66"/>
        <v>0</v>
      </c>
      <c r="FT11" s="336">
        <f t="shared" si="67"/>
        <v>0</v>
      </c>
      <c r="FU11" s="336">
        <f t="shared" ref="FU11:FU36" si="89">IF(DC11=1,($BC11*DC11),0)</f>
        <v>0</v>
      </c>
      <c r="FV11" s="336">
        <f t="shared" ref="FV11:FV36" si="90">IF(DD11=1,($BC11*DD11),0)</f>
        <v>0</v>
      </c>
      <c r="FW11" s="336">
        <f t="shared" ref="FW11:FW36" si="91">IF(DE11=1,($BC11*DE11),0)</f>
        <v>0</v>
      </c>
      <c r="FX11" s="336">
        <f t="shared" ref="FX11:FX36" si="92">IF(DF11=1,($BC11*DF11),0)</f>
        <v>0</v>
      </c>
      <c r="FY11" s="336">
        <f t="shared" si="68"/>
        <v>0</v>
      </c>
      <c r="FZ11" s="336">
        <f t="shared" si="69"/>
        <v>0</v>
      </c>
      <c r="GA11" s="336">
        <f t="shared" si="70"/>
        <v>0</v>
      </c>
      <c r="GB11" s="336">
        <f t="shared" si="71"/>
        <v>0</v>
      </c>
      <c r="GC11" s="336">
        <f t="shared" si="72"/>
        <v>0</v>
      </c>
      <c r="GD11" s="336">
        <f t="shared" si="73"/>
        <v>0</v>
      </c>
      <c r="GE11" s="336">
        <f t="shared" si="74"/>
        <v>0</v>
      </c>
      <c r="GF11" s="336">
        <f t="shared" si="75"/>
        <v>0</v>
      </c>
      <c r="GG11" s="336">
        <f t="shared" si="76"/>
        <v>0</v>
      </c>
      <c r="GH11" s="336">
        <f t="shared" si="77"/>
        <v>0</v>
      </c>
      <c r="GI11" s="336">
        <f t="shared" si="78"/>
        <v>0</v>
      </c>
      <c r="GJ11" s="336">
        <f t="shared" si="79"/>
        <v>0</v>
      </c>
      <c r="GK11" s="336">
        <f t="shared" si="80"/>
        <v>0</v>
      </c>
      <c r="GL11" s="336">
        <f t="shared" ref="GL11:GL36" si="93">IF(DT11=1,($BC11*DT11),0)</f>
        <v>0</v>
      </c>
      <c r="GM11" s="336">
        <f t="shared" si="81"/>
        <v>0</v>
      </c>
    </row>
    <row r="12" spans="1:195" ht="20.100000000000001" customHeight="1">
      <c r="A12" s="337">
        <f>1+A11</f>
        <v>2</v>
      </c>
      <c r="B12" s="337" t="s">
        <v>499</v>
      </c>
      <c r="C12" s="337" t="str">
        <f t="shared" si="0"/>
        <v>PMCC-1</v>
      </c>
      <c r="D12" s="372" t="s">
        <v>500</v>
      </c>
      <c r="E12" s="500" t="s">
        <v>345</v>
      </c>
      <c r="F12" s="337" t="s">
        <v>29</v>
      </c>
      <c r="G12" s="337" t="s">
        <v>350</v>
      </c>
      <c r="H12" s="396">
        <v>0.37</v>
      </c>
      <c r="I12" s="337" t="s">
        <v>330</v>
      </c>
      <c r="J12" s="337" t="s">
        <v>331</v>
      </c>
      <c r="K12" s="349">
        <v>400</v>
      </c>
      <c r="L12" s="343">
        <v>0.73</v>
      </c>
      <c r="M12" s="350">
        <v>0.82499999999999996</v>
      </c>
      <c r="N12" s="342">
        <f t="shared" si="1"/>
        <v>0.88678234143133383</v>
      </c>
      <c r="O12" s="342">
        <f t="shared" si="2"/>
        <v>5.3206940485880025</v>
      </c>
      <c r="P12" s="343">
        <f t="shared" si="3"/>
        <v>0.2</v>
      </c>
      <c r="Q12" s="350">
        <v>65</v>
      </c>
      <c r="R12" s="350">
        <v>0</v>
      </c>
      <c r="S12" s="350">
        <f t="shared" si="4"/>
        <v>0</v>
      </c>
      <c r="T12" s="343" t="s">
        <v>131</v>
      </c>
      <c r="U12" s="350" t="s">
        <v>333</v>
      </c>
      <c r="V12" s="343">
        <v>4</v>
      </c>
      <c r="W12" s="343" t="str">
        <f t="shared" si="5"/>
        <v>3C X 4</v>
      </c>
      <c r="X12" s="343" t="str">
        <f t="shared" si="6"/>
        <v>3C X 4+PE</v>
      </c>
      <c r="Y12" s="343" t="s">
        <v>358</v>
      </c>
      <c r="Z12" s="344">
        <f>IF(T12="AIR",VLOOKUP(W12,'Catalogue Aluminium'!$B$9:$G$93,2,FALSE),IF(T12="GROUND",VLOOKUP(W12,'Catalogue Aluminium'!$B$9:$G$93,3,FALSE),IF(T12="DUCT",VLOOKUP(W12,'Catalogue Aluminium'!$B$9:$G$93,4,FALSE),IF(T12="TRENCH",VLOOKUP(W12,'Catalogue Aluminium'!$B$9:$G$93,2,FALSE)))))</f>
        <v>38</v>
      </c>
      <c r="AA12" s="345">
        <f>VLOOKUP(W12,'Catalogue Aluminium'!$B$9:$G$93,5,FALSE)</f>
        <v>5.9</v>
      </c>
      <c r="AB12" s="345">
        <f>VLOOKUP(W12,'Catalogue Aluminium'!$B$9:$G$93,6,FALSE)</f>
        <v>9.4700000000000006E-2</v>
      </c>
      <c r="AC12" s="401">
        <f>35+3</f>
        <v>38</v>
      </c>
      <c r="AD12" s="401">
        <f>40+50+38+50+17+(27+30+9+5)</f>
        <v>266</v>
      </c>
      <c r="AE12" s="401">
        <f t="shared" si="82"/>
        <v>38</v>
      </c>
      <c r="AF12" s="401">
        <v>8</v>
      </c>
      <c r="AG12" s="401">
        <f t="shared" si="83"/>
        <v>35</v>
      </c>
      <c r="AH12" s="347">
        <f t="shared" si="84"/>
        <v>385</v>
      </c>
      <c r="AI12" s="344">
        <f>IF(T12="AIR",'Catalogue Aluminium'!$K$9,IF(T12="TRENCH",'Catalogue Aluminium'!$K$12,"NA"))</f>
        <v>0.89</v>
      </c>
      <c r="AJ12" s="342">
        <f>IF(T12="Air",(IF(U12="1C",'Catalogue Aluminium'!$L$9,'Catalogue Aluminium'!$M$9)),IF(T12="DUCT",(IF($U12="1C",'Catalogue Aluminium'!$L$10,'Catalogue Aluminium'!$M$10)),IF(T12="GROUND",(IF($U12="1C",'Catalogue Aluminium'!$L$11,'Catalogue Aluminium'!$M$11)),IF(T12="TRENCH",(IF($U12="1C",'Catalogue Aluminium'!$L$12,'Catalogue Aluminium'!$M$12))))))</f>
        <v>0.66</v>
      </c>
      <c r="AK12" s="344" t="str">
        <f>IF(T12="Air",'Catalogue Aluminium'!$N$9,IF(T12="GROUND",'Catalogue Aluminium'!$N$10,IF(T12="DUCT",'Catalogue Aluminium'!$N$11,IF(T12="TRENCH",'Catalogue Aluminium'!$N$12,"NA"))))</f>
        <v>NA</v>
      </c>
      <c r="AL12" s="344" t="str">
        <f>IF(T12="Air",(IF(U12="1C",'Catalogue Aluminium'!$O$9,'Catalogue Aluminium'!$P$9)),IF(T12="DUCT",(IF($U12="1C",'Catalogue Aluminium'!$O$10,'Catalogue Aluminium'!$P$10)),IF(T12="GROUND",(IF($U12="1C",'Catalogue Aluminium'!$O$11,'Catalogue Aluminium'!$P$11)),IF(T12="TRENCH",(IF($U12="1C",'Catalogue Aluminium'!$O$12,'Catalogue Aluminium'!$P$12))))))</f>
        <v>NA</v>
      </c>
      <c r="AM12" s="344" t="str">
        <f>IF(T12="AIR","NA",IF(T12="TRENCH","NA",IF(T12="DUCT",IF(U12="1C",VLOOKUP(V12,'Catalogue Aluminium'!$Q$9:$S$28,2,FALSE),VLOOKUP(V12,'Catalogue Aluminium'!$Q$9:$S$28,3)),IF(T12="GROUND",IF(U12="1C",VLOOKUP(V12,'Catalogue Aluminium'!$Q$9:$S$28,2,FALSE),VLOOKUP(V12,'Catalogue Aluminium'!$Q$9:$S$28,3))))))</f>
        <v>NA</v>
      </c>
      <c r="AN12" s="351">
        <f t="shared" si="8"/>
        <v>0.58740000000000003</v>
      </c>
      <c r="AO12" s="350">
        <f t="shared" si="9"/>
        <v>22.321200000000001</v>
      </c>
      <c r="AP12" s="349">
        <f t="shared" si="10"/>
        <v>1</v>
      </c>
      <c r="AQ12" s="350" t="str">
        <f t="shared" si="11"/>
        <v>YES</v>
      </c>
      <c r="AR12" s="351">
        <f t="shared" si="12"/>
        <v>0.64629527856935987</v>
      </c>
      <c r="AS12" s="343" t="str">
        <f t="shared" si="13"/>
        <v>YES</v>
      </c>
      <c r="AT12" s="351">
        <f t="shared" si="14"/>
        <v>1.1289774593060373</v>
      </c>
      <c r="AU12" s="343" t="str">
        <f t="shared" si="15"/>
        <v>YES</v>
      </c>
      <c r="AV12" s="354" t="str">
        <f t="shared" si="16"/>
        <v>1R x 0.6/1kV x 3C x 4 Sqmm</v>
      </c>
      <c r="AW12" s="354" t="str">
        <f t="shared" si="17"/>
        <v>1R x 0.6/1kV x 3C x 4+PE Sqmm</v>
      </c>
      <c r="AX12" s="343">
        <f t="shared" si="85"/>
        <v>385</v>
      </c>
      <c r="AY12" s="355"/>
      <c r="AZ12" s="355">
        <f t="shared" si="86"/>
        <v>2</v>
      </c>
      <c r="BA12" s="356" t="str">
        <f t="shared" si="87"/>
        <v>ACDEE1E2E3</v>
      </c>
      <c r="BB12" s="501">
        <f>VLOOKUP(W12,'Catalogue Aluminium'!$B$9:$H$93,7,FALSE)</f>
        <v>15</v>
      </c>
      <c r="BC12" s="328">
        <f t="shared" si="88"/>
        <v>15</v>
      </c>
      <c r="BE12" s="336"/>
      <c r="BF12" s="336">
        <v>1</v>
      </c>
      <c r="BG12" s="336"/>
      <c r="BH12" s="336"/>
      <c r="BI12" s="336">
        <v>1</v>
      </c>
      <c r="BJ12" s="336">
        <v>1</v>
      </c>
      <c r="BK12" s="336"/>
      <c r="BL12" s="336"/>
      <c r="BM12" s="336"/>
      <c r="BN12" s="336">
        <v>1</v>
      </c>
      <c r="BO12" s="336"/>
      <c r="BP12" s="336">
        <v>1</v>
      </c>
      <c r="BQ12" s="336">
        <v>1</v>
      </c>
      <c r="BR12" s="336">
        <v>1</v>
      </c>
      <c r="BS12" s="336"/>
      <c r="BT12" s="336"/>
      <c r="BU12" s="336"/>
      <c r="BV12" s="336"/>
      <c r="BW12" s="336"/>
      <c r="BX12" s="336"/>
      <c r="BY12" s="336"/>
      <c r="BZ12" s="336"/>
      <c r="CA12" s="336"/>
      <c r="CB12" s="336"/>
      <c r="CC12" s="336"/>
      <c r="CD12" s="336"/>
      <c r="CE12" s="336"/>
      <c r="CF12" s="336"/>
      <c r="CG12" s="336"/>
      <c r="CH12" s="336"/>
      <c r="CI12" s="336"/>
      <c r="CJ12" s="336"/>
      <c r="CK12" s="336"/>
      <c r="CL12" s="336"/>
      <c r="CM12" s="336"/>
      <c r="CN12" s="336"/>
      <c r="CO12" s="336"/>
      <c r="CP12" s="336"/>
      <c r="CQ12" s="336"/>
      <c r="CR12" s="336"/>
      <c r="CS12" s="336"/>
      <c r="CT12" s="336"/>
      <c r="CU12" s="336"/>
      <c r="CV12" s="336"/>
      <c r="CW12" s="336"/>
      <c r="CX12" s="336"/>
      <c r="CY12" s="336"/>
      <c r="CZ12" s="336"/>
      <c r="DA12" s="336"/>
      <c r="DB12" s="336"/>
      <c r="DC12" s="336"/>
      <c r="DD12" s="336"/>
      <c r="DE12" s="336"/>
      <c r="DF12" s="336"/>
      <c r="DG12" s="336"/>
      <c r="DH12" s="336"/>
      <c r="DI12" s="336"/>
      <c r="DJ12" s="336"/>
      <c r="DK12" s="336"/>
      <c r="DL12" s="336"/>
      <c r="DM12" s="336"/>
      <c r="DN12" s="336"/>
      <c r="DO12" s="336"/>
      <c r="DP12" s="336"/>
      <c r="DQ12" s="336"/>
      <c r="DR12" s="336"/>
      <c r="DS12" s="336"/>
      <c r="DT12" s="336"/>
      <c r="DU12" s="336"/>
      <c r="DW12" s="336">
        <f t="shared" si="19"/>
        <v>0</v>
      </c>
      <c r="DX12" s="336">
        <f t="shared" si="20"/>
        <v>15</v>
      </c>
      <c r="DY12" s="336">
        <f t="shared" si="21"/>
        <v>0</v>
      </c>
      <c r="DZ12" s="336">
        <f t="shared" si="22"/>
        <v>0</v>
      </c>
      <c r="EA12" s="336">
        <f t="shared" si="23"/>
        <v>15</v>
      </c>
      <c r="EB12" s="336">
        <f t="shared" si="24"/>
        <v>15</v>
      </c>
      <c r="EC12" s="336">
        <f t="shared" si="25"/>
        <v>0</v>
      </c>
      <c r="ED12" s="336">
        <f t="shared" si="26"/>
        <v>0</v>
      </c>
      <c r="EE12" s="336">
        <f t="shared" si="27"/>
        <v>0</v>
      </c>
      <c r="EF12" s="336">
        <f t="shared" si="28"/>
        <v>15</v>
      </c>
      <c r="EG12" s="336">
        <f t="shared" si="29"/>
        <v>0</v>
      </c>
      <c r="EH12" s="336">
        <f t="shared" si="30"/>
        <v>15</v>
      </c>
      <c r="EI12" s="336">
        <f t="shared" si="31"/>
        <v>15</v>
      </c>
      <c r="EJ12" s="336">
        <f t="shared" si="32"/>
        <v>15</v>
      </c>
      <c r="EK12" s="336">
        <f t="shared" si="33"/>
        <v>0</v>
      </c>
      <c r="EL12" s="336">
        <f t="shared" si="34"/>
        <v>0</v>
      </c>
      <c r="EM12" s="336">
        <f t="shared" si="35"/>
        <v>0</v>
      </c>
      <c r="EN12" s="336">
        <f t="shared" si="36"/>
        <v>0</v>
      </c>
      <c r="EO12" s="336">
        <f t="shared" si="37"/>
        <v>0</v>
      </c>
      <c r="EP12" s="336">
        <f t="shared" si="38"/>
        <v>0</v>
      </c>
      <c r="EQ12" s="336">
        <f t="shared" si="39"/>
        <v>0</v>
      </c>
      <c r="ER12" s="336">
        <f t="shared" si="40"/>
        <v>0</v>
      </c>
      <c r="ES12" s="336">
        <f t="shared" si="41"/>
        <v>0</v>
      </c>
      <c r="ET12" s="336">
        <f t="shared" si="41"/>
        <v>0</v>
      </c>
      <c r="EU12" s="336">
        <f t="shared" si="42"/>
        <v>0</v>
      </c>
      <c r="EV12" s="336">
        <f t="shared" si="43"/>
        <v>0</v>
      </c>
      <c r="EW12" s="336">
        <f t="shared" si="44"/>
        <v>0</v>
      </c>
      <c r="EX12" s="336">
        <f t="shared" si="45"/>
        <v>0</v>
      </c>
      <c r="EY12" s="336">
        <f t="shared" si="46"/>
        <v>0</v>
      </c>
      <c r="EZ12" s="336">
        <f t="shared" si="47"/>
        <v>0</v>
      </c>
      <c r="FA12" s="336">
        <f t="shared" si="48"/>
        <v>0</v>
      </c>
      <c r="FB12" s="336">
        <f t="shared" si="49"/>
        <v>0</v>
      </c>
      <c r="FC12" s="336">
        <f t="shared" si="50"/>
        <v>0</v>
      </c>
      <c r="FD12" s="336">
        <f t="shared" si="51"/>
        <v>0</v>
      </c>
      <c r="FE12" s="336">
        <f t="shared" si="52"/>
        <v>0</v>
      </c>
      <c r="FF12" s="336">
        <f t="shared" si="53"/>
        <v>0</v>
      </c>
      <c r="FG12" s="336">
        <f t="shared" si="54"/>
        <v>0</v>
      </c>
      <c r="FH12" s="336">
        <f t="shared" si="55"/>
        <v>0</v>
      </c>
      <c r="FI12" s="336">
        <f t="shared" si="56"/>
        <v>0</v>
      </c>
      <c r="FJ12" s="336">
        <f t="shared" si="57"/>
        <v>0</v>
      </c>
      <c r="FK12" s="336">
        <f t="shared" si="58"/>
        <v>0</v>
      </c>
      <c r="FL12" s="336">
        <f t="shared" si="59"/>
        <v>0</v>
      </c>
      <c r="FM12" s="336">
        <f t="shared" si="60"/>
        <v>0</v>
      </c>
      <c r="FN12" s="336">
        <f t="shared" si="61"/>
        <v>0</v>
      </c>
      <c r="FO12" s="336">
        <f t="shared" si="62"/>
        <v>0</v>
      </c>
      <c r="FP12" s="336">
        <f t="shared" si="63"/>
        <v>0</v>
      </c>
      <c r="FQ12" s="336">
        <f t="shared" si="64"/>
        <v>0</v>
      </c>
      <c r="FR12" s="336">
        <f t="shared" si="65"/>
        <v>0</v>
      </c>
      <c r="FS12" s="336">
        <f t="shared" si="66"/>
        <v>0</v>
      </c>
      <c r="FT12" s="336">
        <f t="shared" si="67"/>
        <v>0</v>
      </c>
      <c r="FU12" s="336">
        <f t="shared" si="89"/>
        <v>0</v>
      </c>
      <c r="FV12" s="336">
        <f t="shared" si="90"/>
        <v>0</v>
      </c>
      <c r="FW12" s="336">
        <f t="shared" si="91"/>
        <v>0</v>
      </c>
      <c r="FX12" s="336">
        <f t="shared" si="92"/>
        <v>0</v>
      </c>
      <c r="FY12" s="336">
        <f t="shared" si="68"/>
        <v>0</v>
      </c>
      <c r="FZ12" s="336">
        <f t="shared" si="69"/>
        <v>0</v>
      </c>
      <c r="GA12" s="336">
        <f t="shared" si="70"/>
        <v>0</v>
      </c>
      <c r="GB12" s="336">
        <f t="shared" si="71"/>
        <v>0</v>
      </c>
      <c r="GC12" s="336">
        <f t="shared" si="72"/>
        <v>0</v>
      </c>
      <c r="GD12" s="336">
        <f t="shared" si="73"/>
        <v>0</v>
      </c>
      <c r="GE12" s="336">
        <f t="shared" si="74"/>
        <v>0</v>
      </c>
      <c r="GF12" s="336">
        <f t="shared" si="75"/>
        <v>0</v>
      </c>
      <c r="GG12" s="336">
        <f t="shared" si="76"/>
        <v>0</v>
      </c>
      <c r="GH12" s="336">
        <f t="shared" si="77"/>
        <v>0</v>
      </c>
      <c r="GI12" s="336">
        <f t="shared" si="78"/>
        <v>0</v>
      </c>
      <c r="GJ12" s="336">
        <f t="shared" si="79"/>
        <v>0</v>
      </c>
      <c r="GK12" s="336">
        <f t="shared" si="80"/>
        <v>0</v>
      </c>
      <c r="GL12" s="336">
        <f t="shared" si="93"/>
        <v>0</v>
      </c>
      <c r="GM12" s="336">
        <f t="shared" si="81"/>
        <v>0</v>
      </c>
    </row>
    <row r="13" spans="1:195" ht="20.100000000000001" customHeight="1">
      <c r="A13" s="337">
        <f t="shared" ref="A13:A35" si="94">1+A12</f>
        <v>3</v>
      </c>
      <c r="B13" s="337" t="s">
        <v>501</v>
      </c>
      <c r="C13" s="337" t="str">
        <f t="shared" si="0"/>
        <v>PMCC-1</v>
      </c>
      <c r="D13" s="372" t="s">
        <v>502</v>
      </c>
      <c r="E13" s="500" t="s">
        <v>345</v>
      </c>
      <c r="F13" s="337" t="s">
        <v>28</v>
      </c>
      <c r="G13" s="337" t="s">
        <v>350</v>
      </c>
      <c r="H13" s="396">
        <v>0.37</v>
      </c>
      <c r="I13" s="337" t="s">
        <v>330</v>
      </c>
      <c r="J13" s="337" t="s">
        <v>331</v>
      </c>
      <c r="K13" s="349">
        <v>400</v>
      </c>
      <c r="L13" s="343">
        <v>0.73</v>
      </c>
      <c r="M13" s="350">
        <v>0.82499999999999996</v>
      </c>
      <c r="N13" s="342">
        <f t="shared" si="1"/>
        <v>0.88678234143133383</v>
      </c>
      <c r="O13" s="342">
        <f t="shared" si="2"/>
        <v>5.3206940485880025</v>
      </c>
      <c r="P13" s="343">
        <f t="shared" si="3"/>
        <v>0.2</v>
      </c>
      <c r="Q13" s="350">
        <v>65</v>
      </c>
      <c r="R13" s="350">
        <v>0</v>
      </c>
      <c r="S13" s="350">
        <f t="shared" si="4"/>
        <v>0</v>
      </c>
      <c r="T13" s="343" t="s">
        <v>131</v>
      </c>
      <c r="U13" s="350" t="s">
        <v>333</v>
      </c>
      <c r="V13" s="343">
        <v>4</v>
      </c>
      <c r="W13" s="343" t="str">
        <f t="shared" si="5"/>
        <v>3C X 4</v>
      </c>
      <c r="X13" s="343" t="str">
        <f t="shared" si="6"/>
        <v>3C X 4+PE</v>
      </c>
      <c r="Y13" s="343" t="s">
        <v>358</v>
      </c>
      <c r="Z13" s="344">
        <f>IF(T13="AIR",VLOOKUP(W13,'Catalogue Aluminium'!$B$9:$G$93,2,FALSE),IF(T13="GROUND",VLOOKUP(W13,'Catalogue Aluminium'!$B$9:$G$93,3,FALSE),IF(T13="DUCT",VLOOKUP(W13,'Catalogue Aluminium'!$B$9:$G$93,4,FALSE),IF(T13="TRENCH",VLOOKUP(W13,'Catalogue Aluminium'!$B$9:$G$93,2,FALSE)))))</f>
        <v>38</v>
      </c>
      <c r="AA13" s="345">
        <f>VLOOKUP(W13,'Catalogue Aluminium'!$B$9:$G$93,5,FALSE)</f>
        <v>5.9</v>
      </c>
      <c r="AB13" s="345">
        <f>VLOOKUP(W13,'Catalogue Aluminium'!$B$9:$G$93,6,FALSE)</f>
        <v>9.4700000000000006E-2</v>
      </c>
      <c r="AC13" s="401">
        <f>26+3</f>
        <v>29</v>
      </c>
      <c r="AD13" s="401">
        <f>40+50+38+50+17+(27+30+9+18+5)</f>
        <v>284</v>
      </c>
      <c r="AE13" s="401">
        <f t="shared" si="82"/>
        <v>38</v>
      </c>
      <c r="AF13" s="401">
        <v>8</v>
      </c>
      <c r="AG13" s="401">
        <f t="shared" si="83"/>
        <v>36</v>
      </c>
      <c r="AH13" s="347">
        <f t="shared" si="84"/>
        <v>395</v>
      </c>
      <c r="AI13" s="344">
        <f>IF(T13="AIR",'Catalogue Aluminium'!$K$9,IF(T13="TRENCH",'Catalogue Aluminium'!$K$12,"NA"))</f>
        <v>0.89</v>
      </c>
      <c r="AJ13" s="342">
        <f>IF(T13="Air",(IF(U13="1C",'Catalogue Aluminium'!$L$9,'Catalogue Aluminium'!$M$9)),IF(T13="DUCT",(IF($U13="1C",'Catalogue Aluminium'!$L$10,'Catalogue Aluminium'!$M$10)),IF(T13="GROUND",(IF($U13="1C",'Catalogue Aluminium'!$L$11,'Catalogue Aluminium'!$M$11)),IF(T13="TRENCH",(IF($U13="1C",'Catalogue Aluminium'!$L$12,'Catalogue Aluminium'!$M$12))))))</f>
        <v>0.66</v>
      </c>
      <c r="AK13" s="344" t="str">
        <f>IF(T13="Air",'Catalogue Aluminium'!$N$9,IF(T13="GROUND",'Catalogue Aluminium'!$N$10,IF(T13="DUCT",'Catalogue Aluminium'!$N$11,IF(T13="TRENCH",'Catalogue Aluminium'!$N$12,"NA"))))</f>
        <v>NA</v>
      </c>
      <c r="AL13" s="344" t="str">
        <f>IF(T13="Air",(IF(U13="1C",'Catalogue Aluminium'!$O$9,'Catalogue Aluminium'!$P$9)),IF(T13="DUCT",(IF($U13="1C",'Catalogue Aluminium'!$O$10,'Catalogue Aluminium'!$P$10)),IF(T13="GROUND",(IF($U13="1C",'Catalogue Aluminium'!$O$11,'Catalogue Aluminium'!$P$11)),IF(T13="TRENCH",(IF($U13="1C",'Catalogue Aluminium'!$O$12,'Catalogue Aluminium'!$P$12))))))</f>
        <v>NA</v>
      </c>
      <c r="AM13" s="344" t="str">
        <f>IF(T13="AIR","NA",IF(T13="TRENCH","NA",IF(T13="DUCT",IF(U13="1C",VLOOKUP(V13,'Catalogue Aluminium'!$Q$9:$S$28,2,FALSE),VLOOKUP(V13,'Catalogue Aluminium'!$Q$9:$S$28,3)),IF(T13="GROUND",IF(U13="1C",VLOOKUP(V13,'Catalogue Aluminium'!$Q$9:$S$28,2,FALSE),VLOOKUP(V13,'Catalogue Aluminium'!$Q$9:$S$28,3))))))</f>
        <v>NA</v>
      </c>
      <c r="AN13" s="351">
        <f t="shared" si="8"/>
        <v>0.58740000000000003</v>
      </c>
      <c r="AO13" s="350">
        <f t="shared" si="9"/>
        <v>22.321200000000001</v>
      </c>
      <c r="AP13" s="349">
        <f t="shared" si="10"/>
        <v>1</v>
      </c>
      <c r="AQ13" s="350" t="str">
        <f t="shared" si="11"/>
        <v>YES</v>
      </c>
      <c r="AR13" s="351">
        <f t="shared" si="12"/>
        <v>0.66308216892181082</v>
      </c>
      <c r="AS13" s="343" t="str">
        <f t="shared" si="13"/>
        <v>YES</v>
      </c>
      <c r="AT13" s="351">
        <f t="shared" si="14"/>
        <v>1.1583015491581423</v>
      </c>
      <c r="AU13" s="343" t="str">
        <f t="shared" si="15"/>
        <v>YES</v>
      </c>
      <c r="AV13" s="354" t="str">
        <f t="shared" si="16"/>
        <v>1R x 0.6/1kV x 3C x 4 Sqmm</v>
      </c>
      <c r="AW13" s="354" t="str">
        <f t="shared" si="17"/>
        <v>1R x 0.6/1kV x 3C x 4+PE Sqmm</v>
      </c>
      <c r="AX13" s="343">
        <f t="shared" si="85"/>
        <v>395</v>
      </c>
      <c r="AY13" s="355"/>
      <c r="AZ13" s="355">
        <f t="shared" si="86"/>
        <v>2</v>
      </c>
      <c r="BA13" s="356" t="str">
        <f t="shared" si="87"/>
        <v>ACDEE1E3</v>
      </c>
      <c r="BB13" s="501">
        <f>VLOOKUP(W13,'Catalogue Aluminium'!$B$9:$H$93,7,FALSE)</f>
        <v>15</v>
      </c>
      <c r="BC13" s="328">
        <f t="shared" si="88"/>
        <v>15</v>
      </c>
      <c r="BE13" s="336"/>
      <c r="BF13" s="336">
        <v>1</v>
      </c>
      <c r="BG13" s="336"/>
      <c r="BH13" s="336"/>
      <c r="BI13" s="336">
        <v>1</v>
      </c>
      <c r="BJ13" s="336">
        <v>1</v>
      </c>
      <c r="BK13" s="336"/>
      <c r="BL13" s="336"/>
      <c r="BM13" s="336"/>
      <c r="BN13" s="336">
        <v>1</v>
      </c>
      <c r="BO13" s="336"/>
      <c r="BP13" s="336">
        <v>1</v>
      </c>
      <c r="BQ13" s="336"/>
      <c r="BR13" s="336">
        <v>1</v>
      </c>
      <c r="BS13" s="336"/>
      <c r="BT13" s="336"/>
      <c r="BU13" s="336"/>
      <c r="BV13" s="336"/>
      <c r="BW13" s="336"/>
      <c r="BX13" s="336"/>
      <c r="BY13" s="336"/>
      <c r="BZ13" s="336"/>
      <c r="CA13" s="336"/>
      <c r="CB13" s="336"/>
      <c r="CC13" s="336"/>
      <c r="CD13" s="336"/>
      <c r="CE13" s="336"/>
      <c r="CF13" s="336"/>
      <c r="CG13" s="336"/>
      <c r="CH13" s="336"/>
      <c r="CI13" s="336"/>
      <c r="CJ13" s="336"/>
      <c r="CK13" s="336"/>
      <c r="CL13" s="336"/>
      <c r="CM13" s="336"/>
      <c r="CN13" s="336"/>
      <c r="CO13" s="336"/>
      <c r="CP13" s="336"/>
      <c r="CQ13" s="336"/>
      <c r="CR13" s="336"/>
      <c r="CS13" s="336"/>
      <c r="CT13" s="336"/>
      <c r="CU13" s="336"/>
      <c r="CV13" s="336"/>
      <c r="CW13" s="336"/>
      <c r="CX13" s="336"/>
      <c r="CY13" s="336"/>
      <c r="CZ13" s="336"/>
      <c r="DA13" s="336"/>
      <c r="DB13" s="336"/>
      <c r="DC13" s="336"/>
      <c r="DD13" s="336"/>
      <c r="DE13" s="336"/>
      <c r="DF13" s="336"/>
      <c r="DG13" s="336"/>
      <c r="DH13" s="336"/>
      <c r="DI13" s="336"/>
      <c r="DJ13" s="336"/>
      <c r="DK13" s="336"/>
      <c r="DL13" s="336"/>
      <c r="DM13" s="336"/>
      <c r="DN13" s="336"/>
      <c r="DO13" s="336"/>
      <c r="DP13" s="336"/>
      <c r="DQ13" s="336"/>
      <c r="DR13" s="336"/>
      <c r="DS13" s="336"/>
      <c r="DT13" s="336"/>
      <c r="DU13" s="336"/>
      <c r="DW13" s="336">
        <f t="shared" si="19"/>
        <v>0</v>
      </c>
      <c r="DX13" s="336">
        <f t="shared" si="20"/>
        <v>15</v>
      </c>
      <c r="DY13" s="336">
        <f t="shared" si="21"/>
        <v>0</v>
      </c>
      <c r="DZ13" s="336">
        <f t="shared" si="22"/>
        <v>0</v>
      </c>
      <c r="EA13" s="336">
        <f t="shared" si="23"/>
        <v>15</v>
      </c>
      <c r="EB13" s="336">
        <f t="shared" si="24"/>
        <v>15</v>
      </c>
      <c r="EC13" s="336">
        <f t="shared" si="25"/>
        <v>0</v>
      </c>
      <c r="ED13" s="336">
        <f t="shared" si="26"/>
        <v>0</v>
      </c>
      <c r="EE13" s="336">
        <f t="shared" si="27"/>
        <v>0</v>
      </c>
      <c r="EF13" s="336">
        <f t="shared" si="28"/>
        <v>15</v>
      </c>
      <c r="EG13" s="336">
        <f t="shared" si="29"/>
        <v>0</v>
      </c>
      <c r="EH13" s="336">
        <f t="shared" si="30"/>
        <v>15</v>
      </c>
      <c r="EI13" s="336">
        <f t="shared" si="31"/>
        <v>0</v>
      </c>
      <c r="EJ13" s="336">
        <f t="shared" si="32"/>
        <v>15</v>
      </c>
      <c r="EK13" s="336">
        <f t="shared" si="33"/>
        <v>0</v>
      </c>
      <c r="EL13" s="336">
        <f t="shared" si="34"/>
        <v>0</v>
      </c>
      <c r="EM13" s="336">
        <f t="shared" si="35"/>
        <v>0</v>
      </c>
      <c r="EN13" s="336">
        <f t="shared" si="36"/>
        <v>0</v>
      </c>
      <c r="EO13" s="336">
        <f t="shared" si="37"/>
        <v>0</v>
      </c>
      <c r="EP13" s="336">
        <f t="shared" si="38"/>
        <v>0</v>
      </c>
      <c r="EQ13" s="336">
        <f t="shared" si="39"/>
        <v>0</v>
      </c>
      <c r="ER13" s="336">
        <f t="shared" si="40"/>
        <v>0</v>
      </c>
      <c r="ES13" s="336">
        <f t="shared" si="41"/>
        <v>0</v>
      </c>
      <c r="ET13" s="336">
        <f t="shared" si="41"/>
        <v>0</v>
      </c>
      <c r="EU13" s="336">
        <f t="shared" si="42"/>
        <v>0</v>
      </c>
      <c r="EV13" s="336">
        <f t="shared" si="43"/>
        <v>0</v>
      </c>
      <c r="EW13" s="336">
        <f t="shared" si="44"/>
        <v>0</v>
      </c>
      <c r="EX13" s="336">
        <f t="shared" si="45"/>
        <v>0</v>
      </c>
      <c r="EY13" s="336">
        <f t="shared" si="46"/>
        <v>0</v>
      </c>
      <c r="EZ13" s="336">
        <f t="shared" si="47"/>
        <v>0</v>
      </c>
      <c r="FA13" s="336">
        <f t="shared" si="48"/>
        <v>0</v>
      </c>
      <c r="FB13" s="336">
        <f t="shared" si="49"/>
        <v>0</v>
      </c>
      <c r="FC13" s="336">
        <f t="shared" si="50"/>
        <v>0</v>
      </c>
      <c r="FD13" s="336">
        <f t="shared" si="51"/>
        <v>0</v>
      </c>
      <c r="FE13" s="336">
        <f t="shared" si="52"/>
        <v>0</v>
      </c>
      <c r="FF13" s="336">
        <f t="shared" si="53"/>
        <v>0</v>
      </c>
      <c r="FG13" s="336">
        <f t="shared" si="54"/>
        <v>0</v>
      </c>
      <c r="FH13" s="336">
        <f t="shared" si="55"/>
        <v>0</v>
      </c>
      <c r="FI13" s="336">
        <f t="shared" si="56"/>
        <v>0</v>
      </c>
      <c r="FJ13" s="336">
        <f t="shared" si="57"/>
        <v>0</v>
      </c>
      <c r="FK13" s="336">
        <f t="shared" si="58"/>
        <v>0</v>
      </c>
      <c r="FL13" s="336">
        <f t="shared" si="59"/>
        <v>0</v>
      </c>
      <c r="FM13" s="336">
        <f t="shared" si="60"/>
        <v>0</v>
      </c>
      <c r="FN13" s="336">
        <f t="shared" si="61"/>
        <v>0</v>
      </c>
      <c r="FO13" s="336">
        <f t="shared" si="62"/>
        <v>0</v>
      </c>
      <c r="FP13" s="336">
        <f t="shared" si="63"/>
        <v>0</v>
      </c>
      <c r="FQ13" s="336">
        <f t="shared" si="64"/>
        <v>0</v>
      </c>
      <c r="FR13" s="336">
        <f t="shared" si="65"/>
        <v>0</v>
      </c>
      <c r="FS13" s="336">
        <f t="shared" si="66"/>
        <v>0</v>
      </c>
      <c r="FT13" s="336">
        <f t="shared" si="67"/>
        <v>0</v>
      </c>
      <c r="FU13" s="336">
        <f t="shared" si="89"/>
        <v>0</v>
      </c>
      <c r="FV13" s="336">
        <f t="shared" si="90"/>
        <v>0</v>
      </c>
      <c r="FW13" s="336">
        <f t="shared" si="91"/>
        <v>0</v>
      </c>
      <c r="FX13" s="336">
        <f t="shared" si="92"/>
        <v>0</v>
      </c>
      <c r="FY13" s="336">
        <f t="shared" si="68"/>
        <v>0</v>
      </c>
      <c r="FZ13" s="336">
        <f t="shared" si="69"/>
        <v>0</v>
      </c>
      <c r="GA13" s="336">
        <f t="shared" si="70"/>
        <v>0</v>
      </c>
      <c r="GB13" s="336">
        <f t="shared" si="71"/>
        <v>0</v>
      </c>
      <c r="GC13" s="336">
        <f t="shared" si="72"/>
        <v>0</v>
      </c>
      <c r="GD13" s="336">
        <f t="shared" si="73"/>
        <v>0</v>
      </c>
      <c r="GE13" s="336">
        <f t="shared" si="74"/>
        <v>0</v>
      </c>
      <c r="GF13" s="336">
        <f t="shared" si="75"/>
        <v>0</v>
      </c>
      <c r="GG13" s="336">
        <f t="shared" si="76"/>
        <v>0</v>
      </c>
      <c r="GH13" s="336">
        <f t="shared" si="77"/>
        <v>0</v>
      </c>
      <c r="GI13" s="336">
        <f t="shared" si="78"/>
        <v>0</v>
      </c>
      <c r="GJ13" s="336">
        <f t="shared" si="79"/>
        <v>0</v>
      </c>
      <c r="GK13" s="336">
        <f t="shared" si="80"/>
        <v>0</v>
      </c>
      <c r="GL13" s="336">
        <f t="shared" si="93"/>
        <v>0</v>
      </c>
      <c r="GM13" s="336">
        <f t="shared" si="81"/>
        <v>0</v>
      </c>
    </row>
    <row r="14" spans="1:195" ht="20.100000000000001" customHeight="1">
      <c r="A14" s="337">
        <f t="shared" si="94"/>
        <v>4</v>
      </c>
      <c r="B14" s="337" t="s">
        <v>503</v>
      </c>
      <c r="C14" s="337" t="str">
        <f t="shared" si="0"/>
        <v>PMCC-1</v>
      </c>
      <c r="D14" s="372" t="s">
        <v>504</v>
      </c>
      <c r="E14" s="500" t="s">
        <v>345</v>
      </c>
      <c r="F14" s="337" t="s">
        <v>29</v>
      </c>
      <c r="G14" s="337" t="s">
        <v>350</v>
      </c>
      <c r="H14" s="396">
        <v>0.37</v>
      </c>
      <c r="I14" s="337" t="s">
        <v>330</v>
      </c>
      <c r="J14" s="337" t="s">
        <v>331</v>
      </c>
      <c r="K14" s="349">
        <v>400</v>
      </c>
      <c r="L14" s="343">
        <v>0.73</v>
      </c>
      <c r="M14" s="350">
        <v>0.82499999999999996</v>
      </c>
      <c r="N14" s="342">
        <f t="shared" si="1"/>
        <v>0.88678234143133383</v>
      </c>
      <c r="O14" s="342">
        <f t="shared" si="2"/>
        <v>5.3206940485880025</v>
      </c>
      <c r="P14" s="343">
        <f t="shared" si="3"/>
        <v>0.2</v>
      </c>
      <c r="Q14" s="350">
        <v>65</v>
      </c>
      <c r="R14" s="350">
        <v>0</v>
      </c>
      <c r="S14" s="350">
        <f t="shared" si="4"/>
        <v>0</v>
      </c>
      <c r="T14" s="343" t="s">
        <v>131</v>
      </c>
      <c r="U14" s="350" t="s">
        <v>333</v>
      </c>
      <c r="V14" s="343">
        <v>4</v>
      </c>
      <c r="W14" s="343" t="str">
        <f t="shared" si="5"/>
        <v>3C X 4</v>
      </c>
      <c r="X14" s="343" t="str">
        <f t="shared" si="6"/>
        <v>3C X 4+PE</v>
      </c>
      <c r="Y14" s="343" t="s">
        <v>358</v>
      </c>
      <c r="Z14" s="344">
        <f>IF(T14="AIR",VLOOKUP(W14,'Catalogue Aluminium'!$B$9:$G$93,2,FALSE),IF(T14="GROUND",VLOOKUP(W14,'Catalogue Aluminium'!$B$9:$G$93,3,FALSE),IF(T14="DUCT",VLOOKUP(W14,'Catalogue Aluminium'!$B$9:$G$93,4,FALSE),IF(T14="TRENCH",VLOOKUP(W14,'Catalogue Aluminium'!$B$9:$G$93,2,FALSE)))))</f>
        <v>38</v>
      </c>
      <c r="AA14" s="345">
        <f>VLOOKUP(W14,'Catalogue Aluminium'!$B$9:$G$93,5,FALSE)</f>
        <v>5.9</v>
      </c>
      <c r="AB14" s="345">
        <f>VLOOKUP(W14,'Catalogue Aluminium'!$B$9:$G$93,6,FALSE)</f>
        <v>9.4700000000000006E-2</v>
      </c>
      <c r="AC14" s="401">
        <f>35+3</f>
        <v>38</v>
      </c>
      <c r="AD14" s="401">
        <f>40+50+38+50+17+(27+30+9+2+5)</f>
        <v>268</v>
      </c>
      <c r="AE14" s="401">
        <f t="shared" si="82"/>
        <v>38</v>
      </c>
      <c r="AF14" s="401">
        <v>8</v>
      </c>
      <c r="AG14" s="401">
        <f t="shared" si="83"/>
        <v>36</v>
      </c>
      <c r="AH14" s="347">
        <f t="shared" si="84"/>
        <v>388</v>
      </c>
      <c r="AI14" s="344">
        <f>IF(T14="AIR",'Catalogue Aluminium'!$K$9,IF(T14="TRENCH",'Catalogue Aluminium'!$K$12,"NA"))</f>
        <v>0.89</v>
      </c>
      <c r="AJ14" s="342">
        <f>IF(T14="Air",(IF(U14="1C",'Catalogue Aluminium'!$L$9,'Catalogue Aluminium'!$M$9)),IF(T14="DUCT",(IF($U14="1C",'Catalogue Aluminium'!$L$10,'Catalogue Aluminium'!$M$10)),IF(T14="GROUND",(IF($U14="1C",'Catalogue Aluminium'!$L$11,'Catalogue Aluminium'!$M$11)),IF(T14="TRENCH",(IF($U14="1C",'Catalogue Aluminium'!$L$12,'Catalogue Aluminium'!$M$12))))))</f>
        <v>0.66</v>
      </c>
      <c r="AK14" s="344" t="str">
        <f>IF(T14="Air",'Catalogue Aluminium'!$N$9,IF(T14="GROUND",'Catalogue Aluminium'!$N$10,IF(T14="DUCT",'Catalogue Aluminium'!$N$11,IF(T14="TRENCH",'Catalogue Aluminium'!$N$12,"NA"))))</f>
        <v>NA</v>
      </c>
      <c r="AL14" s="344" t="str">
        <f>IF(T14="Air",(IF(U14="1C",'Catalogue Aluminium'!$O$9,'Catalogue Aluminium'!$P$9)),IF(T14="DUCT",(IF($U14="1C",'Catalogue Aluminium'!$O$10,'Catalogue Aluminium'!$P$10)),IF(T14="GROUND",(IF($U14="1C",'Catalogue Aluminium'!$O$11,'Catalogue Aluminium'!$P$11)),IF(T14="TRENCH",(IF($U14="1C",'Catalogue Aluminium'!$O$12,'Catalogue Aluminium'!$P$12))))))</f>
        <v>NA</v>
      </c>
      <c r="AM14" s="344" t="str">
        <f>IF(T14="AIR","NA",IF(T14="TRENCH","NA",IF(T14="DUCT",IF(U14="1C",VLOOKUP(V14,'Catalogue Aluminium'!$Q$9:$S$28,2,FALSE),VLOOKUP(V14,'Catalogue Aluminium'!$Q$9:$S$28,3)),IF(T14="GROUND",IF(U14="1C",VLOOKUP(V14,'Catalogue Aluminium'!$Q$9:$S$28,2,FALSE),VLOOKUP(V14,'Catalogue Aluminium'!$Q$9:$S$28,3))))))</f>
        <v>NA</v>
      </c>
      <c r="AN14" s="351">
        <f t="shared" si="8"/>
        <v>0.58740000000000003</v>
      </c>
      <c r="AO14" s="350">
        <f t="shared" si="9"/>
        <v>22.321200000000001</v>
      </c>
      <c r="AP14" s="349">
        <f t="shared" si="10"/>
        <v>1</v>
      </c>
      <c r="AQ14" s="350" t="str">
        <f t="shared" si="11"/>
        <v>YES</v>
      </c>
      <c r="AR14" s="351">
        <f t="shared" si="12"/>
        <v>0.6513313456750951</v>
      </c>
      <c r="AS14" s="343" t="str">
        <f t="shared" si="13"/>
        <v>YES</v>
      </c>
      <c r="AT14" s="351">
        <f t="shared" si="14"/>
        <v>1.1377746862616689</v>
      </c>
      <c r="AU14" s="343" t="str">
        <f t="shared" si="15"/>
        <v>YES</v>
      </c>
      <c r="AV14" s="354" t="str">
        <f t="shared" si="16"/>
        <v>1R x 0.6/1kV x 3C x 4 Sqmm</v>
      </c>
      <c r="AW14" s="354" t="str">
        <f t="shared" si="17"/>
        <v>1R x 0.6/1kV x 3C x 4+PE Sqmm</v>
      </c>
      <c r="AX14" s="343">
        <f t="shared" si="85"/>
        <v>388</v>
      </c>
      <c r="AY14" s="355"/>
      <c r="AZ14" s="355">
        <f t="shared" si="86"/>
        <v>2</v>
      </c>
      <c r="BA14" s="356" t="str">
        <f t="shared" si="87"/>
        <v>ACDEE1E2E3</v>
      </c>
      <c r="BB14" s="501">
        <f>VLOOKUP(W14,'Catalogue Aluminium'!$B$9:$H$93,7,FALSE)</f>
        <v>15</v>
      </c>
      <c r="BC14" s="328">
        <f t="shared" si="88"/>
        <v>15</v>
      </c>
      <c r="BE14" s="336"/>
      <c r="BF14" s="336">
        <v>1</v>
      </c>
      <c r="BG14" s="336"/>
      <c r="BH14" s="336"/>
      <c r="BI14" s="336">
        <v>1</v>
      </c>
      <c r="BJ14" s="336">
        <v>1</v>
      </c>
      <c r="BK14" s="336"/>
      <c r="BL14" s="336"/>
      <c r="BM14" s="336"/>
      <c r="BN14" s="336">
        <v>1</v>
      </c>
      <c r="BO14" s="336"/>
      <c r="BP14" s="336">
        <v>1</v>
      </c>
      <c r="BQ14" s="336">
        <v>1</v>
      </c>
      <c r="BR14" s="336">
        <v>1</v>
      </c>
      <c r="BS14" s="336"/>
      <c r="BT14" s="336"/>
      <c r="BU14" s="336"/>
      <c r="BV14" s="336"/>
      <c r="BW14" s="336"/>
      <c r="BX14" s="336"/>
      <c r="BY14" s="336"/>
      <c r="BZ14" s="336"/>
      <c r="CA14" s="336"/>
      <c r="CB14" s="336"/>
      <c r="CC14" s="336"/>
      <c r="CD14" s="336"/>
      <c r="CE14" s="336"/>
      <c r="CF14" s="336"/>
      <c r="CG14" s="336"/>
      <c r="CH14" s="336"/>
      <c r="CI14" s="336"/>
      <c r="CJ14" s="336"/>
      <c r="CK14" s="336"/>
      <c r="CL14" s="336"/>
      <c r="CM14" s="336"/>
      <c r="CN14" s="336"/>
      <c r="CO14" s="336"/>
      <c r="CP14" s="336"/>
      <c r="CQ14" s="336"/>
      <c r="CR14" s="336"/>
      <c r="CS14" s="336"/>
      <c r="CT14" s="336"/>
      <c r="CU14" s="336"/>
      <c r="CV14" s="336"/>
      <c r="CW14" s="336"/>
      <c r="CX14" s="336"/>
      <c r="CY14" s="336"/>
      <c r="CZ14" s="336"/>
      <c r="DA14" s="336"/>
      <c r="DB14" s="336"/>
      <c r="DC14" s="336"/>
      <c r="DD14" s="336"/>
      <c r="DE14" s="336"/>
      <c r="DF14" s="336"/>
      <c r="DG14" s="336"/>
      <c r="DH14" s="336"/>
      <c r="DI14" s="336"/>
      <c r="DJ14" s="336"/>
      <c r="DK14" s="336"/>
      <c r="DL14" s="336"/>
      <c r="DM14" s="336"/>
      <c r="DN14" s="336"/>
      <c r="DO14" s="336"/>
      <c r="DP14" s="336"/>
      <c r="DQ14" s="336"/>
      <c r="DR14" s="336"/>
      <c r="DS14" s="336"/>
      <c r="DT14" s="336"/>
      <c r="DU14" s="336"/>
      <c r="DW14" s="336">
        <f t="shared" si="19"/>
        <v>0</v>
      </c>
      <c r="DX14" s="336">
        <f t="shared" si="20"/>
        <v>15</v>
      </c>
      <c r="DY14" s="336">
        <f t="shared" si="21"/>
        <v>0</v>
      </c>
      <c r="DZ14" s="336">
        <f t="shared" si="22"/>
        <v>0</v>
      </c>
      <c r="EA14" s="336">
        <f t="shared" si="23"/>
        <v>15</v>
      </c>
      <c r="EB14" s="336">
        <f t="shared" si="24"/>
        <v>15</v>
      </c>
      <c r="EC14" s="336">
        <f t="shared" si="25"/>
        <v>0</v>
      </c>
      <c r="ED14" s="336">
        <f t="shared" si="26"/>
        <v>0</v>
      </c>
      <c r="EE14" s="336">
        <f t="shared" si="27"/>
        <v>0</v>
      </c>
      <c r="EF14" s="336">
        <f t="shared" si="28"/>
        <v>15</v>
      </c>
      <c r="EG14" s="336">
        <f t="shared" si="29"/>
        <v>0</v>
      </c>
      <c r="EH14" s="336">
        <f t="shared" si="30"/>
        <v>15</v>
      </c>
      <c r="EI14" s="336">
        <f t="shared" si="31"/>
        <v>15</v>
      </c>
      <c r="EJ14" s="336">
        <f t="shared" si="32"/>
        <v>15</v>
      </c>
      <c r="EK14" s="336">
        <f t="shared" si="33"/>
        <v>0</v>
      </c>
      <c r="EL14" s="336">
        <f t="shared" si="34"/>
        <v>0</v>
      </c>
      <c r="EM14" s="336">
        <f t="shared" si="35"/>
        <v>0</v>
      </c>
      <c r="EN14" s="336">
        <f t="shared" si="36"/>
        <v>0</v>
      </c>
      <c r="EO14" s="336">
        <f t="shared" si="37"/>
        <v>0</v>
      </c>
      <c r="EP14" s="336">
        <f t="shared" si="38"/>
        <v>0</v>
      </c>
      <c r="EQ14" s="336">
        <f t="shared" si="39"/>
        <v>0</v>
      </c>
      <c r="ER14" s="336">
        <f t="shared" si="40"/>
        <v>0</v>
      </c>
      <c r="ES14" s="336">
        <f t="shared" si="41"/>
        <v>0</v>
      </c>
      <c r="ET14" s="336">
        <f t="shared" si="41"/>
        <v>0</v>
      </c>
      <c r="EU14" s="336">
        <f t="shared" si="42"/>
        <v>0</v>
      </c>
      <c r="EV14" s="336">
        <f t="shared" si="43"/>
        <v>0</v>
      </c>
      <c r="EW14" s="336">
        <f t="shared" si="44"/>
        <v>0</v>
      </c>
      <c r="EX14" s="336">
        <f t="shared" si="45"/>
        <v>0</v>
      </c>
      <c r="EY14" s="336">
        <f t="shared" si="46"/>
        <v>0</v>
      </c>
      <c r="EZ14" s="336">
        <f t="shared" si="47"/>
        <v>0</v>
      </c>
      <c r="FA14" s="336">
        <f t="shared" si="48"/>
        <v>0</v>
      </c>
      <c r="FB14" s="336">
        <f t="shared" si="49"/>
        <v>0</v>
      </c>
      <c r="FC14" s="336">
        <f t="shared" si="50"/>
        <v>0</v>
      </c>
      <c r="FD14" s="336">
        <f t="shared" si="51"/>
        <v>0</v>
      </c>
      <c r="FE14" s="336">
        <f t="shared" si="52"/>
        <v>0</v>
      </c>
      <c r="FF14" s="336">
        <f t="shared" si="53"/>
        <v>0</v>
      </c>
      <c r="FG14" s="336">
        <f t="shared" si="54"/>
        <v>0</v>
      </c>
      <c r="FH14" s="336">
        <f t="shared" si="55"/>
        <v>0</v>
      </c>
      <c r="FI14" s="336">
        <f t="shared" si="56"/>
        <v>0</v>
      </c>
      <c r="FJ14" s="336">
        <f t="shared" si="57"/>
        <v>0</v>
      </c>
      <c r="FK14" s="336">
        <f t="shared" si="58"/>
        <v>0</v>
      </c>
      <c r="FL14" s="336">
        <f t="shared" si="59"/>
        <v>0</v>
      </c>
      <c r="FM14" s="336">
        <f t="shared" si="60"/>
        <v>0</v>
      </c>
      <c r="FN14" s="336">
        <f t="shared" si="61"/>
        <v>0</v>
      </c>
      <c r="FO14" s="336">
        <f t="shared" si="62"/>
        <v>0</v>
      </c>
      <c r="FP14" s="336">
        <f t="shared" si="63"/>
        <v>0</v>
      </c>
      <c r="FQ14" s="336">
        <f t="shared" si="64"/>
        <v>0</v>
      </c>
      <c r="FR14" s="336">
        <f t="shared" si="65"/>
        <v>0</v>
      </c>
      <c r="FS14" s="336">
        <f t="shared" si="66"/>
        <v>0</v>
      </c>
      <c r="FT14" s="336">
        <f t="shared" si="67"/>
        <v>0</v>
      </c>
      <c r="FU14" s="336">
        <f t="shared" si="89"/>
        <v>0</v>
      </c>
      <c r="FV14" s="336">
        <f t="shared" si="90"/>
        <v>0</v>
      </c>
      <c r="FW14" s="336">
        <f t="shared" si="91"/>
        <v>0</v>
      </c>
      <c r="FX14" s="336">
        <f t="shared" si="92"/>
        <v>0</v>
      </c>
      <c r="FY14" s="336">
        <f t="shared" si="68"/>
        <v>0</v>
      </c>
      <c r="FZ14" s="336">
        <f t="shared" si="69"/>
        <v>0</v>
      </c>
      <c r="GA14" s="336">
        <f t="shared" si="70"/>
        <v>0</v>
      </c>
      <c r="GB14" s="336">
        <f t="shared" si="71"/>
        <v>0</v>
      </c>
      <c r="GC14" s="336">
        <f t="shared" si="72"/>
        <v>0</v>
      </c>
      <c r="GD14" s="336">
        <f t="shared" si="73"/>
        <v>0</v>
      </c>
      <c r="GE14" s="336">
        <f t="shared" si="74"/>
        <v>0</v>
      </c>
      <c r="GF14" s="336">
        <f t="shared" si="75"/>
        <v>0</v>
      </c>
      <c r="GG14" s="336">
        <f t="shared" si="76"/>
        <v>0</v>
      </c>
      <c r="GH14" s="336">
        <f t="shared" si="77"/>
        <v>0</v>
      </c>
      <c r="GI14" s="336">
        <f t="shared" si="78"/>
        <v>0</v>
      </c>
      <c r="GJ14" s="336">
        <f t="shared" si="79"/>
        <v>0</v>
      </c>
      <c r="GK14" s="336">
        <f t="shared" si="80"/>
        <v>0</v>
      </c>
      <c r="GL14" s="336">
        <f t="shared" si="93"/>
        <v>0</v>
      </c>
      <c r="GM14" s="336">
        <f t="shared" si="81"/>
        <v>0</v>
      </c>
    </row>
    <row r="15" spans="1:195" ht="20.100000000000001" customHeight="1">
      <c r="A15" s="337">
        <f t="shared" si="94"/>
        <v>5</v>
      </c>
      <c r="B15" s="337" t="s">
        <v>505</v>
      </c>
      <c r="C15" s="337" t="str">
        <f t="shared" si="0"/>
        <v>PMCC-1</v>
      </c>
      <c r="D15" s="372" t="s">
        <v>498</v>
      </c>
      <c r="E15" s="500" t="s">
        <v>345</v>
      </c>
      <c r="F15" s="337" t="s">
        <v>28</v>
      </c>
      <c r="G15" s="337" t="s">
        <v>350</v>
      </c>
      <c r="H15" s="396">
        <v>0.37</v>
      </c>
      <c r="I15" s="337" t="s">
        <v>330</v>
      </c>
      <c r="J15" s="337" t="s">
        <v>331</v>
      </c>
      <c r="K15" s="349">
        <v>400</v>
      </c>
      <c r="L15" s="343">
        <v>0.73</v>
      </c>
      <c r="M15" s="350">
        <v>0.82499999999999996</v>
      </c>
      <c r="N15" s="342">
        <f t="shared" si="1"/>
        <v>0.88678234143133383</v>
      </c>
      <c r="O15" s="342">
        <f t="shared" si="2"/>
        <v>5.3206940485880025</v>
      </c>
      <c r="P15" s="343">
        <f t="shared" si="3"/>
        <v>0.2</v>
      </c>
      <c r="Q15" s="350">
        <v>65</v>
      </c>
      <c r="R15" s="350">
        <v>0</v>
      </c>
      <c r="S15" s="350">
        <f t="shared" si="4"/>
        <v>0</v>
      </c>
      <c r="T15" s="343" t="s">
        <v>131</v>
      </c>
      <c r="U15" s="350" t="s">
        <v>333</v>
      </c>
      <c r="V15" s="343">
        <v>4</v>
      </c>
      <c r="W15" s="343" t="str">
        <f t="shared" si="5"/>
        <v>3C X 4</v>
      </c>
      <c r="X15" s="343" t="str">
        <f t="shared" si="6"/>
        <v>3C X 4+PE</v>
      </c>
      <c r="Y15" s="343" t="s">
        <v>358</v>
      </c>
      <c r="Z15" s="344">
        <f>IF(T15="AIR",VLOOKUP(W15,'Catalogue Aluminium'!$B$9:$G$93,2,FALSE),IF(T15="GROUND",VLOOKUP(W15,'Catalogue Aluminium'!$B$9:$G$93,3,FALSE),IF(T15="DUCT",VLOOKUP(W15,'Catalogue Aluminium'!$B$9:$G$93,4,FALSE),IF(T15="TRENCH",VLOOKUP(W15,'Catalogue Aluminium'!$B$9:$G$93,2,FALSE)))))</f>
        <v>38</v>
      </c>
      <c r="AA15" s="345">
        <f>VLOOKUP(W15,'Catalogue Aluminium'!$B$9:$G$93,5,FALSE)</f>
        <v>5.9</v>
      </c>
      <c r="AB15" s="345">
        <f>VLOOKUP(W15,'Catalogue Aluminium'!$B$9:$G$93,6,FALSE)</f>
        <v>9.4700000000000006E-2</v>
      </c>
      <c r="AC15" s="401">
        <f>26+3</f>
        <v>29</v>
      </c>
      <c r="AD15" s="401">
        <f>40+50+38+50+17+(27+42+51)</f>
        <v>315</v>
      </c>
      <c r="AE15" s="401">
        <f t="shared" si="82"/>
        <v>38</v>
      </c>
      <c r="AF15" s="401">
        <v>8</v>
      </c>
      <c r="AG15" s="401">
        <f t="shared" si="83"/>
        <v>39</v>
      </c>
      <c r="AH15" s="347">
        <f t="shared" si="84"/>
        <v>429</v>
      </c>
      <c r="AI15" s="344">
        <f>IF(T15="AIR",'Catalogue Aluminium'!$K$9,IF(T15="TRENCH",'Catalogue Aluminium'!$K$12,"NA"))</f>
        <v>0.89</v>
      </c>
      <c r="AJ15" s="342">
        <f>IF(T15="Air",(IF(U15="1C",'Catalogue Aluminium'!$L$9,'Catalogue Aluminium'!$M$9)),IF(T15="DUCT",(IF($U15="1C",'Catalogue Aluminium'!$L$10,'Catalogue Aluminium'!$M$10)),IF(T15="GROUND",(IF($U15="1C",'Catalogue Aluminium'!$L$11,'Catalogue Aluminium'!$M$11)),IF(T15="TRENCH",(IF($U15="1C",'Catalogue Aluminium'!$L$12,'Catalogue Aluminium'!$M$12))))))</f>
        <v>0.66</v>
      </c>
      <c r="AK15" s="344" t="str">
        <f>IF(T15="Air",'Catalogue Aluminium'!$N$9,IF(T15="GROUND",'Catalogue Aluminium'!$N$10,IF(T15="DUCT",'Catalogue Aluminium'!$N$11,IF(T15="TRENCH",'Catalogue Aluminium'!$N$12,"NA"))))</f>
        <v>NA</v>
      </c>
      <c r="AL15" s="344" t="str">
        <f>IF(T15="Air",(IF(U15="1C",'Catalogue Aluminium'!$O$9,'Catalogue Aluminium'!$P$9)),IF(T15="DUCT",(IF($U15="1C",'Catalogue Aluminium'!$O$10,'Catalogue Aluminium'!$P$10)),IF(T15="GROUND",(IF($U15="1C",'Catalogue Aluminium'!$O$11,'Catalogue Aluminium'!$P$11)),IF(T15="TRENCH",(IF($U15="1C",'Catalogue Aluminium'!$O$12,'Catalogue Aluminium'!$P$12))))))</f>
        <v>NA</v>
      </c>
      <c r="AM15" s="344" t="str">
        <f>IF(T15="AIR","NA",IF(T15="TRENCH","NA",IF(T15="DUCT",IF(U15="1C",VLOOKUP(V15,'Catalogue Aluminium'!$Q$9:$S$28,2,FALSE),VLOOKUP(V15,'Catalogue Aluminium'!$Q$9:$S$28,3)),IF(T15="GROUND",IF(U15="1C",VLOOKUP(V15,'Catalogue Aluminium'!$Q$9:$S$28,2,FALSE),VLOOKUP(V15,'Catalogue Aluminium'!$Q$9:$S$28,3))))))</f>
        <v>NA</v>
      </c>
      <c r="AN15" s="351">
        <f t="shared" si="8"/>
        <v>0.58740000000000003</v>
      </c>
      <c r="AO15" s="350">
        <f t="shared" si="9"/>
        <v>22.321200000000001</v>
      </c>
      <c r="AP15" s="349">
        <f t="shared" si="10"/>
        <v>1</v>
      </c>
      <c r="AQ15" s="350" t="str">
        <f t="shared" si="11"/>
        <v>YES</v>
      </c>
      <c r="AR15" s="351">
        <f t="shared" si="12"/>
        <v>0.72015759612014385</v>
      </c>
      <c r="AS15" s="343" t="str">
        <f t="shared" si="13"/>
        <v>YES</v>
      </c>
      <c r="AT15" s="351">
        <f t="shared" si="14"/>
        <v>1.2580034546552989</v>
      </c>
      <c r="AU15" s="343" t="str">
        <f t="shared" si="15"/>
        <v>YES</v>
      </c>
      <c r="AV15" s="354" t="str">
        <f t="shared" si="16"/>
        <v>1R x 0.6/1kV x 3C x 4 Sqmm</v>
      </c>
      <c r="AW15" s="354" t="str">
        <f t="shared" si="17"/>
        <v>1R x 0.6/1kV x 3C x 4+PE Sqmm</v>
      </c>
      <c r="AX15" s="343">
        <f t="shared" si="85"/>
        <v>429</v>
      </c>
      <c r="AY15" s="355"/>
      <c r="AZ15" s="355">
        <f t="shared" si="86"/>
        <v>2</v>
      </c>
      <c r="BA15" s="356" t="str">
        <f t="shared" si="87"/>
        <v>ACDEE1E2E3E4E5</v>
      </c>
      <c r="BB15" s="501">
        <f>VLOOKUP(W15,'Catalogue Aluminium'!$B$9:$H$93,7,FALSE)</f>
        <v>15</v>
      </c>
      <c r="BC15" s="328">
        <f t="shared" si="88"/>
        <v>15</v>
      </c>
      <c r="BE15" s="336"/>
      <c r="BF15" s="336">
        <v>1</v>
      </c>
      <c r="BG15" s="336"/>
      <c r="BH15" s="336"/>
      <c r="BI15" s="336">
        <v>1</v>
      </c>
      <c r="BJ15" s="336">
        <v>1</v>
      </c>
      <c r="BK15" s="336"/>
      <c r="BL15" s="336"/>
      <c r="BM15" s="336"/>
      <c r="BN15" s="336">
        <v>1</v>
      </c>
      <c r="BO15" s="336"/>
      <c r="BP15" s="336">
        <v>1</v>
      </c>
      <c r="BQ15" s="336">
        <v>1</v>
      </c>
      <c r="BR15" s="336">
        <v>1</v>
      </c>
      <c r="BS15" s="336">
        <v>1</v>
      </c>
      <c r="BT15" s="336">
        <v>1</v>
      </c>
      <c r="BU15" s="336"/>
      <c r="BV15" s="336"/>
      <c r="BW15" s="336"/>
      <c r="BX15" s="336"/>
      <c r="BY15" s="336"/>
      <c r="BZ15" s="336"/>
      <c r="CA15" s="336"/>
      <c r="CB15" s="336"/>
      <c r="CC15" s="336"/>
      <c r="CD15" s="336"/>
      <c r="CE15" s="336"/>
      <c r="CF15" s="336"/>
      <c r="CG15" s="336"/>
      <c r="CH15" s="336"/>
      <c r="CI15" s="336"/>
      <c r="CJ15" s="336"/>
      <c r="CK15" s="336"/>
      <c r="CL15" s="336"/>
      <c r="CM15" s="336"/>
      <c r="CN15" s="336"/>
      <c r="CO15" s="336"/>
      <c r="CP15" s="336"/>
      <c r="CQ15" s="336"/>
      <c r="CR15" s="336"/>
      <c r="CS15" s="336"/>
      <c r="CT15" s="336"/>
      <c r="CU15" s="336"/>
      <c r="CV15" s="336"/>
      <c r="CW15" s="336"/>
      <c r="CX15" s="336"/>
      <c r="CY15" s="336"/>
      <c r="CZ15" s="336"/>
      <c r="DA15" s="336"/>
      <c r="DB15" s="336"/>
      <c r="DC15" s="336"/>
      <c r="DD15" s="336"/>
      <c r="DE15" s="336"/>
      <c r="DF15" s="336"/>
      <c r="DG15" s="336"/>
      <c r="DH15" s="336"/>
      <c r="DI15" s="336"/>
      <c r="DJ15" s="336"/>
      <c r="DK15" s="336"/>
      <c r="DL15" s="336"/>
      <c r="DM15" s="336"/>
      <c r="DN15" s="336"/>
      <c r="DO15" s="336"/>
      <c r="DP15" s="336"/>
      <c r="DQ15" s="336"/>
      <c r="DR15" s="336"/>
      <c r="DS15" s="336"/>
      <c r="DT15" s="336"/>
      <c r="DU15" s="336"/>
      <c r="DW15" s="336">
        <f t="shared" si="19"/>
        <v>0</v>
      </c>
      <c r="DX15" s="336">
        <f t="shared" si="20"/>
        <v>15</v>
      </c>
      <c r="DY15" s="336">
        <f t="shared" si="21"/>
        <v>0</v>
      </c>
      <c r="DZ15" s="336">
        <f t="shared" si="22"/>
        <v>0</v>
      </c>
      <c r="EA15" s="336">
        <f t="shared" si="23"/>
        <v>15</v>
      </c>
      <c r="EB15" s="336">
        <f t="shared" si="24"/>
        <v>15</v>
      </c>
      <c r="EC15" s="336">
        <f t="shared" si="25"/>
        <v>0</v>
      </c>
      <c r="ED15" s="336">
        <f t="shared" si="26"/>
        <v>0</v>
      </c>
      <c r="EE15" s="336">
        <f t="shared" si="27"/>
        <v>0</v>
      </c>
      <c r="EF15" s="336">
        <f t="shared" si="28"/>
        <v>15</v>
      </c>
      <c r="EG15" s="336">
        <f t="shared" si="29"/>
        <v>0</v>
      </c>
      <c r="EH15" s="336">
        <f t="shared" si="30"/>
        <v>15</v>
      </c>
      <c r="EI15" s="336">
        <f t="shared" si="31"/>
        <v>15</v>
      </c>
      <c r="EJ15" s="336">
        <f t="shared" si="32"/>
        <v>15</v>
      </c>
      <c r="EK15" s="336">
        <f t="shared" si="33"/>
        <v>15</v>
      </c>
      <c r="EL15" s="336">
        <f t="shared" si="34"/>
        <v>15</v>
      </c>
      <c r="EM15" s="336">
        <f t="shared" si="35"/>
        <v>0</v>
      </c>
      <c r="EN15" s="336">
        <f t="shared" si="36"/>
        <v>0</v>
      </c>
      <c r="EO15" s="336">
        <f t="shared" si="37"/>
        <v>0</v>
      </c>
      <c r="EP15" s="336">
        <f t="shared" si="38"/>
        <v>0</v>
      </c>
      <c r="EQ15" s="336">
        <f t="shared" si="39"/>
        <v>0</v>
      </c>
      <c r="ER15" s="336">
        <f t="shared" si="40"/>
        <v>0</v>
      </c>
      <c r="ES15" s="336">
        <f t="shared" si="41"/>
        <v>0</v>
      </c>
      <c r="ET15" s="336">
        <f t="shared" si="41"/>
        <v>0</v>
      </c>
      <c r="EU15" s="336">
        <f t="shared" si="42"/>
        <v>0</v>
      </c>
      <c r="EV15" s="336">
        <f t="shared" si="43"/>
        <v>0</v>
      </c>
      <c r="EW15" s="336">
        <f t="shared" si="44"/>
        <v>0</v>
      </c>
      <c r="EX15" s="336">
        <f t="shared" si="45"/>
        <v>0</v>
      </c>
      <c r="EY15" s="336">
        <f t="shared" si="46"/>
        <v>0</v>
      </c>
      <c r="EZ15" s="336">
        <f t="shared" si="47"/>
        <v>0</v>
      </c>
      <c r="FA15" s="336">
        <f t="shared" si="48"/>
        <v>0</v>
      </c>
      <c r="FB15" s="336">
        <f t="shared" si="49"/>
        <v>0</v>
      </c>
      <c r="FC15" s="336">
        <f t="shared" si="50"/>
        <v>0</v>
      </c>
      <c r="FD15" s="336">
        <f t="shared" si="51"/>
        <v>0</v>
      </c>
      <c r="FE15" s="336">
        <f t="shared" si="52"/>
        <v>0</v>
      </c>
      <c r="FF15" s="336">
        <f t="shared" si="53"/>
        <v>0</v>
      </c>
      <c r="FG15" s="336">
        <f t="shared" si="54"/>
        <v>0</v>
      </c>
      <c r="FH15" s="336">
        <f t="shared" si="55"/>
        <v>0</v>
      </c>
      <c r="FI15" s="336">
        <f t="shared" si="56"/>
        <v>0</v>
      </c>
      <c r="FJ15" s="336">
        <f t="shared" si="57"/>
        <v>0</v>
      </c>
      <c r="FK15" s="336">
        <f t="shared" si="58"/>
        <v>0</v>
      </c>
      <c r="FL15" s="336">
        <f t="shared" si="59"/>
        <v>0</v>
      </c>
      <c r="FM15" s="336">
        <f t="shared" si="60"/>
        <v>0</v>
      </c>
      <c r="FN15" s="336">
        <f t="shared" si="61"/>
        <v>0</v>
      </c>
      <c r="FO15" s="336">
        <f t="shared" si="62"/>
        <v>0</v>
      </c>
      <c r="FP15" s="336">
        <f t="shared" si="63"/>
        <v>0</v>
      </c>
      <c r="FQ15" s="336">
        <f t="shared" si="64"/>
        <v>0</v>
      </c>
      <c r="FR15" s="336">
        <f t="shared" si="65"/>
        <v>0</v>
      </c>
      <c r="FS15" s="336">
        <f t="shared" si="66"/>
        <v>0</v>
      </c>
      <c r="FT15" s="336">
        <f t="shared" si="67"/>
        <v>0</v>
      </c>
      <c r="FU15" s="336">
        <f t="shared" si="89"/>
        <v>0</v>
      </c>
      <c r="FV15" s="336">
        <f t="shared" si="90"/>
        <v>0</v>
      </c>
      <c r="FW15" s="336">
        <f t="shared" si="91"/>
        <v>0</v>
      </c>
      <c r="FX15" s="336">
        <f t="shared" si="92"/>
        <v>0</v>
      </c>
      <c r="FY15" s="336">
        <f t="shared" si="68"/>
        <v>0</v>
      </c>
      <c r="FZ15" s="336">
        <f t="shared" si="69"/>
        <v>0</v>
      </c>
      <c r="GA15" s="336">
        <f t="shared" si="70"/>
        <v>0</v>
      </c>
      <c r="GB15" s="336">
        <f t="shared" si="71"/>
        <v>0</v>
      </c>
      <c r="GC15" s="336">
        <f t="shared" si="72"/>
        <v>0</v>
      </c>
      <c r="GD15" s="336">
        <f t="shared" si="73"/>
        <v>0</v>
      </c>
      <c r="GE15" s="336">
        <f t="shared" si="74"/>
        <v>0</v>
      </c>
      <c r="GF15" s="336">
        <f t="shared" si="75"/>
        <v>0</v>
      </c>
      <c r="GG15" s="336">
        <f t="shared" si="76"/>
        <v>0</v>
      </c>
      <c r="GH15" s="336">
        <f t="shared" si="77"/>
        <v>0</v>
      </c>
      <c r="GI15" s="336">
        <f t="shared" si="78"/>
        <v>0</v>
      </c>
      <c r="GJ15" s="336">
        <f t="shared" si="79"/>
        <v>0</v>
      </c>
      <c r="GK15" s="336">
        <f t="shared" si="80"/>
        <v>0</v>
      </c>
      <c r="GL15" s="336">
        <f t="shared" si="93"/>
        <v>0</v>
      </c>
      <c r="GM15" s="336">
        <f t="shared" si="81"/>
        <v>0</v>
      </c>
    </row>
    <row r="16" spans="1:195" ht="20.100000000000001" customHeight="1">
      <c r="A16" s="337">
        <f t="shared" si="94"/>
        <v>6</v>
      </c>
      <c r="B16" s="337" t="s">
        <v>506</v>
      </c>
      <c r="C16" s="337" t="str">
        <f t="shared" si="0"/>
        <v>PMCC-1</v>
      </c>
      <c r="D16" s="372" t="s">
        <v>500</v>
      </c>
      <c r="E16" s="500" t="s">
        <v>345</v>
      </c>
      <c r="F16" s="337" t="s">
        <v>29</v>
      </c>
      <c r="G16" s="337" t="s">
        <v>350</v>
      </c>
      <c r="H16" s="396">
        <v>0.37</v>
      </c>
      <c r="I16" s="337" t="s">
        <v>330</v>
      </c>
      <c r="J16" s="337" t="s">
        <v>331</v>
      </c>
      <c r="K16" s="349">
        <v>400</v>
      </c>
      <c r="L16" s="343">
        <v>0.73</v>
      </c>
      <c r="M16" s="350">
        <v>0.82499999999999996</v>
      </c>
      <c r="N16" s="342">
        <f t="shared" si="1"/>
        <v>0.88678234143133383</v>
      </c>
      <c r="O16" s="342">
        <f t="shared" si="2"/>
        <v>5.3206940485880025</v>
      </c>
      <c r="P16" s="343">
        <f t="shared" si="3"/>
        <v>0.2</v>
      </c>
      <c r="Q16" s="350">
        <v>65</v>
      </c>
      <c r="R16" s="350">
        <v>0</v>
      </c>
      <c r="S16" s="350">
        <f t="shared" si="4"/>
        <v>0</v>
      </c>
      <c r="T16" s="343" t="s">
        <v>131</v>
      </c>
      <c r="U16" s="350" t="s">
        <v>333</v>
      </c>
      <c r="V16" s="343">
        <v>4</v>
      </c>
      <c r="W16" s="343" t="str">
        <f t="shared" si="5"/>
        <v>3C X 4</v>
      </c>
      <c r="X16" s="343" t="str">
        <f t="shared" si="6"/>
        <v>3C X 4+PE</v>
      </c>
      <c r="Y16" s="343" t="s">
        <v>358</v>
      </c>
      <c r="Z16" s="344">
        <f>IF(T16="AIR",VLOOKUP(W16,'Catalogue Aluminium'!$B$9:$G$93,2,FALSE),IF(T16="GROUND",VLOOKUP(W16,'Catalogue Aluminium'!$B$9:$G$93,3,FALSE),IF(T16="DUCT",VLOOKUP(W16,'Catalogue Aluminium'!$B$9:$G$93,4,FALSE),IF(T16="TRENCH",VLOOKUP(W16,'Catalogue Aluminium'!$B$9:$G$93,2,FALSE)))))</f>
        <v>38</v>
      </c>
      <c r="AA16" s="345">
        <f>VLOOKUP(W16,'Catalogue Aluminium'!$B$9:$G$93,5,FALSE)</f>
        <v>5.9</v>
      </c>
      <c r="AB16" s="345">
        <f>VLOOKUP(W16,'Catalogue Aluminium'!$B$9:$G$93,6,FALSE)</f>
        <v>9.4700000000000006E-2</v>
      </c>
      <c r="AC16" s="401">
        <f>35+3</f>
        <v>38</v>
      </c>
      <c r="AD16" s="401">
        <f>40+50+38+50+17+(27+30+9+5)</f>
        <v>266</v>
      </c>
      <c r="AE16" s="401">
        <f t="shared" si="82"/>
        <v>38</v>
      </c>
      <c r="AF16" s="401">
        <v>8</v>
      </c>
      <c r="AG16" s="401">
        <f t="shared" si="83"/>
        <v>35</v>
      </c>
      <c r="AH16" s="347">
        <f t="shared" si="84"/>
        <v>385</v>
      </c>
      <c r="AI16" s="344">
        <f>IF(T16="AIR",'Catalogue Aluminium'!$K$9,IF(T16="TRENCH",'Catalogue Aluminium'!$K$12,"NA"))</f>
        <v>0.89</v>
      </c>
      <c r="AJ16" s="342">
        <f>IF(T16="Air",(IF(U16="1C",'Catalogue Aluminium'!$L$9,'Catalogue Aluminium'!$M$9)),IF(T16="DUCT",(IF($U16="1C",'Catalogue Aluminium'!$L$10,'Catalogue Aluminium'!$M$10)),IF(T16="GROUND",(IF($U16="1C",'Catalogue Aluminium'!$L$11,'Catalogue Aluminium'!$M$11)),IF(T16="TRENCH",(IF($U16="1C",'Catalogue Aluminium'!$L$12,'Catalogue Aluminium'!$M$12))))))</f>
        <v>0.66</v>
      </c>
      <c r="AK16" s="344" t="str">
        <f>IF(T16="Air",'Catalogue Aluminium'!$N$9,IF(T16="GROUND",'Catalogue Aluminium'!$N$10,IF(T16="DUCT",'Catalogue Aluminium'!$N$11,IF(T16="TRENCH",'Catalogue Aluminium'!$N$12,"NA"))))</f>
        <v>NA</v>
      </c>
      <c r="AL16" s="344" t="str">
        <f>IF(T16="Air",(IF(U16="1C",'Catalogue Aluminium'!$O$9,'Catalogue Aluminium'!$P$9)),IF(T16="DUCT",(IF($U16="1C",'Catalogue Aluminium'!$O$10,'Catalogue Aluminium'!$P$10)),IF(T16="GROUND",(IF($U16="1C",'Catalogue Aluminium'!$O$11,'Catalogue Aluminium'!$P$11)),IF(T16="TRENCH",(IF($U16="1C",'Catalogue Aluminium'!$O$12,'Catalogue Aluminium'!$P$12))))))</f>
        <v>NA</v>
      </c>
      <c r="AM16" s="344" t="str">
        <f>IF(T16="AIR","NA",IF(T16="TRENCH","NA",IF(T16="DUCT",IF(U16="1C",VLOOKUP(V16,'Catalogue Aluminium'!$Q$9:$S$28,2,FALSE),VLOOKUP(V16,'Catalogue Aluminium'!$Q$9:$S$28,3)),IF(T16="GROUND",IF(U16="1C",VLOOKUP(V16,'Catalogue Aluminium'!$Q$9:$S$28,2,FALSE),VLOOKUP(V16,'Catalogue Aluminium'!$Q$9:$S$28,3))))))</f>
        <v>NA</v>
      </c>
      <c r="AN16" s="351">
        <f t="shared" si="8"/>
        <v>0.58740000000000003</v>
      </c>
      <c r="AO16" s="350">
        <f t="shared" si="9"/>
        <v>22.321200000000001</v>
      </c>
      <c r="AP16" s="349">
        <f t="shared" si="10"/>
        <v>1</v>
      </c>
      <c r="AQ16" s="350" t="str">
        <f t="shared" si="11"/>
        <v>YES</v>
      </c>
      <c r="AR16" s="351">
        <f t="shared" si="12"/>
        <v>0.64629527856935987</v>
      </c>
      <c r="AS16" s="343" t="str">
        <f t="shared" si="13"/>
        <v>YES</v>
      </c>
      <c r="AT16" s="351">
        <f t="shared" si="14"/>
        <v>1.1289774593060373</v>
      </c>
      <c r="AU16" s="343" t="str">
        <f t="shared" si="15"/>
        <v>YES</v>
      </c>
      <c r="AV16" s="354" t="str">
        <f t="shared" si="16"/>
        <v>1R x 0.6/1kV x 3C x 4 Sqmm</v>
      </c>
      <c r="AW16" s="354" t="str">
        <f t="shared" si="17"/>
        <v>1R x 0.6/1kV x 3C x 4+PE Sqmm</v>
      </c>
      <c r="AX16" s="343">
        <f t="shared" si="85"/>
        <v>385</v>
      </c>
      <c r="AY16" s="355"/>
      <c r="AZ16" s="355">
        <f t="shared" si="86"/>
        <v>2</v>
      </c>
      <c r="BA16" s="356" t="str">
        <f t="shared" si="87"/>
        <v>ACDEE1E2E3</v>
      </c>
      <c r="BB16" s="501">
        <f>VLOOKUP(W16,'Catalogue Aluminium'!$B$9:$H$93,7,FALSE)</f>
        <v>15</v>
      </c>
      <c r="BC16" s="328">
        <f t="shared" si="88"/>
        <v>15</v>
      </c>
      <c r="BE16" s="336"/>
      <c r="BF16" s="336">
        <v>1</v>
      </c>
      <c r="BG16" s="336"/>
      <c r="BH16" s="336"/>
      <c r="BI16" s="336">
        <v>1</v>
      </c>
      <c r="BJ16" s="336">
        <v>1</v>
      </c>
      <c r="BK16" s="336"/>
      <c r="BL16" s="336"/>
      <c r="BM16" s="336"/>
      <c r="BN16" s="336">
        <v>1</v>
      </c>
      <c r="BO16" s="336"/>
      <c r="BP16" s="336">
        <v>1</v>
      </c>
      <c r="BQ16" s="336">
        <v>1</v>
      </c>
      <c r="BR16" s="336">
        <v>1</v>
      </c>
      <c r="BS16" s="336"/>
      <c r="BT16" s="336"/>
      <c r="BU16" s="336"/>
      <c r="BV16" s="336"/>
      <c r="BW16" s="336"/>
      <c r="BX16" s="336"/>
      <c r="BY16" s="336"/>
      <c r="BZ16" s="336"/>
      <c r="CA16" s="336"/>
      <c r="CB16" s="336"/>
      <c r="CC16" s="336"/>
      <c r="CD16" s="336"/>
      <c r="CE16" s="336"/>
      <c r="CF16" s="336"/>
      <c r="CG16" s="336"/>
      <c r="CH16" s="336"/>
      <c r="CI16" s="336"/>
      <c r="CJ16" s="336"/>
      <c r="CK16" s="336"/>
      <c r="CL16" s="336"/>
      <c r="CM16" s="336"/>
      <c r="CN16" s="336"/>
      <c r="CO16" s="336"/>
      <c r="CP16" s="336"/>
      <c r="CQ16" s="336"/>
      <c r="CR16" s="336"/>
      <c r="CS16" s="336"/>
      <c r="CT16" s="336"/>
      <c r="CU16" s="336"/>
      <c r="CV16" s="336"/>
      <c r="CW16" s="336"/>
      <c r="CX16" s="336"/>
      <c r="CY16" s="336"/>
      <c r="CZ16" s="336"/>
      <c r="DA16" s="336"/>
      <c r="DB16" s="336"/>
      <c r="DC16" s="336"/>
      <c r="DD16" s="336"/>
      <c r="DE16" s="336"/>
      <c r="DF16" s="336"/>
      <c r="DG16" s="336"/>
      <c r="DH16" s="336"/>
      <c r="DI16" s="336"/>
      <c r="DJ16" s="336"/>
      <c r="DK16" s="336"/>
      <c r="DL16" s="336"/>
      <c r="DM16" s="336"/>
      <c r="DN16" s="336"/>
      <c r="DO16" s="336"/>
      <c r="DP16" s="336"/>
      <c r="DQ16" s="336"/>
      <c r="DR16" s="336"/>
      <c r="DS16" s="336"/>
      <c r="DT16" s="336"/>
      <c r="DU16" s="336"/>
      <c r="DW16" s="336">
        <f t="shared" si="19"/>
        <v>0</v>
      </c>
      <c r="DX16" s="336">
        <f t="shared" si="20"/>
        <v>15</v>
      </c>
      <c r="DY16" s="336">
        <f t="shared" si="21"/>
        <v>0</v>
      </c>
      <c r="DZ16" s="336">
        <f t="shared" si="22"/>
        <v>0</v>
      </c>
      <c r="EA16" s="336">
        <f t="shared" si="23"/>
        <v>15</v>
      </c>
      <c r="EB16" s="336">
        <f t="shared" si="24"/>
        <v>15</v>
      </c>
      <c r="EC16" s="336">
        <f t="shared" si="25"/>
        <v>0</v>
      </c>
      <c r="ED16" s="336">
        <f t="shared" si="26"/>
        <v>0</v>
      </c>
      <c r="EE16" s="336">
        <f t="shared" si="27"/>
        <v>0</v>
      </c>
      <c r="EF16" s="336">
        <f t="shared" si="28"/>
        <v>15</v>
      </c>
      <c r="EG16" s="336">
        <f t="shared" si="29"/>
        <v>0</v>
      </c>
      <c r="EH16" s="336">
        <f t="shared" si="30"/>
        <v>15</v>
      </c>
      <c r="EI16" s="336">
        <f t="shared" si="31"/>
        <v>15</v>
      </c>
      <c r="EJ16" s="336">
        <f t="shared" si="32"/>
        <v>15</v>
      </c>
      <c r="EK16" s="336">
        <f t="shared" si="33"/>
        <v>0</v>
      </c>
      <c r="EL16" s="336">
        <f t="shared" si="34"/>
        <v>0</v>
      </c>
      <c r="EM16" s="336">
        <f t="shared" si="35"/>
        <v>0</v>
      </c>
      <c r="EN16" s="336">
        <f t="shared" si="36"/>
        <v>0</v>
      </c>
      <c r="EO16" s="336">
        <f t="shared" si="37"/>
        <v>0</v>
      </c>
      <c r="EP16" s="336">
        <f t="shared" si="38"/>
        <v>0</v>
      </c>
      <c r="EQ16" s="336">
        <f t="shared" si="39"/>
        <v>0</v>
      </c>
      <c r="ER16" s="336">
        <f t="shared" si="40"/>
        <v>0</v>
      </c>
      <c r="ES16" s="336">
        <f t="shared" si="41"/>
        <v>0</v>
      </c>
      <c r="ET16" s="336">
        <f t="shared" si="41"/>
        <v>0</v>
      </c>
      <c r="EU16" s="336">
        <f t="shared" si="42"/>
        <v>0</v>
      </c>
      <c r="EV16" s="336">
        <f t="shared" si="43"/>
        <v>0</v>
      </c>
      <c r="EW16" s="336">
        <f t="shared" si="44"/>
        <v>0</v>
      </c>
      <c r="EX16" s="336">
        <f t="shared" si="45"/>
        <v>0</v>
      </c>
      <c r="EY16" s="336">
        <f t="shared" si="46"/>
        <v>0</v>
      </c>
      <c r="EZ16" s="336">
        <f t="shared" si="47"/>
        <v>0</v>
      </c>
      <c r="FA16" s="336">
        <f t="shared" si="48"/>
        <v>0</v>
      </c>
      <c r="FB16" s="336">
        <f t="shared" si="49"/>
        <v>0</v>
      </c>
      <c r="FC16" s="336">
        <f t="shared" si="50"/>
        <v>0</v>
      </c>
      <c r="FD16" s="336">
        <f t="shared" si="51"/>
        <v>0</v>
      </c>
      <c r="FE16" s="336">
        <f t="shared" si="52"/>
        <v>0</v>
      </c>
      <c r="FF16" s="336">
        <f t="shared" si="53"/>
        <v>0</v>
      </c>
      <c r="FG16" s="336">
        <f t="shared" si="54"/>
        <v>0</v>
      </c>
      <c r="FH16" s="336">
        <f t="shared" si="55"/>
        <v>0</v>
      </c>
      <c r="FI16" s="336">
        <f t="shared" si="56"/>
        <v>0</v>
      </c>
      <c r="FJ16" s="336">
        <f t="shared" si="57"/>
        <v>0</v>
      </c>
      <c r="FK16" s="336">
        <f t="shared" si="58"/>
        <v>0</v>
      </c>
      <c r="FL16" s="336">
        <f t="shared" si="59"/>
        <v>0</v>
      </c>
      <c r="FM16" s="336">
        <f t="shared" si="60"/>
        <v>0</v>
      </c>
      <c r="FN16" s="336">
        <f t="shared" si="61"/>
        <v>0</v>
      </c>
      <c r="FO16" s="336">
        <f t="shared" si="62"/>
        <v>0</v>
      </c>
      <c r="FP16" s="336">
        <f t="shared" si="63"/>
        <v>0</v>
      </c>
      <c r="FQ16" s="336">
        <f t="shared" si="64"/>
        <v>0</v>
      </c>
      <c r="FR16" s="336">
        <f t="shared" si="65"/>
        <v>0</v>
      </c>
      <c r="FS16" s="336">
        <f t="shared" si="66"/>
        <v>0</v>
      </c>
      <c r="FT16" s="336">
        <f t="shared" si="67"/>
        <v>0</v>
      </c>
      <c r="FU16" s="336">
        <f t="shared" si="89"/>
        <v>0</v>
      </c>
      <c r="FV16" s="336">
        <f t="shared" si="90"/>
        <v>0</v>
      </c>
      <c r="FW16" s="336">
        <f t="shared" si="91"/>
        <v>0</v>
      </c>
      <c r="FX16" s="336">
        <f t="shared" si="92"/>
        <v>0</v>
      </c>
      <c r="FY16" s="336">
        <f t="shared" si="68"/>
        <v>0</v>
      </c>
      <c r="FZ16" s="336">
        <f t="shared" si="69"/>
        <v>0</v>
      </c>
      <c r="GA16" s="336">
        <f t="shared" si="70"/>
        <v>0</v>
      </c>
      <c r="GB16" s="336">
        <f t="shared" si="71"/>
        <v>0</v>
      </c>
      <c r="GC16" s="336">
        <f t="shared" si="72"/>
        <v>0</v>
      </c>
      <c r="GD16" s="336">
        <f t="shared" si="73"/>
        <v>0</v>
      </c>
      <c r="GE16" s="336">
        <f t="shared" si="74"/>
        <v>0</v>
      </c>
      <c r="GF16" s="336">
        <f t="shared" si="75"/>
        <v>0</v>
      </c>
      <c r="GG16" s="336">
        <f t="shared" si="76"/>
        <v>0</v>
      </c>
      <c r="GH16" s="336">
        <f t="shared" si="77"/>
        <v>0</v>
      </c>
      <c r="GI16" s="336">
        <f t="shared" si="78"/>
        <v>0</v>
      </c>
      <c r="GJ16" s="336">
        <f t="shared" si="79"/>
        <v>0</v>
      </c>
      <c r="GK16" s="336">
        <f t="shared" si="80"/>
        <v>0</v>
      </c>
      <c r="GL16" s="336">
        <f t="shared" si="93"/>
        <v>0</v>
      </c>
      <c r="GM16" s="336">
        <f t="shared" si="81"/>
        <v>0</v>
      </c>
    </row>
    <row r="17" spans="1:195" ht="20.100000000000001" customHeight="1">
      <c r="A17" s="337">
        <f t="shared" si="94"/>
        <v>7</v>
      </c>
      <c r="B17" s="337" t="s">
        <v>507</v>
      </c>
      <c r="C17" s="337" t="str">
        <f t="shared" si="0"/>
        <v>PMCC-1</v>
      </c>
      <c r="D17" s="372" t="s">
        <v>502</v>
      </c>
      <c r="E17" s="500" t="s">
        <v>345</v>
      </c>
      <c r="F17" s="337" t="s">
        <v>28</v>
      </c>
      <c r="G17" s="337" t="s">
        <v>350</v>
      </c>
      <c r="H17" s="396">
        <v>0.37</v>
      </c>
      <c r="I17" s="337" t="s">
        <v>330</v>
      </c>
      <c r="J17" s="337" t="s">
        <v>331</v>
      </c>
      <c r="K17" s="349">
        <v>400</v>
      </c>
      <c r="L17" s="343">
        <v>0.73</v>
      </c>
      <c r="M17" s="350">
        <v>0.82499999999999996</v>
      </c>
      <c r="N17" s="342">
        <f t="shared" si="1"/>
        <v>0.88678234143133383</v>
      </c>
      <c r="O17" s="342">
        <f t="shared" si="2"/>
        <v>5.3206940485880025</v>
      </c>
      <c r="P17" s="343">
        <f t="shared" si="3"/>
        <v>0.2</v>
      </c>
      <c r="Q17" s="350">
        <v>65</v>
      </c>
      <c r="R17" s="350">
        <v>0</v>
      </c>
      <c r="S17" s="350">
        <f t="shared" si="4"/>
        <v>0</v>
      </c>
      <c r="T17" s="343" t="s">
        <v>131</v>
      </c>
      <c r="U17" s="350" t="s">
        <v>333</v>
      </c>
      <c r="V17" s="343">
        <v>4</v>
      </c>
      <c r="W17" s="343" t="str">
        <f t="shared" si="5"/>
        <v>3C X 4</v>
      </c>
      <c r="X17" s="343" t="str">
        <f t="shared" si="6"/>
        <v>3C X 4+PE</v>
      </c>
      <c r="Y17" s="343" t="s">
        <v>358</v>
      </c>
      <c r="Z17" s="344">
        <f>IF(T17="AIR",VLOOKUP(W17,'Catalogue Aluminium'!$B$9:$G$93,2,FALSE),IF(T17="GROUND",VLOOKUP(W17,'Catalogue Aluminium'!$B$9:$G$93,3,FALSE),IF(T17="DUCT",VLOOKUP(W17,'Catalogue Aluminium'!$B$9:$G$93,4,FALSE),IF(T17="TRENCH",VLOOKUP(W17,'Catalogue Aluminium'!$B$9:$G$93,2,FALSE)))))</f>
        <v>38</v>
      </c>
      <c r="AA17" s="345">
        <f>VLOOKUP(W17,'Catalogue Aluminium'!$B$9:$G$93,5,FALSE)</f>
        <v>5.9</v>
      </c>
      <c r="AB17" s="345">
        <f>VLOOKUP(W17,'Catalogue Aluminium'!$B$9:$G$93,6,FALSE)</f>
        <v>9.4700000000000006E-2</v>
      </c>
      <c r="AC17" s="401">
        <f>26+3</f>
        <v>29</v>
      </c>
      <c r="AD17" s="401">
        <f>40+50+38+50+17+(27+30+9+18+5)</f>
        <v>284</v>
      </c>
      <c r="AE17" s="401">
        <f t="shared" si="82"/>
        <v>38</v>
      </c>
      <c r="AF17" s="401">
        <v>8</v>
      </c>
      <c r="AG17" s="401">
        <f t="shared" si="83"/>
        <v>36</v>
      </c>
      <c r="AH17" s="347">
        <f t="shared" si="84"/>
        <v>395</v>
      </c>
      <c r="AI17" s="344">
        <f>IF(T17="AIR",'Catalogue Aluminium'!$K$9,IF(T17="TRENCH",'Catalogue Aluminium'!$K$12,"NA"))</f>
        <v>0.89</v>
      </c>
      <c r="AJ17" s="342">
        <f>IF(T17="Air",(IF(U17="1C",'Catalogue Aluminium'!$L$9,'Catalogue Aluminium'!$M$9)),IF(T17="DUCT",(IF($U17="1C",'Catalogue Aluminium'!$L$10,'Catalogue Aluminium'!$M$10)),IF(T17="GROUND",(IF($U17="1C",'Catalogue Aluminium'!$L$11,'Catalogue Aluminium'!$M$11)),IF(T17="TRENCH",(IF($U17="1C",'Catalogue Aluminium'!$L$12,'Catalogue Aluminium'!$M$12))))))</f>
        <v>0.66</v>
      </c>
      <c r="AK17" s="344" t="str">
        <f>IF(T17="Air",'Catalogue Aluminium'!$N$9,IF(T17="GROUND",'Catalogue Aluminium'!$N$10,IF(T17="DUCT",'Catalogue Aluminium'!$N$11,IF(T17="TRENCH",'Catalogue Aluminium'!$N$12,"NA"))))</f>
        <v>NA</v>
      </c>
      <c r="AL17" s="344" t="str">
        <f>IF(T17="Air",(IF(U17="1C",'Catalogue Aluminium'!$O$9,'Catalogue Aluminium'!$P$9)),IF(T17="DUCT",(IF($U17="1C",'Catalogue Aluminium'!$O$10,'Catalogue Aluminium'!$P$10)),IF(T17="GROUND",(IF($U17="1C",'Catalogue Aluminium'!$O$11,'Catalogue Aluminium'!$P$11)),IF(T17="TRENCH",(IF($U17="1C",'Catalogue Aluminium'!$O$12,'Catalogue Aluminium'!$P$12))))))</f>
        <v>NA</v>
      </c>
      <c r="AM17" s="344" t="str">
        <f>IF(T17="AIR","NA",IF(T17="TRENCH","NA",IF(T17="DUCT",IF(U17="1C",VLOOKUP(V17,'Catalogue Aluminium'!$Q$9:$S$28,2,FALSE),VLOOKUP(V17,'Catalogue Aluminium'!$Q$9:$S$28,3)),IF(T17="GROUND",IF(U17="1C",VLOOKUP(V17,'Catalogue Aluminium'!$Q$9:$S$28,2,FALSE),VLOOKUP(V17,'Catalogue Aluminium'!$Q$9:$S$28,3))))))</f>
        <v>NA</v>
      </c>
      <c r="AN17" s="351">
        <f t="shared" si="8"/>
        <v>0.58740000000000003</v>
      </c>
      <c r="AO17" s="350">
        <f t="shared" si="9"/>
        <v>22.321200000000001</v>
      </c>
      <c r="AP17" s="349">
        <f t="shared" si="10"/>
        <v>1</v>
      </c>
      <c r="AQ17" s="350" t="str">
        <f t="shared" si="11"/>
        <v>YES</v>
      </c>
      <c r="AR17" s="351">
        <f t="shared" si="12"/>
        <v>0.66308216892181082</v>
      </c>
      <c r="AS17" s="343" t="str">
        <f t="shared" si="13"/>
        <v>YES</v>
      </c>
      <c r="AT17" s="351">
        <f t="shared" si="14"/>
        <v>1.1583015491581423</v>
      </c>
      <c r="AU17" s="343" t="str">
        <f t="shared" si="15"/>
        <v>YES</v>
      </c>
      <c r="AV17" s="354" t="str">
        <f t="shared" si="16"/>
        <v>1R x 0.6/1kV x 3C x 4 Sqmm</v>
      </c>
      <c r="AW17" s="354" t="str">
        <f t="shared" si="17"/>
        <v>1R x 0.6/1kV x 3C x 4+PE Sqmm</v>
      </c>
      <c r="AX17" s="343">
        <f t="shared" si="85"/>
        <v>395</v>
      </c>
      <c r="AY17" s="355"/>
      <c r="AZ17" s="355">
        <f t="shared" si="86"/>
        <v>2</v>
      </c>
      <c r="BA17" s="356" t="str">
        <f t="shared" si="87"/>
        <v>ACDEE1E2E3</v>
      </c>
      <c r="BB17" s="501">
        <f>VLOOKUP(W17,'Catalogue Aluminium'!$B$9:$H$93,7,FALSE)</f>
        <v>15</v>
      </c>
      <c r="BC17" s="328">
        <f t="shared" si="88"/>
        <v>15</v>
      </c>
      <c r="BE17" s="336"/>
      <c r="BF17" s="336">
        <v>1</v>
      </c>
      <c r="BG17" s="336"/>
      <c r="BH17" s="336"/>
      <c r="BI17" s="336">
        <v>1</v>
      </c>
      <c r="BJ17" s="336">
        <v>1</v>
      </c>
      <c r="BK17" s="336"/>
      <c r="BL17" s="336"/>
      <c r="BM17" s="336"/>
      <c r="BN17" s="336">
        <v>1</v>
      </c>
      <c r="BO17" s="336"/>
      <c r="BP17" s="336">
        <v>1</v>
      </c>
      <c r="BQ17" s="336">
        <v>1</v>
      </c>
      <c r="BR17" s="336">
        <v>1</v>
      </c>
      <c r="BS17" s="336"/>
      <c r="BT17" s="336"/>
      <c r="BU17" s="336"/>
      <c r="BV17" s="336"/>
      <c r="BW17" s="336"/>
      <c r="BX17" s="336"/>
      <c r="BY17" s="336"/>
      <c r="BZ17" s="336"/>
      <c r="CA17" s="336"/>
      <c r="CB17" s="336"/>
      <c r="CC17" s="336"/>
      <c r="CD17" s="336"/>
      <c r="CE17" s="336"/>
      <c r="CF17" s="336"/>
      <c r="CG17" s="336"/>
      <c r="CH17" s="336"/>
      <c r="CI17" s="336"/>
      <c r="CJ17" s="336"/>
      <c r="CK17" s="336"/>
      <c r="CL17" s="336"/>
      <c r="CM17" s="336"/>
      <c r="CN17" s="336"/>
      <c r="CO17" s="336"/>
      <c r="CP17" s="336"/>
      <c r="CQ17" s="336"/>
      <c r="CR17" s="336"/>
      <c r="CS17" s="336"/>
      <c r="CT17" s="336"/>
      <c r="CU17" s="336"/>
      <c r="CV17" s="336"/>
      <c r="CW17" s="336"/>
      <c r="CX17" s="336"/>
      <c r="CY17" s="336"/>
      <c r="CZ17" s="336"/>
      <c r="DA17" s="336"/>
      <c r="DB17" s="336"/>
      <c r="DC17" s="336"/>
      <c r="DD17" s="336"/>
      <c r="DE17" s="336"/>
      <c r="DF17" s="336"/>
      <c r="DG17" s="336"/>
      <c r="DH17" s="336"/>
      <c r="DI17" s="336"/>
      <c r="DJ17" s="336"/>
      <c r="DK17" s="336"/>
      <c r="DL17" s="336"/>
      <c r="DM17" s="336"/>
      <c r="DN17" s="336"/>
      <c r="DO17" s="336"/>
      <c r="DP17" s="336"/>
      <c r="DQ17" s="336"/>
      <c r="DR17" s="336"/>
      <c r="DS17" s="336"/>
      <c r="DT17" s="336"/>
      <c r="DU17" s="336"/>
      <c r="DW17" s="336">
        <f t="shared" si="19"/>
        <v>0</v>
      </c>
      <c r="DX17" s="336">
        <f t="shared" si="20"/>
        <v>15</v>
      </c>
      <c r="DY17" s="336">
        <f t="shared" si="21"/>
        <v>0</v>
      </c>
      <c r="DZ17" s="336">
        <f t="shared" si="22"/>
        <v>0</v>
      </c>
      <c r="EA17" s="336">
        <f t="shared" si="23"/>
        <v>15</v>
      </c>
      <c r="EB17" s="336">
        <f t="shared" si="24"/>
        <v>15</v>
      </c>
      <c r="EC17" s="336">
        <f t="shared" si="25"/>
        <v>0</v>
      </c>
      <c r="ED17" s="336">
        <f t="shared" si="26"/>
        <v>0</v>
      </c>
      <c r="EE17" s="336">
        <f t="shared" si="27"/>
        <v>0</v>
      </c>
      <c r="EF17" s="336">
        <f t="shared" si="28"/>
        <v>15</v>
      </c>
      <c r="EG17" s="336">
        <f t="shared" si="29"/>
        <v>0</v>
      </c>
      <c r="EH17" s="336">
        <f t="shared" si="30"/>
        <v>15</v>
      </c>
      <c r="EI17" s="336">
        <f t="shared" si="31"/>
        <v>15</v>
      </c>
      <c r="EJ17" s="336">
        <f t="shared" si="32"/>
        <v>15</v>
      </c>
      <c r="EK17" s="336">
        <f t="shared" si="33"/>
        <v>0</v>
      </c>
      <c r="EL17" s="336">
        <f t="shared" si="34"/>
        <v>0</v>
      </c>
      <c r="EM17" s="336">
        <f t="shared" si="35"/>
        <v>0</v>
      </c>
      <c r="EN17" s="336">
        <f t="shared" si="36"/>
        <v>0</v>
      </c>
      <c r="EO17" s="336">
        <f t="shared" si="37"/>
        <v>0</v>
      </c>
      <c r="EP17" s="336">
        <f t="shared" si="38"/>
        <v>0</v>
      </c>
      <c r="EQ17" s="336">
        <f t="shared" si="39"/>
        <v>0</v>
      </c>
      <c r="ER17" s="336">
        <f t="shared" si="40"/>
        <v>0</v>
      </c>
      <c r="ES17" s="336">
        <f t="shared" si="41"/>
        <v>0</v>
      </c>
      <c r="ET17" s="336">
        <f t="shared" si="41"/>
        <v>0</v>
      </c>
      <c r="EU17" s="336">
        <f t="shared" si="42"/>
        <v>0</v>
      </c>
      <c r="EV17" s="336">
        <f t="shared" si="43"/>
        <v>0</v>
      </c>
      <c r="EW17" s="336">
        <f t="shared" si="44"/>
        <v>0</v>
      </c>
      <c r="EX17" s="336">
        <f t="shared" si="45"/>
        <v>0</v>
      </c>
      <c r="EY17" s="336">
        <f t="shared" si="46"/>
        <v>0</v>
      </c>
      <c r="EZ17" s="336">
        <f t="shared" si="47"/>
        <v>0</v>
      </c>
      <c r="FA17" s="336">
        <f t="shared" si="48"/>
        <v>0</v>
      </c>
      <c r="FB17" s="336">
        <f t="shared" si="49"/>
        <v>0</v>
      </c>
      <c r="FC17" s="336">
        <f t="shared" si="50"/>
        <v>0</v>
      </c>
      <c r="FD17" s="336">
        <f t="shared" si="51"/>
        <v>0</v>
      </c>
      <c r="FE17" s="336">
        <f t="shared" si="52"/>
        <v>0</v>
      </c>
      <c r="FF17" s="336">
        <f t="shared" si="53"/>
        <v>0</v>
      </c>
      <c r="FG17" s="336">
        <f t="shared" si="54"/>
        <v>0</v>
      </c>
      <c r="FH17" s="336">
        <f t="shared" si="55"/>
        <v>0</v>
      </c>
      <c r="FI17" s="336">
        <f t="shared" si="56"/>
        <v>0</v>
      </c>
      <c r="FJ17" s="336">
        <f t="shared" si="57"/>
        <v>0</v>
      </c>
      <c r="FK17" s="336">
        <f t="shared" si="58"/>
        <v>0</v>
      </c>
      <c r="FL17" s="336">
        <f t="shared" si="59"/>
        <v>0</v>
      </c>
      <c r="FM17" s="336">
        <f t="shared" si="60"/>
        <v>0</v>
      </c>
      <c r="FN17" s="336">
        <f t="shared" si="61"/>
        <v>0</v>
      </c>
      <c r="FO17" s="336">
        <f t="shared" si="62"/>
        <v>0</v>
      </c>
      <c r="FP17" s="336">
        <f t="shared" si="63"/>
        <v>0</v>
      </c>
      <c r="FQ17" s="336">
        <f t="shared" si="64"/>
        <v>0</v>
      </c>
      <c r="FR17" s="336">
        <f t="shared" si="65"/>
        <v>0</v>
      </c>
      <c r="FS17" s="336">
        <f t="shared" si="66"/>
        <v>0</v>
      </c>
      <c r="FT17" s="336">
        <f t="shared" si="67"/>
        <v>0</v>
      </c>
      <c r="FU17" s="336">
        <f t="shared" si="89"/>
        <v>0</v>
      </c>
      <c r="FV17" s="336">
        <f t="shared" si="90"/>
        <v>0</v>
      </c>
      <c r="FW17" s="336">
        <f t="shared" si="91"/>
        <v>0</v>
      </c>
      <c r="FX17" s="336">
        <f t="shared" si="92"/>
        <v>0</v>
      </c>
      <c r="FY17" s="336">
        <f t="shared" si="68"/>
        <v>0</v>
      </c>
      <c r="FZ17" s="336">
        <f t="shared" si="69"/>
        <v>0</v>
      </c>
      <c r="GA17" s="336">
        <f t="shared" si="70"/>
        <v>0</v>
      </c>
      <c r="GB17" s="336">
        <f t="shared" si="71"/>
        <v>0</v>
      </c>
      <c r="GC17" s="336">
        <f t="shared" si="72"/>
        <v>0</v>
      </c>
      <c r="GD17" s="336">
        <f t="shared" si="73"/>
        <v>0</v>
      </c>
      <c r="GE17" s="336">
        <f t="shared" si="74"/>
        <v>0</v>
      </c>
      <c r="GF17" s="336">
        <f t="shared" si="75"/>
        <v>0</v>
      </c>
      <c r="GG17" s="336">
        <f t="shared" si="76"/>
        <v>0</v>
      </c>
      <c r="GH17" s="336">
        <f t="shared" si="77"/>
        <v>0</v>
      </c>
      <c r="GI17" s="336">
        <f t="shared" si="78"/>
        <v>0</v>
      </c>
      <c r="GJ17" s="336">
        <f t="shared" si="79"/>
        <v>0</v>
      </c>
      <c r="GK17" s="336">
        <f t="shared" si="80"/>
        <v>0</v>
      </c>
      <c r="GL17" s="336">
        <f t="shared" si="93"/>
        <v>0</v>
      </c>
      <c r="GM17" s="336">
        <f t="shared" si="81"/>
        <v>0</v>
      </c>
    </row>
    <row r="18" spans="1:195" ht="20.100000000000001" customHeight="1">
      <c r="A18" s="337">
        <f t="shared" si="94"/>
        <v>8</v>
      </c>
      <c r="B18" s="337" t="s">
        <v>508</v>
      </c>
      <c r="C18" s="337" t="str">
        <f t="shared" si="0"/>
        <v>PMCC-1</v>
      </c>
      <c r="D18" s="372" t="s">
        <v>504</v>
      </c>
      <c r="E18" s="500" t="s">
        <v>345</v>
      </c>
      <c r="F18" s="337" t="s">
        <v>28</v>
      </c>
      <c r="G18" s="337" t="s">
        <v>350</v>
      </c>
      <c r="H18" s="396">
        <v>0.37</v>
      </c>
      <c r="I18" s="337" t="s">
        <v>330</v>
      </c>
      <c r="J18" s="337" t="s">
        <v>331</v>
      </c>
      <c r="K18" s="349">
        <v>400</v>
      </c>
      <c r="L18" s="343">
        <v>0.73</v>
      </c>
      <c r="M18" s="350">
        <v>0.82499999999999996</v>
      </c>
      <c r="N18" s="342">
        <f t="shared" si="1"/>
        <v>0.88678234143133383</v>
      </c>
      <c r="O18" s="342">
        <f t="shared" si="2"/>
        <v>5.3206940485880025</v>
      </c>
      <c r="P18" s="343">
        <f t="shared" si="3"/>
        <v>0.2</v>
      </c>
      <c r="Q18" s="350">
        <v>65</v>
      </c>
      <c r="R18" s="350">
        <v>0</v>
      </c>
      <c r="S18" s="350">
        <f t="shared" si="4"/>
        <v>0</v>
      </c>
      <c r="T18" s="343" t="s">
        <v>131</v>
      </c>
      <c r="U18" s="350" t="s">
        <v>333</v>
      </c>
      <c r="V18" s="343">
        <v>4</v>
      </c>
      <c r="W18" s="343" t="str">
        <f t="shared" si="5"/>
        <v>3C X 4</v>
      </c>
      <c r="X18" s="343" t="str">
        <f t="shared" si="6"/>
        <v>3C X 4+PE</v>
      </c>
      <c r="Y18" s="343" t="s">
        <v>358</v>
      </c>
      <c r="Z18" s="344">
        <f>IF(T18="AIR",VLOOKUP(W18,'Catalogue Aluminium'!$B$9:$G$93,2,FALSE),IF(T18="GROUND",VLOOKUP(W18,'Catalogue Aluminium'!$B$9:$G$93,3,FALSE),IF(T18="DUCT",VLOOKUP(W18,'Catalogue Aluminium'!$B$9:$G$93,4,FALSE),IF(T18="TRENCH",VLOOKUP(W18,'Catalogue Aluminium'!$B$9:$G$93,2,FALSE)))))</f>
        <v>38</v>
      </c>
      <c r="AA18" s="345">
        <f>VLOOKUP(W18,'Catalogue Aluminium'!$B$9:$G$93,5,FALSE)</f>
        <v>5.9</v>
      </c>
      <c r="AB18" s="345">
        <f>VLOOKUP(W18,'Catalogue Aluminium'!$B$9:$G$93,6,FALSE)</f>
        <v>9.4700000000000006E-2</v>
      </c>
      <c r="AC18" s="401">
        <f>26+3</f>
        <v>29</v>
      </c>
      <c r="AD18" s="401">
        <f>40+50+38+50+17+(27+30+9+2+5)</f>
        <v>268</v>
      </c>
      <c r="AE18" s="401">
        <f t="shared" si="82"/>
        <v>38</v>
      </c>
      <c r="AF18" s="401">
        <v>8</v>
      </c>
      <c r="AG18" s="401">
        <f t="shared" si="83"/>
        <v>35</v>
      </c>
      <c r="AH18" s="347">
        <f t="shared" si="84"/>
        <v>378</v>
      </c>
      <c r="AI18" s="344">
        <f>IF(T18="AIR",'Catalogue Aluminium'!$K$9,IF(T18="TRENCH",'Catalogue Aluminium'!$K$12,"NA"))</f>
        <v>0.89</v>
      </c>
      <c r="AJ18" s="342">
        <f>IF(T18="Air",(IF(U18="1C",'Catalogue Aluminium'!$L$9,'Catalogue Aluminium'!$M$9)),IF(T18="DUCT",(IF($U18="1C",'Catalogue Aluminium'!$L$10,'Catalogue Aluminium'!$M$10)),IF(T18="GROUND",(IF($U18="1C",'Catalogue Aluminium'!$L$11,'Catalogue Aluminium'!$M$11)),IF(T18="TRENCH",(IF($U18="1C",'Catalogue Aluminium'!$L$12,'Catalogue Aluminium'!$M$12))))))</f>
        <v>0.66</v>
      </c>
      <c r="AK18" s="344" t="str">
        <f>IF(T18="Air",'Catalogue Aluminium'!$N$9,IF(T18="GROUND",'Catalogue Aluminium'!$N$10,IF(T18="DUCT",'Catalogue Aluminium'!$N$11,IF(T18="TRENCH",'Catalogue Aluminium'!$N$12,"NA"))))</f>
        <v>NA</v>
      </c>
      <c r="AL18" s="344" t="str">
        <f>IF(T18="Air",(IF(U18="1C",'Catalogue Aluminium'!$O$9,'Catalogue Aluminium'!$P$9)),IF(T18="DUCT",(IF($U18="1C",'Catalogue Aluminium'!$O$10,'Catalogue Aluminium'!$P$10)),IF(T18="GROUND",(IF($U18="1C",'Catalogue Aluminium'!$O$11,'Catalogue Aluminium'!$P$11)),IF(T18="TRENCH",(IF($U18="1C",'Catalogue Aluminium'!$O$12,'Catalogue Aluminium'!$P$12))))))</f>
        <v>NA</v>
      </c>
      <c r="AM18" s="344" t="str">
        <f>IF(T18="AIR","NA",IF(T18="TRENCH","NA",IF(T18="DUCT",IF(U18="1C",VLOOKUP(V18,'Catalogue Aluminium'!$Q$9:$S$28,2,FALSE),VLOOKUP(V18,'Catalogue Aluminium'!$Q$9:$S$28,3)),IF(T18="GROUND",IF(U18="1C",VLOOKUP(V18,'Catalogue Aluminium'!$Q$9:$S$28,2,FALSE),VLOOKUP(V18,'Catalogue Aluminium'!$Q$9:$S$28,3))))))</f>
        <v>NA</v>
      </c>
      <c r="AN18" s="351">
        <f t="shared" si="8"/>
        <v>0.58740000000000003</v>
      </c>
      <c r="AO18" s="350">
        <f t="shared" si="9"/>
        <v>22.321200000000001</v>
      </c>
      <c r="AP18" s="349">
        <f t="shared" si="10"/>
        <v>1</v>
      </c>
      <c r="AQ18" s="350" t="str">
        <f t="shared" si="11"/>
        <v>YES</v>
      </c>
      <c r="AR18" s="351">
        <f t="shared" si="12"/>
        <v>0.63454445532264425</v>
      </c>
      <c r="AS18" s="343" t="str">
        <f t="shared" si="13"/>
        <v>YES</v>
      </c>
      <c r="AT18" s="351">
        <f t="shared" si="14"/>
        <v>1.1084505964095643</v>
      </c>
      <c r="AU18" s="343" t="str">
        <f t="shared" si="15"/>
        <v>YES</v>
      </c>
      <c r="AV18" s="354" t="str">
        <f t="shared" si="16"/>
        <v>1R x 0.6/1kV x 3C x 4 Sqmm</v>
      </c>
      <c r="AW18" s="354" t="str">
        <f t="shared" si="17"/>
        <v>1R x 0.6/1kV x 3C x 4+PE Sqmm</v>
      </c>
      <c r="AX18" s="343">
        <f t="shared" si="85"/>
        <v>378</v>
      </c>
      <c r="AY18" s="355"/>
      <c r="AZ18" s="355">
        <f t="shared" si="86"/>
        <v>2</v>
      </c>
      <c r="BA18" s="356" t="str">
        <f t="shared" si="87"/>
        <v>ACDEE1E2E3</v>
      </c>
      <c r="BB18" s="501">
        <f>VLOOKUP(W18,'Catalogue Aluminium'!$B$9:$H$93,7,FALSE)</f>
        <v>15</v>
      </c>
      <c r="BC18" s="328">
        <f t="shared" si="88"/>
        <v>15</v>
      </c>
      <c r="BE18" s="336"/>
      <c r="BF18" s="336">
        <v>1</v>
      </c>
      <c r="BG18" s="336"/>
      <c r="BH18" s="336"/>
      <c r="BI18" s="336">
        <v>1</v>
      </c>
      <c r="BJ18" s="336">
        <v>1</v>
      </c>
      <c r="BK18" s="336"/>
      <c r="BL18" s="336"/>
      <c r="BM18" s="336"/>
      <c r="BN18" s="336">
        <v>1</v>
      </c>
      <c r="BO18" s="336"/>
      <c r="BP18" s="336">
        <v>1</v>
      </c>
      <c r="BQ18" s="336">
        <v>1</v>
      </c>
      <c r="BR18" s="336">
        <v>1</v>
      </c>
      <c r="BS18" s="336"/>
      <c r="BT18" s="336"/>
      <c r="BU18" s="336"/>
      <c r="BV18" s="336"/>
      <c r="BW18" s="336"/>
      <c r="BX18" s="336"/>
      <c r="BY18" s="336"/>
      <c r="BZ18" s="336"/>
      <c r="CA18" s="336"/>
      <c r="CB18" s="336"/>
      <c r="CC18" s="336"/>
      <c r="CD18" s="336"/>
      <c r="CE18" s="336"/>
      <c r="CF18" s="336"/>
      <c r="CG18" s="336"/>
      <c r="CH18" s="336"/>
      <c r="CI18" s="336"/>
      <c r="CJ18" s="336"/>
      <c r="CK18" s="336"/>
      <c r="CL18" s="336"/>
      <c r="CM18" s="336"/>
      <c r="CN18" s="336"/>
      <c r="CO18" s="336"/>
      <c r="CP18" s="336"/>
      <c r="CQ18" s="336"/>
      <c r="CR18" s="336"/>
      <c r="CS18" s="336"/>
      <c r="CT18" s="336"/>
      <c r="CU18" s="336"/>
      <c r="CV18" s="336"/>
      <c r="CW18" s="336"/>
      <c r="CX18" s="336"/>
      <c r="CY18" s="336"/>
      <c r="CZ18" s="336"/>
      <c r="DA18" s="336"/>
      <c r="DB18" s="336"/>
      <c r="DC18" s="336"/>
      <c r="DD18" s="336"/>
      <c r="DE18" s="336"/>
      <c r="DF18" s="336"/>
      <c r="DG18" s="336"/>
      <c r="DH18" s="336"/>
      <c r="DI18" s="336"/>
      <c r="DJ18" s="336"/>
      <c r="DK18" s="336"/>
      <c r="DL18" s="336"/>
      <c r="DM18" s="336"/>
      <c r="DN18" s="336"/>
      <c r="DO18" s="336"/>
      <c r="DP18" s="336"/>
      <c r="DQ18" s="336"/>
      <c r="DR18" s="336"/>
      <c r="DS18" s="336"/>
      <c r="DT18" s="336"/>
      <c r="DU18" s="336"/>
      <c r="DW18" s="336">
        <f t="shared" si="19"/>
        <v>0</v>
      </c>
      <c r="DX18" s="336">
        <f t="shared" si="20"/>
        <v>15</v>
      </c>
      <c r="DY18" s="336">
        <f t="shared" si="21"/>
        <v>0</v>
      </c>
      <c r="DZ18" s="336">
        <f t="shared" si="22"/>
        <v>0</v>
      </c>
      <c r="EA18" s="336">
        <f t="shared" si="23"/>
        <v>15</v>
      </c>
      <c r="EB18" s="336">
        <f t="shared" si="24"/>
        <v>15</v>
      </c>
      <c r="EC18" s="336">
        <f t="shared" si="25"/>
        <v>0</v>
      </c>
      <c r="ED18" s="336">
        <f t="shared" si="26"/>
        <v>0</v>
      </c>
      <c r="EE18" s="336">
        <f t="shared" si="27"/>
        <v>0</v>
      </c>
      <c r="EF18" s="336">
        <f t="shared" si="28"/>
        <v>15</v>
      </c>
      <c r="EG18" s="336">
        <f t="shared" si="29"/>
        <v>0</v>
      </c>
      <c r="EH18" s="336">
        <f t="shared" si="30"/>
        <v>15</v>
      </c>
      <c r="EI18" s="336">
        <f t="shared" si="31"/>
        <v>15</v>
      </c>
      <c r="EJ18" s="336">
        <f t="shared" si="32"/>
        <v>15</v>
      </c>
      <c r="EK18" s="336">
        <f t="shared" si="33"/>
        <v>0</v>
      </c>
      <c r="EL18" s="336">
        <f t="shared" si="34"/>
        <v>0</v>
      </c>
      <c r="EM18" s="336">
        <f t="shared" si="35"/>
        <v>0</v>
      </c>
      <c r="EN18" s="336">
        <f t="shared" si="36"/>
        <v>0</v>
      </c>
      <c r="EO18" s="336">
        <f t="shared" si="37"/>
        <v>0</v>
      </c>
      <c r="EP18" s="336">
        <f t="shared" si="38"/>
        <v>0</v>
      </c>
      <c r="EQ18" s="336">
        <f t="shared" si="39"/>
        <v>0</v>
      </c>
      <c r="ER18" s="336">
        <f t="shared" si="40"/>
        <v>0</v>
      </c>
      <c r="ES18" s="336">
        <f t="shared" si="41"/>
        <v>0</v>
      </c>
      <c r="ET18" s="336">
        <f t="shared" si="41"/>
        <v>0</v>
      </c>
      <c r="EU18" s="336">
        <f t="shared" si="42"/>
        <v>0</v>
      </c>
      <c r="EV18" s="336">
        <f t="shared" si="43"/>
        <v>0</v>
      </c>
      <c r="EW18" s="336">
        <f t="shared" si="44"/>
        <v>0</v>
      </c>
      <c r="EX18" s="336">
        <f t="shared" si="45"/>
        <v>0</v>
      </c>
      <c r="EY18" s="336">
        <f t="shared" si="46"/>
        <v>0</v>
      </c>
      <c r="EZ18" s="336">
        <f t="shared" si="47"/>
        <v>0</v>
      </c>
      <c r="FA18" s="336">
        <f t="shared" si="48"/>
        <v>0</v>
      </c>
      <c r="FB18" s="336">
        <f t="shared" si="49"/>
        <v>0</v>
      </c>
      <c r="FC18" s="336">
        <f t="shared" si="50"/>
        <v>0</v>
      </c>
      <c r="FD18" s="336">
        <f t="shared" si="51"/>
        <v>0</v>
      </c>
      <c r="FE18" s="336">
        <f t="shared" si="52"/>
        <v>0</v>
      </c>
      <c r="FF18" s="336">
        <f t="shared" si="53"/>
        <v>0</v>
      </c>
      <c r="FG18" s="336">
        <f t="shared" si="54"/>
        <v>0</v>
      </c>
      <c r="FH18" s="336">
        <f t="shared" si="55"/>
        <v>0</v>
      </c>
      <c r="FI18" s="336">
        <f t="shared" si="56"/>
        <v>0</v>
      </c>
      <c r="FJ18" s="336">
        <f t="shared" si="57"/>
        <v>0</v>
      </c>
      <c r="FK18" s="336">
        <f t="shared" si="58"/>
        <v>0</v>
      </c>
      <c r="FL18" s="336">
        <f t="shared" si="59"/>
        <v>0</v>
      </c>
      <c r="FM18" s="336">
        <f t="shared" si="60"/>
        <v>0</v>
      </c>
      <c r="FN18" s="336">
        <f t="shared" si="61"/>
        <v>0</v>
      </c>
      <c r="FO18" s="336">
        <f t="shared" si="62"/>
        <v>0</v>
      </c>
      <c r="FP18" s="336">
        <f t="shared" si="63"/>
        <v>0</v>
      </c>
      <c r="FQ18" s="336">
        <f t="shared" si="64"/>
        <v>0</v>
      </c>
      <c r="FR18" s="336">
        <f t="shared" si="65"/>
        <v>0</v>
      </c>
      <c r="FS18" s="336">
        <f t="shared" si="66"/>
        <v>0</v>
      </c>
      <c r="FT18" s="336">
        <f t="shared" si="67"/>
        <v>0</v>
      </c>
      <c r="FU18" s="336">
        <f t="shared" si="89"/>
        <v>0</v>
      </c>
      <c r="FV18" s="336">
        <f t="shared" si="90"/>
        <v>0</v>
      </c>
      <c r="FW18" s="336">
        <f t="shared" si="91"/>
        <v>0</v>
      </c>
      <c r="FX18" s="336">
        <f t="shared" si="92"/>
        <v>0</v>
      </c>
      <c r="FY18" s="336">
        <f t="shared" si="68"/>
        <v>0</v>
      </c>
      <c r="FZ18" s="336">
        <f t="shared" si="69"/>
        <v>0</v>
      </c>
      <c r="GA18" s="336">
        <f t="shared" si="70"/>
        <v>0</v>
      </c>
      <c r="GB18" s="336">
        <f t="shared" si="71"/>
        <v>0</v>
      </c>
      <c r="GC18" s="336">
        <f t="shared" si="72"/>
        <v>0</v>
      </c>
      <c r="GD18" s="336">
        <f t="shared" si="73"/>
        <v>0</v>
      </c>
      <c r="GE18" s="336">
        <f t="shared" si="74"/>
        <v>0</v>
      </c>
      <c r="GF18" s="336">
        <f t="shared" si="75"/>
        <v>0</v>
      </c>
      <c r="GG18" s="336">
        <f t="shared" si="76"/>
        <v>0</v>
      </c>
      <c r="GH18" s="336">
        <f t="shared" si="77"/>
        <v>0</v>
      </c>
      <c r="GI18" s="336">
        <f t="shared" si="78"/>
        <v>0</v>
      </c>
      <c r="GJ18" s="336">
        <f t="shared" si="79"/>
        <v>0</v>
      </c>
      <c r="GK18" s="336">
        <f t="shared" si="80"/>
        <v>0</v>
      </c>
      <c r="GL18" s="336">
        <f t="shared" si="93"/>
        <v>0</v>
      </c>
      <c r="GM18" s="336">
        <f t="shared" si="81"/>
        <v>0</v>
      </c>
    </row>
    <row r="19" spans="1:195" ht="20.100000000000001" customHeight="1">
      <c r="A19" s="337">
        <f t="shared" si="94"/>
        <v>9</v>
      </c>
      <c r="B19" s="337" t="s">
        <v>509</v>
      </c>
      <c r="C19" s="337" t="str">
        <f t="shared" si="0"/>
        <v>PMCC-1</v>
      </c>
      <c r="D19" s="372" t="s">
        <v>502</v>
      </c>
      <c r="E19" s="500" t="s">
        <v>345</v>
      </c>
      <c r="F19" s="337" t="s">
        <v>29</v>
      </c>
      <c r="G19" s="337" t="s">
        <v>350</v>
      </c>
      <c r="H19" s="396">
        <v>0.75</v>
      </c>
      <c r="I19" s="337" t="s">
        <v>330</v>
      </c>
      <c r="J19" s="337" t="s">
        <v>331</v>
      </c>
      <c r="K19" s="349">
        <v>400</v>
      </c>
      <c r="L19" s="343">
        <v>0.73</v>
      </c>
      <c r="M19" s="350">
        <v>0.82499999999999996</v>
      </c>
      <c r="N19" s="342">
        <f t="shared" si="1"/>
        <v>1.7975317731716227</v>
      </c>
      <c r="O19" s="342">
        <f t="shared" si="2"/>
        <v>10.785190639029736</v>
      </c>
      <c r="P19" s="343">
        <f t="shared" si="3"/>
        <v>0.2</v>
      </c>
      <c r="Q19" s="350">
        <v>65</v>
      </c>
      <c r="R19" s="350">
        <v>0</v>
      </c>
      <c r="S19" s="350">
        <f t="shared" si="4"/>
        <v>0</v>
      </c>
      <c r="T19" s="343" t="s">
        <v>131</v>
      </c>
      <c r="U19" s="350" t="s">
        <v>333</v>
      </c>
      <c r="V19" s="343">
        <v>4</v>
      </c>
      <c r="W19" s="343" t="str">
        <f t="shared" si="5"/>
        <v>3C X 4</v>
      </c>
      <c r="X19" s="343" t="str">
        <f t="shared" si="6"/>
        <v>3C X 4+PE</v>
      </c>
      <c r="Y19" s="343" t="s">
        <v>358</v>
      </c>
      <c r="Z19" s="344">
        <f>IF(T19="AIR",VLOOKUP(W19,'Catalogue Aluminium'!$B$9:$G$93,2,FALSE),IF(T19="GROUND",VLOOKUP(W19,'Catalogue Aluminium'!$B$9:$G$93,3,FALSE),IF(T19="DUCT",VLOOKUP(W19,'Catalogue Aluminium'!$B$9:$G$93,4,FALSE),IF(T19="TRENCH",VLOOKUP(W19,'Catalogue Aluminium'!$B$9:$G$93,2,FALSE)))))</f>
        <v>38</v>
      </c>
      <c r="AA19" s="345">
        <f>VLOOKUP(W19,'Catalogue Aluminium'!$B$9:$G$93,5,FALSE)</f>
        <v>5.9</v>
      </c>
      <c r="AB19" s="345">
        <f>VLOOKUP(W19,'Catalogue Aluminium'!$B$9:$G$93,6,FALSE)</f>
        <v>9.4700000000000006E-2</v>
      </c>
      <c r="AC19" s="401">
        <f>35+3</f>
        <v>38</v>
      </c>
      <c r="AD19" s="401">
        <f>40+50+38+50+17+(27+30+9+18+5)</f>
        <v>284</v>
      </c>
      <c r="AE19" s="401">
        <f t="shared" si="82"/>
        <v>38</v>
      </c>
      <c r="AF19" s="401">
        <v>8</v>
      </c>
      <c r="AG19" s="401">
        <f t="shared" si="83"/>
        <v>37</v>
      </c>
      <c r="AH19" s="347">
        <f t="shared" si="84"/>
        <v>405</v>
      </c>
      <c r="AI19" s="344">
        <f>IF(T19="AIR",'Catalogue Aluminium'!$K$9,IF(T19="TRENCH",'Catalogue Aluminium'!$K$12,"NA"))</f>
        <v>0.89</v>
      </c>
      <c r="AJ19" s="342">
        <f>IF(T19="Air",(IF(U19="1C",'Catalogue Aluminium'!$L$9,'Catalogue Aluminium'!$M$9)),IF(T19="DUCT",(IF($U19="1C",'Catalogue Aluminium'!$L$10,'Catalogue Aluminium'!$M$10)),IF(T19="GROUND",(IF($U19="1C",'Catalogue Aluminium'!$L$11,'Catalogue Aluminium'!$M$11)),IF(T19="TRENCH",(IF($U19="1C",'Catalogue Aluminium'!$L$12,'Catalogue Aluminium'!$M$12))))))</f>
        <v>0.66</v>
      </c>
      <c r="AK19" s="344" t="str">
        <f>IF(T19="Air",'Catalogue Aluminium'!$N$9,IF(T19="GROUND",'Catalogue Aluminium'!$N$10,IF(T19="DUCT",'Catalogue Aluminium'!$N$11,IF(T19="TRENCH",'Catalogue Aluminium'!$N$12,"NA"))))</f>
        <v>NA</v>
      </c>
      <c r="AL19" s="344" t="str">
        <f>IF(T19="Air",(IF(U19="1C",'Catalogue Aluminium'!$O$9,'Catalogue Aluminium'!$P$9)),IF(T19="DUCT",(IF($U19="1C",'Catalogue Aluminium'!$O$10,'Catalogue Aluminium'!$P$10)),IF(T19="GROUND",(IF($U19="1C",'Catalogue Aluminium'!$O$11,'Catalogue Aluminium'!$P$11)),IF(T19="TRENCH",(IF($U19="1C",'Catalogue Aluminium'!$O$12,'Catalogue Aluminium'!$P$12))))))</f>
        <v>NA</v>
      </c>
      <c r="AM19" s="344" t="str">
        <f>IF(T19="AIR","NA",IF(T19="TRENCH","NA",IF(T19="DUCT",IF(U19="1C",VLOOKUP(V19,'Catalogue Aluminium'!$Q$9:$S$28,2,FALSE),VLOOKUP(V19,'Catalogue Aluminium'!$Q$9:$S$28,3)),IF(T19="GROUND",IF(U19="1C",VLOOKUP(V19,'Catalogue Aluminium'!$Q$9:$S$28,2,FALSE),VLOOKUP(V19,'Catalogue Aluminium'!$Q$9:$S$28,3))))))</f>
        <v>NA</v>
      </c>
      <c r="AN19" s="351">
        <f t="shared" si="8"/>
        <v>0.58740000000000003</v>
      </c>
      <c r="AO19" s="350">
        <f t="shared" si="9"/>
        <v>22.321200000000001</v>
      </c>
      <c r="AP19" s="349">
        <f t="shared" si="10"/>
        <v>1</v>
      </c>
      <c r="AQ19" s="350" t="str">
        <f t="shared" si="11"/>
        <v>YES</v>
      </c>
      <c r="AR19" s="351">
        <f t="shared" si="12"/>
        <v>1.3781129579883682</v>
      </c>
      <c r="AS19" s="343" t="str">
        <f t="shared" si="13"/>
        <v>YES</v>
      </c>
      <c r="AT19" s="351">
        <f t="shared" si="14"/>
        <v>2.407349268264015</v>
      </c>
      <c r="AU19" s="343" t="str">
        <f t="shared" si="15"/>
        <v>YES</v>
      </c>
      <c r="AV19" s="354" t="str">
        <f t="shared" si="16"/>
        <v>1R x 0.6/1kV x 3C x 4 Sqmm</v>
      </c>
      <c r="AW19" s="354" t="str">
        <f t="shared" si="17"/>
        <v>1R x 0.6/1kV x 3C x 4+PE Sqmm</v>
      </c>
      <c r="AX19" s="343">
        <f t="shared" si="85"/>
        <v>405</v>
      </c>
      <c r="AY19" s="355"/>
      <c r="AZ19" s="355">
        <f t="shared" si="86"/>
        <v>2</v>
      </c>
      <c r="BA19" s="356" t="str">
        <f t="shared" si="87"/>
        <v>ACDEE1E2E3</v>
      </c>
      <c r="BB19" s="501">
        <f>VLOOKUP(W19,'Catalogue Aluminium'!$B$9:$H$93,7,FALSE)</f>
        <v>15</v>
      </c>
      <c r="BC19" s="328">
        <f t="shared" si="88"/>
        <v>15</v>
      </c>
      <c r="BE19" s="336"/>
      <c r="BF19" s="336">
        <v>1</v>
      </c>
      <c r="BG19" s="336"/>
      <c r="BH19" s="336"/>
      <c r="BI19" s="336">
        <v>1</v>
      </c>
      <c r="BJ19" s="336">
        <v>1</v>
      </c>
      <c r="BK19" s="336"/>
      <c r="BL19" s="336"/>
      <c r="BM19" s="336"/>
      <c r="BN19" s="336">
        <v>1</v>
      </c>
      <c r="BO19" s="336"/>
      <c r="BP19" s="336">
        <v>1</v>
      </c>
      <c r="BQ19" s="336">
        <v>1</v>
      </c>
      <c r="BR19" s="336">
        <v>1</v>
      </c>
      <c r="BS19" s="336"/>
      <c r="BT19" s="336"/>
      <c r="BU19" s="336"/>
      <c r="BV19" s="336"/>
      <c r="BW19" s="336"/>
      <c r="BX19" s="336"/>
      <c r="BY19" s="336"/>
      <c r="BZ19" s="336"/>
      <c r="CA19" s="336"/>
      <c r="CB19" s="336"/>
      <c r="CC19" s="336"/>
      <c r="CD19" s="336"/>
      <c r="CE19" s="336"/>
      <c r="CF19" s="336"/>
      <c r="CG19" s="336"/>
      <c r="CH19" s="336"/>
      <c r="CI19" s="336"/>
      <c r="CJ19" s="336"/>
      <c r="CK19" s="336"/>
      <c r="CL19" s="336"/>
      <c r="CM19" s="336"/>
      <c r="CN19" s="336"/>
      <c r="CO19" s="336"/>
      <c r="CP19" s="336"/>
      <c r="CQ19" s="336"/>
      <c r="CR19" s="336"/>
      <c r="CS19" s="336"/>
      <c r="CT19" s="336"/>
      <c r="CU19" s="336"/>
      <c r="CV19" s="336"/>
      <c r="CW19" s="336"/>
      <c r="CX19" s="336"/>
      <c r="CY19" s="336"/>
      <c r="CZ19" s="336"/>
      <c r="DA19" s="336"/>
      <c r="DB19" s="336"/>
      <c r="DC19" s="336"/>
      <c r="DD19" s="336"/>
      <c r="DE19" s="336"/>
      <c r="DF19" s="336"/>
      <c r="DG19" s="336"/>
      <c r="DH19" s="336"/>
      <c r="DI19" s="336"/>
      <c r="DJ19" s="336"/>
      <c r="DK19" s="336"/>
      <c r="DL19" s="336"/>
      <c r="DM19" s="336"/>
      <c r="DN19" s="336"/>
      <c r="DO19" s="336"/>
      <c r="DP19" s="336"/>
      <c r="DQ19" s="336"/>
      <c r="DR19" s="336"/>
      <c r="DS19" s="336"/>
      <c r="DT19" s="336"/>
      <c r="DU19" s="336"/>
      <c r="DW19" s="336">
        <f t="shared" si="19"/>
        <v>0</v>
      </c>
      <c r="DX19" s="336">
        <f t="shared" si="20"/>
        <v>15</v>
      </c>
      <c r="DY19" s="336">
        <f t="shared" si="21"/>
        <v>0</v>
      </c>
      <c r="DZ19" s="336">
        <f t="shared" si="22"/>
        <v>0</v>
      </c>
      <c r="EA19" s="336">
        <f t="shared" si="23"/>
        <v>15</v>
      </c>
      <c r="EB19" s="336">
        <f t="shared" si="24"/>
        <v>15</v>
      </c>
      <c r="EC19" s="336">
        <f t="shared" si="25"/>
        <v>0</v>
      </c>
      <c r="ED19" s="336">
        <f t="shared" si="26"/>
        <v>0</v>
      </c>
      <c r="EE19" s="336">
        <f t="shared" si="27"/>
        <v>0</v>
      </c>
      <c r="EF19" s="336">
        <f t="shared" si="28"/>
        <v>15</v>
      </c>
      <c r="EG19" s="336">
        <f t="shared" si="29"/>
        <v>0</v>
      </c>
      <c r="EH19" s="336">
        <f t="shared" si="30"/>
        <v>15</v>
      </c>
      <c r="EI19" s="336">
        <f t="shared" si="31"/>
        <v>15</v>
      </c>
      <c r="EJ19" s="336">
        <f t="shared" si="32"/>
        <v>15</v>
      </c>
      <c r="EK19" s="336">
        <f t="shared" si="33"/>
        <v>0</v>
      </c>
      <c r="EL19" s="336">
        <f t="shared" si="34"/>
        <v>0</v>
      </c>
      <c r="EM19" s="336">
        <f t="shared" si="35"/>
        <v>0</v>
      </c>
      <c r="EN19" s="336">
        <f t="shared" si="36"/>
        <v>0</v>
      </c>
      <c r="EO19" s="336">
        <f t="shared" si="37"/>
        <v>0</v>
      </c>
      <c r="EP19" s="336">
        <f t="shared" si="38"/>
        <v>0</v>
      </c>
      <c r="EQ19" s="336">
        <f t="shared" si="39"/>
        <v>0</v>
      </c>
      <c r="ER19" s="336">
        <f t="shared" si="40"/>
        <v>0</v>
      </c>
      <c r="ES19" s="336">
        <f t="shared" si="41"/>
        <v>0</v>
      </c>
      <c r="ET19" s="336">
        <f t="shared" si="41"/>
        <v>0</v>
      </c>
      <c r="EU19" s="336">
        <f t="shared" si="42"/>
        <v>0</v>
      </c>
      <c r="EV19" s="336">
        <f t="shared" si="43"/>
        <v>0</v>
      </c>
      <c r="EW19" s="336">
        <f t="shared" si="44"/>
        <v>0</v>
      </c>
      <c r="EX19" s="336">
        <f t="shared" si="45"/>
        <v>0</v>
      </c>
      <c r="EY19" s="336">
        <f t="shared" si="46"/>
        <v>0</v>
      </c>
      <c r="EZ19" s="336">
        <f t="shared" si="47"/>
        <v>0</v>
      </c>
      <c r="FA19" s="336">
        <f t="shared" si="48"/>
        <v>0</v>
      </c>
      <c r="FB19" s="336">
        <f t="shared" si="49"/>
        <v>0</v>
      </c>
      <c r="FC19" s="336">
        <f t="shared" si="50"/>
        <v>0</v>
      </c>
      <c r="FD19" s="336">
        <f t="shared" si="51"/>
        <v>0</v>
      </c>
      <c r="FE19" s="336">
        <f t="shared" si="52"/>
        <v>0</v>
      </c>
      <c r="FF19" s="336">
        <f t="shared" si="53"/>
        <v>0</v>
      </c>
      <c r="FG19" s="336">
        <f t="shared" si="54"/>
        <v>0</v>
      </c>
      <c r="FH19" s="336">
        <f t="shared" si="55"/>
        <v>0</v>
      </c>
      <c r="FI19" s="336">
        <f t="shared" si="56"/>
        <v>0</v>
      </c>
      <c r="FJ19" s="336">
        <f t="shared" si="57"/>
        <v>0</v>
      </c>
      <c r="FK19" s="336">
        <f t="shared" si="58"/>
        <v>0</v>
      </c>
      <c r="FL19" s="336">
        <f t="shared" si="59"/>
        <v>0</v>
      </c>
      <c r="FM19" s="336">
        <f t="shared" si="60"/>
        <v>0</v>
      </c>
      <c r="FN19" s="336">
        <f t="shared" si="61"/>
        <v>0</v>
      </c>
      <c r="FO19" s="336">
        <f t="shared" si="62"/>
        <v>0</v>
      </c>
      <c r="FP19" s="336">
        <f t="shared" si="63"/>
        <v>0</v>
      </c>
      <c r="FQ19" s="336">
        <f t="shared" si="64"/>
        <v>0</v>
      </c>
      <c r="FR19" s="336">
        <f t="shared" si="65"/>
        <v>0</v>
      </c>
      <c r="FS19" s="336">
        <f t="shared" si="66"/>
        <v>0</v>
      </c>
      <c r="FT19" s="336">
        <f t="shared" si="67"/>
        <v>0</v>
      </c>
      <c r="FU19" s="336">
        <f t="shared" si="89"/>
        <v>0</v>
      </c>
      <c r="FV19" s="336">
        <f t="shared" si="90"/>
        <v>0</v>
      </c>
      <c r="FW19" s="336">
        <f t="shared" si="91"/>
        <v>0</v>
      </c>
      <c r="FX19" s="336">
        <f t="shared" si="92"/>
        <v>0</v>
      </c>
      <c r="FY19" s="336">
        <f t="shared" si="68"/>
        <v>0</v>
      </c>
      <c r="FZ19" s="336">
        <f t="shared" si="69"/>
        <v>0</v>
      </c>
      <c r="GA19" s="336">
        <f t="shared" si="70"/>
        <v>0</v>
      </c>
      <c r="GB19" s="336">
        <f t="shared" si="71"/>
        <v>0</v>
      </c>
      <c r="GC19" s="336">
        <f t="shared" si="72"/>
        <v>0</v>
      </c>
      <c r="GD19" s="336">
        <f t="shared" si="73"/>
        <v>0</v>
      </c>
      <c r="GE19" s="336">
        <f t="shared" si="74"/>
        <v>0</v>
      </c>
      <c r="GF19" s="336">
        <f t="shared" si="75"/>
        <v>0</v>
      </c>
      <c r="GG19" s="336">
        <f t="shared" si="76"/>
        <v>0</v>
      </c>
      <c r="GH19" s="336">
        <f t="shared" si="77"/>
        <v>0</v>
      </c>
      <c r="GI19" s="336">
        <f t="shared" si="78"/>
        <v>0</v>
      </c>
      <c r="GJ19" s="336">
        <f t="shared" si="79"/>
        <v>0</v>
      </c>
      <c r="GK19" s="336">
        <f t="shared" si="80"/>
        <v>0</v>
      </c>
      <c r="GL19" s="336">
        <f t="shared" si="93"/>
        <v>0</v>
      </c>
      <c r="GM19" s="336">
        <f t="shared" si="81"/>
        <v>0</v>
      </c>
    </row>
    <row r="20" spans="1:195" ht="35.25" customHeight="1">
      <c r="A20" s="337">
        <f t="shared" si="94"/>
        <v>10</v>
      </c>
      <c r="B20" s="337" t="s">
        <v>510</v>
      </c>
      <c r="C20" s="337" t="str">
        <f t="shared" si="0"/>
        <v>PMCC-1</v>
      </c>
      <c r="D20" s="372" t="s">
        <v>504</v>
      </c>
      <c r="E20" s="500" t="s">
        <v>345</v>
      </c>
      <c r="F20" s="337" t="s">
        <v>28</v>
      </c>
      <c r="G20" s="337" t="s">
        <v>350</v>
      </c>
      <c r="H20" s="396">
        <v>0.75</v>
      </c>
      <c r="I20" s="337" t="s">
        <v>330</v>
      </c>
      <c r="J20" s="337" t="s">
        <v>331</v>
      </c>
      <c r="K20" s="349">
        <v>400</v>
      </c>
      <c r="L20" s="343">
        <v>0.73</v>
      </c>
      <c r="M20" s="350">
        <v>0.82499999999999996</v>
      </c>
      <c r="N20" s="342">
        <f t="shared" si="1"/>
        <v>1.7975317731716227</v>
      </c>
      <c r="O20" s="342">
        <f t="shared" si="2"/>
        <v>10.785190639029736</v>
      </c>
      <c r="P20" s="343">
        <f t="shared" si="3"/>
        <v>0.2</v>
      </c>
      <c r="Q20" s="350">
        <v>65</v>
      </c>
      <c r="R20" s="350">
        <v>0</v>
      </c>
      <c r="S20" s="350">
        <f t="shared" si="4"/>
        <v>0</v>
      </c>
      <c r="T20" s="343" t="s">
        <v>131</v>
      </c>
      <c r="U20" s="350" t="s">
        <v>333</v>
      </c>
      <c r="V20" s="343">
        <v>4</v>
      </c>
      <c r="W20" s="343" t="str">
        <f t="shared" si="5"/>
        <v>3C X 4</v>
      </c>
      <c r="X20" s="343" t="str">
        <f t="shared" si="6"/>
        <v>3C X 4+PE</v>
      </c>
      <c r="Y20" s="343" t="s">
        <v>358</v>
      </c>
      <c r="Z20" s="344">
        <f>IF(T20="AIR",VLOOKUP(W20,'Catalogue Aluminium'!$B$9:$G$93,2,FALSE),IF(T20="GROUND",VLOOKUP(W20,'Catalogue Aluminium'!$B$9:$G$93,3,FALSE),IF(T20="DUCT",VLOOKUP(W20,'Catalogue Aluminium'!$B$9:$G$93,4,FALSE),IF(T20="TRENCH",VLOOKUP(W20,'Catalogue Aluminium'!$B$9:$G$93,2,FALSE)))))</f>
        <v>38</v>
      </c>
      <c r="AA20" s="345">
        <f>VLOOKUP(W20,'Catalogue Aluminium'!$B$9:$G$93,5,FALSE)</f>
        <v>5.9</v>
      </c>
      <c r="AB20" s="345">
        <f>VLOOKUP(W20,'Catalogue Aluminium'!$B$9:$G$93,6,FALSE)</f>
        <v>9.4700000000000006E-2</v>
      </c>
      <c r="AC20" s="401">
        <f>26+3</f>
        <v>29</v>
      </c>
      <c r="AD20" s="401">
        <f>40+50+38+50+17+(27+30+9+2+5)</f>
        <v>268</v>
      </c>
      <c r="AE20" s="401">
        <f t="shared" si="82"/>
        <v>38</v>
      </c>
      <c r="AF20" s="401">
        <v>8</v>
      </c>
      <c r="AG20" s="401">
        <f t="shared" si="83"/>
        <v>35</v>
      </c>
      <c r="AH20" s="347">
        <f t="shared" si="84"/>
        <v>378</v>
      </c>
      <c r="AI20" s="344">
        <f>IF(T20="AIR",'Catalogue Aluminium'!$K$9,IF(T20="TRENCH",'Catalogue Aluminium'!$K$12,"NA"))</f>
        <v>0.89</v>
      </c>
      <c r="AJ20" s="342">
        <f>IF(T20="Air",(IF(U20="1C",'Catalogue Aluminium'!$L$9,'Catalogue Aluminium'!$M$9)),IF(T20="DUCT",(IF($U20="1C",'Catalogue Aluminium'!$L$10,'Catalogue Aluminium'!$M$10)),IF(T20="GROUND",(IF($U20="1C",'Catalogue Aluminium'!$L$11,'Catalogue Aluminium'!$M$11)),IF(T20="TRENCH",(IF($U20="1C",'Catalogue Aluminium'!$L$12,'Catalogue Aluminium'!$M$12))))))</f>
        <v>0.66</v>
      </c>
      <c r="AK20" s="344" t="str">
        <f>IF(T20="Air",'Catalogue Aluminium'!$N$9,IF(T20="GROUND",'Catalogue Aluminium'!$N$10,IF(T20="DUCT",'Catalogue Aluminium'!$N$11,IF(T20="TRENCH",'Catalogue Aluminium'!$N$12,"NA"))))</f>
        <v>NA</v>
      </c>
      <c r="AL20" s="344" t="str">
        <f>IF(T20="Air",(IF(U20="1C",'Catalogue Aluminium'!$O$9,'Catalogue Aluminium'!$P$9)),IF(T20="DUCT",(IF($U20="1C",'Catalogue Aluminium'!$O$10,'Catalogue Aluminium'!$P$10)),IF(T20="GROUND",(IF($U20="1C",'Catalogue Aluminium'!$O$11,'Catalogue Aluminium'!$P$11)),IF(T20="TRENCH",(IF($U20="1C",'Catalogue Aluminium'!$O$12,'Catalogue Aluminium'!$P$12))))))</f>
        <v>NA</v>
      </c>
      <c r="AM20" s="344" t="str">
        <f>IF(T20="AIR","NA",IF(T20="TRENCH","NA",IF(T20="DUCT",IF(U20="1C",VLOOKUP(V20,'Catalogue Aluminium'!$Q$9:$S$28,2,FALSE),VLOOKUP(V20,'Catalogue Aluminium'!$Q$9:$S$28,3)),IF(T20="GROUND",IF(U20="1C",VLOOKUP(V20,'Catalogue Aluminium'!$Q$9:$S$28,2,FALSE),VLOOKUP(V20,'Catalogue Aluminium'!$Q$9:$S$28,3))))))</f>
        <v>NA</v>
      </c>
      <c r="AN20" s="351">
        <f t="shared" si="8"/>
        <v>0.58740000000000003</v>
      </c>
      <c r="AO20" s="350">
        <f t="shared" si="9"/>
        <v>22.321200000000001</v>
      </c>
      <c r="AP20" s="349">
        <f t="shared" si="10"/>
        <v>1</v>
      </c>
      <c r="AQ20" s="350" t="str">
        <f t="shared" si="11"/>
        <v>YES</v>
      </c>
      <c r="AR20" s="351">
        <f t="shared" si="12"/>
        <v>1.2862387607891439</v>
      </c>
      <c r="AS20" s="343" t="str">
        <f t="shared" si="13"/>
        <v>YES</v>
      </c>
      <c r="AT20" s="351">
        <f t="shared" si="14"/>
        <v>2.2468593170464142</v>
      </c>
      <c r="AU20" s="343" t="str">
        <f t="shared" si="15"/>
        <v>YES</v>
      </c>
      <c r="AV20" s="354" t="str">
        <f t="shared" si="16"/>
        <v>1R x 0.6/1kV x 3C x 4 Sqmm</v>
      </c>
      <c r="AW20" s="354" t="str">
        <f t="shared" si="17"/>
        <v>1R x 0.6/1kV x 3C x 4+PE Sqmm</v>
      </c>
      <c r="AX20" s="343">
        <f t="shared" si="85"/>
        <v>378</v>
      </c>
      <c r="AY20" s="355"/>
      <c r="AZ20" s="355">
        <f t="shared" si="86"/>
        <v>2</v>
      </c>
      <c r="BA20" s="356" t="str">
        <f t="shared" si="87"/>
        <v>ACDEE1E2E3</v>
      </c>
      <c r="BB20" s="501">
        <f>VLOOKUP(W20,'Catalogue Aluminium'!$B$9:$H$93,7,FALSE)</f>
        <v>15</v>
      </c>
      <c r="BC20" s="328">
        <f t="shared" si="88"/>
        <v>15</v>
      </c>
      <c r="BE20" s="336"/>
      <c r="BF20" s="336">
        <v>1</v>
      </c>
      <c r="BG20" s="336"/>
      <c r="BH20" s="336"/>
      <c r="BI20" s="336">
        <v>1</v>
      </c>
      <c r="BJ20" s="336">
        <v>1</v>
      </c>
      <c r="BK20" s="336"/>
      <c r="BL20" s="336"/>
      <c r="BM20" s="336"/>
      <c r="BN20" s="336">
        <v>1</v>
      </c>
      <c r="BO20" s="336"/>
      <c r="BP20" s="336">
        <v>1</v>
      </c>
      <c r="BQ20" s="336">
        <v>1</v>
      </c>
      <c r="BR20" s="336">
        <v>1</v>
      </c>
      <c r="BS20" s="336"/>
      <c r="BT20" s="336"/>
      <c r="BU20" s="336"/>
      <c r="BV20" s="336"/>
      <c r="BW20" s="336"/>
      <c r="BX20" s="336"/>
      <c r="BY20" s="336"/>
      <c r="BZ20" s="336"/>
      <c r="CA20" s="336"/>
      <c r="CB20" s="336"/>
      <c r="CC20" s="336"/>
      <c r="CD20" s="336"/>
      <c r="CE20" s="336"/>
      <c r="CF20" s="336"/>
      <c r="CG20" s="336"/>
      <c r="CH20" s="336"/>
      <c r="CI20" s="336"/>
      <c r="CJ20" s="336"/>
      <c r="CK20" s="336"/>
      <c r="CL20" s="336"/>
      <c r="CM20" s="336"/>
      <c r="CN20" s="336"/>
      <c r="CO20" s="336"/>
      <c r="CP20" s="336"/>
      <c r="CQ20" s="336"/>
      <c r="CR20" s="336"/>
      <c r="CS20" s="336"/>
      <c r="CT20" s="336"/>
      <c r="CU20" s="336"/>
      <c r="CV20" s="336"/>
      <c r="CW20" s="336"/>
      <c r="CX20" s="336"/>
      <c r="CY20" s="336"/>
      <c r="CZ20" s="336"/>
      <c r="DA20" s="336"/>
      <c r="DB20" s="336"/>
      <c r="DC20" s="336"/>
      <c r="DD20" s="336"/>
      <c r="DE20" s="336"/>
      <c r="DF20" s="336"/>
      <c r="DG20" s="336"/>
      <c r="DH20" s="336"/>
      <c r="DI20" s="336"/>
      <c r="DJ20" s="336"/>
      <c r="DK20" s="336"/>
      <c r="DL20" s="336"/>
      <c r="DM20" s="336"/>
      <c r="DN20" s="336"/>
      <c r="DO20" s="336"/>
      <c r="DP20" s="336"/>
      <c r="DQ20" s="336"/>
      <c r="DR20" s="336"/>
      <c r="DS20" s="336"/>
      <c r="DT20" s="336"/>
      <c r="DU20" s="336"/>
      <c r="DW20" s="336">
        <f t="shared" si="19"/>
        <v>0</v>
      </c>
      <c r="DX20" s="336">
        <f t="shared" si="20"/>
        <v>15</v>
      </c>
      <c r="DY20" s="336">
        <f t="shared" si="21"/>
        <v>0</v>
      </c>
      <c r="DZ20" s="336">
        <f t="shared" si="22"/>
        <v>0</v>
      </c>
      <c r="EA20" s="336">
        <f t="shared" si="23"/>
        <v>15</v>
      </c>
      <c r="EB20" s="336">
        <f t="shared" si="24"/>
        <v>15</v>
      </c>
      <c r="EC20" s="336">
        <f t="shared" si="25"/>
        <v>0</v>
      </c>
      <c r="ED20" s="336">
        <f t="shared" si="26"/>
        <v>0</v>
      </c>
      <c r="EE20" s="336">
        <f t="shared" si="27"/>
        <v>0</v>
      </c>
      <c r="EF20" s="336">
        <f t="shared" si="28"/>
        <v>15</v>
      </c>
      <c r="EG20" s="336">
        <f t="shared" si="29"/>
        <v>0</v>
      </c>
      <c r="EH20" s="336">
        <f t="shared" si="30"/>
        <v>15</v>
      </c>
      <c r="EI20" s="336">
        <f t="shared" si="31"/>
        <v>15</v>
      </c>
      <c r="EJ20" s="336">
        <f t="shared" si="32"/>
        <v>15</v>
      </c>
      <c r="EK20" s="336">
        <f t="shared" si="33"/>
        <v>0</v>
      </c>
      <c r="EL20" s="336">
        <f t="shared" si="34"/>
        <v>0</v>
      </c>
      <c r="EM20" s="336">
        <f t="shared" si="35"/>
        <v>0</v>
      </c>
      <c r="EN20" s="336">
        <f t="shared" si="36"/>
        <v>0</v>
      </c>
      <c r="EO20" s="336">
        <f t="shared" si="37"/>
        <v>0</v>
      </c>
      <c r="EP20" s="336">
        <f t="shared" si="38"/>
        <v>0</v>
      </c>
      <c r="EQ20" s="336">
        <f t="shared" si="39"/>
        <v>0</v>
      </c>
      <c r="ER20" s="336">
        <f t="shared" si="40"/>
        <v>0</v>
      </c>
      <c r="ES20" s="336">
        <f t="shared" si="41"/>
        <v>0</v>
      </c>
      <c r="ET20" s="336">
        <f t="shared" si="41"/>
        <v>0</v>
      </c>
      <c r="EU20" s="336">
        <f t="shared" si="42"/>
        <v>0</v>
      </c>
      <c r="EV20" s="336">
        <f t="shared" si="43"/>
        <v>0</v>
      </c>
      <c r="EW20" s="336">
        <f t="shared" si="44"/>
        <v>0</v>
      </c>
      <c r="EX20" s="336">
        <f t="shared" si="45"/>
        <v>0</v>
      </c>
      <c r="EY20" s="336">
        <f t="shared" si="46"/>
        <v>0</v>
      </c>
      <c r="EZ20" s="336">
        <f t="shared" si="47"/>
        <v>0</v>
      </c>
      <c r="FA20" s="336">
        <f t="shared" si="48"/>
        <v>0</v>
      </c>
      <c r="FB20" s="336">
        <f t="shared" si="49"/>
        <v>0</v>
      </c>
      <c r="FC20" s="336">
        <f t="shared" si="50"/>
        <v>0</v>
      </c>
      <c r="FD20" s="336">
        <f t="shared" si="51"/>
        <v>0</v>
      </c>
      <c r="FE20" s="336">
        <f t="shared" si="52"/>
        <v>0</v>
      </c>
      <c r="FF20" s="336">
        <f t="shared" si="53"/>
        <v>0</v>
      </c>
      <c r="FG20" s="336">
        <f t="shared" si="54"/>
        <v>0</v>
      </c>
      <c r="FH20" s="336">
        <f t="shared" si="55"/>
        <v>0</v>
      </c>
      <c r="FI20" s="336">
        <f t="shared" si="56"/>
        <v>0</v>
      </c>
      <c r="FJ20" s="336">
        <f t="shared" si="57"/>
        <v>0</v>
      </c>
      <c r="FK20" s="336">
        <f t="shared" si="58"/>
        <v>0</v>
      </c>
      <c r="FL20" s="336">
        <f t="shared" si="59"/>
        <v>0</v>
      </c>
      <c r="FM20" s="336">
        <f t="shared" si="60"/>
        <v>0</v>
      </c>
      <c r="FN20" s="336">
        <f t="shared" si="61"/>
        <v>0</v>
      </c>
      <c r="FO20" s="336">
        <f t="shared" si="62"/>
        <v>0</v>
      </c>
      <c r="FP20" s="336">
        <f t="shared" si="63"/>
        <v>0</v>
      </c>
      <c r="FQ20" s="336">
        <f t="shared" si="64"/>
        <v>0</v>
      </c>
      <c r="FR20" s="336">
        <f t="shared" si="65"/>
        <v>0</v>
      </c>
      <c r="FS20" s="336">
        <f t="shared" si="66"/>
        <v>0</v>
      </c>
      <c r="FT20" s="336">
        <f t="shared" si="67"/>
        <v>0</v>
      </c>
      <c r="FU20" s="336">
        <f t="shared" si="89"/>
        <v>0</v>
      </c>
      <c r="FV20" s="336">
        <f t="shared" si="90"/>
        <v>0</v>
      </c>
      <c r="FW20" s="336">
        <f t="shared" si="91"/>
        <v>0</v>
      </c>
      <c r="FX20" s="336">
        <f t="shared" si="92"/>
        <v>0</v>
      </c>
      <c r="FY20" s="336">
        <f t="shared" si="68"/>
        <v>0</v>
      </c>
      <c r="FZ20" s="336">
        <f t="shared" si="69"/>
        <v>0</v>
      </c>
      <c r="GA20" s="336">
        <f t="shared" si="70"/>
        <v>0</v>
      </c>
      <c r="GB20" s="336">
        <f t="shared" si="71"/>
        <v>0</v>
      </c>
      <c r="GC20" s="336">
        <f t="shared" si="72"/>
        <v>0</v>
      </c>
      <c r="GD20" s="336">
        <f t="shared" si="73"/>
        <v>0</v>
      </c>
      <c r="GE20" s="336">
        <f t="shared" si="74"/>
        <v>0</v>
      </c>
      <c r="GF20" s="336">
        <f t="shared" si="75"/>
        <v>0</v>
      </c>
      <c r="GG20" s="336">
        <f t="shared" si="76"/>
        <v>0</v>
      </c>
      <c r="GH20" s="336">
        <f t="shared" si="77"/>
        <v>0</v>
      </c>
      <c r="GI20" s="336">
        <f t="shared" si="78"/>
        <v>0</v>
      </c>
      <c r="GJ20" s="336">
        <f t="shared" si="79"/>
        <v>0</v>
      </c>
      <c r="GK20" s="336">
        <f t="shared" si="80"/>
        <v>0</v>
      </c>
      <c r="GL20" s="336">
        <f t="shared" si="93"/>
        <v>0</v>
      </c>
      <c r="GM20" s="336">
        <f t="shared" si="81"/>
        <v>0</v>
      </c>
    </row>
    <row r="21" spans="1:195" s="869" customFormat="1" ht="35.25" customHeight="1">
      <c r="A21" s="406">
        <f t="shared" si="94"/>
        <v>11</v>
      </c>
      <c r="B21" s="406"/>
      <c r="C21" s="406" t="str">
        <f t="shared" si="0"/>
        <v>PMCC-1</v>
      </c>
      <c r="D21" s="787" t="s">
        <v>1744</v>
      </c>
      <c r="E21" s="580" t="s">
        <v>345</v>
      </c>
      <c r="F21" s="406" t="s">
        <v>28</v>
      </c>
      <c r="G21" s="406" t="s">
        <v>350</v>
      </c>
      <c r="H21" s="864">
        <v>0.01</v>
      </c>
      <c r="I21" s="406" t="s">
        <v>330</v>
      </c>
      <c r="J21" s="406" t="s">
        <v>357</v>
      </c>
      <c r="K21" s="585">
        <v>230</v>
      </c>
      <c r="L21" s="409">
        <v>0.73</v>
      </c>
      <c r="M21" s="583">
        <v>0.82499999999999996</v>
      </c>
      <c r="N21" s="407">
        <f t="shared" ref="N21:N22" si="95">IF(I21="kVA",IF(J21="3Ph",(H21*1000/(1.732*M21*K21)),(H21*1000/(M21*K21))),IF(I21="kW",IF(J21="3Ph",(H21*1000/(1.732*M21*K21*L21)),(H21*1000/(M21*K21*L21)))))</f>
        <v>7.219304420019132E-2</v>
      </c>
      <c r="O21" s="407">
        <f t="shared" ref="O21:O22" si="96">IF(G21="MOTOR",(6*N21),IF(G21="VFD",(1*N21),0))</f>
        <v>0.43315826520114792</v>
      </c>
      <c r="P21" s="409">
        <f t="shared" ref="P21:P22" si="97">IF(G21="MOTOR",0.2,"0.00")</f>
        <v>0.2</v>
      </c>
      <c r="Q21" s="583">
        <v>65</v>
      </c>
      <c r="R21" s="583">
        <v>0</v>
      </c>
      <c r="S21" s="583">
        <f t="shared" ref="S21:S22" si="98">(Q21*1000*SQRT(R21)/143)</f>
        <v>0</v>
      </c>
      <c r="T21" s="409" t="s">
        <v>131</v>
      </c>
      <c r="U21" s="583" t="s">
        <v>333</v>
      </c>
      <c r="V21" s="409">
        <v>4</v>
      </c>
      <c r="W21" s="409" t="str">
        <f t="shared" ref="W21:W22" si="99">CONCATENATE(U21," X ",V21)</f>
        <v>3C X 4</v>
      </c>
      <c r="X21" s="409" t="str">
        <f t="shared" ref="X21:X22" si="100">(IF(J21="1Ph",W21,IF(J21="3Ph",(IF(G21="MOTOR",(CONCATENATE(W21,"+PE")),W21)))))</f>
        <v>3C X 4</v>
      </c>
      <c r="Y21" s="409" t="s">
        <v>358</v>
      </c>
      <c r="Z21" s="408">
        <f>IF(T21="AIR",VLOOKUP(W21,'Catalogue Aluminium'!$B$9:$G$93,2,FALSE),IF(T21="GROUND",VLOOKUP(W21,'Catalogue Aluminium'!$B$9:$G$93,3,FALSE),IF(T21="DUCT",VLOOKUP(W21,'Catalogue Aluminium'!$B$9:$G$93,4,FALSE),IF(T21="TRENCH",VLOOKUP(W21,'Catalogue Aluminium'!$B$9:$G$93,2,FALSE)))))</f>
        <v>38</v>
      </c>
      <c r="AA21" s="410">
        <f>VLOOKUP(W21,'Catalogue Aluminium'!$B$9:$G$93,5,FALSE)</f>
        <v>5.9</v>
      </c>
      <c r="AB21" s="410">
        <f>VLOOKUP(W21,'Catalogue Aluminium'!$B$9:$G$93,6,FALSE)</f>
        <v>9.4700000000000006E-2</v>
      </c>
      <c r="AC21" s="409">
        <f t="shared" ref="AC21" si="101">26+3</f>
        <v>29</v>
      </c>
      <c r="AD21" s="409">
        <f t="shared" ref="AD21:AD22" si="102">40+50+38+50+17+(27+30+9+2+5)</f>
        <v>268</v>
      </c>
      <c r="AE21" s="409">
        <f t="shared" si="82"/>
        <v>38</v>
      </c>
      <c r="AF21" s="409">
        <v>8</v>
      </c>
      <c r="AG21" s="409">
        <f t="shared" ref="AG21:AG22" si="103">ROUNDUP((SUM(AC21:AF21)*0.1),0)</f>
        <v>35</v>
      </c>
      <c r="AH21" s="865">
        <f t="shared" ref="AH21:AH22" si="104">SUM(AC21:AG21)</f>
        <v>378</v>
      </c>
      <c r="AI21" s="408">
        <f>IF(T21="AIR",'Catalogue Aluminium'!$K$9,IF(T21="TRENCH",'Catalogue Aluminium'!$K$12,"NA"))</f>
        <v>0.89</v>
      </c>
      <c r="AJ21" s="407">
        <f>IF(T21="Air",(IF(U21="1C",'Catalogue Aluminium'!$L$9,'Catalogue Aluminium'!$M$9)),IF(T21="DUCT",(IF($U21="1C",'Catalogue Aluminium'!$L$10,'Catalogue Aluminium'!$M$10)),IF(T21="GROUND",(IF($U21="1C",'Catalogue Aluminium'!$L$11,'Catalogue Aluminium'!$M$11)),IF(T21="TRENCH",(IF($U21="1C",'Catalogue Aluminium'!$L$12,'Catalogue Aluminium'!$M$12))))))</f>
        <v>0.66</v>
      </c>
      <c r="AK21" s="408" t="str">
        <f>IF(T21="Air",'Catalogue Aluminium'!$N$9,IF(T21="GROUND",'Catalogue Aluminium'!$N$10,IF(T21="DUCT",'Catalogue Aluminium'!$N$11,IF(T21="TRENCH",'Catalogue Aluminium'!$N$12,"NA"))))</f>
        <v>NA</v>
      </c>
      <c r="AL21" s="408" t="str">
        <f>IF(T21="Air",(IF(U21="1C",'Catalogue Aluminium'!$O$9,'Catalogue Aluminium'!$P$9)),IF(T21="DUCT",(IF($U21="1C",'Catalogue Aluminium'!$O$10,'Catalogue Aluminium'!$P$10)),IF(T21="GROUND",(IF($U21="1C",'Catalogue Aluminium'!$O$11,'Catalogue Aluminium'!$P$11)),IF(T21="TRENCH",(IF($U21="1C",'Catalogue Aluminium'!$O$12,'Catalogue Aluminium'!$P$12))))))</f>
        <v>NA</v>
      </c>
      <c r="AM21" s="408" t="str">
        <f>IF(T21="AIR","NA",IF(T21="TRENCH","NA",IF(T21="DUCT",IF(U21="1C",VLOOKUP(V21,'Catalogue Aluminium'!$Q$9:$S$28,2,FALSE),VLOOKUP(V21,'Catalogue Aluminium'!$Q$9:$S$28,3)),IF(T21="GROUND",IF(U21="1C",VLOOKUP(V21,'Catalogue Aluminium'!$Q$9:$S$28,2,FALSE),VLOOKUP(V21,'Catalogue Aluminium'!$Q$9:$S$28,3))))))</f>
        <v>NA</v>
      </c>
      <c r="AN21" s="584">
        <f t="shared" ref="AN21:AN22" si="105">IF(T21="AIR",AI21*AJ21,IF(T21="TRENCH",AI21*AJ21,IF(T21="DUCT",AJ21*AK21*AL21*AM21,IF(T21="GROUND",AJ21*AK21*AL21*AM21))))</f>
        <v>0.58740000000000003</v>
      </c>
      <c r="AO21" s="583">
        <f t="shared" ref="AO21:AO22" si="106">Z21*AN21</f>
        <v>22.321200000000001</v>
      </c>
      <c r="AP21" s="585">
        <f t="shared" ref="AP21:AP22" si="107">CEILING(((N21)/AO21),1)</f>
        <v>1</v>
      </c>
      <c r="AQ21" s="583" t="str">
        <f t="shared" ref="AQ21:AQ22" si="108">IF(AO21*AP21&gt;=N21,"YES","NO")</f>
        <v>YES</v>
      </c>
      <c r="AR21" s="584">
        <f t="shared" ref="AR21:AR22" si="109">SQRT(3)*AH21*N21*((AA21*L21)+(AB21*SIN(ACOS(L21))))*100/(AP21*K21*1000)</f>
        <v>8.9840576027696933E-2</v>
      </c>
      <c r="AS21" s="409" t="str">
        <f t="shared" ref="AS21:AS22" si="110">IF(G21="INCOMER",(IF(AR21&lt;=2,"YES","NO")),IF(G21="POWER",(IF(AR21&lt;=2.5,"YES","NO")),IF(G21="MOTOR",(IF(AR21&lt;=3,"YES","NO")))))</f>
        <v>YES</v>
      </c>
      <c r="AT21" s="584">
        <f t="shared" ref="AT21:AT22" si="111">IF(G21="MOTOR",(SQRT(3)*AH21*O21*((AA21*P21)+(AB21*SIN(ACOS(P21))))*100/(AP21*K21*1000)),"NA")</f>
        <v>0.15693753092373092</v>
      </c>
      <c r="AU21" s="409" t="str">
        <f t="shared" ref="AU21:AU22" si="112">IF(G21="MOTOR",IF(AT21&lt;=15,"YES","NO"),"NA")</f>
        <v>YES</v>
      </c>
      <c r="AV21" s="586" t="str">
        <f t="shared" ref="AV21:AV22" si="113">IF(U21="1C",CONCATENATE(AP21,"R x ",Y21,"kV x ",U21," x ",V21," Sqmm/Phase"),CONCATENATE(AP21,"R x ",0.6,"/1kV x ",U21," x ",V21," Sqmm"))</f>
        <v>1R x 0.6/1kV x 3C x 4 Sqmm</v>
      </c>
      <c r="AW21" s="586" t="str">
        <f t="shared" ref="AW21:AW22" si="114">IF(U21="1C",CONCATENATE(AP21,"R x ",Y21,"kV x ",U21," x ",V21," Sqmm/Phase"),CONCATENATE(AP21,"R x ",0.6,"/1kV x ",U21," x ",V21,(IF(G21="MOTOR","+PE",""))," Sqmm"))</f>
        <v>1R x 0.6/1kV x 3C x 4+PE Sqmm</v>
      </c>
      <c r="AX21" s="409">
        <f t="shared" ref="AX21:AX22" si="115">(IF(K21=400,(IF(U21="1C",(4*AH21*AP21),(AH21*AP21))),IF(K21=230,(AH21*AP21))))</f>
        <v>378</v>
      </c>
      <c r="AY21" s="866"/>
      <c r="AZ21" s="866">
        <f t="shared" ref="AZ21:AZ22" si="116">IF(U21="1C",(3*AP21*2),(AP21*2))</f>
        <v>2</v>
      </c>
      <c r="BA21" s="867" t="str">
        <f t="shared" ref="BA21:BA22" si="117">CONCATENATE(IF(BE21=1,BE$4,""),IF(BF21=1,BF$4,""),IF(BG21=1,BG$4,""),IF(BH21=1,BH$4,""),IF(BI21=1,BI$4,""),IF(BJ21=1,BJ$4,""),IF(BK21=1,BK$4,""),IF(BL21=1,BL$4,""),IF(BM21=1,BM$4,""),IF(BN21=1,BN$4,""),IF(BO21=1,BO$4,""),IF(BP21=1,BP$4,""),IF(BQ21=1,BQ$4,""),IF(BR21=1,BR$4,""),IF(BS21=1,BS$4,""),IF(BT21=1,BT$4,""),IF(BU21=1,BU$4,""),IF(BV21=1,BV$4,""),IF(BW21=1,BW$4,""),IF(BX21=1,BX$4,""),IF(BY21=1,BY$4,""),IF(BZ21=1,BZ$4,""),IF(CA21=1,CA$4,""),IF(CB21=1,CB$4,""),IF(CC21=1,CC$4,""),IF(CD21=1,CD$4,""),IF(CE21=1,CE$4,""),IF(CF21=1,CF$4,""),IF(CG21=1,CG$4,""),IF(CH21=1,CH$4,""),IF(CI21=1,CI$4,""),IF(CJ21=1,CJ$4,""),IF(CK21=1,CK$4,""),IF(CL21=1,CL$4,""),IF(CM21=1,CM$4,""),IF(CN21=1,CN$4,""),IF(CO21=1,CO$4,""),IF(CP21=1,CP$4,""),IF(CQ21=1,CQ$4,""),IF(CR21=1,CR$4,""),IF(CS21=1,CS$4,""),IF(CT21=1,CT$4,""),IF(CU21=1,CU$4,""),IF(CV21=1,CV$4,""),IF(CW21=1,CW$4,""),IF(CX21=1,CX$4,""),IF(CY21=1,CY$4,""),IF(CZ21=1,CZ$4,""),IF(DA21=1,DA$4,""),IF(DB21=1,DB$4,""),IF(DC21=1,DC$4,""),IF(DD21=1,DD$4,""),IF(DE21=1,DE$4,""),IF(DF21=1,DF$4,""),IF(DG21=1,DG$4,""),IF(DH21=1,DH$4,""),IF(DI21=1,DI$4,""),IF(DJ21=1,DJ$4,""),IF(DK21=1,DK$4,""),IF(DL21=1,DL$4,""),IF(DM21=1,DM$4,""),IF(DN21=1,DN$4,""),IF(DO21=1,DO$4,""),IF(DP21=1,DP$4,""),IF(DQ21=1,DQ$4,""),IF(DR21=1,DR$4,""),IF(DS21=1,DS$4,""),IF(DT21=1,DT$4,""),IF(DU21=1,DU$4,""))</f>
        <v>ACDEE1E2E3</v>
      </c>
      <c r="BB21" s="868">
        <f>VLOOKUP(W21,'Catalogue Aluminium'!$B$9:$H$93,7,FALSE)</f>
        <v>15</v>
      </c>
      <c r="BC21" s="789">
        <f t="shared" ref="BC21:BC22" si="118">AP21*BB21</f>
        <v>15</v>
      </c>
      <c r="BE21" s="587"/>
      <c r="BF21" s="587">
        <v>1</v>
      </c>
      <c r="BG21" s="587"/>
      <c r="BH21" s="587"/>
      <c r="BI21" s="587">
        <v>1</v>
      </c>
      <c r="BJ21" s="587">
        <v>1</v>
      </c>
      <c r="BK21" s="587"/>
      <c r="BL21" s="587"/>
      <c r="BM21" s="587"/>
      <c r="BN21" s="587">
        <v>1</v>
      </c>
      <c r="BO21" s="587"/>
      <c r="BP21" s="587">
        <v>1</v>
      </c>
      <c r="BQ21" s="587">
        <v>1</v>
      </c>
      <c r="BR21" s="587">
        <v>1</v>
      </c>
      <c r="BS21" s="587"/>
      <c r="BT21" s="587"/>
      <c r="BU21" s="587"/>
      <c r="BV21" s="587"/>
      <c r="BW21" s="587"/>
      <c r="BX21" s="587"/>
      <c r="BY21" s="587"/>
      <c r="BZ21" s="587"/>
      <c r="CA21" s="587"/>
      <c r="CB21" s="587"/>
      <c r="CC21" s="587"/>
      <c r="CD21" s="587"/>
      <c r="CE21" s="587"/>
      <c r="CF21" s="587"/>
      <c r="CG21" s="587"/>
      <c r="CH21" s="587"/>
      <c r="CI21" s="587"/>
      <c r="CJ21" s="587"/>
      <c r="CK21" s="587"/>
      <c r="CL21" s="587"/>
      <c r="CM21" s="587"/>
      <c r="CN21" s="587"/>
      <c r="CO21" s="587"/>
      <c r="CP21" s="587"/>
      <c r="CQ21" s="587"/>
      <c r="CR21" s="587"/>
      <c r="CS21" s="587"/>
      <c r="CT21" s="587"/>
      <c r="CU21" s="587"/>
      <c r="CV21" s="587"/>
      <c r="CW21" s="587"/>
      <c r="CX21" s="587"/>
      <c r="CY21" s="587"/>
      <c r="CZ21" s="587"/>
      <c r="DA21" s="587"/>
      <c r="DB21" s="587"/>
      <c r="DC21" s="587"/>
      <c r="DD21" s="587"/>
      <c r="DE21" s="587"/>
      <c r="DF21" s="587"/>
      <c r="DG21" s="587"/>
      <c r="DH21" s="587"/>
      <c r="DI21" s="587"/>
      <c r="DJ21" s="587"/>
      <c r="DK21" s="587"/>
      <c r="DL21" s="587"/>
      <c r="DM21" s="587"/>
      <c r="DN21" s="587"/>
      <c r="DO21" s="587"/>
      <c r="DP21" s="587"/>
      <c r="DQ21" s="587"/>
      <c r="DR21" s="587"/>
      <c r="DS21" s="587"/>
      <c r="DT21" s="587"/>
      <c r="DU21" s="587"/>
      <c r="DW21" s="587">
        <f t="shared" ref="DW21:DW22" si="119">IF(BE21=1,($BC21*BE21),0)</f>
        <v>0</v>
      </c>
      <c r="DX21" s="587">
        <f t="shared" ref="DX21:DX22" si="120">IF(BF21=1,($BC21*BF21),0)</f>
        <v>15</v>
      </c>
      <c r="DY21" s="587">
        <f t="shared" ref="DY21:DY22" si="121">IF(BG21=1,($BC21*BG21),0)</f>
        <v>0</v>
      </c>
      <c r="DZ21" s="587">
        <f t="shared" ref="DZ21:DZ22" si="122">IF(BH21=1,($BC21*BH21),0)</f>
        <v>0</v>
      </c>
      <c r="EA21" s="587">
        <f t="shared" ref="EA21:EA22" si="123">IF(BI21=1,($BC21*BI21),0)</f>
        <v>15</v>
      </c>
      <c r="EB21" s="587">
        <f t="shared" ref="EB21:EB22" si="124">IF(BJ21=1,($BC21*BJ21),0)</f>
        <v>15</v>
      </c>
      <c r="EC21" s="587">
        <f t="shared" ref="EC21:EC22" si="125">IF(BK21=1,($BC21*BK21),0)</f>
        <v>0</v>
      </c>
      <c r="ED21" s="587">
        <f t="shared" ref="ED21:ED22" si="126">IF(BL21=1,($BC21*BL21),0)</f>
        <v>0</v>
      </c>
      <c r="EE21" s="587">
        <f t="shared" ref="EE21:EE22" si="127">IF(BM21=1,($BC21*BM21),0)</f>
        <v>0</v>
      </c>
      <c r="EF21" s="587">
        <f t="shared" ref="EF21:EF22" si="128">IF(BN21=1,($BC21*BN21),0)</f>
        <v>15</v>
      </c>
      <c r="EG21" s="587">
        <f t="shared" ref="EG21:EG22" si="129">IF(BO21=1,($BC21*BO21),0)</f>
        <v>0</v>
      </c>
      <c r="EH21" s="587">
        <f t="shared" ref="EH21:EH22" si="130">IF(BP21=1,($BC21*BP21),0)</f>
        <v>15</v>
      </c>
      <c r="EI21" s="587">
        <f t="shared" ref="EI21:EI22" si="131">IF(BQ21=1,($BC21*BQ21),0)</f>
        <v>15</v>
      </c>
      <c r="EJ21" s="587">
        <f t="shared" ref="EJ21:EJ22" si="132">IF(BR21=1,($BC21*BR21),0)</f>
        <v>15</v>
      </c>
      <c r="EK21" s="587">
        <f t="shared" ref="EK21:EK22" si="133">IF(BS21=1,($BC21*BS21),0)</f>
        <v>0</v>
      </c>
      <c r="EL21" s="587">
        <f t="shared" ref="EL21:EL22" si="134">IF(BT21=1,($BC21*BT21),0)</f>
        <v>0</v>
      </c>
      <c r="EM21" s="587">
        <f t="shared" ref="EM21:EM22" si="135">IF(BU21=1,($BC21*BU21),0)</f>
        <v>0</v>
      </c>
      <c r="EN21" s="587">
        <f t="shared" ref="EN21:EN22" si="136">IF(BV21=1,($BC21*BV21),0)</f>
        <v>0</v>
      </c>
      <c r="EO21" s="587">
        <f t="shared" ref="EO21:EO22" si="137">IF(BW21=1,($BC21*BW21),0)</f>
        <v>0</v>
      </c>
      <c r="EP21" s="587">
        <f t="shared" ref="EP21:EP22" si="138">IF(BX21=1,($BC21*BX21),0)</f>
        <v>0</v>
      </c>
      <c r="EQ21" s="587">
        <f t="shared" ref="EQ21:EQ22" si="139">IF(BY21=1,($BC21*BY21),0)</f>
        <v>0</v>
      </c>
      <c r="ER21" s="587">
        <f t="shared" ref="ER21:ER22" si="140">IF(BZ21=1,($BC21*BZ21),0)</f>
        <v>0</v>
      </c>
      <c r="ES21" s="587">
        <f t="shared" ref="ES21:ES22" si="141">IF(CA21=1,($BC21*CA21),0)</f>
        <v>0</v>
      </c>
      <c r="ET21" s="587">
        <f t="shared" ref="ET21:ET22" si="142">IF(CB21=1,($BC21*CB21),0)</f>
        <v>0</v>
      </c>
      <c r="EU21" s="587">
        <f t="shared" ref="EU21:EU22" si="143">IF(CC21=1,($BC21*CC21),0)</f>
        <v>0</v>
      </c>
      <c r="EV21" s="587">
        <f t="shared" ref="EV21:EV22" si="144">IF(CD21=1,($BC21*CD21),0)</f>
        <v>0</v>
      </c>
      <c r="EW21" s="587">
        <f t="shared" ref="EW21:EW22" si="145">IF(CE21=1,($BC21*CE21),0)</f>
        <v>0</v>
      </c>
      <c r="EX21" s="587">
        <f t="shared" ref="EX21:EX22" si="146">IF(CF21=1,($BC21*CF21),0)</f>
        <v>0</v>
      </c>
      <c r="EY21" s="587">
        <f t="shared" ref="EY21:EY22" si="147">IF(CG21=1,($BC21*CG21),0)</f>
        <v>0</v>
      </c>
      <c r="EZ21" s="587">
        <f t="shared" ref="EZ21:EZ22" si="148">IF(CH21=1,($BC21*CH21),0)</f>
        <v>0</v>
      </c>
      <c r="FA21" s="587">
        <f t="shared" ref="FA21:FA22" si="149">IF(CI21=1,($BC21*CI21),0)</f>
        <v>0</v>
      </c>
      <c r="FB21" s="587">
        <f t="shared" ref="FB21:FB22" si="150">IF(CJ21=1,($BC21*CJ21),0)</f>
        <v>0</v>
      </c>
      <c r="FC21" s="587">
        <f t="shared" ref="FC21:FC22" si="151">IF(CK21=1,($BC21*CK21),0)</f>
        <v>0</v>
      </c>
      <c r="FD21" s="587">
        <f t="shared" ref="FD21:FD22" si="152">IF(CL21=1,($BC21*CL21),0)</f>
        <v>0</v>
      </c>
      <c r="FE21" s="587">
        <f t="shared" ref="FE21:FE22" si="153">IF(CM21=1,($BC21*CM21),0)</f>
        <v>0</v>
      </c>
      <c r="FF21" s="587">
        <f t="shared" ref="FF21:FF22" si="154">IF(CN21=1,($BC21*CN21),0)</f>
        <v>0</v>
      </c>
      <c r="FG21" s="587">
        <f t="shared" ref="FG21:FG22" si="155">IF(CO21=1,($BC21*CO21),0)</f>
        <v>0</v>
      </c>
      <c r="FH21" s="587">
        <f t="shared" ref="FH21:FH22" si="156">IF(CP21=1,($BC21*CP21),0)</f>
        <v>0</v>
      </c>
      <c r="FI21" s="587">
        <f t="shared" ref="FI21:FI22" si="157">IF(CQ21=1,($BC21*CQ21),0)</f>
        <v>0</v>
      </c>
      <c r="FJ21" s="587">
        <f t="shared" ref="FJ21:FJ22" si="158">IF(CR21=1,($BC21*CR21),0)</f>
        <v>0</v>
      </c>
      <c r="FK21" s="587">
        <f t="shared" ref="FK21:FK22" si="159">IF(CS21=1,($BC21*CS21),0)</f>
        <v>0</v>
      </c>
      <c r="FL21" s="587">
        <f t="shared" ref="FL21:FL22" si="160">IF(CT21=1,($BC21*CT21),0)</f>
        <v>0</v>
      </c>
      <c r="FM21" s="587">
        <f t="shared" ref="FM21:FM22" si="161">IF(CU21=1,($BC21*CU21),0)</f>
        <v>0</v>
      </c>
      <c r="FN21" s="587">
        <f t="shared" ref="FN21:FN22" si="162">IF(CV21=1,($BC21*CV21),0)</f>
        <v>0</v>
      </c>
      <c r="FO21" s="587">
        <f t="shared" ref="FO21:FO22" si="163">IF(CW21=1,($BC21*CW21),0)</f>
        <v>0</v>
      </c>
      <c r="FP21" s="587">
        <f t="shared" ref="FP21:FP22" si="164">IF(CX21=1,($BC21*CX21),0)</f>
        <v>0</v>
      </c>
      <c r="FQ21" s="587">
        <f t="shared" ref="FQ21:FQ22" si="165">IF(CY21=1,($BC21*CY21),0)</f>
        <v>0</v>
      </c>
      <c r="FR21" s="587">
        <f t="shared" ref="FR21:FR22" si="166">IF(CZ21=1,($BC21*CZ21),0)</f>
        <v>0</v>
      </c>
      <c r="FS21" s="587">
        <f t="shared" ref="FS21:FS22" si="167">IF(DA21=1,($BC21*DA21),0)</f>
        <v>0</v>
      </c>
      <c r="FT21" s="587">
        <f t="shared" ref="FT21:FT22" si="168">IF(DB21=1,($BC21*DB21),0)</f>
        <v>0</v>
      </c>
      <c r="FU21" s="587">
        <f t="shared" ref="FU21:FU22" si="169">IF(DC21=1,($BC21*DC21),0)</f>
        <v>0</v>
      </c>
      <c r="FV21" s="587">
        <f t="shared" ref="FV21:FV22" si="170">IF(DD21=1,($BC21*DD21),0)</f>
        <v>0</v>
      </c>
      <c r="FW21" s="587">
        <f t="shared" ref="FW21:FW22" si="171">IF(DE21=1,($BC21*DE21),0)</f>
        <v>0</v>
      </c>
      <c r="FX21" s="587">
        <f t="shared" ref="FX21:FX22" si="172">IF(DF21=1,($BC21*DF21),0)</f>
        <v>0</v>
      </c>
      <c r="FY21" s="587">
        <f t="shared" ref="FY21:FY22" si="173">IF(DG21=1,($BC21*DG21),0)</f>
        <v>0</v>
      </c>
      <c r="FZ21" s="587">
        <f t="shared" ref="FZ21:FZ22" si="174">IF(DH21=1,($BC21*DH21),0)</f>
        <v>0</v>
      </c>
      <c r="GA21" s="587">
        <f t="shared" ref="GA21:GA22" si="175">IF(DI21=1,($BC21*DI21),0)</f>
        <v>0</v>
      </c>
      <c r="GB21" s="587">
        <f t="shared" ref="GB21:GB22" si="176">IF(DJ21=1,($BC21*DJ21),0)</f>
        <v>0</v>
      </c>
      <c r="GC21" s="587">
        <f t="shared" ref="GC21:GC22" si="177">IF(DK21=1,($BC21*DK21),0)</f>
        <v>0</v>
      </c>
      <c r="GD21" s="587">
        <f t="shared" ref="GD21:GD22" si="178">IF(DL21=1,($BC21*DL21),0)</f>
        <v>0</v>
      </c>
      <c r="GE21" s="587">
        <f t="shared" ref="GE21:GE22" si="179">IF(DM21=1,($BC21*DM21),0)</f>
        <v>0</v>
      </c>
      <c r="GF21" s="587">
        <f t="shared" ref="GF21:GF22" si="180">IF(DN21=1,($BC21*DN21),0)</f>
        <v>0</v>
      </c>
      <c r="GG21" s="587">
        <f t="shared" ref="GG21:GG22" si="181">IF(DO21=1,($BC21*DO21),0)</f>
        <v>0</v>
      </c>
      <c r="GH21" s="587">
        <f t="shared" ref="GH21:GH22" si="182">IF(DP21=1,($BC21*DP21),0)</f>
        <v>0</v>
      </c>
      <c r="GI21" s="587">
        <f t="shared" ref="GI21:GI22" si="183">IF(DQ21=1,($BC21*DQ21),0)</f>
        <v>0</v>
      </c>
      <c r="GJ21" s="587">
        <f t="shared" ref="GJ21:GJ22" si="184">IF(DR21=1,($BC21*DR21),0)</f>
        <v>0</v>
      </c>
      <c r="GK21" s="587">
        <f t="shared" ref="GK21:GK22" si="185">IF(DS21=1,($BC21*DS21),0)</f>
        <v>0</v>
      </c>
      <c r="GL21" s="587">
        <f t="shared" ref="GL21:GL22" si="186">IF(DT21=1,($BC21*DT21),0)</f>
        <v>0</v>
      </c>
      <c r="GM21" s="587">
        <f t="shared" ref="GM21:GM22" si="187">IF(DU21=1,($BC21*DU21),0)</f>
        <v>0</v>
      </c>
    </row>
    <row r="22" spans="1:195" s="869" customFormat="1" ht="35.25" customHeight="1">
      <c r="A22" s="406">
        <f t="shared" si="94"/>
        <v>12</v>
      </c>
      <c r="B22" s="406"/>
      <c r="C22" s="406" t="str">
        <f t="shared" si="0"/>
        <v>PMCC-1</v>
      </c>
      <c r="D22" s="787" t="s">
        <v>1745</v>
      </c>
      <c r="E22" s="580" t="s">
        <v>345</v>
      </c>
      <c r="F22" s="406" t="s">
        <v>29</v>
      </c>
      <c r="G22" s="406" t="s">
        <v>350</v>
      </c>
      <c r="H22" s="864">
        <v>0.01</v>
      </c>
      <c r="I22" s="406" t="s">
        <v>330</v>
      </c>
      <c r="J22" s="406" t="s">
        <v>357</v>
      </c>
      <c r="K22" s="585">
        <v>230</v>
      </c>
      <c r="L22" s="409">
        <v>0.73</v>
      </c>
      <c r="M22" s="583">
        <v>0.82499999999999996</v>
      </c>
      <c r="N22" s="407">
        <f t="shared" si="95"/>
        <v>7.219304420019132E-2</v>
      </c>
      <c r="O22" s="407">
        <f t="shared" si="96"/>
        <v>0.43315826520114792</v>
      </c>
      <c r="P22" s="409">
        <f t="shared" si="97"/>
        <v>0.2</v>
      </c>
      <c r="Q22" s="583">
        <v>65</v>
      </c>
      <c r="R22" s="583">
        <v>0</v>
      </c>
      <c r="S22" s="583">
        <f t="shared" si="98"/>
        <v>0</v>
      </c>
      <c r="T22" s="409" t="s">
        <v>131</v>
      </c>
      <c r="U22" s="583" t="s">
        <v>333</v>
      </c>
      <c r="V22" s="409">
        <v>4</v>
      </c>
      <c r="W22" s="409" t="str">
        <f t="shared" si="99"/>
        <v>3C X 4</v>
      </c>
      <c r="X22" s="409" t="str">
        <f t="shared" si="100"/>
        <v>3C X 4</v>
      </c>
      <c r="Y22" s="409" t="s">
        <v>358</v>
      </c>
      <c r="Z22" s="408">
        <f>IF(T22="AIR",VLOOKUP(W22,'Catalogue Aluminium'!$B$9:$G$93,2,FALSE),IF(T22="GROUND",VLOOKUP(W22,'Catalogue Aluminium'!$B$9:$G$93,3,FALSE),IF(T22="DUCT",VLOOKUP(W22,'Catalogue Aluminium'!$B$9:$G$93,4,FALSE),IF(T22="TRENCH",VLOOKUP(W22,'Catalogue Aluminium'!$B$9:$G$93,2,FALSE)))))</f>
        <v>38</v>
      </c>
      <c r="AA22" s="410">
        <f>VLOOKUP(W22,'Catalogue Aluminium'!$B$9:$G$93,5,FALSE)</f>
        <v>5.9</v>
      </c>
      <c r="AB22" s="410">
        <f>VLOOKUP(W22,'Catalogue Aluminium'!$B$9:$G$93,6,FALSE)</f>
        <v>9.4700000000000006E-2</v>
      </c>
      <c r="AC22" s="409">
        <f>35+3</f>
        <v>38</v>
      </c>
      <c r="AD22" s="409">
        <f t="shared" si="102"/>
        <v>268</v>
      </c>
      <c r="AE22" s="409">
        <f t="shared" si="82"/>
        <v>38</v>
      </c>
      <c r="AF22" s="409">
        <v>8</v>
      </c>
      <c r="AG22" s="409">
        <f t="shared" si="103"/>
        <v>36</v>
      </c>
      <c r="AH22" s="865">
        <f t="shared" si="104"/>
        <v>388</v>
      </c>
      <c r="AI22" s="408">
        <f>IF(T22="AIR",'Catalogue Aluminium'!$K$9,IF(T22="TRENCH",'Catalogue Aluminium'!$K$12,"NA"))</f>
        <v>0.89</v>
      </c>
      <c r="AJ22" s="407">
        <f>IF(T22="Air",(IF(U22="1C",'Catalogue Aluminium'!$L$9,'Catalogue Aluminium'!$M$9)),IF(T22="DUCT",(IF($U22="1C",'Catalogue Aluminium'!$L$10,'Catalogue Aluminium'!$M$10)),IF(T22="GROUND",(IF($U22="1C",'Catalogue Aluminium'!$L$11,'Catalogue Aluminium'!$M$11)),IF(T22="TRENCH",(IF($U22="1C",'Catalogue Aluminium'!$L$12,'Catalogue Aluminium'!$M$12))))))</f>
        <v>0.66</v>
      </c>
      <c r="AK22" s="408" t="str">
        <f>IF(T22="Air",'Catalogue Aluminium'!$N$9,IF(T22="GROUND",'Catalogue Aluminium'!$N$10,IF(T22="DUCT",'Catalogue Aluminium'!$N$11,IF(T22="TRENCH",'Catalogue Aluminium'!$N$12,"NA"))))</f>
        <v>NA</v>
      </c>
      <c r="AL22" s="408" t="str">
        <f>IF(T22="Air",(IF(U22="1C",'Catalogue Aluminium'!$O$9,'Catalogue Aluminium'!$P$9)),IF(T22="DUCT",(IF($U22="1C",'Catalogue Aluminium'!$O$10,'Catalogue Aluminium'!$P$10)),IF(T22="GROUND",(IF($U22="1C",'Catalogue Aluminium'!$O$11,'Catalogue Aluminium'!$P$11)),IF(T22="TRENCH",(IF($U22="1C",'Catalogue Aluminium'!$O$12,'Catalogue Aluminium'!$P$12))))))</f>
        <v>NA</v>
      </c>
      <c r="AM22" s="408" t="str">
        <f>IF(T22="AIR","NA",IF(T22="TRENCH","NA",IF(T22="DUCT",IF(U22="1C",VLOOKUP(V22,'Catalogue Aluminium'!$Q$9:$S$28,2,FALSE),VLOOKUP(V22,'Catalogue Aluminium'!$Q$9:$S$28,3)),IF(T22="GROUND",IF(U22="1C",VLOOKUP(V22,'Catalogue Aluminium'!$Q$9:$S$28,2,FALSE),VLOOKUP(V22,'Catalogue Aluminium'!$Q$9:$S$28,3))))))</f>
        <v>NA</v>
      </c>
      <c r="AN22" s="584">
        <f t="shared" si="105"/>
        <v>0.58740000000000003</v>
      </c>
      <c r="AO22" s="583">
        <f t="shared" si="106"/>
        <v>22.321200000000001</v>
      </c>
      <c r="AP22" s="585">
        <f t="shared" si="107"/>
        <v>1</v>
      </c>
      <c r="AQ22" s="583" t="str">
        <f t="shared" si="108"/>
        <v>YES</v>
      </c>
      <c r="AR22" s="584">
        <f t="shared" si="109"/>
        <v>9.2217310843244443E-2</v>
      </c>
      <c r="AS22" s="409" t="str">
        <f t="shared" si="110"/>
        <v>YES</v>
      </c>
      <c r="AT22" s="584">
        <f t="shared" si="111"/>
        <v>0.16108931745610475</v>
      </c>
      <c r="AU22" s="409" t="str">
        <f t="shared" si="112"/>
        <v>YES</v>
      </c>
      <c r="AV22" s="586" t="str">
        <f t="shared" si="113"/>
        <v>1R x 0.6/1kV x 3C x 4 Sqmm</v>
      </c>
      <c r="AW22" s="586" t="str">
        <f t="shared" si="114"/>
        <v>1R x 0.6/1kV x 3C x 4+PE Sqmm</v>
      </c>
      <c r="AX22" s="409">
        <f t="shared" si="115"/>
        <v>388</v>
      </c>
      <c r="AY22" s="866"/>
      <c r="AZ22" s="866">
        <f t="shared" si="116"/>
        <v>2</v>
      </c>
      <c r="BA22" s="867" t="str">
        <f t="shared" si="117"/>
        <v>ACDEE1E2E3</v>
      </c>
      <c r="BB22" s="868">
        <f>VLOOKUP(W22,'Catalogue Aluminium'!$B$9:$H$93,7,FALSE)</f>
        <v>15</v>
      </c>
      <c r="BC22" s="789">
        <f t="shared" si="118"/>
        <v>15</v>
      </c>
      <c r="BE22" s="587"/>
      <c r="BF22" s="587">
        <v>1</v>
      </c>
      <c r="BG22" s="587"/>
      <c r="BH22" s="587"/>
      <c r="BI22" s="587">
        <v>1</v>
      </c>
      <c r="BJ22" s="587">
        <v>1</v>
      </c>
      <c r="BK22" s="587"/>
      <c r="BL22" s="587"/>
      <c r="BM22" s="587"/>
      <c r="BN22" s="587">
        <v>1</v>
      </c>
      <c r="BO22" s="587"/>
      <c r="BP22" s="587">
        <v>1</v>
      </c>
      <c r="BQ22" s="587">
        <v>1</v>
      </c>
      <c r="BR22" s="587">
        <v>1</v>
      </c>
      <c r="BS22" s="587"/>
      <c r="BT22" s="587"/>
      <c r="BU22" s="587"/>
      <c r="BV22" s="587"/>
      <c r="BW22" s="587"/>
      <c r="BX22" s="587"/>
      <c r="BY22" s="587"/>
      <c r="BZ22" s="587"/>
      <c r="CA22" s="587"/>
      <c r="CB22" s="587"/>
      <c r="CC22" s="587"/>
      <c r="CD22" s="587"/>
      <c r="CE22" s="587"/>
      <c r="CF22" s="587"/>
      <c r="CG22" s="587"/>
      <c r="CH22" s="587"/>
      <c r="CI22" s="587"/>
      <c r="CJ22" s="587"/>
      <c r="CK22" s="587"/>
      <c r="CL22" s="587"/>
      <c r="CM22" s="587"/>
      <c r="CN22" s="587"/>
      <c r="CO22" s="587"/>
      <c r="CP22" s="587"/>
      <c r="CQ22" s="587"/>
      <c r="CR22" s="587"/>
      <c r="CS22" s="587"/>
      <c r="CT22" s="587"/>
      <c r="CU22" s="587"/>
      <c r="CV22" s="587"/>
      <c r="CW22" s="587"/>
      <c r="CX22" s="587"/>
      <c r="CY22" s="587"/>
      <c r="CZ22" s="587"/>
      <c r="DA22" s="587"/>
      <c r="DB22" s="587"/>
      <c r="DC22" s="587"/>
      <c r="DD22" s="587"/>
      <c r="DE22" s="587"/>
      <c r="DF22" s="587"/>
      <c r="DG22" s="587"/>
      <c r="DH22" s="587"/>
      <c r="DI22" s="587"/>
      <c r="DJ22" s="587"/>
      <c r="DK22" s="587"/>
      <c r="DL22" s="587"/>
      <c r="DM22" s="587"/>
      <c r="DN22" s="587"/>
      <c r="DO22" s="587"/>
      <c r="DP22" s="587"/>
      <c r="DQ22" s="587"/>
      <c r="DR22" s="587"/>
      <c r="DS22" s="587"/>
      <c r="DT22" s="587"/>
      <c r="DU22" s="587"/>
      <c r="DW22" s="587">
        <f t="shared" si="119"/>
        <v>0</v>
      </c>
      <c r="DX22" s="587">
        <f t="shared" si="120"/>
        <v>15</v>
      </c>
      <c r="DY22" s="587">
        <f t="shared" si="121"/>
        <v>0</v>
      </c>
      <c r="DZ22" s="587">
        <f t="shared" si="122"/>
        <v>0</v>
      </c>
      <c r="EA22" s="587">
        <f t="shared" si="123"/>
        <v>15</v>
      </c>
      <c r="EB22" s="587">
        <f t="shared" si="124"/>
        <v>15</v>
      </c>
      <c r="EC22" s="587">
        <f t="shared" si="125"/>
        <v>0</v>
      </c>
      <c r="ED22" s="587">
        <f t="shared" si="126"/>
        <v>0</v>
      </c>
      <c r="EE22" s="587">
        <f t="shared" si="127"/>
        <v>0</v>
      </c>
      <c r="EF22" s="587">
        <f t="shared" si="128"/>
        <v>15</v>
      </c>
      <c r="EG22" s="587">
        <f t="shared" si="129"/>
        <v>0</v>
      </c>
      <c r="EH22" s="587">
        <f t="shared" si="130"/>
        <v>15</v>
      </c>
      <c r="EI22" s="587">
        <f t="shared" si="131"/>
        <v>15</v>
      </c>
      <c r="EJ22" s="587">
        <f t="shared" si="132"/>
        <v>15</v>
      </c>
      <c r="EK22" s="587">
        <f t="shared" si="133"/>
        <v>0</v>
      </c>
      <c r="EL22" s="587">
        <f t="shared" si="134"/>
        <v>0</v>
      </c>
      <c r="EM22" s="587">
        <f t="shared" si="135"/>
        <v>0</v>
      </c>
      <c r="EN22" s="587">
        <f t="shared" si="136"/>
        <v>0</v>
      </c>
      <c r="EO22" s="587">
        <f t="shared" si="137"/>
        <v>0</v>
      </c>
      <c r="EP22" s="587">
        <f t="shared" si="138"/>
        <v>0</v>
      </c>
      <c r="EQ22" s="587">
        <f t="shared" si="139"/>
        <v>0</v>
      </c>
      <c r="ER22" s="587">
        <f t="shared" si="140"/>
        <v>0</v>
      </c>
      <c r="ES22" s="587">
        <f t="shared" si="141"/>
        <v>0</v>
      </c>
      <c r="ET22" s="587">
        <f t="shared" si="142"/>
        <v>0</v>
      </c>
      <c r="EU22" s="587">
        <f t="shared" si="143"/>
        <v>0</v>
      </c>
      <c r="EV22" s="587">
        <f t="shared" si="144"/>
        <v>0</v>
      </c>
      <c r="EW22" s="587">
        <f t="shared" si="145"/>
        <v>0</v>
      </c>
      <c r="EX22" s="587">
        <f t="shared" si="146"/>
        <v>0</v>
      </c>
      <c r="EY22" s="587">
        <f t="shared" si="147"/>
        <v>0</v>
      </c>
      <c r="EZ22" s="587">
        <f t="shared" si="148"/>
        <v>0</v>
      </c>
      <c r="FA22" s="587">
        <f t="shared" si="149"/>
        <v>0</v>
      </c>
      <c r="FB22" s="587">
        <f t="shared" si="150"/>
        <v>0</v>
      </c>
      <c r="FC22" s="587">
        <f t="shared" si="151"/>
        <v>0</v>
      </c>
      <c r="FD22" s="587">
        <f t="shared" si="152"/>
        <v>0</v>
      </c>
      <c r="FE22" s="587">
        <f t="shared" si="153"/>
        <v>0</v>
      </c>
      <c r="FF22" s="587">
        <f t="shared" si="154"/>
        <v>0</v>
      </c>
      <c r="FG22" s="587">
        <f t="shared" si="155"/>
        <v>0</v>
      </c>
      <c r="FH22" s="587">
        <f t="shared" si="156"/>
        <v>0</v>
      </c>
      <c r="FI22" s="587">
        <f t="shared" si="157"/>
        <v>0</v>
      </c>
      <c r="FJ22" s="587">
        <f t="shared" si="158"/>
        <v>0</v>
      </c>
      <c r="FK22" s="587">
        <f t="shared" si="159"/>
        <v>0</v>
      </c>
      <c r="FL22" s="587">
        <f t="shared" si="160"/>
        <v>0</v>
      </c>
      <c r="FM22" s="587">
        <f t="shared" si="161"/>
        <v>0</v>
      </c>
      <c r="FN22" s="587">
        <f t="shared" si="162"/>
        <v>0</v>
      </c>
      <c r="FO22" s="587">
        <f t="shared" si="163"/>
        <v>0</v>
      </c>
      <c r="FP22" s="587">
        <f t="shared" si="164"/>
        <v>0</v>
      </c>
      <c r="FQ22" s="587">
        <f t="shared" si="165"/>
        <v>0</v>
      </c>
      <c r="FR22" s="587">
        <f t="shared" si="166"/>
        <v>0</v>
      </c>
      <c r="FS22" s="587">
        <f t="shared" si="167"/>
        <v>0</v>
      </c>
      <c r="FT22" s="587">
        <f t="shared" si="168"/>
        <v>0</v>
      </c>
      <c r="FU22" s="587">
        <f t="shared" si="169"/>
        <v>0</v>
      </c>
      <c r="FV22" s="587">
        <f t="shared" si="170"/>
        <v>0</v>
      </c>
      <c r="FW22" s="587">
        <f t="shared" si="171"/>
        <v>0</v>
      </c>
      <c r="FX22" s="587">
        <f t="shared" si="172"/>
        <v>0</v>
      </c>
      <c r="FY22" s="587">
        <f t="shared" si="173"/>
        <v>0</v>
      </c>
      <c r="FZ22" s="587">
        <f t="shared" si="174"/>
        <v>0</v>
      </c>
      <c r="GA22" s="587">
        <f t="shared" si="175"/>
        <v>0</v>
      </c>
      <c r="GB22" s="587">
        <f t="shared" si="176"/>
        <v>0</v>
      </c>
      <c r="GC22" s="587">
        <f t="shared" si="177"/>
        <v>0</v>
      </c>
      <c r="GD22" s="587">
        <f t="shared" si="178"/>
        <v>0</v>
      </c>
      <c r="GE22" s="587">
        <f t="shared" si="179"/>
        <v>0</v>
      </c>
      <c r="GF22" s="587">
        <f t="shared" si="180"/>
        <v>0</v>
      </c>
      <c r="GG22" s="587">
        <f t="shared" si="181"/>
        <v>0</v>
      </c>
      <c r="GH22" s="587">
        <f t="shared" si="182"/>
        <v>0</v>
      </c>
      <c r="GI22" s="587">
        <f t="shared" si="183"/>
        <v>0</v>
      </c>
      <c r="GJ22" s="587">
        <f t="shared" si="184"/>
        <v>0</v>
      </c>
      <c r="GK22" s="587">
        <f t="shared" si="185"/>
        <v>0</v>
      </c>
      <c r="GL22" s="587">
        <f t="shared" si="186"/>
        <v>0</v>
      </c>
      <c r="GM22" s="587">
        <f t="shared" si="187"/>
        <v>0</v>
      </c>
    </row>
    <row r="23" spans="1:195" ht="35.25" customHeight="1">
      <c r="A23" s="337">
        <f>1+A22</f>
        <v>13</v>
      </c>
      <c r="B23" s="337" t="s">
        <v>511</v>
      </c>
      <c r="C23" s="337" t="str">
        <f t="shared" si="0"/>
        <v>PMCC-1</v>
      </c>
      <c r="D23" s="372" t="s">
        <v>512</v>
      </c>
      <c r="E23" s="500" t="s">
        <v>513</v>
      </c>
      <c r="F23" s="337" t="s">
        <v>28</v>
      </c>
      <c r="G23" s="337" t="s">
        <v>350</v>
      </c>
      <c r="H23" s="864">
        <v>160</v>
      </c>
      <c r="I23" s="337" t="s">
        <v>330</v>
      </c>
      <c r="J23" s="337" t="s">
        <v>331</v>
      </c>
      <c r="K23" s="349">
        <v>400</v>
      </c>
      <c r="L23" s="343">
        <v>0.86</v>
      </c>
      <c r="M23" s="350">
        <v>0.96400000000000008</v>
      </c>
      <c r="N23" s="342">
        <f t="shared" si="1"/>
        <v>278.57145881632982</v>
      </c>
      <c r="O23" s="342">
        <f t="shared" si="2"/>
        <v>1671.4287528979789</v>
      </c>
      <c r="P23" s="343">
        <f t="shared" si="3"/>
        <v>0.2</v>
      </c>
      <c r="Q23" s="350">
        <v>65</v>
      </c>
      <c r="R23" s="350">
        <v>0</v>
      </c>
      <c r="S23" s="350">
        <f t="shared" si="4"/>
        <v>0</v>
      </c>
      <c r="T23" s="343" t="s">
        <v>131</v>
      </c>
      <c r="U23" s="350" t="s">
        <v>333</v>
      </c>
      <c r="V23" s="343">
        <v>300</v>
      </c>
      <c r="W23" s="343" t="str">
        <f t="shared" si="5"/>
        <v>3C X 300</v>
      </c>
      <c r="X23" s="343" t="str">
        <f t="shared" si="6"/>
        <v>3C X 300+PE</v>
      </c>
      <c r="Y23" s="343" t="s">
        <v>358</v>
      </c>
      <c r="Z23" s="344">
        <f>IF(T23="AIR",VLOOKUP(W23,'Catalogue Aluminium'!$B$9:$G$93,2,FALSE),IF(T23="GROUND",VLOOKUP(W23,'Catalogue Aluminium'!$B$9:$G$93,3,FALSE),IF(T23="DUCT",VLOOKUP(W23,'Catalogue Aluminium'!$B$9:$G$93,4,FALSE),IF(T23="TRENCH",VLOOKUP(W23,'Catalogue Aluminium'!$B$9:$G$93,2,FALSE)))))</f>
        <v>459</v>
      </c>
      <c r="AA23" s="345">
        <f>VLOOKUP(W23,'Catalogue Aluminium'!$B$9:$G$93,5,FALSE)</f>
        <v>0.128</v>
      </c>
      <c r="AB23" s="345">
        <f>VLOOKUP(W23,'Catalogue Aluminium'!$B$9:$G$93,6,FALSE)</f>
        <v>7.1099999999999997E-2</v>
      </c>
      <c r="AC23" s="401">
        <f>18+11</f>
        <v>29</v>
      </c>
      <c r="AD23" s="401">
        <f>42+74+36+5</f>
        <v>157</v>
      </c>
      <c r="AE23" s="401">
        <f t="shared" ref="AE23:AE36" si="188">11+11</f>
        <v>22</v>
      </c>
      <c r="AF23" s="401">
        <v>8</v>
      </c>
      <c r="AG23" s="401">
        <f t="shared" si="83"/>
        <v>22</v>
      </c>
      <c r="AH23" s="347">
        <f t="shared" si="84"/>
        <v>238</v>
      </c>
      <c r="AI23" s="344">
        <f>IF(T23="AIR",'Catalogue Aluminium'!$K$9,IF(T23="TRENCH",'Catalogue Aluminium'!$K$12,"NA"))</f>
        <v>0.89</v>
      </c>
      <c r="AJ23" s="342">
        <f>IF(T23="Air",(IF(U23="1C",'Catalogue Aluminium'!$L$9,'Catalogue Aluminium'!$M$9)),IF(T23="DUCT",(IF($U23="1C",'Catalogue Aluminium'!$L$10,'Catalogue Aluminium'!$M$10)),IF(T23="GROUND",(IF($U23="1C",'Catalogue Aluminium'!$L$11,'Catalogue Aluminium'!$M$11)),IF(T23="TRENCH",(IF($U23="1C",'Catalogue Aluminium'!$L$12,'Catalogue Aluminium'!$M$12))))))</f>
        <v>0.66</v>
      </c>
      <c r="AK23" s="344" t="str">
        <f>IF(T23="Air",'Catalogue Aluminium'!$N$9,IF(T23="GROUND",'Catalogue Aluminium'!$N$10,IF(T23="DUCT",'Catalogue Aluminium'!$N$11,IF(T23="TRENCH",'Catalogue Aluminium'!$N$12,"NA"))))</f>
        <v>NA</v>
      </c>
      <c r="AL23" s="344" t="str">
        <f>IF(T23="Air",(IF(U23="1C",'Catalogue Aluminium'!$O$9,'Catalogue Aluminium'!$P$9)),IF(T23="DUCT",(IF($U23="1C",'Catalogue Aluminium'!$O$10,'Catalogue Aluminium'!$P$10)),IF(T23="GROUND",(IF($U23="1C",'Catalogue Aluminium'!$O$11,'Catalogue Aluminium'!$P$11)),IF(T23="TRENCH",(IF($U23="1C",'Catalogue Aluminium'!$O$12,'Catalogue Aluminium'!$P$12))))))</f>
        <v>NA</v>
      </c>
      <c r="AM23" s="344" t="str">
        <f>IF(T23="AIR","NA",IF(T23="TRENCH","NA",IF(T23="DUCT",IF(U23="1C",VLOOKUP(V23,'Catalogue Aluminium'!$Q$9:$S$28,2,FALSE),VLOOKUP(V23,'Catalogue Aluminium'!$Q$9:$S$28,3)),IF(T23="GROUND",IF(U23="1C",VLOOKUP(V23,'Catalogue Aluminium'!$Q$9:$S$28,2,FALSE),VLOOKUP(V23,'Catalogue Aluminium'!$Q$9:$S$28,3))))))</f>
        <v>NA</v>
      </c>
      <c r="AN23" s="351">
        <f t="shared" si="8"/>
        <v>0.58740000000000003</v>
      </c>
      <c r="AO23" s="350">
        <f t="shared" si="9"/>
        <v>269.61660000000001</v>
      </c>
      <c r="AP23" s="349">
        <v>2</v>
      </c>
      <c r="AQ23" s="350" t="str">
        <f t="shared" si="11"/>
        <v>YES</v>
      </c>
      <c r="AR23" s="351">
        <f t="shared" si="12"/>
        <v>2.1009333332480122</v>
      </c>
      <c r="AS23" s="343" t="str">
        <f t="shared" si="13"/>
        <v>YES</v>
      </c>
      <c r="AT23" s="351">
        <f t="shared" si="14"/>
        <v>8.2046856510669812</v>
      </c>
      <c r="AU23" s="343" t="str">
        <f t="shared" si="15"/>
        <v>YES</v>
      </c>
      <c r="AV23" s="354" t="str">
        <f t="shared" si="16"/>
        <v>2R x 0.6/1kV x 3C x 300 Sqmm</v>
      </c>
      <c r="AW23" s="354" t="str">
        <f t="shared" si="17"/>
        <v>2R x 0.6/1kV x 3C x 300+PE Sqmm</v>
      </c>
      <c r="AX23" s="343">
        <f t="shared" si="85"/>
        <v>476</v>
      </c>
      <c r="AY23" s="355"/>
      <c r="AZ23" s="355">
        <f t="shared" si="86"/>
        <v>4</v>
      </c>
      <c r="BA23" s="356" t="str">
        <f t="shared" si="87"/>
        <v>D3LMM1</v>
      </c>
      <c r="BB23" s="501">
        <f>VLOOKUP(W23,'Catalogue Aluminium'!$B$9:$H$93,7,FALSE)</f>
        <v>53</v>
      </c>
      <c r="BC23" s="328">
        <f t="shared" si="88"/>
        <v>106</v>
      </c>
      <c r="BE23" s="336"/>
      <c r="BF23" s="336"/>
      <c r="BG23" s="336"/>
      <c r="BH23" s="336"/>
      <c r="BI23" s="336"/>
      <c r="BJ23" s="336"/>
      <c r="BK23" s="336"/>
      <c r="BL23" s="336"/>
      <c r="BM23" s="336">
        <v>1</v>
      </c>
      <c r="BN23" s="336"/>
      <c r="BO23" s="336"/>
      <c r="BP23" s="336"/>
      <c r="BQ23" s="336"/>
      <c r="BR23" s="336"/>
      <c r="BS23" s="336"/>
      <c r="BT23" s="336"/>
      <c r="BU23" s="336"/>
      <c r="BV23" s="336"/>
      <c r="BW23" s="336"/>
      <c r="BX23" s="336"/>
      <c r="BY23" s="336"/>
      <c r="BZ23" s="336"/>
      <c r="CA23" s="336"/>
      <c r="CB23" s="336"/>
      <c r="CC23" s="336"/>
      <c r="CD23" s="336"/>
      <c r="CE23" s="336"/>
      <c r="CF23" s="336">
        <v>1</v>
      </c>
      <c r="CG23" s="336"/>
      <c r="CH23" s="336"/>
      <c r="CI23" s="336"/>
      <c r="CJ23" s="336"/>
      <c r="CK23" s="336"/>
      <c r="CL23" s="336"/>
      <c r="CM23" s="336"/>
      <c r="CN23" s="336"/>
      <c r="CO23" s="336"/>
      <c r="CP23" s="336">
        <v>1</v>
      </c>
      <c r="CQ23" s="336">
        <v>1</v>
      </c>
      <c r="CR23" s="336"/>
      <c r="CS23" s="336"/>
      <c r="CT23" s="336"/>
      <c r="CU23" s="336"/>
      <c r="CV23" s="336"/>
      <c r="CW23" s="336"/>
      <c r="CX23" s="336"/>
      <c r="CY23" s="336"/>
      <c r="CZ23" s="336"/>
      <c r="DA23" s="336"/>
      <c r="DB23" s="336"/>
      <c r="DC23" s="336"/>
      <c r="DD23" s="336"/>
      <c r="DE23" s="336"/>
      <c r="DF23" s="336"/>
      <c r="DG23" s="336"/>
      <c r="DH23" s="336"/>
      <c r="DI23" s="336"/>
      <c r="DJ23" s="336"/>
      <c r="DK23" s="336"/>
      <c r="DL23" s="336"/>
      <c r="DM23" s="336"/>
      <c r="DN23" s="336"/>
      <c r="DO23" s="336"/>
      <c r="DP23" s="336"/>
      <c r="DQ23" s="336"/>
      <c r="DR23" s="336"/>
      <c r="DS23" s="336"/>
      <c r="DT23" s="336"/>
      <c r="DU23" s="336"/>
      <c r="DW23" s="336">
        <f t="shared" si="19"/>
        <v>0</v>
      </c>
      <c r="DX23" s="336">
        <f t="shared" si="20"/>
        <v>0</v>
      </c>
      <c r="DY23" s="336">
        <f t="shared" si="21"/>
        <v>0</v>
      </c>
      <c r="DZ23" s="336">
        <f t="shared" si="22"/>
        <v>0</v>
      </c>
      <c r="EA23" s="336">
        <f t="shared" si="23"/>
        <v>0</v>
      </c>
      <c r="EB23" s="336">
        <f t="shared" si="24"/>
        <v>0</v>
      </c>
      <c r="EC23" s="336">
        <f t="shared" si="25"/>
        <v>0</v>
      </c>
      <c r="ED23" s="336">
        <f t="shared" si="26"/>
        <v>0</v>
      </c>
      <c r="EE23" s="336">
        <f t="shared" si="27"/>
        <v>106</v>
      </c>
      <c r="EF23" s="336">
        <f t="shared" si="28"/>
        <v>0</v>
      </c>
      <c r="EG23" s="336">
        <f t="shared" si="29"/>
        <v>0</v>
      </c>
      <c r="EH23" s="336">
        <f t="shared" si="30"/>
        <v>0</v>
      </c>
      <c r="EI23" s="336">
        <f t="shared" si="31"/>
        <v>0</v>
      </c>
      <c r="EJ23" s="336">
        <f t="shared" si="32"/>
        <v>0</v>
      </c>
      <c r="EK23" s="336">
        <f t="shared" si="33"/>
        <v>0</v>
      </c>
      <c r="EL23" s="336">
        <f t="shared" si="34"/>
        <v>0</v>
      </c>
      <c r="EM23" s="336">
        <f t="shared" si="35"/>
        <v>0</v>
      </c>
      <c r="EN23" s="336">
        <f t="shared" si="36"/>
        <v>0</v>
      </c>
      <c r="EO23" s="336">
        <f t="shared" si="37"/>
        <v>0</v>
      </c>
      <c r="EP23" s="336">
        <f t="shared" si="38"/>
        <v>0</v>
      </c>
      <c r="EQ23" s="336">
        <f t="shared" si="39"/>
        <v>0</v>
      </c>
      <c r="ER23" s="336">
        <f t="shared" si="40"/>
        <v>0</v>
      </c>
      <c r="ES23" s="336">
        <f t="shared" si="41"/>
        <v>0</v>
      </c>
      <c r="ET23" s="336">
        <f t="shared" si="41"/>
        <v>0</v>
      </c>
      <c r="EU23" s="336">
        <f t="shared" si="42"/>
        <v>0</v>
      </c>
      <c r="EV23" s="336">
        <f t="shared" si="43"/>
        <v>0</v>
      </c>
      <c r="EW23" s="336">
        <f t="shared" si="44"/>
        <v>0</v>
      </c>
      <c r="EX23" s="336">
        <f t="shared" si="45"/>
        <v>106</v>
      </c>
      <c r="EY23" s="336">
        <f t="shared" si="46"/>
        <v>0</v>
      </c>
      <c r="EZ23" s="336">
        <f t="shared" si="47"/>
        <v>0</v>
      </c>
      <c r="FA23" s="336">
        <f t="shared" si="48"/>
        <v>0</v>
      </c>
      <c r="FB23" s="336">
        <f t="shared" si="49"/>
        <v>0</v>
      </c>
      <c r="FC23" s="336">
        <f t="shared" si="50"/>
        <v>0</v>
      </c>
      <c r="FD23" s="336">
        <f t="shared" si="51"/>
        <v>0</v>
      </c>
      <c r="FE23" s="336">
        <f t="shared" si="52"/>
        <v>0</v>
      </c>
      <c r="FF23" s="336">
        <f t="shared" si="53"/>
        <v>0</v>
      </c>
      <c r="FG23" s="336">
        <f t="shared" si="54"/>
        <v>0</v>
      </c>
      <c r="FH23" s="336">
        <f t="shared" si="55"/>
        <v>106</v>
      </c>
      <c r="FI23" s="336">
        <f t="shared" si="56"/>
        <v>106</v>
      </c>
      <c r="FJ23" s="336">
        <f t="shared" si="57"/>
        <v>0</v>
      </c>
      <c r="FK23" s="336">
        <f t="shared" si="58"/>
        <v>0</v>
      </c>
      <c r="FL23" s="336">
        <f t="shared" si="59"/>
        <v>0</v>
      </c>
      <c r="FM23" s="336">
        <f t="shared" si="60"/>
        <v>0</v>
      </c>
      <c r="FN23" s="336">
        <f t="shared" si="61"/>
        <v>0</v>
      </c>
      <c r="FO23" s="336">
        <f t="shared" si="62"/>
        <v>0</v>
      </c>
      <c r="FP23" s="336">
        <f t="shared" si="63"/>
        <v>0</v>
      </c>
      <c r="FQ23" s="336">
        <f t="shared" si="64"/>
        <v>0</v>
      </c>
      <c r="FR23" s="336">
        <f t="shared" si="65"/>
        <v>0</v>
      </c>
      <c r="FS23" s="336">
        <f t="shared" si="66"/>
        <v>0</v>
      </c>
      <c r="FT23" s="336">
        <f t="shared" si="67"/>
        <v>0</v>
      </c>
      <c r="FU23" s="336">
        <f t="shared" si="89"/>
        <v>0</v>
      </c>
      <c r="FV23" s="336">
        <f t="shared" si="90"/>
        <v>0</v>
      </c>
      <c r="FW23" s="336">
        <f t="shared" si="91"/>
        <v>0</v>
      </c>
      <c r="FX23" s="336">
        <f t="shared" si="92"/>
        <v>0</v>
      </c>
      <c r="FY23" s="336">
        <f t="shared" si="68"/>
        <v>0</v>
      </c>
      <c r="FZ23" s="336">
        <f t="shared" si="69"/>
        <v>0</v>
      </c>
      <c r="GA23" s="336">
        <f t="shared" si="70"/>
        <v>0</v>
      </c>
      <c r="GB23" s="336">
        <f t="shared" si="71"/>
        <v>0</v>
      </c>
      <c r="GC23" s="336">
        <f t="shared" si="72"/>
        <v>0</v>
      </c>
      <c r="GD23" s="336">
        <f t="shared" si="73"/>
        <v>0</v>
      </c>
      <c r="GE23" s="336">
        <f t="shared" si="74"/>
        <v>0</v>
      </c>
      <c r="GF23" s="336">
        <f t="shared" si="75"/>
        <v>0</v>
      </c>
      <c r="GG23" s="336">
        <f t="shared" si="76"/>
        <v>0</v>
      </c>
      <c r="GH23" s="336">
        <f t="shared" si="77"/>
        <v>0</v>
      </c>
      <c r="GI23" s="336">
        <f t="shared" si="78"/>
        <v>0</v>
      </c>
      <c r="GJ23" s="336">
        <f t="shared" si="79"/>
        <v>0</v>
      </c>
      <c r="GK23" s="336">
        <f t="shared" si="80"/>
        <v>0</v>
      </c>
      <c r="GL23" s="336">
        <f t="shared" si="93"/>
        <v>0</v>
      </c>
      <c r="GM23" s="336">
        <f t="shared" si="81"/>
        <v>0</v>
      </c>
    </row>
    <row r="24" spans="1:195" ht="35.25" customHeight="1">
      <c r="A24" s="337">
        <f t="shared" si="94"/>
        <v>14</v>
      </c>
      <c r="B24" s="388" t="s">
        <v>511</v>
      </c>
      <c r="C24" s="388" t="str">
        <f t="shared" si="0"/>
        <v>PMCC-1</v>
      </c>
      <c r="D24" s="338" t="s">
        <v>514</v>
      </c>
      <c r="E24" s="502" t="s">
        <v>513</v>
      </c>
      <c r="F24" s="388" t="s">
        <v>28</v>
      </c>
      <c r="G24" s="388" t="s">
        <v>329</v>
      </c>
      <c r="H24" s="396">
        <v>0.2</v>
      </c>
      <c r="I24" s="388" t="s">
        <v>330</v>
      </c>
      <c r="J24" s="388" t="s">
        <v>357</v>
      </c>
      <c r="K24" s="434">
        <v>230</v>
      </c>
      <c r="L24" s="401">
        <v>0.85</v>
      </c>
      <c r="M24" s="418">
        <v>0.95</v>
      </c>
      <c r="N24" s="392">
        <f t="shared" ref="N24" si="189">IF(I24="kVA",IF(J24="3Ph",(H24*1000/(1.732*M24*K24)),(H24*1000/(M24*K24))),IF(I24="kW",IF(J24="3Ph",(H24*1000/(1.732*M24*K24*L24)),(H24*1000/(M24*K24*L24)))))</f>
        <v>1.0768609503297888</v>
      </c>
      <c r="O24" s="392">
        <f t="shared" ref="O24" si="190">IF(G24="MOTOR",(6*N24),IF(G24="VFD",(1*N24),0))</f>
        <v>0</v>
      </c>
      <c r="P24" s="401" t="str">
        <f t="shared" ref="P24" si="191">IF(G24="MOTOR",0.2,"0.00")</f>
        <v>0.00</v>
      </c>
      <c r="Q24" s="418">
        <v>65</v>
      </c>
      <c r="R24" s="418">
        <v>0</v>
      </c>
      <c r="S24" s="418">
        <f t="shared" ref="S24" si="192">(Q24*1000*SQRT(R24)/143)</f>
        <v>0</v>
      </c>
      <c r="T24" s="401" t="s">
        <v>131</v>
      </c>
      <c r="U24" s="418" t="s">
        <v>333</v>
      </c>
      <c r="V24" s="401">
        <v>2.5</v>
      </c>
      <c r="W24" s="401" t="str">
        <f t="shared" ref="W24" si="193">CONCATENATE(U24," X ",V24)</f>
        <v>3C X 2.5</v>
      </c>
      <c r="X24" s="401" t="str">
        <f t="shared" ref="X24" si="194">(IF(J24="1Ph",W24,IF(J24="3Ph",(IF(G24="MOTOR",(CONCATENATE(W24,"+PE")),W24)))))</f>
        <v>3C X 2.5</v>
      </c>
      <c r="Y24" s="401" t="s">
        <v>358</v>
      </c>
      <c r="Z24" s="393">
        <f>IF(T24="AIR",VLOOKUP(W24,'Catalogue Aluminium'!$B$9:$G$93,2,FALSE),IF(T24="GROUND",VLOOKUP(W24,'Catalogue Aluminium'!$B$9:$G$93,3,FALSE),IF(T24="DUCT",VLOOKUP(W24,'Catalogue Aluminium'!$B$9:$G$93,4,FALSE),IF(T24="TRENCH",VLOOKUP(W24,'Catalogue Aluminium'!$B$9:$G$93,2,FALSE)))))</f>
        <v>28</v>
      </c>
      <c r="AA24" s="402">
        <f>VLOOKUP(W24,'Catalogue Aluminium'!$B$9:$G$93,5,FALSE)</f>
        <v>9.48</v>
      </c>
      <c r="AB24" s="402">
        <f>VLOOKUP(W24,'Catalogue Aluminium'!$B$9:$G$93,6,FALSE)</f>
        <v>0.1007</v>
      </c>
      <c r="AC24" s="401">
        <f>18+11</f>
        <v>29</v>
      </c>
      <c r="AD24" s="401">
        <f>42+74+36+5</f>
        <v>157</v>
      </c>
      <c r="AE24" s="401">
        <f t="shared" si="188"/>
        <v>22</v>
      </c>
      <c r="AF24" s="401">
        <v>8</v>
      </c>
      <c r="AG24" s="401">
        <f t="shared" ref="AG24" si="195">ROUNDUP((SUM(AC24:AF24)*0.1),0)</f>
        <v>22</v>
      </c>
      <c r="AH24" s="436">
        <f t="shared" ref="AH24" si="196">SUM(AC24:AG24)</f>
        <v>238</v>
      </c>
      <c r="AI24" s="393">
        <f>IF(T24="AIR",'Catalogue Aluminium'!$K$9,IF(T24="TRENCH",'Catalogue Aluminium'!$K$12,"NA"))</f>
        <v>0.89</v>
      </c>
      <c r="AJ24" s="392">
        <f>IF(T24="Air",(IF(U24="1C",'Catalogue Aluminium'!$L$9,'Catalogue Aluminium'!$M$9)),IF(T24="DUCT",(IF($U24="1C",'Catalogue Aluminium'!$L$10,'Catalogue Aluminium'!$M$10)),IF(T24="GROUND",(IF($U24="1C",'Catalogue Aluminium'!$L$11,'Catalogue Aluminium'!$M$11)),IF(T24="TRENCH",(IF($U24="1C",'Catalogue Aluminium'!$L$12,'Catalogue Aluminium'!$M$12))))))</f>
        <v>0.66</v>
      </c>
      <c r="AK24" s="393" t="str">
        <f>IF(T24="Air",'Catalogue Aluminium'!$N$9,IF(T24="GROUND",'Catalogue Aluminium'!$N$10,IF(T24="DUCT",'Catalogue Aluminium'!$N$11,IF(T24="TRENCH",'Catalogue Aluminium'!$N$12,"NA"))))</f>
        <v>NA</v>
      </c>
      <c r="AL24" s="393" t="str">
        <f>IF(T24="Air",(IF(U24="1C",'Catalogue Aluminium'!$O$9,'Catalogue Aluminium'!$P$9)),IF(T24="DUCT",(IF($U24="1C",'Catalogue Aluminium'!$O$10,'Catalogue Aluminium'!$P$10)),IF(T24="GROUND",(IF($U24="1C",'Catalogue Aluminium'!$O$11,'Catalogue Aluminium'!$P$11)),IF(T24="TRENCH",(IF($U24="1C",'Catalogue Aluminium'!$O$12,'Catalogue Aluminium'!$P$12))))))</f>
        <v>NA</v>
      </c>
      <c r="AM24" s="393" t="str">
        <f>IF(T24="AIR","NA",IF(T24="TRENCH","NA",IF(T24="DUCT",IF(U24="1C",VLOOKUP(V24,'Catalogue Aluminium'!$Q$9:$S$28,2,FALSE),VLOOKUP(V24,'Catalogue Aluminium'!$Q$9:$S$28,3)),IF(T24="GROUND",IF(U24="1C",VLOOKUP(V24,'Catalogue Aluminium'!$Q$9:$S$28,2,FALSE),VLOOKUP(V24,'Catalogue Aluminium'!$Q$9:$S$28,3))))))</f>
        <v>NA</v>
      </c>
      <c r="AN24" s="437">
        <f t="shared" ref="AN24" si="197">IF(T24="AIR",AI24*AJ24,IF(T24="TRENCH",AI24*AJ24,IF(T24="DUCT",AJ24*AK24*AL24*AM24,IF(T24="GROUND",AJ24*AK24*AL24*AM24))))</f>
        <v>0.58740000000000003</v>
      </c>
      <c r="AO24" s="418">
        <f t="shared" ref="AO24" si="198">Z24*AN24</f>
        <v>16.447200000000002</v>
      </c>
      <c r="AP24" s="434">
        <v>1</v>
      </c>
      <c r="AQ24" s="418" t="str">
        <f t="shared" ref="AQ24" si="199">IF(AO24*AP24&gt;=N24,"YES","NO")</f>
        <v>YES</v>
      </c>
      <c r="AR24" s="437">
        <f t="shared" ref="AR24" si="200">SQRT(3)*AH24*N24*((AA24*L24)+(AB24*SIN(ACOS(L24))))*100/(AP24*K24*1000)</f>
        <v>1.5654755745358064</v>
      </c>
      <c r="AS24" s="401" t="str">
        <f t="shared" ref="AS24" si="201">IF(G24="INCOMER",(IF(AR24&lt;=2,"YES","NO")),IF(G24="POWER",(IF(AR24&lt;=2.5,"YES","NO")),IF(G24="MOTOR",(IF(AR24&lt;=3,"YES","NO")))))</f>
        <v>YES</v>
      </c>
      <c r="AT24" s="437" t="str">
        <f t="shared" si="14"/>
        <v>NA</v>
      </c>
      <c r="AU24" s="401" t="str">
        <f t="shared" si="15"/>
        <v>NA</v>
      </c>
      <c r="AV24" s="503" t="str">
        <f t="shared" si="16"/>
        <v>1R x 0.6/1kV x 3C x 2.5 Sqmm</v>
      </c>
      <c r="AW24" s="503" t="str">
        <f t="shared" si="17"/>
        <v>1R x 0.6/1kV x 3C x 2.5 Sqmm</v>
      </c>
      <c r="AX24" s="401">
        <f t="shared" si="85"/>
        <v>238</v>
      </c>
      <c r="AY24" s="504"/>
      <c r="AZ24" s="504">
        <f t="shared" si="86"/>
        <v>2</v>
      </c>
      <c r="BA24" s="438" t="str">
        <f t="shared" si="87"/>
        <v>D3LMM1</v>
      </c>
      <c r="BB24" s="505">
        <f>VLOOKUP(W24,'Catalogue Aluminium'!$B$9:$H$93,7,FALSE)</f>
        <v>14</v>
      </c>
      <c r="BC24" s="439">
        <f t="shared" si="88"/>
        <v>14</v>
      </c>
      <c r="BE24" s="336"/>
      <c r="BF24" s="336"/>
      <c r="BG24" s="336"/>
      <c r="BH24" s="336"/>
      <c r="BI24" s="336"/>
      <c r="BJ24" s="336"/>
      <c r="BK24" s="336"/>
      <c r="BL24" s="336"/>
      <c r="BM24" s="336">
        <v>1</v>
      </c>
      <c r="BN24" s="336"/>
      <c r="BO24" s="336"/>
      <c r="BP24" s="336"/>
      <c r="BQ24" s="336"/>
      <c r="BR24" s="336"/>
      <c r="BS24" s="336"/>
      <c r="BT24" s="336"/>
      <c r="BU24" s="336"/>
      <c r="BV24" s="336"/>
      <c r="BW24" s="336"/>
      <c r="BX24" s="336"/>
      <c r="BY24" s="336"/>
      <c r="BZ24" s="336"/>
      <c r="CA24" s="336"/>
      <c r="CB24" s="336"/>
      <c r="CC24" s="336"/>
      <c r="CD24" s="336"/>
      <c r="CE24" s="336"/>
      <c r="CF24" s="336">
        <v>1</v>
      </c>
      <c r="CG24" s="336"/>
      <c r="CH24" s="336"/>
      <c r="CI24" s="336"/>
      <c r="CJ24" s="336"/>
      <c r="CK24" s="336"/>
      <c r="CL24" s="336"/>
      <c r="CM24" s="336"/>
      <c r="CN24" s="336"/>
      <c r="CO24" s="336"/>
      <c r="CP24" s="336">
        <v>1</v>
      </c>
      <c r="CQ24" s="336">
        <v>1</v>
      </c>
      <c r="CR24" s="336"/>
      <c r="CS24" s="336"/>
      <c r="CT24" s="336"/>
      <c r="CU24" s="336"/>
      <c r="CV24" s="336"/>
      <c r="CW24" s="336"/>
      <c r="CX24" s="336"/>
      <c r="CY24" s="336"/>
      <c r="CZ24" s="336"/>
      <c r="DA24" s="336"/>
      <c r="DB24" s="336"/>
      <c r="DC24" s="336"/>
      <c r="DD24" s="336"/>
      <c r="DE24" s="336"/>
      <c r="DF24" s="336"/>
      <c r="DG24" s="336"/>
      <c r="DH24" s="336"/>
      <c r="DI24" s="336"/>
      <c r="DJ24" s="336"/>
      <c r="DK24" s="336"/>
      <c r="DL24" s="336"/>
      <c r="DM24" s="336"/>
      <c r="DN24" s="336"/>
      <c r="DO24" s="336"/>
      <c r="DP24" s="336"/>
      <c r="DQ24" s="336"/>
      <c r="DR24" s="336"/>
      <c r="DS24" s="336"/>
      <c r="DT24" s="336"/>
      <c r="DU24" s="336"/>
      <c r="DW24" s="336">
        <f t="shared" ref="DW24" si="202">IF(BE24=1,($BC24*BE24),0)</f>
        <v>0</v>
      </c>
      <c r="DX24" s="336">
        <f t="shared" ref="DX24" si="203">IF(BF24=1,($BC24*BF24),0)</f>
        <v>0</v>
      </c>
      <c r="DY24" s="336">
        <f t="shared" ref="DY24" si="204">IF(BG24=1,($BC24*BG24),0)</f>
        <v>0</v>
      </c>
      <c r="DZ24" s="336">
        <f t="shared" ref="DZ24" si="205">IF(BH24=1,($BC24*BH24),0)</f>
        <v>0</v>
      </c>
      <c r="EA24" s="336">
        <f t="shared" ref="EA24" si="206">IF(BI24=1,($BC24*BI24),0)</f>
        <v>0</v>
      </c>
      <c r="EB24" s="336">
        <f t="shared" ref="EB24" si="207">IF(BJ24=1,($BC24*BJ24),0)</f>
        <v>0</v>
      </c>
      <c r="EC24" s="336">
        <f t="shared" ref="EC24" si="208">IF(BK24=1,($BC24*BK24),0)</f>
        <v>0</v>
      </c>
      <c r="ED24" s="336">
        <f t="shared" ref="ED24:ED77" si="209">IF(BL24=1,($BC24*BL24),0)</f>
        <v>0</v>
      </c>
      <c r="EE24" s="336">
        <f t="shared" ref="EE24:EE77" si="210">IF(BM24=1,($BC24*BM24),0)</f>
        <v>14</v>
      </c>
      <c r="EF24" s="336">
        <f t="shared" ref="EF24:EF77" si="211">IF(BN24=1,($BC24*BN24),0)</f>
        <v>0</v>
      </c>
      <c r="EG24" s="336">
        <f t="shared" ref="EG24:EG77" si="212">IF(BO24=1,($BC24*BO24),0)</f>
        <v>0</v>
      </c>
      <c r="EH24" s="336">
        <f t="shared" ref="EH24:EH77" si="213">IF(BP24=1,($BC24*BP24),0)</f>
        <v>0</v>
      </c>
      <c r="EI24" s="336">
        <f t="shared" ref="EI24:EI77" si="214">IF(BQ24=1,($BC24*BQ24),0)</f>
        <v>0</v>
      </c>
      <c r="EJ24" s="336">
        <f t="shared" ref="EJ24:EJ77" si="215">IF(BR24=1,($BC24*BR24),0)</f>
        <v>0</v>
      </c>
      <c r="EK24" s="336">
        <f t="shared" ref="EK24:EK77" si="216">IF(BS24=1,($BC24*BS24),0)</f>
        <v>0</v>
      </c>
      <c r="EL24" s="336">
        <f t="shared" ref="EL24:EL77" si="217">IF(BT24=1,($BC24*BT24),0)</f>
        <v>0</v>
      </c>
      <c r="EM24" s="336">
        <f t="shared" ref="EM24:EM77" si="218">IF(BU24=1,($BC24*BU24),0)</f>
        <v>0</v>
      </c>
      <c r="EN24" s="336">
        <f t="shared" ref="EN24:EN77" si="219">IF(BV24=1,($BC24*BV24),0)</f>
        <v>0</v>
      </c>
      <c r="EO24" s="336">
        <f t="shared" ref="EO24:EO77" si="220">IF(BW24=1,($BC24*BW24),0)</f>
        <v>0</v>
      </c>
      <c r="EP24" s="336">
        <f t="shared" ref="EP24:EP77" si="221">IF(BX24=1,($BC24*BX24),0)</f>
        <v>0</v>
      </c>
      <c r="EQ24" s="336">
        <f t="shared" ref="EQ24:EQ77" si="222">IF(BY24=1,($BC24*BY24),0)</f>
        <v>0</v>
      </c>
      <c r="ER24" s="336">
        <f t="shared" ref="ER24:ER77" si="223">IF(BZ24=1,($BC24*BZ24),0)</f>
        <v>0</v>
      </c>
      <c r="ES24" s="336">
        <f t="shared" ref="ES24:ET77" si="224">IF(CA24=1,($BC24*CA24),0)</f>
        <v>0</v>
      </c>
      <c r="ET24" s="336">
        <f t="shared" si="41"/>
        <v>0</v>
      </c>
      <c r="EU24" s="336">
        <f t="shared" ref="EU24:EU77" si="225">IF(CC24=1,($BC24*CC24),0)</f>
        <v>0</v>
      </c>
      <c r="EV24" s="336">
        <f t="shared" ref="EV24:EV77" si="226">IF(CD24=1,($BC24*CD24),0)</f>
        <v>0</v>
      </c>
      <c r="EW24" s="336">
        <f t="shared" ref="EW24:EW77" si="227">IF(CE24=1,($BC24*CE24),0)</f>
        <v>0</v>
      </c>
      <c r="EX24" s="336">
        <f t="shared" ref="EX24:EX77" si="228">IF(CF24=1,($BC24*CF24),0)</f>
        <v>14</v>
      </c>
      <c r="EY24" s="336">
        <f t="shared" ref="EY24:EY77" si="229">IF(CG24=1,($BC24*CG24),0)</f>
        <v>0</v>
      </c>
      <c r="EZ24" s="336">
        <f t="shared" ref="EZ24:EZ77" si="230">IF(CH24=1,($BC24*CH24),0)</f>
        <v>0</v>
      </c>
      <c r="FA24" s="336">
        <f t="shared" ref="FA24:FA77" si="231">IF(CI24=1,($BC24*CI24),0)</f>
        <v>0</v>
      </c>
      <c r="FB24" s="336">
        <f t="shared" ref="FB24:FB77" si="232">IF(CJ24=1,($BC24*CJ24),0)</f>
        <v>0</v>
      </c>
      <c r="FC24" s="336">
        <f t="shared" ref="FC24:FC77" si="233">IF(CK24=1,($BC24*CK24),0)</f>
        <v>0</v>
      </c>
      <c r="FD24" s="336">
        <f t="shared" ref="FD24:FD77" si="234">IF(CL24=1,($BC24*CL24),0)</f>
        <v>0</v>
      </c>
      <c r="FE24" s="336">
        <f t="shared" ref="FE24:FE77" si="235">IF(CM24=1,($BC24*CM24),0)</f>
        <v>0</v>
      </c>
      <c r="FF24" s="336">
        <f t="shared" ref="FF24:FF77" si="236">IF(CN24=1,($BC24*CN24),0)</f>
        <v>0</v>
      </c>
      <c r="FG24" s="336">
        <f t="shared" ref="FG24:FG77" si="237">IF(CO24=1,($BC24*CO24),0)</f>
        <v>0</v>
      </c>
      <c r="FH24" s="336">
        <f t="shared" ref="FH24:FH77" si="238">IF(CP24=1,($BC24*CP24),0)</f>
        <v>14</v>
      </c>
      <c r="FI24" s="336">
        <f t="shared" ref="FI24:FI77" si="239">IF(CQ24=1,($BC24*CQ24),0)</f>
        <v>14</v>
      </c>
      <c r="FJ24" s="336">
        <f t="shared" ref="FJ24:FJ77" si="240">IF(CR24=1,($BC24*CR24),0)</f>
        <v>0</v>
      </c>
      <c r="FK24" s="336">
        <f t="shared" ref="FK24:FK77" si="241">IF(CS24=1,($BC24*CS24),0)</f>
        <v>0</v>
      </c>
      <c r="FL24" s="336">
        <f t="shared" ref="FL24:FL77" si="242">IF(CT24=1,($BC24*CT24),0)</f>
        <v>0</v>
      </c>
      <c r="FM24" s="336">
        <f t="shared" ref="FM24:FM77" si="243">IF(CU24=1,($BC24*CU24),0)</f>
        <v>0</v>
      </c>
      <c r="FN24" s="336">
        <f t="shared" ref="FN24:FN77" si="244">IF(CV24=1,($BC24*CV24),0)</f>
        <v>0</v>
      </c>
      <c r="FO24" s="336">
        <f t="shared" ref="FO24:FO77" si="245">IF(CW24=1,($BC24*CW24),0)</f>
        <v>0</v>
      </c>
      <c r="FP24" s="336">
        <f t="shared" ref="FP24:FP77" si="246">IF(CX24=1,($BC24*CX24),0)</f>
        <v>0</v>
      </c>
      <c r="FQ24" s="336">
        <f t="shared" ref="FQ24:FQ77" si="247">IF(CY24=1,($BC24*CY24),0)</f>
        <v>0</v>
      </c>
      <c r="FR24" s="336">
        <f t="shared" ref="FR24:FR77" si="248">IF(CZ24=1,($BC24*CZ24),0)</f>
        <v>0</v>
      </c>
      <c r="FS24" s="336">
        <f t="shared" ref="FS24:FS77" si="249">IF(DA24=1,($BC24*DA24),0)</f>
        <v>0</v>
      </c>
      <c r="FT24" s="336">
        <f t="shared" ref="FT24:FT77" si="250">IF(DB24=1,($BC24*DB24),0)</f>
        <v>0</v>
      </c>
      <c r="FU24" s="336">
        <f t="shared" si="89"/>
        <v>0</v>
      </c>
      <c r="FV24" s="336">
        <f t="shared" si="90"/>
        <v>0</v>
      </c>
      <c r="FW24" s="336">
        <f t="shared" si="91"/>
        <v>0</v>
      </c>
      <c r="FX24" s="336">
        <f t="shared" si="92"/>
        <v>0</v>
      </c>
      <c r="FY24" s="336">
        <f t="shared" si="68"/>
        <v>0</v>
      </c>
      <c r="FZ24" s="336">
        <f t="shared" si="69"/>
        <v>0</v>
      </c>
      <c r="GA24" s="336">
        <f t="shared" si="70"/>
        <v>0</v>
      </c>
      <c r="GB24" s="336">
        <f t="shared" si="71"/>
        <v>0</v>
      </c>
      <c r="GC24" s="336">
        <f t="shared" si="72"/>
        <v>0</v>
      </c>
      <c r="GD24" s="336">
        <f t="shared" si="73"/>
        <v>0</v>
      </c>
      <c r="GE24" s="336">
        <f t="shared" si="74"/>
        <v>0</v>
      </c>
      <c r="GF24" s="336">
        <f t="shared" si="75"/>
        <v>0</v>
      </c>
      <c r="GG24" s="336">
        <f t="shared" si="76"/>
        <v>0</v>
      </c>
      <c r="GH24" s="336">
        <f t="shared" si="77"/>
        <v>0</v>
      </c>
      <c r="GI24" s="336">
        <f t="shared" si="78"/>
        <v>0</v>
      </c>
      <c r="GJ24" s="336">
        <f t="shared" si="79"/>
        <v>0</v>
      </c>
      <c r="GK24" s="336">
        <f t="shared" si="80"/>
        <v>0</v>
      </c>
      <c r="GL24" s="336">
        <f t="shared" si="93"/>
        <v>0</v>
      </c>
      <c r="GM24" s="336">
        <f t="shared" si="81"/>
        <v>0</v>
      </c>
    </row>
    <row r="25" spans="1:195" ht="35.25" customHeight="1">
      <c r="A25" s="337">
        <f t="shared" si="94"/>
        <v>15</v>
      </c>
      <c r="B25" s="337" t="s">
        <v>515</v>
      </c>
      <c r="C25" s="337" t="str">
        <f t="shared" si="0"/>
        <v>PMCC-1</v>
      </c>
      <c r="D25" s="372" t="s">
        <v>516</v>
      </c>
      <c r="E25" s="500" t="s">
        <v>513</v>
      </c>
      <c r="F25" s="337" t="s">
        <v>29</v>
      </c>
      <c r="G25" s="337" t="s">
        <v>350</v>
      </c>
      <c r="H25" s="864">
        <v>160</v>
      </c>
      <c r="I25" s="337" t="s">
        <v>330</v>
      </c>
      <c r="J25" s="337" t="s">
        <v>331</v>
      </c>
      <c r="K25" s="349">
        <v>400</v>
      </c>
      <c r="L25" s="343">
        <v>0.86</v>
      </c>
      <c r="M25" s="350">
        <v>0.96400000000000008</v>
      </c>
      <c r="N25" s="342">
        <f t="shared" si="1"/>
        <v>278.57145881632982</v>
      </c>
      <c r="O25" s="342">
        <f t="shared" si="2"/>
        <v>1671.4287528979789</v>
      </c>
      <c r="P25" s="343">
        <f t="shared" si="3"/>
        <v>0.2</v>
      </c>
      <c r="Q25" s="350">
        <v>65</v>
      </c>
      <c r="R25" s="350">
        <v>0</v>
      </c>
      <c r="S25" s="350">
        <f t="shared" si="4"/>
        <v>0</v>
      </c>
      <c r="T25" s="343" t="s">
        <v>131</v>
      </c>
      <c r="U25" s="350" t="s">
        <v>333</v>
      </c>
      <c r="V25" s="343">
        <v>300</v>
      </c>
      <c r="W25" s="343" t="str">
        <f t="shared" ref="W25:W27" si="251">CONCATENATE(U25," X ",V25)</f>
        <v>3C X 300</v>
      </c>
      <c r="X25" s="343" t="str">
        <f t="shared" si="6"/>
        <v>3C X 300+PE</v>
      </c>
      <c r="Y25" s="343" t="s">
        <v>358</v>
      </c>
      <c r="Z25" s="344">
        <f>IF(T25="AIR",VLOOKUP(W25,'Catalogue Aluminium'!$B$9:$G$93,2,FALSE),IF(T25="GROUND",VLOOKUP(W25,'Catalogue Aluminium'!$B$9:$G$93,3,FALSE),IF(T25="DUCT",VLOOKUP(W25,'Catalogue Aluminium'!$B$9:$G$93,4,FALSE),IF(T25="TRENCH",VLOOKUP(W25,'Catalogue Aluminium'!$B$9:$G$93,2,FALSE)))))</f>
        <v>459</v>
      </c>
      <c r="AA25" s="345">
        <f>VLOOKUP(W25,'Catalogue Aluminium'!$B$9:$G$93,5,FALSE)</f>
        <v>0.128</v>
      </c>
      <c r="AB25" s="345">
        <f>VLOOKUP(W25,'Catalogue Aluminium'!$B$9:$G$93,6,FALSE)</f>
        <v>7.1099999999999997E-2</v>
      </c>
      <c r="AC25" s="401">
        <f>15+13</f>
        <v>28</v>
      </c>
      <c r="AD25" s="401">
        <f t="shared" ref="AD25:AD28" si="252">42+74+36+5</f>
        <v>157</v>
      </c>
      <c r="AE25" s="401">
        <f t="shared" si="188"/>
        <v>22</v>
      </c>
      <c r="AF25" s="401">
        <v>8</v>
      </c>
      <c r="AG25" s="401">
        <f t="shared" si="83"/>
        <v>22</v>
      </c>
      <c r="AH25" s="347">
        <f t="shared" si="84"/>
        <v>237</v>
      </c>
      <c r="AI25" s="344">
        <f>IF(T25="AIR",'Catalogue Aluminium'!$K$9,IF(T25="TRENCH",'Catalogue Aluminium'!$K$12,"NA"))</f>
        <v>0.89</v>
      </c>
      <c r="AJ25" s="342">
        <f>IF(T25="Air",(IF(U25="1C",'Catalogue Aluminium'!$L$9,'Catalogue Aluminium'!$M$9)),IF(T25="DUCT",(IF($U25="1C",'Catalogue Aluminium'!$L$10,'Catalogue Aluminium'!$M$10)),IF(T25="GROUND",(IF($U25="1C",'Catalogue Aluminium'!$L$11,'Catalogue Aluminium'!$M$11)),IF(T25="TRENCH",(IF($U25="1C",'Catalogue Aluminium'!$L$12,'Catalogue Aluminium'!$M$12))))))</f>
        <v>0.66</v>
      </c>
      <c r="AK25" s="344" t="str">
        <f>IF(T25="Air",'Catalogue Aluminium'!$N$9,IF(T25="GROUND",'Catalogue Aluminium'!$N$10,IF(T25="DUCT",'Catalogue Aluminium'!$N$11,IF(T25="TRENCH",'Catalogue Aluminium'!$N$12,"NA"))))</f>
        <v>NA</v>
      </c>
      <c r="AL25" s="344" t="str">
        <f>IF(T25="Air",(IF(U25="1C",'Catalogue Aluminium'!$O$9,'Catalogue Aluminium'!$P$9)),IF(T25="DUCT",(IF($U25="1C",'Catalogue Aluminium'!$O$10,'Catalogue Aluminium'!$P$10)),IF(T25="GROUND",(IF($U25="1C",'Catalogue Aluminium'!$O$11,'Catalogue Aluminium'!$P$11)),IF(T25="TRENCH",(IF($U25="1C",'Catalogue Aluminium'!$O$12,'Catalogue Aluminium'!$P$12))))))</f>
        <v>NA</v>
      </c>
      <c r="AM25" s="344" t="str">
        <f>IF(T25="AIR","NA",IF(T25="TRENCH","NA",IF(T25="DUCT",IF(U25="1C",VLOOKUP(V25,'Catalogue Aluminium'!$Q$9:$S$28,2,FALSE),VLOOKUP(V25,'Catalogue Aluminium'!$Q$9:$S$28,3)),IF(T25="GROUND",IF(U25="1C",VLOOKUP(V25,'Catalogue Aluminium'!$Q$9:$S$28,2,FALSE),VLOOKUP(V25,'Catalogue Aluminium'!$Q$9:$S$28,3))))))</f>
        <v>NA</v>
      </c>
      <c r="AN25" s="351">
        <f t="shared" si="8"/>
        <v>0.58740000000000003</v>
      </c>
      <c r="AO25" s="350">
        <f t="shared" si="9"/>
        <v>269.61660000000001</v>
      </c>
      <c r="AP25" s="349">
        <v>2</v>
      </c>
      <c r="AQ25" s="350" t="str">
        <f t="shared" si="11"/>
        <v>YES</v>
      </c>
      <c r="AR25" s="351">
        <f t="shared" si="12"/>
        <v>2.0921058822679788</v>
      </c>
      <c r="AS25" s="343" t="str">
        <f t="shared" si="13"/>
        <v>YES</v>
      </c>
      <c r="AT25" s="351">
        <f t="shared" si="14"/>
        <v>8.1702121819448514</v>
      </c>
      <c r="AU25" s="343" t="str">
        <f t="shared" si="15"/>
        <v>YES</v>
      </c>
      <c r="AV25" s="354" t="str">
        <f t="shared" si="16"/>
        <v>2R x 0.6/1kV x 3C x 300 Sqmm</v>
      </c>
      <c r="AW25" s="354" t="str">
        <f t="shared" si="17"/>
        <v>2R x 0.6/1kV x 3C x 300+PE Sqmm</v>
      </c>
      <c r="AX25" s="343">
        <f t="shared" si="85"/>
        <v>474</v>
      </c>
      <c r="AY25" s="355"/>
      <c r="AZ25" s="355">
        <f t="shared" si="86"/>
        <v>4</v>
      </c>
      <c r="BA25" s="356" t="str">
        <f t="shared" si="87"/>
        <v>D3LMM1</v>
      </c>
      <c r="BB25" s="501">
        <f>VLOOKUP(W25,'Catalogue Aluminium'!$B$9:$H$93,7,FALSE)</f>
        <v>53</v>
      </c>
      <c r="BC25" s="328">
        <f t="shared" si="88"/>
        <v>106</v>
      </c>
      <c r="BE25" s="336"/>
      <c r="BF25" s="336"/>
      <c r="BG25" s="336"/>
      <c r="BH25" s="336"/>
      <c r="BI25" s="336"/>
      <c r="BJ25" s="336"/>
      <c r="BK25" s="336"/>
      <c r="BL25" s="336"/>
      <c r="BM25" s="336">
        <v>1</v>
      </c>
      <c r="BN25" s="336"/>
      <c r="BO25" s="336"/>
      <c r="BP25" s="336"/>
      <c r="BQ25" s="336"/>
      <c r="BR25" s="336"/>
      <c r="BS25" s="336"/>
      <c r="BT25" s="336"/>
      <c r="BU25" s="336"/>
      <c r="BV25" s="336"/>
      <c r="BW25" s="336"/>
      <c r="BX25" s="336"/>
      <c r="BY25" s="336"/>
      <c r="BZ25" s="336"/>
      <c r="CA25" s="336"/>
      <c r="CB25" s="336"/>
      <c r="CC25" s="336"/>
      <c r="CD25" s="336"/>
      <c r="CE25" s="336"/>
      <c r="CF25" s="336">
        <v>1</v>
      </c>
      <c r="CG25" s="336"/>
      <c r="CH25" s="336"/>
      <c r="CI25" s="336"/>
      <c r="CJ25" s="336"/>
      <c r="CK25" s="336"/>
      <c r="CL25" s="336"/>
      <c r="CM25" s="336"/>
      <c r="CN25" s="336"/>
      <c r="CO25" s="336"/>
      <c r="CP25" s="336">
        <v>1</v>
      </c>
      <c r="CQ25" s="336">
        <v>1</v>
      </c>
      <c r="CR25" s="336"/>
      <c r="CS25" s="336"/>
      <c r="CT25" s="336"/>
      <c r="CU25" s="336"/>
      <c r="CV25" s="336"/>
      <c r="CW25" s="336"/>
      <c r="CX25" s="336"/>
      <c r="CY25" s="336"/>
      <c r="CZ25" s="336"/>
      <c r="DA25" s="336"/>
      <c r="DB25" s="336"/>
      <c r="DC25" s="336"/>
      <c r="DD25" s="336"/>
      <c r="DE25" s="336"/>
      <c r="DF25" s="336"/>
      <c r="DG25" s="336"/>
      <c r="DH25" s="336"/>
      <c r="DI25" s="336"/>
      <c r="DJ25" s="336"/>
      <c r="DK25" s="336"/>
      <c r="DL25" s="336"/>
      <c r="DM25" s="336"/>
      <c r="DN25" s="336"/>
      <c r="DO25" s="336"/>
      <c r="DP25" s="336"/>
      <c r="DQ25" s="336"/>
      <c r="DR25" s="336"/>
      <c r="DS25" s="336"/>
      <c r="DT25" s="336"/>
      <c r="DU25" s="336"/>
      <c r="DW25" s="336">
        <f t="shared" ref="DW25:EC25" si="253">IF(BE25=1,($BC25*BE25),0)</f>
        <v>0</v>
      </c>
      <c r="DX25" s="336">
        <f t="shared" si="253"/>
        <v>0</v>
      </c>
      <c r="DY25" s="336">
        <f t="shared" si="253"/>
        <v>0</v>
      </c>
      <c r="DZ25" s="336">
        <f t="shared" si="253"/>
        <v>0</v>
      </c>
      <c r="EA25" s="336">
        <f t="shared" si="253"/>
        <v>0</v>
      </c>
      <c r="EB25" s="336">
        <f t="shared" si="253"/>
        <v>0</v>
      </c>
      <c r="EC25" s="336">
        <f t="shared" si="253"/>
        <v>0</v>
      </c>
      <c r="ED25" s="336">
        <f t="shared" si="209"/>
        <v>0</v>
      </c>
      <c r="EE25" s="336">
        <f t="shared" si="210"/>
        <v>106</v>
      </c>
      <c r="EF25" s="336">
        <f t="shared" si="211"/>
        <v>0</v>
      </c>
      <c r="EG25" s="336">
        <f t="shared" si="212"/>
        <v>0</v>
      </c>
      <c r="EH25" s="336">
        <f t="shared" si="213"/>
        <v>0</v>
      </c>
      <c r="EI25" s="336">
        <f t="shared" si="214"/>
        <v>0</v>
      </c>
      <c r="EJ25" s="336">
        <f t="shared" si="215"/>
        <v>0</v>
      </c>
      <c r="EK25" s="336">
        <f t="shared" si="216"/>
        <v>0</v>
      </c>
      <c r="EL25" s="336">
        <f t="shared" si="217"/>
        <v>0</v>
      </c>
      <c r="EM25" s="336">
        <f t="shared" si="218"/>
        <v>0</v>
      </c>
      <c r="EN25" s="336">
        <f t="shared" si="219"/>
        <v>0</v>
      </c>
      <c r="EO25" s="336">
        <f t="shared" si="220"/>
        <v>0</v>
      </c>
      <c r="EP25" s="336">
        <f t="shared" si="221"/>
        <v>0</v>
      </c>
      <c r="EQ25" s="336">
        <f t="shared" si="222"/>
        <v>0</v>
      </c>
      <c r="ER25" s="336">
        <f t="shared" si="223"/>
        <v>0</v>
      </c>
      <c r="ES25" s="336">
        <f t="shared" si="224"/>
        <v>0</v>
      </c>
      <c r="ET25" s="336">
        <f t="shared" si="224"/>
        <v>0</v>
      </c>
      <c r="EU25" s="336">
        <f t="shared" si="225"/>
        <v>0</v>
      </c>
      <c r="EV25" s="336">
        <f t="shared" si="226"/>
        <v>0</v>
      </c>
      <c r="EW25" s="336">
        <f t="shared" si="227"/>
        <v>0</v>
      </c>
      <c r="EX25" s="336">
        <f t="shared" si="228"/>
        <v>106</v>
      </c>
      <c r="EY25" s="336">
        <f t="shared" si="229"/>
        <v>0</v>
      </c>
      <c r="EZ25" s="336">
        <f t="shared" si="230"/>
        <v>0</v>
      </c>
      <c r="FA25" s="336">
        <f t="shared" si="231"/>
        <v>0</v>
      </c>
      <c r="FB25" s="336">
        <f t="shared" si="232"/>
        <v>0</v>
      </c>
      <c r="FC25" s="336">
        <f t="shared" si="233"/>
        <v>0</v>
      </c>
      <c r="FD25" s="336">
        <f t="shared" si="234"/>
        <v>0</v>
      </c>
      <c r="FE25" s="336">
        <f t="shared" si="235"/>
        <v>0</v>
      </c>
      <c r="FF25" s="336">
        <f t="shared" si="236"/>
        <v>0</v>
      </c>
      <c r="FG25" s="336">
        <f t="shared" si="237"/>
        <v>0</v>
      </c>
      <c r="FH25" s="336">
        <f t="shared" si="238"/>
        <v>106</v>
      </c>
      <c r="FI25" s="336">
        <f t="shared" si="239"/>
        <v>106</v>
      </c>
      <c r="FJ25" s="336">
        <f t="shared" si="240"/>
        <v>0</v>
      </c>
      <c r="FK25" s="336">
        <f t="shared" si="241"/>
        <v>0</v>
      </c>
      <c r="FL25" s="336">
        <f t="shared" si="242"/>
        <v>0</v>
      </c>
      <c r="FM25" s="336">
        <f t="shared" si="243"/>
        <v>0</v>
      </c>
      <c r="FN25" s="336">
        <f t="shared" si="244"/>
        <v>0</v>
      </c>
      <c r="FO25" s="336">
        <f t="shared" si="245"/>
        <v>0</v>
      </c>
      <c r="FP25" s="336">
        <f t="shared" si="246"/>
        <v>0</v>
      </c>
      <c r="FQ25" s="336">
        <f t="shared" si="247"/>
        <v>0</v>
      </c>
      <c r="FR25" s="336">
        <f t="shared" si="248"/>
        <v>0</v>
      </c>
      <c r="FS25" s="336">
        <f t="shared" si="249"/>
        <v>0</v>
      </c>
      <c r="FT25" s="336">
        <f t="shared" si="250"/>
        <v>0</v>
      </c>
      <c r="FU25" s="336">
        <f t="shared" si="89"/>
        <v>0</v>
      </c>
      <c r="FV25" s="336">
        <f t="shared" si="90"/>
        <v>0</v>
      </c>
      <c r="FW25" s="336">
        <f t="shared" si="91"/>
        <v>0</v>
      </c>
      <c r="FX25" s="336">
        <f t="shared" si="92"/>
        <v>0</v>
      </c>
      <c r="FY25" s="336">
        <f t="shared" si="68"/>
        <v>0</v>
      </c>
      <c r="FZ25" s="336">
        <f t="shared" si="69"/>
        <v>0</v>
      </c>
      <c r="GA25" s="336">
        <f t="shared" si="70"/>
        <v>0</v>
      </c>
      <c r="GB25" s="336">
        <f t="shared" si="71"/>
        <v>0</v>
      </c>
      <c r="GC25" s="336">
        <f t="shared" si="72"/>
        <v>0</v>
      </c>
      <c r="GD25" s="336">
        <f t="shared" si="73"/>
        <v>0</v>
      </c>
      <c r="GE25" s="336">
        <f t="shared" si="74"/>
        <v>0</v>
      </c>
      <c r="GF25" s="336">
        <f t="shared" si="75"/>
        <v>0</v>
      </c>
      <c r="GG25" s="336">
        <f t="shared" si="76"/>
        <v>0</v>
      </c>
      <c r="GH25" s="336">
        <f t="shared" si="77"/>
        <v>0</v>
      </c>
      <c r="GI25" s="336">
        <f t="shared" si="78"/>
        <v>0</v>
      </c>
      <c r="GJ25" s="336">
        <f t="shared" si="79"/>
        <v>0</v>
      </c>
      <c r="GK25" s="336">
        <f t="shared" si="80"/>
        <v>0</v>
      </c>
      <c r="GL25" s="336">
        <f t="shared" si="93"/>
        <v>0</v>
      </c>
      <c r="GM25" s="336">
        <f t="shared" si="81"/>
        <v>0</v>
      </c>
    </row>
    <row r="26" spans="1:195" ht="35.25" customHeight="1">
      <c r="A26" s="337">
        <f t="shared" si="94"/>
        <v>16</v>
      </c>
      <c r="B26" s="388" t="s">
        <v>515</v>
      </c>
      <c r="C26" s="388" t="str">
        <f t="shared" si="0"/>
        <v>PMCC-1</v>
      </c>
      <c r="D26" s="338" t="s">
        <v>517</v>
      </c>
      <c r="E26" s="502" t="s">
        <v>513</v>
      </c>
      <c r="F26" s="388" t="s">
        <v>29</v>
      </c>
      <c r="G26" s="388" t="s">
        <v>329</v>
      </c>
      <c r="H26" s="396">
        <v>0.2</v>
      </c>
      <c r="I26" s="388" t="s">
        <v>330</v>
      </c>
      <c r="J26" s="388" t="s">
        <v>357</v>
      </c>
      <c r="K26" s="434">
        <v>230</v>
      </c>
      <c r="L26" s="401">
        <v>0.85</v>
      </c>
      <c r="M26" s="418">
        <v>0.95</v>
      </c>
      <c r="N26" s="392">
        <f t="shared" si="1"/>
        <v>1.0768609503297888</v>
      </c>
      <c r="O26" s="392">
        <f t="shared" si="2"/>
        <v>0</v>
      </c>
      <c r="P26" s="401" t="str">
        <f t="shared" si="3"/>
        <v>0.00</v>
      </c>
      <c r="Q26" s="418">
        <v>65</v>
      </c>
      <c r="R26" s="418">
        <v>0</v>
      </c>
      <c r="S26" s="418">
        <f t="shared" si="4"/>
        <v>0</v>
      </c>
      <c r="T26" s="401" t="s">
        <v>131</v>
      </c>
      <c r="U26" s="418" t="s">
        <v>333</v>
      </c>
      <c r="V26" s="401">
        <v>2.5</v>
      </c>
      <c r="W26" s="401" t="str">
        <f t="shared" si="251"/>
        <v>3C X 2.5</v>
      </c>
      <c r="X26" s="401" t="str">
        <f t="shared" ref="X26" si="254">(IF(J26="1Ph",W26,IF(J26="3Ph",(IF(G26="MOTOR",(CONCATENATE(W26,"+PE")),W26)))))</f>
        <v>3C X 2.5</v>
      </c>
      <c r="Y26" s="401" t="s">
        <v>358</v>
      </c>
      <c r="Z26" s="393">
        <f>IF(T26="AIR",VLOOKUP(W26,'Catalogue Aluminium'!$B$9:$G$93,2,FALSE),IF(T26="GROUND",VLOOKUP(W26,'Catalogue Aluminium'!$B$9:$G$93,3,FALSE),IF(T26="DUCT",VLOOKUP(W26,'Catalogue Aluminium'!$B$9:$G$93,4,FALSE),IF(T26="TRENCH",VLOOKUP(W26,'Catalogue Aluminium'!$B$9:$G$93,2,FALSE)))))</f>
        <v>28</v>
      </c>
      <c r="AA26" s="402">
        <f>VLOOKUP(W26,'Catalogue Aluminium'!$B$9:$G$93,5,FALSE)</f>
        <v>9.48</v>
      </c>
      <c r="AB26" s="402">
        <f>VLOOKUP(W26,'Catalogue Aluminium'!$B$9:$G$93,6,FALSE)</f>
        <v>0.1007</v>
      </c>
      <c r="AC26" s="401">
        <f>15+13</f>
        <v>28</v>
      </c>
      <c r="AD26" s="401">
        <f t="shared" si="252"/>
        <v>157</v>
      </c>
      <c r="AE26" s="401">
        <f t="shared" si="188"/>
        <v>22</v>
      </c>
      <c r="AF26" s="401">
        <v>8</v>
      </c>
      <c r="AG26" s="401">
        <f t="shared" ref="AG26" si="255">ROUNDUP((SUM(AC26:AF26)*0.1),0)</f>
        <v>22</v>
      </c>
      <c r="AH26" s="436">
        <f t="shared" ref="AH26" si="256">SUM(AC26:AG26)</f>
        <v>237</v>
      </c>
      <c r="AI26" s="393">
        <f>IF(T26="AIR",'Catalogue Aluminium'!$K$9,IF(T26="TRENCH",'Catalogue Aluminium'!$K$12,"NA"))</f>
        <v>0.89</v>
      </c>
      <c r="AJ26" s="392">
        <f>IF(T26="Air",(IF(U26="1C",'Catalogue Aluminium'!$L$9,'Catalogue Aluminium'!$M$9)),IF(T26="DUCT",(IF($U26="1C",'Catalogue Aluminium'!$L$10,'Catalogue Aluminium'!$M$10)),IF(T26="GROUND",(IF($U26="1C",'Catalogue Aluminium'!$L$11,'Catalogue Aluminium'!$M$11)),IF(T26="TRENCH",(IF($U26="1C",'Catalogue Aluminium'!$L$12,'Catalogue Aluminium'!$M$12))))))</f>
        <v>0.66</v>
      </c>
      <c r="AK26" s="393" t="str">
        <f>IF(T26="Air",'Catalogue Aluminium'!$N$9,IF(T26="GROUND",'Catalogue Aluminium'!$N$10,IF(T26="DUCT",'Catalogue Aluminium'!$N$11,IF(T26="TRENCH",'Catalogue Aluminium'!$N$12,"NA"))))</f>
        <v>NA</v>
      </c>
      <c r="AL26" s="393" t="str">
        <f>IF(T26="Air",(IF(U26="1C",'Catalogue Aluminium'!$O$9,'Catalogue Aluminium'!$P$9)),IF(T26="DUCT",(IF($U26="1C",'Catalogue Aluminium'!$O$10,'Catalogue Aluminium'!$P$10)),IF(T26="GROUND",(IF($U26="1C",'Catalogue Aluminium'!$O$11,'Catalogue Aluminium'!$P$11)),IF(T26="TRENCH",(IF($U26="1C",'Catalogue Aluminium'!$O$12,'Catalogue Aluminium'!$P$12))))))</f>
        <v>NA</v>
      </c>
      <c r="AM26" s="393" t="str">
        <f>IF(T26="AIR","NA",IF(T26="TRENCH","NA",IF(T26="DUCT",IF(U26="1C",VLOOKUP(V26,'Catalogue Aluminium'!$Q$9:$S$28,2,FALSE),VLOOKUP(V26,'Catalogue Aluminium'!$Q$9:$S$28,3)),IF(T26="GROUND",IF(U26="1C",VLOOKUP(V26,'Catalogue Aluminium'!$Q$9:$S$28,2,FALSE),VLOOKUP(V26,'Catalogue Aluminium'!$Q$9:$S$28,3))))))</f>
        <v>NA</v>
      </c>
      <c r="AN26" s="437">
        <f t="shared" ref="AN26" si="257">IF(T26="AIR",AI26*AJ26,IF(T26="TRENCH",AI26*AJ26,IF(T26="DUCT",AJ26*AK26*AL26*AM26,IF(T26="GROUND",AJ26*AK26*AL26*AM26))))</f>
        <v>0.58740000000000003</v>
      </c>
      <c r="AO26" s="418">
        <f t="shared" ref="AO26" si="258">Z26*AN26</f>
        <v>16.447200000000002</v>
      </c>
      <c r="AP26" s="434">
        <v>1</v>
      </c>
      <c r="AQ26" s="418" t="str">
        <f t="shared" ref="AQ26" si="259">IF(AO26*AP26&gt;=N26,"YES","NO")</f>
        <v>YES</v>
      </c>
      <c r="AR26" s="437">
        <f t="shared" ref="AR26" si="260">SQRT(3)*AH26*N26*((AA26*L26)+(AB26*SIN(ACOS(L26))))*100/(AP26*K26*1000)</f>
        <v>1.5588979460713701</v>
      </c>
      <c r="AS26" s="401" t="str">
        <f t="shared" ref="AS26" si="261">IF(G26="INCOMER",(IF(AR26&lt;=2,"YES","NO")),IF(G26="POWER",(IF(AR26&lt;=2.5,"YES","NO")),IF(G26="MOTOR",(IF(AR26&lt;=3,"YES","NO")))))</f>
        <v>YES</v>
      </c>
      <c r="AT26" s="437" t="str">
        <f t="shared" si="14"/>
        <v>NA</v>
      </c>
      <c r="AU26" s="401" t="str">
        <f t="shared" si="15"/>
        <v>NA</v>
      </c>
      <c r="AV26" s="503" t="str">
        <f t="shared" si="16"/>
        <v>1R x 0.6/1kV x 3C x 2.5 Sqmm</v>
      </c>
      <c r="AW26" s="503" t="str">
        <f t="shared" si="17"/>
        <v>1R x 0.6/1kV x 3C x 2.5 Sqmm</v>
      </c>
      <c r="AX26" s="401">
        <f t="shared" si="85"/>
        <v>237</v>
      </c>
      <c r="AY26" s="504"/>
      <c r="AZ26" s="504">
        <f t="shared" si="86"/>
        <v>2</v>
      </c>
      <c r="BA26" s="438" t="str">
        <f t="shared" si="87"/>
        <v>D3LMM1</v>
      </c>
      <c r="BB26" s="505">
        <f>VLOOKUP(W26,'Catalogue Aluminium'!$B$9:$H$93,7,FALSE)</f>
        <v>14</v>
      </c>
      <c r="BC26" s="439">
        <f t="shared" si="88"/>
        <v>14</v>
      </c>
      <c r="BE26" s="336"/>
      <c r="BF26" s="336"/>
      <c r="BG26" s="336"/>
      <c r="BH26" s="336"/>
      <c r="BI26" s="336"/>
      <c r="BJ26" s="336"/>
      <c r="BK26" s="336"/>
      <c r="BL26" s="336"/>
      <c r="BM26" s="336">
        <v>1</v>
      </c>
      <c r="BN26" s="336"/>
      <c r="BO26" s="336"/>
      <c r="BP26" s="336"/>
      <c r="BQ26" s="336"/>
      <c r="BR26" s="336"/>
      <c r="BS26" s="336"/>
      <c r="BT26" s="336"/>
      <c r="BU26" s="336"/>
      <c r="BV26" s="336"/>
      <c r="BW26" s="336"/>
      <c r="BX26" s="336"/>
      <c r="BY26" s="336"/>
      <c r="BZ26" s="336"/>
      <c r="CA26" s="336"/>
      <c r="CB26" s="336"/>
      <c r="CC26" s="336"/>
      <c r="CD26" s="336"/>
      <c r="CE26" s="336"/>
      <c r="CF26" s="336">
        <v>1</v>
      </c>
      <c r="CG26" s="336"/>
      <c r="CH26" s="336"/>
      <c r="CI26" s="336"/>
      <c r="CJ26" s="336"/>
      <c r="CK26" s="336"/>
      <c r="CL26" s="336"/>
      <c r="CM26" s="336"/>
      <c r="CN26" s="336"/>
      <c r="CO26" s="336"/>
      <c r="CP26" s="336">
        <v>1</v>
      </c>
      <c r="CQ26" s="336">
        <v>1</v>
      </c>
      <c r="CR26" s="336"/>
      <c r="CS26" s="336"/>
      <c r="CT26" s="336"/>
      <c r="CU26" s="336"/>
      <c r="CV26" s="336"/>
      <c r="CW26" s="336"/>
      <c r="CX26" s="336"/>
      <c r="CY26" s="336"/>
      <c r="CZ26" s="336"/>
      <c r="DA26" s="336"/>
      <c r="DB26" s="336"/>
      <c r="DC26" s="336"/>
      <c r="DD26" s="336"/>
      <c r="DE26" s="336"/>
      <c r="DF26" s="336"/>
      <c r="DG26" s="336"/>
      <c r="DH26" s="336"/>
      <c r="DI26" s="336"/>
      <c r="DJ26" s="336"/>
      <c r="DK26" s="336"/>
      <c r="DL26" s="336"/>
      <c r="DM26" s="336"/>
      <c r="DN26" s="336"/>
      <c r="DO26" s="336"/>
      <c r="DP26" s="336"/>
      <c r="DQ26" s="336"/>
      <c r="DR26" s="336"/>
      <c r="DS26" s="336"/>
      <c r="DT26" s="336"/>
      <c r="DU26" s="336"/>
      <c r="DW26" s="336">
        <f t="shared" ref="DW26" si="262">IF(BE26=1,($BC26*BE26),0)</f>
        <v>0</v>
      </c>
      <c r="DX26" s="336">
        <f t="shared" ref="DX26" si="263">IF(BF26=1,($BC26*BF26),0)</f>
        <v>0</v>
      </c>
      <c r="DY26" s="336">
        <f t="shared" ref="DY26" si="264">IF(BG26=1,($BC26*BG26),0)</f>
        <v>0</v>
      </c>
      <c r="DZ26" s="336">
        <f t="shared" ref="DZ26" si="265">IF(BH26=1,($BC26*BH26),0)</f>
        <v>0</v>
      </c>
      <c r="EA26" s="336">
        <f t="shared" ref="EA26" si="266">IF(BI26=1,($BC26*BI26),0)</f>
        <v>0</v>
      </c>
      <c r="EB26" s="336">
        <f t="shared" ref="EB26" si="267">IF(BJ26=1,($BC26*BJ26),0)</f>
        <v>0</v>
      </c>
      <c r="EC26" s="336">
        <f t="shared" ref="EC26" si="268">IF(BK26=1,($BC26*BK26),0)</f>
        <v>0</v>
      </c>
      <c r="ED26" s="336">
        <f t="shared" si="209"/>
        <v>0</v>
      </c>
      <c r="EE26" s="336">
        <f t="shared" si="210"/>
        <v>14</v>
      </c>
      <c r="EF26" s="336">
        <f t="shared" si="211"/>
        <v>0</v>
      </c>
      <c r="EG26" s="336">
        <f t="shared" si="212"/>
        <v>0</v>
      </c>
      <c r="EH26" s="336">
        <f t="shared" si="213"/>
        <v>0</v>
      </c>
      <c r="EI26" s="336">
        <f t="shared" si="214"/>
        <v>0</v>
      </c>
      <c r="EJ26" s="336">
        <f t="shared" si="215"/>
        <v>0</v>
      </c>
      <c r="EK26" s="336">
        <f t="shared" si="216"/>
        <v>0</v>
      </c>
      <c r="EL26" s="336">
        <f t="shared" si="217"/>
        <v>0</v>
      </c>
      <c r="EM26" s="336">
        <f t="shared" si="218"/>
        <v>0</v>
      </c>
      <c r="EN26" s="336">
        <f t="shared" si="219"/>
        <v>0</v>
      </c>
      <c r="EO26" s="336">
        <f t="shared" si="220"/>
        <v>0</v>
      </c>
      <c r="EP26" s="336">
        <f t="shared" si="221"/>
        <v>0</v>
      </c>
      <c r="EQ26" s="336">
        <f t="shared" si="222"/>
        <v>0</v>
      </c>
      <c r="ER26" s="336">
        <f t="shared" si="223"/>
        <v>0</v>
      </c>
      <c r="ES26" s="336">
        <f t="shared" si="224"/>
        <v>0</v>
      </c>
      <c r="ET26" s="336">
        <f t="shared" si="224"/>
        <v>0</v>
      </c>
      <c r="EU26" s="336">
        <f t="shared" si="225"/>
        <v>0</v>
      </c>
      <c r="EV26" s="336">
        <f t="shared" si="226"/>
        <v>0</v>
      </c>
      <c r="EW26" s="336">
        <f t="shared" si="227"/>
        <v>0</v>
      </c>
      <c r="EX26" s="336">
        <f t="shared" si="228"/>
        <v>14</v>
      </c>
      <c r="EY26" s="336">
        <f t="shared" si="229"/>
        <v>0</v>
      </c>
      <c r="EZ26" s="336">
        <f t="shared" si="230"/>
        <v>0</v>
      </c>
      <c r="FA26" s="336">
        <f t="shared" si="231"/>
        <v>0</v>
      </c>
      <c r="FB26" s="336">
        <f t="shared" si="232"/>
        <v>0</v>
      </c>
      <c r="FC26" s="336">
        <f t="shared" si="233"/>
        <v>0</v>
      </c>
      <c r="FD26" s="336">
        <f t="shared" si="234"/>
        <v>0</v>
      </c>
      <c r="FE26" s="336">
        <f t="shared" si="235"/>
        <v>0</v>
      </c>
      <c r="FF26" s="336">
        <f t="shared" si="236"/>
        <v>0</v>
      </c>
      <c r="FG26" s="336">
        <f t="shared" si="237"/>
        <v>0</v>
      </c>
      <c r="FH26" s="336">
        <f t="shared" si="238"/>
        <v>14</v>
      </c>
      <c r="FI26" s="336">
        <f t="shared" si="239"/>
        <v>14</v>
      </c>
      <c r="FJ26" s="336">
        <f t="shared" si="240"/>
        <v>0</v>
      </c>
      <c r="FK26" s="336">
        <f t="shared" si="241"/>
        <v>0</v>
      </c>
      <c r="FL26" s="336">
        <f t="shared" si="242"/>
        <v>0</v>
      </c>
      <c r="FM26" s="336">
        <f t="shared" si="243"/>
        <v>0</v>
      </c>
      <c r="FN26" s="336">
        <f t="shared" si="244"/>
        <v>0</v>
      </c>
      <c r="FO26" s="336">
        <f t="shared" si="245"/>
        <v>0</v>
      </c>
      <c r="FP26" s="336">
        <f t="shared" si="246"/>
        <v>0</v>
      </c>
      <c r="FQ26" s="336">
        <f t="shared" si="247"/>
        <v>0</v>
      </c>
      <c r="FR26" s="336">
        <f t="shared" si="248"/>
        <v>0</v>
      </c>
      <c r="FS26" s="336">
        <f t="shared" si="249"/>
        <v>0</v>
      </c>
      <c r="FT26" s="336">
        <f t="shared" si="250"/>
        <v>0</v>
      </c>
      <c r="FU26" s="336">
        <f t="shared" si="89"/>
        <v>0</v>
      </c>
      <c r="FV26" s="336">
        <f t="shared" si="90"/>
        <v>0</v>
      </c>
      <c r="FW26" s="336">
        <f t="shared" si="91"/>
        <v>0</v>
      </c>
      <c r="FX26" s="336">
        <f t="shared" si="92"/>
        <v>0</v>
      </c>
      <c r="FY26" s="336">
        <f t="shared" si="68"/>
        <v>0</v>
      </c>
      <c r="FZ26" s="336">
        <f t="shared" si="69"/>
        <v>0</v>
      </c>
      <c r="GA26" s="336">
        <f t="shared" si="70"/>
        <v>0</v>
      </c>
      <c r="GB26" s="336">
        <f t="shared" si="71"/>
        <v>0</v>
      </c>
      <c r="GC26" s="336">
        <f t="shared" si="72"/>
        <v>0</v>
      </c>
      <c r="GD26" s="336">
        <f t="shared" si="73"/>
        <v>0</v>
      </c>
      <c r="GE26" s="336">
        <f t="shared" si="74"/>
        <v>0</v>
      </c>
      <c r="GF26" s="336">
        <f t="shared" si="75"/>
        <v>0</v>
      </c>
      <c r="GG26" s="336">
        <f t="shared" si="76"/>
        <v>0</v>
      </c>
      <c r="GH26" s="336">
        <f t="shared" si="77"/>
        <v>0</v>
      </c>
      <c r="GI26" s="336">
        <f t="shared" si="78"/>
        <v>0</v>
      </c>
      <c r="GJ26" s="336">
        <f t="shared" si="79"/>
        <v>0</v>
      </c>
      <c r="GK26" s="336">
        <f t="shared" si="80"/>
        <v>0</v>
      </c>
      <c r="GL26" s="336">
        <f t="shared" si="93"/>
        <v>0</v>
      </c>
      <c r="GM26" s="336">
        <f t="shared" si="81"/>
        <v>0</v>
      </c>
    </row>
    <row r="27" spans="1:195" ht="35.25" customHeight="1">
      <c r="A27" s="337">
        <f t="shared" si="94"/>
        <v>17</v>
      </c>
      <c r="B27" s="337" t="s">
        <v>518</v>
      </c>
      <c r="C27" s="337" t="str">
        <f t="shared" si="0"/>
        <v>PMCC-1</v>
      </c>
      <c r="D27" s="372" t="s">
        <v>519</v>
      </c>
      <c r="E27" s="500" t="s">
        <v>513</v>
      </c>
      <c r="F27" s="337" t="s">
        <v>28</v>
      </c>
      <c r="G27" s="337" t="s">
        <v>350</v>
      </c>
      <c r="H27" s="864">
        <v>160</v>
      </c>
      <c r="I27" s="337" t="s">
        <v>330</v>
      </c>
      <c r="J27" s="337" t="s">
        <v>331</v>
      </c>
      <c r="K27" s="349">
        <v>400</v>
      </c>
      <c r="L27" s="343">
        <v>0.86</v>
      </c>
      <c r="M27" s="350">
        <v>0.96400000000000008</v>
      </c>
      <c r="N27" s="342">
        <f t="shared" si="1"/>
        <v>278.57145881632982</v>
      </c>
      <c r="O27" s="342">
        <f t="shared" si="2"/>
        <v>1671.4287528979789</v>
      </c>
      <c r="P27" s="343">
        <f t="shared" si="3"/>
        <v>0.2</v>
      </c>
      <c r="Q27" s="350">
        <v>65</v>
      </c>
      <c r="R27" s="350">
        <v>0</v>
      </c>
      <c r="S27" s="350">
        <f t="shared" si="4"/>
        <v>0</v>
      </c>
      <c r="T27" s="343" t="s">
        <v>131</v>
      </c>
      <c r="U27" s="350" t="s">
        <v>333</v>
      </c>
      <c r="V27" s="343">
        <v>300</v>
      </c>
      <c r="W27" s="343" t="str">
        <f t="shared" si="251"/>
        <v>3C X 300</v>
      </c>
      <c r="X27" s="343" t="str">
        <f t="shared" si="6"/>
        <v>3C X 300+PE</v>
      </c>
      <c r="Y27" s="343" t="s">
        <v>358</v>
      </c>
      <c r="Z27" s="344">
        <f>IF(T27="AIR",VLOOKUP(W27,'Catalogue Aluminium'!$B$9:$G$93,2,FALSE),IF(T27="GROUND",VLOOKUP(W27,'Catalogue Aluminium'!$B$9:$G$93,3,FALSE),IF(T27="DUCT",VLOOKUP(W27,'Catalogue Aluminium'!$B$9:$G$93,4,FALSE),IF(T27="TRENCH",VLOOKUP(W27,'Catalogue Aluminium'!$B$9:$G$93,2,FALSE)))))</f>
        <v>459</v>
      </c>
      <c r="AA27" s="345">
        <f>VLOOKUP(W27,'Catalogue Aluminium'!$B$9:$G$93,5,FALSE)</f>
        <v>0.128</v>
      </c>
      <c r="AB27" s="345">
        <f>VLOOKUP(W27,'Catalogue Aluminium'!$B$9:$G$93,6,FALSE)</f>
        <v>7.1099999999999997E-2</v>
      </c>
      <c r="AC27" s="401">
        <f>18+11</f>
        <v>29</v>
      </c>
      <c r="AD27" s="401">
        <f t="shared" si="252"/>
        <v>157</v>
      </c>
      <c r="AE27" s="401">
        <f t="shared" si="188"/>
        <v>22</v>
      </c>
      <c r="AF27" s="401">
        <v>8</v>
      </c>
      <c r="AG27" s="401">
        <f t="shared" si="83"/>
        <v>22</v>
      </c>
      <c r="AH27" s="347">
        <f t="shared" si="84"/>
        <v>238</v>
      </c>
      <c r="AI27" s="344">
        <f>IF(T27="AIR",'Catalogue Aluminium'!$K$9,IF(T27="TRENCH",'Catalogue Aluminium'!$K$12,"NA"))</f>
        <v>0.89</v>
      </c>
      <c r="AJ27" s="342">
        <f>IF(T27="Air",(IF(U27="1C",'Catalogue Aluminium'!$L$9,'Catalogue Aluminium'!$M$9)),IF(T27="DUCT",(IF($U27="1C",'Catalogue Aluminium'!$L$10,'Catalogue Aluminium'!$M$10)),IF(T27="GROUND",(IF($U27="1C",'Catalogue Aluminium'!$L$11,'Catalogue Aluminium'!$M$11)),IF(T27="TRENCH",(IF($U27="1C",'Catalogue Aluminium'!$L$12,'Catalogue Aluminium'!$M$12))))))</f>
        <v>0.66</v>
      </c>
      <c r="AK27" s="344" t="str">
        <f>IF(T27="Air",'Catalogue Aluminium'!$N$9,IF(T27="GROUND",'Catalogue Aluminium'!$N$10,IF(T27="DUCT",'Catalogue Aluminium'!$N$11,IF(T27="TRENCH",'Catalogue Aluminium'!$N$12,"NA"))))</f>
        <v>NA</v>
      </c>
      <c r="AL27" s="344" t="str">
        <f>IF(T27="Air",(IF(U27="1C",'Catalogue Aluminium'!$O$9,'Catalogue Aluminium'!$P$9)),IF(T27="DUCT",(IF($U27="1C",'Catalogue Aluminium'!$O$10,'Catalogue Aluminium'!$P$10)),IF(T27="GROUND",(IF($U27="1C",'Catalogue Aluminium'!$O$11,'Catalogue Aluminium'!$P$11)),IF(T27="TRENCH",(IF($U27="1C",'Catalogue Aluminium'!$O$12,'Catalogue Aluminium'!$P$12))))))</f>
        <v>NA</v>
      </c>
      <c r="AM27" s="344" t="str">
        <f>IF(T27="AIR","NA",IF(T27="TRENCH","NA",IF(T27="DUCT",IF(U27="1C",VLOOKUP(V27,'Catalogue Aluminium'!$Q$9:$S$28,2,FALSE),VLOOKUP(V27,'Catalogue Aluminium'!$Q$9:$S$28,3)),IF(T27="GROUND",IF(U27="1C",VLOOKUP(V27,'Catalogue Aluminium'!$Q$9:$S$28,2,FALSE),VLOOKUP(V27,'Catalogue Aluminium'!$Q$9:$S$28,3))))))</f>
        <v>NA</v>
      </c>
      <c r="AN27" s="351">
        <f t="shared" si="8"/>
        <v>0.58740000000000003</v>
      </c>
      <c r="AO27" s="350">
        <f t="shared" si="9"/>
        <v>269.61660000000001</v>
      </c>
      <c r="AP27" s="349">
        <v>2</v>
      </c>
      <c r="AQ27" s="350" t="str">
        <f t="shared" si="11"/>
        <v>YES</v>
      </c>
      <c r="AR27" s="351">
        <f t="shared" si="12"/>
        <v>2.1009333332480122</v>
      </c>
      <c r="AS27" s="343" t="str">
        <f t="shared" si="13"/>
        <v>YES</v>
      </c>
      <c r="AT27" s="351">
        <f t="shared" si="14"/>
        <v>8.2046856510669812</v>
      </c>
      <c r="AU27" s="343" t="str">
        <f t="shared" si="15"/>
        <v>YES</v>
      </c>
      <c r="AV27" s="354" t="str">
        <f t="shared" si="16"/>
        <v>2R x 0.6/1kV x 3C x 300 Sqmm</v>
      </c>
      <c r="AW27" s="354" t="str">
        <f t="shared" si="17"/>
        <v>2R x 0.6/1kV x 3C x 300+PE Sqmm</v>
      </c>
      <c r="AX27" s="343">
        <f t="shared" si="85"/>
        <v>476</v>
      </c>
      <c r="AY27" s="355"/>
      <c r="AZ27" s="355">
        <f t="shared" si="86"/>
        <v>4</v>
      </c>
      <c r="BA27" s="356" t="str">
        <f t="shared" si="87"/>
        <v>D3LMM1</v>
      </c>
      <c r="BB27" s="501">
        <f>VLOOKUP(W27,'Catalogue Aluminium'!$B$9:$H$93,7,FALSE)</f>
        <v>53</v>
      </c>
      <c r="BC27" s="328">
        <f t="shared" si="88"/>
        <v>106</v>
      </c>
      <c r="BE27" s="336"/>
      <c r="BF27" s="336"/>
      <c r="BG27" s="336"/>
      <c r="BH27" s="336"/>
      <c r="BI27" s="336"/>
      <c r="BJ27" s="336"/>
      <c r="BK27" s="336"/>
      <c r="BL27" s="336"/>
      <c r="BM27" s="336">
        <v>1</v>
      </c>
      <c r="BN27" s="336"/>
      <c r="BO27" s="336"/>
      <c r="BP27" s="336"/>
      <c r="BQ27" s="336"/>
      <c r="BR27" s="336"/>
      <c r="BS27" s="336"/>
      <c r="BT27" s="336"/>
      <c r="BU27" s="336"/>
      <c r="BV27" s="336"/>
      <c r="BW27" s="336"/>
      <c r="BX27" s="336"/>
      <c r="BY27" s="336"/>
      <c r="BZ27" s="336"/>
      <c r="CA27" s="336"/>
      <c r="CB27" s="336"/>
      <c r="CC27" s="336"/>
      <c r="CD27" s="336"/>
      <c r="CE27" s="336"/>
      <c r="CF27" s="336">
        <v>1</v>
      </c>
      <c r="CG27" s="336"/>
      <c r="CH27" s="336"/>
      <c r="CI27" s="336"/>
      <c r="CJ27" s="336"/>
      <c r="CK27" s="336"/>
      <c r="CL27" s="336"/>
      <c r="CM27" s="336"/>
      <c r="CN27" s="336"/>
      <c r="CO27" s="336"/>
      <c r="CP27" s="336">
        <v>1</v>
      </c>
      <c r="CQ27" s="336">
        <v>1</v>
      </c>
      <c r="CR27" s="336"/>
      <c r="CS27" s="336"/>
      <c r="CT27" s="336"/>
      <c r="CU27" s="336"/>
      <c r="CV27" s="336"/>
      <c r="CW27" s="336"/>
      <c r="CX27" s="336"/>
      <c r="CY27" s="336"/>
      <c r="CZ27" s="336"/>
      <c r="DA27" s="336"/>
      <c r="DB27" s="336"/>
      <c r="DC27" s="336"/>
      <c r="DD27" s="336"/>
      <c r="DE27" s="336"/>
      <c r="DF27" s="336"/>
      <c r="DG27" s="336"/>
      <c r="DH27" s="336"/>
      <c r="DI27" s="336"/>
      <c r="DJ27" s="336"/>
      <c r="DK27" s="336"/>
      <c r="DL27" s="336"/>
      <c r="DM27" s="336"/>
      <c r="DN27" s="336"/>
      <c r="DO27" s="336"/>
      <c r="DP27" s="336"/>
      <c r="DQ27" s="336"/>
      <c r="DR27" s="336"/>
      <c r="DS27" s="336"/>
      <c r="DT27" s="336"/>
      <c r="DU27" s="336"/>
      <c r="DW27" s="336">
        <f t="shared" ref="DW27:EC27" si="269">IF(BE27=1,($BC27*BE27),0)</f>
        <v>0</v>
      </c>
      <c r="DX27" s="336">
        <f t="shared" si="269"/>
        <v>0</v>
      </c>
      <c r="DY27" s="336">
        <f t="shared" si="269"/>
        <v>0</v>
      </c>
      <c r="DZ27" s="336">
        <f t="shared" si="269"/>
        <v>0</v>
      </c>
      <c r="EA27" s="336">
        <f t="shared" si="269"/>
        <v>0</v>
      </c>
      <c r="EB27" s="336">
        <f t="shared" si="269"/>
        <v>0</v>
      </c>
      <c r="EC27" s="336">
        <f t="shared" si="269"/>
        <v>0</v>
      </c>
      <c r="ED27" s="336">
        <f t="shared" si="209"/>
        <v>0</v>
      </c>
      <c r="EE27" s="336">
        <f t="shared" si="210"/>
        <v>106</v>
      </c>
      <c r="EF27" s="336">
        <f t="shared" si="211"/>
        <v>0</v>
      </c>
      <c r="EG27" s="336">
        <f t="shared" si="212"/>
        <v>0</v>
      </c>
      <c r="EH27" s="336">
        <f t="shared" si="213"/>
        <v>0</v>
      </c>
      <c r="EI27" s="336">
        <f t="shared" si="214"/>
        <v>0</v>
      </c>
      <c r="EJ27" s="336">
        <f t="shared" si="215"/>
        <v>0</v>
      </c>
      <c r="EK27" s="336">
        <f t="shared" si="216"/>
        <v>0</v>
      </c>
      <c r="EL27" s="336">
        <f t="shared" si="217"/>
        <v>0</v>
      </c>
      <c r="EM27" s="336">
        <f t="shared" si="218"/>
        <v>0</v>
      </c>
      <c r="EN27" s="336">
        <f t="shared" si="219"/>
        <v>0</v>
      </c>
      <c r="EO27" s="336">
        <f t="shared" si="220"/>
        <v>0</v>
      </c>
      <c r="EP27" s="336">
        <f t="shared" si="221"/>
        <v>0</v>
      </c>
      <c r="EQ27" s="336">
        <f t="shared" si="222"/>
        <v>0</v>
      </c>
      <c r="ER27" s="336">
        <f t="shared" si="223"/>
        <v>0</v>
      </c>
      <c r="ES27" s="336">
        <f t="shared" si="224"/>
        <v>0</v>
      </c>
      <c r="ET27" s="336">
        <f t="shared" si="224"/>
        <v>0</v>
      </c>
      <c r="EU27" s="336">
        <f t="shared" si="225"/>
        <v>0</v>
      </c>
      <c r="EV27" s="336">
        <f t="shared" si="226"/>
        <v>0</v>
      </c>
      <c r="EW27" s="336">
        <f t="shared" si="227"/>
        <v>0</v>
      </c>
      <c r="EX27" s="336">
        <f t="shared" si="228"/>
        <v>106</v>
      </c>
      <c r="EY27" s="336">
        <f t="shared" si="229"/>
        <v>0</v>
      </c>
      <c r="EZ27" s="336">
        <f t="shared" si="230"/>
        <v>0</v>
      </c>
      <c r="FA27" s="336">
        <f t="shared" si="231"/>
        <v>0</v>
      </c>
      <c r="FB27" s="336">
        <f t="shared" si="232"/>
        <v>0</v>
      </c>
      <c r="FC27" s="336">
        <f t="shared" si="233"/>
        <v>0</v>
      </c>
      <c r="FD27" s="336">
        <f t="shared" si="234"/>
        <v>0</v>
      </c>
      <c r="FE27" s="336">
        <f t="shared" si="235"/>
        <v>0</v>
      </c>
      <c r="FF27" s="336">
        <f t="shared" si="236"/>
        <v>0</v>
      </c>
      <c r="FG27" s="336">
        <f t="shared" si="237"/>
        <v>0</v>
      </c>
      <c r="FH27" s="336">
        <f t="shared" si="238"/>
        <v>106</v>
      </c>
      <c r="FI27" s="336">
        <f t="shared" si="239"/>
        <v>106</v>
      </c>
      <c r="FJ27" s="336">
        <f t="shared" si="240"/>
        <v>0</v>
      </c>
      <c r="FK27" s="336">
        <f t="shared" si="241"/>
        <v>0</v>
      </c>
      <c r="FL27" s="336">
        <f t="shared" si="242"/>
        <v>0</v>
      </c>
      <c r="FM27" s="336">
        <f t="shared" si="243"/>
        <v>0</v>
      </c>
      <c r="FN27" s="336">
        <f t="shared" si="244"/>
        <v>0</v>
      </c>
      <c r="FO27" s="336">
        <f t="shared" si="245"/>
        <v>0</v>
      </c>
      <c r="FP27" s="336">
        <f t="shared" si="246"/>
        <v>0</v>
      </c>
      <c r="FQ27" s="336">
        <f t="shared" si="247"/>
        <v>0</v>
      </c>
      <c r="FR27" s="336">
        <f t="shared" si="248"/>
        <v>0</v>
      </c>
      <c r="FS27" s="336">
        <f t="shared" si="249"/>
        <v>0</v>
      </c>
      <c r="FT27" s="336">
        <f t="shared" si="250"/>
        <v>0</v>
      </c>
      <c r="FU27" s="336">
        <f t="shared" si="89"/>
        <v>0</v>
      </c>
      <c r="FV27" s="336">
        <f t="shared" si="90"/>
        <v>0</v>
      </c>
      <c r="FW27" s="336">
        <f t="shared" si="91"/>
        <v>0</v>
      </c>
      <c r="FX27" s="336">
        <f t="shared" si="92"/>
        <v>0</v>
      </c>
      <c r="FY27" s="336">
        <f t="shared" si="68"/>
        <v>0</v>
      </c>
      <c r="FZ27" s="336">
        <f t="shared" si="69"/>
        <v>0</v>
      </c>
      <c r="GA27" s="336">
        <f t="shared" si="70"/>
        <v>0</v>
      </c>
      <c r="GB27" s="336">
        <f t="shared" si="71"/>
        <v>0</v>
      </c>
      <c r="GC27" s="336">
        <f t="shared" si="72"/>
        <v>0</v>
      </c>
      <c r="GD27" s="336">
        <f t="shared" si="73"/>
        <v>0</v>
      </c>
      <c r="GE27" s="336">
        <f t="shared" si="74"/>
        <v>0</v>
      </c>
      <c r="GF27" s="336">
        <f t="shared" si="75"/>
        <v>0</v>
      </c>
      <c r="GG27" s="336">
        <f t="shared" si="76"/>
        <v>0</v>
      </c>
      <c r="GH27" s="336">
        <f t="shared" si="77"/>
        <v>0</v>
      </c>
      <c r="GI27" s="336">
        <f t="shared" si="78"/>
        <v>0</v>
      </c>
      <c r="GJ27" s="336">
        <f t="shared" si="79"/>
        <v>0</v>
      </c>
      <c r="GK27" s="336">
        <f t="shared" si="80"/>
        <v>0</v>
      </c>
      <c r="GL27" s="336">
        <f t="shared" si="93"/>
        <v>0</v>
      </c>
      <c r="GM27" s="336">
        <f t="shared" si="81"/>
        <v>0</v>
      </c>
    </row>
    <row r="28" spans="1:195" ht="35.25" customHeight="1">
      <c r="A28" s="337">
        <f t="shared" si="94"/>
        <v>18</v>
      </c>
      <c r="B28" s="388" t="s">
        <v>518</v>
      </c>
      <c r="C28" s="388" t="str">
        <f t="shared" si="0"/>
        <v>PMCC-1</v>
      </c>
      <c r="D28" s="338" t="s">
        <v>520</v>
      </c>
      <c r="E28" s="502" t="s">
        <v>513</v>
      </c>
      <c r="F28" s="388" t="s">
        <v>28</v>
      </c>
      <c r="G28" s="388" t="s">
        <v>329</v>
      </c>
      <c r="H28" s="396">
        <v>0.2</v>
      </c>
      <c r="I28" s="388" t="s">
        <v>330</v>
      </c>
      <c r="J28" s="388" t="s">
        <v>357</v>
      </c>
      <c r="K28" s="434">
        <v>230</v>
      </c>
      <c r="L28" s="401">
        <v>0.85</v>
      </c>
      <c r="M28" s="418">
        <v>0.95</v>
      </c>
      <c r="N28" s="392">
        <f t="shared" ref="N28" si="270">IF(I28="kVA",IF(J28="3Ph",(H28*1000/(1.732*M28*K28)),(H28*1000/(M28*K28))),IF(I28="kW",IF(J28="3Ph",(H28*1000/(1.732*M28*K28*L28)),(H28*1000/(M28*K28*L28)))))</f>
        <v>1.0768609503297888</v>
      </c>
      <c r="O28" s="392">
        <f t="shared" ref="O28" si="271">IF(G28="MOTOR",(6*N28),IF(G28="VFD",(1*N28),0))</f>
        <v>0</v>
      </c>
      <c r="P28" s="401" t="str">
        <f t="shared" ref="P28" si="272">IF(G28="MOTOR",0.2,"0.00")</f>
        <v>0.00</v>
      </c>
      <c r="Q28" s="418">
        <v>65</v>
      </c>
      <c r="R28" s="418">
        <v>0</v>
      </c>
      <c r="S28" s="418">
        <f t="shared" ref="S28" si="273">(Q28*1000*SQRT(R28)/143)</f>
        <v>0</v>
      </c>
      <c r="T28" s="401" t="s">
        <v>131</v>
      </c>
      <c r="U28" s="418" t="s">
        <v>333</v>
      </c>
      <c r="V28" s="401">
        <v>2.5</v>
      </c>
      <c r="W28" s="401" t="str">
        <f t="shared" ref="W28" si="274">CONCATENATE(U28," X ",V28)</f>
        <v>3C X 2.5</v>
      </c>
      <c r="X28" s="401" t="str">
        <f t="shared" ref="X28" si="275">(IF(J28="1Ph",W28,IF(J28="3Ph",(IF(G28="MOTOR",(CONCATENATE(W28,"+PE")),W28)))))</f>
        <v>3C X 2.5</v>
      </c>
      <c r="Y28" s="401" t="s">
        <v>358</v>
      </c>
      <c r="Z28" s="393">
        <f>IF(T28="AIR",VLOOKUP(W28,'Catalogue Aluminium'!$B$9:$G$93,2,FALSE),IF(T28="GROUND",VLOOKUP(W28,'Catalogue Aluminium'!$B$9:$G$93,3,FALSE),IF(T28="DUCT",VLOOKUP(W28,'Catalogue Aluminium'!$B$9:$G$93,4,FALSE),IF(T28="TRENCH",VLOOKUP(W28,'Catalogue Aluminium'!$B$9:$G$93,2,FALSE)))))</f>
        <v>28</v>
      </c>
      <c r="AA28" s="402">
        <f>VLOOKUP(W28,'Catalogue Aluminium'!$B$9:$G$93,5,FALSE)</f>
        <v>9.48</v>
      </c>
      <c r="AB28" s="402">
        <f>VLOOKUP(W28,'Catalogue Aluminium'!$B$9:$G$93,6,FALSE)</f>
        <v>0.1007</v>
      </c>
      <c r="AC28" s="401">
        <f>18+11</f>
        <v>29</v>
      </c>
      <c r="AD28" s="401">
        <f t="shared" si="252"/>
        <v>157</v>
      </c>
      <c r="AE28" s="401">
        <f t="shared" si="188"/>
        <v>22</v>
      </c>
      <c r="AF28" s="401">
        <v>8</v>
      </c>
      <c r="AG28" s="401">
        <f t="shared" ref="AG28" si="276">ROUNDUP((SUM(AC28:AF28)*0.1),0)</f>
        <v>22</v>
      </c>
      <c r="AH28" s="436">
        <f t="shared" ref="AH28" si="277">SUM(AC28:AG28)</f>
        <v>238</v>
      </c>
      <c r="AI28" s="393">
        <f>IF(T28="AIR",'Catalogue Aluminium'!$K$9,IF(T28="TRENCH",'Catalogue Aluminium'!$K$12,"NA"))</f>
        <v>0.89</v>
      </c>
      <c r="AJ28" s="392">
        <f>IF(T28="Air",(IF(U28="1C",'Catalogue Aluminium'!$L$9,'Catalogue Aluminium'!$M$9)),IF(T28="DUCT",(IF($U28="1C",'Catalogue Aluminium'!$L$10,'Catalogue Aluminium'!$M$10)),IF(T28="GROUND",(IF($U28="1C",'Catalogue Aluminium'!$L$11,'Catalogue Aluminium'!$M$11)),IF(T28="TRENCH",(IF($U28="1C",'Catalogue Aluminium'!$L$12,'Catalogue Aluminium'!$M$12))))))</f>
        <v>0.66</v>
      </c>
      <c r="AK28" s="393" t="str">
        <f>IF(T28="Air",'Catalogue Aluminium'!$N$9,IF(T28="GROUND",'Catalogue Aluminium'!$N$10,IF(T28="DUCT",'Catalogue Aluminium'!$N$11,IF(T28="TRENCH",'Catalogue Aluminium'!$N$12,"NA"))))</f>
        <v>NA</v>
      </c>
      <c r="AL28" s="393" t="str">
        <f>IF(T28="Air",(IF(U28="1C",'Catalogue Aluminium'!$O$9,'Catalogue Aluminium'!$P$9)),IF(T28="DUCT",(IF($U28="1C",'Catalogue Aluminium'!$O$10,'Catalogue Aluminium'!$P$10)),IF(T28="GROUND",(IF($U28="1C",'Catalogue Aluminium'!$O$11,'Catalogue Aluminium'!$P$11)),IF(T28="TRENCH",(IF($U28="1C",'Catalogue Aluminium'!$O$12,'Catalogue Aluminium'!$P$12))))))</f>
        <v>NA</v>
      </c>
      <c r="AM28" s="393" t="str">
        <f>IF(T28="AIR","NA",IF(T28="TRENCH","NA",IF(T28="DUCT",IF(U28="1C",VLOOKUP(V28,'Catalogue Aluminium'!$Q$9:$S$28,2,FALSE),VLOOKUP(V28,'Catalogue Aluminium'!$Q$9:$S$28,3)),IF(T28="GROUND",IF(U28="1C",VLOOKUP(V28,'Catalogue Aluminium'!$Q$9:$S$28,2,FALSE),VLOOKUP(V28,'Catalogue Aluminium'!$Q$9:$S$28,3))))))</f>
        <v>NA</v>
      </c>
      <c r="AN28" s="437">
        <f t="shared" ref="AN28" si="278">IF(T28="AIR",AI28*AJ28,IF(T28="TRENCH",AI28*AJ28,IF(T28="DUCT",AJ28*AK28*AL28*AM28,IF(T28="GROUND",AJ28*AK28*AL28*AM28))))</f>
        <v>0.58740000000000003</v>
      </c>
      <c r="AO28" s="418">
        <f t="shared" ref="AO28" si="279">Z28*AN28</f>
        <v>16.447200000000002</v>
      </c>
      <c r="AP28" s="434">
        <v>1</v>
      </c>
      <c r="AQ28" s="418" t="str">
        <f t="shared" ref="AQ28" si="280">IF(AO28*AP28&gt;=N28,"YES","NO")</f>
        <v>YES</v>
      </c>
      <c r="AR28" s="437">
        <f t="shared" ref="AR28" si="281">SQRT(3)*AH28*N28*((AA28*L28)+(AB28*SIN(ACOS(L28))))*100/(AP28*K28*1000)</f>
        <v>1.5654755745358064</v>
      </c>
      <c r="AS28" s="401" t="str">
        <f t="shared" ref="AS28" si="282">IF(G28="INCOMER",(IF(AR28&lt;=2,"YES","NO")),IF(G28="POWER",(IF(AR28&lt;=2.5,"YES","NO")),IF(G28="MOTOR",(IF(AR28&lt;=3,"YES","NO")))))</f>
        <v>YES</v>
      </c>
      <c r="AT28" s="437" t="str">
        <f t="shared" si="14"/>
        <v>NA</v>
      </c>
      <c r="AU28" s="401" t="str">
        <f t="shared" si="15"/>
        <v>NA</v>
      </c>
      <c r="AV28" s="503" t="str">
        <f t="shared" si="16"/>
        <v>1R x 0.6/1kV x 3C x 2.5 Sqmm</v>
      </c>
      <c r="AW28" s="503" t="str">
        <f t="shared" si="17"/>
        <v>1R x 0.6/1kV x 3C x 2.5 Sqmm</v>
      </c>
      <c r="AX28" s="401">
        <f t="shared" si="85"/>
        <v>238</v>
      </c>
      <c r="AY28" s="504"/>
      <c r="AZ28" s="504">
        <f t="shared" si="86"/>
        <v>2</v>
      </c>
      <c r="BA28" s="438" t="str">
        <f t="shared" si="87"/>
        <v>D3LMM1</v>
      </c>
      <c r="BB28" s="505">
        <f>VLOOKUP(W28,'Catalogue Aluminium'!$B$9:$H$93,7,FALSE)</f>
        <v>14</v>
      </c>
      <c r="BC28" s="439">
        <f t="shared" si="88"/>
        <v>14</v>
      </c>
      <c r="BE28" s="336"/>
      <c r="BF28" s="336"/>
      <c r="BG28" s="336"/>
      <c r="BH28" s="336"/>
      <c r="BI28" s="336"/>
      <c r="BJ28" s="336"/>
      <c r="BK28" s="336"/>
      <c r="BL28" s="336"/>
      <c r="BM28" s="336">
        <v>1</v>
      </c>
      <c r="BN28" s="336"/>
      <c r="BO28" s="336"/>
      <c r="BP28" s="336"/>
      <c r="BQ28" s="336"/>
      <c r="BR28" s="336"/>
      <c r="BS28" s="336"/>
      <c r="BT28" s="336"/>
      <c r="BU28" s="336"/>
      <c r="BV28" s="336"/>
      <c r="BW28" s="336"/>
      <c r="BX28" s="336"/>
      <c r="BY28" s="336"/>
      <c r="BZ28" s="336"/>
      <c r="CA28" s="336"/>
      <c r="CB28" s="336"/>
      <c r="CC28" s="336"/>
      <c r="CD28" s="336"/>
      <c r="CE28" s="336"/>
      <c r="CF28" s="336">
        <v>1</v>
      </c>
      <c r="CG28" s="336"/>
      <c r="CH28" s="336"/>
      <c r="CI28" s="336"/>
      <c r="CJ28" s="336"/>
      <c r="CK28" s="336"/>
      <c r="CL28" s="336"/>
      <c r="CM28" s="336"/>
      <c r="CN28" s="336"/>
      <c r="CO28" s="336"/>
      <c r="CP28" s="336">
        <v>1</v>
      </c>
      <c r="CQ28" s="336">
        <v>1</v>
      </c>
      <c r="CR28" s="336"/>
      <c r="CS28" s="336"/>
      <c r="CT28" s="336"/>
      <c r="CU28" s="336"/>
      <c r="CV28" s="336"/>
      <c r="CW28" s="336"/>
      <c r="CX28" s="336"/>
      <c r="CY28" s="336"/>
      <c r="CZ28" s="336"/>
      <c r="DA28" s="336"/>
      <c r="DB28" s="336"/>
      <c r="DC28" s="336"/>
      <c r="DD28" s="336"/>
      <c r="DE28" s="336"/>
      <c r="DF28" s="336"/>
      <c r="DG28" s="336"/>
      <c r="DH28" s="336"/>
      <c r="DI28" s="336"/>
      <c r="DJ28" s="336"/>
      <c r="DK28" s="336"/>
      <c r="DL28" s="336"/>
      <c r="DM28" s="336"/>
      <c r="DN28" s="336"/>
      <c r="DO28" s="336"/>
      <c r="DP28" s="336"/>
      <c r="DQ28" s="336"/>
      <c r="DR28" s="336"/>
      <c r="DS28" s="336"/>
      <c r="DT28" s="336"/>
      <c r="DU28" s="336"/>
      <c r="DW28" s="336">
        <f t="shared" ref="DW28" si="283">IF(BE28=1,($BC28*BE28),0)</f>
        <v>0</v>
      </c>
      <c r="DX28" s="336">
        <f t="shared" ref="DX28" si="284">IF(BF28=1,($BC28*BF28),0)</f>
        <v>0</v>
      </c>
      <c r="DY28" s="336">
        <f t="shared" ref="DY28" si="285">IF(BG28=1,($BC28*BG28),0)</f>
        <v>0</v>
      </c>
      <c r="DZ28" s="336">
        <f t="shared" ref="DZ28" si="286">IF(BH28=1,($BC28*BH28),0)</f>
        <v>0</v>
      </c>
      <c r="EA28" s="336">
        <f t="shared" ref="EA28" si="287">IF(BI28=1,($BC28*BI28),0)</f>
        <v>0</v>
      </c>
      <c r="EB28" s="336">
        <f t="shared" ref="EB28" si="288">IF(BJ28=1,($BC28*BJ28),0)</f>
        <v>0</v>
      </c>
      <c r="EC28" s="336">
        <f t="shared" ref="EC28" si="289">IF(BK28=1,($BC28*BK28),0)</f>
        <v>0</v>
      </c>
      <c r="ED28" s="336">
        <f t="shared" si="209"/>
        <v>0</v>
      </c>
      <c r="EE28" s="336">
        <f t="shared" si="210"/>
        <v>14</v>
      </c>
      <c r="EF28" s="336">
        <f t="shared" si="211"/>
        <v>0</v>
      </c>
      <c r="EG28" s="336">
        <f t="shared" si="212"/>
        <v>0</v>
      </c>
      <c r="EH28" s="336">
        <f t="shared" si="213"/>
        <v>0</v>
      </c>
      <c r="EI28" s="336">
        <f t="shared" si="214"/>
        <v>0</v>
      </c>
      <c r="EJ28" s="336">
        <f t="shared" si="215"/>
        <v>0</v>
      </c>
      <c r="EK28" s="336">
        <f t="shared" si="216"/>
        <v>0</v>
      </c>
      <c r="EL28" s="336">
        <f t="shared" si="217"/>
        <v>0</v>
      </c>
      <c r="EM28" s="336">
        <f t="shared" si="218"/>
        <v>0</v>
      </c>
      <c r="EN28" s="336">
        <f t="shared" si="219"/>
        <v>0</v>
      </c>
      <c r="EO28" s="336">
        <f t="shared" si="220"/>
        <v>0</v>
      </c>
      <c r="EP28" s="336">
        <f t="shared" si="221"/>
        <v>0</v>
      </c>
      <c r="EQ28" s="336">
        <f t="shared" si="222"/>
        <v>0</v>
      </c>
      <c r="ER28" s="336">
        <f t="shared" si="223"/>
        <v>0</v>
      </c>
      <c r="ES28" s="336">
        <f t="shared" si="224"/>
        <v>0</v>
      </c>
      <c r="ET28" s="336">
        <f t="shared" si="224"/>
        <v>0</v>
      </c>
      <c r="EU28" s="336">
        <f t="shared" si="225"/>
        <v>0</v>
      </c>
      <c r="EV28" s="336">
        <f t="shared" si="226"/>
        <v>0</v>
      </c>
      <c r="EW28" s="336">
        <f t="shared" si="227"/>
        <v>0</v>
      </c>
      <c r="EX28" s="336">
        <f t="shared" si="228"/>
        <v>14</v>
      </c>
      <c r="EY28" s="336">
        <f t="shared" si="229"/>
        <v>0</v>
      </c>
      <c r="EZ28" s="336">
        <f t="shared" si="230"/>
        <v>0</v>
      </c>
      <c r="FA28" s="336">
        <f t="shared" si="231"/>
        <v>0</v>
      </c>
      <c r="FB28" s="336">
        <f t="shared" si="232"/>
        <v>0</v>
      </c>
      <c r="FC28" s="336">
        <f t="shared" si="233"/>
        <v>0</v>
      </c>
      <c r="FD28" s="336">
        <f t="shared" si="234"/>
        <v>0</v>
      </c>
      <c r="FE28" s="336">
        <f t="shared" si="235"/>
        <v>0</v>
      </c>
      <c r="FF28" s="336">
        <f t="shared" si="236"/>
        <v>0</v>
      </c>
      <c r="FG28" s="336">
        <f t="shared" si="237"/>
        <v>0</v>
      </c>
      <c r="FH28" s="336">
        <f t="shared" si="238"/>
        <v>14</v>
      </c>
      <c r="FI28" s="336">
        <f t="shared" si="239"/>
        <v>14</v>
      </c>
      <c r="FJ28" s="336">
        <f t="shared" si="240"/>
        <v>0</v>
      </c>
      <c r="FK28" s="336">
        <f t="shared" si="241"/>
        <v>0</v>
      </c>
      <c r="FL28" s="336">
        <f t="shared" si="242"/>
        <v>0</v>
      </c>
      <c r="FM28" s="336">
        <f t="shared" si="243"/>
        <v>0</v>
      </c>
      <c r="FN28" s="336">
        <f t="shared" si="244"/>
        <v>0</v>
      </c>
      <c r="FO28" s="336">
        <f t="shared" si="245"/>
        <v>0</v>
      </c>
      <c r="FP28" s="336">
        <f t="shared" si="246"/>
        <v>0</v>
      </c>
      <c r="FQ28" s="336">
        <f t="shared" si="247"/>
        <v>0</v>
      </c>
      <c r="FR28" s="336">
        <f t="shared" si="248"/>
        <v>0</v>
      </c>
      <c r="FS28" s="336">
        <f t="shared" si="249"/>
        <v>0</v>
      </c>
      <c r="FT28" s="336">
        <f t="shared" si="250"/>
        <v>0</v>
      </c>
      <c r="FU28" s="336">
        <f t="shared" si="89"/>
        <v>0</v>
      </c>
      <c r="FV28" s="336">
        <f t="shared" si="90"/>
        <v>0</v>
      </c>
      <c r="FW28" s="336">
        <f t="shared" si="91"/>
        <v>0</v>
      </c>
      <c r="FX28" s="336">
        <f t="shared" si="92"/>
        <v>0</v>
      </c>
      <c r="FY28" s="336">
        <f t="shared" si="68"/>
        <v>0</v>
      </c>
      <c r="FZ28" s="336">
        <f t="shared" si="69"/>
        <v>0</v>
      </c>
      <c r="GA28" s="336">
        <f t="shared" si="70"/>
        <v>0</v>
      </c>
      <c r="GB28" s="336">
        <f t="shared" si="71"/>
        <v>0</v>
      </c>
      <c r="GC28" s="336">
        <f t="shared" si="72"/>
        <v>0</v>
      </c>
      <c r="GD28" s="336">
        <f t="shared" si="73"/>
        <v>0</v>
      </c>
      <c r="GE28" s="336">
        <f t="shared" si="74"/>
        <v>0</v>
      </c>
      <c r="GF28" s="336">
        <f t="shared" si="75"/>
        <v>0</v>
      </c>
      <c r="GG28" s="336">
        <f t="shared" si="76"/>
        <v>0</v>
      </c>
      <c r="GH28" s="336">
        <f t="shared" si="77"/>
        <v>0</v>
      </c>
      <c r="GI28" s="336">
        <f t="shared" si="78"/>
        <v>0</v>
      </c>
      <c r="GJ28" s="336">
        <f t="shared" si="79"/>
        <v>0</v>
      </c>
      <c r="GK28" s="336">
        <f t="shared" si="80"/>
        <v>0</v>
      </c>
      <c r="GL28" s="336">
        <f t="shared" si="93"/>
        <v>0</v>
      </c>
      <c r="GM28" s="336">
        <f t="shared" si="81"/>
        <v>0</v>
      </c>
    </row>
    <row r="29" spans="1:195" ht="35.25" customHeight="1">
      <c r="A29" s="337">
        <f t="shared" si="94"/>
        <v>19</v>
      </c>
      <c r="B29" s="337" t="s">
        <v>521</v>
      </c>
      <c r="C29" s="337" t="str">
        <f t="shared" si="0"/>
        <v>PMCC-1</v>
      </c>
      <c r="D29" s="787" t="s">
        <v>1618</v>
      </c>
      <c r="E29" s="500" t="s">
        <v>513</v>
      </c>
      <c r="F29" s="337" t="s">
        <v>28</v>
      </c>
      <c r="G29" s="337" t="s">
        <v>329</v>
      </c>
      <c r="H29" s="864">
        <v>0.5</v>
      </c>
      <c r="I29" s="337" t="s">
        <v>330</v>
      </c>
      <c r="J29" s="337" t="s">
        <v>331</v>
      </c>
      <c r="K29" s="349">
        <v>400</v>
      </c>
      <c r="L29" s="343">
        <v>0.85</v>
      </c>
      <c r="M29" s="350">
        <v>0.95</v>
      </c>
      <c r="N29" s="342">
        <f t="shared" si="1"/>
        <v>0.89375728412186572</v>
      </c>
      <c r="O29" s="342">
        <f t="shared" si="2"/>
        <v>0</v>
      </c>
      <c r="P29" s="343" t="str">
        <f t="shared" si="3"/>
        <v>0.00</v>
      </c>
      <c r="Q29" s="350">
        <v>65</v>
      </c>
      <c r="R29" s="350">
        <v>0</v>
      </c>
      <c r="S29" s="350">
        <f t="shared" si="4"/>
        <v>0</v>
      </c>
      <c r="T29" s="343" t="s">
        <v>131</v>
      </c>
      <c r="U29" s="350" t="s">
        <v>522</v>
      </c>
      <c r="V29" s="343">
        <v>4</v>
      </c>
      <c r="W29" s="343" t="str">
        <f t="shared" si="5"/>
        <v>4C X 4</v>
      </c>
      <c r="X29" s="343" t="str">
        <f t="shared" si="6"/>
        <v>4C X 4</v>
      </c>
      <c r="Y29" s="343" t="s">
        <v>358</v>
      </c>
      <c r="Z29" s="344">
        <f>IF(T29="AIR",VLOOKUP(W29,'Catalogue Aluminium'!$B$9:$G$93,2,FALSE),IF(T29="GROUND",VLOOKUP(W29,'Catalogue Aluminium'!$B$9:$G$93,3,FALSE),IF(T29="DUCT",VLOOKUP(W29,'Catalogue Aluminium'!$B$9:$G$93,4,FALSE),IF(T29="TRENCH",VLOOKUP(W29,'Catalogue Aluminium'!$B$9:$G$93,2,FALSE)))))</f>
        <v>38</v>
      </c>
      <c r="AA29" s="345">
        <f>VLOOKUP(W29,'Catalogue Aluminium'!$B$9:$G$93,5,FALSE)</f>
        <v>5.9</v>
      </c>
      <c r="AB29" s="345">
        <f>VLOOKUP(W29,'Catalogue Aluminium'!$B$9:$G$93,6,FALSE)</f>
        <v>9.4700000000000006E-2</v>
      </c>
      <c r="AC29" s="401">
        <f>29+11</f>
        <v>40</v>
      </c>
      <c r="AD29" s="401">
        <f>42+74+25+21</f>
        <v>162</v>
      </c>
      <c r="AE29" s="401">
        <f t="shared" si="188"/>
        <v>22</v>
      </c>
      <c r="AF29" s="401">
        <v>8</v>
      </c>
      <c r="AG29" s="401">
        <f t="shared" si="83"/>
        <v>24</v>
      </c>
      <c r="AH29" s="347">
        <f t="shared" si="84"/>
        <v>256</v>
      </c>
      <c r="AI29" s="344">
        <f>IF(T29="AIR",'Catalogue Aluminium'!$K$9,IF(T29="TRENCH",'Catalogue Aluminium'!$K$12,"NA"))</f>
        <v>0.89</v>
      </c>
      <c r="AJ29" s="342">
        <f>IF(T29="Air",(IF(U29="1C",'Catalogue Aluminium'!$L$9,'Catalogue Aluminium'!$M$9)),IF(T29="DUCT",(IF($U29="1C",'Catalogue Aluminium'!$L$10,'Catalogue Aluminium'!$M$10)),IF(T29="GROUND",(IF($U29="1C",'Catalogue Aluminium'!$L$11,'Catalogue Aluminium'!$M$11)),IF(T29="TRENCH",(IF($U29="1C",'Catalogue Aluminium'!$L$12,'Catalogue Aluminium'!$M$12))))))</f>
        <v>0.66</v>
      </c>
      <c r="AK29" s="344" t="str">
        <f>IF(T29="Air",'Catalogue Aluminium'!$N$9,IF(T29="GROUND",'Catalogue Aluminium'!$N$10,IF(T29="DUCT",'Catalogue Aluminium'!$N$11,IF(T29="TRENCH",'Catalogue Aluminium'!$N$12,"NA"))))</f>
        <v>NA</v>
      </c>
      <c r="AL29" s="344" t="str">
        <f>IF(T29="Air",(IF(U29="1C",'Catalogue Aluminium'!$O$9,'Catalogue Aluminium'!$P$9)),IF(T29="DUCT",(IF($U29="1C",'Catalogue Aluminium'!$O$10,'Catalogue Aluminium'!$P$10)),IF(T29="GROUND",(IF($U29="1C",'Catalogue Aluminium'!$O$11,'Catalogue Aluminium'!$P$11)),IF(T29="TRENCH",(IF($U29="1C",'Catalogue Aluminium'!$O$12,'Catalogue Aluminium'!$P$12))))))</f>
        <v>NA</v>
      </c>
      <c r="AM29" s="344" t="str">
        <f>IF(T29="AIR","NA",IF(T29="TRENCH","NA",IF(T29="DUCT",IF(U29="1C",VLOOKUP(V29,'Catalogue Aluminium'!$Q$9:$S$28,2,FALSE),VLOOKUP(V29,'Catalogue Aluminium'!$Q$9:$S$28,3)),IF(T29="GROUND",IF(U29="1C",VLOOKUP(V29,'Catalogue Aluminium'!$Q$9:$S$28,2,FALSE),VLOOKUP(V29,'Catalogue Aluminium'!$Q$9:$S$28,3))))))</f>
        <v>NA</v>
      </c>
      <c r="AN29" s="351">
        <f t="shared" si="8"/>
        <v>0.58740000000000003</v>
      </c>
      <c r="AO29" s="350">
        <f t="shared" si="9"/>
        <v>22.321200000000001</v>
      </c>
      <c r="AP29" s="349">
        <f t="shared" si="10"/>
        <v>1</v>
      </c>
      <c r="AQ29" s="350" t="str">
        <f t="shared" si="11"/>
        <v>YES</v>
      </c>
      <c r="AR29" s="351">
        <f t="shared" si="12"/>
        <v>0.501799122928138</v>
      </c>
      <c r="AS29" s="343" t="str">
        <f t="shared" si="13"/>
        <v>YES</v>
      </c>
      <c r="AT29" s="351" t="str">
        <f t="shared" si="14"/>
        <v>NA</v>
      </c>
      <c r="AU29" s="343" t="str">
        <f t="shared" si="15"/>
        <v>NA</v>
      </c>
      <c r="AV29" s="354" t="str">
        <f t="shared" si="16"/>
        <v>1R x 0.6/1kV x 4C x 4 Sqmm</v>
      </c>
      <c r="AW29" s="354" t="str">
        <f t="shared" si="17"/>
        <v>1R x 0.6/1kV x 4C x 4 Sqmm</v>
      </c>
      <c r="AX29" s="343">
        <f t="shared" si="85"/>
        <v>256</v>
      </c>
      <c r="AY29" s="355"/>
      <c r="AZ29" s="355">
        <f t="shared" si="86"/>
        <v>2</v>
      </c>
      <c r="BA29" s="356" t="str">
        <f t="shared" si="87"/>
        <v>D3LMM1</v>
      </c>
      <c r="BB29" s="501">
        <f>VLOOKUP(W29,'Catalogue Aluminium'!$B$9:$H$93,7,FALSE)</f>
        <v>16</v>
      </c>
      <c r="BC29" s="328">
        <f t="shared" si="88"/>
        <v>16</v>
      </c>
      <c r="BE29" s="336"/>
      <c r="BF29" s="336"/>
      <c r="BG29" s="336"/>
      <c r="BH29" s="336"/>
      <c r="BI29" s="336"/>
      <c r="BJ29" s="336"/>
      <c r="BK29" s="336"/>
      <c r="BL29" s="336"/>
      <c r="BM29" s="336">
        <v>1</v>
      </c>
      <c r="BN29" s="336"/>
      <c r="BO29" s="336"/>
      <c r="BP29" s="336"/>
      <c r="BQ29" s="336"/>
      <c r="BR29" s="336"/>
      <c r="BS29" s="336"/>
      <c r="BT29" s="336"/>
      <c r="BU29" s="336"/>
      <c r="BV29" s="336"/>
      <c r="BW29" s="336"/>
      <c r="BX29" s="336"/>
      <c r="BY29" s="336"/>
      <c r="BZ29" s="336"/>
      <c r="CA29" s="336"/>
      <c r="CB29" s="336"/>
      <c r="CC29" s="336"/>
      <c r="CD29" s="336"/>
      <c r="CE29" s="336"/>
      <c r="CF29" s="336">
        <v>1</v>
      </c>
      <c r="CG29" s="336"/>
      <c r="CH29" s="336"/>
      <c r="CI29" s="336"/>
      <c r="CJ29" s="336"/>
      <c r="CK29" s="336"/>
      <c r="CL29" s="336"/>
      <c r="CM29" s="336"/>
      <c r="CN29" s="336"/>
      <c r="CO29" s="336"/>
      <c r="CP29" s="336">
        <v>1</v>
      </c>
      <c r="CQ29" s="336">
        <v>1</v>
      </c>
      <c r="CR29" s="336"/>
      <c r="CS29" s="336"/>
      <c r="CT29" s="336"/>
      <c r="CU29" s="336"/>
      <c r="CV29" s="336"/>
      <c r="CW29" s="336"/>
      <c r="CX29" s="336"/>
      <c r="CY29" s="336"/>
      <c r="CZ29" s="336"/>
      <c r="DA29" s="336"/>
      <c r="DB29" s="336"/>
      <c r="DC29" s="336"/>
      <c r="DD29" s="336"/>
      <c r="DE29" s="336"/>
      <c r="DF29" s="336"/>
      <c r="DG29" s="336"/>
      <c r="DH29" s="336"/>
      <c r="DI29" s="336"/>
      <c r="DJ29" s="336"/>
      <c r="DK29" s="336"/>
      <c r="DL29" s="336"/>
      <c r="DM29" s="336"/>
      <c r="DN29" s="336"/>
      <c r="DO29" s="336"/>
      <c r="DP29" s="336"/>
      <c r="DQ29" s="336"/>
      <c r="DR29" s="336"/>
      <c r="DS29" s="336"/>
      <c r="DT29" s="336"/>
      <c r="DU29" s="336"/>
      <c r="DW29" s="336">
        <f t="shared" ref="DW29:DW46" si="290">IF(BE29=1,($BC29*BE29),0)</f>
        <v>0</v>
      </c>
      <c r="DX29" s="336">
        <f t="shared" ref="DX29:DX46" si="291">IF(BF29=1,($BC29*BF29),0)</f>
        <v>0</v>
      </c>
      <c r="DY29" s="336">
        <f t="shared" ref="DY29:DY46" si="292">IF(BG29=1,($BC29*BG29),0)</f>
        <v>0</v>
      </c>
      <c r="DZ29" s="336">
        <f t="shared" ref="DZ29:DZ46" si="293">IF(BH29=1,($BC29*BH29),0)</f>
        <v>0</v>
      </c>
      <c r="EA29" s="336">
        <f t="shared" ref="EA29:EA46" si="294">IF(BI29=1,($BC29*BI29),0)</f>
        <v>0</v>
      </c>
      <c r="EB29" s="336">
        <f t="shared" ref="EB29:EB46" si="295">IF(BJ29=1,($BC29*BJ29),0)</f>
        <v>0</v>
      </c>
      <c r="EC29" s="336">
        <f t="shared" ref="EC29:EC46" si="296">IF(BK29=1,($BC29*BK29),0)</f>
        <v>0</v>
      </c>
      <c r="ED29" s="336">
        <f t="shared" si="209"/>
        <v>0</v>
      </c>
      <c r="EE29" s="336">
        <f t="shared" si="210"/>
        <v>16</v>
      </c>
      <c r="EF29" s="336">
        <f t="shared" si="211"/>
        <v>0</v>
      </c>
      <c r="EG29" s="336">
        <f t="shared" si="212"/>
        <v>0</v>
      </c>
      <c r="EH29" s="336">
        <f t="shared" si="213"/>
        <v>0</v>
      </c>
      <c r="EI29" s="336">
        <f t="shared" si="214"/>
        <v>0</v>
      </c>
      <c r="EJ29" s="336">
        <f t="shared" si="215"/>
        <v>0</v>
      </c>
      <c r="EK29" s="336">
        <f t="shared" si="216"/>
        <v>0</v>
      </c>
      <c r="EL29" s="336">
        <f t="shared" si="217"/>
        <v>0</v>
      </c>
      <c r="EM29" s="336">
        <f t="shared" si="218"/>
        <v>0</v>
      </c>
      <c r="EN29" s="336">
        <f t="shared" si="219"/>
        <v>0</v>
      </c>
      <c r="EO29" s="336">
        <f t="shared" si="220"/>
        <v>0</v>
      </c>
      <c r="EP29" s="336">
        <f t="shared" si="221"/>
        <v>0</v>
      </c>
      <c r="EQ29" s="336">
        <f t="shared" si="222"/>
        <v>0</v>
      </c>
      <c r="ER29" s="336">
        <f t="shared" si="223"/>
        <v>0</v>
      </c>
      <c r="ES29" s="336">
        <f t="shared" si="224"/>
        <v>0</v>
      </c>
      <c r="ET29" s="336">
        <f t="shared" si="224"/>
        <v>0</v>
      </c>
      <c r="EU29" s="336">
        <f t="shared" si="225"/>
        <v>0</v>
      </c>
      <c r="EV29" s="336">
        <f t="shared" si="226"/>
        <v>0</v>
      </c>
      <c r="EW29" s="336">
        <f t="shared" si="227"/>
        <v>0</v>
      </c>
      <c r="EX29" s="336">
        <f t="shared" si="228"/>
        <v>16</v>
      </c>
      <c r="EY29" s="336">
        <f t="shared" si="229"/>
        <v>0</v>
      </c>
      <c r="EZ29" s="336">
        <f t="shared" si="230"/>
        <v>0</v>
      </c>
      <c r="FA29" s="336">
        <f t="shared" si="231"/>
        <v>0</v>
      </c>
      <c r="FB29" s="336">
        <f t="shared" si="232"/>
        <v>0</v>
      </c>
      <c r="FC29" s="336">
        <f t="shared" si="233"/>
        <v>0</v>
      </c>
      <c r="FD29" s="336">
        <f t="shared" si="234"/>
        <v>0</v>
      </c>
      <c r="FE29" s="336">
        <f t="shared" si="235"/>
        <v>0</v>
      </c>
      <c r="FF29" s="336">
        <f t="shared" si="236"/>
        <v>0</v>
      </c>
      <c r="FG29" s="336">
        <f t="shared" si="237"/>
        <v>0</v>
      </c>
      <c r="FH29" s="336">
        <f t="shared" si="238"/>
        <v>16</v>
      </c>
      <c r="FI29" s="336">
        <f t="shared" si="239"/>
        <v>16</v>
      </c>
      <c r="FJ29" s="336">
        <f t="shared" si="240"/>
        <v>0</v>
      </c>
      <c r="FK29" s="336">
        <f t="shared" si="241"/>
        <v>0</v>
      </c>
      <c r="FL29" s="336">
        <f t="shared" si="242"/>
        <v>0</v>
      </c>
      <c r="FM29" s="336">
        <f t="shared" si="243"/>
        <v>0</v>
      </c>
      <c r="FN29" s="336">
        <f t="shared" si="244"/>
        <v>0</v>
      </c>
      <c r="FO29" s="336">
        <f t="shared" si="245"/>
        <v>0</v>
      </c>
      <c r="FP29" s="336">
        <f t="shared" si="246"/>
        <v>0</v>
      </c>
      <c r="FQ29" s="336">
        <f t="shared" si="247"/>
        <v>0</v>
      </c>
      <c r="FR29" s="336">
        <f t="shared" si="248"/>
        <v>0</v>
      </c>
      <c r="FS29" s="336">
        <f t="shared" si="249"/>
        <v>0</v>
      </c>
      <c r="FT29" s="336">
        <f t="shared" si="250"/>
        <v>0</v>
      </c>
      <c r="FU29" s="336">
        <f t="shared" si="89"/>
        <v>0</v>
      </c>
      <c r="FV29" s="336">
        <f t="shared" si="90"/>
        <v>0</v>
      </c>
      <c r="FW29" s="336">
        <f t="shared" si="91"/>
        <v>0</v>
      </c>
      <c r="FX29" s="336">
        <f t="shared" si="92"/>
        <v>0</v>
      </c>
      <c r="FY29" s="336">
        <f t="shared" si="68"/>
        <v>0</v>
      </c>
      <c r="FZ29" s="336">
        <f t="shared" si="69"/>
        <v>0</v>
      </c>
      <c r="GA29" s="336">
        <f t="shared" si="70"/>
        <v>0</v>
      </c>
      <c r="GB29" s="336">
        <f t="shared" si="71"/>
        <v>0</v>
      </c>
      <c r="GC29" s="336">
        <f t="shared" si="72"/>
        <v>0</v>
      </c>
      <c r="GD29" s="336">
        <f t="shared" si="73"/>
        <v>0</v>
      </c>
      <c r="GE29" s="336">
        <f t="shared" si="74"/>
        <v>0</v>
      </c>
      <c r="GF29" s="336">
        <f t="shared" si="75"/>
        <v>0</v>
      </c>
      <c r="GG29" s="336">
        <f t="shared" si="76"/>
        <v>0</v>
      </c>
      <c r="GH29" s="336">
        <f t="shared" si="77"/>
        <v>0</v>
      </c>
      <c r="GI29" s="336">
        <f t="shared" si="78"/>
        <v>0</v>
      </c>
      <c r="GJ29" s="336">
        <f t="shared" si="79"/>
        <v>0</v>
      </c>
      <c r="GK29" s="336">
        <f t="shared" si="80"/>
        <v>0</v>
      </c>
      <c r="GL29" s="336">
        <f t="shared" si="93"/>
        <v>0</v>
      </c>
      <c r="GM29" s="336">
        <f t="shared" si="81"/>
        <v>0</v>
      </c>
    </row>
    <row r="30" spans="1:195" ht="35.25" customHeight="1">
      <c r="A30" s="337">
        <f t="shared" si="94"/>
        <v>20</v>
      </c>
      <c r="B30" s="337" t="s">
        <v>523</v>
      </c>
      <c r="C30" s="337" t="str">
        <f t="shared" si="0"/>
        <v>PMCC-1</v>
      </c>
      <c r="D30" s="787" t="s">
        <v>1619</v>
      </c>
      <c r="E30" s="500" t="s">
        <v>513</v>
      </c>
      <c r="F30" s="337" t="s">
        <v>29</v>
      </c>
      <c r="G30" s="337" t="s">
        <v>329</v>
      </c>
      <c r="H30" s="864">
        <v>0.5</v>
      </c>
      <c r="I30" s="337" t="s">
        <v>330</v>
      </c>
      <c r="J30" s="337" t="s">
        <v>331</v>
      </c>
      <c r="K30" s="349">
        <v>400</v>
      </c>
      <c r="L30" s="343">
        <v>0.85</v>
      </c>
      <c r="M30" s="350">
        <v>0.95</v>
      </c>
      <c r="N30" s="342">
        <f t="shared" si="1"/>
        <v>0.89375728412186572</v>
      </c>
      <c r="O30" s="342">
        <f t="shared" si="2"/>
        <v>0</v>
      </c>
      <c r="P30" s="343" t="str">
        <f t="shared" si="3"/>
        <v>0.00</v>
      </c>
      <c r="Q30" s="350">
        <v>65</v>
      </c>
      <c r="R30" s="350">
        <v>0</v>
      </c>
      <c r="S30" s="350">
        <f t="shared" si="4"/>
        <v>0</v>
      </c>
      <c r="T30" s="343" t="s">
        <v>131</v>
      </c>
      <c r="U30" s="350" t="s">
        <v>522</v>
      </c>
      <c r="V30" s="343">
        <v>4</v>
      </c>
      <c r="W30" s="343" t="str">
        <f t="shared" si="5"/>
        <v>4C X 4</v>
      </c>
      <c r="X30" s="343" t="str">
        <f t="shared" si="6"/>
        <v>4C X 4</v>
      </c>
      <c r="Y30" s="343" t="s">
        <v>358</v>
      </c>
      <c r="Z30" s="344">
        <f>IF(T30="AIR",VLOOKUP(W30,'Catalogue Aluminium'!$B$9:$G$93,2,FALSE),IF(T30="GROUND",VLOOKUP(W30,'Catalogue Aluminium'!$B$9:$G$93,3,FALSE),IF(T30="DUCT",VLOOKUP(W30,'Catalogue Aluminium'!$B$9:$G$93,4,FALSE),IF(T30="TRENCH",VLOOKUP(W30,'Catalogue Aluminium'!$B$9:$G$93,2,FALSE)))))</f>
        <v>38</v>
      </c>
      <c r="AA30" s="345">
        <f>VLOOKUP(W30,'Catalogue Aluminium'!$B$9:$G$93,5,FALSE)</f>
        <v>5.9</v>
      </c>
      <c r="AB30" s="345">
        <f>VLOOKUP(W30,'Catalogue Aluminium'!$B$9:$G$93,6,FALSE)</f>
        <v>9.4700000000000006E-2</v>
      </c>
      <c r="AC30" s="401">
        <f>15+13</f>
        <v>28</v>
      </c>
      <c r="AD30" s="401">
        <f>42+74+25+21</f>
        <v>162</v>
      </c>
      <c r="AE30" s="401">
        <f t="shared" si="188"/>
        <v>22</v>
      </c>
      <c r="AF30" s="401">
        <v>8</v>
      </c>
      <c r="AG30" s="401">
        <f t="shared" si="83"/>
        <v>22</v>
      </c>
      <c r="AH30" s="347">
        <f t="shared" si="84"/>
        <v>242</v>
      </c>
      <c r="AI30" s="344">
        <f>IF(T30="AIR",'Catalogue Aluminium'!$K$9,IF(T30="TRENCH",'Catalogue Aluminium'!$K$12,"NA"))</f>
        <v>0.89</v>
      </c>
      <c r="AJ30" s="342">
        <f>IF(T30="Air",(IF(U30="1C",'Catalogue Aluminium'!$L$9,'Catalogue Aluminium'!$M$9)),IF(T30="DUCT",(IF($U30="1C",'Catalogue Aluminium'!$L$10,'Catalogue Aluminium'!$M$10)),IF(T30="GROUND",(IF($U30="1C",'Catalogue Aluminium'!$L$11,'Catalogue Aluminium'!$M$11)),IF(T30="TRENCH",(IF($U30="1C",'Catalogue Aluminium'!$L$12,'Catalogue Aluminium'!$M$12))))))</f>
        <v>0.66</v>
      </c>
      <c r="AK30" s="344" t="str">
        <f>IF(T30="Air",'Catalogue Aluminium'!$N$9,IF(T30="GROUND",'Catalogue Aluminium'!$N$10,IF(T30="DUCT",'Catalogue Aluminium'!$N$11,IF(T30="TRENCH",'Catalogue Aluminium'!$N$12,"NA"))))</f>
        <v>NA</v>
      </c>
      <c r="AL30" s="344" t="str">
        <f>IF(T30="Air",(IF(U30="1C",'Catalogue Aluminium'!$O$9,'Catalogue Aluminium'!$P$9)),IF(T30="DUCT",(IF($U30="1C",'Catalogue Aluminium'!$O$10,'Catalogue Aluminium'!$P$10)),IF(T30="GROUND",(IF($U30="1C",'Catalogue Aluminium'!$O$11,'Catalogue Aluminium'!$P$11)),IF(T30="TRENCH",(IF($U30="1C",'Catalogue Aluminium'!$O$12,'Catalogue Aluminium'!$P$12))))))</f>
        <v>NA</v>
      </c>
      <c r="AM30" s="344" t="str">
        <f>IF(T30="AIR","NA",IF(T30="TRENCH","NA",IF(T30="DUCT",IF(U30="1C",VLOOKUP(V30,'Catalogue Aluminium'!$Q$9:$S$28,2,FALSE),VLOOKUP(V30,'Catalogue Aluminium'!$Q$9:$S$28,3)),IF(T30="GROUND",IF(U30="1C",VLOOKUP(V30,'Catalogue Aluminium'!$Q$9:$S$28,2,FALSE),VLOOKUP(V30,'Catalogue Aluminium'!$Q$9:$S$28,3))))))</f>
        <v>NA</v>
      </c>
      <c r="AN30" s="351">
        <f t="shared" si="8"/>
        <v>0.58740000000000003</v>
      </c>
      <c r="AO30" s="350">
        <f t="shared" si="9"/>
        <v>22.321200000000001</v>
      </c>
      <c r="AP30" s="349">
        <f t="shared" si="10"/>
        <v>1</v>
      </c>
      <c r="AQ30" s="350" t="str">
        <f t="shared" si="11"/>
        <v>YES</v>
      </c>
      <c r="AR30" s="351">
        <f t="shared" si="12"/>
        <v>0.47435698339300542</v>
      </c>
      <c r="AS30" s="343" t="str">
        <f t="shared" si="13"/>
        <v>YES</v>
      </c>
      <c r="AT30" s="351" t="str">
        <f t="shared" si="14"/>
        <v>NA</v>
      </c>
      <c r="AU30" s="343" t="str">
        <f t="shared" si="15"/>
        <v>NA</v>
      </c>
      <c r="AV30" s="354" t="str">
        <f t="shared" si="16"/>
        <v>1R x 0.6/1kV x 4C x 4 Sqmm</v>
      </c>
      <c r="AW30" s="354" t="str">
        <f t="shared" si="17"/>
        <v>1R x 0.6/1kV x 4C x 4 Sqmm</v>
      </c>
      <c r="AX30" s="343">
        <f t="shared" si="85"/>
        <v>242</v>
      </c>
      <c r="AY30" s="355"/>
      <c r="AZ30" s="355">
        <f t="shared" si="86"/>
        <v>2</v>
      </c>
      <c r="BA30" s="356" t="str">
        <f t="shared" si="87"/>
        <v>D3LMM1</v>
      </c>
      <c r="BB30" s="501">
        <f>VLOOKUP(W30,'Catalogue Aluminium'!$B$9:$H$93,7,FALSE)</f>
        <v>16</v>
      </c>
      <c r="BC30" s="328">
        <f t="shared" si="88"/>
        <v>16</v>
      </c>
      <c r="BE30" s="336"/>
      <c r="BF30" s="336"/>
      <c r="BG30" s="336"/>
      <c r="BH30" s="336"/>
      <c r="BI30" s="336"/>
      <c r="BJ30" s="336"/>
      <c r="BK30" s="336"/>
      <c r="BL30" s="336"/>
      <c r="BM30" s="336">
        <v>1</v>
      </c>
      <c r="BN30" s="336"/>
      <c r="BO30" s="336"/>
      <c r="BP30" s="336"/>
      <c r="BQ30" s="336"/>
      <c r="BR30" s="336"/>
      <c r="BS30" s="336"/>
      <c r="BT30" s="336"/>
      <c r="BU30" s="336"/>
      <c r="BV30" s="336"/>
      <c r="BW30" s="336"/>
      <c r="BX30" s="336"/>
      <c r="BY30" s="336"/>
      <c r="BZ30" s="336"/>
      <c r="CA30" s="336"/>
      <c r="CB30" s="336"/>
      <c r="CC30" s="336"/>
      <c r="CD30" s="336"/>
      <c r="CE30" s="336"/>
      <c r="CF30" s="336">
        <v>1</v>
      </c>
      <c r="CG30" s="336"/>
      <c r="CH30" s="336"/>
      <c r="CI30" s="336"/>
      <c r="CJ30" s="336"/>
      <c r="CK30" s="336"/>
      <c r="CL30" s="336"/>
      <c r="CM30" s="336"/>
      <c r="CN30" s="336"/>
      <c r="CO30" s="336"/>
      <c r="CP30" s="336">
        <v>1</v>
      </c>
      <c r="CQ30" s="336">
        <v>1</v>
      </c>
      <c r="CR30" s="336"/>
      <c r="CS30" s="336"/>
      <c r="CT30" s="336"/>
      <c r="CU30" s="336"/>
      <c r="CV30" s="336"/>
      <c r="CW30" s="336"/>
      <c r="CX30" s="336"/>
      <c r="CY30" s="336"/>
      <c r="CZ30" s="336"/>
      <c r="DA30" s="336"/>
      <c r="DB30" s="336"/>
      <c r="DC30" s="336"/>
      <c r="DD30" s="336"/>
      <c r="DE30" s="336"/>
      <c r="DF30" s="336"/>
      <c r="DG30" s="336"/>
      <c r="DH30" s="336"/>
      <c r="DI30" s="336"/>
      <c r="DJ30" s="336"/>
      <c r="DK30" s="336"/>
      <c r="DL30" s="336"/>
      <c r="DM30" s="336"/>
      <c r="DN30" s="336"/>
      <c r="DO30" s="336"/>
      <c r="DP30" s="336"/>
      <c r="DQ30" s="336"/>
      <c r="DR30" s="336"/>
      <c r="DS30" s="336"/>
      <c r="DT30" s="336"/>
      <c r="DU30" s="336"/>
      <c r="DW30" s="336">
        <f t="shared" si="290"/>
        <v>0</v>
      </c>
      <c r="DX30" s="336">
        <f t="shared" si="291"/>
        <v>0</v>
      </c>
      <c r="DY30" s="336">
        <f t="shared" si="292"/>
        <v>0</v>
      </c>
      <c r="DZ30" s="336">
        <f t="shared" si="293"/>
        <v>0</v>
      </c>
      <c r="EA30" s="336">
        <f t="shared" si="294"/>
        <v>0</v>
      </c>
      <c r="EB30" s="336">
        <f t="shared" si="295"/>
        <v>0</v>
      </c>
      <c r="EC30" s="336">
        <f t="shared" si="296"/>
        <v>0</v>
      </c>
      <c r="ED30" s="336">
        <f t="shared" si="209"/>
        <v>0</v>
      </c>
      <c r="EE30" s="336">
        <f t="shared" si="210"/>
        <v>16</v>
      </c>
      <c r="EF30" s="336">
        <f t="shared" si="211"/>
        <v>0</v>
      </c>
      <c r="EG30" s="336">
        <f t="shared" si="212"/>
        <v>0</v>
      </c>
      <c r="EH30" s="336">
        <f t="shared" si="213"/>
        <v>0</v>
      </c>
      <c r="EI30" s="336">
        <f t="shared" si="214"/>
        <v>0</v>
      </c>
      <c r="EJ30" s="336">
        <f t="shared" si="215"/>
        <v>0</v>
      </c>
      <c r="EK30" s="336">
        <f t="shared" si="216"/>
        <v>0</v>
      </c>
      <c r="EL30" s="336">
        <f t="shared" si="217"/>
        <v>0</v>
      </c>
      <c r="EM30" s="336">
        <f t="shared" si="218"/>
        <v>0</v>
      </c>
      <c r="EN30" s="336">
        <f t="shared" si="219"/>
        <v>0</v>
      </c>
      <c r="EO30" s="336">
        <f t="shared" si="220"/>
        <v>0</v>
      </c>
      <c r="EP30" s="336">
        <f t="shared" si="221"/>
        <v>0</v>
      </c>
      <c r="EQ30" s="336">
        <f t="shared" si="222"/>
        <v>0</v>
      </c>
      <c r="ER30" s="336">
        <f t="shared" si="223"/>
        <v>0</v>
      </c>
      <c r="ES30" s="336">
        <f t="shared" si="224"/>
        <v>0</v>
      </c>
      <c r="ET30" s="336">
        <f t="shared" si="224"/>
        <v>0</v>
      </c>
      <c r="EU30" s="336">
        <f t="shared" si="225"/>
        <v>0</v>
      </c>
      <c r="EV30" s="336">
        <f t="shared" si="226"/>
        <v>0</v>
      </c>
      <c r="EW30" s="336">
        <f t="shared" si="227"/>
        <v>0</v>
      </c>
      <c r="EX30" s="336">
        <f t="shared" si="228"/>
        <v>16</v>
      </c>
      <c r="EY30" s="336">
        <f t="shared" si="229"/>
        <v>0</v>
      </c>
      <c r="EZ30" s="336">
        <f t="shared" si="230"/>
        <v>0</v>
      </c>
      <c r="FA30" s="336">
        <f t="shared" si="231"/>
        <v>0</v>
      </c>
      <c r="FB30" s="336">
        <f t="shared" si="232"/>
        <v>0</v>
      </c>
      <c r="FC30" s="336">
        <f t="shared" si="233"/>
        <v>0</v>
      </c>
      <c r="FD30" s="336">
        <f t="shared" si="234"/>
        <v>0</v>
      </c>
      <c r="FE30" s="336">
        <f t="shared" si="235"/>
        <v>0</v>
      </c>
      <c r="FF30" s="336">
        <f t="shared" si="236"/>
        <v>0</v>
      </c>
      <c r="FG30" s="336">
        <f t="shared" si="237"/>
        <v>0</v>
      </c>
      <c r="FH30" s="336">
        <f t="shared" si="238"/>
        <v>16</v>
      </c>
      <c r="FI30" s="336">
        <f t="shared" si="239"/>
        <v>16</v>
      </c>
      <c r="FJ30" s="336">
        <f t="shared" si="240"/>
        <v>0</v>
      </c>
      <c r="FK30" s="336">
        <f t="shared" si="241"/>
        <v>0</v>
      </c>
      <c r="FL30" s="336">
        <f t="shared" si="242"/>
        <v>0</v>
      </c>
      <c r="FM30" s="336">
        <f t="shared" si="243"/>
        <v>0</v>
      </c>
      <c r="FN30" s="336">
        <f t="shared" si="244"/>
        <v>0</v>
      </c>
      <c r="FO30" s="336">
        <f t="shared" si="245"/>
        <v>0</v>
      </c>
      <c r="FP30" s="336">
        <f t="shared" si="246"/>
        <v>0</v>
      </c>
      <c r="FQ30" s="336">
        <f t="shared" si="247"/>
        <v>0</v>
      </c>
      <c r="FR30" s="336">
        <f t="shared" si="248"/>
        <v>0</v>
      </c>
      <c r="FS30" s="336">
        <f t="shared" si="249"/>
        <v>0</v>
      </c>
      <c r="FT30" s="336">
        <f t="shared" si="250"/>
        <v>0</v>
      </c>
      <c r="FU30" s="336">
        <f t="shared" si="89"/>
        <v>0</v>
      </c>
      <c r="FV30" s="336">
        <f t="shared" si="90"/>
        <v>0</v>
      </c>
      <c r="FW30" s="336">
        <f t="shared" si="91"/>
        <v>0</v>
      </c>
      <c r="FX30" s="336">
        <f t="shared" si="92"/>
        <v>0</v>
      </c>
      <c r="FY30" s="336">
        <f t="shared" si="68"/>
        <v>0</v>
      </c>
      <c r="FZ30" s="336">
        <f t="shared" si="69"/>
        <v>0</v>
      </c>
      <c r="GA30" s="336">
        <f t="shared" si="70"/>
        <v>0</v>
      </c>
      <c r="GB30" s="336">
        <f t="shared" si="71"/>
        <v>0</v>
      </c>
      <c r="GC30" s="336">
        <f t="shared" si="72"/>
        <v>0</v>
      </c>
      <c r="GD30" s="336">
        <f t="shared" si="73"/>
        <v>0</v>
      </c>
      <c r="GE30" s="336">
        <f t="shared" si="74"/>
        <v>0</v>
      </c>
      <c r="GF30" s="336">
        <f t="shared" si="75"/>
        <v>0</v>
      </c>
      <c r="GG30" s="336">
        <f t="shared" si="76"/>
        <v>0</v>
      </c>
      <c r="GH30" s="336">
        <f t="shared" si="77"/>
        <v>0</v>
      </c>
      <c r="GI30" s="336">
        <f t="shared" si="78"/>
        <v>0</v>
      </c>
      <c r="GJ30" s="336">
        <f t="shared" si="79"/>
        <v>0</v>
      </c>
      <c r="GK30" s="336">
        <f t="shared" si="80"/>
        <v>0</v>
      </c>
      <c r="GL30" s="336">
        <f t="shared" si="93"/>
        <v>0</v>
      </c>
      <c r="GM30" s="336">
        <f t="shared" si="81"/>
        <v>0</v>
      </c>
    </row>
    <row r="31" spans="1:195" s="869" customFormat="1" ht="35.25" customHeight="1">
      <c r="A31" s="406">
        <f t="shared" si="94"/>
        <v>21</v>
      </c>
      <c r="B31" s="406" t="s">
        <v>1620</v>
      </c>
      <c r="C31" s="406" t="str">
        <f t="shared" si="0"/>
        <v>PMCC-1</v>
      </c>
      <c r="D31" s="787" t="s">
        <v>1623</v>
      </c>
      <c r="E31" s="580" t="s">
        <v>513</v>
      </c>
      <c r="F31" s="406" t="s">
        <v>28</v>
      </c>
      <c r="G31" s="406" t="s">
        <v>329</v>
      </c>
      <c r="H31" s="864">
        <v>0.03</v>
      </c>
      <c r="I31" s="406" t="s">
        <v>330</v>
      </c>
      <c r="J31" s="406" t="s">
        <v>357</v>
      </c>
      <c r="K31" s="585">
        <v>230</v>
      </c>
      <c r="L31" s="409">
        <v>0.73</v>
      </c>
      <c r="M31" s="583">
        <v>0.82499999999999996</v>
      </c>
      <c r="N31" s="407">
        <f t="shared" si="1"/>
        <v>0.21657913260057396</v>
      </c>
      <c r="O31" s="407">
        <f t="shared" si="2"/>
        <v>0</v>
      </c>
      <c r="P31" s="409" t="str">
        <f t="shared" si="3"/>
        <v>0.00</v>
      </c>
      <c r="Q31" s="583">
        <v>65</v>
      </c>
      <c r="R31" s="583">
        <v>0</v>
      </c>
      <c r="S31" s="583">
        <f t="shared" si="4"/>
        <v>0</v>
      </c>
      <c r="T31" s="409" t="s">
        <v>131</v>
      </c>
      <c r="U31" s="583" t="s">
        <v>333</v>
      </c>
      <c r="V31" s="409">
        <v>4</v>
      </c>
      <c r="W31" s="409" t="str">
        <f t="shared" si="5"/>
        <v>3C X 4</v>
      </c>
      <c r="X31" s="409" t="str">
        <f t="shared" si="6"/>
        <v>3C X 4</v>
      </c>
      <c r="Y31" s="409" t="s">
        <v>358</v>
      </c>
      <c r="Z31" s="408">
        <f>IF(T31="AIR",VLOOKUP(W31,'Catalogue Aluminium'!$B$9:$G$93,2,FALSE),IF(T31="GROUND",VLOOKUP(W31,'Catalogue Aluminium'!$B$9:$G$93,3,FALSE),IF(T31="DUCT",VLOOKUP(W31,'Catalogue Aluminium'!$B$9:$G$93,4,FALSE),IF(T31="TRENCH",VLOOKUP(W31,'Catalogue Aluminium'!$B$9:$G$93,2,FALSE)))))</f>
        <v>38</v>
      </c>
      <c r="AA31" s="410">
        <f>VLOOKUP(W31,'Catalogue Aluminium'!$B$9:$G$93,5,FALSE)</f>
        <v>5.9</v>
      </c>
      <c r="AB31" s="410">
        <f>VLOOKUP(W31,'Catalogue Aluminium'!$B$9:$G$93,6,FALSE)</f>
        <v>9.4700000000000006E-2</v>
      </c>
      <c r="AC31" s="409">
        <f t="shared" ref="AC31:AC33" si="297">15+13</f>
        <v>28</v>
      </c>
      <c r="AD31" s="409">
        <f t="shared" ref="AD31:AD33" si="298">42+74+25+21</f>
        <v>162</v>
      </c>
      <c r="AE31" s="409">
        <f t="shared" si="188"/>
        <v>22</v>
      </c>
      <c r="AF31" s="409">
        <v>8</v>
      </c>
      <c r="AG31" s="409">
        <f t="shared" ref="AG31:AG33" si="299">ROUNDUP((SUM(AC31:AF31)*0.1),0)</f>
        <v>22</v>
      </c>
      <c r="AH31" s="865">
        <f t="shared" si="84"/>
        <v>242</v>
      </c>
      <c r="AI31" s="408">
        <f>IF(T31="AIR",'Catalogue Aluminium'!$K$9,IF(T31="TRENCH",'Catalogue Aluminium'!$K$12,"NA"))</f>
        <v>0.89</v>
      </c>
      <c r="AJ31" s="407">
        <f>IF(T31="Air",(IF(U31="1C",'Catalogue Aluminium'!$L$9,'Catalogue Aluminium'!$M$9)),IF(T31="DUCT",(IF($U31="1C",'Catalogue Aluminium'!$L$10,'Catalogue Aluminium'!$M$10)),IF(T31="GROUND",(IF($U31="1C",'Catalogue Aluminium'!$L$11,'Catalogue Aluminium'!$M$11)),IF(T31="TRENCH",(IF($U31="1C",'Catalogue Aluminium'!$L$12,'Catalogue Aluminium'!$M$12))))))</f>
        <v>0.66</v>
      </c>
      <c r="AK31" s="408" t="str">
        <f>IF(T31="Air",'Catalogue Aluminium'!$N$9,IF(T31="GROUND",'Catalogue Aluminium'!$N$10,IF(T31="DUCT",'Catalogue Aluminium'!$N$11,IF(T31="TRENCH",'Catalogue Aluminium'!$N$12,"NA"))))</f>
        <v>NA</v>
      </c>
      <c r="AL31" s="408" t="str">
        <f>IF(T31="Air",(IF(U31="1C",'Catalogue Aluminium'!$O$9,'Catalogue Aluminium'!$P$9)),IF(T31="DUCT",(IF($U31="1C",'Catalogue Aluminium'!$O$10,'Catalogue Aluminium'!$P$10)),IF(T31="GROUND",(IF($U31="1C",'Catalogue Aluminium'!$O$11,'Catalogue Aluminium'!$P$11)),IF(T31="TRENCH",(IF($U31="1C",'Catalogue Aluminium'!$O$12,'Catalogue Aluminium'!$P$12))))))</f>
        <v>NA</v>
      </c>
      <c r="AM31" s="408" t="str">
        <f>IF(T31="AIR","NA",IF(T31="TRENCH","NA",IF(T31="DUCT",IF(U31="1C",VLOOKUP(V31,'Catalogue Aluminium'!$Q$9:$S$28,2,FALSE),VLOOKUP(V31,'Catalogue Aluminium'!$Q$9:$S$28,3)),IF(T31="GROUND",IF(U31="1C",VLOOKUP(V31,'Catalogue Aluminium'!$Q$9:$S$28,2,FALSE),VLOOKUP(V31,'Catalogue Aluminium'!$Q$9:$S$28,3))))))</f>
        <v>NA</v>
      </c>
      <c r="AN31" s="584">
        <f t="shared" si="8"/>
        <v>0.58740000000000003</v>
      </c>
      <c r="AO31" s="583">
        <f t="shared" si="9"/>
        <v>22.321200000000001</v>
      </c>
      <c r="AP31" s="585">
        <f t="shared" si="10"/>
        <v>1</v>
      </c>
      <c r="AQ31" s="583" t="str">
        <f t="shared" si="11"/>
        <v>YES</v>
      </c>
      <c r="AR31" s="584">
        <f t="shared" si="12"/>
        <v>0.17255094760875125</v>
      </c>
      <c r="AS31" s="409" t="str">
        <f t="shared" si="13"/>
        <v>YES</v>
      </c>
      <c r="AT31" s="584" t="str">
        <f t="shared" si="14"/>
        <v>NA</v>
      </c>
      <c r="AU31" s="409" t="str">
        <f t="shared" si="15"/>
        <v>NA</v>
      </c>
      <c r="AV31" s="586" t="str">
        <f t="shared" si="16"/>
        <v>1R x 0.6/1kV x 3C x 4 Sqmm</v>
      </c>
      <c r="AW31" s="586" t="str">
        <f t="shared" si="17"/>
        <v>1R x 0.6/1kV x 3C x 4 Sqmm</v>
      </c>
      <c r="AX31" s="409">
        <f t="shared" si="85"/>
        <v>242</v>
      </c>
      <c r="AY31" s="866"/>
      <c r="AZ31" s="866">
        <f t="shared" si="86"/>
        <v>2</v>
      </c>
      <c r="BA31" s="867" t="str">
        <f t="shared" si="87"/>
        <v>ACDEE1E2E3</v>
      </c>
      <c r="BB31" s="868">
        <f>VLOOKUP(W31,'Catalogue Aluminium'!$B$9:$H$93,7,FALSE)</f>
        <v>15</v>
      </c>
      <c r="BC31" s="789">
        <f t="shared" si="88"/>
        <v>15</v>
      </c>
      <c r="BE31" s="587"/>
      <c r="BF31" s="587">
        <v>1</v>
      </c>
      <c r="BG31" s="587"/>
      <c r="BH31" s="587"/>
      <c r="BI31" s="587">
        <v>1</v>
      </c>
      <c r="BJ31" s="587">
        <v>1</v>
      </c>
      <c r="BK31" s="587"/>
      <c r="BL31" s="587"/>
      <c r="BM31" s="587"/>
      <c r="BN31" s="587">
        <v>1</v>
      </c>
      <c r="BO31" s="587"/>
      <c r="BP31" s="587">
        <v>1</v>
      </c>
      <c r="BQ31" s="587">
        <v>1</v>
      </c>
      <c r="BR31" s="587">
        <v>1</v>
      </c>
      <c r="BS31" s="587"/>
      <c r="BT31" s="587"/>
      <c r="BU31" s="587"/>
      <c r="BV31" s="587"/>
      <c r="BW31" s="587"/>
      <c r="BX31" s="587"/>
      <c r="BY31" s="587"/>
      <c r="BZ31" s="587"/>
      <c r="CA31" s="587"/>
      <c r="CB31" s="587"/>
      <c r="CC31" s="587"/>
      <c r="CD31" s="587"/>
      <c r="CE31" s="587"/>
      <c r="CF31" s="587"/>
      <c r="CG31" s="587"/>
      <c r="CH31" s="587"/>
      <c r="CI31" s="587"/>
      <c r="CJ31" s="587"/>
      <c r="CK31" s="587"/>
      <c r="CL31" s="587"/>
      <c r="CM31" s="587"/>
      <c r="CN31" s="587"/>
      <c r="CO31" s="587"/>
      <c r="CP31" s="587"/>
      <c r="CQ31" s="587"/>
      <c r="CR31" s="587"/>
      <c r="CS31" s="587"/>
      <c r="CT31" s="587"/>
      <c r="CU31" s="587"/>
      <c r="CV31" s="587"/>
      <c r="CW31" s="587"/>
      <c r="CX31" s="587"/>
      <c r="CY31" s="587"/>
      <c r="CZ31" s="587"/>
      <c r="DA31" s="587"/>
      <c r="DB31" s="587"/>
      <c r="DC31" s="587"/>
      <c r="DD31" s="587"/>
      <c r="DE31" s="587"/>
      <c r="DF31" s="587"/>
      <c r="DG31" s="587"/>
      <c r="DH31" s="587"/>
      <c r="DI31" s="587"/>
      <c r="DJ31" s="587"/>
      <c r="DK31" s="587"/>
      <c r="DL31" s="587"/>
      <c r="DM31" s="587"/>
      <c r="DN31" s="587"/>
      <c r="DO31" s="587"/>
      <c r="DP31" s="587"/>
      <c r="DQ31" s="587"/>
      <c r="DR31" s="587"/>
      <c r="DS31" s="587"/>
      <c r="DT31" s="587"/>
      <c r="DU31" s="587"/>
      <c r="DW31" s="587">
        <f t="shared" si="290"/>
        <v>0</v>
      </c>
      <c r="DX31" s="587">
        <f t="shared" si="291"/>
        <v>15</v>
      </c>
      <c r="DY31" s="587">
        <f t="shared" si="292"/>
        <v>0</v>
      </c>
      <c r="DZ31" s="587">
        <f t="shared" si="293"/>
        <v>0</v>
      </c>
      <c r="EA31" s="587">
        <f t="shared" si="294"/>
        <v>15</v>
      </c>
      <c r="EB31" s="587">
        <f t="shared" si="295"/>
        <v>15</v>
      </c>
      <c r="EC31" s="587">
        <f t="shared" si="296"/>
        <v>0</v>
      </c>
      <c r="ED31" s="587">
        <f t="shared" si="209"/>
        <v>0</v>
      </c>
      <c r="EE31" s="587">
        <f t="shared" si="210"/>
        <v>0</v>
      </c>
      <c r="EF31" s="587">
        <f t="shared" si="211"/>
        <v>15</v>
      </c>
      <c r="EG31" s="587">
        <f t="shared" si="212"/>
        <v>0</v>
      </c>
      <c r="EH31" s="587">
        <f t="shared" si="213"/>
        <v>15</v>
      </c>
      <c r="EI31" s="587">
        <f t="shared" si="214"/>
        <v>15</v>
      </c>
      <c r="EJ31" s="587">
        <f t="shared" si="215"/>
        <v>15</v>
      </c>
      <c r="EK31" s="587">
        <f t="shared" si="216"/>
        <v>0</v>
      </c>
      <c r="EL31" s="587">
        <f t="shared" si="217"/>
        <v>0</v>
      </c>
      <c r="EM31" s="587">
        <f t="shared" si="218"/>
        <v>0</v>
      </c>
      <c r="EN31" s="587">
        <f t="shared" si="219"/>
        <v>0</v>
      </c>
      <c r="EO31" s="587">
        <f t="shared" si="220"/>
        <v>0</v>
      </c>
      <c r="EP31" s="587">
        <f t="shared" si="221"/>
        <v>0</v>
      </c>
      <c r="EQ31" s="587">
        <f t="shared" si="222"/>
        <v>0</v>
      </c>
      <c r="ER31" s="587">
        <f t="shared" si="223"/>
        <v>0</v>
      </c>
      <c r="ES31" s="587">
        <f t="shared" si="224"/>
        <v>0</v>
      </c>
      <c r="ET31" s="587">
        <f t="shared" si="224"/>
        <v>0</v>
      </c>
      <c r="EU31" s="587">
        <f t="shared" si="225"/>
        <v>0</v>
      </c>
      <c r="EV31" s="587">
        <f t="shared" si="226"/>
        <v>0</v>
      </c>
      <c r="EW31" s="587">
        <f t="shared" si="227"/>
        <v>0</v>
      </c>
      <c r="EX31" s="587">
        <f t="shared" si="228"/>
        <v>0</v>
      </c>
      <c r="EY31" s="587">
        <f t="shared" si="229"/>
        <v>0</v>
      </c>
      <c r="EZ31" s="587">
        <f t="shared" si="230"/>
        <v>0</v>
      </c>
      <c r="FA31" s="587">
        <f t="shared" si="231"/>
        <v>0</v>
      </c>
      <c r="FB31" s="587">
        <f t="shared" si="232"/>
        <v>0</v>
      </c>
      <c r="FC31" s="587">
        <f t="shared" si="233"/>
        <v>0</v>
      </c>
      <c r="FD31" s="587">
        <f t="shared" si="234"/>
        <v>0</v>
      </c>
      <c r="FE31" s="587">
        <f t="shared" si="235"/>
        <v>0</v>
      </c>
      <c r="FF31" s="587">
        <f t="shared" si="236"/>
        <v>0</v>
      </c>
      <c r="FG31" s="587">
        <f t="shared" si="237"/>
        <v>0</v>
      </c>
      <c r="FH31" s="587">
        <f t="shared" si="238"/>
        <v>0</v>
      </c>
      <c r="FI31" s="587">
        <f t="shared" si="239"/>
        <v>0</v>
      </c>
      <c r="FJ31" s="587">
        <f t="shared" si="240"/>
        <v>0</v>
      </c>
      <c r="FK31" s="587">
        <f t="shared" si="241"/>
        <v>0</v>
      </c>
      <c r="FL31" s="587">
        <f t="shared" si="242"/>
        <v>0</v>
      </c>
      <c r="FM31" s="587">
        <f t="shared" si="243"/>
        <v>0</v>
      </c>
      <c r="FN31" s="587">
        <f t="shared" si="244"/>
        <v>0</v>
      </c>
      <c r="FO31" s="587">
        <f t="shared" si="245"/>
        <v>0</v>
      </c>
      <c r="FP31" s="587">
        <f t="shared" si="246"/>
        <v>0</v>
      </c>
      <c r="FQ31" s="587">
        <f t="shared" si="247"/>
        <v>0</v>
      </c>
      <c r="FR31" s="587">
        <f t="shared" si="248"/>
        <v>0</v>
      </c>
      <c r="FS31" s="587">
        <f t="shared" si="249"/>
        <v>0</v>
      </c>
      <c r="FT31" s="587">
        <f t="shared" si="250"/>
        <v>0</v>
      </c>
      <c r="FU31" s="587">
        <f t="shared" si="89"/>
        <v>0</v>
      </c>
      <c r="FV31" s="587">
        <f t="shared" si="90"/>
        <v>0</v>
      </c>
      <c r="FW31" s="587">
        <f t="shared" si="91"/>
        <v>0</v>
      </c>
      <c r="FX31" s="587">
        <f t="shared" si="92"/>
        <v>0</v>
      </c>
      <c r="FY31" s="587">
        <f t="shared" si="68"/>
        <v>0</v>
      </c>
      <c r="FZ31" s="587">
        <f t="shared" si="69"/>
        <v>0</v>
      </c>
      <c r="GA31" s="587">
        <f t="shared" si="70"/>
        <v>0</v>
      </c>
      <c r="GB31" s="587">
        <f t="shared" si="71"/>
        <v>0</v>
      </c>
      <c r="GC31" s="587">
        <f t="shared" si="72"/>
        <v>0</v>
      </c>
      <c r="GD31" s="587">
        <f t="shared" si="73"/>
        <v>0</v>
      </c>
      <c r="GE31" s="587">
        <f t="shared" si="74"/>
        <v>0</v>
      </c>
      <c r="GF31" s="587">
        <f t="shared" si="75"/>
        <v>0</v>
      </c>
      <c r="GG31" s="587">
        <f t="shared" si="76"/>
        <v>0</v>
      </c>
      <c r="GH31" s="587">
        <f t="shared" si="77"/>
        <v>0</v>
      </c>
      <c r="GI31" s="587">
        <f t="shared" si="78"/>
        <v>0</v>
      </c>
      <c r="GJ31" s="587">
        <f t="shared" si="79"/>
        <v>0</v>
      </c>
      <c r="GK31" s="587">
        <f t="shared" si="80"/>
        <v>0</v>
      </c>
      <c r="GL31" s="587">
        <f t="shared" si="93"/>
        <v>0</v>
      </c>
      <c r="GM31" s="587">
        <f t="shared" si="81"/>
        <v>0</v>
      </c>
    </row>
    <row r="32" spans="1:195" s="869" customFormat="1" ht="35.25" customHeight="1">
      <c r="A32" s="406">
        <f t="shared" si="94"/>
        <v>22</v>
      </c>
      <c r="B32" s="406" t="s">
        <v>1621</v>
      </c>
      <c r="C32" s="406" t="str">
        <f t="shared" si="0"/>
        <v>PMCC-1</v>
      </c>
      <c r="D32" s="787" t="s">
        <v>1624</v>
      </c>
      <c r="E32" s="580" t="s">
        <v>513</v>
      </c>
      <c r="F32" s="406" t="s">
        <v>29</v>
      </c>
      <c r="G32" s="406" t="s">
        <v>329</v>
      </c>
      <c r="H32" s="864">
        <v>0.03</v>
      </c>
      <c r="I32" s="406" t="s">
        <v>330</v>
      </c>
      <c r="J32" s="406" t="s">
        <v>357</v>
      </c>
      <c r="K32" s="585">
        <v>230</v>
      </c>
      <c r="L32" s="409">
        <v>0.73</v>
      </c>
      <c r="M32" s="583">
        <v>0.82499999999999996</v>
      </c>
      <c r="N32" s="407">
        <f t="shared" si="1"/>
        <v>0.21657913260057396</v>
      </c>
      <c r="O32" s="407">
        <f t="shared" si="2"/>
        <v>0</v>
      </c>
      <c r="P32" s="409" t="str">
        <f t="shared" si="3"/>
        <v>0.00</v>
      </c>
      <c r="Q32" s="583">
        <v>65</v>
      </c>
      <c r="R32" s="583">
        <v>0</v>
      </c>
      <c r="S32" s="583">
        <f t="shared" si="4"/>
        <v>0</v>
      </c>
      <c r="T32" s="409" t="s">
        <v>131</v>
      </c>
      <c r="U32" s="583" t="s">
        <v>333</v>
      </c>
      <c r="V32" s="409">
        <v>4</v>
      </c>
      <c r="W32" s="409" t="str">
        <f t="shared" si="5"/>
        <v>3C X 4</v>
      </c>
      <c r="X32" s="409" t="str">
        <f t="shared" si="6"/>
        <v>3C X 4</v>
      </c>
      <c r="Y32" s="409" t="s">
        <v>358</v>
      </c>
      <c r="Z32" s="408">
        <f>IF(T32="AIR",VLOOKUP(W32,'Catalogue Aluminium'!$B$9:$G$93,2,FALSE),IF(T32="GROUND",VLOOKUP(W32,'Catalogue Aluminium'!$B$9:$G$93,3,FALSE),IF(T32="DUCT",VLOOKUP(W32,'Catalogue Aluminium'!$B$9:$G$93,4,FALSE),IF(T32="TRENCH",VLOOKUP(W32,'Catalogue Aluminium'!$B$9:$G$93,2,FALSE)))))</f>
        <v>38</v>
      </c>
      <c r="AA32" s="410">
        <f>VLOOKUP(W32,'Catalogue Aluminium'!$B$9:$G$93,5,FALSE)</f>
        <v>5.9</v>
      </c>
      <c r="AB32" s="410">
        <f>VLOOKUP(W32,'Catalogue Aluminium'!$B$9:$G$93,6,FALSE)</f>
        <v>9.4700000000000006E-2</v>
      </c>
      <c r="AC32" s="409">
        <f t="shared" ref="AC32:AC36" si="300">29+11</f>
        <v>40</v>
      </c>
      <c r="AD32" s="409">
        <f>42+74+25+21</f>
        <v>162</v>
      </c>
      <c r="AE32" s="409">
        <f t="shared" si="188"/>
        <v>22</v>
      </c>
      <c r="AF32" s="409">
        <v>8</v>
      </c>
      <c r="AG32" s="409">
        <f t="shared" si="299"/>
        <v>24</v>
      </c>
      <c r="AH32" s="865">
        <f t="shared" si="84"/>
        <v>256</v>
      </c>
      <c r="AI32" s="408">
        <f>IF(T32="AIR",'Catalogue Aluminium'!$K$9,IF(T32="TRENCH",'Catalogue Aluminium'!$K$12,"NA"))</f>
        <v>0.89</v>
      </c>
      <c r="AJ32" s="407">
        <f>IF(T32="Air",(IF(U32="1C",'Catalogue Aluminium'!$L$9,'Catalogue Aluminium'!$M$9)),IF(T32="DUCT",(IF($U32="1C",'Catalogue Aluminium'!$L$10,'Catalogue Aluminium'!$M$10)),IF(T32="GROUND",(IF($U32="1C",'Catalogue Aluminium'!$L$11,'Catalogue Aluminium'!$M$11)),IF(T32="TRENCH",(IF($U32="1C",'Catalogue Aluminium'!$L$12,'Catalogue Aluminium'!$M$12))))))</f>
        <v>0.66</v>
      </c>
      <c r="AK32" s="408" t="str">
        <f>IF(T32="Air",'Catalogue Aluminium'!$N$9,IF(T32="GROUND",'Catalogue Aluminium'!$N$10,IF(T32="DUCT",'Catalogue Aluminium'!$N$11,IF(T32="TRENCH",'Catalogue Aluminium'!$N$12,"NA"))))</f>
        <v>NA</v>
      </c>
      <c r="AL32" s="408" t="str">
        <f>IF(T32="Air",(IF(U32="1C",'Catalogue Aluminium'!$O$9,'Catalogue Aluminium'!$P$9)),IF(T32="DUCT",(IF($U32="1C",'Catalogue Aluminium'!$O$10,'Catalogue Aluminium'!$P$10)),IF(T32="GROUND",(IF($U32="1C",'Catalogue Aluminium'!$O$11,'Catalogue Aluminium'!$P$11)),IF(T32="TRENCH",(IF($U32="1C",'Catalogue Aluminium'!$O$12,'Catalogue Aluminium'!$P$12))))))</f>
        <v>NA</v>
      </c>
      <c r="AM32" s="408" t="str">
        <f>IF(T32="AIR","NA",IF(T32="TRENCH","NA",IF(T32="DUCT",IF(U32="1C",VLOOKUP(V32,'Catalogue Aluminium'!$Q$9:$S$28,2,FALSE),VLOOKUP(V32,'Catalogue Aluminium'!$Q$9:$S$28,3)),IF(T32="GROUND",IF(U32="1C",VLOOKUP(V32,'Catalogue Aluminium'!$Q$9:$S$28,2,FALSE),VLOOKUP(V32,'Catalogue Aluminium'!$Q$9:$S$28,3))))))</f>
        <v>NA</v>
      </c>
      <c r="AN32" s="584">
        <f t="shared" si="8"/>
        <v>0.58740000000000003</v>
      </c>
      <c r="AO32" s="583">
        <f t="shared" si="9"/>
        <v>22.321200000000001</v>
      </c>
      <c r="AP32" s="585">
        <f t="shared" si="10"/>
        <v>1</v>
      </c>
      <c r="AQ32" s="583" t="str">
        <f t="shared" si="11"/>
        <v>YES</v>
      </c>
      <c r="AR32" s="584">
        <f t="shared" si="12"/>
        <v>0.1825332338340509</v>
      </c>
      <c r="AS32" s="409" t="str">
        <f t="shared" si="13"/>
        <v>YES</v>
      </c>
      <c r="AT32" s="584" t="str">
        <f t="shared" si="14"/>
        <v>NA</v>
      </c>
      <c r="AU32" s="409" t="str">
        <f t="shared" si="15"/>
        <v>NA</v>
      </c>
      <c r="AV32" s="586" t="str">
        <f t="shared" si="16"/>
        <v>1R x 0.6/1kV x 3C x 4 Sqmm</v>
      </c>
      <c r="AW32" s="586" t="str">
        <f t="shared" si="17"/>
        <v>1R x 0.6/1kV x 3C x 4 Sqmm</v>
      </c>
      <c r="AX32" s="409">
        <f t="shared" si="85"/>
        <v>256</v>
      </c>
      <c r="AY32" s="866"/>
      <c r="AZ32" s="866">
        <f t="shared" si="86"/>
        <v>2</v>
      </c>
      <c r="BA32" s="867" t="str">
        <f t="shared" si="87"/>
        <v>ACDEE1E2E3</v>
      </c>
      <c r="BB32" s="868">
        <f>VLOOKUP(W32,'Catalogue Aluminium'!$B$9:$H$93,7,FALSE)</f>
        <v>15</v>
      </c>
      <c r="BC32" s="789">
        <f t="shared" si="88"/>
        <v>15</v>
      </c>
      <c r="BE32" s="587"/>
      <c r="BF32" s="587">
        <v>1</v>
      </c>
      <c r="BG32" s="587"/>
      <c r="BH32" s="587"/>
      <c r="BI32" s="587">
        <v>1</v>
      </c>
      <c r="BJ32" s="587">
        <v>1</v>
      </c>
      <c r="BK32" s="587"/>
      <c r="BL32" s="587"/>
      <c r="BM32" s="587"/>
      <c r="BN32" s="587">
        <v>1</v>
      </c>
      <c r="BO32" s="587"/>
      <c r="BP32" s="587">
        <v>1</v>
      </c>
      <c r="BQ32" s="587">
        <v>1</v>
      </c>
      <c r="BR32" s="587">
        <v>1</v>
      </c>
      <c r="BS32" s="587"/>
      <c r="BT32" s="587"/>
      <c r="BU32" s="587"/>
      <c r="BV32" s="587"/>
      <c r="BW32" s="587"/>
      <c r="BX32" s="587"/>
      <c r="BY32" s="587"/>
      <c r="BZ32" s="587"/>
      <c r="CA32" s="587"/>
      <c r="CB32" s="587"/>
      <c r="CC32" s="587"/>
      <c r="CD32" s="587"/>
      <c r="CE32" s="587"/>
      <c r="CF32" s="587"/>
      <c r="CG32" s="587"/>
      <c r="CH32" s="587"/>
      <c r="CI32" s="587"/>
      <c r="CJ32" s="587"/>
      <c r="CK32" s="587"/>
      <c r="CL32" s="587"/>
      <c r="CM32" s="587"/>
      <c r="CN32" s="587"/>
      <c r="CO32" s="587"/>
      <c r="CP32" s="587"/>
      <c r="CQ32" s="587"/>
      <c r="CR32" s="587"/>
      <c r="CS32" s="587"/>
      <c r="CT32" s="587"/>
      <c r="CU32" s="587"/>
      <c r="CV32" s="587"/>
      <c r="CW32" s="587"/>
      <c r="CX32" s="587"/>
      <c r="CY32" s="587"/>
      <c r="CZ32" s="587"/>
      <c r="DA32" s="587"/>
      <c r="DB32" s="587"/>
      <c r="DC32" s="587"/>
      <c r="DD32" s="587"/>
      <c r="DE32" s="587"/>
      <c r="DF32" s="587"/>
      <c r="DG32" s="587"/>
      <c r="DH32" s="587"/>
      <c r="DI32" s="587"/>
      <c r="DJ32" s="587"/>
      <c r="DK32" s="587"/>
      <c r="DL32" s="587"/>
      <c r="DM32" s="587"/>
      <c r="DN32" s="587"/>
      <c r="DO32" s="587"/>
      <c r="DP32" s="587"/>
      <c r="DQ32" s="587"/>
      <c r="DR32" s="587"/>
      <c r="DS32" s="587"/>
      <c r="DT32" s="587"/>
      <c r="DU32" s="587"/>
      <c r="DW32" s="587">
        <f t="shared" si="290"/>
        <v>0</v>
      </c>
      <c r="DX32" s="587">
        <f t="shared" si="291"/>
        <v>15</v>
      </c>
      <c r="DY32" s="587">
        <f t="shared" si="292"/>
        <v>0</v>
      </c>
      <c r="DZ32" s="587">
        <f t="shared" si="293"/>
        <v>0</v>
      </c>
      <c r="EA32" s="587">
        <f t="shared" si="294"/>
        <v>15</v>
      </c>
      <c r="EB32" s="587">
        <f t="shared" si="295"/>
        <v>15</v>
      </c>
      <c r="EC32" s="587">
        <f t="shared" si="296"/>
        <v>0</v>
      </c>
      <c r="ED32" s="587">
        <f t="shared" si="209"/>
        <v>0</v>
      </c>
      <c r="EE32" s="587">
        <f t="shared" si="210"/>
        <v>0</v>
      </c>
      <c r="EF32" s="587">
        <f t="shared" si="211"/>
        <v>15</v>
      </c>
      <c r="EG32" s="587">
        <f t="shared" si="212"/>
        <v>0</v>
      </c>
      <c r="EH32" s="587">
        <f t="shared" si="213"/>
        <v>15</v>
      </c>
      <c r="EI32" s="587">
        <f t="shared" si="214"/>
        <v>15</v>
      </c>
      <c r="EJ32" s="587">
        <f t="shared" si="215"/>
        <v>15</v>
      </c>
      <c r="EK32" s="587">
        <f t="shared" si="216"/>
        <v>0</v>
      </c>
      <c r="EL32" s="587">
        <f t="shared" si="217"/>
        <v>0</v>
      </c>
      <c r="EM32" s="587">
        <f t="shared" si="218"/>
        <v>0</v>
      </c>
      <c r="EN32" s="587">
        <f t="shared" si="219"/>
        <v>0</v>
      </c>
      <c r="EO32" s="587">
        <f t="shared" si="220"/>
        <v>0</v>
      </c>
      <c r="EP32" s="587">
        <f t="shared" si="221"/>
        <v>0</v>
      </c>
      <c r="EQ32" s="587">
        <f t="shared" si="222"/>
        <v>0</v>
      </c>
      <c r="ER32" s="587">
        <f t="shared" si="223"/>
        <v>0</v>
      </c>
      <c r="ES32" s="587">
        <f t="shared" si="224"/>
        <v>0</v>
      </c>
      <c r="ET32" s="587">
        <f t="shared" si="224"/>
        <v>0</v>
      </c>
      <c r="EU32" s="587">
        <f t="shared" si="225"/>
        <v>0</v>
      </c>
      <c r="EV32" s="587">
        <f t="shared" si="226"/>
        <v>0</v>
      </c>
      <c r="EW32" s="587">
        <f t="shared" si="227"/>
        <v>0</v>
      </c>
      <c r="EX32" s="587">
        <f t="shared" si="228"/>
        <v>0</v>
      </c>
      <c r="EY32" s="587">
        <f t="shared" si="229"/>
        <v>0</v>
      </c>
      <c r="EZ32" s="587">
        <f t="shared" si="230"/>
        <v>0</v>
      </c>
      <c r="FA32" s="587">
        <f t="shared" si="231"/>
        <v>0</v>
      </c>
      <c r="FB32" s="587">
        <f t="shared" si="232"/>
        <v>0</v>
      </c>
      <c r="FC32" s="587">
        <f t="shared" si="233"/>
        <v>0</v>
      </c>
      <c r="FD32" s="587">
        <f t="shared" si="234"/>
        <v>0</v>
      </c>
      <c r="FE32" s="587">
        <f t="shared" si="235"/>
        <v>0</v>
      </c>
      <c r="FF32" s="587">
        <f t="shared" si="236"/>
        <v>0</v>
      </c>
      <c r="FG32" s="587">
        <f t="shared" si="237"/>
        <v>0</v>
      </c>
      <c r="FH32" s="587">
        <f t="shared" si="238"/>
        <v>0</v>
      </c>
      <c r="FI32" s="587">
        <f t="shared" si="239"/>
        <v>0</v>
      </c>
      <c r="FJ32" s="587">
        <f t="shared" si="240"/>
        <v>0</v>
      </c>
      <c r="FK32" s="587">
        <f t="shared" si="241"/>
        <v>0</v>
      </c>
      <c r="FL32" s="587">
        <f t="shared" si="242"/>
        <v>0</v>
      </c>
      <c r="FM32" s="587">
        <f t="shared" si="243"/>
        <v>0</v>
      </c>
      <c r="FN32" s="587">
        <f t="shared" si="244"/>
        <v>0</v>
      </c>
      <c r="FO32" s="587">
        <f t="shared" si="245"/>
        <v>0</v>
      </c>
      <c r="FP32" s="587">
        <f t="shared" si="246"/>
        <v>0</v>
      </c>
      <c r="FQ32" s="587">
        <f t="shared" si="247"/>
        <v>0</v>
      </c>
      <c r="FR32" s="587">
        <f t="shared" si="248"/>
        <v>0</v>
      </c>
      <c r="FS32" s="587">
        <f t="shared" si="249"/>
        <v>0</v>
      </c>
      <c r="FT32" s="587">
        <f t="shared" si="250"/>
        <v>0</v>
      </c>
      <c r="FU32" s="587">
        <f t="shared" si="89"/>
        <v>0</v>
      </c>
      <c r="FV32" s="587">
        <f t="shared" si="90"/>
        <v>0</v>
      </c>
      <c r="FW32" s="587">
        <f t="shared" si="91"/>
        <v>0</v>
      </c>
      <c r="FX32" s="587">
        <f t="shared" si="92"/>
        <v>0</v>
      </c>
      <c r="FY32" s="587">
        <f t="shared" si="68"/>
        <v>0</v>
      </c>
      <c r="FZ32" s="587">
        <f t="shared" si="69"/>
        <v>0</v>
      </c>
      <c r="GA32" s="587">
        <f t="shared" si="70"/>
        <v>0</v>
      </c>
      <c r="GB32" s="587">
        <f t="shared" si="71"/>
        <v>0</v>
      </c>
      <c r="GC32" s="587">
        <f t="shared" si="72"/>
        <v>0</v>
      </c>
      <c r="GD32" s="587">
        <f t="shared" si="73"/>
        <v>0</v>
      </c>
      <c r="GE32" s="587">
        <f t="shared" si="74"/>
        <v>0</v>
      </c>
      <c r="GF32" s="587">
        <f t="shared" si="75"/>
        <v>0</v>
      </c>
      <c r="GG32" s="587">
        <f t="shared" si="76"/>
        <v>0</v>
      </c>
      <c r="GH32" s="587">
        <f t="shared" si="77"/>
        <v>0</v>
      </c>
      <c r="GI32" s="587">
        <f t="shared" si="78"/>
        <v>0</v>
      </c>
      <c r="GJ32" s="587">
        <f t="shared" si="79"/>
        <v>0</v>
      </c>
      <c r="GK32" s="587">
        <f t="shared" si="80"/>
        <v>0</v>
      </c>
      <c r="GL32" s="587">
        <f t="shared" si="93"/>
        <v>0</v>
      </c>
      <c r="GM32" s="587">
        <f t="shared" si="81"/>
        <v>0</v>
      </c>
    </row>
    <row r="33" spans="1:195" s="869" customFormat="1" ht="35.25" customHeight="1">
      <c r="A33" s="406">
        <f t="shared" si="94"/>
        <v>23</v>
      </c>
      <c r="B33" s="406" t="s">
        <v>1622</v>
      </c>
      <c r="C33" s="406" t="str">
        <f t="shared" si="0"/>
        <v>PMCC-1</v>
      </c>
      <c r="D33" s="787" t="s">
        <v>1624</v>
      </c>
      <c r="E33" s="580" t="s">
        <v>513</v>
      </c>
      <c r="F33" s="406" t="s">
        <v>28</v>
      </c>
      <c r="G33" s="406" t="s">
        <v>329</v>
      </c>
      <c r="H33" s="864">
        <v>0.03</v>
      </c>
      <c r="I33" s="406" t="s">
        <v>330</v>
      </c>
      <c r="J33" s="406" t="s">
        <v>357</v>
      </c>
      <c r="K33" s="585">
        <v>230</v>
      </c>
      <c r="L33" s="409">
        <v>0.73</v>
      </c>
      <c r="M33" s="583">
        <v>0.82499999999999996</v>
      </c>
      <c r="N33" s="407">
        <f t="shared" si="1"/>
        <v>0.21657913260057396</v>
      </c>
      <c r="O33" s="407">
        <f t="shared" si="2"/>
        <v>0</v>
      </c>
      <c r="P33" s="409" t="str">
        <f t="shared" si="3"/>
        <v>0.00</v>
      </c>
      <c r="Q33" s="583">
        <v>65</v>
      </c>
      <c r="R33" s="583">
        <v>0</v>
      </c>
      <c r="S33" s="583">
        <f t="shared" si="4"/>
        <v>0</v>
      </c>
      <c r="T33" s="409" t="s">
        <v>131</v>
      </c>
      <c r="U33" s="583" t="s">
        <v>333</v>
      </c>
      <c r="V33" s="409">
        <v>4</v>
      </c>
      <c r="W33" s="409" t="str">
        <f t="shared" si="5"/>
        <v>3C X 4</v>
      </c>
      <c r="X33" s="409" t="str">
        <f t="shared" si="6"/>
        <v>3C X 4</v>
      </c>
      <c r="Y33" s="409" t="s">
        <v>358</v>
      </c>
      <c r="Z33" s="408">
        <f>IF(T33="AIR",VLOOKUP(W33,'Catalogue Aluminium'!$B$9:$G$93,2,FALSE),IF(T33="GROUND",VLOOKUP(W33,'Catalogue Aluminium'!$B$9:$G$93,3,FALSE),IF(T33="DUCT",VLOOKUP(W33,'Catalogue Aluminium'!$B$9:$G$93,4,FALSE),IF(T33="TRENCH",VLOOKUP(W33,'Catalogue Aluminium'!$B$9:$G$93,2,FALSE)))))</f>
        <v>38</v>
      </c>
      <c r="AA33" s="410">
        <f>VLOOKUP(W33,'Catalogue Aluminium'!$B$9:$G$93,5,FALSE)</f>
        <v>5.9</v>
      </c>
      <c r="AB33" s="410">
        <f>VLOOKUP(W33,'Catalogue Aluminium'!$B$9:$G$93,6,FALSE)</f>
        <v>9.4700000000000006E-2</v>
      </c>
      <c r="AC33" s="409">
        <f t="shared" si="297"/>
        <v>28</v>
      </c>
      <c r="AD33" s="409">
        <f t="shared" si="298"/>
        <v>162</v>
      </c>
      <c r="AE33" s="409">
        <f t="shared" si="188"/>
        <v>22</v>
      </c>
      <c r="AF33" s="409">
        <v>8</v>
      </c>
      <c r="AG33" s="409">
        <f t="shared" si="299"/>
        <v>22</v>
      </c>
      <c r="AH33" s="865">
        <f t="shared" si="84"/>
        <v>242</v>
      </c>
      <c r="AI33" s="408">
        <f>IF(T33="AIR",'Catalogue Aluminium'!$K$9,IF(T33="TRENCH",'Catalogue Aluminium'!$K$12,"NA"))</f>
        <v>0.89</v>
      </c>
      <c r="AJ33" s="407">
        <f>IF(T33="Air",(IF(U33="1C",'Catalogue Aluminium'!$L$9,'Catalogue Aluminium'!$M$9)),IF(T33="DUCT",(IF($U33="1C",'Catalogue Aluminium'!$L$10,'Catalogue Aluminium'!$M$10)),IF(T33="GROUND",(IF($U33="1C",'Catalogue Aluminium'!$L$11,'Catalogue Aluminium'!$M$11)),IF(T33="TRENCH",(IF($U33="1C",'Catalogue Aluminium'!$L$12,'Catalogue Aluminium'!$M$12))))))</f>
        <v>0.66</v>
      </c>
      <c r="AK33" s="408" t="str">
        <f>IF(T33="Air",'Catalogue Aluminium'!$N$9,IF(T33="GROUND",'Catalogue Aluminium'!$N$10,IF(T33="DUCT",'Catalogue Aluminium'!$N$11,IF(T33="TRENCH",'Catalogue Aluminium'!$N$12,"NA"))))</f>
        <v>NA</v>
      </c>
      <c r="AL33" s="408" t="str">
        <f>IF(T33="Air",(IF(U33="1C",'Catalogue Aluminium'!$O$9,'Catalogue Aluminium'!$P$9)),IF(T33="DUCT",(IF($U33="1C",'Catalogue Aluminium'!$O$10,'Catalogue Aluminium'!$P$10)),IF(T33="GROUND",(IF($U33="1C",'Catalogue Aluminium'!$O$11,'Catalogue Aluminium'!$P$11)),IF(T33="TRENCH",(IF($U33="1C",'Catalogue Aluminium'!$O$12,'Catalogue Aluminium'!$P$12))))))</f>
        <v>NA</v>
      </c>
      <c r="AM33" s="408" t="str">
        <f>IF(T33="AIR","NA",IF(T33="TRENCH","NA",IF(T33="DUCT",IF(U33="1C",VLOOKUP(V33,'Catalogue Aluminium'!$Q$9:$S$28,2,FALSE),VLOOKUP(V33,'Catalogue Aluminium'!$Q$9:$S$28,3)),IF(T33="GROUND",IF(U33="1C",VLOOKUP(V33,'Catalogue Aluminium'!$Q$9:$S$28,2,FALSE),VLOOKUP(V33,'Catalogue Aluminium'!$Q$9:$S$28,3))))))</f>
        <v>NA</v>
      </c>
      <c r="AN33" s="584">
        <f t="shared" si="8"/>
        <v>0.58740000000000003</v>
      </c>
      <c r="AO33" s="583">
        <f t="shared" si="9"/>
        <v>22.321200000000001</v>
      </c>
      <c r="AP33" s="585">
        <f t="shared" si="10"/>
        <v>1</v>
      </c>
      <c r="AQ33" s="583" t="str">
        <f t="shared" si="11"/>
        <v>YES</v>
      </c>
      <c r="AR33" s="584">
        <f t="shared" si="12"/>
        <v>0.17255094760875125</v>
      </c>
      <c r="AS33" s="409" t="str">
        <f t="shared" si="13"/>
        <v>YES</v>
      </c>
      <c r="AT33" s="584" t="str">
        <f t="shared" si="14"/>
        <v>NA</v>
      </c>
      <c r="AU33" s="409" t="str">
        <f t="shared" si="15"/>
        <v>NA</v>
      </c>
      <c r="AV33" s="586" t="str">
        <f t="shared" si="16"/>
        <v>1R x 0.6/1kV x 3C x 4 Sqmm</v>
      </c>
      <c r="AW33" s="586" t="str">
        <f t="shared" si="17"/>
        <v>1R x 0.6/1kV x 3C x 4 Sqmm</v>
      </c>
      <c r="AX33" s="409">
        <f t="shared" si="85"/>
        <v>242</v>
      </c>
      <c r="AY33" s="866"/>
      <c r="AZ33" s="866">
        <f t="shared" si="86"/>
        <v>2</v>
      </c>
      <c r="BA33" s="867" t="str">
        <f t="shared" si="87"/>
        <v>ACDEE1E2E3</v>
      </c>
      <c r="BB33" s="868">
        <f>VLOOKUP(W33,'Catalogue Aluminium'!$B$9:$H$93,7,FALSE)</f>
        <v>15</v>
      </c>
      <c r="BC33" s="789">
        <f t="shared" si="88"/>
        <v>15</v>
      </c>
      <c r="BE33" s="587"/>
      <c r="BF33" s="587">
        <v>1</v>
      </c>
      <c r="BG33" s="587"/>
      <c r="BH33" s="587"/>
      <c r="BI33" s="587">
        <v>1</v>
      </c>
      <c r="BJ33" s="587">
        <v>1</v>
      </c>
      <c r="BK33" s="587"/>
      <c r="BL33" s="587"/>
      <c r="BM33" s="587"/>
      <c r="BN33" s="587">
        <v>1</v>
      </c>
      <c r="BO33" s="587"/>
      <c r="BP33" s="587">
        <v>1</v>
      </c>
      <c r="BQ33" s="587">
        <v>1</v>
      </c>
      <c r="BR33" s="587">
        <v>1</v>
      </c>
      <c r="BS33" s="587"/>
      <c r="BT33" s="587"/>
      <c r="BU33" s="587"/>
      <c r="BV33" s="587"/>
      <c r="BW33" s="587"/>
      <c r="BX33" s="587"/>
      <c r="BY33" s="587"/>
      <c r="BZ33" s="587"/>
      <c r="CA33" s="587"/>
      <c r="CB33" s="587"/>
      <c r="CC33" s="587"/>
      <c r="CD33" s="587"/>
      <c r="CE33" s="587"/>
      <c r="CF33" s="587"/>
      <c r="CG33" s="587"/>
      <c r="CH33" s="587"/>
      <c r="CI33" s="587"/>
      <c r="CJ33" s="587"/>
      <c r="CK33" s="587"/>
      <c r="CL33" s="587"/>
      <c r="CM33" s="587"/>
      <c r="CN33" s="587"/>
      <c r="CO33" s="587"/>
      <c r="CP33" s="587"/>
      <c r="CQ33" s="587"/>
      <c r="CR33" s="587"/>
      <c r="CS33" s="587"/>
      <c r="CT33" s="587"/>
      <c r="CU33" s="587"/>
      <c r="CV33" s="587"/>
      <c r="CW33" s="587"/>
      <c r="CX33" s="587"/>
      <c r="CY33" s="587"/>
      <c r="CZ33" s="587"/>
      <c r="DA33" s="587"/>
      <c r="DB33" s="587"/>
      <c r="DC33" s="587"/>
      <c r="DD33" s="587"/>
      <c r="DE33" s="587"/>
      <c r="DF33" s="587"/>
      <c r="DG33" s="587"/>
      <c r="DH33" s="587"/>
      <c r="DI33" s="587"/>
      <c r="DJ33" s="587"/>
      <c r="DK33" s="587"/>
      <c r="DL33" s="587"/>
      <c r="DM33" s="587"/>
      <c r="DN33" s="587"/>
      <c r="DO33" s="587"/>
      <c r="DP33" s="587"/>
      <c r="DQ33" s="587"/>
      <c r="DR33" s="587"/>
      <c r="DS33" s="587"/>
      <c r="DT33" s="587"/>
      <c r="DU33" s="587"/>
      <c r="DW33" s="587">
        <f t="shared" si="290"/>
        <v>0</v>
      </c>
      <c r="DX33" s="587">
        <f t="shared" si="291"/>
        <v>15</v>
      </c>
      <c r="DY33" s="587">
        <f t="shared" si="292"/>
        <v>0</v>
      </c>
      <c r="DZ33" s="587">
        <f t="shared" si="293"/>
        <v>0</v>
      </c>
      <c r="EA33" s="587">
        <f t="shared" si="294"/>
        <v>15</v>
      </c>
      <c r="EB33" s="587">
        <f t="shared" si="295"/>
        <v>15</v>
      </c>
      <c r="EC33" s="587">
        <f t="shared" si="296"/>
        <v>0</v>
      </c>
      <c r="ED33" s="587">
        <f t="shared" si="209"/>
        <v>0</v>
      </c>
      <c r="EE33" s="587">
        <f t="shared" si="210"/>
        <v>0</v>
      </c>
      <c r="EF33" s="587">
        <f t="shared" si="211"/>
        <v>15</v>
      </c>
      <c r="EG33" s="587">
        <f t="shared" si="212"/>
        <v>0</v>
      </c>
      <c r="EH33" s="587">
        <f t="shared" si="213"/>
        <v>15</v>
      </c>
      <c r="EI33" s="587">
        <f t="shared" si="214"/>
        <v>15</v>
      </c>
      <c r="EJ33" s="587">
        <f t="shared" si="215"/>
        <v>15</v>
      </c>
      <c r="EK33" s="587">
        <f t="shared" si="216"/>
        <v>0</v>
      </c>
      <c r="EL33" s="587">
        <f t="shared" si="217"/>
        <v>0</v>
      </c>
      <c r="EM33" s="587">
        <f t="shared" si="218"/>
        <v>0</v>
      </c>
      <c r="EN33" s="587">
        <f t="shared" si="219"/>
        <v>0</v>
      </c>
      <c r="EO33" s="587">
        <f t="shared" si="220"/>
        <v>0</v>
      </c>
      <c r="EP33" s="587">
        <f t="shared" si="221"/>
        <v>0</v>
      </c>
      <c r="EQ33" s="587">
        <f t="shared" si="222"/>
        <v>0</v>
      </c>
      <c r="ER33" s="587">
        <f t="shared" si="223"/>
        <v>0</v>
      </c>
      <c r="ES33" s="587">
        <f t="shared" si="224"/>
        <v>0</v>
      </c>
      <c r="ET33" s="587">
        <f t="shared" si="224"/>
        <v>0</v>
      </c>
      <c r="EU33" s="587">
        <f t="shared" si="225"/>
        <v>0</v>
      </c>
      <c r="EV33" s="587">
        <f t="shared" si="226"/>
        <v>0</v>
      </c>
      <c r="EW33" s="587">
        <f t="shared" si="227"/>
        <v>0</v>
      </c>
      <c r="EX33" s="587">
        <f t="shared" si="228"/>
        <v>0</v>
      </c>
      <c r="EY33" s="587">
        <f t="shared" si="229"/>
        <v>0</v>
      </c>
      <c r="EZ33" s="587">
        <f t="shared" si="230"/>
        <v>0</v>
      </c>
      <c r="FA33" s="587">
        <f t="shared" si="231"/>
        <v>0</v>
      </c>
      <c r="FB33" s="587">
        <f t="shared" si="232"/>
        <v>0</v>
      </c>
      <c r="FC33" s="587">
        <f t="shared" si="233"/>
        <v>0</v>
      </c>
      <c r="FD33" s="587">
        <f t="shared" si="234"/>
        <v>0</v>
      </c>
      <c r="FE33" s="587">
        <f t="shared" si="235"/>
        <v>0</v>
      </c>
      <c r="FF33" s="587">
        <f t="shared" si="236"/>
        <v>0</v>
      </c>
      <c r="FG33" s="587">
        <f t="shared" si="237"/>
        <v>0</v>
      </c>
      <c r="FH33" s="587">
        <f t="shared" si="238"/>
        <v>0</v>
      </c>
      <c r="FI33" s="587">
        <f t="shared" si="239"/>
        <v>0</v>
      </c>
      <c r="FJ33" s="587">
        <f t="shared" si="240"/>
        <v>0</v>
      </c>
      <c r="FK33" s="587">
        <f t="shared" si="241"/>
        <v>0</v>
      </c>
      <c r="FL33" s="587">
        <f t="shared" si="242"/>
        <v>0</v>
      </c>
      <c r="FM33" s="587">
        <f t="shared" si="243"/>
        <v>0</v>
      </c>
      <c r="FN33" s="587">
        <f t="shared" si="244"/>
        <v>0</v>
      </c>
      <c r="FO33" s="587">
        <f t="shared" si="245"/>
        <v>0</v>
      </c>
      <c r="FP33" s="587">
        <f t="shared" si="246"/>
        <v>0</v>
      </c>
      <c r="FQ33" s="587">
        <f t="shared" si="247"/>
        <v>0</v>
      </c>
      <c r="FR33" s="587">
        <f t="shared" si="248"/>
        <v>0</v>
      </c>
      <c r="FS33" s="587">
        <f t="shared" si="249"/>
        <v>0</v>
      </c>
      <c r="FT33" s="587">
        <f t="shared" si="250"/>
        <v>0</v>
      </c>
      <c r="FU33" s="587">
        <f t="shared" si="89"/>
        <v>0</v>
      </c>
      <c r="FV33" s="587">
        <f t="shared" si="90"/>
        <v>0</v>
      </c>
      <c r="FW33" s="587">
        <f t="shared" si="91"/>
        <v>0</v>
      </c>
      <c r="FX33" s="587">
        <f t="shared" si="92"/>
        <v>0</v>
      </c>
      <c r="FY33" s="587">
        <f t="shared" si="68"/>
        <v>0</v>
      </c>
      <c r="FZ33" s="587">
        <f t="shared" si="69"/>
        <v>0</v>
      </c>
      <c r="GA33" s="587">
        <f t="shared" si="70"/>
        <v>0</v>
      </c>
      <c r="GB33" s="587">
        <f t="shared" si="71"/>
        <v>0</v>
      </c>
      <c r="GC33" s="587">
        <f t="shared" si="72"/>
        <v>0</v>
      </c>
      <c r="GD33" s="587">
        <f t="shared" si="73"/>
        <v>0</v>
      </c>
      <c r="GE33" s="587">
        <f t="shared" si="74"/>
        <v>0</v>
      </c>
      <c r="GF33" s="587">
        <f t="shared" si="75"/>
        <v>0</v>
      </c>
      <c r="GG33" s="587">
        <f t="shared" si="76"/>
        <v>0</v>
      </c>
      <c r="GH33" s="587">
        <f t="shared" si="77"/>
        <v>0</v>
      </c>
      <c r="GI33" s="587">
        <f t="shared" si="78"/>
        <v>0</v>
      </c>
      <c r="GJ33" s="587">
        <f t="shared" si="79"/>
        <v>0</v>
      </c>
      <c r="GK33" s="587">
        <f t="shared" si="80"/>
        <v>0</v>
      </c>
      <c r="GL33" s="587">
        <f t="shared" si="93"/>
        <v>0</v>
      </c>
      <c r="GM33" s="587">
        <f t="shared" si="81"/>
        <v>0</v>
      </c>
    </row>
    <row r="34" spans="1:195" ht="35.25" customHeight="1">
      <c r="A34" s="337">
        <f>1+A33</f>
        <v>24</v>
      </c>
      <c r="B34" s="506" t="s">
        <v>524</v>
      </c>
      <c r="C34" s="388" t="str">
        <f t="shared" si="0"/>
        <v>PMCC-1</v>
      </c>
      <c r="D34" s="338" t="s">
        <v>525</v>
      </c>
      <c r="E34" s="502" t="s">
        <v>513</v>
      </c>
      <c r="F34" s="388" t="s">
        <v>29</v>
      </c>
      <c r="G34" s="388" t="s">
        <v>350</v>
      </c>
      <c r="H34" s="864">
        <v>3</v>
      </c>
      <c r="I34" s="388" t="s">
        <v>330</v>
      </c>
      <c r="J34" s="388" t="s">
        <v>331</v>
      </c>
      <c r="K34" s="434">
        <v>400</v>
      </c>
      <c r="L34" s="401">
        <v>0.85</v>
      </c>
      <c r="M34" s="418">
        <v>0.95</v>
      </c>
      <c r="N34" s="392">
        <f t="shared" si="1"/>
        <v>5.3625437047311939</v>
      </c>
      <c r="O34" s="392">
        <f t="shared" si="2"/>
        <v>32.175262228387162</v>
      </c>
      <c r="P34" s="401">
        <f t="shared" si="3"/>
        <v>0.2</v>
      </c>
      <c r="Q34" s="418">
        <v>65</v>
      </c>
      <c r="R34" s="418">
        <v>0</v>
      </c>
      <c r="S34" s="418">
        <f t="shared" si="4"/>
        <v>0</v>
      </c>
      <c r="T34" s="401" t="s">
        <v>131</v>
      </c>
      <c r="U34" s="418" t="s">
        <v>333</v>
      </c>
      <c r="V34" s="401">
        <v>6</v>
      </c>
      <c r="W34" s="401" t="str">
        <f t="shared" si="5"/>
        <v>3C X 6</v>
      </c>
      <c r="X34" s="401" t="str">
        <f t="shared" si="6"/>
        <v>3C X 6+PE</v>
      </c>
      <c r="Y34" s="401" t="s">
        <v>358</v>
      </c>
      <c r="Z34" s="393">
        <f>IF(T34="AIR",VLOOKUP(W34,'Catalogue Aluminium'!$B$9:$G$93,2,FALSE),IF(T34="GROUND",VLOOKUP(W34,'Catalogue Aluminium'!$B$9:$G$93,3,FALSE),IF(T34="DUCT",VLOOKUP(W34,'Catalogue Aluminium'!$B$9:$G$93,4,FALSE),IF(T34="TRENCH",VLOOKUP(W34,'Catalogue Aluminium'!$B$9:$G$93,2,FALSE)))))</f>
        <v>51</v>
      </c>
      <c r="AA34" s="402">
        <f>VLOOKUP(W34,'Catalogue Aluminium'!$B$9:$G$93,5,FALSE)</f>
        <v>3.94</v>
      </c>
      <c r="AB34" s="402">
        <f>VLOOKUP(W34,'Catalogue Aluminium'!$B$9:$G$93,6,FALSE)</f>
        <v>9.0200000000000002E-2</v>
      </c>
      <c r="AC34" s="401">
        <f t="shared" si="300"/>
        <v>40</v>
      </c>
      <c r="AD34" s="401">
        <f>42+74+25+21</f>
        <v>162</v>
      </c>
      <c r="AE34" s="401">
        <f t="shared" si="188"/>
        <v>22</v>
      </c>
      <c r="AF34" s="401">
        <v>8</v>
      </c>
      <c r="AG34" s="401">
        <f t="shared" si="83"/>
        <v>24</v>
      </c>
      <c r="AH34" s="436">
        <f t="shared" si="84"/>
        <v>256</v>
      </c>
      <c r="AI34" s="393">
        <f>IF(T34="AIR",'Catalogue Aluminium'!$K$9,IF(T34="TRENCH",'Catalogue Aluminium'!$K$12,"NA"))</f>
        <v>0.89</v>
      </c>
      <c r="AJ34" s="392">
        <f>IF(T34="Air",(IF(U34="1C",'Catalogue Aluminium'!$L$9,'Catalogue Aluminium'!$M$9)),IF(T34="DUCT",(IF($U34="1C",'Catalogue Aluminium'!$L$10,'Catalogue Aluminium'!$M$10)),IF(T34="GROUND",(IF($U34="1C",'Catalogue Aluminium'!$L$11,'Catalogue Aluminium'!$M$11)),IF(T34="TRENCH",(IF($U34="1C",'Catalogue Aluminium'!$L$12,'Catalogue Aluminium'!$M$12))))))</f>
        <v>0.66</v>
      </c>
      <c r="AK34" s="393" t="str">
        <f>IF(T34="Air",'Catalogue Aluminium'!$N$9,IF(T34="GROUND",'Catalogue Aluminium'!$N$10,IF(T34="DUCT",'Catalogue Aluminium'!$N$11,IF(T34="TRENCH",'Catalogue Aluminium'!$N$12,"NA"))))</f>
        <v>NA</v>
      </c>
      <c r="AL34" s="393" t="str">
        <f>IF(T34="Air",(IF(U34="1C",'Catalogue Aluminium'!$O$9,'Catalogue Aluminium'!$P$9)),IF(T34="DUCT",(IF($U34="1C",'Catalogue Aluminium'!$O$10,'Catalogue Aluminium'!$P$10)),IF(T34="GROUND",(IF($U34="1C",'Catalogue Aluminium'!$O$11,'Catalogue Aluminium'!$P$11)),IF(T34="TRENCH",(IF($U34="1C",'Catalogue Aluminium'!$O$12,'Catalogue Aluminium'!$P$12))))))</f>
        <v>NA</v>
      </c>
      <c r="AM34" s="393" t="str">
        <f>IF(T34="AIR","NA",IF(T34="TRENCH","NA",IF(T34="DUCT",IF(U34="1C",VLOOKUP(V34,'Catalogue Aluminium'!$Q$9:$S$28,2,FALSE),VLOOKUP(V34,'Catalogue Aluminium'!$Q$9:$S$28,3)),IF(T34="GROUND",IF(U34="1C",VLOOKUP(V34,'Catalogue Aluminium'!$Q$9:$S$28,2,FALSE),VLOOKUP(V34,'Catalogue Aluminium'!$Q$9:$S$28,3))))))</f>
        <v>NA</v>
      </c>
      <c r="AN34" s="437">
        <f t="shared" si="8"/>
        <v>0.58740000000000003</v>
      </c>
      <c r="AO34" s="418">
        <f t="shared" si="9"/>
        <v>29.957400000000003</v>
      </c>
      <c r="AP34" s="434">
        <f t="shared" si="10"/>
        <v>1</v>
      </c>
      <c r="AQ34" s="418" t="str">
        <f t="shared" si="11"/>
        <v>YES</v>
      </c>
      <c r="AR34" s="437">
        <f t="shared" si="12"/>
        <v>2.0190407533014612</v>
      </c>
      <c r="AS34" s="401" t="str">
        <f t="shared" si="13"/>
        <v>YES</v>
      </c>
      <c r="AT34" s="437">
        <f t="shared" si="14"/>
        <v>3.1257479858886112</v>
      </c>
      <c r="AU34" s="401" t="str">
        <f t="shared" si="15"/>
        <v>YES</v>
      </c>
      <c r="AV34" s="503" t="str">
        <f t="shared" si="16"/>
        <v>1R x 0.6/1kV x 3C x 6 Sqmm</v>
      </c>
      <c r="AW34" s="503" t="str">
        <f t="shared" si="17"/>
        <v>1R x 0.6/1kV x 3C x 6+PE Sqmm</v>
      </c>
      <c r="AX34" s="401">
        <f t="shared" si="85"/>
        <v>256</v>
      </c>
      <c r="AY34" s="504"/>
      <c r="AZ34" s="504">
        <f t="shared" si="86"/>
        <v>2</v>
      </c>
      <c r="BA34" s="438" t="str">
        <f t="shared" si="87"/>
        <v>D3LMM1</v>
      </c>
      <c r="BB34" s="505">
        <f>VLOOKUP(W34,'Catalogue Aluminium'!$B$9:$H$93,7,FALSE)</f>
        <v>16</v>
      </c>
      <c r="BC34" s="439">
        <f t="shared" si="88"/>
        <v>16</v>
      </c>
      <c r="BE34" s="336"/>
      <c r="BF34" s="336"/>
      <c r="BG34" s="336"/>
      <c r="BH34" s="336"/>
      <c r="BI34" s="336"/>
      <c r="BJ34" s="336"/>
      <c r="BK34" s="336"/>
      <c r="BL34" s="336"/>
      <c r="BM34" s="336">
        <v>1</v>
      </c>
      <c r="BN34" s="336"/>
      <c r="BO34" s="336"/>
      <c r="BP34" s="336"/>
      <c r="BQ34" s="336"/>
      <c r="BR34" s="336"/>
      <c r="BS34" s="336"/>
      <c r="BT34" s="336"/>
      <c r="BU34" s="336"/>
      <c r="BV34" s="336"/>
      <c r="BW34" s="336"/>
      <c r="BX34" s="336"/>
      <c r="BY34" s="336"/>
      <c r="BZ34" s="336"/>
      <c r="CA34" s="336"/>
      <c r="CB34" s="336"/>
      <c r="CC34" s="336"/>
      <c r="CD34" s="336"/>
      <c r="CE34" s="336"/>
      <c r="CF34" s="336">
        <v>1</v>
      </c>
      <c r="CG34" s="336"/>
      <c r="CH34" s="336"/>
      <c r="CI34" s="336"/>
      <c r="CJ34" s="336"/>
      <c r="CK34" s="336"/>
      <c r="CL34" s="336"/>
      <c r="CM34" s="336"/>
      <c r="CN34" s="336"/>
      <c r="CO34" s="336"/>
      <c r="CP34" s="336">
        <v>1</v>
      </c>
      <c r="CQ34" s="336">
        <v>1</v>
      </c>
      <c r="CR34" s="336"/>
      <c r="CS34" s="336"/>
      <c r="CT34" s="336"/>
      <c r="CU34" s="336"/>
      <c r="CV34" s="336"/>
      <c r="CW34" s="336"/>
      <c r="CX34" s="336"/>
      <c r="CY34" s="336"/>
      <c r="CZ34" s="336"/>
      <c r="DA34" s="336"/>
      <c r="DB34" s="336"/>
      <c r="DC34" s="336"/>
      <c r="DD34" s="336"/>
      <c r="DE34" s="336"/>
      <c r="DF34" s="336"/>
      <c r="DG34" s="336"/>
      <c r="DH34" s="336"/>
      <c r="DI34" s="336"/>
      <c r="DJ34" s="336"/>
      <c r="DK34" s="336"/>
      <c r="DL34" s="336"/>
      <c r="DM34" s="336"/>
      <c r="DN34" s="336"/>
      <c r="DO34" s="336"/>
      <c r="DP34" s="336"/>
      <c r="DQ34" s="336"/>
      <c r="DR34" s="336"/>
      <c r="DS34" s="336"/>
      <c r="DT34" s="336"/>
      <c r="DU34" s="336"/>
      <c r="DW34" s="336">
        <f t="shared" si="290"/>
        <v>0</v>
      </c>
      <c r="DX34" s="336">
        <f t="shared" si="291"/>
        <v>0</v>
      </c>
      <c r="DY34" s="336">
        <f t="shared" si="292"/>
        <v>0</v>
      </c>
      <c r="DZ34" s="336">
        <f t="shared" si="293"/>
        <v>0</v>
      </c>
      <c r="EA34" s="336">
        <f t="shared" si="294"/>
        <v>0</v>
      </c>
      <c r="EB34" s="336">
        <f t="shared" si="295"/>
        <v>0</v>
      </c>
      <c r="EC34" s="336">
        <f t="shared" si="296"/>
        <v>0</v>
      </c>
      <c r="ED34" s="336">
        <f t="shared" si="209"/>
        <v>0</v>
      </c>
      <c r="EE34" s="336">
        <f t="shared" si="210"/>
        <v>16</v>
      </c>
      <c r="EF34" s="336">
        <f t="shared" si="211"/>
        <v>0</v>
      </c>
      <c r="EG34" s="336">
        <f t="shared" si="212"/>
        <v>0</v>
      </c>
      <c r="EH34" s="336">
        <f t="shared" si="213"/>
        <v>0</v>
      </c>
      <c r="EI34" s="336">
        <f t="shared" si="214"/>
        <v>0</v>
      </c>
      <c r="EJ34" s="336">
        <f t="shared" si="215"/>
        <v>0</v>
      </c>
      <c r="EK34" s="336">
        <f t="shared" si="216"/>
        <v>0</v>
      </c>
      <c r="EL34" s="336">
        <f t="shared" si="217"/>
        <v>0</v>
      </c>
      <c r="EM34" s="336">
        <f t="shared" si="218"/>
        <v>0</v>
      </c>
      <c r="EN34" s="336">
        <f t="shared" si="219"/>
        <v>0</v>
      </c>
      <c r="EO34" s="336">
        <f t="shared" si="220"/>
        <v>0</v>
      </c>
      <c r="EP34" s="336">
        <f t="shared" si="221"/>
        <v>0</v>
      </c>
      <c r="EQ34" s="336">
        <f t="shared" si="222"/>
        <v>0</v>
      </c>
      <c r="ER34" s="336">
        <f t="shared" si="223"/>
        <v>0</v>
      </c>
      <c r="ES34" s="336">
        <f t="shared" si="224"/>
        <v>0</v>
      </c>
      <c r="ET34" s="336">
        <f t="shared" si="224"/>
        <v>0</v>
      </c>
      <c r="EU34" s="336">
        <f t="shared" si="225"/>
        <v>0</v>
      </c>
      <c r="EV34" s="336">
        <f t="shared" si="226"/>
        <v>0</v>
      </c>
      <c r="EW34" s="336">
        <f t="shared" si="227"/>
        <v>0</v>
      </c>
      <c r="EX34" s="336">
        <f t="shared" si="228"/>
        <v>16</v>
      </c>
      <c r="EY34" s="336">
        <f t="shared" si="229"/>
        <v>0</v>
      </c>
      <c r="EZ34" s="336">
        <f t="shared" si="230"/>
        <v>0</v>
      </c>
      <c r="FA34" s="336">
        <f t="shared" si="231"/>
        <v>0</v>
      </c>
      <c r="FB34" s="336">
        <f t="shared" si="232"/>
        <v>0</v>
      </c>
      <c r="FC34" s="336">
        <f t="shared" si="233"/>
        <v>0</v>
      </c>
      <c r="FD34" s="336">
        <f t="shared" si="234"/>
        <v>0</v>
      </c>
      <c r="FE34" s="336">
        <f t="shared" si="235"/>
        <v>0</v>
      </c>
      <c r="FF34" s="336">
        <f t="shared" si="236"/>
        <v>0</v>
      </c>
      <c r="FG34" s="336">
        <f t="shared" si="237"/>
        <v>0</v>
      </c>
      <c r="FH34" s="336">
        <f t="shared" si="238"/>
        <v>16</v>
      </c>
      <c r="FI34" s="336">
        <f t="shared" si="239"/>
        <v>16</v>
      </c>
      <c r="FJ34" s="336">
        <f t="shared" si="240"/>
        <v>0</v>
      </c>
      <c r="FK34" s="336">
        <f t="shared" si="241"/>
        <v>0</v>
      </c>
      <c r="FL34" s="336">
        <f t="shared" si="242"/>
        <v>0</v>
      </c>
      <c r="FM34" s="336">
        <f t="shared" si="243"/>
        <v>0</v>
      </c>
      <c r="FN34" s="336">
        <f t="shared" si="244"/>
        <v>0</v>
      </c>
      <c r="FO34" s="336">
        <f t="shared" si="245"/>
        <v>0</v>
      </c>
      <c r="FP34" s="336">
        <f t="shared" si="246"/>
        <v>0</v>
      </c>
      <c r="FQ34" s="336">
        <f t="shared" si="247"/>
        <v>0</v>
      </c>
      <c r="FR34" s="336">
        <f t="shared" si="248"/>
        <v>0</v>
      </c>
      <c r="FS34" s="336">
        <f t="shared" si="249"/>
        <v>0</v>
      </c>
      <c r="FT34" s="336">
        <f t="shared" si="250"/>
        <v>0</v>
      </c>
      <c r="FU34" s="336">
        <f t="shared" si="89"/>
        <v>0</v>
      </c>
      <c r="FV34" s="336">
        <f t="shared" si="90"/>
        <v>0</v>
      </c>
      <c r="FW34" s="336">
        <f t="shared" si="91"/>
        <v>0</v>
      </c>
      <c r="FX34" s="336">
        <f t="shared" si="92"/>
        <v>0</v>
      </c>
      <c r="FY34" s="336">
        <f t="shared" si="68"/>
        <v>0</v>
      </c>
      <c r="FZ34" s="336">
        <f t="shared" si="69"/>
        <v>0</v>
      </c>
      <c r="GA34" s="336">
        <f t="shared" si="70"/>
        <v>0</v>
      </c>
      <c r="GB34" s="336">
        <f t="shared" si="71"/>
        <v>0</v>
      </c>
      <c r="GC34" s="336">
        <f t="shared" si="72"/>
        <v>0</v>
      </c>
      <c r="GD34" s="336">
        <f t="shared" si="73"/>
        <v>0</v>
      </c>
      <c r="GE34" s="336">
        <f t="shared" si="74"/>
        <v>0</v>
      </c>
      <c r="GF34" s="336">
        <f t="shared" si="75"/>
        <v>0</v>
      </c>
      <c r="GG34" s="336">
        <f t="shared" si="76"/>
        <v>0</v>
      </c>
      <c r="GH34" s="336">
        <f t="shared" si="77"/>
        <v>0</v>
      </c>
      <c r="GI34" s="336">
        <f t="shared" si="78"/>
        <v>0</v>
      </c>
      <c r="GJ34" s="336">
        <f t="shared" si="79"/>
        <v>0</v>
      </c>
      <c r="GK34" s="336">
        <f t="shared" si="80"/>
        <v>0</v>
      </c>
      <c r="GL34" s="336">
        <f t="shared" si="93"/>
        <v>0</v>
      </c>
      <c r="GM34" s="336">
        <f t="shared" si="81"/>
        <v>0</v>
      </c>
    </row>
    <row r="35" spans="1:195" ht="35.25" customHeight="1">
      <c r="A35" s="337">
        <f t="shared" si="94"/>
        <v>25</v>
      </c>
      <c r="B35" s="506" t="s">
        <v>526</v>
      </c>
      <c r="C35" s="388" t="str">
        <f t="shared" si="0"/>
        <v>PMCC-1</v>
      </c>
      <c r="D35" s="338" t="s">
        <v>525</v>
      </c>
      <c r="E35" s="502" t="s">
        <v>513</v>
      </c>
      <c r="F35" s="388" t="s">
        <v>29</v>
      </c>
      <c r="G35" s="388" t="s">
        <v>350</v>
      </c>
      <c r="H35" s="864">
        <v>3</v>
      </c>
      <c r="I35" s="388" t="s">
        <v>330</v>
      </c>
      <c r="J35" s="388" t="s">
        <v>331</v>
      </c>
      <c r="K35" s="434">
        <v>400</v>
      </c>
      <c r="L35" s="401">
        <v>0.85</v>
      </c>
      <c r="M35" s="418">
        <v>0.95</v>
      </c>
      <c r="N35" s="392">
        <f t="shared" si="1"/>
        <v>5.3625437047311939</v>
      </c>
      <c r="O35" s="392">
        <f t="shared" si="2"/>
        <v>32.175262228387162</v>
      </c>
      <c r="P35" s="401">
        <f t="shared" si="3"/>
        <v>0.2</v>
      </c>
      <c r="Q35" s="418">
        <v>65</v>
      </c>
      <c r="R35" s="418">
        <v>0</v>
      </c>
      <c r="S35" s="418">
        <f t="shared" si="4"/>
        <v>0</v>
      </c>
      <c r="T35" s="401" t="s">
        <v>131</v>
      </c>
      <c r="U35" s="418" t="s">
        <v>333</v>
      </c>
      <c r="V35" s="401">
        <v>6</v>
      </c>
      <c r="W35" s="401" t="str">
        <f t="shared" si="5"/>
        <v>3C X 6</v>
      </c>
      <c r="X35" s="401" t="str">
        <f t="shared" si="6"/>
        <v>3C X 6+PE</v>
      </c>
      <c r="Y35" s="401" t="s">
        <v>358</v>
      </c>
      <c r="Z35" s="393">
        <f>IF(T35="AIR",VLOOKUP(W35,'Catalogue Aluminium'!$B$9:$G$93,2,FALSE),IF(T35="GROUND",VLOOKUP(W35,'Catalogue Aluminium'!$B$9:$G$93,3,FALSE),IF(T35="DUCT",VLOOKUP(W35,'Catalogue Aluminium'!$B$9:$G$93,4,FALSE),IF(T35="TRENCH",VLOOKUP(W35,'Catalogue Aluminium'!$B$9:$G$93,2,FALSE)))))</f>
        <v>51</v>
      </c>
      <c r="AA35" s="402">
        <f>VLOOKUP(W35,'Catalogue Aluminium'!$B$9:$G$93,5,FALSE)</f>
        <v>3.94</v>
      </c>
      <c r="AB35" s="402">
        <f>VLOOKUP(W35,'Catalogue Aluminium'!$B$9:$G$93,6,FALSE)</f>
        <v>9.0200000000000002E-2</v>
      </c>
      <c r="AC35" s="401">
        <f t="shared" si="300"/>
        <v>40</v>
      </c>
      <c r="AD35" s="401">
        <f>42+74+25+21</f>
        <v>162</v>
      </c>
      <c r="AE35" s="401">
        <f t="shared" si="188"/>
        <v>22</v>
      </c>
      <c r="AF35" s="401">
        <v>8</v>
      </c>
      <c r="AG35" s="401">
        <f t="shared" si="83"/>
        <v>24</v>
      </c>
      <c r="AH35" s="436">
        <f t="shared" si="84"/>
        <v>256</v>
      </c>
      <c r="AI35" s="393">
        <f>IF(T35="AIR",'Catalogue Aluminium'!$K$9,IF(T35="TRENCH",'Catalogue Aluminium'!$K$12,"NA"))</f>
        <v>0.89</v>
      </c>
      <c r="AJ35" s="392">
        <f>IF(T35="Air",(IF(U35="1C",'Catalogue Aluminium'!$L$9,'Catalogue Aluminium'!$M$9)),IF(T35="DUCT",(IF($U35="1C",'Catalogue Aluminium'!$L$10,'Catalogue Aluminium'!$M$10)),IF(T35="GROUND",(IF($U35="1C",'Catalogue Aluminium'!$L$11,'Catalogue Aluminium'!$M$11)),IF(T35="TRENCH",(IF($U35="1C",'Catalogue Aluminium'!$L$12,'Catalogue Aluminium'!$M$12))))))</f>
        <v>0.66</v>
      </c>
      <c r="AK35" s="393" t="str">
        <f>IF(T35="Air",'Catalogue Aluminium'!$N$9,IF(T35="GROUND",'Catalogue Aluminium'!$N$10,IF(T35="DUCT",'Catalogue Aluminium'!$N$11,IF(T35="TRENCH",'Catalogue Aluminium'!$N$12,"NA"))))</f>
        <v>NA</v>
      </c>
      <c r="AL35" s="393" t="str">
        <f>IF(T35="Air",(IF(U35="1C",'Catalogue Aluminium'!$O$9,'Catalogue Aluminium'!$P$9)),IF(T35="DUCT",(IF($U35="1C",'Catalogue Aluminium'!$O$10,'Catalogue Aluminium'!$P$10)),IF(T35="GROUND",(IF($U35="1C",'Catalogue Aluminium'!$O$11,'Catalogue Aluminium'!$P$11)),IF(T35="TRENCH",(IF($U35="1C",'Catalogue Aluminium'!$O$12,'Catalogue Aluminium'!$P$12))))))</f>
        <v>NA</v>
      </c>
      <c r="AM35" s="393" t="str">
        <f>IF(T35="AIR","NA",IF(T35="TRENCH","NA",IF(T35="DUCT",IF(U35="1C",VLOOKUP(V35,'Catalogue Aluminium'!$Q$9:$S$28,2,FALSE),VLOOKUP(V35,'Catalogue Aluminium'!$Q$9:$S$28,3)),IF(T35="GROUND",IF(U35="1C",VLOOKUP(V35,'Catalogue Aluminium'!$Q$9:$S$28,2,FALSE),VLOOKUP(V35,'Catalogue Aluminium'!$Q$9:$S$28,3))))))</f>
        <v>NA</v>
      </c>
      <c r="AN35" s="437">
        <f t="shared" si="8"/>
        <v>0.58740000000000003</v>
      </c>
      <c r="AO35" s="418">
        <f t="shared" si="9"/>
        <v>29.957400000000003</v>
      </c>
      <c r="AP35" s="434">
        <f t="shared" si="10"/>
        <v>1</v>
      </c>
      <c r="AQ35" s="418" t="str">
        <f t="shared" si="11"/>
        <v>YES</v>
      </c>
      <c r="AR35" s="437">
        <f t="shared" si="12"/>
        <v>2.0190407533014612</v>
      </c>
      <c r="AS35" s="401" t="str">
        <f t="shared" si="13"/>
        <v>YES</v>
      </c>
      <c r="AT35" s="437">
        <f t="shared" si="14"/>
        <v>3.1257479858886112</v>
      </c>
      <c r="AU35" s="401" t="str">
        <f t="shared" si="15"/>
        <v>YES</v>
      </c>
      <c r="AV35" s="503" t="str">
        <f t="shared" si="16"/>
        <v>1R x 0.6/1kV x 3C x 6 Sqmm</v>
      </c>
      <c r="AW35" s="503" t="str">
        <f t="shared" si="17"/>
        <v>1R x 0.6/1kV x 3C x 6+PE Sqmm</v>
      </c>
      <c r="AX35" s="401">
        <f t="shared" si="85"/>
        <v>256</v>
      </c>
      <c r="AY35" s="504"/>
      <c r="AZ35" s="504">
        <f t="shared" si="86"/>
        <v>2</v>
      </c>
      <c r="BA35" s="438" t="str">
        <f t="shared" si="87"/>
        <v>D3LMM1</v>
      </c>
      <c r="BB35" s="505">
        <f>VLOOKUP(W35,'Catalogue Aluminium'!$B$9:$H$93,7,FALSE)</f>
        <v>16</v>
      </c>
      <c r="BC35" s="439">
        <f t="shared" si="88"/>
        <v>16</v>
      </c>
      <c r="BE35" s="336"/>
      <c r="BF35" s="336"/>
      <c r="BG35" s="336"/>
      <c r="BH35" s="336"/>
      <c r="BI35" s="336"/>
      <c r="BJ35" s="336"/>
      <c r="BK35" s="336"/>
      <c r="BL35" s="336"/>
      <c r="BM35" s="336">
        <v>1</v>
      </c>
      <c r="BN35" s="336"/>
      <c r="BO35" s="336"/>
      <c r="BP35" s="336"/>
      <c r="BQ35" s="336"/>
      <c r="BR35" s="336"/>
      <c r="BS35" s="336"/>
      <c r="BT35" s="336"/>
      <c r="BU35" s="336"/>
      <c r="BV35" s="336"/>
      <c r="BW35" s="336"/>
      <c r="BX35" s="336"/>
      <c r="BY35" s="336"/>
      <c r="BZ35" s="336"/>
      <c r="CA35" s="336"/>
      <c r="CB35" s="336"/>
      <c r="CC35" s="336"/>
      <c r="CD35" s="336"/>
      <c r="CE35" s="336"/>
      <c r="CF35" s="336">
        <v>1</v>
      </c>
      <c r="CG35" s="336"/>
      <c r="CH35" s="336"/>
      <c r="CI35" s="336"/>
      <c r="CJ35" s="336"/>
      <c r="CK35" s="336"/>
      <c r="CL35" s="336"/>
      <c r="CM35" s="336"/>
      <c r="CN35" s="336"/>
      <c r="CO35" s="336"/>
      <c r="CP35" s="336">
        <v>1</v>
      </c>
      <c r="CQ35" s="336">
        <v>1</v>
      </c>
      <c r="CR35" s="336"/>
      <c r="CS35" s="336"/>
      <c r="CT35" s="336"/>
      <c r="CU35" s="336"/>
      <c r="CV35" s="336"/>
      <c r="CW35" s="336"/>
      <c r="CX35" s="336"/>
      <c r="CY35" s="336"/>
      <c r="CZ35" s="336"/>
      <c r="DA35" s="336"/>
      <c r="DB35" s="336"/>
      <c r="DC35" s="336"/>
      <c r="DD35" s="336"/>
      <c r="DE35" s="336"/>
      <c r="DF35" s="336"/>
      <c r="DG35" s="336"/>
      <c r="DH35" s="336"/>
      <c r="DI35" s="336"/>
      <c r="DJ35" s="336"/>
      <c r="DK35" s="336"/>
      <c r="DL35" s="336"/>
      <c r="DM35" s="336"/>
      <c r="DN35" s="336"/>
      <c r="DO35" s="336"/>
      <c r="DP35" s="336"/>
      <c r="DQ35" s="336"/>
      <c r="DR35" s="336"/>
      <c r="DS35" s="336"/>
      <c r="DT35" s="336"/>
      <c r="DU35" s="336"/>
      <c r="DW35" s="336">
        <f t="shared" si="290"/>
        <v>0</v>
      </c>
      <c r="DX35" s="336">
        <f t="shared" si="291"/>
        <v>0</v>
      </c>
      <c r="DY35" s="336">
        <f t="shared" si="292"/>
        <v>0</v>
      </c>
      <c r="DZ35" s="336">
        <f t="shared" si="293"/>
        <v>0</v>
      </c>
      <c r="EA35" s="336">
        <f t="shared" si="294"/>
        <v>0</v>
      </c>
      <c r="EB35" s="336">
        <f t="shared" si="295"/>
        <v>0</v>
      </c>
      <c r="EC35" s="336">
        <f t="shared" si="296"/>
        <v>0</v>
      </c>
      <c r="ED35" s="336">
        <f t="shared" si="209"/>
        <v>0</v>
      </c>
      <c r="EE35" s="336">
        <f t="shared" si="210"/>
        <v>16</v>
      </c>
      <c r="EF35" s="336">
        <f t="shared" si="211"/>
        <v>0</v>
      </c>
      <c r="EG35" s="336">
        <f t="shared" si="212"/>
        <v>0</v>
      </c>
      <c r="EH35" s="336">
        <f t="shared" si="213"/>
        <v>0</v>
      </c>
      <c r="EI35" s="336">
        <f t="shared" si="214"/>
        <v>0</v>
      </c>
      <c r="EJ35" s="336">
        <f t="shared" si="215"/>
        <v>0</v>
      </c>
      <c r="EK35" s="336">
        <f t="shared" si="216"/>
        <v>0</v>
      </c>
      <c r="EL35" s="336">
        <f t="shared" si="217"/>
        <v>0</v>
      </c>
      <c r="EM35" s="336">
        <f t="shared" si="218"/>
        <v>0</v>
      </c>
      <c r="EN35" s="336">
        <f t="shared" si="219"/>
        <v>0</v>
      </c>
      <c r="EO35" s="336">
        <f t="shared" si="220"/>
        <v>0</v>
      </c>
      <c r="EP35" s="336">
        <f t="shared" si="221"/>
        <v>0</v>
      </c>
      <c r="EQ35" s="336">
        <f t="shared" si="222"/>
        <v>0</v>
      </c>
      <c r="ER35" s="336">
        <f t="shared" si="223"/>
        <v>0</v>
      </c>
      <c r="ES35" s="336">
        <f t="shared" si="224"/>
        <v>0</v>
      </c>
      <c r="ET35" s="336">
        <f t="shared" si="224"/>
        <v>0</v>
      </c>
      <c r="EU35" s="336">
        <f t="shared" si="225"/>
        <v>0</v>
      </c>
      <c r="EV35" s="336">
        <f t="shared" si="226"/>
        <v>0</v>
      </c>
      <c r="EW35" s="336">
        <f t="shared" si="227"/>
        <v>0</v>
      </c>
      <c r="EX35" s="336">
        <f t="shared" si="228"/>
        <v>16</v>
      </c>
      <c r="EY35" s="336">
        <f t="shared" si="229"/>
        <v>0</v>
      </c>
      <c r="EZ35" s="336">
        <f t="shared" si="230"/>
        <v>0</v>
      </c>
      <c r="FA35" s="336">
        <f t="shared" si="231"/>
        <v>0</v>
      </c>
      <c r="FB35" s="336">
        <f t="shared" si="232"/>
        <v>0</v>
      </c>
      <c r="FC35" s="336">
        <f t="shared" si="233"/>
        <v>0</v>
      </c>
      <c r="FD35" s="336">
        <f t="shared" si="234"/>
        <v>0</v>
      </c>
      <c r="FE35" s="336">
        <f t="shared" si="235"/>
        <v>0</v>
      </c>
      <c r="FF35" s="336">
        <f t="shared" si="236"/>
        <v>0</v>
      </c>
      <c r="FG35" s="336">
        <f t="shared" si="237"/>
        <v>0</v>
      </c>
      <c r="FH35" s="336">
        <f t="shared" si="238"/>
        <v>16</v>
      </c>
      <c r="FI35" s="336">
        <f t="shared" si="239"/>
        <v>16</v>
      </c>
      <c r="FJ35" s="336">
        <f t="shared" si="240"/>
        <v>0</v>
      </c>
      <c r="FK35" s="336">
        <f t="shared" si="241"/>
        <v>0</v>
      </c>
      <c r="FL35" s="336">
        <f t="shared" si="242"/>
        <v>0</v>
      </c>
      <c r="FM35" s="336">
        <f t="shared" si="243"/>
        <v>0</v>
      </c>
      <c r="FN35" s="336">
        <f t="shared" si="244"/>
        <v>0</v>
      </c>
      <c r="FO35" s="336">
        <f t="shared" si="245"/>
        <v>0</v>
      </c>
      <c r="FP35" s="336">
        <f t="shared" si="246"/>
        <v>0</v>
      </c>
      <c r="FQ35" s="336">
        <f t="shared" si="247"/>
        <v>0</v>
      </c>
      <c r="FR35" s="336">
        <f t="shared" si="248"/>
        <v>0</v>
      </c>
      <c r="FS35" s="336">
        <f t="shared" si="249"/>
        <v>0</v>
      </c>
      <c r="FT35" s="336">
        <f t="shared" si="250"/>
        <v>0</v>
      </c>
      <c r="FU35" s="336">
        <f t="shared" si="89"/>
        <v>0</v>
      </c>
      <c r="FV35" s="336">
        <f t="shared" si="90"/>
        <v>0</v>
      </c>
      <c r="FW35" s="336">
        <f t="shared" si="91"/>
        <v>0</v>
      </c>
      <c r="FX35" s="336">
        <f t="shared" si="92"/>
        <v>0</v>
      </c>
      <c r="FY35" s="336">
        <f t="shared" si="68"/>
        <v>0</v>
      </c>
      <c r="FZ35" s="336">
        <f t="shared" si="69"/>
        <v>0</v>
      </c>
      <c r="GA35" s="336">
        <f t="shared" si="70"/>
        <v>0</v>
      </c>
      <c r="GB35" s="336">
        <f t="shared" si="71"/>
        <v>0</v>
      </c>
      <c r="GC35" s="336">
        <f t="shared" si="72"/>
        <v>0</v>
      </c>
      <c r="GD35" s="336">
        <f t="shared" si="73"/>
        <v>0</v>
      </c>
      <c r="GE35" s="336">
        <f t="shared" si="74"/>
        <v>0</v>
      </c>
      <c r="GF35" s="336">
        <f t="shared" si="75"/>
        <v>0</v>
      </c>
      <c r="GG35" s="336">
        <f t="shared" si="76"/>
        <v>0</v>
      </c>
      <c r="GH35" s="336">
        <f t="shared" si="77"/>
        <v>0</v>
      </c>
      <c r="GI35" s="336">
        <f t="shared" si="78"/>
        <v>0</v>
      </c>
      <c r="GJ35" s="336">
        <f t="shared" si="79"/>
        <v>0</v>
      </c>
      <c r="GK35" s="336">
        <f t="shared" si="80"/>
        <v>0</v>
      </c>
      <c r="GL35" s="336">
        <f t="shared" si="93"/>
        <v>0</v>
      </c>
      <c r="GM35" s="336">
        <f t="shared" si="81"/>
        <v>0</v>
      </c>
    </row>
    <row r="36" spans="1:195" s="888" customFormat="1" ht="35.25" hidden="1" customHeight="1">
      <c r="A36" s="870" t="s">
        <v>334</v>
      </c>
      <c r="B36" s="871" t="s">
        <v>527</v>
      </c>
      <c r="C36" s="870" t="str">
        <f t="shared" si="0"/>
        <v>PMCC-1</v>
      </c>
      <c r="D36" s="872" t="s">
        <v>528</v>
      </c>
      <c r="E36" s="873" t="s">
        <v>513</v>
      </c>
      <c r="F36" s="870" t="s">
        <v>29</v>
      </c>
      <c r="G36" s="870" t="s">
        <v>329</v>
      </c>
      <c r="H36" s="874">
        <v>2</v>
      </c>
      <c r="I36" s="870" t="s">
        <v>330</v>
      </c>
      <c r="J36" s="870" t="s">
        <v>331</v>
      </c>
      <c r="K36" s="875">
        <v>400</v>
      </c>
      <c r="L36" s="876">
        <v>0.85</v>
      </c>
      <c r="M36" s="877">
        <v>0.95</v>
      </c>
      <c r="N36" s="878">
        <f t="shared" si="1"/>
        <v>3.5750291364874629</v>
      </c>
      <c r="O36" s="878">
        <f t="shared" si="2"/>
        <v>0</v>
      </c>
      <c r="P36" s="876" t="str">
        <f t="shared" si="3"/>
        <v>0.00</v>
      </c>
      <c r="Q36" s="877">
        <v>65</v>
      </c>
      <c r="R36" s="877">
        <v>0</v>
      </c>
      <c r="S36" s="877">
        <f t="shared" si="4"/>
        <v>0</v>
      </c>
      <c r="T36" s="876" t="s">
        <v>131</v>
      </c>
      <c r="U36" s="877" t="s">
        <v>522</v>
      </c>
      <c r="V36" s="876">
        <v>4</v>
      </c>
      <c r="W36" s="876" t="str">
        <f t="shared" si="5"/>
        <v>4C X 4</v>
      </c>
      <c r="X36" s="876" t="str">
        <f t="shared" si="6"/>
        <v>4C X 4</v>
      </c>
      <c r="Y36" s="876" t="s">
        <v>358</v>
      </c>
      <c r="Z36" s="879">
        <f>IF(T36="AIR",VLOOKUP(W36,'Catalogue Aluminium'!$B$9:$G$93,2,FALSE),IF(T36="GROUND",VLOOKUP(W36,'Catalogue Aluminium'!$B$9:$G$93,3,FALSE),IF(T36="DUCT",VLOOKUP(W36,'Catalogue Aluminium'!$B$9:$G$93,4,FALSE),IF(T36="TRENCH",VLOOKUP(W36,'Catalogue Aluminium'!$B$9:$G$93,2,FALSE)))))</f>
        <v>38</v>
      </c>
      <c r="AA36" s="880">
        <f>VLOOKUP(W36,'Catalogue Aluminium'!$B$9:$G$93,5,FALSE)</f>
        <v>5.9</v>
      </c>
      <c r="AB36" s="880">
        <f>VLOOKUP(W36,'Catalogue Aluminium'!$B$9:$G$93,6,FALSE)</f>
        <v>9.4700000000000006E-2</v>
      </c>
      <c r="AC36" s="876">
        <f t="shared" si="300"/>
        <v>40</v>
      </c>
      <c r="AD36" s="876">
        <f>42+74+25+21</f>
        <v>162</v>
      </c>
      <c r="AE36" s="876">
        <f t="shared" si="188"/>
        <v>22</v>
      </c>
      <c r="AF36" s="876">
        <v>8</v>
      </c>
      <c r="AG36" s="876">
        <f t="shared" si="83"/>
        <v>24</v>
      </c>
      <c r="AH36" s="881">
        <f t="shared" si="84"/>
        <v>256</v>
      </c>
      <c r="AI36" s="879">
        <f>IF(T36="AIR",'Catalogue Aluminium'!$K$9,IF(T36="TRENCH",'Catalogue Aluminium'!$K$12,"NA"))</f>
        <v>0.89</v>
      </c>
      <c r="AJ36" s="878">
        <f>IF(T36="Air",(IF(U36="1C",'Catalogue Aluminium'!$L$9,'Catalogue Aluminium'!$M$9)),IF(T36="DUCT",(IF($U36="1C",'Catalogue Aluminium'!$L$10,'Catalogue Aluminium'!$M$10)),IF(T36="GROUND",(IF($U36="1C",'Catalogue Aluminium'!$L$11,'Catalogue Aluminium'!$M$11)),IF(T36="TRENCH",(IF($U36="1C",'Catalogue Aluminium'!$L$12,'Catalogue Aluminium'!$M$12))))))</f>
        <v>0.66</v>
      </c>
      <c r="AK36" s="879" t="str">
        <f>IF(T36="Air",'Catalogue Aluminium'!$N$9,IF(T36="GROUND",'Catalogue Aluminium'!$N$10,IF(T36="DUCT",'Catalogue Aluminium'!$N$11,IF(T36="TRENCH",'Catalogue Aluminium'!$N$12,"NA"))))</f>
        <v>NA</v>
      </c>
      <c r="AL36" s="879" t="str">
        <f>IF(T36="Air",(IF(U36="1C",'Catalogue Aluminium'!$O$9,'Catalogue Aluminium'!$P$9)),IF(T36="DUCT",(IF($U36="1C",'Catalogue Aluminium'!$O$10,'Catalogue Aluminium'!$P$10)),IF(T36="GROUND",(IF($U36="1C",'Catalogue Aluminium'!$O$11,'Catalogue Aluminium'!$P$11)),IF(T36="TRENCH",(IF($U36="1C",'Catalogue Aluminium'!$O$12,'Catalogue Aluminium'!$P$12))))))</f>
        <v>NA</v>
      </c>
      <c r="AM36" s="879" t="str">
        <f>IF(T36="AIR","NA",IF(T36="TRENCH","NA",IF(T36="DUCT",IF(U36="1C",VLOOKUP(V36,'Catalogue Aluminium'!$Q$9:$S$28,2,FALSE),VLOOKUP(V36,'Catalogue Aluminium'!$Q$9:$S$28,3)),IF(T36="GROUND",IF(U36="1C",VLOOKUP(V36,'Catalogue Aluminium'!$Q$9:$S$28,2,FALSE),VLOOKUP(V36,'Catalogue Aluminium'!$Q$9:$S$28,3))))))</f>
        <v>NA</v>
      </c>
      <c r="AN36" s="882">
        <f t="shared" si="8"/>
        <v>0.58740000000000003</v>
      </c>
      <c r="AO36" s="877">
        <f t="shared" si="9"/>
        <v>22.321200000000001</v>
      </c>
      <c r="AP36" s="875">
        <f t="shared" si="10"/>
        <v>1</v>
      </c>
      <c r="AQ36" s="877" t="str">
        <f t="shared" si="11"/>
        <v>YES</v>
      </c>
      <c r="AR36" s="882">
        <f t="shared" si="12"/>
        <v>2.007196491712552</v>
      </c>
      <c r="AS36" s="876" t="str">
        <f t="shared" si="13"/>
        <v>YES</v>
      </c>
      <c r="AT36" s="882" t="str">
        <f t="shared" si="14"/>
        <v>NA</v>
      </c>
      <c r="AU36" s="876" t="str">
        <f t="shared" si="15"/>
        <v>NA</v>
      </c>
      <c r="AV36" s="883" t="str">
        <f t="shared" si="16"/>
        <v>1R x 0.6/1kV x 4C x 4 Sqmm</v>
      </c>
      <c r="AW36" s="883" t="str">
        <f t="shared" si="17"/>
        <v>1R x 0.6/1kV x 4C x 4 Sqmm</v>
      </c>
      <c r="AX36" s="876">
        <f t="shared" si="85"/>
        <v>256</v>
      </c>
      <c r="AY36" s="884"/>
      <c r="AZ36" s="884">
        <f t="shared" si="86"/>
        <v>2</v>
      </c>
      <c r="BA36" s="885" t="str">
        <f t="shared" si="87"/>
        <v>D3LMM1</v>
      </c>
      <c r="BB36" s="886">
        <f>VLOOKUP(W36,'Catalogue Aluminium'!$B$9:$H$93,7,FALSE)</f>
        <v>16</v>
      </c>
      <c r="BC36" s="887">
        <f t="shared" si="88"/>
        <v>16</v>
      </c>
      <c r="BE36" s="889"/>
      <c r="BF36" s="889"/>
      <c r="BG36" s="889"/>
      <c r="BH36" s="889"/>
      <c r="BI36" s="889"/>
      <c r="BJ36" s="889"/>
      <c r="BK36" s="889"/>
      <c r="BL36" s="889"/>
      <c r="BM36" s="889">
        <v>1</v>
      </c>
      <c r="BN36" s="889"/>
      <c r="BO36" s="889"/>
      <c r="BP36" s="889"/>
      <c r="BQ36" s="889"/>
      <c r="BR36" s="889"/>
      <c r="BS36" s="889"/>
      <c r="BT36" s="889"/>
      <c r="BU36" s="889"/>
      <c r="BV36" s="889"/>
      <c r="BW36" s="889"/>
      <c r="BX36" s="889"/>
      <c r="BY36" s="889"/>
      <c r="BZ36" s="889"/>
      <c r="CA36" s="889"/>
      <c r="CB36" s="889"/>
      <c r="CC36" s="889"/>
      <c r="CD36" s="889"/>
      <c r="CE36" s="889"/>
      <c r="CF36" s="889">
        <v>1</v>
      </c>
      <c r="CG36" s="889"/>
      <c r="CH36" s="889"/>
      <c r="CI36" s="889"/>
      <c r="CJ36" s="889"/>
      <c r="CK36" s="889"/>
      <c r="CL36" s="889"/>
      <c r="CM36" s="889"/>
      <c r="CN36" s="889"/>
      <c r="CO36" s="889"/>
      <c r="CP36" s="889">
        <v>1</v>
      </c>
      <c r="CQ36" s="889">
        <v>1</v>
      </c>
      <c r="CR36" s="889"/>
      <c r="CS36" s="889"/>
      <c r="CT36" s="889"/>
      <c r="CU36" s="889"/>
      <c r="CV36" s="889"/>
      <c r="CW36" s="889"/>
      <c r="CX36" s="889"/>
      <c r="CY36" s="889"/>
      <c r="CZ36" s="889"/>
      <c r="DA36" s="889"/>
      <c r="DB36" s="889"/>
      <c r="DC36" s="889"/>
      <c r="DD36" s="889"/>
      <c r="DE36" s="889"/>
      <c r="DF36" s="889"/>
      <c r="DG36" s="889"/>
      <c r="DH36" s="889"/>
      <c r="DI36" s="889"/>
      <c r="DJ36" s="889"/>
      <c r="DK36" s="889"/>
      <c r="DL36" s="889"/>
      <c r="DM36" s="889"/>
      <c r="DN36" s="889"/>
      <c r="DO36" s="889"/>
      <c r="DP36" s="889"/>
      <c r="DQ36" s="889"/>
      <c r="DR36" s="889"/>
      <c r="DS36" s="889"/>
      <c r="DT36" s="889"/>
      <c r="DU36" s="889"/>
      <c r="DW36" s="889">
        <f t="shared" si="290"/>
        <v>0</v>
      </c>
      <c r="DX36" s="889">
        <f t="shared" si="291"/>
        <v>0</v>
      </c>
      <c r="DY36" s="889">
        <f t="shared" si="292"/>
        <v>0</v>
      </c>
      <c r="DZ36" s="889">
        <f t="shared" si="293"/>
        <v>0</v>
      </c>
      <c r="EA36" s="889">
        <f t="shared" si="294"/>
        <v>0</v>
      </c>
      <c r="EB36" s="889">
        <f t="shared" si="295"/>
        <v>0</v>
      </c>
      <c r="EC36" s="889">
        <f t="shared" si="296"/>
        <v>0</v>
      </c>
      <c r="ED36" s="889">
        <f t="shared" si="209"/>
        <v>0</v>
      </c>
      <c r="EE36" s="889">
        <f t="shared" si="210"/>
        <v>16</v>
      </c>
      <c r="EF36" s="889">
        <f t="shared" si="211"/>
        <v>0</v>
      </c>
      <c r="EG36" s="889">
        <f t="shared" si="212"/>
        <v>0</v>
      </c>
      <c r="EH36" s="889">
        <f t="shared" si="213"/>
        <v>0</v>
      </c>
      <c r="EI36" s="889">
        <f t="shared" si="214"/>
        <v>0</v>
      </c>
      <c r="EJ36" s="889">
        <f t="shared" si="215"/>
        <v>0</v>
      </c>
      <c r="EK36" s="889">
        <f t="shared" si="216"/>
        <v>0</v>
      </c>
      <c r="EL36" s="889">
        <f t="shared" si="217"/>
        <v>0</v>
      </c>
      <c r="EM36" s="889">
        <f t="shared" si="218"/>
        <v>0</v>
      </c>
      <c r="EN36" s="889">
        <f t="shared" si="219"/>
        <v>0</v>
      </c>
      <c r="EO36" s="889">
        <f t="shared" si="220"/>
        <v>0</v>
      </c>
      <c r="EP36" s="889">
        <f t="shared" si="221"/>
        <v>0</v>
      </c>
      <c r="EQ36" s="889">
        <f t="shared" si="222"/>
        <v>0</v>
      </c>
      <c r="ER36" s="889">
        <f t="shared" si="223"/>
        <v>0</v>
      </c>
      <c r="ES36" s="889">
        <f t="shared" si="224"/>
        <v>0</v>
      </c>
      <c r="ET36" s="889">
        <f t="shared" si="224"/>
        <v>0</v>
      </c>
      <c r="EU36" s="889">
        <f t="shared" si="225"/>
        <v>0</v>
      </c>
      <c r="EV36" s="889">
        <f t="shared" si="226"/>
        <v>0</v>
      </c>
      <c r="EW36" s="889">
        <f t="shared" si="227"/>
        <v>0</v>
      </c>
      <c r="EX36" s="889">
        <f t="shared" si="228"/>
        <v>16</v>
      </c>
      <c r="EY36" s="889">
        <f t="shared" si="229"/>
        <v>0</v>
      </c>
      <c r="EZ36" s="889">
        <f t="shared" si="230"/>
        <v>0</v>
      </c>
      <c r="FA36" s="889">
        <f t="shared" si="231"/>
        <v>0</v>
      </c>
      <c r="FB36" s="889">
        <f t="shared" si="232"/>
        <v>0</v>
      </c>
      <c r="FC36" s="889">
        <f t="shared" si="233"/>
        <v>0</v>
      </c>
      <c r="FD36" s="889">
        <f t="shared" si="234"/>
        <v>0</v>
      </c>
      <c r="FE36" s="889">
        <f t="shared" si="235"/>
        <v>0</v>
      </c>
      <c r="FF36" s="889">
        <f t="shared" si="236"/>
        <v>0</v>
      </c>
      <c r="FG36" s="889">
        <f t="shared" si="237"/>
        <v>0</v>
      </c>
      <c r="FH36" s="889">
        <f t="shared" si="238"/>
        <v>16</v>
      </c>
      <c r="FI36" s="889">
        <f t="shared" si="239"/>
        <v>16</v>
      </c>
      <c r="FJ36" s="889">
        <f t="shared" si="240"/>
        <v>0</v>
      </c>
      <c r="FK36" s="889">
        <f t="shared" si="241"/>
        <v>0</v>
      </c>
      <c r="FL36" s="889">
        <f t="shared" si="242"/>
        <v>0</v>
      </c>
      <c r="FM36" s="889">
        <f t="shared" si="243"/>
        <v>0</v>
      </c>
      <c r="FN36" s="889">
        <f t="shared" si="244"/>
        <v>0</v>
      </c>
      <c r="FO36" s="889">
        <f t="shared" si="245"/>
        <v>0</v>
      </c>
      <c r="FP36" s="889">
        <f t="shared" si="246"/>
        <v>0</v>
      </c>
      <c r="FQ36" s="889">
        <f t="shared" si="247"/>
        <v>0</v>
      </c>
      <c r="FR36" s="889">
        <f t="shared" si="248"/>
        <v>0</v>
      </c>
      <c r="FS36" s="889">
        <f t="shared" si="249"/>
        <v>0</v>
      </c>
      <c r="FT36" s="889">
        <f t="shared" si="250"/>
        <v>0</v>
      </c>
      <c r="FU36" s="889">
        <f t="shared" si="89"/>
        <v>0</v>
      </c>
      <c r="FV36" s="889">
        <f t="shared" si="90"/>
        <v>0</v>
      </c>
      <c r="FW36" s="889">
        <f t="shared" si="91"/>
        <v>0</v>
      </c>
      <c r="FX36" s="889">
        <f t="shared" si="92"/>
        <v>0</v>
      </c>
      <c r="FY36" s="889">
        <f t="shared" si="68"/>
        <v>0</v>
      </c>
      <c r="FZ36" s="889">
        <f t="shared" si="69"/>
        <v>0</v>
      </c>
      <c r="GA36" s="889">
        <f t="shared" si="70"/>
        <v>0</v>
      </c>
      <c r="GB36" s="889">
        <f t="shared" si="71"/>
        <v>0</v>
      </c>
      <c r="GC36" s="889">
        <f t="shared" si="72"/>
        <v>0</v>
      </c>
      <c r="GD36" s="889">
        <f t="shared" si="73"/>
        <v>0</v>
      </c>
      <c r="GE36" s="889">
        <f t="shared" si="74"/>
        <v>0</v>
      </c>
      <c r="GF36" s="889">
        <f t="shared" si="75"/>
        <v>0</v>
      </c>
      <c r="GG36" s="889">
        <f t="shared" si="76"/>
        <v>0</v>
      </c>
      <c r="GH36" s="889">
        <f t="shared" si="77"/>
        <v>0</v>
      </c>
      <c r="GI36" s="889">
        <f t="shared" si="78"/>
        <v>0</v>
      </c>
      <c r="GJ36" s="889">
        <f t="shared" si="79"/>
        <v>0</v>
      </c>
      <c r="GK36" s="889">
        <f t="shared" si="80"/>
        <v>0</v>
      </c>
      <c r="GL36" s="889">
        <f t="shared" si="93"/>
        <v>0</v>
      </c>
      <c r="GM36" s="889">
        <f t="shared" si="81"/>
        <v>0</v>
      </c>
    </row>
    <row r="37" spans="1:195" s="76" customFormat="1" ht="20.100000000000001" hidden="1" customHeight="1">
      <c r="A37" s="507" t="s">
        <v>334</v>
      </c>
      <c r="B37" s="373"/>
      <c r="C37" s="373"/>
      <c r="D37" s="508" t="s">
        <v>398</v>
      </c>
      <c r="E37" s="509"/>
      <c r="F37" s="510"/>
      <c r="G37" s="373"/>
      <c r="H37" s="382"/>
      <c r="I37" s="373"/>
      <c r="J37" s="373"/>
      <c r="K37" s="381"/>
      <c r="L37" s="376"/>
      <c r="M37" s="382"/>
      <c r="N37" s="375"/>
      <c r="O37" s="375"/>
      <c r="P37" s="376"/>
      <c r="Q37" s="382"/>
      <c r="R37" s="382"/>
      <c r="S37" s="382"/>
      <c r="T37" s="376"/>
      <c r="U37" s="382"/>
      <c r="V37" s="376"/>
      <c r="W37" s="376"/>
      <c r="X37" s="376"/>
      <c r="Y37" s="376"/>
      <c r="Z37" s="377"/>
      <c r="AA37" s="378"/>
      <c r="AB37" s="378"/>
      <c r="AC37" s="379"/>
      <c r="AD37" s="379"/>
      <c r="AE37" s="379"/>
      <c r="AF37" s="379"/>
      <c r="AG37" s="379"/>
      <c r="AH37" s="380"/>
      <c r="AI37" s="377"/>
      <c r="AJ37" s="375"/>
      <c r="AK37" s="377"/>
      <c r="AL37" s="377"/>
      <c r="AM37" s="377"/>
      <c r="AN37" s="383"/>
      <c r="AO37" s="382"/>
      <c r="AP37" s="381"/>
      <c r="AQ37" s="382"/>
      <c r="AR37" s="383"/>
      <c r="AS37" s="376"/>
      <c r="AT37" s="383"/>
      <c r="AU37" s="383"/>
      <c r="AV37" s="384"/>
      <c r="AW37" s="384"/>
      <c r="AX37" s="376"/>
      <c r="AY37" s="385"/>
      <c r="AZ37" s="385"/>
      <c r="BA37" s="513" t="str">
        <f t="shared" ref="BA37:BA82" si="301">CONCATENATE(IF(BE37=1,BE$4,""),IF(BF37=1,BF$4,""),IF(BG37=1,BG$4,""),IF(BH37=1,BH$4,""),IF(BI37=1,BI$4,""),IF(BJ37=1,BJ$4,""),IF(BK37=1,BK$4,""),IF(BL37=1,BL$4,""),IF(BM37=1,BM$4,""),IF(BN37=1,BN$4,""),IF(BO37=1,BO$4,""),IF(BP37=1,BP$4,""),IF(BQ37=1,BQ$4,""),IF(BR37=1,BR$4,""),IF(BS37=1,BS$4,""),IF(BT37=1,BT$4,""),IF(BU37=1,BU$4,""),IF(BV37=1,BV$4,""),IF(BW37=1,BW$4,""),IF(BX37=1,BX$4,""),IF(BY37=1,BY$4,""),IF(BZ37=1,BZ$4,""),IF(CA37=1,CA$4,""),IF(CC37=1,CC$4,""),IF(CD37=1,CD$4,""),IF(CE37=1,CE$4,""),IF(CF37=1,CF$4,""),IF(CG37=1,CG$4,""),IF(CH37=1,CH$4,""),IF(CI37=1,CI$4,""),IF(CJ37=1,CJ$4,""),IF(CK37=1,CK$4,""),IF(CL37=1,CL$4,""),IF(CM37=1,CM$4,""),IF(CN37=1,CN$4,""),IF(CO37=1,CO$4,""),IF(CP37=1,CP$4,""),IF(CQ37=1,CQ$4,""),IF(CR37=1,CR$4,""),IF(CS37=1,CS$4,""),IF(CT37=1,CT$4,""),IF(CU37=1,CU$4,""),IF(CV37=1,CV$4,""),IF(CW37=1,CW$4,""),IF(CX37=1,CX$4,""),IF(CY37=1,CY$4,""),IF(CZ37=1,CZ$4,""),IF(DA37=1,DA$4,""),IF(DB37=1,DB$4,""),IF(DC37=1,DC$4,""),IF(DD37=1,DD$4,""),IF(DE37=1,DE$4,""),IF(DF37=1,DF$4,""),IF(DG37=1,DG$4,""),IF(DH37=1,DH$4,""),IF(DI37=1,DI$4,""),IF(DJ37=1,DJ$4,""),IF(DK37=1,DK$4,""),IF(DL37=1,DL$4,""),IF(DM37=1,DM$4,""),IF(DN37=1,DN$4,""),IF(DO37=1,DO$4,""),IF(DP37=1,DP$4,""),IF(DQ37=1,DQ$4,""),IF(DR37=1,DR$4,""),IF(DS37=1,DS$4,""),IF(DT37=1,DT$4,""),IF(DU37=1,DU$4,""))</f>
        <v/>
      </c>
      <c r="BB37" s="513"/>
      <c r="BC37" s="513"/>
      <c r="BE37" s="513"/>
      <c r="BF37" s="513"/>
      <c r="BG37" s="513"/>
      <c r="BH37" s="513"/>
      <c r="BI37" s="513"/>
      <c r="BJ37" s="513"/>
      <c r="BK37" s="513"/>
      <c r="BL37" s="513"/>
      <c r="BM37" s="513"/>
      <c r="BN37" s="513"/>
      <c r="BO37" s="513"/>
      <c r="BP37" s="513"/>
      <c r="BQ37" s="513"/>
      <c r="BR37" s="513"/>
      <c r="BS37" s="513"/>
      <c r="BT37" s="513"/>
      <c r="BU37" s="513"/>
      <c r="BV37" s="513"/>
      <c r="BW37" s="513"/>
      <c r="BX37" s="513"/>
      <c r="BY37" s="513"/>
      <c r="BZ37" s="513"/>
      <c r="CA37" s="513"/>
      <c r="CB37" s="513"/>
      <c r="CC37" s="513"/>
      <c r="CD37" s="513"/>
      <c r="CE37" s="513"/>
      <c r="CF37" s="513"/>
      <c r="CG37" s="513"/>
      <c r="CH37" s="513"/>
      <c r="CI37" s="513"/>
      <c r="CJ37" s="513"/>
      <c r="CK37" s="513"/>
      <c r="CL37" s="513"/>
      <c r="CM37" s="513"/>
      <c r="CN37" s="513"/>
      <c r="CO37" s="513"/>
      <c r="CP37" s="513"/>
      <c r="CQ37" s="513"/>
      <c r="CR37" s="513"/>
      <c r="CS37" s="513"/>
      <c r="CT37" s="513"/>
      <c r="CU37" s="513"/>
      <c r="CV37" s="513"/>
      <c r="CW37" s="513"/>
      <c r="CX37" s="513"/>
      <c r="CY37" s="513"/>
      <c r="CZ37" s="513"/>
      <c r="DA37" s="513"/>
      <c r="DB37" s="513"/>
      <c r="DC37" s="513"/>
      <c r="DD37" s="513"/>
      <c r="DE37" s="513"/>
      <c r="DF37" s="513"/>
      <c r="DG37" s="513"/>
      <c r="DH37" s="513"/>
      <c r="DI37" s="513"/>
      <c r="DJ37" s="513"/>
      <c r="DK37" s="513"/>
      <c r="DL37" s="513"/>
      <c r="DM37" s="513"/>
      <c r="DN37" s="513"/>
      <c r="DO37" s="513"/>
      <c r="DP37" s="513"/>
      <c r="DQ37" s="513"/>
      <c r="DR37" s="513"/>
      <c r="DS37" s="513"/>
      <c r="DT37" s="513"/>
      <c r="DU37" s="513"/>
      <c r="DV37" s="61"/>
      <c r="DW37" s="336">
        <f t="shared" si="290"/>
        <v>0</v>
      </c>
      <c r="DX37" s="336">
        <f t="shared" si="291"/>
        <v>0</v>
      </c>
      <c r="DY37" s="336">
        <f t="shared" si="292"/>
        <v>0</v>
      </c>
      <c r="DZ37" s="336">
        <f t="shared" si="293"/>
        <v>0</v>
      </c>
      <c r="EA37" s="336">
        <f t="shared" si="294"/>
        <v>0</v>
      </c>
      <c r="EB37" s="336">
        <f t="shared" si="295"/>
        <v>0</v>
      </c>
      <c r="EC37" s="336">
        <f t="shared" si="296"/>
        <v>0</v>
      </c>
      <c r="ED37" s="336">
        <f t="shared" si="209"/>
        <v>0</v>
      </c>
      <c r="EE37" s="336">
        <f t="shared" si="210"/>
        <v>0</v>
      </c>
      <c r="EF37" s="336">
        <f t="shared" si="211"/>
        <v>0</v>
      </c>
      <c r="EG37" s="336">
        <f t="shared" si="212"/>
        <v>0</v>
      </c>
      <c r="EH37" s="336">
        <f t="shared" si="213"/>
        <v>0</v>
      </c>
      <c r="EI37" s="336">
        <f t="shared" si="214"/>
        <v>0</v>
      </c>
      <c r="EJ37" s="336">
        <f t="shared" si="215"/>
        <v>0</v>
      </c>
      <c r="EK37" s="336">
        <f t="shared" si="216"/>
        <v>0</v>
      </c>
      <c r="EL37" s="336">
        <f t="shared" si="217"/>
        <v>0</v>
      </c>
      <c r="EM37" s="336">
        <f t="shared" si="218"/>
        <v>0</v>
      </c>
      <c r="EN37" s="336">
        <f t="shared" si="219"/>
        <v>0</v>
      </c>
      <c r="EO37" s="336">
        <f t="shared" si="220"/>
        <v>0</v>
      </c>
      <c r="EP37" s="336">
        <f t="shared" si="221"/>
        <v>0</v>
      </c>
      <c r="EQ37" s="336">
        <f t="shared" si="222"/>
        <v>0</v>
      </c>
      <c r="ER37" s="336">
        <f t="shared" si="223"/>
        <v>0</v>
      </c>
      <c r="ES37" s="336">
        <f t="shared" si="224"/>
        <v>0</v>
      </c>
      <c r="ET37" s="336">
        <f t="shared" si="224"/>
        <v>0</v>
      </c>
      <c r="EU37" s="336">
        <f t="shared" si="225"/>
        <v>0</v>
      </c>
      <c r="EV37" s="336">
        <f t="shared" si="226"/>
        <v>0</v>
      </c>
      <c r="EW37" s="336">
        <f t="shared" si="227"/>
        <v>0</v>
      </c>
      <c r="EX37" s="336">
        <f t="shared" si="228"/>
        <v>0</v>
      </c>
      <c r="EY37" s="336">
        <f t="shared" si="229"/>
        <v>0</v>
      </c>
      <c r="EZ37" s="336">
        <f t="shared" si="230"/>
        <v>0</v>
      </c>
      <c r="FA37" s="336">
        <f t="shared" si="231"/>
        <v>0</v>
      </c>
      <c r="FB37" s="336">
        <f t="shared" si="232"/>
        <v>0</v>
      </c>
      <c r="FC37" s="336">
        <f t="shared" si="233"/>
        <v>0</v>
      </c>
      <c r="FD37" s="336">
        <f t="shared" si="234"/>
        <v>0</v>
      </c>
      <c r="FE37" s="336">
        <f t="shared" si="235"/>
        <v>0</v>
      </c>
      <c r="FF37" s="336">
        <f t="shared" si="236"/>
        <v>0</v>
      </c>
      <c r="FG37" s="336">
        <f t="shared" si="237"/>
        <v>0</v>
      </c>
      <c r="FH37" s="336">
        <f t="shared" si="238"/>
        <v>0</v>
      </c>
      <c r="FI37" s="336">
        <f t="shared" si="239"/>
        <v>0</v>
      </c>
      <c r="FJ37" s="336">
        <f t="shared" si="240"/>
        <v>0</v>
      </c>
      <c r="FK37" s="336">
        <f t="shared" si="241"/>
        <v>0</v>
      </c>
      <c r="FL37" s="336">
        <f t="shared" si="242"/>
        <v>0</v>
      </c>
      <c r="FM37" s="336">
        <f t="shared" si="243"/>
        <v>0</v>
      </c>
      <c r="FN37" s="336">
        <f t="shared" si="244"/>
        <v>0</v>
      </c>
      <c r="FO37" s="492">
        <f t="shared" si="245"/>
        <v>0</v>
      </c>
      <c r="FP37" s="492">
        <f t="shared" si="246"/>
        <v>0</v>
      </c>
      <c r="FQ37" s="492">
        <f t="shared" si="247"/>
        <v>0</v>
      </c>
      <c r="FR37" s="492">
        <f t="shared" si="248"/>
        <v>0</v>
      </c>
      <c r="FS37" s="492">
        <f t="shared" si="249"/>
        <v>0</v>
      </c>
      <c r="FT37" s="492">
        <f t="shared" si="250"/>
        <v>0</v>
      </c>
      <c r="FU37" s="492"/>
      <c r="FV37" s="492"/>
      <c r="FW37" s="492"/>
      <c r="FX37" s="492"/>
      <c r="FY37" s="492">
        <f t="shared" si="68"/>
        <v>0</v>
      </c>
      <c r="FZ37" s="492">
        <f t="shared" si="69"/>
        <v>0</v>
      </c>
      <c r="GA37" s="492">
        <f t="shared" si="70"/>
        <v>0</v>
      </c>
      <c r="GB37" s="492">
        <f t="shared" si="71"/>
        <v>0</v>
      </c>
      <c r="GC37" s="492">
        <f t="shared" si="72"/>
        <v>0</v>
      </c>
      <c r="GD37" s="492">
        <f t="shared" si="73"/>
        <v>0</v>
      </c>
      <c r="GE37" s="492">
        <f t="shared" si="74"/>
        <v>0</v>
      </c>
      <c r="GF37" s="492">
        <f t="shared" si="75"/>
        <v>0</v>
      </c>
      <c r="GG37" s="492">
        <f t="shared" si="76"/>
        <v>0</v>
      </c>
      <c r="GH37" s="492">
        <f t="shared" si="77"/>
        <v>0</v>
      </c>
      <c r="GI37" s="492">
        <f t="shared" si="78"/>
        <v>0</v>
      </c>
      <c r="GJ37" s="492">
        <f t="shared" si="79"/>
        <v>0</v>
      </c>
      <c r="GK37" s="492">
        <f t="shared" si="80"/>
        <v>0</v>
      </c>
      <c r="GL37" s="492"/>
      <c r="GM37" s="492">
        <f t="shared" si="81"/>
        <v>0</v>
      </c>
    </row>
    <row r="38" spans="1:195" s="83" customFormat="1" ht="20.100000000000001" hidden="1" customHeight="1">
      <c r="A38" s="357" t="s">
        <v>334</v>
      </c>
      <c r="B38" s="357" t="s">
        <v>527</v>
      </c>
      <c r="C38" s="357" t="str">
        <f t="shared" ref="C38:C42" si="302">$D$6</f>
        <v>PMCC-1</v>
      </c>
      <c r="D38" s="395" t="s">
        <v>529</v>
      </c>
      <c r="E38" s="493" t="s">
        <v>401</v>
      </c>
      <c r="F38" s="357" t="s">
        <v>29</v>
      </c>
      <c r="G38" s="357" t="s">
        <v>350</v>
      </c>
      <c r="H38" s="352">
        <v>0.1</v>
      </c>
      <c r="I38" s="357" t="s">
        <v>330</v>
      </c>
      <c r="J38" s="357" t="s">
        <v>331</v>
      </c>
      <c r="K38" s="353">
        <v>400</v>
      </c>
      <c r="L38" s="360">
        <v>0.73</v>
      </c>
      <c r="M38" s="352">
        <v>0.82499999999999996</v>
      </c>
      <c r="N38" s="359">
        <f>IF(I38="kVA",IF(J38="3Ph",(H38*1000/(1.732*M38*K38)),(H38*1000/(M38*K38))),IF(I38="kW",IF(J38="3Ph",(H38*1000/(1.732*M38*K38*L38)),(H38*1000/(M38*K38*L38)))))</f>
        <v>0.23967090308954969</v>
      </c>
      <c r="O38" s="359">
        <f t="shared" si="2"/>
        <v>1.4380254185372983</v>
      </c>
      <c r="P38" s="360">
        <f>IF(G38="MOTOR",0.2,"0.00")</f>
        <v>0.2</v>
      </c>
      <c r="Q38" s="352">
        <v>65</v>
      </c>
      <c r="R38" s="352">
        <v>0</v>
      </c>
      <c r="S38" s="352">
        <f>(Q38*1000*SQRT(R38)/143)</f>
        <v>0</v>
      </c>
      <c r="T38" s="360" t="s">
        <v>131</v>
      </c>
      <c r="U38" s="352" t="s">
        <v>333</v>
      </c>
      <c r="V38" s="360">
        <v>4</v>
      </c>
      <c r="W38" s="360" t="str">
        <f>CONCATENATE(U38," X ",V38)</f>
        <v>3C X 4</v>
      </c>
      <c r="X38" s="360" t="str">
        <f>(IF(J38="1Ph",W38,IF(J38="3Ph",(IF(G38="MOTOR",(CONCATENATE(W38,"+PE")),W38)))))</f>
        <v>3C X 4+PE</v>
      </c>
      <c r="Y38" s="360" t="s">
        <v>358</v>
      </c>
      <c r="Z38" s="361">
        <f>IF(T38="AIR",VLOOKUP(W38,'Catalogue Aluminium'!$B$9:$G$93,2,FALSE),IF(T38="GROUND",VLOOKUP(W38,'Catalogue Aluminium'!$B$9:$G$93,3,FALSE),IF(T38="DUCT",VLOOKUP(W38,'Catalogue Aluminium'!$B$9:$G$93,4,FALSE),IF(T38="TRENCH",VLOOKUP(W38,'Catalogue Aluminium'!$B$9:$G$93,2,FALSE)))))</f>
        <v>38</v>
      </c>
      <c r="AA38" s="362">
        <f>VLOOKUP(W38,'Catalogue Aluminium'!$B$9:$G$93,5,FALSE)</f>
        <v>5.9</v>
      </c>
      <c r="AB38" s="362">
        <f>VLOOKUP(W38,'Catalogue Aluminium'!$B$9:$G$93,6,FALSE)</f>
        <v>9.4700000000000006E-2</v>
      </c>
      <c r="AC38" s="360">
        <f>22+11</f>
        <v>33</v>
      </c>
      <c r="AD38" s="360">
        <f>11+34+48+10</f>
        <v>103</v>
      </c>
      <c r="AE38" s="456">
        <f>11+11</f>
        <v>22</v>
      </c>
      <c r="AF38" s="360">
        <v>8</v>
      </c>
      <c r="AG38" s="360">
        <f t="shared" ref="AG38:AG42" si="303">ROUNDUP((SUM(AC38:AF38)*0.1),0)</f>
        <v>17</v>
      </c>
      <c r="AH38" s="363"/>
      <c r="AI38" s="361">
        <f>IF(T38="AIR",'Catalogue Aluminium'!$K$9,IF(T38="TRENCH",'Catalogue Aluminium'!$K$12,"NA"))</f>
        <v>0.89</v>
      </c>
      <c r="AJ38" s="359">
        <f>IF(T38="Air",(IF(U38="1C",'Catalogue Aluminium'!$L$9,'Catalogue Aluminium'!$M$9)),IF(T38="DUCT",(IF($U38="1C",'Catalogue Aluminium'!$L$10,'Catalogue Aluminium'!$M$10)),IF(T38="GROUND",(IF($U38="1C",'Catalogue Aluminium'!$L$11,'Catalogue Aluminium'!$M$11)),IF(T38="TRENCH",(IF($U38="1C",'Catalogue Aluminium'!$L$12,'Catalogue Aluminium'!$M$12))))))</f>
        <v>0.66</v>
      </c>
      <c r="AK38" s="361" t="str">
        <f>IF(T38="Air",'Catalogue Aluminium'!$N$9,IF(T38="GROUND",'Catalogue Aluminium'!$N$10,IF(T38="DUCT",'Catalogue Aluminium'!$N$11,IF(T38="TRENCH",'Catalogue Aluminium'!$N$12,"NA"))))</f>
        <v>NA</v>
      </c>
      <c r="AL38" s="361" t="str">
        <f>IF(T38="Air",(IF(U38="1C",'Catalogue Aluminium'!$O$9,'Catalogue Aluminium'!$P$9)),IF(T38="DUCT",(IF($U38="1C",'Catalogue Aluminium'!$O$10,'Catalogue Aluminium'!$P$10)),IF(T38="GROUND",(IF($U38="1C",'Catalogue Aluminium'!$O$11,'Catalogue Aluminium'!$P$11)),IF(T38="TRENCH",(IF($U38="1C",'Catalogue Aluminium'!$O$12,'Catalogue Aluminium'!$P$12))))))</f>
        <v>NA</v>
      </c>
      <c r="AM38" s="361" t="str">
        <f>IF(T38="AIR","NA",IF(T38="TRENCH","NA",IF(T38="DUCT",IF(U38="1C",VLOOKUP(V38,'Catalogue Aluminium'!$Q$9:$S$28,2,FALSE),VLOOKUP(V38,'Catalogue Aluminium'!$Q$9:$S$28,3)),IF(T38="GROUND",IF(U38="1C",VLOOKUP(V38,'Catalogue Aluminium'!$Q$9:$S$28,2,FALSE),VLOOKUP(V38,'Catalogue Aluminium'!$Q$9:$S$28,3))))))</f>
        <v>NA</v>
      </c>
      <c r="AN38" s="365">
        <f>IF(T38="AIR",AI38*AJ38,IF(T38="TRENCH",AI38*AJ38,IF(T38="DUCT",AJ38*AK38*AL38*AM38,IF(T38="GROUND",AJ38*AK38*AL38*AM38))))</f>
        <v>0.58740000000000003</v>
      </c>
      <c r="AO38" s="352">
        <f>Z38*AN38</f>
        <v>22.321200000000001</v>
      </c>
      <c r="AP38" s="353">
        <f t="shared" si="10"/>
        <v>1</v>
      </c>
      <c r="AQ38" s="352" t="str">
        <f>IF(AO38*AP38&gt;=N38,"YES","NO")</f>
        <v>YES</v>
      </c>
      <c r="AR38" s="365">
        <f>SQRT(3)*AH38*N38*((AA38*L38)+(AB38*SIN(ACOS(L38))))*100/(AP38*K38*1000)</f>
        <v>0</v>
      </c>
      <c r="AS38" s="496" t="str">
        <f>IF(G38="INCOMER",(IF(AR38&lt;=2,"YES","NO")),IF(G38="POWER",(IF(AR38&lt;=2.5,"YES","NO")),IF(G38="MOTOR",(IF(AR38&lt;=3,"YES","NO")))))</f>
        <v>YES</v>
      </c>
      <c r="AT38" s="497">
        <f>IF(G38="MOTOR",(SQRT(3)*AH38*O38*((AA38*P38)+(AB38*SIN(ACOS(P38))))*100/(AP38*K38*1000)),"NA")</f>
        <v>0</v>
      </c>
      <c r="AU38" s="360" t="str">
        <f>IF(G38="MOTOR",IF(AT38&lt;=15,"YES","NO"),"NA")</f>
        <v>YES</v>
      </c>
      <c r="AV38" s="366" t="str">
        <f>IF(U38="1C",CONCATENATE(AP38,"R x ",Y38,"kV x ",U38," x ",V38," Sqmm/Phase"),CONCATENATE(AP38,"R x ",0.6,"/1kV x ",U38," x ",V38," Sqmm"))</f>
        <v>1R x 0.6/1kV x 3C x 4 Sqmm</v>
      </c>
      <c r="AW38" s="366" t="str">
        <f>IF(U38="1C",CONCATENATE(AP38,"R x ",Y38,"kV x ",U38," x ",V38," Sqmm/Phase"),CONCATENATE(AP38,"R x ",0.6,"/1kV x ",U38," x ",V38,(IF(G38="MOTOR","+PE",""))," Sqmm"))</f>
        <v>1R x 0.6/1kV x 3C x 4+PE Sqmm</v>
      </c>
      <c r="AX38" s="360"/>
      <c r="AY38" s="367"/>
      <c r="AZ38" s="367"/>
      <c r="BA38" s="356" t="str">
        <f t="shared" si="301"/>
        <v/>
      </c>
      <c r="BB38" s="498"/>
      <c r="BC38" s="426"/>
      <c r="BE38" s="368"/>
      <c r="BF38" s="368"/>
      <c r="BG38" s="368"/>
      <c r="BH38" s="368"/>
      <c r="BI38" s="368"/>
      <c r="BJ38" s="368"/>
      <c r="BK38" s="368"/>
      <c r="BL38" s="368"/>
      <c r="BM38" s="368"/>
      <c r="BN38" s="368"/>
      <c r="BO38" s="368"/>
      <c r="BP38" s="368"/>
      <c r="BQ38" s="368"/>
      <c r="BR38" s="368"/>
      <c r="BS38" s="368"/>
      <c r="BT38" s="368"/>
      <c r="BU38" s="368"/>
      <c r="BV38" s="368"/>
      <c r="BW38" s="368"/>
      <c r="BX38" s="368"/>
      <c r="BY38" s="368"/>
      <c r="BZ38" s="368"/>
      <c r="CA38" s="368"/>
      <c r="CB38" s="368"/>
      <c r="CC38" s="368"/>
      <c r="CD38" s="368"/>
      <c r="CE38" s="368"/>
      <c r="CF38" s="368"/>
      <c r="CG38" s="368"/>
      <c r="CH38" s="368"/>
      <c r="CI38" s="368"/>
      <c r="CJ38" s="368"/>
      <c r="CK38" s="368"/>
      <c r="CL38" s="368"/>
      <c r="CM38" s="368"/>
      <c r="CN38" s="368"/>
      <c r="CO38" s="368"/>
      <c r="CP38" s="368"/>
      <c r="CQ38" s="368"/>
      <c r="CR38" s="368"/>
      <c r="CS38" s="368"/>
      <c r="CT38" s="368"/>
      <c r="CU38" s="368"/>
      <c r="CV38" s="368"/>
      <c r="CW38" s="368"/>
      <c r="CX38" s="368"/>
      <c r="CY38" s="368"/>
      <c r="CZ38" s="368"/>
      <c r="DA38" s="368"/>
      <c r="DB38" s="368"/>
      <c r="DC38" s="368"/>
      <c r="DD38" s="368"/>
      <c r="DE38" s="368"/>
      <c r="DF38" s="368"/>
      <c r="DG38" s="368"/>
      <c r="DH38" s="368"/>
      <c r="DI38" s="368"/>
      <c r="DJ38" s="368"/>
      <c r="DK38" s="368"/>
      <c r="DL38" s="368"/>
      <c r="DM38" s="368"/>
      <c r="DN38" s="368"/>
      <c r="DO38" s="368"/>
      <c r="DP38" s="368"/>
      <c r="DQ38" s="368"/>
      <c r="DR38" s="368"/>
      <c r="DS38" s="368"/>
      <c r="DT38" s="368"/>
      <c r="DU38" s="368"/>
      <c r="DW38" s="368">
        <f t="shared" si="290"/>
        <v>0</v>
      </c>
      <c r="DX38" s="368">
        <f t="shared" si="291"/>
        <v>0</v>
      </c>
      <c r="DY38" s="368">
        <f t="shared" si="292"/>
        <v>0</v>
      </c>
      <c r="DZ38" s="368">
        <f t="shared" si="293"/>
        <v>0</v>
      </c>
      <c r="EA38" s="368">
        <f t="shared" si="294"/>
        <v>0</v>
      </c>
      <c r="EB38" s="368">
        <f t="shared" si="295"/>
        <v>0</v>
      </c>
      <c r="EC38" s="368">
        <f t="shared" si="296"/>
        <v>0</v>
      </c>
      <c r="ED38" s="368">
        <f t="shared" si="209"/>
        <v>0</v>
      </c>
      <c r="EE38" s="368">
        <f t="shared" si="210"/>
        <v>0</v>
      </c>
      <c r="EF38" s="368">
        <f t="shared" si="211"/>
        <v>0</v>
      </c>
      <c r="EG38" s="368">
        <f t="shared" si="212"/>
        <v>0</v>
      </c>
      <c r="EH38" s="368">
        <f t="shared" si="213"/>
        <v>0</v>
      </c>
      <c r="EI38" s="368">
        <f t="shared" si="214"/>
        <v>0</v>
      </c>
      <c r="EJ38" s="368">
        <f t="shared" si="215"/>
        <v>0</v>
      </c>
      <c r="EK38" s="368">
        <f t="shared" si="216"/>
        <v>0</v>
      </c>
      <c r="EL38" s="368">
        <f t="shared" si="217"/>
        <v>0</v>
      </c>
      <c r="EM38" s="368">
        <f t="shared" si="218"/>
        <v>0</v>
      </c>
      <c r="EN38" s="368">
        <f t="shared" si="219"/>
        <v>0</v>
      </c>
      <c r="EO38" s="368">
        <f t="shared" si="220"/>
        <v>0</v>
      </c>
      <c r="EP38" s="368">
        <f t="shared" si="221"/>
        <v>0</v>
      </c>
      <c r="EQ38" s="368">
        <f t="shared" si="222"/>
        <v>0</v>
      </c>
      <c r="ER38" s="368">
        <f t="shared" si="223"/>
        <v>0</v>
      </c>
      <c r="ES38" s="368">
        <f t="shared" si="224"/>
        <v>0</v>
      </c>
      <c r="ET38" s="368">
        <f t="shared" si="224"/>
        <v>0</v>
      </c>
      <c r="EU38" s="368">
        <f t="shared" si="225"/>
        <v>0</v>
      </c>
      <c r="EV38" s="368">
        <f t="shared" si="226"/>
        <v>0</v>
      </c>
      <c r="EW38" s="368">
        <f t="shared" si="227"/>
        <v>0</v>
      </c>
      <c r="EX38" s="368">
        <f t="shared" si="228"/>
        <v>0</v>
      </c>
      <c r="EY38" s="368">
        <f t="shared" si="229"/>
        <v>0</v>
      </c>
      <c r="EZ38" s="368">
        <f t="shared" si="230"/>
        <v>0</v>
      </c>
      <c r="FA38" s="368">
        <f t="shared" si="231"/>
        <v>0</v>
      </c>
      <c r="FB38" s="368">
        <f t="shared" si="232"/>
        <v>0</v>
      </c>
      <c r="FC38" s="368">
        <f t="shared" si="233"/>
        <v>0</v>
      </c>
      <c r="FD38" s="368">
        <f t="shared" si="234"/>
        <v>0</v>
      </c>
      <c r="FE38" s="368">
        <f t="shared" si="235"/>
        <v>0</v>
      </c>
      <c r="FF38" s="368">
        <f t="shared" si="236"/>
        <v>0</v>
      </c>
      <c r="FG38" s="368">
        <f t="shared" si="237"/>
        <v>0</v>
      </c>
      <c r="FH38" s="368">
        <f t="shared" si="238"/>
        <v>0</v>
      </c>
      <c r="FI38" s="368">
        <f t="shared" si="239"/>
        <v>0</v>
      </c>
      <c r="FJ38" s="368">
        <f t="shared" si="240"/>
        <v>0</v>
      </c>
      <c r="FK38" s="368">
        <f t="shared" si="241"/>
        <v>0</v>
      </c>
      <c r="FL38" s="368">
        <f t="shared" si="242"/>
        <v>0</v>
      </c>
      <c r="FM38" s="368">
        <f t="shared" si="243"/>
        <v>0</v>
      </c>
      <c r="FN38" s="368">
        <f t="shared" si="244"/>
        <v>0</v>
      </c>
      <c r="FO38" s="368">
        <f t="shared" si="245"/>
        <v>0</v>
      </c>
      <c r="FP38" s="368">
        <f t="shared" si="246"/>
        <v>0</v>
      </c>
      <c r="FQ38" s="368">
        <f t="shared" si="247"/>
        <v>0</v>
      </c>
      <c r="FR38" s="368">
        <f t="shared" si="248"/>
        <v>0</v>
      </c>
      <c r="FS38" s="368">
        <f t="shared" si="249"/>
        <v>0</v>
      </c>
      <c r="FT38" s="368">
        <f t="shared" si="250"/>
        <v>0</v>
      </c>
      <c r="FU38" s="368"/>
      <c r="FV38" s="368"/>
      <c r="FW38" s="368"/>
      <c r="FX38" s="368"/>
      <c r="FY38" s="368">
        <f t="shared" si="68"/>
        <v>0</v>
      </c>
      <c r="FZ38" s="368">
        <f t="shared" si="69"/>
        <v>0</v>
      </c>
      <c r="GA38" s="368">
        <f t="shared" si="70"/>
        <v>0</v>
      </c>
      <c r="GB38" s="368">
        <f t="shared" si="71"/>
        <v>0</v>
      </c>
      <c r="GC38" s="368">
        <f t="shared" si="72"/>
        <v>0</v>
      </c>
      <c r="GD38" s="368">
        <f t="shared" si="73"/>
        <v>0</v>
      </c>
      <c r="GE38" s="368">
        <f t="shared" si="74"/>
        <v>0</v>
      </c>
      <c r="GF38" s="368">
        <f t="shared" si="75"/>
        <v>0</v>
      </c>
      <c r="GG38" s="368">
        <f t="shared" si="76"/>
        <v>0</v>
      </c>
      <c r="GH38" s="368">
        <f t="shared" si="77"/>
        <v>0</v>
      </c>
      <c r="GI38" s="368">
        <f t="shared" si="78"/>
        <v>0</v>
      </c>
      <c r="GJ38" s="368">
        <f t="shared" si="79"/>
        <v>0</v>
      </c>
      <c r="GK38" s="368">
        <f t="shared" si="80"/>
        <v>0</v>
      </c>
      <c r="GL38" s="368"/>
      <c r="GM38" s="368">
        <f t="shared" si="81"/>
        <v>0</v>
      </c>
    </row>
    <row r="39" spans="1:195" s="83" customFormat="1" ht="20.100000000000001" hidden="1" customHeight="1">
      <c r="A39" s="357" t="s">
        <v>334</v>
      </c>
      <c r="B39" s="357" t="s">
        <v>527</v>
      </c>
      <c r="C39" s="357" t="str">
        <f t="shared" si="302"/>
        <v>PMCC-1</v>
      </c>
      <c r="D39" s="395" t="s">
        <v>530</v>
      </c>
      <c r="E39" s="493" t="s">
        <v>401</v>
      </c>
      <c r="F39" s="357" t="s">
        <v>28</v>
      </c>
      <c r="G39" s="357" t="s">
        <v>350</v>
      </c>
      <c r="H39" s="352">
        <v>0.1</v>
      </c>
      <c r="I39" s="357" t="s">
        <v>330</v>
      </c>
      <c r="J39" s="357" t="s">
        <v>331</v>
      </c>
      <c r="K39" s="353">
        <v>400</v>
      </c>
      <c r="L39" s="360">
        <v>0.73</v>
      </c>
      <c r="M39" s="352">
        <v>0.82499999999999996</v>
      </c>
      <c r="N39" s="359">
        <f>IF(I39="kVA",IF(J39="3Ph",(H39*1000/(1.732*M39*K39)),(H39*1000/(M39*K39))),IF(I39="kW",IF(J39="3Ph",(H39*1000/(1.732*M39*K39*L39)),(H39*1000/(M39*K39*L39)))))</f>
        <v>0.23967090308954969</v>
      </c>
      <c r="O39" s="359">
        <f t="shared" si="2"/>
        <v>1.4380254185372983</v>
      </c>
      <c r="P39" s="360">
        <f>IF(G39="MOTOR",0.2,"0.00")</f>
        <v>0.2</v>
      </c>
      <c r="Q39" s="352">
        <v>65</v>
      </c>
      <c r="R39" s="352">
        <v>0</v>
      </c>
      <c r="S39" s="352">
        <f>(Q39*1000*SQRT(R39)/143)</f>
        <v>0</v>
      </c>
      <c r="T39" s="360" t="s">
        <v>131</v>
      </c>
      <c r="U39" s="352" t="s">
        <v>333</v>
      </c>
      <c r="V39" s="360">
        <v>4</v>
      </c>
      <c r="W39" s="360" t="str">
        <f>CONCATENATE(U39," X ",V39)</f>
        <v>3C X 4</v>
      </c>
      <c r="X39" s="360" t="str">
        <f>(IF(J39="1Ph",W39,IF(J39="3Ph",(IF(G39="MOTOR",(CONCATENATE(W39,"+PE")),W39)))))</f>
        <v>3C X 4+PE</v>
      </c>
      <c r="Y39" s="360" t="s">
        <v>358</v>
      </c>
      <c r="Z39" s="361">
        <f>IF(T39="AIR",VLOOKUP(W39,'Catalogue Aluminium'!$B$9:$G$93,2,FALSE),IF(T39="GROUND",VLOOKUP(W39,'Catalogue Aluminium'!$B$9:$G$93,3,FALSE),IF(T39="DUCT",VLOOKUP(W39,'Catalogue Aluminium'!$B$9:$G$93,4,FALSE),IF(T39="TRENCH",VLOOKUP(W39,'Catalogue Aluminium'!$B$9:$G$93,2,FALSE)))))</f>
        <v>38</v>
      </c>
      <c r="AA39" s="362">
        <f>VLOOKUP(W39,'Catalogue Aluminium'!$B$9:$G$93,5,FALSE)</f>
        <v>5.9</v>
      </c>
      <c r="AB39" s="362">
        <f>VLOOKUP(W39,'Catalogue Aluminium'!$B$9:$G$93,6,FALSE)</f>
        <v>9.4700000000000006E-2</v>
      </c>
      <c r="AC39" s="360">
        <f>29+11</f>
        <v>40</v>
      </c>
      <c r="AD39" s="360">
        <f>11+34+48+10</f>
        <v>103</v>
      </c>
      <c r="AE39" s="456">
        <f t="shared" ref="AE39:AE42" si="304">11+11</f>
        <v>22</v>
      </c>
      <c r="AF39" s="360">
        <v>8</v>
      </c>
      <c r="AG39" s="360">
        <f t="shared" si="303"/>
        <v>18</v>
      </c>
      <c r="AH39" s="363"/>
      <c r="AI39" s="361">
        <f>IF(T39="AIR",'Catalogue Aluminium'!$K$9,IF(T39="TRENCH",'Catalogue Aluminium'!$K$12,"NA"))</f>
        <v>0.89</v>
      </c>
      <c r="AJ39" s="359">
        <f>IF(T39="Air",(IF(U39="1C",'Catalogue Aluminium'!$L$9,'Catalogue Aluminium'!$M$9)),IF(T39="DUCT",(IF($U39="1C",'Catalogue Aluminium'!$L$10,'Catalogue Aluminium'!$M$10)),IF(T39="GROUND",(IF($U39="1C",'Catalogue Aluminium'!$L$11,'Catalogue Aluminium'!$M$11)),IF(T39="TRENCH",(IF($U39="1C",'Catalogue Aluminium'!$L$12,'Catalogue Aluminium'!$M$12))))))</f>
        <v>0.66</v>
      </c>
      <c r="AK39" s="361" t="str">
        <f>IF(T39="Air",'Catalogue Aluminium'!$N$9,IF(T39="GROUND",'Catalogue Aluminium'!$N$10,IF(T39="DUCT",'Catalogue Aluminium'!$N$11,IF(T39="TRENCH",'Catalogue Aluminium'!$N$12,"NA"))))</f>
        <v>NA</v>
      </c>
      <c r="AL39" s="361" t="str">
        <f>IF(T39="Air",(IF(U39="1C",'Catalogue Aluminium'!$O$9,'Catalogue Aluminium'!$P$9)),IF(T39="DUCT",(IF($U39="1C",'Catalogue Aluminium'!$O$10,'Catalogue Aluminium'!$P$10)),IF(T39="GROUND",(IF($U39="1C",'Catalogue Aluminium'!$O$11,'Catalogue Aluminium'!$P$11)),IF(T39="TRENCH",(IF($U39="1C",'Catalogue Aluminium'!$O$12,'Catalogue Aluminium'!$P$12))))))</f>
        <v>NA</v>
      </c>
      <c r="AM39" s="361" t="str">
        <f>IF(T39="AIR","NA",IF(T39="TRENCH","NA",IF(T39="DUCT",IF(U39="1C",VLOOKUP(V39,'Catalogue Aluminium'!$Q$9:$S$28,2,FALSE),VLOOKUP(V39,'Catalogue Aluminium'!$Q$9:$S$28,3)),IF(T39="GROUND",IF(U39="1C",VLOOKUP(V39,'Catalogue Aluminium'!$Q$9:$S$28,2,FALSE),VLOOKUP(V39,'Catalogue Aluminium'!$Q$9:$S$28,3))))))</f>
        <v>NA</v>
      </c>
      <c r="AN39" s="365">
        <f>IF(T39="AIR",AI39*AJ39,IF(T39="TRENCH",AI39*AJ39,IF(T39="DUCT",AJ39*AK39*AL39*AM39,IF(T39="GROUND",AJ39*AK39*AL39*AM39))))</f>
        <v>0.58740000000000003</v>
      </c>
      <c r="AO39" s="352">
        <f>Z39*AN39</f>
        <v>22.321200000000001</v>
      </c>
      <c r="AP39" s="353">
        <f t="shared" si="10"/>
        <v>1</v>
      </c>
      <c r="AQ39" s="352" t="str">
        <f>IF(AO39*AP39&gt;=N39,"YES","NO")</f>
        <v>YES</v>
      </c>
      <c r="AR39" s="365">
        <f>SQRT(3)*AH39*N39*((AA39*L39)+(AB39*SIN(ACOS(L39))))*100/(AP39*K39*1000)</f>
        <v>0</v>
      </c>
      <c r="AS39" s="496" t="str">
        <f>IF(G39="INCOMER",(IF(AR39&lt;=2,"YES","NO")),IF(G39="POWER",(IF(AR39&lt;=2.5,"YES","NO")),IF(G39="MOTOR",(IF(AR39&lt;=3,"YES","NO")))))</f>
        <v>YES</v>
      </c>
      <c r="AT39" s="497">
        <f>IF(G39="MOTOR",(SQRT(3)*AH39*O39*((AA39*P39)+(AB39*SIN(ACOS(P39))))*100/(AP39*K39*1000)),"NA")</f>
        <v>0</v>
      </c>
      <c r="AU39" s="360" t="str">
        <f>IF(G39="MOTOR",IF(AT39&lt;=15,"YES","NO"),"NA")</f>
        <v>YES</v>
      </c>
      <c r="AV39" s="366" t="str">
        <f>IF(U39="1C",CONCATENATE(AP39,"R x ",Y39,"kV x ",U39," x ",V39," Sqmm/Phase"),CONCATENATE(AP39,"R x ",0.6,"/1kV x ",U39," x ",V39," Sqmm"))</f>
        <v>1R x 0.6/1kV x 3C x 4 Sqmm</v>
      </c>
      <c r="AW39" s="366" t="str">
        <f>IF(U39="1C",CONCATENATE(AP39,"R x ",Y39,"kV x ",U39," x ",V39," Sqmm/Phase"),CONCATENATE(AP39,"R x ",0.6,"/1kV x ",U39," x ",V39,(IF(G39="MOTOR","+PE",""))," Sqmm"))</f>
        <v>1R x 0.6/1kV x 3C x 4+PE Sqmm</v>
      </c>
      <c r="AX39" s="360"/>
      <c r="AY39" s="367"/>
      <c r="AZ39" s="367"/>
      <c r="BA39" s="356" t="str">
        <f t="shared" si="301"/>
        <v/>
      </c>
      <c r="BB39" s="498"/>
      <c r="BC39" s="426"/>
      <c r="BE39" s="368"/>
      <c r="BF39" s="368"/>
      <c r="BG39" s="368"/>
      <c r="BH39" s="368"/>
      <c r="BI39" s="368"/>
      <c r="BJ39" s="368"/>
      <c r="BK39" s="368"/>
      <c r="BL39" s="368"/>
      <c r="BM39" s="368"/>
      <c r="BN39" s="368"/>
      <c r="BO39" s="368"/>
      <c r="BP39" s="368"/>
      <c r="BQ39" s="368"/>
      <c r="BR39" s="368"/>
      <c r="BS39" s="368"/>
      <c r="BT39" s="368"/>
      <c r="BU39" s="368"/>
      <c r="BV39" s="368"/>
      <c r="BW39" s="368"/>
      <c r="BX39" s="368"/>
      <c r="BY39" s="368"/>
      <c r="BZ39" s="368"/>
      <c r="CA39" s="368"/>
      <c r="CB39" s="368"/>
      <c r="CC39" s="368"/>
      <c r="CD39" s="368"/>
      <c r="CE39" s="368"/>
      <c r="CF39" s="368"/>
      <c r="CG39" s="368"/>
      <c r="CH39" s="368"/>
      <c r="CI39" s="368"/>
      <c r="CJ39" s="368"/>
      <c r="CK39" s="368"/>
      <c r="CL39" s="368"/>
      <c r="CM39" s="368"/>
      <c r="CN39" s="368"/>
      <c r="CO39" s="368"/>
      <c r="CP39" s="368"/>
      <c r="CQ39" s="368"/>
      <c r="CR39" s="368"/>
      <c r="CS39" s="368"/>
      <c r="CT39" s="368"/>
      <c r="CU39" s="368"/>
      <c r="CV39" s="368"/>
      <c r="CW39" s="368"/>
      <c r="CX39" s="368"/>
      <c r="CY39" s="368"/>
      <c r="CZ39" s="368"/>
      <c r="DA39" s="368"/>
      <c r="DB39" s="368"/>
      <c r="DC39" s="368"/>
      <c r="DD39" s="368"/>
      <c r="DE39" s="368"/>
      <c r="DF39" s="368"/>
      <c r="DG39" s="368"/>
      <c r="DH39" s="368"/>
      <c r="DI39" s="368"/>
      <c r="DJ39" s="368"/>
      <c r="DK39" s="368"/>
      <c r="DL39" s="368"/>
      <c r="DM39" s="368"/>
      <c r="DN39" s="368"/>
      <c r="DO39" s="368"/>
      <c r="DP39" s="368"/>
      <c r="DQ39" s="368"/>
      <c r="DR39" s="368"/>
      <c r="DS39" s="368"/>
      <c r="DT39" s="368"/>
      <c r="DU39" s="368"/>
      <c r="DW39" s="368">
        <f t="shared" si="290"/>
        <v>0</v>
      </c>
      <c r="DX39" s="368">
        <f t="shared" si="291"/>
        <v>0</v>
      </c>
      <c r="DY39" s="368">
        <f t="shared" si="292"/>
        <v>0</v>
      </c>
      <c r="DZ39" s="368">
        <f t="shared" si="293"/>
        <v>0</v>
      </c>
      <c r="EA39" s="368">
        <f t="shared" si="294"/>
        <v>0</v>
      </c>
      <c r="EB39" s="368">
        <f t="shared" si="295"/>
        <v>0</v>
      </c>
      <c r="EC39" s="368">
        <f t="shared" si="296"/>
        <v>0</v>
      </c>
      <c r="ED39" s="368">
        <f t="shared" si="209"/>
        <v>0</v>
      </c>
      <c r="EE39" s="368">
        <f t="shared" si="210"/>
        <v>0</v>
      </c>
      <c r="EF39" s="368">
        <f t="shared" si="211"/>
        <v>0</v>
      </c>
      <c r="EG39" s="368">
        <f t="shared" si="212"/>
        <v>0</v>
      </c>
      <c r="EH39" s="368">
        <f t="shared" si="213"/>
        <v>0</v>
      </c>
      <c r="EI39" s="368">
        <f t="shared" si="214"/>
        <v>0</v>
      </c>
      <c r="EJ39" s="368">
        <f t="shared" si="215"/>
        <v>0</v>
      </c>
      <c r="EK39" s="368">
        <f t="shared" si="216"/>
        <v>0</v>
      </c>
      <c r="EL39" s="368">
        <f t="shared" si="217"/>
        <v>0</v>
      </c>
      <c r="EM39" s="368">
        <f t="shared" si="218"/>
        <v>0</v>
      </c>
      <c r="EN39" s="368">
        <f t="shared" si="219"/>
        <v>0</v>
      </c>
      <c r="EO39" s="368">
        <f t="shared" si="220"/>
        <v>0</v>
      </c>
      <c r="EP39" s="368">
        <f t="shared" si="221"/>
        <v>0</v>
      </c>
      <c r="EQ39" s="368">
        <f t="shared" si="222"/>
        <v>0</v>
      </c>
      <c r="ER39" s="368">
        <f t="shared" si="223"/>
        <v>0</v>
      </c>
      <c r="ES39" s="368">
        <f t="shared" si="224"/>
        <v>0</v>
      </c>
      <c r="ET39" s="368">
        <f t="shared" si="224"/>
        <v>0</v>
      </c>
      <c r="EU39" s="368">
        <f t="shared" si="225"/>
        <v>0</v>
      </c>
      <c r="EV39" s="368">
        <f t="shared" si="226"/>
        <v>0</v>
      </c>
      <c r="EW39" s="368">
        <f t="shared" si="227"/>
        <v>0</v>
      </c>
      <c r="EX39" s="368">
        <f t="shared" si="228"/>
        <v>0</v>
      </c>
      <c r="EY39" s="368">
        <f t="shared" si="229"/>
        <v>0</v>
      </c>
      <c r="EZ39" s="368">
        <f t="shared" si="230"/>
        <v>0</v>
      </c>
      <c r="FA39" s="368">
        <f t="shared" si="231"/>
        <v>0</v>
      </c>
      <c r="FB39" s="368">
        <f t="shared" si="232"/>
        <v>0</v>
      </c>
      <c r="FC39" s="368">
        <f t="shared" si="233"/>
        <v>0</v>
      </c>
      <c r="FD39" s="368">
        <f t="shared" si="234"/>
        <v>0</v>
      </c>
      <c r="FE39" s="368">
        <f t="shared" si="235"/>
        <v>0</v>
      </c>
      <c r="FF39" s="368">
        <f t="shared" si="236"/>
        <v>0</v>
      </c>
      <c r="FG39" s="368">
        <f t="shared" si="237"/>
        <v>0</v>
      </c>
      <c r="FH39" s="368">
        <f t="shared" si="238"/>
        <v>0</v>
      </c>
      <c r="FI39" s="368">
        <f t="shared" si="239"/>
        <v>0</v>
      </c>
      <c r="FJ39" s="368">
        <f t="shared" si="240"/>
        <v>0</v>
      </c>
      <c r="FK39" s="368">
        <f t="shared" si="241"/>
        <v>0</v>
      </c>
      <c r="FL39" s="368">
        <f t="shared" si="242"/>
        <v>0</v>
      </c>
      <c r="FM39" s="368">
        <f t="shared" si="243"/>
        <v>0</v>
      </c>
      <c r="FN39" s="368">
        <f t="shared" si="244"/>
        <v>0</v>
      </c>
      <c r="FO39" s="368">
        <f t="shared" si="245"/>
        <v>0</v>
      </c>
      <c r="FP39" s="368">
        <f t="shared" si="246"/>
        <v>0</v>
      </c>
      <c r="FQ39" s="368">
        <f t="shared" si="247"/>
        <v>0</v>
      </c>
      <c r="FR39" s="368">
        <f t="shared" si="248"/>
        <v>0</v>
      </c>
      <c r="FS39" s="368">
        <f t="shared" si="249"/>
        <v>0</v>
      </c>
      <c r="FT39" s="368">
        <f t="shared" si="250"/>
        <v>0</v>
      </c>
      <c r="FU39" s="368"/>
      <c r="FV39" s="368"/>
      <c r="FW39" s="368"/>
      <c r="FX39" s="368"/>
      <c r="FY39" s="368">
        <f t="shared" si="68"/>
        <v>0</v>
      </c>
      <c r="FZ39" s="368">
        <f t="shared" si="69"/>
        <v>0</v>
      </c>
      <c r="GA39" s="368">
        <f t="shared" si="70"/>
        <v>0</v>
      </c>
      <c r="GB39" s="368">
        <f t="shared" si="71"/>
        <v>0</v>
      </c>
      <c r="GC39" s="368">
        <f t="shared" si="72"/>
        <v>0</v>
      </c>
      <c r="GD39" s="368">
        <f t="shared" si="73"/>
        <v>0</v>
      </c>
      <c r="GE39" s="368">
        <f t="shared" si="74"/>
        <v>0</v>
      </c>
      <c r="GF39" s="368">
        <f t="shared" si="75"/>
        <v>0</v>
      </c>
      <c r="GG39" s="368">
        <f t="shared" si="76"/>
        <v>0</v>
      </c>
      <c r="GH39" s="368">
        <f t="shared" si="77"/>
        <v>0</v>
      </c>
      <c r="GI39" s="368">
        <f t="shared" si="78"/>
        <v>0</v>
      </c>
      <c r="GJ39" s="368">
        <f t="shared" si="79"/>
        <v>0</v>
      </c>
      <c r="GK39" s="368">
        <f t="shared" si="80"/>
        <v>0</v>
      </c>
      <c r="GL39" s="368"/>
      <c r="GM39" s="368">
        <f t="shared" si="81"/>
        <v>0</v>
      </c>
    </row>
    <row r="40" spans="1:195" s="83" customFormat="1" ht="20.100000000000001" hidden="1" customHeight="1">
      <c r="A40" s="357" t="s">
        <v>334</v>
      </c>
      <c r="B40" s="357" t="s">
        <v>527</v>
      </c>
      <c r="C40" s="357" t="str">
        <f t="shared" si="302"/>
        <v>PMCC-1</v>
      </c>
      <c r="D40" s="395" t="s">
        <v>531</v>
      </c>
      <c r="E40" s="493" t="s">
        <v>401</v>
      </c>
      <c r="F40" s="357" t="s">
        <v>29</v>
      </c>
      <c r="G40" s="357" t="s">
        <v>350</v>
      </c>
      <c r="H40" s="352">
        <v>78</v>
      </c>
      <c r="I40" s="357" t="s">
        <v>330</v>
      </c>
      <c r="J40" s="357" t="s">
        <v>331</v>
      </c>
      <c r="K40" s="353">
        <v>400</v>
      </c>
      <c r="L40" s="360">
        <v>0.85</v>
      </c>
      <c r="M40" s="352">
        <v>0.95700000000000007</v>
      </c>
      <c r="N40" s="359">
        <f>IF(I40="kVA",IF(J40="3Ph",(H40*1000/(1.732*M40*K40)),(H40*1000/(M40*K40))),IF(I40="kW",IF(J40="3Ph",(H40*1000/(1.732*M40*K40*L40)),(H40*1000/(M40*K40*L40)))))</f>
        <v>138.40630042514155</v>
      </c>
      <c r="O40" s="359">
        <f t="shared" si="2"/>
        <v>830.43780255084926</v>
      </c>
      <c r="P40" s="360">
        <f>IF(G40="MOTOR",0.2,"0.00")</f>
        <v>0.2</v>
      </c>
      <c r="Q40" s="352">
        <v>65</v>
      </c>
      <c r="R40" s="352">
        <v>0</v>
      </c>
      <c r="S40" s="352">
        <f>(Q40*1000*SQRT(R40)/143)</f>
        <v>0</v>
      </c>
      <c r="T40" s="360" t="s">
        <v>131</v>
      </c>
      <c r="U40" s="352" t="s">
        <v>333</v>
      </c>
      <c r="V40" s="360">
        <v>150</v>
      </c>
      <c r="W40" s="360" t="str">
        <f>CONCATENATE(U40," X ",V40)</f>
        <v>3C X 150</v>
      </c>
      <c r="X40" s="360" t="str">
        <f>(IF(J40="1Ph",W40,IF(J40="3Ph",(IF(G40="MOTOR",(CONCATENATE(W40,"+PE")),W40)))))</f>
        <v>3C X 150+PE</v>
      </c>
      <c r="Y40" s="360" t="s">
        <v>358</v>
      </c>
      <c r="Z40" s="361">
        <f>IF(T40="AIR",VLOOKUP(W40,'Catalogue Aluminium'!$B$9:$G$93,2,FALSE),IF(T40="GROUND",VLOOKUP(W40,'Catalogue Aluminium'!$B$9:$G$93,3,FALSE),IF(T40="DUCT",VLOOKUP(W40,'Catalogue Aluminium'!$B$9:$G$93,4,FALSE),IF(T40="TRENCH",VLOOKUP(W40,'Catalogue Aluminium'!$B$9:$G$93,2,FALSE)))))</f>
        <v>293</v>
      </c>
      <c r="AA40" s="362">
        <f>VLOOKUP(W40,'Catalogue Aluminium'!$B$9:$G$93,5,FALSE)</f>
        <v>0.26400000000000001</v>
      </c>
      <c r="AB40" s="362">
        <f>VLOOKUP(W40,'Catalogue Aluminium'!$B$9:$G$93,6,FALSE)</f>
        <v>7.3200000000000001E-2</v>
      </c>
      <c r="AC40" s="360">
        <f>22+11</f>
        <v>33</v>
      </c>
      <c r="AD40" s="360">
        <f>11+34+48+10+30</f>
        <v>133</v>
      </c>
      <c r="AE40" s="456">
        <f t="shared" si="304"/>
        <v>22</v>
      </c>
      <c r="AF40" s="360">
        <v>8</v>
      </c>
      <c r="AG40" s="360">
        <f t="shared" si="303"/>
        <v>20</v>
      </c>
      <c r="AH40" s="363"/>
      <c r="AI40" s="361">
        <f>IF(T40="AIR",'Catalogue Aluminium'!$K$9,IF(T40="TRENCH",'Catalogue Aluminium'!$K$12,"NA"))</f>
        <v>0.89</v>
      </c>
      <c r="AJ40" s="359">
        <f>IF(T40="Air",(IF(U40="1C",'Catalogue Aluminium'!$L$9,'Catalogue Aluminium'!$M$9)),IF(T40="DUCT",(IF($U40="1C",'Catalogue Aluminium'!$L$10,'Catalogue Aluminium'!$M$10)),IF(T40="GROUND",(IF($U40="1C",'Catalogue Aluminium'!$L$11,'Catalogue Aluminium'!$M$11)),IF(T40="TRENCH",(IF($U40="1C",'Catalogue Aluminium'!$L$12,'Catalogue Aluminium'!$M$12))))))</f>
        <v>0.66</v>
      </c>
      <c r="AK40" s="361" t="str">
        <f>IF(T40="Air",'Catalogue Aluminium'!$N$9,IF(T40="GROUND",'Catalogue Aluminium'!$N$10,IF(T40="DUCT",'Catalogue Aluminium'!$N$11,IF(T40="TRENCH",'Catalogue Aluminium'!$N$12,"NA"))))</f>
        <v>NA</v>
      </c>
      <c r="AL40" s="361" t="str">
        <f>IF(T40="Air",(IF(U40="1C",'Catalogue Aluminium'!$O$9,'Catalogue Aluminium'!$P$9)),IF(T40="DUCT",(IF($U40="1C",'Catalogue Aluminium'!$O$10,'Catalogue Aluminium'!$P$10)),IF(T40="GROUND",(IF($U40="1C",'Catalogue Aluminium'!$O$11,'Catalogue Aluminium'!$P$11)),IF(T40="TRENCH",(IF($U40="1C",'Catalogue Aluminium'!$O$12,'Catalogue Aluminium'!$P$12))))))</f>
        <v>NA</v>
      </c>
      <c r="AM40" s="361" t="str">
        <f>IF(T40="AIR","NA",IF(T40="TRENCH","NA",IF(T40="DUCT",IF(U40="1C",VLOOKUP(V40,'Catalogue Aluminium'!$Q$9:$S$28,2,FALSE),VLOOKUP(V40,'Catalogue Aluminium'!$Q$9:$S$28,3)),IF(T40="GROUND",IF(U40="1C",VLOOKUP(V40,'Catalogue Aluminium'!$Q$9:$S$28,2,FALSE),VLOOKUP(V40,'Catalogue Aluminium'!$Q$9:$S$28,3))))))</f>
        <v>NA</v>
      </c>
      <c r="AN40" s="365">
        <f>IF(T40="AIR",AI40*AJ40,IF(T40="TRENCH",AI40*AJ40,IF(T40="DUCT",AJ40*AK40*AL40*AM40,IF(T40="GROUND",AJ40*AK40*AL40*AM40))))</f>
        <v>0.58740000000000003</v>
      </c>
      <c r="AO40" s="352">
        <f>Z40*AN40</f>
        <v>172.10820000000001</v>
      </c>
      <c r="AP40" s="353">
        <f t="shared" si="10"/>
        <v>1</v>
      </c>
      <c r="AQ40" s="352" t="str">
        <f>IF(AO40*AP40&gt;=N40,"YES","NO")</f>
        <v>YES</v>
      </c>
      <c r="AR40" s="365">
        <f>SQRT(3)*AH40*N40*((AA40*L40)+(AB40*SIN(ACOS(L40))))*100/(AP40*K40*1000)</f>
        <v>0</v>
      </c>
      <c r="AS40" s="496" t="str">
        <f>IF(G40="INCOMER",(IF(AR40&lt;=2,"YES","NO")),IF(G40="POWER",(IF(AR40&lt;=2.5,"YES","NO")),IF(G40="MOTOR",(IF(AR40&lt;=3,"YES","NO")))))</f>
        <v>YES</v>
      </c>
      <c r="AT40" s="497">
        <f>IF(G40="MOTOR",(SQRT(3)*AH40*O40*((AA40*P40)+(AB40*SIN(ACOS(P40))))*100/(AP40*K40*1000)),"NA")</f>
        <v>0</v>
      </c>
      <c r="AU40" s="360" t="str">
        <f>IF(G40="MOTOR",IF(AT40&lt;=15,"YES","NO"),"NA")</f>
        <v>YES</v>
      </c>
      <c r="AV40" s="366" t="str">
        <f>IF(U40="1C",CONCATENATE(AP40,"R x ",Y40,"kV x ",U40," x ",V40," Sqmm/Phase"),CONCATENATE(AP40,"R x ",0.6,"/1kV x ",U40," x ",V40," Sqmm"))</f>
        <v>1R x 0.6/1kV x 3C x 150 Sqmm</v>
      </c>
      <c r="AW40" s="366" t="str">
        <f>IF(U40="1C",CONCATENATE(AP40,"R x ",Y40,"kV x ",U40," x ",V40," Sqmm/Phase"),CONCATENATE(AP40,"R x ",0.6,"/1kV x ",U40," x ",V40,(IF(G40="MOTOR","+PE",""))," Sqmm"))</f>
        <v>1R x 0.6/1kV x 3C x 150+PE Sqmm</v>
      </c>
      <c r="AX40" s="360"/>
      <c r="AY40" s="367"/>
      <c r="AZ40" s="367"/>
      <c r="BA40" s="356" t="str">
        <f t="shared" si="301"/>
        <v/>
      </c>
      <c r="BB40" s="498"/>
      <c r="BC40" s="426"/>
      <c r="BE40" s="368"/>
      <c r="BF40" s="368"/>
      <c r="BG40" s="368"/>
      <c r="BH40" s="368"/>
      <c r="BI40" s="368"/>
      <c r="BJ40" s="368"/>
      <c r="BK40" s="368"/>
      <c r="BL40" s="368"/>
      <c r="BM40" s="368"/>
      <c r="BN40" s="368"/>
      <c r="BO40" s="368"/>
      <c r="BP40" s="368"/>
      <c r="BQ40" s="368"/>
      <c r="BR40" s="368"/>
      <c r="BS40" s="368"/>
      <c r="BT40" s="368"/>
      <c r="BU40" s="368"/>
      <c r="BV40" s="368"/>
      <c r="BW40" s="368"/>
      <c r="BX40" s="368"/>
      <c r="BY40" s="368"/>
      <c r="BZ40" s="368"/>
      <c r="CA40" s="368"/>
      <c r="CB40" s="368"/>
      <c r="CC40" s="368"/>
      <c r="CD40" s="368"/>
      <c r="CE40" s="368"/>
      <c r="CF40" s="368"/>
      <c r="CG40" s="368"/>
      <c r="CH40" s="368"/>
      <c r="CI40" s="368"/>
      <c r="CJ40" s="368"/>
      <c r="CK40" s="368"/>
      <c r="CL40" s="368"/>
      <c r="CM40" s="368"/>
      <c r="CN40" s="368"/>
      <c r="CO40" s="368"/>
      <c r="CP40" s="368"/>
      <c r="CQ40" s="368"/>
      <c r="CR40" s="368"/>
      <c r="CS40" s="368"/>
      <c r="CT40" s="368"/>
      <c r="CU40" s="368"/>
      <c r="CV40" s="368"/>
      <c r="CW40" s="368"/>
      <c r="CX40" s="368"/>
      <c r="CY40" s="368"/>
      <c r="CZ40" s="368"/>
      <c r="DA40" s="368"/>
      <c r="DB40" s="368"/>
      <c r="DC40" s="368"/>
      <c r="DD40" s="368"/>
      <c r="DE40" s="368"/>
      <c r="DF40" s="368"/>
      <c r="DG40" s="368"/>
      <c r="DH40" s="368"/>
      <c r="DI40" s="368"/>
      <c r="DJ40" s="368"/>
      <c r="DK40" s="368"/>
      <c r="DL40" s="368"/>
      <c r="DM40" s="368"/>
      <c r="DN40" s="368"/>
      <c r="DO40" s="368"/>
      <c r="DP40" s="368"/>
      <c r="DQ40" s="368"/>
      <c r="DR40" s="368"/>
      <c r="DS40" s="368"/>
      <c r="DT40" s="368"/>
      <c r="DU40" s="368"/>
      <c r="DW40" s="368">
        <f t="shared" si="290"/>
        <v>0</v>
      </c>
      <c r="DX40" s="368">
        <f t="shared" si="291"/>
        <v>0</v>
      </c>
      <c r="DY40" s="368">
        <f t="shared" si="292"/>
        <v>0</v>
      </c>
      <c r="DZ40" s="368">
        <f t="shared" si="293"/>
        <v>0</v>
      </c>
      <c r="EA40" s="368">
        <f t="shared" si="294"/>
        <v>0</v>
      </c>
      <c r="EB40" s="368">
        <f t="shared" si="295"/>
        <v>0</v>
      </c>
      <c r="EC40" s="368">
        <f t="shared" si="296"/>
        <v>0</v>
      </c>
      <c r="ED40" s="368">
        <f t="shared" si="209"/>
        <v>0</v>
      </c>
      <c r="EE40" s="368">
        <f t="shared" si="210"/>
        <v>0</v>
      </c>
      <c r="EF40" s="368">
        <f t="shared" si="211"/>
        <v>0</v>
      </c>
      <c r="EG40" s="368">
        <f t="shared" si="212"/>
        <v>0</v>
      </c>
      <c r="EH40" s="368">
        <f t="shared" si="213"/>
        <v>0</v>
      </c>
      <c r="EI40" s="368">
        <f t="shared" si="214"/>
        <v>0</v>
      </c>
      <c r="EJ40" s="368">
        <f t="shared" si="215"/>
        <v>0</v>
      </c>
      <c r="EK40" s="368">
        <f t="shared" si="216"/>
        <v>0</v>
      </c>
      <c r="EL40" s="368">
        <f t="shared" si="217"/>
        <v>0</v>
      </c>
      <c r="EM40" s="368">
        <f t="shared" si="218"/>
        <v>0</v>
      </c>
      <c r="EN40" s="368">
        <f t="shared" si="219"/>
        <v>0</v>
      </c>
      <c r="EO40" s="368">
        <f t="shared" si="220"/>
        <v>0</v>
      </c>
      <c r="EP40" s="368">
        <f t="shared" si="221"/>
        <v>0</v>
      </c>
      <c r="EQ40" s="368">
        <f t="shared" si="222"/>
        <v>0</v>
      </c>
      <c r="ER40" s="368">
        <f t="shared" si="223"/>
        <v>0</v>
      </c>
      <c r="ES40" s="368">
        <f t="shared" si="224"/>
        <v>0</v>
      </c>
      <c r="ET40" s="368">
        <f t="shared" si="224"/>
        <v>0</v>
      </c>
      <c r="EU40" s="368">
        <f t="shared" si="225"/>
        <v>0</v>
      </c>
      <c r="EV40" s="368">
        <f t="shared" si="226"/>
        <v>0</v>
      </c>
      <c r="EW40" s="368">
        <f t="shared" si="227"/>
        <v>0</v>
      </c>
      <c r="EX40" s="368">
        <f t="shared" si="228"/>
        <v>0</v>
      </c>
      <c r="EY40" s="368">
        <f t="shared" si="229"/>
        <v>0</v>
      </c>
      <c r="EZ40" s="368">
        <f t="shared" si="230"/>
        <v>0</v>
      </c>
      <c r="FA40" s="368">
        <f t="shared" si="231"/>
        <v>0</v>
      </c>
      <c r="FB40" s="368">
        <f t="shared" si="232"/>
        <v>0</v>
      </c>
      <c r="FC40" s="368">
        <f t="shared" si="233"/>
        <v>0</v>
      </c>
      <c r="FD40" s="368">
        <f t="shared" si="234"/>
        <v>0</v>
      </c>
      <c r="FE40" s="368">
        <f t="shared" si="235"/>
        <v>0</v>
      </c>
      <c r="FF40" s="368">
        <f t="shared" si="236"/>
        <v>0</v>
      </c>
      <c r="FG40" s="368">
        <f t="shared" si="237"/>
        <v>0</v>
      </c>
      <c r="FH40" s="368">
        <f t="shared" si="238"/>
        <v>0</v>
      </c>
      <c r="FI40" s="368">
        <f t="shared" si="239"/>
        <v>0</v>
      </c>
      <c r="FJ40" s="368">
        <f t="shared" si="240"/>
        <v>0</v>
      </c>
      <c r="FK40" s="368">
        <f t="shared" si="241"/>
        <v>0</v>
      </c>
      <c r="FL40" s="368">
        <f t="shared" si="242"/>
        <v>0</v>
      </c>
      <c r="FM40" s="368">
        <f t="shared" si="243"/>
        <v>0</v>
      </c>
      <c r="FN40" s="368">
        <f t="shared" si="244"/>
        <v>0</v>
      </c>
      <c r="FO40" s="368">
        <f t="shared" si="245"/>
        <v>0</v>
      </c>
      <c r="FP40" s="368">
        <f t="shared" si="246"/>
        <v>0</v>
      </c>
      <c r="FQ40" s="368">
        <f t="shared" si="247"/>
        <v>0</v>
      </c>
      <c r="FR40" s="368">
        <f t="shared" si="248"/>
        <v>0</v>
      </c>
      <c r="FS40" s="368">
        <f t="shared" si="249"/>
        <v>0</v>
      </c>
      <c r="FT40" s="368">
        <f t="shared" si="250"/>
        <v>0</v>
      </c>
      <c r="FU40" s="368"/>
      <c r="FV40" s="368"/>
      <c r="FW40" s="368"/>
      <c r="FX40" s="368"/>
      <c r="FY40" s="368">
        <f t="shared" si="68"/>
        <v>0</v>
      </c>
      <c r="FZ40" s="368">
        <f t="shared" si="69"/>
        <v>0</v>
      </c>
      <c r="GA40" s="368">
        <f t="shared" si="70"/>
        <v>0</v>
      </c>
      <c r="GB40" s="368">
        <f t="shared" si="71"/>
        <v>0</v>
      </c>
      <c r="GC40" s="368">
        <f t="shared" si="72"/>
        <v>0</v>
      </c>
      <c r="GD40" s="368">
        <f t="shared" si="73"/>
        <v>0</v>
      </c>
      <c r="GE40" s="368">
        <f t="shared" si="74"/>
        <v>0</v>
      </c>
      <c r="GF40" s="368">
        <f t="shared" si="75"/>
        <v>0</v>
      </c>
      <c r="GG40" s="368">
        <f t="shared" si="76"/>
        <v>0</v>
      </c>
      <c r="GH40" s="368">
        <f t="shared" si="77"/>
        <v>0</v>
      </c>
      <c r="GI40" s="368">
        <f t="shared" si="78"/>
        <v>0</v>
      </c>
      <c r="GJ40" s="368">
        <f t="shared" si="79"/>
        <v>0</v>
      </c>
      <c r="GK40" s="368">
        <f t="shared" si="80"/>
        <v>0</v>
      </c>
      <c r="GL40" s="368"/>
      <c r="GM40" s="368">
        <f t="shared" si="81"/>
        <v>0</v>
      </c>
    </row>
    <row r="41" spans="1:195" s="83" customFormat="1" ht="20.100000000000001" hidden="1" customHeight="1">
      <c r="A41" s="357" t="s">
        <v>334</v>
      </c>
      <c r="B41" s="357" t="s">
        <v>527</v>
      </c>
      <c r="C41" s="357" t="str">
        <f t="shared" si="302"/>
        <v>PMCC-1</v>
      </c>
      <c r="D41" s="395" t="s">
        <v>532</v>
      </c>
      <c r="E41" s="493" t="s">
        <v>401</v>
      </c>
      <c r="F41" s="357" t="s">
        <v>29</v>
      </c>
      <c r="G41" s="357" t="s">
        <v>350</v>
      </c>
      <c r="H41" s="352">
        <v>78</v>
      </c>
      <c r="I41" s="357" t="s">
        <v>330</v>
      </c>
      <c r="J41" s="357" t="s">
        <v>331</v>
      </c>
      <c r="K41" s="353">
        <v>400</v>
      </c>
      <c r="L41" s="360">
        <v>0.85</v>
      </c>
      <c r="M41" s="352">
        <v>0.95700000000000007</v>
      </c>
      <c r="N41" s="359">
        <f>IF(I41="kVA",IF(J41="3Ph",(H41*1000/(1.732*M41*K41)),(H41*1000/(M41*K41))),IF(I41="kW",IF(J41="3Ph",(H41*1000/(1.732*M41*K41*L41)),(H41*1000/(M41*K41*L41)))))</f>
        <v>138.40630042514155</v>
      </c>
      <c r="O41" s="359">
        <f t="shared" si="2"/>
        <v>830.43780255084926</v>
      </c>
      <c r="P41" s="360">
        <f>IF(G41="MOTOR",0.2,"0.00")</f>
        <v>0.2</v>
      </c>
      <c r="Q41" s="352">
        <v>65</v>
      </c>
      <c r="R41" s="352">
        <v>0</v>
      </c>
      <c r="S41" s="352">
        <f>(Q41*1000*SQRT(R41)/143)</f>
        <v>0</v>
      </c>
      <c r="T41" s="360" t="s">
        <v>131</v>
      </c>
      <c r="U41" s="352" t="s">
        <v>333</v>
      </c>
      <c r="V41" s="360">
        <v>150</v>
      </c>
      <c r="W41" s="360" t="str">
        <f>CONCATENATE(U41," X ",V41)</f>
        <v>3C X 150</v>
      </c>
      <c r="X41" s="360" t="str">
        <f>(IF(J41="1Ph",W41,IF(J41="3Ph",(IF(G41="MOTOR",(CONCATENATE(W41,"+PE")),W41)))))</f>
        <v>3C X 150+PE</v>
      </c>
      <c r="Y41" s="360" t="s">
        <v>358</v>
      </c>
      <c r="Z41" s="361">
        <f>IF(T41="AIR",VLOOKUP(W41,'Catalogue Aluminium'!$B$9:$G$93,2,FALSE),IF(T41="GROUND",VLOOKUP(W41,'Catalogue Aluminium'!$B$9:$G$93,3,FALSE),IF(T41="DUCT",VLOOKUP(W41,'Catalogue Aluminium'!$B$9:$G$93,4,FALSE),IF(T41="TRENCH",VLOOKUP(W41,'Catalogue Aluminium'!$B$9:$G$93,2,FALSE)))))</f>
        <v>293</v>
      </c>
      <c r="AA41" s="362">
        <f>VLOOKUP(W41,'Catalogue Aluminium'!$B$9:$G$93,5,FALSE)</f>
        <v>0.26400000000000001</v>
      </c>
      <c r="AB41" s="362">
        <f>VLOOKUP(W41,'Catalogue Aluminium'!$B$9:$G$93,6,FALSE)</f>
        <v>7.3200000000000001E-2</v>
      </c>
      <c r="AC41" s="360">
        <f>22+11</f>
        <v>33</v>
      </c>
      <c r="AD41" s="360">
        <f>11+34+48+10+30</f>
        <v>133</v>
      </c>
      <c r="AE41" s="456">
        <f t="shared" si="304"/>
        <v>22</v>
      </c>
      <c r="AF41" s="360">
        <v>8</v>
      </c>
      <c r="AG41" s="360">
        <f t="shared" si="303"/>
        <v>20</v>
      </c>
      <c r="AH41" s="363"/>
      <c r="AI41" s="361">
        <f>IF(T41="AIR",'Catalogue Aluminium'!$K$9,IF(T41="TRENCH",'Catalogue Aluminium'!$K$12,"NA"))</f>
        <v>0.89</v>
      </c>
      <c r="AJ41" s="359">
        <f>IF(T41="Air",(IF(U41="1C",'Catalogue Aluminium'!$L$9,'Catalogue Aluminium'!$M$9)),IF(T41="DUCT",(IF($U41="1C",'Catalogue Aluminium'!$L$10,'Catalogue Aluminium'!$M$10)),IF(T41="GROUND",(IF($U41="1C",'Catalogue Aluminium'!$L$11,'Catalogue Aluminium'!$M$11)),IF(T41="TRENCH",(IF($U41="1C",'Catalogue Aluminium'!$L$12,'Catalogue Aluminium'!$M$12))))))</f>
        <v>0.66</v>
      </c>
      <c r="AK41" s="361" t="str">
        <f>IF(T41="Air",'Catalogue Aluminium'!$N$9,IF(T41="GROUND",'Catalogue Aluminium'!$N$10,IF(T41="DUCT",'Catalogue Aluminium'!$N$11,IF(T41="TRENCH",'Catalogue Aluminium'!$N$12,"NA"))))</f>
        <v>NA</v>
      </c>
      <c r="AL41" s="361" t="str">
        <f>IF(T41="Air",(IF(U41="1C",'Catalogue Aluminium'!$O$9,'Catalogue Aluminium'!$P$9)),IF(T41="DUCT",(IF($U41="1C",'Catalogue Aluminium'!$O$10,'Catalogue Aluminium'!$P$10)),IF(T41="GROUND",(IF($U41="1C",'Catalogue Aluminium'!$O$11,'Catalogue Aluminium'!$P$11)),IF(T41="TRENCH",(IF($U41="1C",'Catalogue Aluminium'!$O$12,'Catalogue Aluminium'!$P$12))))))</f>
        <v>NA</v>
      </c>
      <c r="AM41" s="361" t="str">
        <f>IF(T41="AIR","NA",IF(T41="TRENCH","NA",IF(T41="DUCT",IF(U41="1C",VLOOKUP(V41,'Catalogue Aluminium'!$Q$9:$S$28,2,FALSE),VLOOKUP(V41,'Catalogue Aluminium'!$Q$9:$S$28,3)),IF(T41="GROUND",IF(U41="1C",VLOOKUP(V41,'Catalogue Aluminium'!$Q$9:$S$28,2,FALSE),VLOOKUP(V41,'Catalogue Aluminium'!$Q$9:$S$28,3))))))</f>
        <v>NA</v>
      </c>
      <c r="AN41" s="365">
        <f>IF(T41="AIR",AI41*AJ41,IF(T41="TRENCH",AI41*AJ41,IF(T41="DUCT",AJ41*AK41*AL41*AM41,IF(T41="GROUND",AJ41*AK41*AL41*AM41))))</f>
        <v>0.58740000000000003</v>
      </c>
      <c r="AO41" s="352">
        <f>Z41*AN41</f>
        <v>172.10820000000001</v>
      </c>
      <c r="AP41" s="353">
        <f t="shared" si="10"/>
        <v>1</v>
      </c>
      <c r="AQ41" s="352" t="str">
        <f>IF(AO41*AP41&gt;=N41,"YES","NO")</f>
        <v>YES</v>
      </c>
      <c r="AR41" s="365">
        <f>SQRT(3)*AH41*N41*((AA41*L41)+(AB41*SIN(ACOS(L41))))*100/(AP41*K41*1000)</f>
        <v>0</v>
      </c>
      <c r="AS41" s="496" t="str">
        <f>IF(G41="INCOMER",(IF(AR41&lt;=2,"YES","NO")),IF(G41="POWER",(IF(AR41&lt;=2.5,"YES","NO")),IF(G41="MOTOR",(IF(AR41&lt;=3,"YES","NO")))))</f>
        <v>YES</v>
      </c>
      <c r="AT41" s="497">
        <f>IF(G41="MOTOR",(SQRT(3)*AH41*O41*((AA41*P41)+(AB41*SIN(ACOS(P41))))*100/(AP41*K41*1000)),"NA")</f>
        <v>0</v>
      </c>
      <c r="AU41" s="360" t="str">
        <f>IF(G41="MOTOR",IF(AT41&lt;=15,"YES","NO"),"NA")</f>
        <v>YES</v>
      </c>
      <c r="AV41" s="366" t="str">
        <f>IF(U41="1C",CONCATENATE(AP41,"R x ",Y41,"kV x ",U41," x ",V41," Sqmm/Phase"),CONCATENATE(AP41,"R x ",0.6,"/1kV x ",U41," x ",V41," Sqmm"))</f>
        <v>1R x 0.6/1kV x 3C x 150 Sqmm</v>
      </c>
      <c r="AW41" s="366" t="str">
        <f>IF(U41="1C",CONCATENATE(AP41,"R x ",Y41,"kV x ",U41," x ",V41," Sqmm/Phase"),CONCATENATE(AP41,"R x ",0.6,"/1kV x ",U41," x ",V41,(IF(G41="MOTOR","+PE",""))," Sqmm"))</f>
        <v>1R x 0.6/1kV x 3C x 150+PE Sqmm</v>
      </c>
      <c r="AX41" s="360"/>
      <c r="AY41" s="367"/>
      <c r="AZ41" s="367"/>
      <c r="BA41" s="356" t="str">
        <f t="shared" si="301"/>
        <v/>
      </c>
      <c r="BB41" s="498"/>
      <c r="BC41" s="426"/>
      <c r="BE41" s="368"/>
      <c r="BF41" s="368"/>
      <c r="BG41" s="368"/>
      <c r="BH41" s="368"/>
      <c r="BI41" s="368"/>
      <c r="BJ41" s="368"/>
      <c r="BK41" s="368"/>
      <c r="BL41" s="368"/>
      <c r="BM41" s="368"/>
      <c r="BN41" s="368"/>
      <c r="BO41" s="368"/>
      <c r="BP41" s="368"/>
      <c r="BQ41" s="368"/>
      <c r="BR41" s="368"/>
      <c r="BS41" s="368"/>
      <c r="BT41" s="368"/>
      <c r="BU41" s="368"/>
      <c r="BV41" s="368"/>
      <c r="BW41" s="368"/>
      <c r="BX41" s="368"/>
      <c r="BY41" s="368"/>
      <c r="BZ41" s="368"/>
      <c r="CA41" s="368"/>
      <c r="CB41" s="368"/>
      <c r="CC41" s="368"/>
      <c r="CD41" s="368"/>
      <c r="CE41" s="368"/>
      <c r="CF41" s="368"/>
      <c r="CG41" s="368"/>
      <c r="CH41" s="368"/>
      <c r="CI41" s="368"/>
      <c r="CJ41" s="368"/>
      <c r="CK41" s="368"/>
      <c r="CL41" s="368"/>
      <c r="CM41" s="368"/>
      <c r="CN41" s="368"/>
      <c r="CO41" s="368"/>
      <c r="CP41" s="368"/>
      <c r="CQ41" s="368"/>
      <c r="CR41" s="368"/>
      <c r="CS41" s="368"/>
      <c r="CT41" s="368"/>
      <c r="CU41" s="368"/>
      <c r="CV41" s="368"/>
      <c r="CW41" s="368"/>
      <c r="CX41" s="368"/>
      <c r="CY41" s="368"/>
      <c r="CZ41" s="368"/>
      <c r="DA41" s="368"/>
      <c r="DB41" s="368"/>
      <c r="DC41" s="368"/>
      <c r="DD41" s="368"/>
      <c r="DE41" s="368"/>
      <c r="DF41" s="368"/>
      <c r="DG41" s="368"/>
      <c r="DH41" s="368"/>
      <c r="DI41" s="368"/>
      <c r="DJ41" s="368"/>
      <c r="DK41" s="368"/>
      <c r="DL41" s="368"/>
      <c r="DM41" s="368"/>
      <c r="DN41" s="368"/>
      <c r="DO41" s="368"/>
      <c r="DP41" s="368"/>
      <c r="DQ41" s="368"/>
      <c r="DR41" s="368"/>
      <c r="DS41" s="368"/>
      <c r="DT41" s="368"/>
      <c r="DU41" s="368"/>
      <c r="DW41" s="368">
        <f t="shared" si="290"/>
        <v>0</v>
      </c>
      <c r="DX41" s="368">
        <f t="shared" si="291"/>
        <v>0</v>
      </c>
      <c r="DY41" s="368">
        <f t="shared" si="292"/>
        <v>0</v>
      </c>
      <c r="DZ41" s="368">
        <f t="shared" si="293"/>
        <v>0</v>
      </c>
      <c r="EA41" s="368">
        <f t="shared" si="294"/>
        <v>0</v>
      </c>
      <c r="EB41" s="368">
        <f t="shared" si="295"/>
        <v>0</v>
      </c>
      <c r="EC41" s="368">
        <f t="shared" si="296"/>
        <v>0</v>
      </c>
      <c r="ED41" s="368">
        <f t="shared" si="209"/>
        <v>0</v>
      </c>
      <c r="EE41" s="368">
        <f t="shared" si="210"/>
        <v>0</v>
      </c>
      <c r="EF41" s="368">
        <f t="shared" si="211"/>
        <v>0</v>
      </c>
      <c r="EG41" s="368">
        <f t="shared" si="212"/>
        <v>0</v>
      </c>
      <c r="EH41" s="368">
        <f t="shared" si="213"/>
        <v>0</v>
      </c>
      <c r="EI41" s="368">
        <f t="shared" si="214"/>
        <v>0</v>
      </c>
      <c r="EJ41" s="368">
        <f t="shared" si="215"/>
        <v>0</v>
      </c>
      <c r="EK41" s="368">
        <f t="shared" si="216"/>
        <v>0</v>
      </c>
      <c r="EL41" s="368">
        <f t="shared" si="217"/>
        <v>0</v>
      </c>
      <c r="EM41" s="368">
        <f t="shared" si="218"/>
        <v>0</v>
      </c>
      <c r="EN41" s="368">
        <f t="shared" si="219"/>
        <v>0</v>
      </c>
      <c r="EO41" s="368">
        <f t="shared" si="220"/>
        <v>0</v>
      </c>
      <c r="EP41" s="368">
        <f t="shared" si="221"/>
        <v>0</v>
      </c>
      <c r="EQ41" s="368">
        <f t="shared" si="222"/>
        <v>0</v>
      </c>
      <c r="ER41" s="368">
        <f t="shared" si="223"/>
        <v>0</v>
      </c>
      <c r="ES41" s="368">
        <f t="shared" si="224"/>
        <v>0</v>
      </c>
      <c r="ET41" s="368">
        <f t="shared" si="224"/>
        <v>0</v>
      </c>
      <c r="EU41" s="368">
        <f t="shared" si="225"/>
        <v>0</v>
      </c>
      <c r="EV41" s="368">
        <f t="shared" si="226"/>
        <v>0</v>
      </c>
      <c r="EW41" s="368">
        <f t="shared" si="227"/>
        <v>0</v>
      </c>
      <c r="EX41" s="368">
        <f t="shared" si="228"/>
        <v>0</v>
      </c>
      <c r="EY41" s="368">
        <f t="shared" si="229"/>
        <v>0</v>
      </c>
      <c r="EZ41" s="368">
        <f t="shared" si="230"/>
        <v>0</v>
      </c>
      <c r="FA41" s="368">
        <f t="shared" si="231"/>
        <v>0</v>
      </c>
      <c r="FB41" s="368">
        <f t="shared" si="232"/>
        <v>0</v>
      </c>
      <c r="FC41" s="368">
        <f t="shared" si="233"/>
        <v>0</v>
      </c>
      <c r="FD41" s="368">
        <f t="shared" si="234"/>
        <v>0</v>
      </c>
      <c r="FE41" s="368">
        <f t="shared" si="235"/>
        <v>0</v>
      </c>
      <c r="FF41" s="368">
        <f t="shared" si="236"/>
        <v>0</v>
      </c>
      <c r="FG41" s="368">
        <f t="shared" si="237"/>
        <v>0</v>
      </c>
      <c r="FH41" s="368">
        <f t="shared" si="238"/>
        <v>0</v>
      </c>
      <c r="FI41" s="368">
        <f t="shared" si="239"/>
        <v>0</v>
      </c>
      <c r="FJ41" s="368">
        <f t="shared" si="240"/>
        <v>0</v>
      </c>
      <c r="FK41" s="368">
        <f t="shared" si="241"/>
        <v>0</v>
      </c>
      <c r="FL41" s="368">
        <f t="shared" si="242"/>
        <v>0</v>
      </c>
      <c r="FM41" s="368">
        <f t="shared" si="243"/>
        <v>0</v>
      </c>
      <c r="FN41" s="368">
        <f t="shared" si="244"/>
        <v>0</v>
      </c>
      <c r="FO41" s="368">
        <f t="shared" si="245"/>
        <v>0</v>
      </c>
      <c r="FP41" s="368">
        <f t="shared" si="246"/>
        <v>0</v>
      </c>
      <c r="FQ41" s="368">
        <f t="shared" si="247"/>
        <v>0</v>
      </c>
      <c r="FR41" s="368">
        <f t="shared" si="248"/>
        <v>0</v>
      </c>
      <c r="FS41" s="368">
        <f t="shared" si="249"/>
        <v>0</v>
      </c>
      <c r="FT41" s="368">
        <f t="shared" si="250"/>
        <v>0</v>
      </c>
      <c r="FU41" s="368"/>
      <c r="FV41" s="368"/>
      <c r="FW41" s="368"/>
      <c r="FX41" s="368"/>
      <c r="FY41" s="368">
        <f t="shared" si="68"/>
        <v>0</v>
      </c>
      <c r="FZ41" s="368">
        <f t="shared" si="69"/>
        <v>0</v>
      </c>
      <c r="GA41" s="368">
        <f t="shared" si="70"/>
        <v>0</v>
      </c>
      <c r="GB41" s="368">
        <f t="shared" si="71"/>
        <v>0</v>
      </c>
      <c r="GC41" s="368">
        <f t="shared" si="72"/>
        <v>0</v>
      </c>
      <c r="GD41" s="368">
        <f t="shared" si="73"/>
        <v>0</v>
      </c>
      <c r="GE41" s="368">
        <f t="shared" si="74"/>
        <v>0</v>
      </c>
      <c r="GF41" s="368">
        <f t="shared" si="75"/>
        <v>0</v>
      </c>
      <c r="GG41" s="368">
        <f t="shared" si="76"/>
        <v>0</v>
      </c>
      <c r="GH41" s="368">
        <f t="shared" si="77"/>
        <v>0</v>
      </c>
      <c r="GI41" s="368">
        <f t="shared" si="78"/>
        <v>0</v>
      </c>
      <c r="GJ41" s="368">
        <f t="shared" si="79"/>
        <v>0</v>
      </c>
      <c r="GK41" s="368">
        <f t="shared" si="80"/>
        <v>0</v>
      </c>
      <c r="GL41" s="368"/>
      <c r="GM41" s="368">
        <f t="shared" si="81"/>
        <v>0</v>
      </c>
    </row>
    <row r="42" spans="1:195" s="83" customFormat="1" ht="20.100000000000001" hidden="1" customHeight="1">
      <c r="A42" s="357" t="s">
        <v>334</v>
      </c>
      <c r="B42" s="357" t="s">
        <v>527</v>
      </c>
      <c r="C42" s="357" t="str">
        <f t="shared" si="302"/>
        <v>PMCC-1</v>
      </c>
      <c r="D42" s="395" t="s">
        <v>533</v>
      </c>
      <c r="E42" s="493" t="s">
        <v>401</v>
      </c>
      <c r="F42" s="357" t="s">
        <v>29</v>
      </c>
      <c r="G42" s="357" t="s">
        <v>329</v>
      </c>
      <c r="H42" s="352">
        <v>4</v>
      </c>
      <c r="I42" s="357" t="s">
        <v>330</v>
      </c>
      <c r="J42" s="357" t="s">
        <v>331</v>
      </c>
      <c r="K42" s="353">
        <v>400</v>
      </c>
      <c r="L42" s="360">
        <v>0.85</v>
      </c>
      <c r="M42" s="352">
        <v>0.95</v>
      </c>
      <c r="N42" s="359">
        <f>IF(I42="kVA",IF(J42="3Ph",(H42*1000/(1.732*M42*K42)),(H42*1000/(M42*K42))),IF(I42="kW",IF(J42="3Ph",(H42*1000/(1.732*M42*K42*L42)),(H42*1000/(M42*K42*L42)))))</f>
        <v>7.1500582729749258</v>
      </c>
      <c r="O42" s="359">
        <f t="shared" si="2"/>
        <v>0</v>
      </c>
      <c r="P42" s="360" t="str">
        <f>IF(G42="MOTOR",0.2,"0.00")</f>
        <v>0.00</v>
      </c>
      <c r="Q42" s="352">
        <v>65</v>
      </c>
      <c r="R42" s="352">
        <v>0</v>
      </c>
      <c r="S42" s="352">
        <f>(Q42*1000*SQRT(R42)/143)</f>
        <v>0</v>
      </c>
      <c r="T42" s="360" t="s">
        <v>131</v>
      </c>
      <c r="U42" s="352" t="s">
        <v>522</v>
      </c>
      <c r="V42" s="360">
        <v>16</v>
      </c>
      <c r="W42" s="360" t="str">
        <f>CONCATENATE(U42," X ",V42)</f>
        <v>4C X 16</v>
      </c>
      <c r="X42" s="360" t="str">
        <f>(IF(J42="1Ph",W42,IF(J42="3Ph",(IF(G42="MOTOR",(CONCATENATE(W42,"+PE")),W42)))))</f>
        <v>4C X 16</v>
      </c>
      <c r="Y42" s="360" t="s">
        <v>358</v>
      </c>
      <c r="Z42" s="361">
        <f>IF(T42="AIR",VLOOKUP(W42,'Catalogue Aluminium'!$B$9:$G$93,2,FALSE),IF(T42="GROUND",VLOOKUP(W42,'Catalogue Aluminium'!$B$9:$G$93,3,FALSE),IF(T42="DUCT",VLOOKUP(W42,'Catalogue Aluminium'!$B$9:$G$93,4,FALSE),IF(T42="TRENCH",VLOOKUP(W42,'Catalogue Aluminium'!$B$9:$G$93,2,FALSE)))))</f>
        <v>70</v>
      </c>
      <c r="AA42" s="362">
        <f>VLOOKUP(W42,'Catalogue Aluminium'!$B$9:$G$93,5,FALSE)</f>
        <v>2.44</v>
      </c>
      <c r="AB42" s="362">
        <f>VLOOKUP(W42,'Catalogue Aluminium'!$B$9:$G$93,6,FALSE)</f>
        <v>8.1500000000000003E-2</v>
      </c>
      <c r="AC42" s="360">
        <f>22+11</f>
        <v>33</v>
      </c>
      <c r="AD42" s="360">
        <f>11+34+48+10+30+25</f>
        <v>158</v>
      </c>
      <c r="AE42" s="456">
        <f t="shared" si="304"/>
        <v>22</v>
      </c>
      <c r="AF42" s="360">
        <v>8</v>
      </c>
      <c r="AG42" s="360">
        <f t="shared" si="303"/>
        <v>23</v>
      </c>
      <c r="AH42" s="363"/>
      <c r="AI42" s="361">
        <f>IF(T42="AIR",'Catalogue Aluminium'!$K$9,IF(T42="TRENCH",'Catalogue Aluminium'!$K$12,"NA"))</f>
        <v>0.89</v>
      </c>
      <c r="AJ42" s="359">
        <f>IF(T42="Air",(IF(U42="1C",'Catalogue Aluminium'!$L$9,'Catalogue Aluminium'!$M$9)),IF(T42="DUCT",(IF($U42="1C",'Catalogue Aluminium'!$L$10,'Catalogue Aluminium'!$M$10)),IF(T42="GROUND",(IF($U42="1C",'Catalogue Aluminium'!$L$11,'Catalogue Aluminium'!$M$11)),IF(T42="TRENCH",(IF($U42="1C",'Catalogue Aluminium'!$L$12,'Catalogue Aluminium'!$M$12))))))</f>
        <v>0.66</v>
      </c>
      <c r="AK42" s="361" t="str">
        <f>IF(T42="Air",'Catalogue Aluminium'!$N$9,IF(T42="GROUND",'Catalogue Aluminium'!$N$10,IF(T42="DUCT",'Catalogue Aluminium'!$N$11,IF(T42="TRENCH",'Catalogue Aluminium'!$N$12,"NA"))))</f>
        <v>NA</v>
      </c>
      <c r="AL42" s="361" t="str">
        <f>IF(T42="Air",(IF(U42="1C",'Catalogue Aluminium'!$O$9,'Catalogue Aluminium'!$P$9)),IF(T42="DUCT",(IF($U42="1C",'Catalogue Aluminium'!$O$10,'Catalogue Aluminium'!$P$10)),IF(T42="GROUND",(IF($U42="1C",'Catalogue Aluminium'!$O$11,'Catalogue Aluminium'!$P$11)),IF(T42="TRENCH",(IF($U42="1C",'Catalogue Aluminium'!$O$12,'Catalogue Aluminium'!$P$12))))))</f>
        <v>NA</v>
      </c>
      <c r="AM42" s="361" t="str">
        <f>IF(T42="AIR","NA",IF(T42="TRENCH","NA",IF(T42="DUCT",IF(U42="1C",VLOOKUP(V42,'Catalogue Aluminium'!$Q$9:$S$28,2,FALSE),VLOOKUP(V42,'Catalogue Aluminium'!$Q$9:$S$28,3)),IF(T42="GROUND",IF(U42="1C",VLOOKUP(V42,'Catalogue Aluminium'!$Q$9:$S$28,2,FALSE),VLOOKUP(V42,'Catalogue Aluminium'!$Q$9:$S$28,3))))))</f>
        <v>NA</v>
      </c>
      <c r="AN42" s="365">
        <f>IF(T42="AIR",AI42*AJ42,IF(T42="TRENCH",AI42*AJ42,IF(T42="DUCT",AJ42*AK42*AL42*AM42,IF(T42="GROUND",AJ42*AK42*AL42*AM42))))</f>
        <v>0.58740000000000003</v>
      </c>
      <c r="AO42" s="352">
        <f>Z42*AN42</f>
        <v>41.118000000000002</v>
      </c>
      <c r="AP42" s="353">
        <f t="shared" si="10"/>
        <v>1</v>
      </c>
      <c r="AQ42" s="352" t="str">
        <f>IF(AO42*AP42&gt;=N42,"YES","NO")</f>
        <v>YES</v>
      </c>
      <c r="AR42" s="365">
        <f>SQRT(3)*AH42*N42*((AA42*L42)+(AB42*SIN(ACOS(L42))))*100/(AP42*K42*1000)</f>
        <v>0</v>
      </c>
      <c r="AS42" s="496" t="str">
        <f>IF(G42="INCOMER",(IF(AR42&lt;=2,"YES","NO")),IF(G42="POWER",(IF(AR42&lt;=2.5,"YES","NO")),IF(G42="MOTOR",(IF(AR42&lt;=3,"YES","NO")))))</f>
        <v>YES</v>
      </c>
      <c r="AT42" s="365" t="str">
        <f>IF(G42="MOTOR",(SQRT(3)*AH42*O42*((AA42*L42)+(AB42*SIN(ACOS(L42))))*100/(AP42*K42*1000)),"NA")</f>
        <v>NA</v>
      </c>
      <c r="AU42" s="360" t="str">
        <f>IF(G42="MOTOR",IF(AT42&lt;=15,"YES","NO"),"NA")</f>
        <v>NA</v>
      </c>
      <c r="AV42" s="366" t="str">
        <f>IF(U42="1C",CONCATENATE(AP42,"R x ",Y42,"kV x ",U42," x ",V42," Sqmm/Phase"),CONCATENATE(AP42,"R x ",0.6,"/1kV x ",U42," x ",V42," Sqmm"))</f>
        <v>1R x 0.6/1kV x 4C x 16 Sqmm</v>
      </c>
      <c r="AW42" s="366" t="str">
        <f>IF(U42="1C",CONCATENATE(AP42,"R x ",Y42,"kV x ",U42," x ",V42," Sqmm/Phase"),CONCATENATE(AP42,"R x ",0.6,"/1kV x ",U42," x ",V42,(IF(G42="MOTOR","+PE",""))," Sqmm"))</f>
        <v>1R x 0.6/1kV x 4C x 16 Sqmm</v>
      </c>
      <c r="AX42" s="360"/>
      <c r="AY42" s="367"/>
      <c r="AZ42" s="367"/>
      <c r="BA42" s="356" t="str">
        <f t="shared" si="301"/>
        <v/>
      </c>
      <c r="BB42" s="498"/>
      <c r="BC42" s="426"/>
      <c r="BE42" s="368"/>
      <c r="BF42" s="368"/>
      <c r="BG42" s="368"/>
      <c r="BH42" s="368"/>
      <c r="BI42" s="368"/>
      <c r="BJ42" s="368"/>
      <c r="BK42" s="368"/>
      <c r="BL42" s="368"/>
      <c r="BM42" s="368"/>
      <c r="BN42" s="368"/>
      <c r="BO42" s="368"/>
      <c r="BP42" s="368"/>
      <c r="BQ42" s="368"/>
      <c r="BR42" s="368"/>
      <c r="BS42" s="368"/>
      <c r="BT42" s="368"/>
      <c r="BU42" s="368"/>
      <c r="BV42" s="368"/>
      <c r="BW42" s="368"/>
      <c r="BX42" s="368"/>
      <c r="BY42" s="368"/>
      <c r="BZ42" s="368"/>
      <c r="CA42" s="368"/>
      <c r="CB42" s="368"/>
      <c r="CC42" s="368"/>
      <c r="CD42" s="368"/>
      <c r="CE42" s="368"/>
      <c r="CF42" s="368"/>
      <c r="CG42" s="368"/>
      <c r="CH42" s="368"/>
      <c r="CI42" s="368"/>
      <c r="CJ42" s="368"/>
      <c r="CK42" s="368"/>
      <c r="CL42" s="368"/>
      <c r="CM42" s="368"/>
      <c r="CN42" s="368"/>
      <c r="CO42" s="368"/>
      <c r="CP42" s="368"/>
      <c r="CQ42" s="368"/>
      <c r="CR42" s="368"/>
      <c r="CS42" s="368"/>
      <c r="CT42" s="368"/>
      <c r="CU42" s="368"/>
      <c r="CV42" s="368"/>
      <c r="CW42" s="368"/>
      <c r="CX42" s="368"/>
      <c r="CY42" s="368"/>
      <c r="CZ42" s="368"/>
      <c r="DA42" s="368"/>
      <c r="DB42" s="368"/>
      <c r="DC42" s="368"/>
      <c r="DD42" s="368"/>
      <c r="DE42" s="368"/>
      <c r="DF42" s="368"/>
      <c r="DG42" s="368"/>
      <c r="DH42" s="368"/>
      <c r="DI42" s="368"/>
      <c r="DJ42" s="368"/>
      <c r="DK42" s="368"/>
      <c r="DL42" s="368"/>
      <c r="DM42" s="368"/>
      <c r="DN42" s="368"/>
      <c r="DO42" s="368"/>
      <c r="DP42" s="368"/>
      <c r="DQ42" s="368"/>
      <c r="DR42" s="368"/>
      <c r="DS42" s="368"/>
      <c r="DT42" s="368"/>
      <c r="DU42" s="368"/>
      <c r="DW42" s="368">
        <f t="shared" si="290"/>
        <v>0</v>
      </c>
      <c r="DX42" s="368">
        <f t="shared" si="291"/>
        <v>0</v>
      </c>
      <c r="DY42" s="368">
        <f t="shared" si="292"/>
        <v>0</v>
      </c>
      <c r="DZ42" s="368">
        <f t="shared" si="293"/>
        <v>0</v>
      </c>
      <c r="EA42" s="368">
        <f t="shared" si="294"/>
        <v>0</v>
      </c>
      <c r="EB42" s="368">
        <f t="shared" si="295"/>
        <v>0</v>
      </c>
      <c r="EC42" s="368">
        <f t="shared" si="296"/>
        <v>0</v>
      </c>
      <c r="ED42" s="368">
        <f t="shared" si="209"/>
        <v>0</v>
      </c>
      <c r="EE42" s="368">
        <f t="shared" si="210"/>
        <v>0</v>
      </c>
      <c r="EF42" s="368">
        <f t="shared" si="211"/>
        <v>0</v>
      </c>
      <c r="EG42" s="368">
        <f t="shared" si="212"/>
        <v>0</v>
      </c>
      <c r="EH42" s="368">
        <f t="shared" si="213"/>
        <v>0</v>
      </c>
      <c r="EI42" s="368">
        <f t="shared" si="214"/>
        <v>0</v>
      </c>
      <c r="EJ42" s="368">
        <f t="shared" si="215"/>
        <v>0</v>
      </c>
      <c r="EK42" s="368">
        <f t="shared" si="216"/>
        <v>0</v>
      </c>
      <c r="EL42" s="368">
        <f t="shared" si="217"/>
        <v>0</v>
      </c>
      <c r="EM42" s="368">
        <f t="shared" si="218"/>
        <v>0</v>
      </c>
      <c r="EN42" s="368">
        <f t="shared" si="219"/>
        <v>0</v>
      </c>
      <c r="EO42" s="368">
        <f t="shared" si="220"/>
        <v>0</v>
      </c>
      <c r="EP42" s="368">
        <f t="shared" si="221"/>
        <v>0</v>
      </c>
      <c r="EQ42" s="368">
        <f t="shared" si="222"/>
        <v>0</v>
      </c>
      <c r="ER42" s="368">
        <f t="shared" si="223"/>
        <v>0</v>
      </c>
      <c r="ES42" s="368">
        <f t="shared" si="224"/>
        <v>0</v>
      </c>
      <c r="ET42" s="368">
        <f t="shared" si="224"/>
        <v>0</v>
      </c>
      <c r="EU42" s="368">
        <f t="shared" si="225"/>
        <v>0</v>
      </c>
      <c r="EV42" s="368">
        <f t="shared" si="226"/>
        <v>0</v>
      </c>
      <c r="EW42" s="368">
        <f t="shared" si="227"/>
        <v>0</v>
      </c>
      <c r="EX42" s="368">
        <f t="shared" si="228"/>
        <v>0</v>
      </c>
      <c r="EY42" s="368">
        <f t="shared" si="229"/>
        <v>0</v>
      </c>
      <c r="EZ42" s="368">
        <f t="shared" si="230"/>
        <v>0</v>
      </c>
      <c r="FA42" s="368">
        <f t="shared" si="231"/>
        <v>0</v>
      </c>
      <c r="FB42" s="368">
        <f t="shared" si="232"/>
        <v>0</v>
      </c>
      <c r="FC42" s="368">
        <f t="shared" si="233"/>
        <v>0</v>
      </c>
      <c r="FD42" s="368">
        <f t="shared" si="234"/>
        <v>0</v>
      </c>
      <c r="FE42" s="368">
        <f t="shared" si="235"/>
        <v>0</v>
      </c>
      <c r="FF42" s="368">
        <f t="shared" si="236"/>
        <v>0</v>
      </c>
      <c r="FG42" s="368">
        <f t="shared" si="237"/>
        <v>0</v>
      </c>
      <c r="FH42" s="368">
        <f t="shared" si="238"/>
        <v>0</v>
      </c>
      <c r="FI42" s="368">
        <f t="shared" si="239"/>
        <v>0</v>
      </c>
      <c r="FJ42" s="368">
        <f t="shared" si="240"/>
        <v>0</v>
      </c>
      <c r="FK42" s="368">
        <f t="shared" si="241"/>
        <v>0</v>
      </c>
      <c r="FL42" s="368">
        <f t="shared" si="242"/>
        <v>0</v>
      </c>
      <c r="FM42" s="368">
        <f t="shared" si="243"/>
        <v>0</v>
      </c>
      <c r="FN42" s="368">
        <f t="shared" si="244"/>
        <v>0</v>
      </c>
      <c r="FO42" s="368">
        <f t="shared" si="245"/>
        <v>0</v>
      </c>
      <c r="FP42" s="368">
        <f t="shared" si="246"/>
        <v>0</v>
      </c>
      <c r="FQ42" s="368">
        <f t="shared" si="247"/>
        <v>0</v>
      </c>
      <c r="FR42" s="368">
        <f t="shared" si="248"/>
        <v>0</v>
      </c>
      <c r="FS42" s="368">
        <f t="shared" si="249"/>
        <v>0</v>
      </c>
      <c r="FT42" s="368">
        <f t="shared" si="250"/>
        <v>0</v>
      </c>
      <c r="FU42" s="368"/>
      <c r="FV42" s="368"/>
      <c r="FW42" s="368"/>
      <c r="FX42" s="368"/>
      <c r="FY42" s="368">
        <f t="shared" si="68"/>
        <v>0</v>
      </c>
      <c r="FZ42" s="368">
        <f t="shared" si="69"/>
        <v>0</v>
      </c>
      <c r="GA42" s="368">
        <f t="shared" si="70"/>
        <v>0</v>
      </c>
      <c r="GB42" s="368">
        <f t="shared" si="71"/>
        <v>0</v>
      </c>
      <c r="GC42" s="368">
        <f t="shared" si="72"/>
        <v>0</v>
      </c>
      <c r="GD42" s="368">
        <f t="shared" si="73"/>
        <v>0</v>
      </c>
      <c r="GE42" s="368">
        <f t="shared" si="74"/>
        <v>0</v>
      </c>
      <c r="GF42" s="368">
        <f t="shared" si="75"/>
        <v>0</v>
      </c>
      <c r="GG42" s="368">
        <f t="shared" si="76"/>
        <v>0</v>
      </c>
      <c r="GH42" s="368">
        <f t="shared" si="77"/>
        <v>0</v>
      </c>
      <c r="GI42" s="368">
        <f t="shared" si="78"/>
        <v>0</v>
      </c>
      <c r="GJ42" s="368">
        <f t="shared" si="79"/>
        <v>0</v>
      </c>
      <c r="GK42" s="368">
        <f t="shared" si="80"/>
        <v>0</v>
      </c>
      <c r="GL42" s="368"/>
      <c r="GM42" s="368">
        <f t="shared" si="81"/>
        <v>0</v>
      </c>
    </row>
    <row r="43" spans="1:195" s="76" customFormat="1" ht="20.100000000000001" customHeight="1">
      <c r="A43" s="373"/>
      <c r="B43" s="373"/>
      <c r="C43" s="373"/>
      <c r="D43" s="508" t="s">
        <v>365</v>
      </c>
      <c r="E43" s="509"/>
      <c r="F43" s="510"/>
      <c r="G43" s="373"/>
      <c r="H43" s="382"/>
      <c r="I43" s="373"/>
      <c r="J43" s="373"/>
      <c r="K43" s="381"/>
      <c r="L43" s="376"/>
      <c r="M43" s="382"/>
      <c r="N43" s="375"/>
      <c r="O43" s="375"/>
      <c r="P43" s="376"/>
      <c r="Q43" s="382"/>
      <c r="R43" s="382"/>
      <c r="S43" s="382"/>
      <c r="T43" s="376"/>
      <c r="U43" s="382"/>
      <c r="V43" s="376"/>
      <c r="W43" s="376"/>
      <c r="X43" s="376"/>
      <c r="Y43" s="376"/>
      <c r="Z43" s="377"/>
      <c r="AA43" s="378"/>
      <c r="AB43" s="378"/>
      <c r="AC43" s="378"/>
      <c r="AD43" s="378"/>
      <c r="AE43" s="378"/>
      <c r="AF43" s="378"/>
      <c r="AG43" s="378"/>
      <c r="AH43" s="378"/>
      <c r="AI43" s="377"/>
      <c r="AJ43" s="375"/>
      <c r="AK43" s="377"/>
      <c r="AL43" s="377"/>
      <c r="AM43" s="377"/>
      <c r="AN43" s="383"/>
      <c r="AO43" s="382"/>
      <c r="AP43" s="381"/>
      <c r="AQ43" s="382"/>
      <c r="AR43" s="383"/>
      <c r="AS43" s="376"/>
      <c r="AT43" s="383"/>
      <c r="AU43" s="383"/>
      <c r="AV43" s="384"/>
      <c r="AW43" s="384"/>
      <c r="AX43" s="376"/>
      <c r="AY43" s="385"/>
      <c r="AZ43" s="385"/>
      <c r="BA43" s="513" t="str">
        <f t="shared" si="301"/>
        <v/>
      </c>
      <c r="BB43" s="513"/>
      <c r="BC43" s="513"/>
      <c r="BE43" s="513"/>
      <c r="BF43" s="513"/>
      <c r="BG43" s="513"/>
      <c r="BH43" s="513"/>
      <c r="BI43" s="513"/>
      <c r="BJ43" s="513"/>
      <c r="BK43" s="513"/>
      <c r="BL43" s="513"/>
      <c r="BM43" s="513"/>
      <c r="BN43" s="513"/>
      <c r="BO43" s="513"/>
      <c r="BP43" s="513"/>
      <c r="BQ43" s="513"/>
      <c r="BR43" s="513"/>
      <c r="BS43" s="513"/>
      <c r="BT43" s="513"/>
      <c r="BU43" s="513"/>
      <c r="BV43" s="513"/>
      <c r="BW43" s="513"/>
      <c r="BX43" s="513"/>
      <c r="BY43" s="513"/>
      <c r="BZ43" s="513"/>
      <c r="CA43" s="513"/>
      <c r="CB43" s="513"/>
      <c r="CC43" s="513"/>
      <c r="CD43" s="513"/>
      <c r="CE43" s="513"/>
      <c r="CF43" s="513"/>
      <c r="CG43" s="513"/>
      <c r="CH43" s="513"/>
      <c r="CI43" s="513"/>
      <c r="CJ43" s="513"/>
      <c r="CK43" s="513"/>
      <c r="CL43" s="513"/>
      <c r="CM43" s="513"/>
      <c r="CN43" s="513"/>
      <c r="CO43" s="513"/>
      <c r="CP43" s="513"/>
      <c r="CQ43" s="513"/>
      <c r="CR43" s="513"/>
      <c r="CS43" s="513"/>
      <c r="CT43" s="513"/>
      <c r="CU43" s="513"/>
      <c r="CV43" s="513"/>
      <c r="CW43" s="513"/>
      <c r="CX43" s="513"/>
      <c r="CY43" s="513"/>
      <c r="CZ43" s="513"/>
      <c r="DA43" s="513"/>
      <c r="DB43" s="513"/>
      <c r="DC43" s="513"/>
      <c r="DD43" s="513"/>
      <c r="DE43" s="513"/>
      <c r="DF43" s="513"/>
      <c r="DG43" s="513"/>
      <c r="DH43" s="513"/>
      <c r="DI43" s="513"/>
      <c r="DJ43" s="513"/>
      <c r="DK43" s="513"/>
      <c r="DL43" s="513"/>
      <c r="DM43" s="513"/>
      <c r="DN43" s="513"/>
      <c r="DO43" s="513"/>
      <c r="DP43" s="513"/>
      <c r="DQ43" s="513"/>
      <c r="DR43" s="513"/>
      <c r="DS43" s="513"/>
      <c r="DT43" s="513"/>
      <c r="DU43" s="513"/>
      <c r="DV43" s="61"/>
      <c r="DW43" s="336">
        <f t="shared" si="290"/>
        <v>0</v>
      </c>
      <c r="DX43" s="336">
        <f t="shared" si="291"/>
        <v>0</v>
      </c>
      <c r="DY43" s="336">
        <f t="shared" si="292"/>
        <v>0</v>
      </c>
      <c r="DZ43" s="336">
        <f t="shared" si="293"/>
        <v>0</v>
      </c>
      <c r="EA43" s="336">
        <f t="shared" si="294"/>
        <v>0</v>
      </c>
      <c r="EB43" s="336">
        <f t="shared" si="295"/>
        <v>0</v>
      </c>
      <c r="EC43" s="336">
        <f t="shared" si="296"/>
        <v>0</v>
      </c>
      <c r="ED43" s="336">
        <f t="shared" si="209"/>
        <v>0</v>
      </c>
      <c r="EE43" s="336">
        <f t="shared" si="210"/>
        <v>0</v>
      </c>
      <c r="EF43" s="336">
        <f t="shared" si="211"/>
        <v>0</v>
      </c>
      <c r="EG43" s="336">
        <f t="shared" si="212"/>
        <v>0</v>
      </c>
      <c r="EH43" s="336">
        <f t="shared" si="213"/>
        <v>0</v>
      </c>
      <c r="EI43" s="336">
        <f t="shared" si="214"/>
        <v>0</v>
      </c>
      <c r="EJ43" s="336">
        <f t="shared" si="215"/>
        <v>0</v>
      </c>
      <c r="EK43" s="336">
        <f t="shared" si="216"/>
        <v>0</v>
      </c>
      <c r="EL43" s="336">
        <f t="shared" si="217"/>
        <v>0</v>
      </c>
      <c r="EM43" s="336">
        <f t="shared" si="218"/>
        <v>0</v>
      </c>
      <c r="EN43" s="336">
        <f t="shared" si="219"/>
        <v>0</v>
      </c>
      <c r="EO43" s="336">
        <f t="shared" si="220"/>
        <v>0</v>
      </c>
      <c r="EP43" s="336">
        <f t="shared" si="221"/>
        <v>0</v>
      </c>
      <c r="EQ43" s="336">
        <f t="shared" si="222"/>
        <v>0</v>
      </c>
      <c r="ER43" s="336">
        <f t="shared" si="223"/>
        <v>0</v>
      </c>
      <c r="ES43" s="336">
        <f t="shared" si="224"/>
        <v>0</v>
      </c>
      <c r="ET43" s="336">
        <f t="shared" si="224"/>
        <v>0</v>
      </c>
      <c r="EU43" s="336">
        <f t="shared" si="225"/>
        <v>0</v>
      </c>
      <c r="EV43" s="336">
        <f t="shared" si="226"/>
        <v>0</v>
      </c>
      <c r="EW43" s="336">
        <f t="shared" si="227"/>
        <v>0</v>
      </c>
      <c r="EX43" s="336">
        <f t="shared" si="228"/>
        <v>0</v>
      </c>
      <c r="EY43" s="336">
        <f t="shared" si="229"/>
        <v>0</v>
      </c>
      <c r="EZ43" s="336">
        <f t="shared" si="230"/>
        <v>0</v>
      </c>
      <c r="FA43" s="336">
        <f t="shared" si="231"/>
        <v>0</v>
      </c>
      <c r="FB43" s="336">
        <f t="shared" si="232"/>
        <v>0</v>
      </c>
      <c r="FC43" s="336">
        <f t="shared" si="233"/>
        <v>0</v>
      </c>
      <c r="FD43" s="336">
        <f t="shared" si="234"/>
        <v>0</v>
      </c>
      <c r="FE43" s="336">
        <f t="shared" si="235"/>
        <v>0</v>
      </c>
      <c r="FF43" s="336">
        <f t="shared" si="236"/>
        <v>0</v>
      </c>
      <c r="FG43" s="336">
        <f t="shared" si="237"/>
        <v>0</v>
      </c>
      <c r="FH43" s="336">
        <f t="shared" si="238"/>
        <v>0</v>
      </c>
      <c r="FI43" s="336">
        <f t="shared" si="239"/>
        <v>0</v>
      </c>
      <c r="FJ43" s="336">
        <f t="shared" si="240"/>
        <v>0</v>
      </c>
      <c r="FK43" s="336">
        <f t="shared" si="241"/>
        <v>0</v>
      </c>
      <c r="FL43" s="336">
        <f t="shared" si="242"/>
        <v>0</v>
      </c>
      <c r="FM43" s="336">
        <f t="shared" si="243"/>
        <v>0</v>
      </c>
      <c r="FN43" s="336">
        <f t="shared" si="244"/>
        <v>0</v>
      </c>
      <c r="FO43" s="492">
        <f t="shared" si="245"/>
        <v>0</v>
      </c>
      <c r="FP43" s="492">
        <f t="shared" si="246"/>
        <v>0</v>
      </c>
      <c r="FQ43" s="492">
        <f t="shared" si="247"/>
        <v>0</v>
      </c>
      <c r="FR43" s="492">
        <f t="shared" si="248"/>
        <v>0</v>
      </c>
      <c r="FS43" s="492">
        <f t="shared" si="249"/>
        <v>0</v>
      </c>
      <c r="FT43" s="492">
        <f t="shared" si="250"/>
        <v>0</v>
      </c>
      <c r="FU43" s="336">
        <f t="shared" ref="FU43:FU64" si="305">IF(DC43=1,($BC43*DC43),0)</f>
        <v>0</v>
      </c>
      <c r="FV43" s="336">
        <f t="shared" ref="FV43:FV64" si="306">IF(DD43=1,($BC43*DD43),0)</f>
        <v>0</v>
      </c>
      <c r="FW43" s="336">
        <f t="shared" ref="FW43:FW64" si="307">IF(DE43=1,($BC43*DE43),0)</f>
        <v>0</v>
      </c>
      <c r="FX43" s="336">
        <f t="shared" ref="FX43:FX64" si="308">IF(DF43=1,($BC43*DF43),0)</f>
        <v>0</v>
      </c>
      <c r="FY43" s="492">
        <f t="shared" si="68"/>
        <v>0</v>
      </c>
      <c r="FZ43" s="492">
        <f t="shared" si="69"/>
        <v>0</v>
      </c>
      <c r="GA43" s="492">
        <f t="shared" si="70"/>
        <v>0</v>
      </c>
      <c r="GB43" s="492">
        <f t="shared" si="71"/>
        <v>0</v>
      </c>
      <c r="GC43" s="492">
        <f t="shared" si="72"/>
        <v>0</v>
      </c>
      <c r="GD43" s="492">
        <f t="shared" si="73"/>
        <v>0</v>
      </c>
      <c r="GE43" s="492">
        <f t="shared" si="74"/>
        <v>0</v>
      </c>
      <c r="GF43" s="492">
        <f t="shared" si="75"/>
        <v>0</v>
      </c>
      <c r="GG43" s="492">
        <f t="shared" si="76"/>
        <v>0</v>
      </c>
      <c r="GH43" s="492">
        <f t="shared" si="77"/>
        <v>0</v>
      </c>
      <c r="GI43" s="492">
        <f t="shared" si="78"/>
        <v>0</v>
      </c>
      <c r="GJ43" s="492">
        <f t="shared" si="79"/>
        <v>0</v>
      </c>
      <c r="GK43" s="492">
        <f t="shared" si="80"/>
        <v>0</v>
      </c>
      <c r="GL43" s="336">
        <f t="shared" ref="GL43:GL64" si="309">IF(DT43=1,($BC43*DT43),0)</f>
        <v>0</v>
      </c>
      <c r="GM43" s="492">
        <f t="shared" si="81"/>
        <v>0</v>
      </c>
    </row>
    <row r="44" spans="1:195" ht="20.100000000000001" customHeight="1">
      <c r="A44" s="337">
        <f>1+A35</f>
        <v>26</v>
      </c>
      <c r="B44" s="337" t="s">
        <v>527</v>
      </c>
      <c r="C44" s="337" t="str">
        <f>$D$6</f>
        <v>PMCC-1</v>
      </c>
      <c r="D44" s="514" t="s">
        <v>534</v>
      </c>
      <c r="E44" s="500" t="s">
        <v>345</v>
      </c>
      <c r="F44" s="337" t="s">
        <v>29</v>
      </c>
      <c r="G44" s="337" t="s">
        <v>329</v>
      </c>
      <c r="H44" s="350">
        <v>86.54</v>
      </c>
      <c r="I44" s="337" t="s">
        <v>330</v>
      </c>
      <c r="J44" s="337" t="s">
        <v>331</v>
      </c>
      <c r="K44" s="349">
        <v>400</v>
      </c>
      <c r="L44" s="343">
        <v>0.85</v>
      </c>
      <c r="M44" s="350">
        <v>0.95</v>
      </c>
      <c r="N44" s="342">
        <f t="shared" ref="N44:N55" si="310">IF(I44="kVA",IF(J44="3Ph",(H44*1000/(1.732*M44*K44)),(H44*1000/(M44*K44))),IF(I44="kW",IF(J44="3Ph",(H44*1000/(1.732*M44*K44*L44)),(H44*1000/(M44*K44*L44)))))</f>
        <v>154.69151073581253</v>
      </c>
      <c r="O44" s="342">
        <f t="shared" si="2"/>
        <v>0</v>
      </c>
      <c r="P44" s="343" t="str">
        <f t="shared" ref="P44:P55" si="311">IF(G44="MOTOR",0.2,"0.00")</f>
        <v>0.00</v>
      </c>
      <c r="Q44" s="350">
        <v>65</v>
      </c>
      <c r="R44" s="350">
        <v>0</v>
      </c>
      <c r="S44" s="350">
        <f t="shared" ref="S44:S55" si="312">(Q44*1000*SQRT(R44)/143)</f>
        <v>0</v>
      </c>
      <c r="T44" s="343" t="s">
        <v>131</v>
      </c>
      <c r="U44" s="350" t="s">
        <v>535</v>
      </c>
      <c r="V44" s="343">
        <v>300</v>
      </c>
      <c r="W44" s="343" t="str">
        <f t="shared" ref="W44:W55" si="313">CONCATENATE(U44," X ",V44)</f>
        <v>3.5C X 300</v>
      </c>
      <c r="X44" s="343" t="str">
        <f t="shared" ref="X44:X55" si="314">(IF(J44="1Ph",W44,IF(J44="3Ph",(IF(G44="MOTOR",(CONCATENATE(W44,"+PE")),W44)))))</f>
        <v>3.5C X 300</v>
      </c>
      <c r="Y44" s="343" t="s">
        <v>358</v>
      </c>
      <c r="Z44" s="344">
        <f>IF(T44="AIR",VLOOKUP(W44,'Catalogue Aluminium'!$B$9:$G$93,2,FALSE),IF(T44="GROUND",VLOOKUP(W44,'Catalogue Aluminium'!$B$9:$G$93,3,FALSE),IF(T44="DUCT",VLOOKUP(W44,'Catalogue Aluminium'!$B$9:$G$93,4,FALSE),IF(T44="TRENCH",VLOOKUP(W44,'Catalogue Aluminium'!$B$9:$G$93,2,FALSE)))))</f>
        <v>459</v>
      </c>
      <c r="AA44" s="345">
        <f>VLOOKUP(W44,'Catalogue Aluminium'!$B$9:$G$93,5,FALSE)</f>
        <v>0.128</v>
      </c>
      <c r="AB44" s="345">
        <f>VLOOKUP(W44,'Catalogue Aluminium'!$B$9:$G$93,6,FALSE)</f>
        <v>7.1099999999999997E-2</v>
      </c>
      <c r="AC44" s="401">
        <f t="shared" ref="AC44" si="315">17+3</f>
        <v>20</v>
      </c>
      <c r="AD44" s="401">
        <f>40+50+38+50+17+(27+42+30+21+20)</f>
        <v>335</v>
      </c>
      <c r="AE44" s="401">
        <f t="shared" ref="AE44:AE57" si="316">11+8+8+11</f>
        <v>38</v>
      </c>
      <c r="AF44" s="401">
        <v>8</v>
      </c>
      <c r="AG44" s="401">
        <f t="shared" ref="AG44:AG55" si="317">ROUNDUP((SUM(AC44:AF44)*0.1),0)</f>
        <v>41</v>
      </c>
      <c r="AH44" s="347">
        <f t="shared" ref="AH44:AH55" si="318">SUM(AC44:AG44)</f>
        <v>442</v>
      </c>
      <c r="AI44" s="344">
        <f>IF(T44="AIR",'Catalogue Aluminium'!$K$9,IF(T44="TRENCH",'Catalogue Aluminium'!$K$12,"NA"))</f>
        <v>0.89</v>
      </c>
      <c r="AJ44" s="342">
        <f>IF(T44="Air",(IF(U44="1C",'Catalogue Aluminium'!$L$9,'Catalogue Aluminium'!$M$9)),IF(T44="DUCT",(IF($U44="1C",'Catalogue Aluminium'!$L$10,'Catalogue Aluminium'!$M$10)),IF(T44="GROUND",(IF($U44="1C",'Catalogue Aluminium'!$L$11,'Catalogue Aluminium'!$M$11)),IF(T44="TRENCH",(IF($U44="1C",'Catalogue Aluminium'!$L$12,'Catalogue Aluminium'!$M$12))))))</f>
        <v>0.66</v>
      </c>
      <c r="AK44" s="344" t="str">
        <f>IF(T44="Air",'Catalogue Aluminium'!$N$9,IF(T44="GROUND",'Catalogue Aluminium'!$N$10,IF(T44="DUCT",'Catalogue Aluminium'!$N$11,IF(T44="TRENCH",'Catalogue Aluminium'!$N$12,"NA"))))</f>
        <v>NA</v>
      </c>
      <c r="AL44" s="344" t="str">
        <f>IF(T44="Air",(IF(U44="1C",'Catalogue Aluminium'!$O$9,'Catalogue Aluminium'!$P$9)),IF(T44="DUCT",(IF($U44="1C",'Catalogue Aluminium'!$O$10,'Catalogue Aluminium'!$P$10)),IF(T44="GROUND",(IF($U44="1C",'Catalogue Aluminium'!$O$11,'Catalogue Aluminium'!$P$11)),IF(T44="TRENCH",(IF($U44="1C",'Catalogue Aluminium'!$O$12,'Catalogue Aluminium'!$P$12))))))</f>
        <v>NA</v>
      </c>
      <c r="AM44" s="344" t="str">
        <f>IF(T44="AIR","NA",IF(T44="TRENCH","NA",IF(T44="DUCT",IF(U44="1C",VLOOKUP(V44,'Catalogue Aluminium'!$Q$9:$S$28,2,FALSE),VLOOKUP(V44,'Catalogue Aluminium'!$Q$9:$S$28,3)),IF(T44="GROUND",IF(U44="1C",VLOOKUP(V44,'Catalogue Aluminium'!$Q$9:$S$28,2,FALSE),VLOOKUP(V44,'Catalogue Aluminium'!$Q$9:$S$28,3))))))</f>
        <v>NA</v>
      </c>
      <c r="AN44" s="351">
        <f t="shared" ref="AN44:AN55" si="319">IF(T44="AIR",AI44*AJ44,IF(T44="TRENCH",AI44*AJ44,IF(T44="DUCT",AJ44*AK44*AL44*AM44,IF(T44="GROUND",AJ44*AK44*AL44*AM44))))</f>
        <v>0.58740000000000003</v>
      </c>
      <c r="AO44" s="350">
        <f t="shared" ref="AO44:AO55" si="320">Z44*AN44</f>
        <v>269.61660000000001</v>
      </c>
      <c r="AP44" s="349">
        <v>2</v>
      </c>
      <c r="AQ44" s="350" t="str">
        <f t="shared" ref="AQ44:AQ52" si="321">IF(AO44*AP44&gt;=N44,"YES","NO")</f>
        <v>YES</v>
      </c>
      <c r="AR44" s="351">
        <f t="shared" ref="AR44:AR52" si="322">SQRT(3)*AH44*N44*((AA44*L44)+(AB44*SIN(ACOS(L44))))*100/(AP44*K44*1000)</f>
        <v>2.1650497631736201</v>
      </c>
      <c r="AS44" s="343" t="str">
        <f t="shared" ref="AS44:AS52" si="323">IF(G44="INCOMER",(IF(AR44&lt;=2,"YES","NO")),IF(G44="POWER",(IF(AR44&lt;=2.5,"YES","NO")),IF(G44="MOTOR",(IF(AR44&lt;=3,"YES","NO")))))</f>
        <v>YES</v>
      </c>
      <c r="AT44" s="351" t="str">
        <f t="shared" ref="AT44:AT55" si="324">IF(G44="MOTOR",(SQRT(3)*AH44*O44*((AA44*P44)+(AB44*SIN(ACOS(P44))))*100/(AP44*K44*1000)),"NA")</f>
        <v>NA</v>
      </c>
      <c r="AU44" s="343" t="str">
        <f t="shared" ref="AU44:AU55" si="325">IF(G44="MOTOR",IF(AT44&lt;=15,"YES","NO"),"NA")</f>
        <v>NA</v>
      </c>
      <c r="AV44" s="354" t="str">
        <f t="shared" ref="AV44:AV55" si="326">IF(U44="1C",CONCATENATE(AP44,"R x ",Y44,"kV x ",U44," x ",V44," Sqmm/Phase"),CONCATENATE(AP44,"R x ",0.6,"/1kV x ",U44," x ",V44," Sqmm"))</f>
        <v>2R x 0.6/1kV x 3.5C x 300 Sqmm</v>
      </c>
      <c r="AW44" s="354" t="str">
        <f t="shared" ref="AW44:AW55" si="327">IF(U44="1C",CONCATENATE(AP44,"R x ",Y44,"kV x ",U44," x ",V44," Sqmm/Phase"),CONCATENATE(AP44,"R x ",0.6,"/1kV x ",U44," x ",V44,(IF(G44="MOTOR","+PE",""))," Sqmm"))</f>
        <v>2R x 0.6/1kV x 3.5C x 300 Sqmm</v>
      </c>
      <c r="AX44" s="343">
        <f t="shared" ref="AX44:AX55" si="328">(IF(K44=400,(IF(U44="1C",(4*AH44*AP44),(AH44*AP44))),IF(K44=230,(AH44*AP44))))</f>
        <v>884</v>
      </c>
      <c r="AY44" s="355"/>
      <c r="AZ44" s="355">
        <f t="shared" ref="AZ44:AZ55" si="329">IF(U44="1C",(3*AP44*2),(AP44*2))</f>
        <v>4</v>
      </c>
      <c r="BA44" s="356" t="str">
        <f t="shared" ref="BA44:BA55" si="330">CONCATENATE(IF(BE44=1,BE$4,""),IF(BF44=1,BF$4,""),IF(BG44=1,BG$4,""),IF(BH44=1,BH$4,""),IF(BI44=1,BI$4,""),IF(BJ44=1,BJ$4,""),IF(BK44=1,BK$4,""),IF(BL44=1,BL$4,""),IF(BM44=1,BM$4,""),IF(BN44=1,BN$4,""),IF(BO44=1,BO$4,""),IF(BP44=1,BP$4,""),IF(BQ44=1,BQ$4,""),IF(BR44=1,BR$4,""),IF(BS44=1,BS$4,""),IF(BT44=1,BT$4,""),IF(BU44=1,BU$4,""),IF(BV44=1,BV$4,""),IF(BW44=1,BW$4,""),IF(BX44=1,BX$4,""),IF(BY44=1,BY$4,""),IF(BZ44=1,BZ$4,""),IF(CA44=1,CA$4,""),IF(CB44=1,CB$4,""),IF(CC44=1,CC$4,""),IF(CD44=1,CD$4,""),IF(CE44=1,CE$4,""),IF(CF44=1,CF$4,""),IF(CG44=1,CG$4,""),IF(CH44=1,CH$4,""),IF(CI44=1,CI$4,""),IF(CJ44=1,CJ$4,""),IF(CK44=1,CK$4,""),IF(CL44=1,CL$4,""),IF(CM44=1,CM$4,""),IF(CN44=1,CN$4,""),IF(CO44=1,CO$4,""),IF(CP44=1,CP$4,""),IF(CQ44=1,CQ$4,""),IF(CR44=1,CR$4,""),IF(CS44=1,CS$4,""),IF(CT44=1,CT$4,""),IF(CU44=1,CU$4,""),IF(CV44=1,CV$4,""),IF(CW44=1,CW$4,""),IF(CX44=1,CX$4,""),IF(CY44=1,CY$4,""),IF(CZ44=1,CZ$4,""),IF(DA44=1,DA$4,""),IF(DB44=1,DB$4,""),IF(DC44=1,DC$4,""),IF(DD44=1,DD$4,""),IF(DE44=1,DE$4,""),IF(DF44=1,DF$4,""),IF(DG44=1,DG$4,""),IF(DH44=1,DH$4,""),IF(DI44=1,DI$4,""),IF(DJ44=1,DJ$4,""),IF(DK44=1,DK$4,""),IF(DL44=1,DL$4,""),IF(DM44=1,DM$4,""),IF(DN44=1,DN$4,""),IF(DO44=1,DO$4,""),IF(DP44=1,DP$4,""),IF(DQ44=1,DQ$4,""),IF(DR44=1,DR$4,""),IF(DS44=1,DS$4,""),IF(DT44=1,DT$4,""),IF(DU44=1,DU$4,""))</f>
        <v>ACDEE1E2E3E4E5</v>
      </c>
      <c r="BB44" s="501">
        <f>VLOOKUP(W44,'Catalogue Aluminium'!$B$9:$H$93,7,FALSE)</f>
        <v>64</v>
      </c>
      <c r="BC44" s="328">
        <f t="shared" ref="BC44:BC55" si="331">AP44*BB44</f>
        <v>128</v>
      </c>
      <c r="BE44" s="336"/>
      <c r="BF44" s="336">
        <v>1</v>
      </c>
      <c r="BG44" s="336"/>
      <c r="BH44" s="336"/>
      <c r="BI44" s="336">
        <v>1</v>
      </c>
      <c r="BJ44" s="336">
        <v>1</v>
      </c>
      <c r="BK44" s="336"/>
      <c r="BL44" s="336"/>
      <c r="BM44" s="336"/>
      <c r="BN44" s="336">
        <v>1</v>
      </c>
      <c r="BO44" s="336"/>
      <c r="BP44" s="336">
        <v>1</v>
      </c>
      <c r="BQ44" s="336">
        <v>1</v>
      </c>
      <c r="BR44" s="336">
        <v>1</v>
      </c>
      <c r="BS44" s="336">
        <v>1</v>
      </c>
      <c r="BT44" s="336">
        <v>1</v>
      </c>
      <c r="BU44" s="336"/>
      <c r="BV44" s="336"/>
      <c r="BW44" s="336"/>
      <c r="BX44" s="336"/>
      <c r="BY44" s="336"/>
      <c r="BZ44" s="336"/>
      <c r="CA44" s="336"/>
      <c r="CB44" s="336"/>
      <c r="CC44" s="336"/>
      <c r="CD44" s="336"/>
      <c r="CE44" s="336"/>
      <c r="CF44" s="336"/>
      <c r="CG44" s="336"/>
      <c r="CH44" s="336"/>
      <c r="CI44" s="336"/>
      <c r="CJ44" s="336"/>
      <c r="CK44" s="336"/>
      <c r="CL44" s="336"/>
      <c r="CM44" s="336"/>
      <c r="CN44" s="336"/>
      <c r="CO44" s="336"/>
      <c r="CP44" s="336"/>
      <c r="CQ44" s="336"/>
      <c r="CR44" s="336"/>
      <c r="CS44" s="336"/>
      <c r="CT44" s="336"/>
      <c r="CU44" s="336"/>
      <c r="CV44" s="336"/>
      <c r="CW44" s="336"/>
      <c r="CX44" s="336"/>
      <c r="CY44" s="336"/>
      <c r="CZ44" s="336"/>
      <c r="DA44" s="336"/>
      <c r="DB44" s="336"/>
      <c r="DC44" s="336"/>
      <c r="DD44" s="336"/>
      <c r="DE44" s="336"/>
      <c r="DF44" s="336"/>
      <c r="DG44" s="336"/>
      <c r="DH44" s="336"/>
      <c r="DI44" s="336"/>
      <c r="DJ44" s="336"/>
      <c r="DK44" s="336"/>
      <c r="DL44" s="336"/>
      <c r="DM44" s="336"/>
      <c r="DN44" s="336"/>
      <c r="DO44" s="336"/>
      <c r="DP44" s="336"/>
      <c r="DQ44" s="336"/>
      <c r="DR44" s="336"/>
      <c r="DS44" s="336"/>
      <c r="DT44" s="336"/>
      <c r="DU44" s="336"/>
      <c r="DW44" s="336">
        <f t="shared" si="290"/>
        <v>0</v>
      </c>
      <c r="DX44" s="336">
        <f t="shared" si="291"/>
        <v>128</v>
      </c>
      <c r="DY44" s="336">
        <f t="shared" si="292"/>
        <v>0</v>
      </c>
      <c r="DZ44" s="336">
        <f t="shared" si="293"/>
        <v>0</v>
      </c>
      <c r="EA44" s="336">
        <f t="shared" si="294"/>
        <v>128</v>
      </c>
      <c r="EB44" s="336">
        <f t="shared" si="295"/>
        <v>128</v>
      </c>
      <c r="EC44" s="336">
        <f t="shared" si="296"/>
        <v>0</v>
      </c>
      <c r="ED44" s="336">
        <f t="shared" si="209"/>
        <v>0</v>
      </c>
      <c r="EE44" s="336">
        <f t="shared" si="210"/>
        <v>0</v>
      </c>
      <c r="EF44" s="336">
        <f t="shared" si="211"/>
        <v>128</v>
      </c>
      <c r="EG44" s="336">
        <f t="shared" si="212"/>
        <v>0</v>
      </c>
      <c r="EH44" s="336">
        <f t="shared" si="213"/>
        <v>128</v>
      </c>
      <c r="EI44" s="336">
        <f t="shared" si="214"/>
        <v>128</v>
      </c>
      <c r="EJ44" s="336">
        <f t="shared" si="215"/>
        <v>128</v>
      </c>
      <c r="EK44" s="336">
        <f t="shared" si="216"/>
        <v>128</v>
      </c>
      <c r="EL44" s="336">
        <f t="shared" si="217"/>
        <v>128</v>
      </c>
      <c r="EM44" s="336">
        <f t="shared" si="218"/>
        <v>0</v>
      </c>
      <c r="EN44" s="336">
        <f t="shared" si="219"/>
        <v>0</v>
      </c>
      <c r="EO44" s="336">
        <f t="shared" si="220"/>
        <v>0</v>
      </c>
      <c r="EP44" s="336">
        <f t="shared" si="221"/>
        <v>0</v>
      </c>
      <c r="EQ44" s="336">
        <f t="shared" si="222"/>
        <v>0</v>
      </c>
      <c r="ER44" s="336">
        <f t="shared" si="223"/>
        <v>0</v>
      </c>
      <c r="ES44" s="336">
        <f t="shared" si="224"/>
        <v>0</v>
      </c>
      <c r="ET44" s="336">
        <f t="shared" si="224"/>
        <v>0</v>
      </c>
      <c r="EU44" s="336">
        <f t="shared" si="225"/>
        <v>0</v>
      </c>
      <c r="EV44" s="336">
        <f t="shared" si="226"/>
        <v>0</v>
      </c>
      <c r="EW44" s="336">
        <f t="shared" si="227"/>
        <v>0</v>
      </c>
      <c r="EX44" s="336">
        <f t="shared" si="228"/>
        <v>0</v>
      </c>
      <c r="EY44" s="336">
        <f t="shared" si="229"/>
        <v>0</v>
      </c>
      <c r="EZ44" s="336">
        <f t="shared" si="230"/>
        <v>0</v>
      </c>
      <c r="FA44" s="336">
        <f t="shared" si="231"/>
        <v>0</v>
      </c>
      <c r="FB44" s="336">
        <f t="shared" si="232"/>
        <v>0</v>
      </c>
      <c r="FC44" s="336">
        <f t="shared" si="233"/>
        <v>0</v>
      </c>
      <c r="FD44" s="336">
        <f t="shared" si="234"/>
        <v>0</v>
      </c>
      <c r="FE44" s="336">
        <f t="shared" si="235"/>
        <v>0</v>
      </c>
      <c r="FF44" s="336">
        <f t="shared" si="236"/>
        <v>0</v>
      </c>
      <c r="FG44" s="336">
        <f t="shared" si="237"/>
        <v>0</v>
      </c>
      <c r="FH44" s="336">
        <f t="shared" si="238"/>
        <v>0</v>
      </c>
      <c r="FI44" s="336">
        <f t="shared" si="239"/>
        <v>0</v>
      </c>
      <c r="FJ44" s="336">
        <f t="shared" si="240"/>
        <v>0</v>
      </c>
      <c r="FK44" s="336">
        <f t="shared" si="241"/>
        <v>0</v>
      </c>
      <c r="FL44" s="336">
        <f t="shared" si="242"/>
        <v>0</v>
      </c>
      <c r="FM44" s="336">
        <f t="shared" si="243"/>
        <v>0</v>
      </c>
      <c r="FN44" s="336">
        <f t="shared" si="244"/>
        <v>0</v>
      </c>
      <c r="FO44" s="336">
        <f t="shared" si="245"/>
        <v>0</v>
      </c>
      <c r="FP44" s="336">
        <f t="shared" si="246"/>
        <v>0</v>
      </c>
      <c r="FQ44" s="336">
        <f t="shared" si="247"/>
        <v>0</v>
      </c>
      <c r="FR44" s="336">
        <f t="shared" si="248"/>
        <v>0</v>
      </c>
      <c r="FS44" s="336">
        <f t="shared" si="249"/>
        <v>0</v>
      </c>
      <c r="FT44" s="336">
        <f t="shared" si="250"/>
        <v>0</v>
      </c>
      <c r="FU44" s="336">
        <f t="shared" si="305"/>
        <v>0</v>
      </c>
      <c r="FV44" s="336">
        <f t="shared" si="306"/>
        <v>0</v>
      </c>
      <c r="FW44" s="336">
        <f t="shared" si="307"/>
        <v>0</v>
      </c>
      <c r="FX44" s="336">
        <f t="shared" si="308"/>
        <v>0</v>
      </c>
      <c r="FY44" s="336">
        <f t="shared" ref="FY44:FY77" si="332">IF(DG44=1,($BC44*DG44),0)</f>
        <v>0</v>
      </c>
      <c r="FZ44" s="336">
        <f t="shared" ref="FZ44:FZ77" si="333">IF(DH44=1,($BC44*DH44),0)</f>
        <v>0</v>
      </c>
      <c r="GA44" s="336">
        <f t="shared" ref="GA44:GA77" si="334">IF(DI44=1,($BC44*DI44),0)</f>
        <v>0</v>
      </c>
      <c r="GB44" s="336">
        <f t="shared" ref="GB44:GB77" si="335">IF(DJ44=1,($BC44*DJ44),0)</f>
        <v>0</v>
      </c>
      <c r="GC44" s="336">
        <f t="shared" ref="GC44:GC77" si="336">IF(DK44=1,($BC44*DK44),0)</f>
        <v>0</v>
      </c>
      <c r="GD44" s="336">
        <f t="shared" ref="GD44:GD77" si="337">IF(DL44=1,($BC44*DL44),0)</f>
        <v>0</v>
      </c>
      <c r="GE44" s="336">
        <f t="shared" ref="GE44:GE77" si="338">IF(DM44=1,($BC44*DM44),0)</f>
        <v>0</v>
      </c>
      <c r="GF44" s="336">
        <f t="shared" ref="GF44:GF77" si="339">IF(DN44=1,($BC44*DN44),0)</f>
        <v>0</v>
      </c>
      <c r="GG44" s="336">
        <f t="shared" ref="GG44:GG77" si="340">IF(DO44=1,($BC44*DO44),0)</f>
        <v>0</v>
      </c>
      <c r="GH44" s="336">
        <f t="shared" ref="GH44:GH77" si="341">IF(DP44=1,($BC44*DP44),0)</f>
        <v>0</v>
      </c>
      <c r="GI44" s="336">
        <f t="shared" ref="GI44:GI77" si="342">IF(DQ44=1,($BC44*DQ44),0)</f>
        <v>0</v>
      </c>
      <c r="GJ44" s="336">
        <f t="shared" ref="GJ44:GJ77" si="343">IF(DR44=1,($BC44*DR44),0)</f>
        <v>0</v>
      </c>
      <c r="GK44" s="336">
        <f t="shared" ref="GK44:GK78" si="344">IF(DS44=1,($BC44*DS44),0)</f>
        <v>0</v>
      </c>
      <c r="GL44" s="336">
        <f t="shared" si="309"/>
        <v>0</v>
      </c>
      <c r="GM44" s="336">
        <f t="shared" ref="GM44:GM77" si="345">IF(DU44=1,($BC44*DU44),0)</f>
        <v>0</v>
      </c>
    </row>
    <row r="45" spans="1:195" ht="20.100000000000001" customHeight="1">
      <c r="A45" s="337">
        <f t="shared" ref="A45:A57" si="346">1+A44</f>
        <v>27</v>
      </c>
      <c r="B45" s="337" t="s">
        <v>527</v>
      </c>
      <c r="C45" s="337" t="str">
        <f>$D$6</f>
        <v>PMCC-1</v>
      </c>
      <c r="D45" s="514" t="s">
        <v>534</v>
      </c>
      <c r="E45" s="500" t="s">
        <v>345</v>
      </c>
      <c r="F45" s="337" t="s">
        <v>28</v>
      </c>
      <c r="G45" s="337" t="s">
        <v>329</v>
      </c>
      <c r="H45" s="350">
        <v>86.54</v>
      </c>
      <c r="I45" s="337" t="s">
        <v>330</v>
      </c>
      <c r="J45" s="337" t="s">
        <v>331</v>
      </c>
      <c r="K45" s="349">
        <v>400</v>
      </c>
      <c r="L45" s="343">
        <v>0.85</v>
      </c>
      <c r="M45" s="350">
        <v>0.95</v>
      </c>
      <c r="N45" s="342">
        <f t="shared" si="310"/>
        <v>154.69151073581253</v>
      </c>
      <c r="O45" s="342">
        <f t="shared" si="2"/>
        <v>0</v>
      </c>
      <c r="P45" s="343" t="str">
        <f t="shared" si="311"/>
        <v>0.00</v>
      </c>
      <c r="Q45" s="350">
        <v>65</v>
      </c>
      <c r="R45" s="350">
        <v>0</v>
      </c>
      <c r="S45" s="350">
        <f t="shared" si="312"/>
        <v>0</v>
      </c>
      <c r="T45" s="343" t="s">
        <v>131</v>
      </c>
      <c r="U45" s="350" t="s">
        <v>535</v>
      </c>
      <c r="V45" s="343">
        <v>300</v>
      </c>
      <c r="W45" s="343" t="str">
        <f t="shared" si="313"/>
        <v>3.5C X 300</v>
      </c>
      <c r="X45" s="343" t="str">
        <f t="shared" si="314"/>
        <v>3.5C X 300</v>
      </c>
      <c r="Y45" s="343" t="s">
        <v>358</v>
      </c>
      <c r="Z45" s="344">
        <f>IF(T45="AIR",VLOOKUP(W45,'Catalogue Aluminium'!$B$9:$G$93,2,FALSE),IF(T45="GROUND",VLOOKUP(W45,'Catalogue Aluminium'!$B$9:$G$93,3,FALSE),IF(T45="DUCT",VLOOKUP(W45,'Catalogue Aluminium'!$B$9:$G$93,4,FALSE),IF(T45="TRENCH",VLOOKUP(W45,'Catalogue Aluminium'!$B$9:$G$93,2,FALSE)))))</f>
        <v>459</v>
      </c>
      <c r="AA45" s="345">
        <f>VLOOKUP(W45,'Catalogue Aluminium'!$B$9:$G$93,5,FALSE)</f>
        <v>0.128</v>
      </c>
      <c r="AB45" s="345">
        <f>VLOOKUP(W45,'Catalogue Aluminium'!$B$9:$G$93,6,FALSE)</f>
        <v>7.1099999999999997E-2</v>
      </c>
      <c r="AC45" s="401">
        <f>26+3</f>
        <v>29</v>
      </c>
      <c r="AD45" s="401">
        <f>40+50+38+50+17+(27+42+30+21+20)</f>
        <v>335</v>
      </c>
      <c r="AE45" s="401">
        <f t="shared" si="316"/>
        <v>38</v>
      </c>
      <c r="AF45" s="401">
        <v>8</v>
      </c>
      <c r="AG45" s="401">
        <f t="shared" si="317"/>
        <v>41</v>
      </c>
      <c r="AH45" s="347">
        <f t="shared" si="318"/>
        <v>451</v>
      </c>
      <c r="AI45" s="344">
        <f>IF(T45="AIR",'Catalogue Aluminium'!$K$9,IF(T45="TRENCH",'Catalogue Aluminium'!$K$12,"NA"))</f>
        <v>0.89</v>
      </c>
      <c r="AJ45" s="342">
        <f>IF(T45="Air",(IF(U45="1C",'Catalogue Aluminium'!$L$9,'Catalogue Aluminium'!$M$9)),IF(T45="DUCT",(IF($U45="1C",'Catalogue Aluminium'!$L$10,'Catalogue Aluminium'!$M$10)),IF(T45="GROUND",(IF($U45="1C",'Catalogue Aluminium'!$L$11,'Catalogue Aluminium'!$M$11)),IF(T45="TRENCH",(IF($U45="1C",'Catalogue Aluminium'!$L$12,'Catalogue Aluminium'!$M$12))))))</f>
        <v>0.66</v>
      </c>
      <c r="AK45" s="344" t="str">
        <f>IF(T45="Air",'Catalogue Aluminium'!$N$9,IF(T45="GROUND",'Catalogue Aluminium'!$N$10,IF(T45="DUCT",'Catalogue Aluminium'!$N$11,IF(T45="TRENCH",'Catalogue Aluminium'!$N$12,"NA"))))</f>
        <v>NA</v>
      </c>
      <c r="AL45" s="344" t="str">
        <f>IF(T45="Air",(IF(U45="1C",'Catalogue Aluminium'!$O$9,'Catalogue Aluminium'!$P$9)),IF(T45="DUCT",(IF($U45="1C",'Catalogue Aluminium'!$O$10,'Catalogue Aluminium'!$P$10)),IF(T45="GROUND",(IF($U45="1C",'Catalogue Aluminium'!$O$11,'Catalogue Aluminium'!$P$11)),IF(T45="TRENCH",(IF($U45="1C",'Catalogue Aluminium'!$O$12,'Catalogue Aluminium'!$P$12))))))</f>
        <v>NA</v>
      </c>
      <c r="AM45" s="344" t="str">
        <f>IF(T45="AIR","NA",IF(T45="TRENCH","NA",IF(T45="DUCT",IF(U45="1C",VLOOKUP(V45,'Catalogue Aluminium'!$Q$9:$S$28,2,FALSE),VLOOKUP(V45,'Catalogue Aluminium'!$Q$9:$S$28,3)),IF(T45="GROUND",IF(U45="1C",VLOOKUP(V45,'Catalogue Aluminium'!$Q$9:$S$28,2,FALSE),VLOOKUP(V45,'Catalogue Aluminium'!$Q$9:$S$28,3))))))</f>
        <v>NA</v>
      </c>
      <c r="AN45" s="351">
        <f t="shared" si="319"/>
        <v>0.58740000000000003</v>
      </c>
      <c r="AO45" s="350">
        <f t="shared" si="320"/>
        <v>269.61660000000001</v>
      </c>
      <c r="AP45" s="349">
        <v>2</v>
      </c>
      <c r="AQ45" s="350" t="str">
        <f t="shared" si="321"/>
        <v>YES</v>
      </c>
      <c r="AR45" s="351">
        <f t="shared" si="322"/>
        <v>2.2091344868581504</v>
      </c>
      <c r="AS45" s="343" t="str">
        <f t="shared" si="323"/>
        <v>YES</v>
      </c>
      <c r="AT45" s="351" t="str">
        <f t="shared" si="324"/>
        <v>NA</v>
      </c>
      <c r="AU45" s="343" t="str">
        <f t="shared" si="325"/>
        <v>NA</v>
      </c>
      <c r="AV45" s="354" t="str">
        <f t="shared" si="326"/>
        <v>2R x 0.6/1kV x 3.5C x 300 Sqmm</v>
      </c>
      <c r="AW45" s="354" t="str">
        <f t="shared" si="327"/>
        <v>2R x 0.6/1kV x 3.5C x 300 Sqmm</v>
      </c>
      <c r="AX45" s="343">
        <f t="shared" si="328"/>
        <v>902</v>
      </c>
      <c r="AY45" s="355"/>
      <c r="AZ45" s="355">
        <f t="shared" si="329"/>
        <v>4</v>
      </c>
      <c r="BA45" s="356" t="str">
        <f t="shared" si="330"/>
        <v>ACDEE1E2E3E4E5</v>
      </c>
      <c r="BB45" s="501">
        <f>VLOOKUP(W45,'Catalogue Aluminium'!$B$9:$H$93,7,FALSE)</f>
        <v>64</v>
      </c>
      <c r="BC45" s="328">
        <f t="shared" si="331"/>
        <v>128</v>
      </c>
      <c r="BE45" s="336"/>
      <c r="BF45" s="336">
        <v>1</v>
      </c>
      <c r="BG45" s="336"/>
      <c r="BH45" s="336"/>
      <c r="BI45" s="336">
        <v>1</v>
      </c>
      <c r="BJ45" s="336">
        <v>1</v>
      </c>
      <c r="BK45" s="336"/>
      <c r="BL45" s="336"/>
      <c r="BM45" s="336"/>
      <c r="BN45" s="336">
        <v>1</v>
      </c>
      <c r="BO45" s="336"/>
      <c r="BP45" s="336">
        <v>1</v>
      </c>
      <c r="BQ45" s="336">
        <v>1</v>
      </c>
      <c r="BR45" s="336">
        <v>1</v>
      </c>
      <c r="BS45" s="336">
        <v>1</v>
      </c>
      <c r="BT45" s="336">
        <v>1</v>
      </c>
      <c r="BU45" s="336"/>
      <c r="BV45" s="336"/>
      <c r="BW45" s="336"/>
      <c r="BX45" s="336"/>
      <c r="BY45" s="336"/>
      <c r="BZ45" s="336"/>
      <c r="CA45" s="336"/>
      <c r="CB45" s="336"/>
      <c r="CC45" s="336"/>
      <c r="CD45" s="336"/>
      <c r="CE45" s="336"/>
      <c r="CF45" s="336"/>
      <c r="CG45" s="336"/>
      <c r="CH45" s="336"/>
      <c r="CI45" s="336"/>
      <c r="CJ45" s="336"/>
      <c r="CK45" s="336"/>
      <c r="CL45" s="336"/>
      <c r="CM45" s="336"/>
      <c r="CN45" s="336"/>
      <c r="CO45" s="336"/>
      <c r="CP45" s="336"/>
      <c r="CQ45" s="336"/>
      <c r="CR45" s="336"/>
      <c r="CS45" s="336"/>
      <c r="CT45" s="336"/>
      <c r="CU45" s="336"/>
      <c r="CV45" s="336"/>
      <c r="CW45" s="336"/>
      <c r="CX45" s="336"/>
      <c r="CY45" s="336"/>
      <c r="CZ45" s="336"/>
      <c r="DA45" s="336"/>
      <c r="DB45" s="336"/>
      <c r="DC45" s="336"/>
      <c r="DD45" s="336"/>
      <c r="DE45" s="336"/>
      <c r="DF45" s="336"/>
      <c r="DG45" s="336"/>
      <c r="DH45" s="336"/>
      <c r="DI45" s="336"/>
      <c r="DJ45" s="336"/>
      <c r="DK45" s="336"/>
      <c r="DL45" s="336"/>
      <c r="DM45" s="336"/>
      <c r="DN45" s="336"/>
      <c r="DO45" s="336"/>
      <c r="DP45" s="336"/>
      <c r="DQ45" s="336"/>
      <c r="DR45" s="336"/>
      <c r="DS45" s="336"/>
      <c r="DT45" s="336"/>
      <c r="DU45" s="336"/>
      <c r="DW45" s="336">
        <f t="shared" si="290"/>
        <v>0</v>
      </c>
      <c r="DX45" s="336">
        <f t="shared" si="291"/>
        <v>128</v>
      </c>
      <c r="DY45" s="336">
        <f t="shared" si="292"/>
        <v>0</v>
      </c>
      <c r="DZ45" s="336">
        <f t="shared" si="293"/>
        <v>0</v>
      </c>
      <c r="EA45" s="336">
        <f t="shared" si="294"/>
        <v>128</v>
      </c>
      <c r="EB45" s="336">
        <f t="shared" si="295"/>
        <v>128</v>
      </c>
      <c r="EC45" s="336">
        <f t="shared" si="296"/>
        <v>0</v>
      </c>
      <c r="ED45" s="336">
        <f t="shared" si="209"/>
        <v>0</v>
      </c>
      <c r="EE45" s="336">
        <f t="shared" si="210"/>
        <v>0</v>
      </c>
      <c r="EF45" s="336">
        <f t="shared" si="211"/>
        <v>128</v>
      </c>
      <c r="EG45" s="336">
        <f t="shared" si="212"/>
        <v>0</v>
      </c>
      <c r="EH45" s="336">
        <f t="shared" si="213"/>
        <v>128</v>
      </c>
      <c r="EI45" s="336">
        <f t="shared" si="214"/>
        <v>128</v>
      </c>
      <c r="EJ45" s="336">
        <f t="shared" si="215"/>
        <v>128</v>
      </c>
      <c r="EK45" s="336">
        <f t="shared" si="216"/>
        <v>128</v>
      </c>
      <c r="EL45" s="336">
        <f t="shared" si="217"/>
        <v>128</v>
      </c>
      <c r="EM45" s="336">
        <f t="shared" si="218"/>
        <v>0</v>
      </c>
      <c r="EN45" s="336">
        <f t="shared" si="219"/>
        <v>0</v>
      </c>
      <c r="EO45" s="336">
        <f t="shared" si="220"/>
        <v>0</v>
      </c>
      <c r="EP45" s="336">
        <f t="shared" si="221"/>
        <v>0</v>
      </c>
      <c r="EQ45" s="336">
        <f t="shared" si="222"/>
        <v>0</v>
      </c>
      <c r="ER45" s="336">
        <f t="shared" si="223"/>
        <v>0</v>
      </c>
      <c r="ES45" s="336">
        <f t="shared" si="224"/>
        <v>0</v>
      </c>
      <c r="ET45" s="336">
        <f t="shared" si="224"/>
        <v>0</v>
      </c>
      <c r="EU45" s="336">
        <f t="shared" si="225"/>
        <v>0</v>
      </c>
      <c r="EV45" s="336">
        <f t="shared" si="226"/>
        <v>0</v>
      </c>
      <c r="EW45" s="336">
        <f t="shared" si="227"/>
        <v>0</v>
      </c>
      <c r="EX45" s="336">
        <f t="shared" si="228"/>
        <v>0</v>
      </c>
      <c r="EY45" s="336">
        <f t="shared" si="229"/>
        <v>0</v>
      </c>
      <c r="EZ45" s="336">
        <f t="shared" si="230"/>
        <v>0</v>
      </c>
      <c r="FA45" s="336">
        <f t="shared" si="231"/>
        <v>0</v>
      </c>
      <c r="FB45" s="336">
        <f t="shared" si="232"/>
        <v>0</v>
      </c>
      <c r="FC45" s="336">
        <f t="shared" si="233"/>
        <v>0</v>
      </c>
      <c r="FD45" s="336">
        <f t="shared" si="234"/>
        <v>0</v>
      </c>
      <c r="FE45" s="336">
        <f t="shared" si="235"/>
        <v>0</v>
      </c>
      <c r="FF45" s="336">
        <f t="shared" si="236"/>
        <v>0</v>
      </c>
      <c r="FG45" s="336">
        <f t="shared" si="237"/>
        <v>0</v>
      </c>
      <c r="FH45" s="336">
        <f t="shared" si="238"/>
        <v>0</v>
      </c>
      <c r="FI45" s="336">
        <f t="shared" si="239"/>
        <v>0</v>
      </c>
      <c r="FJ45" s="336">
        <f t="shared" si="240"/>
        <v>0</v>
      </c>
      <c r="FK45" s="336">
        <f t="shared" si="241"/>
        <v>0</v>
      </c>
      <c r="FL45" s="336">
        <f t="shared" si="242"/>
        <v>0</v>
      </c>
      <c r="FM45" s="336">
        <f t="shared" si="243"/>
        <v>0</v>
      </c>
      <c r="FN45" s="336">
        <f t="shared" si="244"/>
        <v>0</v>
      </c>
      <c r="FO45" s="336">
        <f t="shared" si="245"/>
        <v>0</v>
      </c>
      <c r="FP45" s="336">
        <f t="shared" si="246"/>
        <v>0</v>
      </c>
      <c r="FQ45" s="336">
        <f t="shared" si="247"/>
        <v>0</v>
      </c>
      <c r="FR45" s="336">
        <f t="shared" si="248"/>
        <v>0</v>
      </c>
      <c r="FS45" s="336">
        <f t="shared" si="249"/>
        <v>0</v>
      </c>
      <c r="FT45" s="336">
        <f t="shared" si="250"/>
        <v>0</v>
      </c>
      <c r="FU45" s="336">
        <f t="shared" si="305"/>
        <v>0</v>
      </c>
      <c r="FV45" s="336">
        <f t="shared" si="306"/>
        <v>0</v>
      </c>
      <c r="FW45" s="336">
        <f t="shared" si="307"/>
        <v>0</v>
      </c>
      <c r="FX45" s="336">
        <f t="shared" si="308"/>
        <v>0</v>
      </c>
      <c r="FY45" s="336">
        <f t="shared" si="332"/>
        <v>0</v>
      </c>
      <c r="FZ45" s="336">
        <f t="shared" si="333"/>
        <v>0</v>
      </c>
      <c r="GA45" s="336">
        <f t="shared" si="334"/>
        <v>0</v>
      </c>
      <c r="GB45" s="336">
        <f t="shared" si="335"/>
        <v>0</v>
      </c>
      <c r="GC45" s="336">
        <f t="shared" si="336"/>
        <v>0</v>
      </c>
      <c r="GD45" s="336">
        <f t="shared" si="337"/>
        <v>0</v>
      </c>
      <c r="GE45" s="336">
        <f t="shared" si="338"/>
        <v>0</v>
      </c>
      <c r="GF45" s="336">
        <f t="shared" si="339"/>
        <v>0</v>
      </c>
      <c r="GG45" s="336">
        <f t="shared" si="340"/>
        <v>0</v>
      </c>
      <c r="GH45" s="336">
        <f t="shared" si="341"/>
        <v>0</v>
      </c>
      <c r="GI45" s="336">
        <f t="shared" si="342"/>
        <v>0</v>
      </c>
      <c r="GJ45" s="336">
        <f t="shared" si="343"/>
        <v>0</v>
      </c>
      <c r="GK45" s="336">
        <f t="shared" si="344"/>
        <v>0</v>
      </c>
      <c r="GL45" s="336">
        <f t="shared" si="309"/>
        <v>0</v>
      </c>
      <c r="GM45" s="336">
        <f t="shared" si="345"/>
        <v>0</v>
      </c>
    </row>
    <row r="46" spans="1:195" ht="20.100000000000001" customHeight="1">
      <c r="A46" s="388">
        <f t="shared" si="346"/>
        <v>28</v>
      </c>
      <c r="B46" s="406" t="s">
        <v>1625</v>
      </c>
      <c r="C46" s="388" t="s">
        <v>489</v>
      </c>
      <c r="D46" s="515" t="s">
        <v>536</v>
      </c>
      <c r="E46" s="502" t="s">
        <v>345</v>
      </c>
      <c r="F46" s="388" t="s">
        <v>28</v>
      </c>
      <c r="G46" s="388" t="s">
        <v>350</v>
      </c>
      <c r="H46" s="583">
        <v>22</v>
      </c>
      <c r="I46" s="388" t="s">
        <v>330</v>
      </c>
      <c r="J46" s="388" t="s">
        <v>331</v>
      </c>
      <c r="K46" s="434">
        <v>400</v>
      </c>
      <c r="L46" s="401">
        <v>0.85</v>
      </c>
      <c r="M46" s="418">
        <v>0.95</v>
      </c>
      <c r="N46" s="392">
        <f t="shared" si="310"/>
        <v>39.325320501362093</v>
      </c>
      <c r="O46" s="392">
        <f t="shared" ref="O46:O81" si="347">IF(G46="MOTOR",(6*N46),IF(G46="VFD",(1*N46),0))</f>
        <v>235.95192300817257</v>
      </c>
      <c r="P46" s="401">
        <f t="shared" si="311"/>
        <v>0.2</v>
      </c>
      <c r="Q46" s="418">
        <v>65</v>
      </c>
      <c r="R46" s="418">
        <v>0</v>
      </c>
      <c r="S46" s="418">
        <f t="shared" si="312"/>
        <v>0</v>
      </c>
      <c r="T46" s="401" t="s">
        <v>131</v>
      </c>
      <c r="U46" s="418" t="s">
        <v>333</v>
      </c>
      <c r="V46" s="401">
        <v>95</v>
      </c>
      <c r="W46" s="401" t="str">
        <f t="shared" si="313"/>
        <v>3C X 95</v>
      </c>
      <c r="X46" s="401" t="str">
        <f t="shared" si="314"/>
        <v>3C X 95+PE</v>
      </c>
      <c r="Y46" s="401" t="s">
        <v>358</v>
      </c>
      <c r="Z46" s="393">
        <f>IF(T46="AIR",VLOOKUP(W46,'Catalogue Aluminium'!$B$9:$G$93,2,FALSE),IF(T46="GROUND",VLOOKUP(W46,'Catalogue Aluminium'!$B$9:$G$93,3,FALSE),IF(T46="DUCT",VLOOKUP(W46,'Catalogue Aluminium'!$B$9:$G$93,4,FALSE),IF(T46="TRENCH",VLOOKUP(W46,'Catalogue Aluminium'!$B$9:$G$93,2,FALSE)))))</f>
        <v>221</v>
      </c>
      <c r="AA46" s="402">
        <f>VLOOKUP(W46,'Catalogue Aluminium'!$B$9:$G$93,5,FALSE)</f>
        <v>0.41</v>
      </c>
      <c r="AB46" s="402">
        <f>VLOOKUP(W46,'Catalogue Aluminium'!$B$9:$G$93,6,FALSE)</f>
        <v>7.3400000000000007E-2</v>
      </c>
      <c r="AC46" s="401">
        <f>25+3</f>
        <v>28</v>
      </c>
      <c r="AD46" s="401">
        <f t="shared" ref="AD46:AD57" si="348">40+50+38+50+17+(27+42+30+21+20)</f>
        <v>335</v>
      </c>
      <c r="AE46" s="401">
        <f t="shared" si="316"/>
        <v>38</v>
      </c>
      <c r="AF46" s="401">
        <v>8</v>
      </c>
      <c r="AG46" s="401">
        <f t="shared" si="317"/>
        <v>41</v>
      </c>
      <c r="AH46" s="436">
        <f t="shared" si="318"/>
        <v>450</v>
      </c>
      <c r="AI46" s="393">
        <f>IF(T46="AIR",'Catalogue Aluminium'!$K$9,IF(T46="TRENCH",'Catalogue Aluminium'!$K$12,"NA"))</f>
        <v>0.89</v>
      </c>
      <c r="AJ46" s="392">
        <f>IF(T46="Air",(IF(U46="1C",'Catalogue Aluminium'!$L$9,'Catalogue Aluminium'!$M$9)),IF(T46="DUCT",(IF($U46="1C",'Catalogue Aluminium'!$L$10,'Catalogue Aluminium'!$M$10)),IF(T46="GROUND",(IF($U46="1C",'Catalogue Aluminium'!$L$11,'Catalogue Aluminium'!$M$11)),IF(T46="TRENCH",(IF($U46="1C",'Catalogue Aluminium'!$L$12,'Catalogue Aluminium'!$M$12))))))</f>
        <v>0.66</v>
      </c>
      <c r="AK46" s="393" t="str">
        <f>IF(T46="Air",'Catalogue Aluminium'!$N$9,IF(T46="GROUND",'Catalogue Aluminium'!$N$10,IF(T46="DUCT",'Catalogue Aluminium'!$N$11,IF(T46="TRENCH",'Catalogue Aluminium'!$N$12,"NA"))))</f>
        <v>NA</v>
      </c>
      <c r="AL46" s="393" t="str">
        <f>IF(T46="Air",(IF(U46="1C",'Catalogue Aluminium'!$O$9,'Catalogue Aluminium'!$P$9)),IF(T46="DUCT",(IF($U46="1C",'Catalogue Aluminium'!$O$10,'Catalogue Aluminium'!$P$10)),IF(T46="GROUND",(IF($U46="1C",'Catalogue Aluminium'!$O$11,'Catalogue Aluminium'!$P$11)),IF(T46="TRENCH",(IF($U46="1C",'Catalogue Aluminium'!$O$12,'Catalogue Aluminium'!$P$12))))))</f>
        <v>NA</v>
      </c>
      <c r="AM46" s="393" t="str">
        <f>IF(T46="AIR","NA",IF(T46="TRENCH","NA",IF(T46="DUCT",IF(U46="1C",VLOOKUP(V46,'Catalogue Aluminium'!$Q$9:$S$28,2,FALSE),VLOOKUP(V46,'Catalogue Aluminium'!$Q$9:$S$28,3)),IF(T46="GROUND",IF(U46="1C",VLOOKUP(V46,'Catalogue Aluminium'!$Q$9:$S$28,2,FALSE),VLOOKUP(V46,'Catalogue Aluminium'!$Q$9:$S$28,3))))))</f>
        <v>NA</v>
      </c>
      <c r="AN46" s="437">
        <f t="shared" si="319"/>
        <v>0.58740000000000003</v>
      </c>
      <c r="AO46" s="418">
        <f t="shared" si="320"/>
        <v>129.81540000000001</v>
      </c>
      <c r="AP46" s="434">
        <v>2</v>
      </c>
      <c r="AQ46" s="418" t="str">
        <f t="shared" si="321"/>
        <v>YES</v>
      </c>
      <c r="AR46" s="437">
        <f t="shared" si="322"/>
        <v>1.4833801647493499</v>
      </c>
      <c r="AS46" s="401" t="str">
        <f t="shared" si="323"/>
        <v>YES</v>
      </c>
      <c r="AT46" s="437">
        <f t="shared" si="324"/>
        <v>3.5382891317307803</v>
      </c>
      <c r="AU46" s="401" t="str">
        <f t="shared" si="325"/>
        <v>YES</v>
      </c>
      <c r="AV46" s="503" t="str">
        <f t="shared" si="326"/>
        <v>2R x 0.6/1kV x 3C x 95 Sqmm</v>
      </c>
      <c r="AW46" s="503" t="str">
        <f t="shared" si="327"/>
        <v>2R x 0.6/1kV x 3C x 95+PE Sqmm</v>
      </c>
      <c r="AX46" s="401">
        <f t="shared" si="328"/>
        <v>900</v>
      </c>
      <c r="AY46" s="504"/>
      <c r="AZ46" s="504">
        <f t="shared" si="329"/>
        <v>4</v>
      </c>
      <c r="BA46" s="438" t="str">
        <f t="shared" si="330"/>
        <v>ACDEE1E2E3E4E5</v>
      </c>
      <c r="BB46" s="505">
        <f>VLOOKUP(W46,'Catalogue Aluminium'!$B$9:$H$93,7,FALSE)</f>
        <v>33</v>
      </c>
      <c r="BC46" s="439">
        <f t="shared" si="331"/>
        <v>66</v>
      </c>
      <c r="BE46" s="336"/>
      <c r="BF46" s="336">
        <v>1</v>
      </c>
      <c r="BG46" s="336"/>
      <c r="BH46" s="336"/>
      <c r="BI46" s="336">
        <v>1</v>
      </c>
      <c r="BJ46" s="336">
        <v>1</v>
      </c>
      <c r="BK46" s="336"/>
      <c r="BL46" s="336"/>
      <c r="BM46" s="336"/>
      <c r="BN46" s="336">
        <v>1</v>
      </c>
      <c r="BO46" s="336"/>
      <c r="BP46" s="336">
        <v>1</v>
      </c>
      <c r="BQ46" s="336">
        <v>1</v>
      </c>
      <c r="BR46" s="336">
        <v>1</v>
      </c>
      <c r="BS46" s="336">
        <v>1</v>
      </c>
      <c r="BT46" s="336">
        <v>1</v>
      </c>
      <c r="BU46" s="336"/>
      <c r="BV46" s="336"/>
      <c r="BW46" s="336"/>
      <c r="BX46" s="336"/>
      <c r="BY46" s="336"/>
      <c r="BZ46" s="336"/>
      <c r="CA46" s="336"/>
      <c r="CB46" s="336"/>
      <c r="CC46" s="336"/>
      <c r="CD46" s="336"/>
      <c r="CE46" s="336"/>
      <c r="CF46" s="336"/>
      <c r="CG46" s="336"/>
      <c r="CH46" s="336"/>
      <c r="CI46" s="336"/>
      <c r="CJ46" s="336"/>
      <c r="CK46" s="336"/>
      <c r="CL46" s="336"/>
      <c r="CM46" s="336"/>
      <c r="CN46" s="336"/>
      <c r="CO46" s="336"/>
      <c r="CP46" s="336"/>
      <c r="CQ46" s="336"/>
      <c r="CR46" s="336"/>
      <c r="CS46" s="336"/>
      <c r="CT46" s="336"/>
      <c r="CU46" s="336"/>
      <c r="CV46" s="336"/>
      <c r="CW46" s="336"/>
      <c r="CX46" s="336"/>
      <c r="CY46" s="336"/>
      <c r="CZ46" s="336"/>
      <c r="DA46" s="336"/>
      <c r="DB46" s="336"/>
      <c r="DC46" s="336"/>
      <c r="DD46" s="336"/>
      <c r="DE46" s="336"/>
      <c r="DF46" s="336"/>
      <c r="DG46" s="336"/>
      <c r="DH46" s="336"/>
      <c r="DI46" s="336"/>
      <c r="DJ46" s="336"/>
      <c r="DK46" s="336"/>
      <c r="DL46" s="336"/>
      <c r="DM46" s="336"/>
      <c r="DN46" s="336"/>
      <c r="DO46" s="336"/>
      <c r="DP46" s="336"/>
      <c r="DQ46" s="336"/>
      <c r="DR46" s="336"/>
      <c r="DS46" s="336"/>
      <c r="DT46" s="336"/>
      <c r="DU46" s="336"/>
      <c r="DW46" s="336">
        <f t="shared" si="290"/>
        <v>0</v>
      </c>
      <c r="DX46" s="336">
        <f t="shared" si="291"/>
        <v>66</v>
      </c>
      <c r="DY46" s="336">
        <f t="shared" si="292"/>
        <v>0</v>
      </c>
      <c r="DZ46" s="336">
        <f t="shared" si="293"/>
        <v>0</v>
      </c>
      <c r="EA46" s="336">
        <f t="shared" si="294"/>
        <v>66</v>
      </c>
      <c r="EB46" s="336">
        <f t="shared" si="295"/>
        <v>66</v>
      </c>
      <c r="EC46" s="336">
        <f t="shared" si="296"/>
        <v>0</v>
      </c>
      <c r="ED46" s="336">
        <f t="shared" si="209"/>
        <v>0</v>
      </c>
      <c r="EE46" s="336">
        <f t="shared" si="210"/>
        <v>0</v>
      </c>
      <c r="EF46" s="336">
        <f t="shared" si="211"/>
        <v>66</v>
      </c>
      <c r="EG46" s="336">
        <f t="shared" si="212"/>
        <v>0</v>
      </c>
      <c r="EH46" s="336">
        <f t="shared" si="213"/>
        <v>66</v>
      </c>
      <c r="EI46" s="336">
        <f t="shared" si="214"/>
        <v>66</v>
      </c>
      <c r="EJ46" s="336">
        <f t="shared" si="215"/>
        <v>66</v>
      </c>
      <c r="EK46" s="336">
        <f t="shared" si="216"/>
        <v>66</v>
      </c>
      <c r="EL46" s="336">
        <f t="shared" si="217"/>
        <v>66</v>
      </c>
      <c r="EM46" s="336">
        <f t="shared" si="218"/>
        <v>0</v>
      </c>
      <c r="EN46" s="336">
        <f t="shared" si="219"/>
        <v>0</v>
      </c>
      <c r="EO46" s="336">
        <f t="shared" si="220"/>
        <v>0</v>
      </c>
      <c r="EP46" s="336">
        <f t="shared" si="221"/>
        <v>0</v>
      </c>
      <c r="EQ46" s="336">
        <f t="shared" si="222"/>
        <v>0</v>
      </c>
      <c r="ER46" s="336">
        <f t="shared" si="223"/>
        <v>0</v>
      </c>
      <c r="ES46" s="336">
        <f t="shared" si="224"/>
        <v>0</v>
      </c>
      <c r="ET46" s="336">
        <f t="shared" si="224"/>
        <v>0</v>
      </c>
      <c r="EU46" s="336">
        <f t="shared" si="225"/>
        <v>0</v>
      </c>
      <c r="EV46" s="336">
        <f t="shared" si="226"/>
        <v>0</v>
      </c>
      <c r="EW46" s="336">
        <f t="shared" si="227"/>
        <v>0</v>
      </c>
      <c r="EX46" s="336">
        <f t="shared" si="228"/>
        <v>0</v>
      </c>
      <c r="EY46" s="336">
        <f t="shared" si="229"/>
        <v>0</v>
      </c>
      <c r="EZ46" s="336">
        <f t="shared" si="230"/>
        <v>0</v>
      </c>
      <c r="FA46" s="336">
        <f t="shared" si="231"/>
        <v>0</v>
      </c>
      <c r="FB46" s="336">
        <f t="shared" si="232"/>
        <v>0</v>
      </c>
      <c r="FC46" s="336">
        <f t="shared" si="233"/>
        <v>0</v>
      </c>
      <c r="FD46" s="336">
        <f t="shared" si="234"/>
        <v>0</v>
      </c>
      <c r="FE46" s="336">
        <f t="shared" si="235"/>
        <v>0</v>
      </c>
      <c r="FF46" s="336">
        <f t="shared" si="236"/>
        <v>0</v>
      </c>
      <c r="FG46" s="336">
        <f t="shared" si="237"/>
        <v>0</v>
      </c>
      <c r="FH46" s="336">
        <f t="shared" si="238"/>
        <v>0</v>
      </c>
      <c r="FI46" s="336">
        <f t="shared" si="239"/>
        <v>0</v>
      </c>
      <c r="FJ46" s="336">
        <f t="shared" si="240"/>
        <v>0</v>
      </c>
      <c r="FK46" s="336">
        <f t="shared" si="241"/>
        <v>0</v>
      </c>
      <c r="FL46" s="336">
        <f t="shared" si="242"/>
        <v>0</v>
      </c>
      <c r="FM46" s="336">
        <f t="shared" si="243"/>
        <v>0</v>
      </c>
      <c r="FN46" s="336">
        <f t="shared" si="244"/>
        <v>0</v>
      </c>
      <c r="FO46" s="336">
        <f t="shared" si="245"/>
        <v>0</v>
      </c>
      <c r="FP46" s="336">
        <f t="shared" si="246"/>
        <v>0</v>
      </c>
      <c r="FQ46" s="336">
        <f t="shared" si="247"/>
        <v>0</v>
      </c>
      <c r="FR46" s="336">
        <f t="shared" si="248"/>
        <v>0</v>
      </c>
      <c r="FS46" s="336">
        <f t="shared" si="249"/>
        <v>0</v>
      </c>
      <c r="FT46" s="336">
        <f t="shared" si="250"/>
        <v>0</v>
      </c>
      <c r="FU46" s="336">
        <f t="shared" si="305"/>
        <v>0</v>
      </c>
      <c r="FV46" s="336">
        <f t="shared" si="306"/>
        <v>0</v>
      </c>
      <c r="FW46" s="336">
        <f t="shared" si="307"/>
        <v>0</v>
      </c>
      <c r="FX46" s="336">
        <f t="shared" si="308"/>
        <v>0</v>
      </c>
      <c r="FY46" s="336">
        <f t="shared" si="332"/>
        <v>0</v>
      </c>
      <c r="FZ46" s="336">
        <f t="shared" si="333"/>
        <v>0</v>
      </c>
      <c r="GA46" s="336">
        <f t="shared" si="334"/>
        <v>0</v>
      </c>
      <c r="GB46" s="336">
        <f t="shared" si="335"/>
        <v>0</v>
      </c>
      <c r="GC46" s="336">
        <f t="shared" si="336"/>
        <v>0</v>
      </c>
      <c r="GD46" s="336">
        <f t="shared" si="337"/>
        <v>0</v>
      </c>
      <c r="GE46" s="336">
        <f t="shared" si="338"/>
        <v>0</v>
      </c>
      <c r="GF46" s="336">
        <f t="shared" si="339"/>
        <v>0</v>
      </c>
      <c r="GG46" s="336">
        <f t="shared" si="340"/>
        <v>0</v>
      </c>
      <c r="GH46" s="336">
        <f t="shared" si="341"/>
        <v>0</v>
      </c>
      <c r="GI46" s="336">
        <f t="shared" si="342"/>
        <v>0</v>
      </c>
      <c r="GJ46" s="336">
        <f t="shared" si="343"/>
        <v>0</v>
      </c>
      <c r="GK46" s="336">
        <f t="shared" si="344"/>
        <v>0</v>
      </c>
      <c r="GL46" s="336">
        <f t="shared" si="309"/>
        <v>0</v>
      </c>
      <c r="GM46" s="336">
        <f t="shared" si="345"/>
        <v>0</v>
      </c>
    </row>
    <row r="47" spans="1:195" s="869" customFormat="1" ht="19.5" customHeight="1">
      <c r="A47" s="406">
        <f t="shared" si="346"/>
        <v>29</v>
      </c>
      <c r="B47" s="406" t="s">
        <v>527</v>
      </c>
      <c r="C47" s="406" t="s">
        <v>489</v>
      </c>
      <c r="D47" s="890" t="s">
        <v>537</v>
      </c>
      <c r="E47" s="580" t="s">
        <v>345</v>
      </c>
      <c r="F47" s="406" t="s">
        <v>28</v>
      </c>
      <c r="G47" s="406" t="s">
        <v>329</v>
      </c>
      <c r="H47" s="864">
        <v>0.06</v>
      </c>
      <c r="I47" s="406" t="s">
        <v>330</v>
      </c>
      <c r="J47" s="406" t="s">
        <v>357</v>
      </c>
      <c r="K47" s="585">
        <v>230</v>
      </c>
      <c r="L47" s="409">
        <v>0.85</v>
      </c>
      <c r="M47" s="583">
        <v>0.95</v>
      </c>
      <c r="N47" s="407">
        <f t="shared" si="310"/>
        <v>0.32305828509893664</v>
      </c>
      <c r="O47" s="407">
        <f t="shared" si="347"/>
        <v>0</v>
      </c>
      <c r="P47" s="409" t="str">
        <f t="shared" si="311"/>
        <v>0.00</v>
      </c>
      <c r="Q47" s="583">
        <v>65</v>
      </c>
      <c r="R47" s="583">
        <v>0</v>
      </c>
      <c r="S47" s="583">
        <f t="shared" si="312"/>
        <v>0</v>
      </c>
      <c r="T47" s="409" t="s">
        <v>131</v>
      </c>
      <c r="U47" s="583" t="s">
        <v>333</v>
      </c>
      <c r="V47" s="409">
        <v>2.5</v>
      </c>
      <c r="W47" s="409" t="str">
        <f t="shared" si="313"/>
        <v>3C X 2.5</v>
      </c>
      <c r="X47" s="409" t="str">
        <f t="shared" ref="X47" si="349">(IF(J47="1Ph",W47,IF(J47="3Ph",(IF(G47="MOTOR",(CONCATENATE(W47,"+PE")),W47)))))</f>
        <v>3C X 2.5</v>
      </c>
      <c r="Y47" s="409" t="s">
        <v>358</v>
      </c>
      <c r="Z47" s="408">
        <f>IF(T47="AIR",VLOOKUP(W47,'Catalogue Aluminium'!$B$9:$G$93,2,FALSE),IF(T47="GROUND",VLOOKUP(W47,'Catalogue Aluminium'!$B$9:$G$93,3,FALSE),IF(T47="DUCT",VLOOKUP(W47,'Catalogue Aluminium'!$B$9:$G$93,4,FALSE),IF(T47="TRENCH",VLOOKUP(W47,'Catalogue Aluminium'!$B$9:$G$93,2,FALSE)))))</f>
        <v>28</v>
      </c>
      <c r="AA47" s="410">
        <f>VLOOKUP(W47,'Catalogue Aluminium'!$B$9:$G$93,5,FALSE)</f>
        <v>9.48</v>
      </c>
      <c r="AB47" s="410">
        <f>VLOOKUP(W47,'Catalogue Aluminium'!$B$9:$G$93,6,FALSE)</f>
        <v>0.1007</v>
      </c>
      <c r="AC47" s="409">
        <f>25+3</f>
        <v>28</v>
      </c>
      <c r="AD47" s="409">
        <f t="shared" si="348"/>
        <v>335</v>
      </c>
      <c r="AE47" s="409">
        <f t="shared" si="316"/>
        <v>38</v>
      </c>
      <c r="AF47" s="409">
        <v>8</v>
      </c>
      <c r="AG47" s="409">
        <f t="shared" ref="AG47" si="350">ROUNDUP((SUM(AC47:AF47)*0.1),0)</f>
        <v>41</v>
      </c>
      <c r="AH47" s="865">
        <f t="shared" ref="AH47" si="351">SUM(AC47:AG47)</f>
        <v>450</v>
      </c>
      <c r="AI47" s="408">
        <f>IF(T47="AIR",'Catalogue Aluminium'!$K$9,IF(T47="TRENCH",'Catalogue Aluminium'!$K$12,"NA"))</f>
        <v>0.89</v>
      </c>
      <c r="AJ47" s="407">
        <f>IF(T47="Air",(IF(U47="1C",'Catalogue Aluminium'!$L$9,'Catalogue Aluminium'!$M$9)),IF(T47="DUCT",(IF($U47="1C",'Catalogue Aluminium'!$L$10,'Catalogue Aluminium'!$M$10)),IF(T47="GROUND",(IF($U47="1C",'Catalogue Aluminium'!$L$11,'Catalogue Aluminium'!$M$11)),IF(T47="TRENCH",(IF($U47="1C",'Catalogue Aluminium'!$L$12,'Catalogue Aluminium'!$M$12))))))</f>
        <v>0.66</v>
      </c>
      <c r="AK47" s="408" t="str">
        <f>IF(T47="Air",'Catalogue Aluminium'!$N$9,IF(T47="GROUND",'Catalogue Aluminium'!$N$10,IF(T47="DUCT",'Catalogue Aluminium'!$N$11,IF(T47="TRENCH",'Catalogue Aluminium'!$N$12,"NA"))))</f>
        <v>NA</v>
      </c>
      <c r="AL47" s="408" t="str">
        <f>IF(T47="Air",(IF(U47="1C",'Catalogue Aluminium'!$O$9,'Catalogue Aluminium'!$P$9)),IF(T47="DUCT",(IF($U47="1C",'Catalogue Aluminium'!$O$10,'Catalogue Aluminium'!$P$10)),IF(T47="GROUND",(IF($U47="1C",'Catalogue Aluminium'!$O$11,'Catalogue Aluminium'!$P$11)),IF(T47="TRENCH",(IF($U47="1C",'Catalogue Aluminium'!$O$12,'Catalogue Aluminium'!$P$12))))))</f>
        <v>NA</v>
      </c>
      <c r="AM47" s="408" t="str">
        <f>IF(T47="AIR","NA",IF(T47="TRENCH","NA",IF(T47="DUCT",IF(U47="1C",VLOOKUP(V47,'Catalogue Aluminium'!$Q$9:$S$28,2,FALSE),VLOOKUP(V47,'Catalogue Aluminium'!$Q$9:$S$28,3)),IF(T47="GROUND",IF(U47="1C",VLOOKUP(V47,'Catalogue Aluminium'!$Q$9:$S$28,2,FALSE),VLOOKUP(V47,'Catalogue Aluminium'!$Q$9:$S$28,3))))))</f>
        <v>NA</v>
      </c>
      <c r="AN47" s="584">
        <f t="shared" ref="AN47" si="352">IF(T47="AIR",AI47*AJ47,IF(T47="TRENCH",AI47*AJ47,IF(T47="DUCT",AJ47*AK47*AL47*AM47,IF(T47="GROUND",AJ47*AK47*AL47*AM47))))</f>
        <v>0.58740000000000003</v>
      </c>
      <c r="AO47" s="583">
        <f t="shared" ref="AO47" si="353">Z47*AN47</f>
        <v>16.447200000000002</v>
      </c>
      <c r="AP47" s="585">
        <v>1</v>
      </c>
      <c r="AQ47" s="583" t="str">
        <f t="shared" ref="AQ47" si="354">IF(AO47*AP47&gt;=N47,"YES","NO")</f>
        <v>YES</v>
      </c>
      <c r="AR47" s="584">
        <f t="shared" ref="AR47" si="355">SQRT(3)*AH47*N47*((AA47*L47)+(AB47*SIN(ACOS(L47))))*100/(AP47*K47*1000)</f>
        <v>0.88797984269888186</v>
      </c>
      <c r="AS47" s="409" t="str">
        <f t="shared" ref="AS47" si="356">IF(G47="INCOMER",(IF(AR47&lt;=2,"YES","NO")),IF(G47="POWER",(IF(AR47&lt;=2.5,"YES","NO")),IF(G47="MOTOR",(IF(AR47&lt;=3,"YES","NO")))))</f>
        <v>YES</v>
      </c>
      <c r="AT47" s="584" t="str">
        <f t="shared" si="324"/>
        <v>NA</v>
      </c>
      <c r="AU47" s="409" t="str">
        <f t="shared" si="325"/>
        <v>NA</v>
      </c>
      <c r="AV47" s="586" t="str">
        <f t="shared" si="326"/>
        <v>1R x 0.6/1kV x 3C x 2.5 Sqmm</v>
      </c>
      <c r="AW47" s="586" t="str">
        <f t="shared" si="327"/>
        <v>1R x 0.6/1kV x 3C x 2.5 Sqmm</v>
      </c>
      <c r="AX47" s="409">
        <f t="shared" si="328"/>
        <v>450</v>
      </c>
      <c r="AY47" s="866"/>
      <c r="AZ47" s="866">
        <f t="shared" si="329"/>
        <v>2</v>
      </c>
      <c r="BA47" s="867" t="str">
        <f t="shared" si="330"/>
        <v>ACDEE1E2E3E4E5</v>
      </c>
      <c r="BB47" s="868">
        <f>VLOOKUP(W47,'Catalogue Aluminium'!$B$9:$H$93,7,FALSE)</f>
        <v>14</v>
      </c>
      <c r="BC47" s="789">
        <f t="shared" si="331"/>
        <v>14</v>
      </c>
      <c r="BE47" s="587"/>
      <c r="BF47" s="587">
        <v>1</v>
      </c>
      <c r="BG47" s="587"/>
      <c r="BH47" s="587"/>
      <c r="BI47" s="587">
        <v>1</v>
      </c>
      <c r="BJ47" s="587">
        <v>1</v>
      </c>
      <c r="BK47" s="587"/>
      <c r="BL47" s="587"/>
      <c r="BM47" s="587"/>
      <c r="BN47" s="587">
        <v>1</v>
      </c>
      <c r="BO47" s="587"/>
      <c r="BP47" s="587">
        <v>1</v>
      </c>
      <c r="BQ47" s="587">
        <v>1</v>
      </c>
      <c r="BR47" s="587">
        <v>1</v>
      </c>
      <c r="BS47" s="587">
        <v>1</v>
      </c>
      <c r="BT47" s="587">
        <v>1</v>
      </c>
      <c r="BU47" s="587"/>
      <c r="BV47" s="587"/>
      <c r="BW47" s="587"/>
      <c r="BX47" s="587"/>
      <c r="BY47" s="587"/>
      <c r="BZ47" s="587"/>
      <c r="CA47" s="587"/>
      <c r="CB47" s="587"/>
      <c r="CC47" s="587"/>
      <c r="CD47" s="587"/>
      <c r="CE47" s="587"/>
      <c r="CF47" s="587"/>
      <c r="CG47" s="587"/>
      <c r="CH47" s="587"/>
      <c r="CI47" s="587"/>
      <c r="CJ47" s="587"/>
      <c r="CK47" s="587"/>
      <c r="CL47" s="587"/>
      <c r="CM47" s="587"/>
      <c r="CN47" s="587"/>
      <c r="CO47" s="587"/>
      <c r="CP47" s="587"/>
      <c r="CQ47" s="587"/>
      <c r="CR47" s="587"/>
      <c r="CS47" s="587"/>
      <c r="CT47" s="587"/>
      <c r="CU47" s="587"/>
      <c r="CV47" s="587"/>
      <c r="CW47" s="587"/>
      <c r="CX47" s="587"/>
      <c r="CY47" s="587"/>
      <c r="CZ47" s="587"/>
      <c r="DA47" s="587"/>
      <c r="DB47" s="587"/>
      <c r="DC47" s="587"/>
      <c r="DD47" s="587"/>
      <c r="DE47" s="587"/>
      <c r="DF47" s="587"/>
      <c r="DG47" s="587"/>
      <c r="DH47" s="587"/>
      <c r="DI47" s="587"/>
      <c r="DJ47" s="587"/>
      <c r="DK47" s="587"/>
      <c r="DL47" s="587"/>
      <c r="DM47" s="587"/>
      <c r="DN47" s="587"/>
      <c r="DO47" s="587"/>
      <c r="DP47" s="587"/>
      <c r="DQ47" s="587"/>
      <c r="DR47" s="587"/>
      <c r="DS47" s="587"/>
      <c r="DT47" s="587"/>
      <c r="DU47" s="587"/>
      <c r="DW47" s="587">
        <f t="shared" ref="DW47" si="357">IF(BE47=1,($BC47*BE47),0)</f>
        <v>0</v>
      </c>
      <c r="DX47" s="587">
        <f t="shared" ref="DX47" si="358">IF(BF47=1,($BC47*BF47),0)</f>
        <v>14</v>
      </c>
      <c r="DY47" s="587">
        <f t="shared" ref="DY47" si="359">IF(BG47=1,($BC47*BG47),0)</f>
        <v>0</v>
      </c>
      <c r="DZ47" s="587">
        <f t="shared" ref="DZ47" si="360">IF(BH47=1,($BC47*BH47),0)</f>
        <v>0</v>
      </c>
      <c r="EA47" s="587">
        <f t="shared" ref="EA47" si="361">IF(BI47=1,($BC47*BI47),0)</f>
        <v>14</v>
      </c>
      <c r="EB47" s="587">
        <f t="shared" ref="EB47" si="362">IF(BJ47=1,($BC47*BJ47),0)</f>
        <v>14</v>
      </c>
      <c r="EC47" s="587">
        <f t="shared" ref="EC47" si="363">IF(BK47=1,($BC47*BK47),0)</f>
        <v>0</v>
      </c>
      <c r="ED47" s="587">
        <f t="shared" si="209"/>
        <v>0</v>
      </c>
      <c r="EE47" s="587">
        <f t="shared" si="210"/>
        <v>0</v>
      </c>
      <c r="EF47" s="587">
        <f t="shared" si="211"/>
        <v>14</v>
      </c>
      <c r="EG47" s="587">
        <f t="shared" si="212"/>
        <v>0</v>
      </c>
      <c r="EH47" s="587">
        <f t="shared" si="213"/>
        <v>14</v>
      </c>
      <c r="EI47" s="587">
        <f t="shared" si="214"/>
        <v>14</v>
      </c>
      <c r="EJ47" s="587">
        <f t="shared" si="215"/>
        <v>14</v>
      </c>
      <c r="EK47" s="587">
        <f t="shared" si="216"/>
        <v>14</v>
      </c>
      <c r="EL47" s="587">
        <f t="shared" si="217"/>
        <v>14</v>
      </c>
      <c r="EM47" s="587">
        <f t="shared" si="218"/>
        <v>0</v>
      </c>
      <c r="EN47" s="587">
        <f t="shared" si="219"/>
        <v>0</v>
      </c>
      <c r="EO47" s="587">
        <f t="shared" si="220"/>
        <v>0</v>
      </c>
      <c r="EP47" s="587">
        <f t="shared" si="221"/>
        <v>0</v>
      </c>
      <c r="EQ47" s="587">
        <f t="shared" si="222"/>
        <v>0</v>
      </c>
      <c r="ER47" s="587">
        <f t="shared" si="223"/>
        <v>0</v>
      </c>
      <c r="ES47" s="587">
        <f t="shared" si="224"/>
        <v>0</v>
      </c>
      <c r="ET47" s="587">
        <f t="shared" si="224"/>
        <v>0</v>
      </c>
      <c r="EU47" s="587">
        <f t="shared" si="225"/>
        <v>0</v>
      </c>
      <c r="EV47" s="587">
        <f t="shared" si="226"/>
        <v>0</v>
      </c>
      <c r="EW47" s="587">
        <f t="shared" si="227"/>
        <v>0</v>
      </c>
      <c r="EX47" s="587">
        <f t="shared" si="228"/>
        <v>0</v>
      </c>
      <c r="EY47" s="587">
        <f t="shared" si="229"/>
        <v>0</v>
      </c>
      <c r="EZ47" s="587">
        <f t="shared" si="230"/>
        <v>0</v>
      </c>
      <c r="FA47" s="587">
        <f t="shared" si="231"/>
        <v>0</v>
      </c>
      <c r="FB47" s="587">
        <f t="shared" si="232"/>
        <v>0</v>
      </c>
      <c r="FC47" s="587">
        <f t="shared" si="233"/>
        <v>0</v>
      </c>
      <c r="FD47" s="587">
        <f t="shared" si="234"/>
        <v>0</v>
      </c>
      <c r="FE47" s="587">
        <f t="shared" si="235"/>
        <v>0</v>
      </c>
      <c r="FF47" s="587">
        <f t="shared" si="236"/>
        <v>0</v>
      </c>
      <c r="FG47" s="587">
        <f t="shared" si="237"/>
        <v>0</v>
      </c>
      <c r="FH47" s="587">
        <f t="shared" si="238"/>
        <v>0</v>
      </c>
      <c r="FI47" s="587">
        <f t="shared" si="239"/>
        <v>0</v>
      </c>
      <c r="FJ47" s="587">
        <f t="shared" si="240"/>
        <v>0</v>
      </c>
      <c r="FK47" s="587">
        <f t="shared" si="241"/>
        <v>0</v>
      </c>
      <c r="FL47" s="587">
        <f t="shared" si="242"/>
        <v>0</v>
      </c>
      <c r="FM47" s="587">
        <f t="shared" si="243"/>
        <v>0</v>
      </c>
      <c r="FN47" s="587">
        <f t="shared" si="244"/>
        <v>0</v>
      </c>
      <c r="FO47" s="587">
        <f t="shared" si="245"/>
        <v>0</v>
      </c>
      <c r="FP47" s="587">
        <f t="shared" si="246"/>
        <v>0</v>
      </c>
      <c r="FQ47" s="587">
        <f t="shared" si="247"/>
        <v>0</v>
      </c>
      <c r="FR47" s="587">
        <f t="shared" si="248"/>
        <v>0</v>
      </c>
      <c r="FS47" s="587">
        <f t="shared" si="249"/>
        <v>0</v>
      </c>
      <c r="FT47" s="587">
        <f t="shared" si="250"/>
        <v>0</v>
      </c>
      <c r="FU47" s="587">
        <f t="shared" si="305"/>
        <v>0</v>
      </c>
      <c r="FV47" s="587">
        <f t="shared" si="306"/>
        <v>0</v>
      </c>
      <c r="FW47" s="587">
        <f t="shared" si="307"/>
        <v>0</v>
      </c>
      <c r="FX47" s="587">
        <f t="shared" si="308"/>
        <v>0</v>
      </c>
      <c r="FY47" s="587">
        <f t="shared" si="332"/>
        <v>0</v>
      </c>
      <c r="FZ47" s="587">
        <f t="shared" si="333"/>
        <v>0</v>
      </c>
      <c r="GA47" s="587">
        <f t="shared" si="334"/>
        <v>0</v>
      </c>
      <c r="GB47" s="587">
        <f t="shared" si="335"/>
        <v>0</v>
      </c>
      <c r="GC47" s="587">
        <f t="shared" si="336"/>
        <v>0</v>
      </c>
      <c r="GD47" s="587">
        <f t="shared" si="337"/>
        <v>0</v>
      </c>
      <c r="GE47" s="587">
        <f t="shared" si="338"/>
        <v>0</v>
      </c>
      <c r="GF47" s="587">
        <f t="shared" si="339"/>
        <v>0</v>
      </c>
      <c r="GG47" s="587">
        <f t="shared" si="340"/>
        <v>0</v>
      </c>
      <c r="GH47" s="587">
        <f t="shared" si="341"/>
        <v>0</v>
      </c>
      <c r="GI47" s="587">
        <f t="shared" si="342"/>
        <v>0</v>
      </c>
      <c r="GJ47" s="587">
        <f t="shared" si="343"/>
        <v>0</v>
      </c>
      <c r="GK47" s="587">
        <f t="shared" si="344"/>
        <v>0</v>
      </c>
      <c r="GL47" s="587">
        <f t="shared" si="309"/>
        <v>0</v>
      </c>
      <c r="GM47" s="587">
        <f t="shared" si="345"/>
        <v>0</v>
      </c>
    </row>
    <row r="48" spans="1:195" ht="20.100000000000001" customHeight="1">
      <c r="A48" s="388">
        <f>1+A46</f>
        <v>29</v>
      </c>
      <c r="B48" s="406" t="s">
        <v>1626</v>
      </c>
      <c r="C48" s="388" t="s">
        <v>489</v>
      </c>
      <c r="D48" s="515" t="s">
        <v>538</v>
      </c>
      <c r="E48" s="502" t="s">
        <v>345</v>
      </c>
      <c r="F48" s="388" t="s">
        <v>29</v>
      </c>
      <c r="G48" s="388" t="s">
        <v>350</v>
      </c>
      <c r="H48" s="583">
        <v>22</v>
      </c>
      <c r="I48" s="388" t="s">
        <v>330</v>
      </c>
      <c r="J48" s="388" t="s">
        <v>331</v>
      </c>
      <c r="K48" s="434">
        <v>400</v>
      </c>
      <c r="L48" s="401">
        <v>0.85</v>
      </c>
      <c r="M48" s="418">
        <v>0.95</v>
      </c>
      <c r="N48" s="392">
        <f t="shared" si="310"/>
        <v>39.325320501362093</v>
      </c>
      <c r="O48" s="392">
        <f t="shared" si="347"/>
        <v>235.95192300817257</v>
      </c>
      <c r="P48" s="401">
        <f t="shared" si="311"/>
        <v>0.2</v>
      </c>
      <c r="Q48" s="418">
        <v>65</v>
      </c>
      <c r="R48" s="418">
        <v>0</v>
      </c>
      <c r="S48" s="418">
        <f t="shared" si="312"/>
        <v>0</v>
      </c>
      <c r="T48" s="401" t="s">
        <v>131</v>
      </c>
      <c r="U48" s="418" t="s">
        <v>333</v>
      </c>
      <c r="V48" s="401">
        <v>95</v>
      </c>
      <c r="W48" s="401" t="str">
        <f t="shared" si="313"/>
        <v>3C X 95</v>
      </c>
      <c r="X48" s="401" t="str">
        <f t="shared" si="314"/>
        <v>3C X 95+PE</v>
      </c>
      <c r="Y48" s="401" t="s">
        <v>358</v>
      </c>
      <c r="Z48" s="393">
        <f>IF(T48="AIR",VLOOKUP(W48,'Catalogue Aluminium'!$B$9:$G$93,2,FALSE),IF(T48="GROUND",VLOOKUP(W48,'Catalogue Aluminium'!$B$9:$G$93,3,FALSE),IF(T48="DUCT",VLOOKUP(W48,'Catalogue Aluminium'!$B$9:$G$93,4,FALSE),IF(T48="TRENCH",VLOOKUP(W48,'Catalogue Aluminium'!$B$9:$G$93,2,FALSE)))))</f>
        <v>221</v>
      </c>
      <c r="AA48" s="402">
        <f>VLOOKUP(W48,'Catalogue Aluminium'!$B$9:$G$93,5,FALSE)</f>
        <v>0.41</v>
      </c>
      <c r="AB48" s="402">
        <f>VLOOKUP(W48,'Catalogue Aluminium'!$B$9:$G$93,6,FALSE)</f>
        <v>7.3400000000000007E-2</v>
      </c>
      <c r="AC48" s="401">
        <f t="shared" ref="AC48:AC49" si="364">17+3</f>
        <v>20</v>
      </c>
      <c r="AD48" s="401">
        <f t="shared" si="348"/>
        <v>335</v>
      </c>
      <c r="AE48" s="401">
        <f t="shared" si="316"/>
        <v>38</v>
      </c>
      <c r="AF48" s="401">
        <v>8</v>
      </c>
      <c r="AG48" s="401">
        <f t="shared" si="317"/>
        <v>41</v>
      </c>
      <c r="AH48" s="436">
        <f t="shared" si="318"/>
        <v>442</v>
      </c>
      <c r="AI48" s="393">
        <f>IF(T48="AIR",'Catalogue Aluminium'!$K$9,IF(T48="TRENCH",'Catalogue Aluminium'!$K$12,"NA"))</f>
        <v>0.89</v>
      </c>
      <c r="AJ48" s="392">
        <f>IF(T48="Air",(IF(U48="1C",'Catalogue Aluminium'!$L$9,'Catalogue Aluminium'!$M$9)),IF(T48="DUCT",(IF($U48="1C",'Catalogue Aluminium'!$L$10,'Catalogue Aluminium'!$M$10)),IF(T48="GROUND",(IF($U48="1C",'Catalogue Aluminium'!$L$11,'Catalogue Aluminium'!$M$11)),IF(T48="TRENCH",(IF($U48="1C",'Catalogue Aluminium'!$L$12,'Catalogue Aluminium'!$M$12))))))</f>
        <v>0.66</v>
      </c>
      <c r="AK48" s="393" t="str">
        <f>IF(T48="Air",'Catalogue Aluminium'!$N$9,IF(T48="GROUND",'Catalogue Aluminium'!$N$10,IF(T48="DUCT",'Catalogue Aluminium'!$N$11,IF(T48="TRENCH",'Catalogue Aluminium'!$N$12,"NA"))))</f>
        <v>NA</v>
      </c>
      <c r="AL48" s="393" t="str">
        <f>IF(T48="Air",(IF(U48="1C",'Catalogue Aluminium'!$O$9,'Catalogue Aluminium'!$P$9)),IF(T48="DUCT",(IF($U48="1C",'Catalogue Aluminium'!$O$10,'Catalogue Aluminium'!$P$10)),IF(T48="GROUND",(IF($U48="1C",'Catalogue Aluminium'!$O$11,'Catalogue Aluminium'!$P$11)),IF(T48="TRENCH",(IF($U48="1C",'Catalogue Aluminium'!$O$12,'Catalogue Aluminium'!$P$12))))))</f>
        <v>NA</v>
      </c>
      <c r="AM48" s="393" t="str">
        <f>IF(T48="AIR","NA",IF(T48="TRENCH","NA",IF(T48="DUCT",IF(U48="1C",VLOOKUP(V48,'Catalogue Aluminium'!$Q$9:$S$28,2,FALSE),VLOOKUP(V48,'Catalogue Aluminium'!$Q$9:$S$28,3)),IF(T48="GROUND",IF(U48="1C",VLOOKUP(V48,'Catalogue Aluminium'!$Q$9:$S$28,2,FALSE),VLOOKUP(V48,'Catalogue Aluminium'!$Q$9:$S$28,3))))))</f>
        <v>NA</v>
      </c>
      <c r="AN48" s="437">
        <f t="shared" si="319"/>
        <v>0.58740000000000003</v>
      </c>
      <c r="AO48" s="418">
        <f t="shared" si="320"/>
        <v>129.81540000000001</v>
      </c>
      <c r="AP48" s="434">
        <v>2</v>
      </c>
      <c r="AQ48" s="418" t="str">
        <f t="shared" si="321"/>
        <v>YES</v>
      </c>
      <c r="AR48" s="437">
        <f t="shared" si="322"/>
        <v>1.4570089618204722</v>
      </c>
      <c r="AS48" s="401" t="str">
        <f t="shared" si="323"/>
        <v>YES</v>
      </c>
      <c r="AT48" s="437">
        <f t="shared" si="324"/>
        <v>3.4753862138333447</v>
      </c>
      <c r="AU48" s="401" t="str">
        <f t="shared" si="325"/>
        <v>YES</v>
      </c>
      <c r="AV48" s="503" t="str">
        <f t="shared" si="326"/>
        <v>2R x 0.6/1kV x 3C x 95 Sqmm</v>
      </c>
      <c r="AW48" s="503" t="str">
        <f t="shared" si="327"/>
        <v>2R x 0.6/1kV x 3C x 95+PE Sqmm</v>
      </c>
      <c r="AX48" s="401">
        <f t="shared" si="328"/>
        <v>884</v>
      </c>
      <c r="AY48" s="504"/>
      <c r="AZ48" s="504">
        <f t="shared" si="329"/>
        <v>4</v>
      </c>
      <c r="BA48" s="438" t="str">
        <f t="shared" si="330"/>
        <v>ACDEE1E2E3E4E5</v>
      </c>
      <c r="BB48" s="505">
        <f>VLOOKUP(W48,'Catalogue Aluminium'!$B$9:$H$93,7,FALSE)</f>
        <v>33</v>
      </c>
      <c r="BC48" s="439">
        <f t="shared" si="331"/>
        <v>66</v>
      </c>
      <c r="BE48" s="336"/>
      <c r="BF48" s="336">
        <v>1</v>
      </c>
      <c r="BG48" s="336"/>
      <c r="BH48" s="336"/>
      <c r="BI48" s="336">
        <v>1</v>
      </c>
      <c r="BJ48" s="336">
        <v>1</v>
      </c>
      <c r="BK48" s="336"/>
      <c r="BL48" s="336"/>
      <c r="BM48" s="336"/>
      <c r="BN48" s="336">
        <v>1</v>
      </c>
      <c r="BO48" s="336"/>
      <c r="BP48" s="336">
        <v>1</v>
      </c>
      <c r="BQ48" s="336">
        <v>1</v>
      </c>
      <c r="BR48" s="336">
        <v>1</v>
      </c>
      <c r="BS48" s="336">
        <v>1</v>
      </c>
      <c r="BT48" s="336">
        <v>1</v>
      </c>
      <c r="BU48" s="336"/>
      <c r="BV48" s="336"/>
      <c r="BW48" s="336"/>
      <c r="BX48" s="336"/>
      <c r="BY48" s="336"/>
      <c r="BZ48" s="336"/>
      <c r="CA48" s="336"/>
      <c r="CB48" s="336"/>
      <c r="CC48" s="336"/>
      <c r="CD48" s="336"/>
      <c r="CE48" s="336"/>
      <c r="CF48" s="336"/>
      <c r="CG48" s="336"/>
      <c r="CH48" s="336"/>
      <c r="CI48" s="336"/>
      <c r="CJ48" s="336"/>
      <c r="CK48" s="336"/>
      <c r="CL48" s="336"/>
      <c r="CM48" s="336"/>
      <c r="CN48" s="336"/>
      <c r="CO48" s="336"/>
      <c r="CP48" s="336"/>
      <c r="CQ48" s="336"/>
      <c r="CR48" s="336"/>
      <c r="CS48" s="336"/>
      <c r="CT48" s="336"/>
      <c r="CU48" s="336"/>
      <c r="CV48" s="336"/>
      <c r="CW48" s="336"/>
      <c r="CX48" s="336"/>
      <c r="CY48" s="336"/>
      <c r="CZ48" s="336"/>
      <c r="DA48" s="336"/>
      <c r="DB48" s="336"/>
      <c r="DC48" s="336"/>
      <c r="DD48" s="336"/>
      <c r="DE48" s="336"/>
      <c r="DF48" s="336"/>
      <c r="DG48" s="336"/>
      <c r="DH48" s="336"/>
      <c r="DI48" s="336"/>
      <c r="DJ48" s="336"/>
      <c r="DK48" s="336"/>
      <c r="DL48" s="336"/>
      <c r="DM48" s="336"/>
      <c r="DN48" s="336"/>
      <c r="DO48" s="336"/>
      <c r="DP48" s="336"/>
      <c r="DQ48" s="336"/>
      <c r="DR48" s="336"/>
      <c r="DS48" s="336"/>
      <c r="DT48" s="336"/>
      <c r="DU48" s="336"/>
      <c r="DW48" s="336">
        <f t="shared" ref="DW48:EC48" si="365">IF(BE48=1,($BC48*BE48),0)</f>
        <v>0</v>
      </c>
      <c r="DX48" s="336">
        <f t="shared" si="365"/>
        <v>66</v>
      </c>
      <c r="DY48" s="336">
        <f t="shared" si="365"/>
        <v>0</v>
      </c>
      <c r="DZ48" s="336">
        <f t="shared" si="365"/>
        <v>0</v>
      </c>
      <c r="EA48" s="336">
        <f t="shared" si="365"/>
        <v>66</v>
      </c>
      <c r="EB48" s="336">
        <f t="shared" si="365"/>
        <v>66</v>
      </c>
      <c r="EC48" s="336">
        <f t="shared" si="365"/>
        <v>0</v>
      </c>
      <c r="ED48" s="336">
        <f t="shared" si="209"/>
        <v>0</v>
      </c>
      <c r="EE48" s="336">
        <f t="shared" si="210"/>
        <v>0</v>
      </c>
      <c r="EF48" s="336">
        <f t="shared" si="211"/>
        <v>66</v>
      </c>
      <c r="EG48" s="336">
        <f t="shared" si="212"/>
        <v>0</v>
      </c>
      <c r="EH48" s="336">
        <f t="shared" si="213"/>
        <v>66</v>
      </c>
      <c r="EI48" s="336">
        <f t="shared" si="214"/>
        <v>66</v>
      </c>
      <c r="EJ48" s="336">
        <f t="shared" si="215"/>
        <v>66</v>
      </c>
      <c r="EK48" s="336">
        <f t="shared" si="216"/>
        <v>66</v>
      </c>
      <c r="EL48" s="336">
        <f t="shared" si="217"/>
        <v>66</v>
      </c>
      <c r="EM48" s="336">
        <f t="shared" si="218"/>
        <v>0</v>
      </c>
      <c r="EN48" s="336">
        <f t="shared" si="219"/>
        <v>0</v>
      </c>
      <c r="EO48" s="336">
        <f t="shared" si="220"/>
        <v>0</v>
      </c>
      <c r="EP48" s="336">
        <f t="shared" si="221"/>
        <v>0</v>
      </c>
      <c r="EQ48" s="336">
        <f t="shared" si="222"/>
        <v>0</v>
      </c>
      <c r="ER48" s="336">
        <f t="shared" si="223"/>
        <v>0</v>
      </c>
      <c r="ES48" s="336">
        <f t="shared" si="224"/>
        <v>0</v>
      </c>
      <c r="ET48" s="336">
        <f t="shared" si="224"/>
        <v>0</v>
      </c>
      <c r="EU48" s="336">
        <f t="shared" si="225"/>
        <v>0</v>
      </c>
      <c r="EV48" s="336">
        <f t="shared" si="226"/>
        <v>0</v>
      </c>
      <c r="EW48" s="336">
        <f t="shared" si="227"/>
        <v>0</v>
      </c>
      <c r="EX48" s="336">
        <f t="shared" si="228"/>
        <v>0</v>
      </c>
      <c r="EY48" s="336">
        <f t="shared" si="229"/>
        <v>0</v>
      </c>
      <c r="EZ48" s="336">
        <f t="shared" si="230"/>
        <v>0</v>
      </c>
      <c r="FA48" s="336">
        <f t="shared" si="231"/>
        <v>0</v>
      </c>
      <c r="FB48" s="336">
        <f t="shared" si="232"/>
        <v>0</v>
      </c>
      <c r="FC48" s="336">
        <f t="shared" si="233"/>
        <v>0</v>
      </c>
      <c r="FD48" s="336">
        <f t="shared" si="234"/>
        <v>0</v>
      </c>
      <c r="FE48" s="336">
        <f t="shared" si="235"/>
        <v>0</v>
      </c>
      <c r="FF48" s="336">
        <f t="shared" si="236"/>
        <v>0</v>
      </c>
      <c r="FG48" s="336">
        <f t="shared" si="237"/>
        <v>0</v>
      </c>
      <c r="FH48" s="336">
        <f t="shared" si="238"/>
        <v>0</v>
      </c>
      <c r="FI48" s="336">
        <f t="shared" si="239"/>
        <v>0</v>
      </c>
      <c r="FJ48" s="336">
        <f t="shared" si="240"/>
        <v>0</v>
      </c>
      <c r="FK48" s="336">
        <f t="shared" si="241"/>
        <v>0</v>
      </c>
      <c r="FL48" s="336">
        <f t="shared" si="242"/>
        <v>0</v>
      </c>
      <c r="FM48" s="336">
        <f t="shared" si="243"/>
        <v>0</v>
      </c>
      <c r="FN48" s="336">
        <f t="shared" si="244"/>
        <v>0</v>
      </c>
      <c r="FO48" s="336">
        <f t="shared" si="245"/>
        <v>0</v>
      </c>
      <c r="FP48" s="336">
        <f t="shared" si="246"/>
        <v>0</v>
      </c>
      <c r="FQ48" s="336">
        <f t="shared" si="247"/>
        <v>0</v>
      </c>
      <c r="FR48" s="336">
        <f t="shared" si="248"/>
        <v>0</v>
      </c>
      <c r="FS48" s="336">
        <f t="shared" si="249"/>
        <v>0</v>
      </c>
      <c r="FT48" s="336">
        <f t="shared" si="250"/>
        <v>0</v>
      </c>
      <c r="FU48" s="336">
        <f t="shared" si="305"/>
        <v>0</v>
      </c>
      <c r="FV48" s="336">
        <f t="shared" si="306"/>
        <v>0</v>
      </c>
      <c r="FW48" s="336">
        <f t="shared" si="307"/>
        <v>0</v>
      </c>
      <c r="FX48" s="336">
        <f t="shared" si="308"/>
        <v>0</v>
      </c>
      <c r="FY48" s="336">
        <f t="shared" si="332"/>
        <v>0</v>
      </c>
      <c r="FZ48" s="336">
        <f t="shared" si="333"/>
        <v>0</v>
      </c>
      <c r="GA48" s="336">
        <f t="shared" si="334"/>
        <v>0</v>
      </c>
      <c r="GB48" s="336">
        <f t="shared" si="335"/>
        <v>0</v>
      </c>
      <c r="GC48" s="336">
        <f t="shared" si="336"/>
        <v>0</v>
      </c>
      <c r="GD48" s="336">
        <f t="shared" si="337"/>
        <v>0</v>
      </c>
      <c r="GE48" s="336">
        <f t="shared" si="338"/>
        <v>0</v>
      </c>
      <c r="GF48" s="336">
        <f t="shared" si="339"/>
        <v>0</v>
      </c>
      <c r="GG48" s="336">
        <f t="shared" si="340"/>
        <v>0</v>
      </c>
      <c r="GH48" s="336">
        <f t="shared" si="341"/>
        <v>0</v>
      </c>
      <c r="GI48" s="336">
        <f t="shared" si="342"/>
        <v>0</v>
      </c>
      <c r="GJ48" s="336">
        <f t="shared" si="343"/>
        <v>0</v>
      </c>
      <c r="GK48" s="336">
        <f t="shared" si="344"/>
        <v>0</v>
      </c>
      <c r="GL48" s="336">
        <f t="shared" si="309"/>
        <v>0</v>
      </c>
      <c r="GM48" s="336">
        <f t="shared" si="345"/>
        <v>0</v>
      </c>
    </row>
    <row r="49" spans="1:195" s="869" customFormat="1" ht="20.100000000000001" customHeight="1">
      <c r="A49" s="406">
        <f>1+A47</f>
        <v>30</v>
      </c>
      <c r="B49" s="406" t="s">
        <v>527</v>
      </c>
      <c r="C49" s="406" t="s">
        <v>489</v>
      </c>
      <c r="D49" s="890" t="s">
        <v>539</v>
      </c>
      <c r="E49" s="580" t="s">
        <v>345</v>
      </c>
      <c r="F49" s="406" t="s">
        <v>29</v>
      </c>
      <c r="G49" s="406" t="s">
        <v>329</v>
      </c>
      <c r="H49" s="864">
        <v>0.06</v>
      </c>
      <c r="I49" s="406" t="s">
        <v>330</v>
      </c>
      <c r="J49" s="406" t="s">
        <v>357</v>
      </c>
      <c r="K49" s="585">
        <v>230</v>
      </c>
      <c r="L49" s="409">
        <v>0.85</v>
      </c>
      <c r="M49" s="583">
        <v>0.95</v>
      </c>
      <c r="N49" s="407">
        <f t="shared" ref="N49" si="366">IF(I49="kVA",IF(J49="3Ph",(H49*1000/(1.732*M49*K49)),(H49*1000/(M49*K49))),IF(I49="kW",IF(J49="3Ph",(H49*1000/(1.732*M49*K49*L49)),(H49*1000/(M49*K49*L49)))))</f>
        <v>0.32305828509893664</v>
      </c>
      <c r="O49" s="407">
        <f t="shared" ref="O49" si="367">IF(G49="MOTOR",(6*N49),IF(G49="VFD",(1*N49),0))</f>
        <v>0</v>
      </c>
      <c r="P49" s="409" t="str">
        <f t="shared" ref="P49" si="368">IF(G49="MOTOR",0.2,"0.00")</f>
        <v>0.00</v>
      </c>
      <c r="Q49" s="583">
        <v>65</v>
      </c>
      <c r="R49" s="583">
        <v>0</v>
      </c>
      <c r="S49" s="583">
        <f t="shared" ref="S49" si="369">(Q49*1000*SQRT(R49)/143)</f>
        <v>0</v>
      </c>
      <c r="T49" s="409" t="s">
        <v>131</v>
      </c>
      <c r="U49" s="583" t="s">
        <v>333</v>
      </c>
      <c r="V49" s="409">
        <v>2.5</v>
      </c>
      <c r="W49" s="409" t="str">
        <f t="shared" ref="W49" si="370">CONCATENATE(U49," X ",V49)</f>
        <v>3C X 2.5</v>
      </c>
      <c r="X49" s="409" t="str">
        <f t="shared" ref="X49" si="371">(IF(J49="1Ph",W49,IF(J49="3Ph",(IF(G49="MOTOR",(CONCATENATE(W49,"+PE")),W49)))))</f>
        <v>3C X 2.5</v>
      </c>
      <c r="Y49" s="409" t="s">
        <v>358</v>
      </c>
      <c r="Z49" s="408">
        <f>IF(T49="AIR",VLOOKUP(W49,'Catalogue Aluminium'!$B$9:$G$93,2,FALSE),IF(T49="GROUND",VLOOKUP(W49,'Catalogue Aluminium'!$B$9:$G$93,3,FALSE),IF(T49="DUCT",VLOOKUP(W49,'Catalogue Aluminium'!$B$9:$G$93,4,FALSE),IF(T49="TRENCH",VLOOKUP(W49,'Catalogue Aluminium'!$B$9:$G$93,2,FALSE)))))</f>
        <v>28</v>
      </c>
      <c r="AA49" s="410">
        <f>VLOOKUP(W49,'Catalogue Aluminium'!$B$9:$G$93,5,FALSE)</f>
        <v>9.48</v>
      </c>
      <c r="AB49" s="410">
        <f>VLOOKUP(W49,'Catalogue Aluminium'!$B$9:$G$93,6,FALSE)</f>
        <v>0.1007</v>
      </c>
      <c r="AC49" s="409">
        <f t="shared" si="364"/>
        <v>20</v>
      </c>
      <c r="AD49" s="409">
        <f t="shared" si="348"/>
        <v>335</v>
      </c>
      <c r="AE49" s="409">
        <f t="shared" si="316"/>
        <v>38</v>
      </c>
      <c r="AF49" s="409">
        <v>8</v>
      </c>
      <c r="AG49" s="409">
        <f t="shared" ref="AG49" si="372">ROUNDUP((SUM(AC49:AF49)*0.1),0)</f>
        <v>41</v>
      </c>
      <c r="AH49" s="865">
        <f t="shared" ref="AH49" si="373">SUM(AC49:AG49)</f>
        <v>442</v>
      </c>
      <c r="AI49" s="408">
        <f>IF(T49="AIR",'Catalogue Aluminium'!$K$9,IF(T49="TRENCH",'Catalogue Aluminium'!$K$12,"NA"))</f>
        <v>0.89</v>
      </c>
      <c r="AJ49" s="407">
        <f>IF(T49="Air",(IF(U49="1C",'Catalogue Aluminium'!$L$9,'Catalogue Aluminium'!$M$9)),IF(T49="DUCT",(IF($U49="1C",'Catalogue Aluminium'!$L$10,'Catalogue Aluminium'!$M$10)),IF(T49="GROUND",(IF($U49="1C",'Catalogue Aluminium'!$L$11,'Catalogue Aluminium'!$M$11)),IF(T49="TRENCH",(IF($U49="1C",'Catalogue Aluminium'!$L$12,'Catalogue Aluminium'!$M$12))))))</f>
        <v>0.66</v>
      </c>
      <c r="AK49" s="408" t="str">
        <f>IF(T49="Air",'Catalogue Aluminium'!$N$9,IF(T49="GROUND",'Catalogue Aluminium'!$N$10,IF(T49="DUCT",'Catalogue Aluminium'!$N$11,IF(T49="TRENCH",'Catalogue Aluminium'!$N$12,"NA"))))</f>
        <v>NA</v>
      </c>
      <c r="AL49" s="408" t="str">
        <f>IF(T49="Air",(IF(U49="1C",'Catalogue Aluminium'!$O$9,'Catalogue Aluminium'!$P$9)),IF(T49="DUCT",(IF($U49="1C",'Catalogue Aluminium'!$O$10,'Catalogue Aluminium'!$P$10)),IF(T49="GROUND",(IF($U49="1C",'Catalogue Aluminium'!$O$11,'Catalogue Aluminium'!$P$11)),IF(T49="TRENCH",(IF($U49="1C",'Catalogue Aluminium'!$O$12,'Catalogue Aluminium'!$P$12))))))</f>
        <v>NA</v>
      </c>
      <c r="AM49" s="408" t="str">
        <f>IF(T49="AIR","NA",IF(T49="TRENCH","NA",IF(T49="DUCT",IF(U49="1C",VLOOKUP(V49,'Catalogue Aluminium'!$Q$9:$S$28,2,FALSE),VLOOKUP(V49,'Catalogue Aluminium'!$Q$9:$S$28,3)),IF(T49="GROUND",IF(U49="1C",VLOOKUP(V49,'Catalogue Aluminium'!$Q$9:$S$28,2,FALSE),VLOOKUP(V49,'Catalogue Aluminium'!$Q$9:$S$28,3))))))</f>
        <v>NA</v>
      </c>
      <c r="AN49" s="584">
        <f t="shared" ref="AN49" si="374">IF(T49="AIR",AI49*AJ49,IF(T49="TRENCH",AI49*AJ49,IF(T49="DUCT",AJ49*AK49*AL49*AM49,IF(T49="GROUND",AJ49*AK49*AL49*AM49))))</f>
        <v>0.58740000000000003</v>
      </c>
      <c r="AO49" s="583">
        <f t="shared" ref="AO49" si="375">Z49*AN49</f>
        <v>16.447200000000002</v>
      </c>
      <c r="AP49" s="585">
        <v>1</v>
      </c>
      <c r="AQ49" s="583" t="str">
        <f t="shared" ref="AQ49" si="376">IF(AO49*AP49&gt;=N49,"YES","NO")</f>
        <v>YES</v>
      </c>
      <c r="AR49" s="584">
        <f t="shared" ref="AR49" si="377">SQRT(3)*AH49*N49*((AA49*L49)+(AB49*SIN(ACOS(L49))))*100/(AP49*K49*1000)</f>
        <v>0.87219353438423497</v>
      </c>
      <c r="AS49" s="409" t="str">
        <f t="shared" ref="AS49" si="378">IF(G49="INCOMER",(IF(AR49&lt;=2,"YES","NO")),IF(G49="POWER",(IF(AR49&lt;=2.5,"YES","NO")),IF(G49="MOTOR",(IF(AR49&lt;=3,"YES","NO")))))</f>
        <v>YES</v>
      </c>
      <c r="AT49" s="584" t="str">
        <f t="shared" si="324"/>
        <v>NA</v>
      </c>
      <c r="AU49" s="409" t="str">
        <f t="shared" si="325"/>
        <v>NA</v>
      </c>
      <c r="AV49" s="586" t="str">
        <f t="shared" si="326"/>
        <v>1R x 0.6/1kV x 3C x 2.5 Sqmm</v>
      </c>
      <c r="AW49" s="586" t="str">
        <f t="shared" si="327"/>
        <v>1R x 0.6/1kV x 3C x 2.5 Sqmm</v>
      </c>
      <c r="AX49" s="409">
        <f t="shared" si="328"/>
        <v>442</v>
      </c>
      <c r="AY49" s="866"/>
      <c r="AZ49" s="866">
        <f t="shared" si="329"/>
        <v>2</v>
      </c>
      <c r="BA49" s="867" t="str">
        <f t="shared" si="330"/>
        <v>ACDEE1E2E3E4E5</v>
      </c>
      <c r="BB49" s="868">
        <f>VLOOKUP(W49,'Catalogue Aluminium'!$B$9:$H$93,7,FALSE)</f>
        <v>14</v>
      </c>
      <c r="BC49" s="789">
        <f t="shared" si="331"/>
        <v>14</v>
      </c>
      <c r="BE49" s="587"/>
      <c r="BF49" s="587">
        <v>1</v>
      </c>
      <c r="BG49" s="587"/>
      <c r="BH49" s="587"/>
      <c r="BI49" s="587">
        <v>1</v>
      </c>
      <c r="BJ49" s="587">
        <v>1</v>
      </c>
      <c r="BK49" s="587"/>
      <c r="BL49" s="587"/>
      <c r="BM49" s="587"/>
      <c r="BN49" s="587">
        <v>1</v>
      </c>
      <c r="BO49" s="587"/>
      <c r="BP49" s="587">
        <v>1</v>
      </c>
      <c r="BQ49" s="587">
        <v>1</v>
      </c>
      <c r="BR49" s="587">
        <v>1</v>
      </c>
      <c r="BS49" s="587">
        <v>1</v>
      </c>
      <c r="BT49" s="587">
        <v>1</v>
      </c>
      <c r="BU49" s="587"/>
      <c r="BV49" s="587"/>
      <c r="BW49" s="587"/>
      <c r="BX49" s="587"/>
      <c r="BY49" s="587"/>
      <c r="BZ49" s="587"/>
      <c r="CA49" s="587"/>
      <c r="CB49" s="587"/>
      <c r="CC49" s="587"/>
      <c r="CD49" s="587"/>
      <c r="CE49" s="587"/>
      <c r="CF49" s="587"/>
      <c r="CG49" s="587"/>
      <c r="CH49" s="587"/>
      <c r="CI49" s="587"/>
      <c r="CJ49" s="587"/>
      <c r="CK49" s="587"/>
      <c r="CL49" s="587"/>
      <c r="CM49" s="587"/>
      <c r="CN49" s="587"/>
      <c r="CO49" s="587"/>
      <c r="CP49" s="587"/>
      <c r="CQ49" s="587"/>
      <c r="CR49" s="587"/>
      <c r="CS49" s="587"/>
      <c r="CT49" s="587"/>
      <c r="CU49" s="587"/>
      <c r="CV49" s="587"/>
      <c r="CW49" s="587"/>
      <c r="CX49" s="587"/>
      <c r="CY49" s="587"/>
      <c r="CZ49" s="587"/>
      <c r="DA49" s="587"/>
      <c r="DB49" s="587"/>
      <c r="DC49" s="587"/>
      <c r="DD49" s="587"/>
      <c r="DE49" s="587"/>
      <c r="DF49" s="587"/>
      <c r="DG49" s="587"/>
      <c r="DH49" s="587"/>
      <c r="DI49" s="587"/>
      <c r="DJ49" s="587"/>
      <c r="DK49" s="587"/>
      <c r="DL49" s="587"/>
      <c r="DM49" s="587"/>
      <c r="DN49" s="587"/>
      <c r="DO49" s="587"/>
      <c r="DP49" s="587"/>
      <c r="DQ49" s="587"/>
      <c r="DR49" s="587"/>
      <c r="DS49" s="587"/>
      <c r="DT49" s="587"/>
      <c r="DU49" s="587"/>
      <c r="DW49" s="587">
        <f t="shared" ref="DW49" si="379">IF(BE49=1,($BC49*BE49),0)</f>
        <v>0</v>
      </c>
      <c r="DX49" s="587">
        <f t="shared" ref="DX49" si="380">IF(BF49=1,($BC49*BF49),0)</f>
        <v>14</v>
      </c>
      <c r="DY49" s="587">
        <f t="shared" ref="DY49" si="381">IF(BG49=1,($BC49*BG49),0)</f>
        <v>0</v>
      </c>
      <c r="DZ49" s="587">
        <f t="shared" ref="DZ49" si="382">IF(BH49=1,($BC49*BH49),0)</f>
        <v>0</v>
      </c>
      <c r="EA49" s="587">
        <f t="shared" ref="EA49" si="383">IF(BI49=1,($BC49*BI49),0)</f>
        <v>14</v>
      </c>
      <c r="EB49" s="587">
        <f t="shared" ref="EB49" si="384">IF(BJ49=1,($BC49*BJ49),0)</f>
        <v>14</v>
      </c>
      <c r="EC49" s="587">
        <f t="shared" ref="EC49" si="385">IF(BK49=1,($BC49*BK49),0)</f>
        <v>0</v>
      </c>
      <c r="ED49" s="587">
        <f t="shared" si="209"/>
        <v>0</v>
      </c>
      <c r="EE49" s="587">
        <f t="shared" si="210"/>
        <v>0</v>
      </c>
      <c r="EF49" s="587">
        <f t="shared" si="211"/>
        <v>14</v>
      </c>
      <c r="EG49" s="587">
        <f t="shared" si="212"/>
        <v>0</v>
      </c>
      <c r="EH49" s="587">
        <f t="shared" si="213"/>
        <v>14</v>
      </c>
      <c r="EI49" s="587">
        <f t="shared" si="214"/>
        <v>14</v>
      </c>
      <c r="EJ49" s="587">
        <f t="shared" si="215"/>
        <v>14</v>
      </c>
      <c r="EK49" s="587">
        <f t="shared" si="216"/>
        <v>14</v>
      </c>
      <c r="EL49" s="587">
        <f t="shared" si="217"/>
        <v>14</v>
      </c>
      <c r="EM49" s="587">
        <f t="shared" si="218"/>
        <v>0</v>
      </c>
      <c r="EN49" s="587">
        <f t="shared" si="219"/>
        <v>0</v>
      </c>
      <c r="EO49" s="587">
        <f t="shared" si="220"/>
        <v>0</v>
      </c>
      <c r="EP49" s="587">
        <f t="shared" si="221"/>
        <v>0</v>
      </c>
      <c r="EQ49" s="587">
        <f t="shared" si="222"/>
        <v>0</v>
      </c>
      <c r="ER49" s="587">
        <f t="shared" si="223"/>
        <v>0</v>
      </c>
      <c r="ES49" s="587">
        <f t="shared" si="224"/>
        <v>0</v>
      </c>
      <c r="ET49" s="587">
        <f t="shared" si="224"/>
        <v>0</v>
      </c>
      <c r="EU49" s="587">
        <f t="shared" si="225"/>
        <v>0</v>
      </c>
      <c r="EV49" s="587">
        <f t="shared" si="226"/>
        <v>0</v>
      </c>
      <c r="EW49" s="587">
        <f t="shared" si="227"/>
        <v>0</v>
      </c>
      <c r="EX49" s="587">
        <f t="shared" si="228"/>
        <v>0</v>
      </c>
      <c r="EY49" s="587">
        <f t="shared" si="229"/>
        <v>0</v>
      </c>
      <c r="EZ49" s="587">
        <f t="shared" si="230"/>
        <v>0</v>
      </c>
      <c r="FA49" s="587">
        <f t="shared" si="231"/>
        <v>0</v>
      </c>
      <c r="FB49" s="587">
        <f t="shared" si="232"/>
        <v>0</v>
      </c>
      <c r="FC49" s="587">
        <f t="shared" si="233"/>
        <v>0</v>
      </c>
      <c r="FD49" s="587">
        <f t="shared" si="234"/>
        <v>0</v>
      </c>
      <c r="FE49" s="587">
        <f t="shared" si="235"/>
        <v>0</v>
      </c>
      <c r="FF49" s="587">
        <f t="shared" si="236"/>
        <v>0</v>
      </c>
      <c r="FG49" s="587">
        <f t="shared" si="237"/>
        <v>0</v>
      </c>
      <c r="FH49" s="587">
        <f t="shared" si="238"/>
        <v>0</v>
      </c>
      <c r="FI49" s="587">
        <f t="shared" si="239"/>
        <v>0</v>
      </c>
      <c r="FJ49" s="587">
        <f t="shared" si="240"/>
        <v>0</v>
      </c>
      <c r="FK49" s="587">
        <f t="shared" si="241"/>
        <v>0</v>
      </c>
      <c r="FL49" s="587">
        <f t="shared" si="242"/>
        <v>0</v>
      </c>
      <c r="FM49" s="587">
        <f t="shared" si="243"/>
        <v>0</v>
      </c>
      <c r="FN49" s="587">
        <f t="shared" si="244"/>
        <v>0</v>
      </c>
      <c r="FO49" s="587">
        <f t="shared" si="245"/>
        <v>0</v>
      </c>
      <c r="FP49" s="587">
        <f t="shared" si="246"/>
        <v>0</v>
      </c>
      <c r="FQ49" s="587">
        <f t="shared" si="247"/>
        <v>0</v>
      </c>
      <c r="FR49" s="587">
        <f t="shared" si="248"/>
        <v>0</v>
      </c>
      <c r="FS49" s="587">
        <f t="shared" si="249"/>
        <v>0</v>
      </c>
      <c r="FT49" s="587">
        <f t="shared" si="250"/>
        <v>0</v>
      </c>
      <c r="FU49" s="587">
        <f t="shared" si="305"/>
        <v>0</v>
      </c>
      <c r="FV49" s="587">
        <f t="shared" si="306"/>
        <v>0</v>
      </c>
      <c r="FW49" s="587">
        <f t="shared" si="307"/>
        <v>0</v>
      </c>
      <c r="FX49" s="587">
        <f t="shared" si="308"/>
        <v>0</v>
      </c>
      <c r="FY49" s="587">
        <f t="shared" si="332"/>
        <v>0</v>
      </c>
      <c r="FZ49" s="587">
        <f t="shared" si="333"/>
        <v>0</v>
      </c>
      <c r="GA49" s="587">
        <f t="shared" si="334"/>
        <v>0</v>
      </c>
      <c r="GB49" s="587">
        <f t="shared" si="335"/>
        <v>0</v>
      </c>
      <c r="GC49" s="587">
        <f t="shared" si="336"/>
        <v>0</v>
      </c>
      <c r="GD49" s="587">
        <f t="shared" si="337"/>
        <v>0</v>
      </c>
      <c r="GE49" s="587">
        <f t="shared" si="338"/>
        <v>0</v>
      </c>
      <c r="GF49" s="587">
        <f t="shared" si="339"/>
        <v>0</v>
      </c>
      <c r="GG49" s="587">
        <f t="shared" si="340"/>
        <v>0</v>
      </c>
      <c r="GH49" s="587">
        <f t="shared" si="341"/>
        <v>0</v>
      </c>
      <c r="GI49" s="587">
        <f t="shared" si="342"/>
        <v>0</v>
      </c>
      <c r="GJ49" s="587">
        <f t="shared" si="343"/>
        <v>0</v>
      </c>
      <c r="GK49" s="587">
        <f t="shared" si="344"/>
        <v>0</v>
      </c>
      <c r="GL49" s="587">
        <f t="shared" si="309"/>
        <v>0</v>
      </c>
      <c r="GM49" s="587">
        <f t="shared" si="345"/>
        <v>0</v>
      </c>
    </row>
    <row r="50" spans="1:195" ht="20.100000000000001" customHeight="1">
      <c r="A50" s="388">
        <f>1+A48</f>
        <v>30</v>
      </c>
      <c r="B50" s="388" t="s">
        <v>527</v>
      </c>
      <c r="C50" s="388" t="s">
        <v>489</v>
      </c>
      <c r="D50" s="515" t="s">
        <v>540</v>
      </c>
      <c r="E50" s="502" t="s">
        <v>345</v>
      </c>
      <c r="F50" s="388" t="s">
        <v>28</v>
      </c>
      <c r="G50" s="388" t="s">
        <v>329</v>
      </c>
      <c r="H50" s="583">
        <v>0.4</v>
      </c>
      <c r="I50" s="388" t="s">
        <v>330</v>
      </c>
      <c r="J50" s="406" t="s">
        <v>357</v>
      </c>
      <c r="K50" s="585">
        <v>230</v>
      </c>
      <c r="L50" s="401">
        <v>0.85</v>
      </c>
      <c r="M50" s="418">
        <v>0.95</v>
      </c>
      <c r="N50" s="392">
        <f t="shared" si="310"/>
        <v>2.1537219006595776</v>
      </c>
      <c r="O50" s="392">
        <f t="shared" si="347"/>
        <v>0</v>
      </c>
      <c r="P50" s="401" t="str">
        <f t="shared" si="311"/>
        <v>0.00</v>
      </c>
      <c r="Q50" s="418">
        <v>65</v>
      </c>
      <c r="R50" s="418">
        <v>0</v>
      </c>
      <c r="S50" s="418">
        <f t="shared" si="312"/>
        <v>0</v>
      </c>
      <c r="T50" s="401" t="s">
        <v>131</v>
      </c>
      <c r="U50" s="418" t="s">
        <v>333</v>
      </c>
      <c r="V50" s="401">
        <v>6</v>
      </c>
      <c r="W50" s="401" t="str">
        <f t="shared" si="313"/>
        <v>3C X 6</v>
      </c>
      <c r="X50" s="401" t="str">
        <f t="shared" si="314"/>
        <v>3C X 6</v>
      </c>
      <c r="Y50" s="401" t="s">
        <v>358</v>
      </c>
      <c r="Z50" s="393">
        <f>IF(T50="AIR",VLOOKUP(W50,'Catalogue Aluminium'!$B$9:$G$93,2,FALSE),IF(T50="GROUND",VLOOKUP(W50,'Catalogue Aluminium'!$B$9:$G$93,3,FALSE),IF(T50="DUCT",VLOOKUP(W50,'Catalogue Aluminium'!$B$9:$G$93,4,FALSE),IF(T50="TRENCH",VLOOKUP(W50,'Catalogue Aluminium'!$B$9:$G$93,2,FALSE)))))</f>
        <v>51</v>
      </c>
      <c r="AA50" s="402">
        <f>VLOOKUP(W50,'Catalogue Aluminium'!$B$9:$G$93,5,FALSE)</f>
        <v>3.94</v>
      </c>
      <c r="AB50" s="402">
        <f>VLOOKUP(W50,'Catalogue Aluminium'!$B$9:$G$93,6,FALSE)</f>
        <v>9.0200000000000002E-2</v>
      </c>
      <c r="AC50" s="401">
        <f t="shared" ref="AC50:AC54" si="386">26+3</f>
        <v>29</v>
      </c>
      <c r="AD50" s="401">
        <f t="shared" si="348"/>
        <v>335</v>
      </c>
      <c r="AE50" s="401">
        <f t="shared" si="316"/>
        <v>38</v>
      </c>
      <c r="AF50" s="401">
        <v>8</v>
      </c>
      <c r="AG50" s="401">
        <f t="shared" si="317"/>
        <v>41</v>
      </c>
      <c r="AH50" s="436">
        <f t="shared" si="318"/>
        <v>451</v>
      </c>
      <c r="AI50" s="393">
        <f>IF(T50="AIR",'Catalogue Aluminium'!$K$9,IF(T50="TRENCH",'Catalogue Aluminium'!$K$12,"NA"))</f>
        <v>0.89</v>
      </c>
      <c r="AJ50" s="392">
        <f>IF(T50="Air",(IF(U50="1C",'Catalogue Aluminium'!$L$9,'Catalogue Aluminium'!$M$9)),IF(T50="DUCT",(IF($U50="1C",'Catalogue Aluminium'!$L$10,'Catalogue Aluminium'!$M$10)),IF(T50="GROUND",(IF($U50="1C",'Catalogue Aluminium'!$L$11,'Catalogue Aluminium'!$M$11)),IF(T50="TRENCH",(IF($U50="1C",'Catalogue Aluminium'!$L$12,'Catalogue Aluminium'!$M$12))))))</f>
        <v>0.66</v>
      </c>
      <c r="AK50" s="393" t="str">
        <f>IF(T50="Air",'Catalogue Aluminium'!$N$9,IF(T50="GROUND",'Catalogue Aluminium'!$N$10,IF(T50="DUCT",'Catalogue Aluminium'!$N$11,IF(T50="TRENCH",'Catalogue Aluminium'!$N$12,"NA"))))</f>
        <v>NA</v>
      </c>
      <c r="AL50" s="393" t="str">
        <f>IF(T50="Air",(IF(U50="1C",'Catalogue Aluminium'!$O$9,'Catalogue Aluminium'!$P$9)),IF(T50="DUCT",(IF($U50="1C",'Catalogue Aluminium'!$O$10,'Catalogue Aluminium'!$P$10)),IF(T50="GROUND",(IF($U50="1C",'Catalogue Aluminium'!$O$11,'Catalogue Aluminium'!$P$11)),IF(T50="TRENCH",(IF($U50="1C",'Catalogue Aluminium'!$O$12,'Catalogue Aluminium'!$P$12))))))</f>
        <v>NA</v>
      </c>
      <c r="AM50" s="393" t="str">
        <f>IF(T50="AIR","NA",IF(T50="TRENCH","NA",IF(T50="DUCT",IF(U50="1C",VLOOKUP(V50,'Catalogue Aluminium'!$Q$9:$S$28,2,FALSE),VLOOKUP(V50,'Catalogue Aluminium'!$Q$9:$S$28,3)),IF(T50="GROUND",IF(U50="1C",VLOOKUP(V50,'Catalogue Aluminium'!$Q$9:$S$28,2,FALSE),VLOOKUP(V50,'Catalogue Aluminium'!$Q$9:$S$28,3))))))</f>
        <v>NA</v>
      </c>
      <c r="AN50" s="437">
        <f t="shared" si="319"/>
        <v>0.58740000000000003</v>
      </c>
      <c r="AO50" s="418">
        <f t="shared" si="320"/>
        <v>29.957400000000003</v>
      </c>
      <c r="AP50" s="434">
        <f t="shared" si="10"/>
        <v>1</v>
      </c>
      <c r="AQ50" s="418" t="str">
        <f t="shared" si="321"/>
        <v>YES</v>
      </c>
      <c r="AR50" s="437">
        <f t="shared" si="322"/>
        <v>2.4844633612285398</v>
      </c>
      <c r="AS50" s="401" t="str">
        <f t="shared" si="323"/>
        <v>YES</v>
      </c>
      <c r="AT50" s="437" t="str">
        <f t="shared" si="324"/>
        <v>NA</v>
      </c>
      <c r="AU50" s="401" t="str">
        <f t="shared" si="325"/>
        <v>NA</v>
      </c>
      <c r="AV50" s="503" t="str">
        <f t="shared" si="326"/>
        <v>1R x 0.6/1kV x 3C x 6 Sqmm</v>
      </c>
      <c r="AW50" s="503" t="str">
        <f t="shared" si="327"/>
        <v>1R x 0.6/1kV x 3C x 6 Sqmm</v>
      </c>
      <c r="AX50" s="401">
        <f t="shared" si="328"/>
        <v>451</v>
      </c>
      <c r="AY50" s="504"/>
      <c r="AZ50" s="504">
        <f t="shared" si="329"/>
        <v>2</v>
      </c>
      <c r="BA50" s="438" t="str">
        <f t="shared" si="330"/>
        <v>ACDEE1E2E3E4E5</v>
      </c>
      <c r="BB50" s="505">
        <f>VLOOKUP(W50,'Catalogue Aluminium'!$B$9:$H$93,7,FALSE)</f>
        <v>16</v>
      </c>
      <c r="BC50" s="439">
        <f t="shared" si="331"/>
        <v>16</v>
      </c>
      <c r="BE50" s="336"/>
      <c r="BF50" s="336">
        <v>1</v>
      </c>
      <c r="BG50" s="336"/>
      <c r="BH50" s="336"/>
      <c r="BI50" s="336">
        <v>1</v>
      </c>
      <c r="BJ50" s="336">
        <v>1</v>
      </c>
      <c r="BK50" s="336"/>
      <c r="BL50" s="336"/>
      <c r="BM50" s="336"/>
      <c r="BN50" s="336">
        <v>1</v>
      </c>
      <c r="BO50" s="336"/>
      <c r="BP50" s="336">
        <v>1</v>
      </c>
      <c r="BQ50" s="336">
        <v>1</v>
      </c>
      <c r="BR50" s="336">
        <v>1</v>
      </c>
      <c r="BS50" s="336">
        <v>1</v>
      </c>
      <c r="BT50" s="336">
        <v>1</v>
      </c>
      <c r="BU50" s="336"/>
      <c r="BV50" s="336"/>
      <c r="BW50" s="336"/>
      <c r="BX50" s="336"/>
      <c r="BY50" s="336"/>
      <c r="BZ50" s="336"/>
      <c r="CA50" s="336"/>
      <c r="CB50" s="336"/>
      <c r="CC50" s="336"/>
      <c r="CD50" s="336"/>
      <c r="CE50" s="336"/>
      <c r="CF50" s="336"/>
      <c r="CG50" s="336"/>
      <c r="CH50" s="336"/>
      <c r="CI50" s="336"/>
      <c r="CJ50" s="336"/>
      <c r="CK50" s="336"/>
      <c r="CL50" s="336"/>
      <c r="CM50" s="336"/>
      <c r="CN50" s="336"/>
      <c r="CO50" s="336"/>
      <c r="CP50" s="336"/>
      <c r="CQ50" s="336"/>
      <c r="CR50" s="336"/>
      <c r="CS50" s="336"/>
      <c r="CT50" s="336"/>
      <c r="CU50" s="336"/>
      <c r="CV50" s="336"/>
      <c r="CW50" s="336"/>
      <c r="CX50" s="336"/>
      <c r="CY50" s="336"/>
      <c r="CZ50" s="336"/>
      <c r="DA50" s="336"/>
      <c r="DB50" s="336"/>
      <c r="DC50" s="336"/>
      <c r="DD50" s="336"/>
      <c r="DE50" s="336"/>
      <c r="DF50" s="336"/>
      <c r="DG50" s="336"/>
      <c r="DH50" s="336"/>
      <c r="DI50" s="336"/>
      <c r="DJ50" s="336"/>
      <c r="DK50" s="336"/>
      <c r="DL50" s="336"/>
      <c r="DM50" s="336"/>
      <c r="DN50" s="336"/>
      <c r="DO50" s="336"/>
      <c r="DP50" s="336"/>
      <c r="DQ50" s="336"/>
      <c r="DR50" s="336"/>
      <c r="DS50" s="336"/>
      <c r="DT50" s="336"/>
      <c r="DU50" s="336"/>
      <c r="DW50" s="336">
        <f t="shared" ref="DW50:DW82" si="387">IF(BE50=1,($BC50*BE50),0)</f>
        <v>0</v>
      </c>
      <c r="DX50" s="336">
        <f t="shared" ref="DX50:DX82" si="388">IF(BF50=1,($BC50*BF50),0)</f>
        <v>16</v>
      </c>
      <c r="DY50" s="336">
        <f t="shared" ref="DY50:DY82" si="389">IF(BG50=1,($BC50*BG50),0)</f>
        <v>0</v>
      </c>
      <c r="DZ50" s="336">
        <f t="shared" ref="DZ50:DZ82" si="390">IF(BH50=1,($BC50*BH50),0)</f>
        <v>0</v>
      </c>
      <c r="EA50" s="336">
        <f t="shared" ref="EA50:EA82" si="391">IF(BI50=1,($BC50*BI50),0)</f>
        <v>16</v>
      </c>
      <c r="EB50" s="336">
        <f t="shared" ref="EB50:EB82" si="392">IF(BJ50=1,($BC50*BJ50),0)</f>
        <v>16</v>
      </c>
      <c r="EC50" s="336">
        <f t="shared" ref="EC50:EC82" si="393">IF(BK50=1,($BC50*BK50),0)</f>
        <v>0</v>
      </c>
      <c r="ED50" s="336">
        <f t="shared" si="209"/>
        <v>0</v>
      </c>
      <c r="EE50" s="336">
        <f t="shared" si="210"/>
        <v>0</v>
      </c>
      <c r="EF50" s="336">
        <f t="shared" si="211"/>
        <v>16</v>
      </c>
      <c r="EG50" s="336">
        <f t="shared" si="212"/>
        <v>0</v>
      </c>
      <c r="EH50" s="336">
        <f t="shared" si="213"/>
        <v>16</v>
      </c>
      <c r="EI50" s="336">
        <f t="shared" si="214"/>
        <v>16</v>
      </c>
      <c r="EJ50" s="336">
        <f t="shared" si="215"/>
        <v>16</v>
      </c>
      <c r="EK50" s="336">
        <f t="shared" si="216"/>
        <v>16</v>
      </c>
      <c r="EL50" s="336">
        <f t="shared" si="217"/>
        <v>16</v>
      </c>
      <c r="EM50" s="336">
        <f t="shared" si="218"/>
        <v>0</v>
      </c>
      <c r="EN50" s="336">
        <f t="shared" si="219"/>
        <v>0</v>
      </c>
      <c r="EO50" s="336">
        <f t="shared" si="220"/>
        <v>0</v>
      </c>
      <c r="EP50" s="336">
        <f t="shared" si="221"/>
        <v>0</v>
      </c>
      <c r="EQ50" s="336">
        <f t="shared" si="222"/>
        <v>0</v>
      </c>
      <c r="ER50" s="336">
        <f t="shared" si="223"/>
        <v>0</v>
      </c>
      <c r="ES50" s="336">
        <f t="shared" si="224"/>
        <v>0</v>
      </c>
      <c r="ET50" s="336">
        <f t="shared" si="224"/>
        <v>0</v>
      </c>
      <c r="EU50" s="336">
        <f t="shared" si="225"/>
        <v>0</v>
      </c>
      <c r="EV50" s="336">
        <f t="shared" si="226"/>
        <v>0</v>
      </c>
      <c r="EW50" s="336">
        <f t="shared" si="227"/>
        <v>0</v>
      </c>
      <c r="EX50" s="336">
        <f t="shared" si="228"/>
        <v>0</v>
      </c>
      <c r="EY50" s="336">
        <f t="shared" si="229"/>
        <v>0</v>
      </c>
      <c r="EZ50" s="336">
        <f t="shared" si="230"/>
        <v>0</v>
      </c>
      <c r="FA50" s="336">
        <f t="shared" si="231"/>
        <v>0</v>
      </c>
      <c r="FB50" s="336">
        <f t="shared" si="232"/>
        <v>0</v>
      </c>
      <c r="FC50" s="336">
        <f t="shared" si="233"/>
        <v>0</v>
      </c>
      <c r="FD50" s="336">
        <f t="shared" si="234"/>
        <v>0</v>
      </c>
      <c r="FE50" s="336">
        <f t="shared" si="235"/>
        <v>0</v>
      </c>
      <c r="FF50" s="336">
        <f t="shared" si="236"/>
        <v>0</v>
      </c>
      <c r="FG50" s="336">
        <f t="shared" si="237"/>
        <v>0</v>
      </c>
      <c r="FH50" s="336">
        <f t="shared" si="238"/>
        <v>0</v>
      </c>
      <c r="FI50" s="336">
        <f t="shared" si="239"/>
        <v>0</v>
      </c>
      <c r="FJ50" s="336">
        <f t="shared" si="240"/>
        <v>0</v>
      </c>
      <c r="FK50" s="336">
        <f t="shared" si="241"/>
        <v>0</v>
      </c>
      <c r="FL50" s="336">
        <f t="shared" si="242"/>
        <v>0</v>
      </c>
      <c r="FM50" s="336">
        <f t="shared" si="243"/>
        <v>0</v>
      </c>
      <c r="FN50" s="336">
        <f t="shared" si="244"/>
        <v>0</v>
      </c>
      <c r="FO50" s="336">
        <f t="shared" si="245"/>
        <v>0</v>
      </c>
      <c r="FP50" s="336">
        <f t="shared" si="246"/>
        <v>0</v>
      </c>
      <c r="FQ50" s="336">
        <f t="shared" si="247"/>
        <v>0</v>
      </c>
      <c r="FR50" s="336">
        <f t="shared" si="248"/>
        <v>0</v>
      </c>
      <c r="FS50" s="336">
        <f t="shared" si="249"/>
        <v>0</v>
      </c>
      <c r="FT50" s="336">
        <f t="shared" si="250"/>
        <v>0</v>
      </c>
      <c r="FU50" s="336">
        <f t="shared" si="305"/>
        <v>0</v>
      </c>
      <c r="FV50" s="336">
        <f t="shared" si="306"/>
        <v>0</v>
      </c>
      <c r="FW50" s="336">
        <f t="shared" si="307"/>
        <v>0</v>
      </c>
      <c r="FX50" s="336">
        <f t="shared" si="308"/>
        <v>0</v>
      </c>
      <c r="FY50" s="336">
        <f t="shared" si="332"/>
        <v>0</v>
      </c>
      <c r="FZ50" s="336">
        <f t="shared" si="333"/>
        <v>0</v>
      </c>
      <c r="GA50" s="336">
        <f t="shared" si="334"/>
        <v>0</v>
      </c>
      <c r="GB50" s="336">
        <f t="shared" si="335"/>
        <v>0</v>
      </c>
      <c r="GC50" s="336">
        <f t="shared" si="336"/>
        <v>0</v>
      </c>
      <c r="GD50" s="336">
        <f t="shared" si="337"/>
        <v>0</v>
      </c>
      <c r="GE50" s="336">
        <f t="shared" si="338"/>
        <v>0</v>
      </c>
      <c r="GF50" s="336">
        <f t="shared" si="339"/>
        <v>0</v>
      </c>
      <c r="GG50" s="336">
        <f t="shared" si="340"/>
        <v>0</v>
      </c>
      <c r="GH50" s="336">
        <f t="shared" si="341"/>
        <v>0</v>
      </c>
      <c r="GI50" s="336">
        <f t="shared" si="342"/>
        <v>0</v>
      </c>
      <c r="GJ50" s="336">
        <f t="shared" si="343"/>
        <v>0</v>
      </c>
      <c r="GK50" s="336">
        <f t="shared" si="344"/>
        <v>0</v>
      </c>
      <c r="GL50" s="336">
        <f t="shared" si="309"/>
        <v>0</v>
      </c>
      <c r="GM50" s="336">
        <f t="shared" si="345"/>
        <v>0</v>
      </c>
    </row>
    <row r="51" spans="1:195" ht="20.100000000000001" customHeight="1">
      <c r="A51" s="388">
        <f t="shared" si="346"/>
        <v>31</v>
      </c>
      <c r="B51" s="406" t="s">
        <v>1629</v>
      </c>
      <c r="C51" s="388" t="s">
        <v>489</v>
      </c>
      <c r="D51" s="515" t="s">
        <v>541</v>
      </c>
      <c r="E51" s="502" t="s">
        <v>345</v>
      </c>
      <c r="F51" s="388" t="s">
        <v>29</v>
      </c>
      <c r="G51" s="388" t="s">
        <v>350</v>
      </c>
      <c r="H51" s="583">
        <v>3.7</v>
      </c>
      <c r="I51" s="388" t="s">
        <v>330</v>
      </c>
      <c r="J51" s="388" t="s">
        <v>331</v>
      </c>
      <c r="K51" s="434">
        <v>400</v>
      </c>
      <c r="L51" s="401">
        <v>0.85</v>
      </c>
      <c r="M51" s="418">
        <v>0.95</v>
      </c>
      <c r="N51" s="392">
        <f t="shared" si="310"/>
        <v>6.6138039025018065</v>
      </c>
      <c r="O51" s="392">
        <f t="shared" si="347"/>
        <v>39.682823415010837</v>
      </c>
      <c r="P51" s="401">
        <f t="shared" si="311"/>
        <v>0.2</v>
      </c>
      <c r="Q51" s="418">
        <v>65</v>
      </c>
      <c r="R51" s="418">
        <v>0</v>
      </c>
      <c r="S51" s="418">
        <f t="shared" si="312"/>
        <v>0</v>
      </c>
      <c r="T51" s="401" t="s">
        <v>131</v>
      </c>
      <c r="U51" s="418" t="s">
        <v>333</v>
      </c>
      <c r="V51" s="401">
        <v>16</v>
      </c>
      <c r="W51" s="401" t="str">
        <f t="shared" si="313"/>
        <v>3C X 16</v>
      </c>
      <c r="X51" s="401" t="str">
        <f t="shared" si="314"/>
        <v>3C X 16+PE</v>
      </c>
      <c r="Y51" s="401" t="s">
        <v>358</v>
      </c>
      <c r="Z51" s="393">
        <f>IF(T51="AIR",VLOOKUP(W51,'Catalogue Aluminium'!$B$9:$G$93,2,FALSE),IF(T51="GROUND",VLOOKUP(W51,'Catalogue Aluminium'!$B$9:$G$93,3,FALSE),IF(T51="DUCT",VLOOKUP(W51,'Catalogue Aluminium'!$B$9:$G$93,4,FALSE),IF(T51="TRENCH",VLOOKUP(W51,'Catalogue Aluminium'!$B$9:$G$93,2,FALSE)))))</f>
        <v>70</v>
      </c>
      <c r="AA51" s="402">
        <f>VLOOKUP(W51,'Catalogue Aluminium'!$B$9:$G$93,5,FALSE)</f>
        <v>2.44</v>
      </c>
      <c r="AB51" s="402">
        <f>VLOOKUP(W51,'Catalogue Aluminium'!$B$9:$G$93,6,FALSE)</f>
        <v>8.1500000000000003E-2</v>
      </c>
      <c r="AC51" s="401">
        <f t="shared" ref="AC51" si="394">17+3</f>
        <v>20</v>
      </c>
      <c r="AD51" s="401">
        <f t="shared" si="348"/>
        <v>335</v>
      </c>
      <c r="AE51" s="401">
        <f t="shared" si="316"/>
        <v>38</v>
      </c>
      <c r="AF51" s="401">
        <v>8</v>
      </c>
      <c r="AG51" s="401">
        <f t="shared" si="317"/>
        <v>41</v>
      </c>
      <c r="AH51" s="436">
        <f t="shared" si="318"/>
        <v>442</v>
      </c>
      <c r="AI51" s="393">
        <f>IF(T51="AIR",'Catalogue Aluminium'!$K$9,IF(T51="TRENCH",'Catalogue Aluminium'!$K$12,"NA"))</f>
        <v>0.89</v>
      </c>
      <c r="AJ51" s="392">
        <f>IF(T51="Air",(IF(U51="1C",'Catalogue Aluminium'!$L$9,'Catalogue Aluminium'!$M$9)),IF(T51="DUCT",(IF($U51="1C",'Catalogue Aluminium'!$L$10,'Catalogue Aluminium'!$M$10)),IF(T51="GROUND",(IF($U51="1C",'Catalogue Aluminium'!$L$11,'Catalogue Aluminium'!$M$11)),IF(T51="TRENCH",(IF($U51="1C",'Catalogue Aluminium'!$L$12,'Catalogue Aluminium'!$M$12))))))</f>
        <v>0.66</v>
      </c>
      <c r="AK51" s="393" t="str">
        <f>IF(T51="Air",'Catalogue Aluminium'!$N$9,IF(T51="GROUND",'Catalogue Aluminium'!$N$10,IF(T51="DUCT",'Catalogue Aluminium'!$N$11,IF(T51="TRENCH",'Catalogue Aluminium'!$N$12,"NA"))))</f>
        <v>NA</v>
      </c>
      <c r="AL51" s="393" t="str">
        <f>IF(T51="Air",(IF(U51="1C",'Catalogue Aluminium'!$O$9,'Catalogue Aluminium'!$P$9)),IF(T51="DUCT",(IF($U51="1C",'Catalogue Aluminium'!$O$10,'Catalogue Aluminium'!$P$10)),IF(T51="GROUND",(IF($U51="1C",'Catalogue Aluminium'!$O$11,'Catalogue Aluminium'!$P$11)),IF(T51="TRENCH",(IF($U51="1C",'Catalogue Aluminium'!$O$12,'Catalogue Aluminium'!$P$12))))))</f>
        <v>NA</v>
      </c>
      <c r="AM51" s="393" t="str">
        <f>IF(T51="AIR","NA",IF(T51="TRENCH","NA",IF(T51="DUCT",IF(U51="1C",VLOOKUP(V51,'Catalogue Aluminium'!$Q$9:$S$28,2,FALSE),VLOOKUP(V51,'Catalogue Aluminium'!$Q$9:$S$28,3)),IF(T51="GROUND",IF(U51="1C",VLOOKUP(V51,'Catalogue Aluminium'!$Q$9:$S$28,2,FALSE),VLOOKUP(V51,'Catalogue Aluminium'!$Q$9:$S$28,3))))))</f>
        <v>NA</v>
      </c>
      <c r="AN51" s="437">
        <f t="shared" si="319"/>
        <v>0.58740000000000003</v>
      </c>
      <c r="AO51" s="418">
        <f t="shared" si="320"/>
        <v>41.118000000000002</v>
      </c>
      <c r="AP51" s="434">
        <f t="shared" si="10"/>
        <v>1</v>
      </c>
      <c r="AQ51" s="418" t="str">
        <f t="shared" si="321"/>
        <v>YES</v>
      </c>
      <c r="AR51" s="437">
        <f t="shared" si="322"/>
        <v>2.6796698456691224</v>
      </c>
      <c r="AS51" s="401" t="str">
        <f t="shared" si="323"/>
        <v>YES</v>
      </c>
      <c r="AT51" s="437">
        <f t="shared" si="324"/>
        <v>4.3128233880892495</v>
      </c>
      <c r="AU51" s="401" t="str">
        <f t="shared" si="325"/>
        <v>YES</v>
      </c>
      <c r="AV51" s="503" t="str">
        <f t="shared" si="326"/>
        <v>1R x 0.6/1kV x 3C x 16 Sqmm</v>
      </c>
      <c r="AW51" s="503" t="str">
        <f t="shared" si="327"/>
        <v>1R x 0.6/1kV x 3C x 16+PE Sqmm</v>
      </c>
      <c r="AX51" s="401">
        <f t="shared" si="328"/>
        <v>442</v>
      </c>
      <c r="AY51" s="504"/>
      <c r="AZ51" s="504">
        <f t="shared" si="329"/>
        <v>2</v>
      </c>
      <c r="BA51" s="438" t="str">
        <f t="shared" si="330"/>
        <v>ACDEE1E2E3E4E5</v>
      </c>
      <c r="BB51" s="505">
        <f>VLOOKUP(W51,'Catalogue Aluminium'!$B$9:$H$93,7,FALSE)</f>
        <v>19</v>
      </c>
      <c r="BC51" s="439">
        <f t="shared" si="331"/>
        <v>19</v>
      </c>
      <c r="BE51" s="336"/>
      <c r="BF51" s="336">
        <v>1</v>
      </c>
      <c r="BG51" s="336"/>
      <c r="BH51" s="336"/>
      <c r="BI51" s="336">
        <v>1</v>
      </c>
      <c r="BJ51" s="336">
        <v>1</v>
      </c>
      <c r="BK51" s="336"/>
      <c r="BL51" s="336"/>
      <c r="BM51" s="336"/>
      <c r="BN51" s="336">
        <v>1</v>
      </c>
      <c r="BO51" s="336"/>
      <c r="BP51" s="336">
        <v>1</v>
      </c>
      <c r="BQ51" s="336">
        <v>1</v>
      </c>
      <c r="BR51" s="336">
        <v>1</v>
      </c>
      <c r="BS51" s="336">
        <v>1</v>
      </c>
      <c r="BT51" s="336">
        <v>1</v>
      </c>
      <c r="BU51" s="336"/>
      <c r="BV51" s="336"/>
      <c r="BW51" s="336"/>
      <c r="BX51" s="336"/>
      <c r="BY51" s="336"/>
      <c r="BZ51" s="336"/>
      <c r="CA51" s="336"/>
      <c r="CB51" s="336"/>
      <c r="CC51" s="336"/>
      <c r="CD51" s="336"/>
      <c r="CE51" s="336"/>
      <c r="CF51" s="336"/>
      <c r="CG51" s="336"/>
      <c r="CH51" s="336"/>
      <c r="CI51" s="336"/>
      <c r="CJ51" s="336"/>
      <c r="CK51" s="336"/>
      <c r="CL51" s="336"/>
      <c r="CM51" s="336"/>
      <c r="CN51" s="336"/>
      <c r="CO51" s="336"/>
      <c r="CP51" s="336"/>
      <c r="CQ51" s="336"/>
      <c r="CR51" s="336"/>
      <c r="CS51" s="336"/>
      <c r="CT51" s="336"/>
      <c r="CU51" s="336"/>
      <c r="CV51" s="336"/>
      <c r="CW51" s="336"/>
      <c r="CX51" s="336"/>
      <c r="CY51" s="336"/>
      <c r="CZ51" s="336"/>
      <c r="DA51" s="336"/>
      <c r="DB51" s="336"/>
      <c r="DC51" s="336"/>
      <c r="DD51" s="336"/>
      <c r="DE51" s="336"/>
      <c r="DF51" s="336"/>
      <c r="DG51" s="336"/>
      <c r="DH51" s="336"/>
      <c r="DI51" s="336"/>
      <c r="DJ51" s="336"/>
      <c r="DK51" s="336"/>
      <c r="DL51" s="336"/>
      <c r="DM51" s="336"/>
      <c r="DN51" s="336"/>
      <c r="DO51" s="336"/>
      <c r="DP51" s="336"/>
      <c r="DQ51" s="336"/>
      <c r="DR51" s="336"/>
      <c r="DS51" s="336"/>
      <c r="DT51" s="336"/>
      <c r="DU51" s="336"/>
      <c r="DW51" s="336">
        <f t="shared" si="387"/>
        <v>0</v>
      </c>
      <c r="DX51" s="336">
        <f t="shared" si="388"/>
        <v>19</v>
      </c>
      <c r="DY51" s="336">
        <f t="shared" si="389"/>
        <v>0</v>
      </c>
      <c r="DZ51" s="336">
        <f t="shared" si="390"/>
        <v>0</v>
      </c>
      <c r="EA51" s="336">
        <f t="shared" si="391"/>
        <v>19</v>
      </c>
      <c r="EB51" s="336">
        <f t="shared" si="392"/>
        <v>19</v>
      </c>
      <c r="EC51" s="336">
        <f t="shared" si="393"/>
        <v>0</v>
      </c>
      <c r="ED51" s="336">
        <f t="shared" si="209"/>
        <v>0</v>
      </c>
      <c r="EE51" s="336">
        <f t="shared" si="210"/>
        <v>0</v>
      </c>
      <c r="EF51" s="336">
        <f t="shared" si="211"/>
        <v>19</v>
      </c>
      <c r="EG51" s="336">
        <f t="shared" si="212"/>
        <v>0</v>
      </c>
      <c r="EH51" s="336">
        <f t="shared" si="213"/>
        <v>19</v>
      </c>
      <c r="EI51" s="336">
        <f t="shared" si="214"/>
        <v>19</v>
      </c>
      <c r="EJ51" s="336">
        <f t="shared" si="215"/>
        <v>19</v>
      </c>
      <c r="EK51" s="336">
        <f t="shared" si="216"/>
        <v>19</v>
      </c>
      <c r="EL51" s="336">
        <f t="shared" si="217"/>
        <v>19</v>
      </c>
      <c r="EM51" s="336">
        <f t="shared" si="218"/>
        <v>0</v>
      </c>
      <c r="EN51" s="336">
        <f t="shared" si="219"/>
        <v>0</v>
      </c>
      <c r="EO51" s="336">
        <f t="shared" si="220"/>
        <v>0</v>
      </c>
      <c r="EP51" s="336">
        <f t="shared" si="221"/>
        <v>0</v>
      </c>
      <c r="EQ51" s="336">
        <f t="shared" si="222"/>
        <v>0</v>
      </c>
      <c r="ER51" s="336">
        <f t="shared" si="223"/>
        <v>0</v>
      </c>
      <c r="ES51" s="336">
        <f t="shared" si="224"/>
        <v>0</v>
      </c>
      <c r="ET51" s="336">
        <f t="shared" si="224"/>
        <v>0</v>
      </c>
      <c r="EU51" s="336">
        <f t="shared" si="225"/>
        <v>0</v>
      </c>
      <c r="EV51" s="336">
        <f t="shared" si="226"/>
        <v>0</v>
      </c>
      <c r="EW51" s="336">
        <f t="shared" si="227"/>
        <v>0</v>
      </c>
      <c r="EX51" s="336">
        <f t="shared" si="228"/>
        <v>0</v>
      </c>
      <c r="EY51" s="336">
        <f t="shared" si="229"/>
        <v>0</v>
      </c>
      <c r="EZ51" s="336">
        <f t="shared" si="230"/>
        <v>0</v>
      </c>
      <c r="FA51" s="336">
        <f t="shared" si="231"/>
        <v>0</v>
      </c>
      <c r="FB51" s="336">
        <f t="shared" si="232"/>
        <v>0</v>
      </c>
      <c r="FC51" s="336">
        <f t="shared" si="233"/>
        <v>0</v>
      </c>
      <c r="FD51" s="336">
        <f t="shared" si="234"/>
        <v>0</v>
      </c>
      <c r="FE51" s="336">
        <f t="shared" si="235"/>
        <v>0</v>
      </c>
      <c r="FF51" s="336">
        <f t="shared" si="236"/>
        <v>0</v>
      </c>
      <c r="FG51" s="336">
        <f t="shared" si="237"/>
        <v>0</v>
      </c>
      <c r="FH51" s="336">
        <f t="shared" si="238"/>
        <v>0</v>
      </c>
      <c r="FI51" s="336">
        <f t="shared" si="239"/>
        <v>0</v>
      </c>
      <c r="FJ51" s="336">
        <f t="shared" si="240"/>
        <v>0</v>
      </c>
      <c r="FK51" s="336">
        <f t="shared" si="241"/>
        <v>0</v>
      </c>
      <c r="FL51" s="336">
        <f t="shared" si="242"/>
        <v>0</v>
      </c>
      <c r="FM51" s="336">
        <f t="shared" si="243"/>
        <v>0</v>
      </c>
      <c r="FN51" s="336">
        <f t="shared" si="244"/>
        <v>0</v>
      </c>
      <c r="FO51" s="336">
        <f t="shared" si="245"/>
        <v>0</v>
      </c>
      <c r="FP51" s="336">
        <f t="shared" si="246"/>
        <v>0</v>
      </c>
      <c r="FQ51" s="336">
        <f t="shared" si="247"/>
        <v>0</v>
      </c>
      <c r="FR51" s="336">
        <f t="shared" si="248"/>
        <v>0</v>
      </c>
      <c r="FS51" s="336">
        <f t="shared" si="249"/>
        <v>0</v>
      </c>
      <c r="FT51" s="336">
        <f t="shared" si="250"/>
        <v>0</v>
      </c>
      <c r="FU51" s="336">
        <f t="shared" si="305"/>
        <v>0</v>
      </c>
      <c r="FV51" s="336">
        <f t="shared" si="306"/>
        <v>0</v>
      </c>
      <c r="FW51" s="336">
        <f t="shared" si="307"/>
        <v>0</v>
      </c>
      <c r="FX51" s="336">
        <f t="shared" si="308"/>
        <v>0</v>
      </c>
      <c r="FY51" s="336">
        <f t="shared" si="332"/>
        <v>0</v>
      </c>
      <c r="FZ51" s="336">
        <f t="shared" si="333"/>
        <v>0</v>
      </c>
      <c r="GA51" s="336">
        <f t="shared" si="334"/>
        <v>0</v>
      </c>
      <c r="GB51" s="336">
        <f t="shared" si="335"/>
        <v>0</v>
      </c>
      <c r="GC51" s="336">
        <f t="shared" si="336"/>
        <v>0</v>
      </c>
      <c r="GD51" s="336">
        <f t="shared" si="337"/>
        <v>0</v>
      </c>
      <c r="GE51" s="336">
        <f t="shared" si="338"/>
        <v>0</v>
      </c>
      <c r="GF51" s="336">
        <f t="shared" si="339"/>
        <v>0</v>
      </c>
      <c r="GG51" s="336">
        <f t="shared" si="340"/>
        <v>0</v>
      </c>
      <c r="GH51" s="336">
        <f t="shared" si="341"/>
        <v>0</v>
      </c>
      <c r="GI51" s="336">
        <f t="shared" si="342"/>
        <v>0</v>
      </c>
      <c r="GJ51" s="336">
        <f t="shared" si="343"/>
        <v>0</v>
      </c>
      <c r="GK51" s="336">
        <f t="shared" si="344"/>
        <v>0</v>
      </c>
      <c r="GL51" s="336">
        <f t="shared" si="309"/>
        <v>0</v>
      </c>
      <c r="GM51" s="336">
        <f t="shared" si="345"/>
        <v>0</v>
      </c>
    </row>
    <row r="52" spans="1:195" ht="20.100000000000001" customHeight="1">
      <c r="A52" s="388">
        <f t="shared" si="346"/>
        <v>32</v>
      </c>
      <c r="B52" s="406" t="s">
        <v>1630</v>
      </c>
      <c r="C52" s="388" t="s">
        <v>489</v>
      </c>
      <c r="D52" s="890" t="s">
        <v>1627</v>
      </c>
      <c r="E52" s="502" t="s">
        <v>345</v>
      </c>
      <c r="F52" s="388" t="s">
        <v>28</v>
      </c>
      <c r="G52" s="388" t="s">
        <v>350</v>
      </c>
      <c r="H52" s="583">
        <v>1.5</v>
      </c>
      <c r="I52" s="388" t="s">
        <v>330</v>
      </c>
      <c r="J52" s="388" t="s">
        <v>331</v>
      </c>
      <c r="K52" s="434">
        <v>400</v>
      </c>
      <c r="L52" s="401">
        <v>0.85</v>
      </c>
      <c r="M52" s="418">
        <v>0.95</v>
      </c>
      <c r="N52" s="392">
        <f t="shared" si="310"/>
        <v>2.681271852365597</v>
      </c>
      <c r="O52" s="392">
        <f t="shared" si="347"/>
        <v>16.087631114193581</v>
      </c>
      <c r="P52" s="401">
        <f t="shared" si="311"/>
        <v>0.2</v>
      </c>
      <c r="Q52" s="418">
        <v>65</v>
      </c>
      <c r="R52" s="418">
        <v>0</v>
      </c>
      <c r="S52" s="418">
        <f t="shared" si="312"/>
        <v>0</v>
      </c>
      <c r="T52" s="401" t="s">
        <v>131</v>
      </c>
      <c r="U52" s="418" t="s">
        <v>333</v>
      </c>
      <c r="V52" s="401">
        <v>4</v>
      </c>
      <c r="W52" s="401" t="str">
        <f t="shared" si="313"/>
        <v>3C X 4</v>
      </c>
      <c r="X52" s="401" t="str">
        <f t="shared" si="314"/>
        <v>3C X 4+PE</v>
      </c>
      <c r="Y52" s="401" t="s">
        <v>358</v>
      </c>
      <c r="Z52" s="393">
        <f>IF(T52="AIR",VLOOKUP(W52,'Catalogue Aluminium'!$B$9:$G$93,2,FALSE),IF(T52="GROUND",VLOOKUP(W52,'Catalogue Aluminium'!$B$9:$G$93,3,FALSE),IF(T52="DUCT",VLOOKUP(W52,'Catalogue Aluminium'!$B$9:$G$93,4,FALSE),IF(T52="TRENCH",VLOOKUP(W52,'Catalogue Aluminium'!$B$9:$G$93,2,FALSE)))))</f>
        <v>38</v>
      </c>
      <c r="AA52" s="402">
        <f>VLOOKUP(W52,'Catalogue Aluminium'!$B$9:$G$93,5,FALSE)</f>
        <v>5.9</v>
      </c>
      <c r="AB52" s="402">
        <f>VLOOKUP(W52,'Catalogue Aluminium'!$B$9:$G$93,6,FALSE)</f>
        <v>9.4700000000000006E-2</v>
      </c>
      <c r="AC52" s="401">
        <f t="shared" si="386"/>
        <v>29</v>
      </c>
      <c r="AD52" s="401">
        <f t="shared" si="348"/>
        <v>335</v>
      </c>
      <c r="AE52" s="401">
        <f t="shared" si="316"/>
        <v>38</v>
      </c>
      <c r="AF52" s="401">
        <v>8</v>
      </c>
      <c r="AG52" s="401">
        <f t="shared" si="317"/>
        <v>41</v>
      </c>
      <c r="AH52" s="436">
        <f t="shared" si="318"/>
        <v>451</v>
      </c>
      <c r="AI52" s="393">
        <f>IF(T52="AIR",'Catalogue Aluminium'!$K$9,IF(T52="TRENCH",'Catalogue Aluminium'!$K$12,"NA"))</f>
        <v>0.89</v>
      </c>
      <c r="AJ52" s="392">
        <f>IF(T52="Air",(IF(U52="1C",'Catalogue Aluminium'!$L$9,'Catalogue Aluminium'!$M$9)),IF(T52="DUCT",(IF($U52="1C",'Catalogue Aluminium'!$L$10,'Catalogue Aluminium'!$M$10)),IF(T52="GROUND",(IF($U52="1C",'Catalogue Aluminium'!$L$11,'Catalogue Aluminium'!$M$11)),IF(T52="TRENCH",(IF($U52="1C",'Catalogue Aluminium'!$L$12,'Catalogue Aluminium'!$M$12))))))</f>
        <v>0.66</v>
      </c>
      <c r="AK52" s="393" t="str">
        <f>IF(T52="Air",'Catalogue Aluminium'!$N$9,IF(T52="GROUND",'Catalogue Aluminium'!$N$10,IF(T52="DUCT",'Catalogue Aluminium'!$N$11,IF(T52="TRENCH",'Catalogue Aluminium'!$N$12,"NA"))))</f>
        <v>NA</v>
      </c>
      <c r="AL52" s="393" t="str">
        <f>IF(T52="Air",(IF(U52="1C",'Catalogue Aluminium'!$O$9,'Catalogue Aluminium'!$P$9)),IF(T52="DUCT",(IF($U52="1C",'Catalogue Aluminium'!$O$10,'Catalogue Aluminium'!$P$10)),IF(T52="GROUND",(IF($U52="1C",'Catalogue Aluminium'!$O$11,'Catalogue Aluminium'!$P$11)),IF(T52="TRENCH",(IF($U52="1C",'Catalogue Aluminium'!$O$12,'Catalogue Aluminium'!$P$12))))))</f>
        <v>NA</v>
      </c>
      <c r="AM52" s="393" t="str">
        <f>IF(T52="AIR","NA",IF(T52="TRENCH","NA",IF(T52="DUCT",IF(U52="1C",VLOOKUP(V52,'Catalogue Aluminium'!$Q$9:$S$28,2,FALSE),VLOOKUP(V52,'Catalogue Aluminium'!$Q$9:$S$28,3)),IF(T52="GROUND",IF(U52="1C",VLOOKUP(V52,'Catalogue Aluminium'!$Q$9:$S$28,2,FALSE),VLOOKUP(V52,'Catalogue Aluminium'!$Q$9:$S$28,3))))))</f>
        <v>NA</v>
      </c>
      <c r="AN52" s="437">
        <f t="shared" si="319"/>
        <v>0.58740000000000003</v>
      </c>
      <c r="AO52" s="418">
        <f t="shared" si="320"/>
        <v>22.321200000000001</v>
      </c>
      <c r="AP52" s="434">
        <f t="shared" si="10"/>
        <v>1</v>
      </c>
      <c r="AQ52" s="418" t="str">
        <f t="shared" si="321"/>
        <v>YES</v>
      </c>
      <c r="AR52" s="437">
        <f t="shared" si="322"/>
        <v>2.6520867707881668</v>
      </c>
      <c r="AS52" s="401" t="str">
        <f t="shared" si="323"/>
        <v>YES</v>
      </c>
      <c r="AT52" s="437">
        <f t="shared" si="324"/>
        <v>3.998755920420217</v>
      </c>
      <c r="AU52" s="401" t="str">
        <f t="shared" si="325"/>
        <v>YES</v>
      </c>
      <c r="AV52" s="503" t="str">
        <f t="shared" si="326"/>
        <v>1R x 0.6/1kV x 3C x 4 Sqmm</v>
      </c>
      <c r="AW52" s="503" t="str">
        <f t="shared" si="327"/>
        <v>1R x 0.6/1kV x 3C x 4+PE Sqmm</v>
      </c>
      <c r="AX52" s="401">
        <f t="shared" si="328"/>
        <v>451</v>
      </c>
      <c r="AY52" s="504"/>
      <c r="AZ52" s="504">
        <f t="shared" si="329"/>
        <v>2</v>
      </c>
      <c r="BA52" s="438" t="str">
        <f t="shared" si="330"/>
        <v>ACDEE1E2E3E4E5</v>
      </c>
      <c r="BB52" s="505">
        <f>VLOOKUP(W52,'Catalogue Aluminium'!$B$9:$H$93,7,FALSE)</f>
        <v>15</v>
      </c>
      <c r="BC52" s="439">
        <f t="shared" si="331"/>
        <v>15</v>
      </c>
      <c r="BE52" s="336"/>
      <c r="BF52" s="336">
        <v>1</v>
      </c>
      <c r="BG52" s="336"/>
      <c r="BH52" s="336"/>
      <c r="BI52" s="336">
        <v>1</v>
      </c>
      <c r="BJ52" s="336">
        <v>1</v>
      </c>
      <c r="BK52" s="336"/>
      <c r="BL52" s="336"/>
      <c r="BM52" s="336"/>
      <c r="BN52" s="336">
        <v>1</v>
      </c>
      <c r="BO52" s="336"/>
      <c r="BP52" s="336">
        <v>1</v>
      </c>
      <c r="BQ52" s="336">
        <v>1</v>
      </c>
      <c r="BR52" s="336">
        <v>1</v>
      </c>
      <c r="BS52" s="336">
        <v>1</v>
      </c>
      <c r="BT52" s="336">
        <v>1</v>
      </c>
      <c r="BU52" s="336"/>
      <c r="BV52" s="336"/>
      <c r="BW52" s="336"/>
      <c r="BX52" s="336"/>
      <c r="BY52" s="336"/>
      <c r="BZ52" s="336"/>
      <c r="CA52" s="336"/>
      <c r="CB52" s="336"/>
      <c r="CC52" s="336"/>
      <c r="CD52" s="336"/>
      <c r="CE52" s="336"/>
      <c r="CF52" s="336"/>
      <c r="CG52" s="336"/>
      <c r="CH52" s="336"/>
      <c r="CI52" s="336"/>
      <c r="CJ52" s="336"/>
      <c r="CK52" s="336"/>
      <c r="CL52" s="336"/>
      <c r="CM52" s="336"/>
      <c r="CN52" s="336"/>
      <c r="CO52" s="336"/>
      <c r="CP52" s="336"/>
      <c r="CQ52" s="336"/>
      <c r="CR52" s="336"/>
      <c r="CS52" s="336"/>
      <c r="CT52" s="336"/>
      <c r="CU52" s="336"/>
      <c r="CV52" s="336"/>
      <c r="CW52" s="336"/>
      <c r="CX52" s="336"/>
      <c r="CY52" s="336"/>
      <c r="CZ52" s="336"/>
      <c r="DA52" s="336"/>
      <c r="DB52" s="336"/>
      <c r="DC52" s="336"/>
      <c r="DD52" s="336"/>
      <c r="DE52" s="336"/>
      <c r="DF52" s="336"/>
      <c r="DG52" s="336"/>
      <c r="DH52" s="336"/>
      <c r="DI52" s="336"/>
      <c r="DJ52" s="336"/>
      <c r="DK52" s="336"/>
      <c r="DL52" s="336"/>
      <c r="DM52" s="336"/>
      <c r="DN52" s="336"/>
      <c r="DO52" s="336"/>
      <c r="DP52" s="336"/>
      <c r="DQ52" s="336"/>
      <c r="DR52" s="336"/>
      <c r="DS52" s="336"/>
      <c r="DT52" s="336"/>
      <c r="DU52" s="336"/>
      <c r="DW52" s="336">
        <f t="shared" si="387"/>
        <v>0</v>
      </c>
      <c r="DX52" s="336">
        <f t="shared" si="388"/>
        <v>15</v>
      </c>
      <c r="DY52" s="336">
        <f t="shared" si="389"/>
        <v>0</v>
      </c>
      <c r="DZ52" s="336">
        <f t="shared" si="390"/>
        <v>0</v>
      </c>
      <c r="EA52" s="336">
        <f t="shared" si="391"/>
        <v>15</v>
      </c>
      <c r="EB52" s="336">
        <f t="shared" si="392"/>
        <v>15</v>
      </c>
      <c r="EC52" s="336">
        <f t="shared" si="393"/>
        <v>0</v>
      </c>
      <c r="ED52" s="336">
        <f t="shared" si="209"/>
        <v>0</v>
      </c>
      <c r="EE52" s="336">
        <f t="shared" si="210"/>
        <v>0</v>
      </c>
      <c r="EF52" s="336">
        <f t="shared" si="211"/>
        <v>15</v>
      </c>
      <c r="EG52" s="336">
        <f t="shared" si="212"/>
        <v>0</v>
      </c>
      <c r="EH52" s="336">
        <f t="shared" si="213"/>
        <v>15</v>
      </c>
      <c r="EI52" s="336">
        <f t="shared" si="214"/>
        <v>15</v>
      </c>
      <c r="EJ52" s="336">
        <f t="shared" si="215"/>
        <v>15</v>
      </c>
      <c r="EK52" s="336">
        <f t="shared" si="216"/>
        <v>15</v>
      </c>
      <c r="EL52" s="336">
        <f t="shared" si="217"/>
        <v>15</v>
      </c>
      <c r="EM52" s="336">
        <f t="shared" si="218"/>
        <v>0</v>
      </c>
      <c r="EN52" s="336">
        <f t="shared" si="219"/>
        <v>0</v>
      </c>
      <c r="EO52" s="336">
        <f t="shared" si="220"/>
        <v>0</v>
      </c>
      <c r="EP52" s="336">
        <f t="shared" si="221"/>
        <v>0</v>
      </c>
      <c r="EQ52" s="336">
        <f t="shared" si="222"/>
        <v>0</v>
      </c>
      <c r="ER52" s="336">
        <f t="shared" si="223"/>
        <v>0</v>
      </c>
      <c r="ES52" s="336">
        <f t="shared" si="224"/>
        <v>0</v>
      </c>
      <c r="ET52" s="336">
        <f t="shared" si="224"/>
        <v>0</v>
      </c>
      <c r="EU52" s="336">
        <f t="shared" si="225"/>
        <v>0</v>
      </c>
      <c r="EV52" s="336">
        <f t="shared" si="226"/>
        <v>0</v>
      </c>
      <c r="EW52" s="336">
        <f t="shared" si="227"/>
        <v>0</v>
      </c>
      <c r="EX52" s="336">
        <f t="shared" si="228"/>
        <v>0</v>
      </c>
      <c r="EY52" s="336">
        <f t="shared" si="229"/>
        <v>0</v>
      </c>
      <c r="EZ52" s="336">
        <f t="shared" si="230"/>
        <v>0</v>
      </c>
      <c r="FA52" s="336">
        <f t="shared" si="231"/>
        <v>0</v>
      </c>
      <c r="FB52" s="336">
        <f t="shared" si="232"/>
        <v>0</v>
      </c>
      <c r="FC52" s="336">
        <f t="shared" si="233"/>
        <v>0</v>
      </c>
      <c r="FD52" s="336">
        <f t="shared" si="234"/>
        <v>0</v>
      </c>
      <c r="FE52" s="336">
        <f t="shared" si="235"/>
        <v>0</v>
      </c>
      <c r="FF52" s="336">
        <f t="shared" si="236"/>
        <v>0</v>
      </c>
      <c r="FG52" s="336">
        <f t="shared" si="237"/>
        <v>0</v>
      </c>
      <c r="FH52" s="336">
        <f t="shared" si="238"/>
        <v>0</v>
      </c>
      <c r="FI52" s="336">
        <f t="shared" si="239"/>
        <v>0</v>
      </c>
      <c r="FJ52" s="336">
        <f t="shared" si="240"/>
        <v>0</v>
      </c>
      <c r="FK52" s="336">
        <f t="shared" si="241"/>
        <v>0</v>
      </c>
      <c r="FL52" s="336">
        <f t="shared" si="242"/>
        <v>0</v>
      </c>
      <c r="FM52" s="336">
        <f t="shared" si="243"/>
        <v>0</v>
      </c>
      <c r="FN52" s="336">
        <f t="shared" si="244"/>
        <v>0</v>
      </c>
      <c r="FO52" s="336">
        <f t="shared" si="245"/>
        <v>0</v>
      </c>
      <c r="FP52" s="336">
        <f t="shared" si="246"/>
        <v>0</v>
      </c>
      <c r="FQ52" s="336">
        <f t="shared" si="247"/>
        <v>0</v>
      </c>
      <c r="FR52" s="336">
        <f t="shared" si="248"/>
        <v>0</v>
      </c>
      <c r="FS52" s="336">
        <f t="shared" si="249"/>
        <v>0</v>
      </c>
      <c r="FT52" s="336">
        <f t="shared" si="250"/>
        <v>0</v>
      </c>
      <c r="FU52" s="336">
        <f t="shared" si="305"/>
        <v>0</v>
      </c>
      <c r="FV52" s="336">
        <f t="shared" si="306"/>
        <v>0</v>
      </c>
      <c r="FW52" s="336">
        <f t="shared" si="307"/>
        <v>0</v>
      </c>
      <c r="FX52" s="336">
        <f t="shared" si="308"/>
        <v>0</v>
      </c>
      <c r="FY52" s="336">
        <f t="shared" si="332"/>
        <v>0</v>
      </c>
      <c r="FZ52" s="336">
        <f t="shared" si="333"/>
        <v>0</v>
      </c>
      <c r="GA52" s="336">
        <f t="shared" si="334"/>
        <v>0</v>
      </c>
      <c r="GB52" s="336">
        <f t="shared" si="335"/>
        <v>0</v>
      </c>
      <c r="GC52" s="336">
        <f t="shared" si="336"/>
        <v>0</v>
      </c>
      <c r="GD52" s="336">
        <f t="shared" si="337"/>
        <v>0</v>
      </c>
      <c r="GE52" s="336">
        <f t="shared" si="338"/>
        <v>0</v>
      </c>
      <c r="GF52" s="336">
        <f t="shared" si="339"/>
        <v>0</v>
      </c>
      <c r="GG52" s="336">
        <f t="shared" si="340"/>
        <v>0</v>
      </c>
      <c r="GH52" s="336">
        <f t="shared" si="341"/>
        <v>0</v>
      </c>
      <c r="GI52" s="336">
        <f t="shared" si="342"/>
        <v>0</v>
      </c>
      <c r="GJ52" s="336">
        <f t="shared" si="343"/>
        <v>0</v>
      </c>
      <c r="GK52" s="336">
        <f t="shared" si="344"/>
        <v>0</v>
      </c>
      <c r="GL52" s="336">
        <f t="shared" si="309"/>
        <v>0</v>
      </c>
      <c r="GM52" s="336">
        <f t="shared" si="345"/>
        <v>0</v>
      </c>
    </row>
    <row r="53" spans="1:195" ht="19.5" customHeight="1">
      <c r="A53" s="388">
        <f t="shared" si="346"/>
        <v>33</v>
      </c>
      <c r="B53" s="406" t="s">
        <v>1631</v>
      </c>
      <c r="C53" s="388" t="s">
        <v>489</v>
      </c>
      <c r="D53" s="890" t="s">
        <v>1628</v>
      </c>
      <c r="E53" s="502" t="s">
        <v>345</v>
      </c>
      <c r="F53" s="388" t="s">
        <v>29</v>
      </c>
      <c r="G53" s="388" t="s">
        <v>329</v>
      </c>
      <c r="H53" s="583">
        <v>7.5</v>
      </c>
      <c r="I53" s="388" t="s">
        <v>330</v>
      </c>
      <c r="J53" s="388" t="s">
        <v>331</v>
      </c>
      <c r="K53" s="434">
        <v>400</v>
      </c>
      <c r="L53" s="401">
        <v>0.85</v>
      </c>
      <c r="M53" s="418">
        <v>0.95</v>
      </c>
      <c r="N53" s="392">
        <f t="shared" si="310"/>
        <v>13.406359261827985</v>
      </c>
      <c r="O53" s="392">
        <f t="shared" si="347"/>
        <v>0</v>
      </c>
      <c r="P53" s="401" t="str">
        <f t="shared" si="311"/>
        <v>0.00</v>
      </c>
      <c r="Q53" s="418">
        <v>65</v>
      </c>
      <c r="R53" s="418">
        <v>0</v>
      </c>
      <c r="S53" s="418">
        <f t="shared" si="312"/>
        <v>0</v>
      </c>
      <c r="T53" s="401" t="s">
        <v>131</v>
      </c>
      <c r="U53" s="418" t="s">
        <v>535</v>
      </c>
      <c r="V53" s="401">
        <v>35</v>
      </c>
      <c r="W53" s="401" t="str">
        <f t="shared" ref="W53" si="395">CONCATENATE(U53," X ",V53)</f>
        <v>3.5C X 35</v>
      </c>
      <c r="X53" s="401" t="str">
        <f t="shared" ref="X53" si="396">(IF(J53="1Ph",W53,IF(J53="3Ph",(IF(G53="MOTOR",(CONCATENATE(W53,"+PE")),W53)))))</f>
        <v>3.5C X 35</v>
      </c>
      <c r="Y53" s="401" t="s">
        <v>358</v>
      </c>
      <c r="Z53" s="393">
        <f>IF(T53="AIR",VLOOKUP(W53,'Catalogue Aluminium'!$B$9:$G$93,2,FALSE),IF(T53="GROUND",VLOOKUP(W53,'Catalogue Aluminium'!$B$9:$G$93,3,FALSE),IF(T53="DUCT",VLOOKUP(W53,'Catalogue Aluminium'!$B$9:$G$93,4,FALSE),IF(T53="TRENCH",VLOOKUP(W53,'Catalogue Aluminium'!$B$9:$G$93,2,FALSE)))))</f>
        <v>117</v>
      </c>
      <c r="AA53" s="402">
        <f>VLOOKUP(W53,'Catalogue Aluminium'!$B$9:$G$93,5,FALSE)</f>
        <v>1.1100000000000001</v>
      </c>
      <c r="AB53" s="402">
        <f>VLOOKUP(W53,'Catalogue Aluminium'!$B$9:$G$93,6,FALSE)</f>
        <v>7.9399999999999998E-2</v>
      </c>
      <c r="AC53" s="401">
        <f t="shared" ref="AC53" si="397">17+3</f>
        <v>20</v>
      </c>
      <c r="AD53" s="401">
        <f t="shared" si="348"/>
        <v>335</v>
      </c>
      <c r="AE53" s="401">
        <f t="shared" si="316"/>
        <v>38</v>
      </c>
      <c r="AF53" s="401">
        <v>8</v>
      </c>
      <c r="AG53" s="401">
        <f t="shared" si="317"/>
        <v>41</v>
      </c>
      <c r="AH53" s="436">
        <v>437</v>
      </c>
      <c r="AI53" s="393">
        <f>IF(T53="AIR",'Catalogue Aluminium'!$K$9,IF(T53="TRENCH",'Catalogue Aluminium'!$K$12,"NA"))</f>
        <v>0.89</v>
      </c>
      <c r="AJ53" s="392">
        <f>IF(T53="Air",(IF(U53="1C",'Catalogue Aluminium'!$L$9,'Catalogue Aluminium'!$M$9)),IF(T53="DUCT",(IF($U53="1C",'Catalogue Aluminium'!$L$10,'Catalogue Aluminium'!$M$10)),IF(T53="GROUND",(IF($U53="1C",'Catalogue Aluminium'!$L$11,'Catalogue Aluminium'!$M$11)),IF(T53="TRENCH",(IF($U53="1C",'Catalogue Aluminium'!$L$12,'Catalogue Aluminium'!$M$12))))))</f>
        <v>0.66</v>
      </c>
      <c r="AK53" s="393" t="str">
        <f>IF(T53="Air",'Catalogue Aluminium'!$N$9,IF(T53="GROUND",'Catalogue Aluminium'!$N$10,IF(T53="DUCT",'Catalogue Aluminium'!$N$11,IF(T53="TRENCH",'Catalogue Aluminium'!$N$12,"NA"))))</f>
        <v>NA</v>
      </c>
      <c r="AL53" s="393" t="str">
        <f>IF(T53="Air",(IF(U53="1C",'Catalogue Aluminium'!$O$9,'Catalogue Aluminium'!$P$9)),IF(T53="DUCT",(IF($U53="1C",'Catalogue Aluminium'!$O$10,'Catalogue Aluminium'!$P$10)),IF(T53="GROUND",(IF($U53="1C",'Catalogue Aluminium'!$O$11,'Catalogue Aluminium'!$P$11)),IF(T53="TRENCH",(IF($U53="1C",'Catalogue Aluminium'!$O$12,'Catalogue Aluminium'!$P$12))))))</f>
        <v>NA</v>
      </c>
      <c r="AM53" s="393" t="str">
        <f>IF(T53="AIR","NA",IF(T53="TRENCH","NA",IF(T53="DUCT",IF(U53="1C",VLOOKUP(V53,'Catalogue Aluminium'!$Q$9:$S$28,2,FALSE),VLOOKUP(V53,'Catalogue Aluminium'!$Q$9:$S$28,3)),IF(T53="GROUND",IF(U53="1C",VLOOKUP(V53,'Catalogue Aluminium'!$Q$9:$S$28,2,FALSE),VLOOKUP(V53,'Catalogue Aluminium'!$Q$9:$S$28,3))))))</f>
        <v>NA</v>
      </c>
      <c r="AN53" s="437">
        <f t="shared" si="319"/>
        <v>0.58740000000000003</v>
      </c>
      <c r="AO53" s="418">
        <f t="shared" si="320"/>
        <v>68.725800000000007</v>
      </c>
      <c r="AP53" s="434">
        <f t="shared" ref="AP53:AP56" si="398">CEILING(((N53)/AO53),1)</f>
        <v>1</v>
      </c>
      <c r="AQ53" s="418" t="str">
        <f t="shared" ref="AQ53:AQ56" si="399">IF(AO53*AP53&gt;=N53,"YES","NO")</f>
        <v>YES</v>
      </c>
      <c r="AR53" s="437">
        <f t="shared" ref="AR53:AR56" si="400">SQRT(3)*AH53*N53*((AA53*L53)+(AB53*SIN(ACOS(L53))))*100/(AP53*K53*1000)</f>
        <v>2.4996149272500134</v>
      </c>
      <c r="AS53" s="401" t="str">
        <f t="shared" ref="AS53:AS56" si="401">IF(G53="INCOMER",(IF(AR53&lt;=2,"YES","NO")),IF(G53="POWER",(IF(AR53&lt;=2.5,"YES","NO")),IF(G53="MOTOR",(IF(AR53&lt;=3,"YES","NO")))))</f>
        <v>YES</v>
      </c>
      <c r="AT53" s="437" t="str">
        <f t="shared" si="324"/>
        <v>NA</v>
      </c>
      <c r="AU53" s="401" t="str">
        <f t="shared" si="325"/>
        <v>NA</v>
      </c>
      <c r="AV53" s="503" t="str">
        <f t="shared" si="326"/>
        <v>1R x 0.6/1kV x 3.5C x 35 Sqmm</v>
      </c>
      <c r="AW53" s="503" t="str">
        <f t="shared" si="327"/>
        <v>1R x 0.6/1kV x 3.5C x 35 Sqmm</v>
      </c>
      <c r="AX53" s="401">
        <f t="shared" si="328"/>
        <v>437</v>
      </c>
      <c r="AY53" s="504"/>
      <c r="AZ53" s="504">
        <f t="shared" si="329"/>
        <v>2</v>
      </c>
      <c r="BA53" s="438" t="str">
        <f t="shared" si="330"/>
        <v>ACDEE1E2E3E4E5</v>
      </c>
      <c r="BB53" s="505">
        <f>VLOOKUP(W53,'Catalogue Aluminium'!$B$9:$H$93,7,FALSE)</f>
        <v>27</v>
      </c>
      <c r="BC53" s="439">
        <f t="shared" si="331"/>
        <v>27</v>
      </c>
      <c r="BE53" s="336"/>
      <c r="BF53" s="336">
        <v>1</v>
      </c>
      <c r="BG53" s="336"/>
      <c r="BH53" s="336"/>
      <c r="BI53" s="336">
        <v>1</v>
      </c>
      <c r="BJ53" s="336">
        <v>1</v>
      </c>
      <c r="BK53" s="336"/>
      <c r="BL53" s="336"/>
      <c r="BM53" s="336"/>
      <c r="BN53" s="336">
        <v>1</v>
      </c>
      <c r="BO53" s="336"/>
      <c r="BP53" s="336">
        <v>1</v>
      </c>
      <c r="BQ53" s="336">
        <v>1</v>
      </c>
      <c r="BR53" s="336">
        <v>1</v>
      </c>
      <c r="BS53" s="336">
        <v>1</v>
      </c>
      <c r="BT53" s="336">
        <v>1</v>
      </c>
      <c r="BU53" s="336"/>
      <c r="BV53" s="336"/>
      <c r="BW53" s="336"/>
      <c r="BX53" s="336"/>
      <c r="BY53" s="336"/>
      <c r="BZ53" s="336"/>
      <c r="CA53" s="336"/>
      <c r="CB53" s="336"/>
      <c r="CC53" s="336"/>
      <c r="CD53" s="336"/>
      <c r="CE53" s="336"/>
      <c r="CF53" s="336"/>
      <c r="CG53" s="336"/>
      <c r="CH53" s="336"/>
      <c r="CI53" s="336"/>
      <c r="CJ53" s="336"/>
      <c r="CK53" s="336"/>
      <c r="CL53" s="336"/>
      <c r="CM53" s="336"/>
      <c r="CN53" s="336"/>
      <c r="CO53" s="336"/>
      <c r="CP53" s="336"/>
      <c r="CQ53" s="336"/>
      <c r="CR53" s="336"/>
      <c r="CS53" s="336"/>
      <c r="CT53" s="336"/>
      <c r="CU53" s="336"/>
      <c r="CV53" s="336"/>
      <c r="CW53" s="336"/>
      <c r="CX53" s="336"/>
      <c r="CY53" s="336"/>
      <c r="CZ53" s="336"/>
      <c r="DA53" s="336"/>
      <c r="DB53" s="336"/>
      <c r="DC53" s="336"/>
      <c r="DD53" s="336"/>
      <c r="DE53" s="336"/>
      <c r="DF53" s="336"/>
      <c r="DG53" s="336"/>
      <c r="DH53" s="336"/>
      <c r="DI53" s="336"/>
      <c r="DJ53" s="336"/>
      <c r="DK53" s="336"/>
      <c r="DL53" s="336"/>
      <c r="DM53" s="336"/>
      <c r="DN53" s="336"/>
      <c r="DO53" s="336"/>
      <c r="DP53" s="336"/>
      <c r="DQ53" s="336"/>
      <c r="DR53" s="336"/>
      <c r="DS53" s="336"/>
      <c r="DT53" s="336"/>
      <c r="DU53" s="336"/>
      <c r="DW53" s="336">
        <f t="shared" si="387"/>
        <v>0</v>
      </c>
      <c r="DX53" s="336">
        <f t="shared" si="388"/>
        <v>27</v>
      </c>
      <c r="DY53" s="336">
        <f t="shared" si="389"/>
        <v>0</v>
      </c>
      <c r="DZ53" s="336">
        <f t="shared" si="390"/>
        <v>0</v>
      </c>
      <c r="EA53" s="336">
        <f t="shared" si="391"/>
        <v>27</v>
      </c>
      <c r="EB53" s="336">
        <f t="shared" si="392"/>
        <v>27</v>
      </c>
      <c r="EC53" s="336">
        <f t="shared" si="393"/>
        <v>0</v>
      </c>
      <c r="ED53" s="336">
        <f t="shared" si="209"/>
        <v>0</v>
      </c>
      <c r="EE53" s="336">
        <f t="shared" si="210"/>
        <v>0</v>
      </c>
      <c r="EF53" s="336">
        <f t="shared" si="211"/>
        <v>27</v>
      </c>
      <c r="EG53" s="336">
        <f t="shared" si="212"/>
        <v>0</v>
      </c>
      <c r="EH53" s="336">
        <f t="shared" si="213"/>
        <v>27</v>
      </c>
      <c r="EI53" s="336">
        <f t="shared" si="214"/>
        <v>27</v>
      </c>
      <c r="EJ53" s="336">
        <f t="shared" si="215"/>
        <v>27</v>
      </c>
      <c r="EK53" s="336">
        <f t="shared" si="216"/>
        <v>27</v>
      </c>
      <c r="EL53" s="336">
        <f t="shared" si="217"/>
        <v>27</v>
      </c>
      <c r="EM53" s="336">
        <f t="shared" si="218"/>
        <v>0</v>
      </c>
      <c r="EN53" s="336">
        <f t="shared" si="219"/>
        <v>0</v>
      </c>
      <c r="EO53" s="336">
        <f t="shared" si="220"/>
        <v>0</v>
      </c>
      <c r="EP53" s="336">
        <f t="shared" si="221"/>
        <v>0</v>
      </c>
      <c r="EQ53" s="336">
        <f t="shared" si="222"/>
        <v>0</v>
      </c>
      <c r="ER53" s="336">
        <f t="shared" si="223"/>
        <v>0</v>
      </c>
      <c r="ES53" s="336">
        <f t="shared" si="224"/>
        <v>0</v>
      </c>
      <c r="ET53" s="336">
        <f t="shared" si="224"/>
        <v>0</v>
      </c>
      <c r="EU53" s="336">
        <f t="shared" si="225"/>
        <v>0</v>
      </c>
      <c r="EV53" s="336">
        <f t="shared" si="226"/>
        <v>0</v>
      </c>
      <c r="EW53" s="336">
        <f t="shared" si="227"/>
        <v>0</v>
      </c>
      <c r="EX53" s="336">
        <f t="shared" si="228"/>
        <v>0</v>
      </c>
      <c r="EY53" s="336">
        <f t="shared" si="229"/>
        <v>0</v>
      </c>
      <c r="EZ53" s="336">
        <f t="shared" si="230"/>
        <v>0</v>
      </c>
      <c r="FA53" s="336">
        <f t="shared" si="231"/>
        <v>0</v>
      </c>
      <c r="FB53" s="336">
        <f t="shared" si="232"/>
        <v>0</v>
      </c>
      <c r="FC53" s="336">
        <f t="shared" si="233"/>
        <v>0</v>
      </c>
      <c r="FD53" s="336">
        <f t="shared" si="234"/>
        <v>0</v>
      </c>
      <c r="FE53" s="336">
        <f t="shared" si="235"/>
        <v>0</v>
      </c>
      <c r="FF53" s="336">
        <f t="shared" si="236"/>
        <v>0</v>
      </c>
      <c r="FG53" s="336">
        <f t="shared" si="237"/>
        <v>0</v>
      </c>
      <c r="FH53" s="336">
        <f t="shared" si="238"/>
        <v>0</v>
      </c>
      <c r="FI53" s="336">
        <f t="shared" si="239"/>
        <v>0</v>
      </c>
      <c r="FJ53" s="336">
        <f t="shared" si="240"/>
        <v>0</v>
      </c>
      <c r="FK53" s="336">
        <f t="shared" si="241"/>
        <v>0</v>
      </c>
      <c r="FL53" s="336">
        <f t="shared" si="242"/>
        <v>0</v>
      </c>
      <c r="FM53" s="336">
        <f t="shared" si="243"/>
        <v>0</v>
      </c>
      <c r="FN53" s="336">
        <f t="shared" si="244"/>
        <v>0</v>
      </c>
      <c r="FO53" s="336">
        <f t="shared" si="245"/>
        <v>0</v>
      </c>
      <c r="FP53" s="336">
        <f t="shared" si="246"/>
        <v>0</v>
      </c>
      <c r="FQ53" s="336">
        <f t="shared" si="247"/>
        <v>0</v>
      </c>
      <c r="FR53" s="336">
        <f t="shared" si="248"/>
        <v>0</v>
      </c>
      <c r="FS53" s="336">
        <f t="shared" si="249"/>
        <v>0</v>
      </c>
      <c r="FT53" s="336">
        <f t="shared" si="250"/>
        <v>0</v>
      </c>
      <c r="FU53" s="336">
        <f t="shared" si="305"/>
        <v>0</v>
      </c>
      <c r="FV53" s="336">
        <f t="shared" si="306"/>
        <v>0</v>
      </c>
      <c r="FW53" s="336">
        <f t="shared" si="307"/>
        <v>0</v>
      </c>
      <c r="FX53" s="336">
        <f t="shared" si="308"/>
        <v>0</v>
      </c>
      <c r="FY53" s="336">
        <f t="shared" si="332"/>
        <v>0</v>
      </c>
      <c r="FZ53" s="336">
        <f t="shared" si="333"/>
        <v>0</v>
      </c>
      <c r="GA53" s="336">
        <f t="shared" si="334"/>
        <v>0</v>
      </c>
      <c r="GB53" s="336">
        <f t="shared" si="335"/>
        <v>0</v>
      </c>
      <c r="GC53" s="336">
        <f t="shared" si="336"/>
        <v>0</v>
      </c>
      <c r="GD53" s="336">
        <f t="shared" si="337"/>
        <v>0</v>
      </c>
      <c r="GE53" s="336">
        <f t="shared" si="338"/>
        <v>0</v>
      </c>
      <c r="GF53" s="336">
        <f t="shared" si="339"/>
        <v>0</v>
      </c>
      <c r="GG53" s="336">
        <f t="shared" si="340"/>
        <v>0</v>
      </c>
      <c r="GH53" s="336">
        <f t="shared" si="341"/>
        <v>0</v>
      </c>
      <c r="GI53" s="336">
        <f t="shared" si="342"/>
        <v>0</v>
      </c>
      <c r="GJ53" s="336">
        <f t="shared" si="343"/>
        <v>0</v>
      </c>
      <c r="GK53" s="336">
        <f t="shared" si="344"/>
        <v>0</v>
      </c>
      <c r="GL53" s="336">
        <f t="shared" si="309"/>
        <v>0</v>
      </c>
      <c r="GM53" s="336">
        <f t="shared" si="345"/>
        <v>0</v>
      </c>
    </row>
    <row r="54" spans="1:195" ht="20.100000000000001" customHeight="1">
      <c r="A54" s="388">
        <f t="shared" si="346"/>
        <v>34</v>
      </c>
      <c r="B54" s="388" t="s">
        <v>494</v>
      </c>
      <c r="C54" s="388" t="s">
        <v>489</v>
      </c>
      <c r="D54" s="515" t="s">
        <v>542</v>
      </c>
      <c r="E54" s="502" t="s">
        <v>345</v>
      </c>
      <c r="F54" s="388" t="s">
        <v>28</v>
      </c>
      <c r="G54" s="388" t="s">
        <v>350</v>
      </c>
      <c r="H54" s="418">
        <v>7.5</v>
      </c>
      <c r="I54" s="388" t="s">
        <v>330</v>
      </c>
      <c r="J54" s="388" t="s">
        <v>331</v>
      </c>
      <c r="K54" s="434">
        <v>400</v>
      </c>
      <c r="L54" s="401">
        <v>0.85</v>
      </c>
      <c r="M54" s="418">
        <v>0.95</v>
      </c>
      <c r="N54" s="392">
        <f t="shared" si="310"/>
        <v>13.406359261827985</v>
      </c>
      <c r="O54" s="392">
        <f t="shared" si="347"/>
        <v>80.438155570967908</v>
      </c>
      <c r="P54" s="401">
        <f t="shared" si="311"/>
        <v>0.2</v>
      </c>
      <c r="Q54" s="418">
        <v>65</v>
      </c>
      <c r="R54" s="418">
        <v>0</v>
      </c>
      <c r="S54" s="418">
        <f t="shared" si="312"/>
        <v>0</v>
      </c>
      <c r="T54" s="401" t="s">
        <v>131</v>
      </c>
      <c r="U54" s="418" t="s">
        <v>333</v>
      </c>
      <c r="V54" s="401">
        <v>35</v>
      </c>
      <c r="W54" s="401" t="str">
        <f t="shared" si="313"/>
        <v>3C X 35</v>
      </c>
      <c r="X54" s="401" t="str">
        <f t="shared" si="314"/>
        <v>3C X 35+PE</v>
      </c>
      <c r="Y54" s="401" t="s">
        <v>358</v>
      </c>
      <c r="Z54" s="393">
        <f>IF(T54="AIR",VLOOKUP(W54,'Catalogue Aluminium'!$B$9:$G$93,2,FALSE),IF(T54="GROUND",VLOOKUP(W54,'Catalogue Aluminium'!$B$9:$G$93,3,FALSE),IF(T54="DUCT",VLOOKUP(W54,'Catalogue Aluminium'!$B$9:$G$93,4,FALSE),IF(T54="TRENCH",VLOOKUP(W54,'Catalogue Aluminium'!$B$9:$G$93,2,FALSE)))))</f>
        <v>117</v>
      </c>
      <c r="AA54" s="402">
        <f>VLOOKUP(W54,'Catalogue Aluminium'!$B$9:$G$93,5,FALSE)</f>
        <v>1.1100000000000001</v>
      </c>
      <c r="AB54" s="402">
        <f>VLOOKUP(W54,'Catalogue Aluminium'!$B$9:$G$93,6,FALSE)</f>
        <v>7.9399999999999998E-2</v>
      </c>
      <c r="AC54" s="401">
        <f t="shared" si="386"/>
        <v>29</v>
      </c>
      <c r="AD54" s="401">
        <f t="shared" si="348"/>
        <v>335</v>
      </c>
      <c r="AE54" s="401">
        <f t="shared" si="316"/>
        <v>38</v>
      </c>
      <c r="AF54" s="401">
        <v>8</v>
      </c>
      <c r="AG54" s="401">
        <f t="shared" si="317"/>
        <v>41</v>
      </c>
      <c r="AH54" s="436">
        <f t="shared" si="318"/>
        <v>451</v>
      </c>
      <c r="AI54" s="393">
        <f>IF(T54="AIR",'Catalogue Aluminium'!$K$9,IF(T54="TRENCH",'Catalogue Aluminium'!$K$12,"NA"))</f>
        <v>0.89</v>
      </c>
      <c r="AJ54" s="392">
        <f>IF(T54="Air",(IF(U54="1C",'Catalogue Aluminium'!$L$9,'Catalogue Aluminium'!$M$9)),IF(T54="DUCT",(IF($U54="1C",'Catalogue Aluminium'!$L$10,'Catalogue Aluminium'!$M$10)),IF(T54="GROUND",(IF($U54="1C",'Catalogue Aluminium'!$L$11,'Catalogue Aluminium'!$M$11)),IF(T54="TRENCH",(IF($U54="1C",'Catalogue Aluminium'!$L$12,'Catalogue Aluminium'!$M$12))))))</f>
        <v>0.66</v>
      </c>
      <c r="AK54" s="393" t="str">
        <f>IF(T54="Air",'Catalogue Aluminium'!$N$9,IF(T54="GROUND",'Catalogue Aluminium'!$N$10,IF(T54="DUCT",'Catalogue Aluminium'!$N$11,IF(T54="TRENCH",'Catalogue Aluminium'!$N$12,"NA"))))</f>
        <v>NA</v>
      </c>
      <c r="AL54" s="393" t="str">
        <f>IF(T54="Air",(IF(U54="1C",'Catalogue Aluminium'!$O$9,'Catalogue Aluminium'!$P$9)),IF(T54="DUCT",(IF($U54="1C",'Catalogue Aluminium'!$O$10,'Catalogue Aluminium'!$P$10)),IF(T54="GROUND",(IF($U54="1C",'Catalogue Aluminium'!$O$11,'Catalogue Aluminium'!$P$11)),IF(T54="TRENCH",(IF($U54="1C",'Catalogue Aluminium'!$O$12,'Catalogue Aluminium'!$P$12))))))</f>
        <v>NA</v>
      </c>
      <c r="AM54" s="393" t="str">
        <f>IF(T54="AIR","NA",IF(T54="TRENCH","NA",IF(T54="DUCT",IF(U54="1C",VLOOKUP(V54,'Catalogue Aluminium'!$Q$9:$S$28,2,FALSE),VLOOKUP(V54,'Catalogue Aluminium'!$Q$9:$S$28,3)),IF(T54="GROUND",IF(U54="1C",VLOOKUP(V54,'Catalogue Aluminium'!$Q$9:$S$28,2,FALSE),VLOOKUP(V54,'Catalogue Aluminium'!$Q$9:$S$28,3))))))</f>
        <v>NA</v>
      </c>
      <c r="AN54" s="437">
        <f t="shared" si="319"/>
        <v>0.58740000000000003</v>
      </c>
      <c r="AO54" s="418">
        <f t="shared" si="320"/>
        <v>68.725800000000007</v>
      </c>
      <c r="AP54" s="434">
        <f t="shared" si="398"/>
        <v>1</v>
      </c>
      <c r="AQ54" s="418" t="str">
        <f t="shared" si="399"/>
        <v>YES</v>
      </c>
      <c r="AR54" s="437">
        <f t="shared" si="400"/>
        <v>2.5796941240040185</v>
      </c>
      <c r="AS54" s="401" t="str">
        <f t="shared" si="401"/>
        <v>YES</v>
      </c>
      <c r="AT54" s="437">
        <f t="shared" si="324"/>
        <v>4.7093917385444577</v>
      </c>
      <c r="AU54" s="401" t="str">
        <f t="shared" si="325"/>
        <v>YES</v>
      </c>
      <c r="AV54" s="503" t="str">
        <f t="shared" si="326"/>
        <v>1R x 0.6/1kV x 3C x 35 Sqmm</v>
      </c>
      <c r="AW54" s="503" t="str">
        <f t="shared" si="327"/>
        <v>1R x 0.6/1kV x 3C x 35+PE Sqmm</v>
      </c>
      <c r="AX54" s="401">
        <f t="shared" si="328"/>
        <v>451</v>
      </c>
      <c r="AY54" s="504"/>
      <c r="AZ54" s="504">
        <f t="shared" si="329"/>
        <v>2</v>
      </c>
      <c r="BA54" s="438" t="str">
        <f t="shared" si="330"/>
        <v>ACDEE1E2E3E4E5</v>
      </c>
      <c r="BB54" s="505">
        <f>VLOOKUP(W54,'Catalogue Aluminium'!$B$9:$H$93,7,FALSE)</f>
        <v>23</v>
      </c>
      <c r="BC54" s="439">
        <f t="shared" si="331"/>
        <v>23</v>
      </c>
      <c r="BE54" s="336"/>
      <c r="BF54" s="336">
        <v>1</v>
      </c>
      <c r="BG54" s="336"/>
      <c r="BH54" s="336"/>
      <c r="BI54" s="336">
        <v>1</v>
      </c>
      <c r="BJ54" s="336">
        <v>1</v>
      </c>
      <c r="BK54" s="336"/>
      <c r="BL54" s="336"/>
      <c r="BM54" s="336"/>
      <c r="BN54" s="336">
        <v>1</v>
      </c>
      <c r="BO54" s="336"/>
      <c r="BP54" s="336">
        <v>1</v>
      </c>
      <c r="BQ54" s="336">
        <v>1</v>
      </c>
      <c r="BR54" s="336">
        <v>1</v>
      </c>
      <c r="BS54" s="336">
        <v>1</v>
      </c>
      <c r="BT54" s="336">
        <v>1</v>
      </c>
      <c r="BU54" s="336"/>
      <c r="BV54" s="336"/>
      <c r="BW54" s="336"/>
      <c r="BX54" s="336"/>
      <c r="BY54" s="336"/>
      <c r="BZ54" s="336"/>
      <c r="CA54" s="336"/>
      <c r="CB54" s="336"/>
      <c r="CC54" s="336"/>
      <c r="CD54" s="336"/>
      <c r="CE54" s="336"/>
      <c r="CF54" s="336"/>
      <c r="CG54" s="336"/>
      <c r="CH54" s="336"/>
      <c r="CI54" s="336"/>
      <c r="CJ54" s="336"/>
      <c r="CK54" s="336"/>
      <c r="CL54" s="336"/>
      <c r="CM54" s="336"/>
      <c r="CN54" s="336"/>
      <c r="CO54" s="336"/>
      <c r="CP54" s="336"/>
      <c r="CQ54" s="336"/>
      <c r="CR54" s="336"/>
      <c r="CS54" s="336"/>
      <c r="CT54" s="336"/>
      <c r="CU54" s="336"/>
      <c r="CV54" s="336"/>
      <c r="CW54" s="336"/>
      <c r="CX54" s="336"/>
      <c r="CY54" s="336"/>
      <c r="CZ54" s="336"/>
      <c r="DA54" s="336"/>
      <c r="DB54" s="336"/>
      <c r="DC54" s="336"/>
      <c r="DD54" s="336"/>
      <c r="DE54" s="336"/>
      <c r="DF54" s="336"/>
      <c r="DG54" s="336"/>
      <c r="DH54" s="336"/>
      <c r="DI54" s="336"/>
      <c r="DJ54" s="336"/>
      <c r="DK54" s="336"/>
      <c r="DL54" s="336"/>
      <c r="DM54" s="336"/>
      <c r="DN54" s="336"/>
      <c r="DO54" s="336"/>
      <c r="DP54" s="336"/>
      <c r="DQ54" s="336"/>
      <c r="DR54" s="336"/>
      <c r="DS54" s="336"/>
      <c r="DT54" s="336"/>
      <c r="DU54" s="336"/>
      <c r="DW54" s="336">
        <f t="shared" si="387"/>
        <v>0</v>
      </c>
      <c r="DX54" s="336">
        <f t="shared" si="388"/>
        <v>23</v>
      </c>
      <c r="DY54" s="336">
        <f t="shared" si="389"/>
        <v>0</v>
      </c>
      <c r="DZ54" s="336">
        <f t="shared" si="390"/>
        <v>0</v>
      </c>
      <c r="EA54" s="336">
        <f t="shared" si="391"/>
        <v>23</v>
      </c>
      <c r="EB54" s="336">
        <f t="shared" si="392"/>
        <v>23</v>
      </c>
      <c r="EC54" s="336">
        <f t="shared" si="393"/>
        <v>0</v>
      </c>
      <c r="ED54" s="336">
        <f t="shared" si="209"/>
        <v>0</v>
      </c>
      <c r="EE54" s="336">
        <f t="shared" si="210"/>
        <v>0</v>
      </c>
      <c r="EF54" s="336">
        <f t="shared" si="211"/>
        <v>23</v>
      </c>
      <c r="EG54" s="336">
        <f t="shared" si="212"/>
        <v>0</v>
      </c>
      <c r="EH54" s="336">
        <f t="shared" si="213"/>
        <v>23</v>
      </c>
      <c r="EI54" s="336">
        <f t="shared" si="214"/>
        <v>23</v>
      </c>
      <c r="EJ54" s="336">
        <f t="shared" si="215"/>
        <v>23</v>
      </c>
      <c r="EK54" s="336">
        <f t="shared" si="216"/>
        <v>23</v>
      </c>
      <c r="EL54" s="336">
        <f t="shared" si="217"/>
        <v>23</v>
      </c>
      <c r="EM54" s="336">
        <f t="shared" si="218"/>
        <v>0</v>
      </c>
      <c r="EN54" s="336">
        <f t="shared" si="219"/>
        <v>0</v>
      </c>
      <c r="EO54" s="336">
        <f t="shared" si="220"/>
        <v>0</v>
      </c>
      <c r="EP54" s="336">
        <f t="shared" si="221"/>
        <v>0</v>
      </c>
      <c r="EQ54" s="336">
        <f t="shared" si="222"/>
        <v>0</v>
      </c>
      <c r="ER54" s="336">
        <f t="shared" si="223"/>
        <v>0</v>
      </c>
      <c r="ES54" s="336">
        <f t="shared" si="224"/>
        <v>0</v>
      </c>
      <c r="ET54" s="336">
        <f t="shared" si="224"/>
        <v>0</v>
      </c>
      <c r="EU54" s="336">
        <f t="shared" si="225"/>
        <v>0</v>
      </c>
      <c r="EV54" s="336">
        <f t="shared" si="226"/>
        <v>0</v>
      </c>
      <c r="EW54" s="336">
        <f t="shared" si="227"/>
        <v>0</v>
      </c>
      <c r="EX54" s="336">
        <f t="shared" si="228"/>
        <v>0</v>
      </c>
      <c r="EY54" s="336">
        <f t="shared" si="229"/>
        <v>0</v>
      </c>
      <c r="EZ54" s="336">
        <f t="shared" si="230"/>
        <v>0</v>
      </c>
      <c r="FA54" s="336">
        <f t="shared" si="231"/>
        <v>0</v>
      </c>
      <c r="FB54" s="336">
        <f t="shared" si="232"/>
        <v>0</v>
      </c>
      <c r="FC54" s="336">
        <f t="shared" si="233"/>
        <v>0</v>
      </c>
      <c r="FD54" s="336">
        <f t="shared" si="234"/>
        <v>0</v>
      </c>
      <c r="FE54" s="336">
        <f t="shared" si="235"/>
        <v>0</v>
      </c>
      <c r="FF54" s="336">
        <f t="shared" si="236"/>
        <v>0</v>
      </c>
      <c r="FG54" s="336">
        <f t="shared" si="237"/>
        <v>0</v>
      </c>
      <c r="FH54" s="336">
        <f t="shared" si="238"/>
        <v>0</v>
      </c>
      <c r="FI54" s="336">
        <f t="shared" si="239"/>
        <v>0</v>
      </c>
      <c r="FJ54" s="336">
        <f t="shared" si="240"/>
        <v>0</v>
      </c>
      <c r="FK54" s="336">
        <f t="shared" si="241"/>
        <v>0</v>
      </c>
      <c r="FL54" s="336">
        <f t="shared" si="242"/>
        <v>0</v>
      </c>
      <c r="FM54" s="336">
        <f t="shared" si="243"/>
        <v>0</v>
      </c>
      <c r="FN54" s="336">
        <f t="shared" si="244"/>
        <v>0</v>
      </c>
      <c r="FO54" s="336">
        <f t="shared" si="245"/>
        <v>0</v>
      </c>
      <c r="FP54" s="336">
        <f t="shared" si="246"/>
        <v>0</v>
      </c>
      <c r="FQ54" s="336">
        <f t="shared" si="247"/>
        <v>0</v>
      </c>
      <c r="FR54" s="336">
        <f t="shared" si="248"/>
        <v>0</v>
      </c>
      <c r="FS54" s="336">
        <f t="shared" si="249"/>
        <v>0</v>
      </c>
      <c r="FT54" s="336">
        <f t="shared" si="250"/>
        <v>0</v>
      </c>
      <c r="FU54" s="336">
        <f t="shared" si="305"/>
        <v>0</v>
      </c>
      <c r="FV54" s="336">
        <f t="shared" si="306"/>
        <v>0</v>
      </c>
      <c r="FW54" s="336">
        <f t="shared" si="307"/>
        <v>0</v>
      </c>
      <c r="FX54" s="336">
        <f t="shared" si="308"/>
        <v>0</v>
      </c>
      <c r="FY54" s="336">
        <f t="shared" si="332"/>
        <v>0</v>
      </c>
      <c r="FZ54" s="336">
        <f t="shared" si="333"/>
        <v>0</v>
      </c>
      <c r="GA54" s="336">
        <f t="shared" si="334"/>
        <v>0</v>
      </c>
      <c r="GB54" s="336">
        <f t="shared" si="335"/>
        <v>0</v>
      </c>
      <c r="GC54" s="336">
        <f t="shared" si="336"/>
        <v>0</v>
      </c>
      <c r="GD54" s="336">
        <f t="shared" si="337"/>
        <v>0</v>
      </c>
      <c r="GE54" s="336">
        <f t="shared" si="338"/>
        <v>0</v>
      </c>
      <c r="GF54" s="336">
        <f t="shared" si="339"/>
        <v>0</v>
      </c>
      <c r="GG54" s="336">
        <f t="shared" si="340"/>
        <v>0</v>
      </c>
      <c r="GH54" s="336">
        <f t="shared" si="341"/>
        <v>0</v>
      </c>
      <c r="GI54" s="336">
        <f t="shared" si="342"/>
        <v>0</v>
      </c>
      <c r="GJ54" s="336">
        <f t="shared" si="343"/>
        <v>0</v>
      </c>
      <c r="GK54" s="336">
        <f t="shared" si="344"/>
        <v>0</v>
      </c>
      <c r="GL54" s="336">
        <f t="shared" si="309"/>
        <v>0</v>
      </c>
      <c r="GM54" s="336">
        <f t="shared" si="345"/>
        <v>0</v>
      </c>
    </row>
    <row r="55" spans="1:195" ht="20.100000000000001" customHeight="1">
      <c r="A55" s="388">
        <f t="shared" si="346"/>
        <v>35</v>
      </c>
      <c r="B55" s="388" t="s">
        <v>496</v>
      </c>
      <c r="C55" s="388" t="s">
        <v>489</v>
      </c>
      <c r="D55" s="515" t="s">
        <v>543</v>
      </c>
      <c r="E55" s="502" t="s">
        <v>345</v>
      </c>
      <c r="F55" s="388" t="s">
        <v>29</v>
      </c>
      <c r="G55" s="388" t="s">
        <v>350</v>
      </c>
      <c r="H55" s="418">
        <v>7.5</v>
      </c>
      <c r="I55" s="388" t="s">
        <v>330</v>
      </c>
      <c r="J55" s="388" t="s">
        <v>331</v>
      </c>
      <c r="K55" s="434">
        <v>400</v>
      </c>
      <c r="L55" s="401">
        <v>0.85</v>
      </c>
      <c r="M55" s="418">
        <v>0.95</v>
      </c>
      <c r="N55" s="392">
        <f t="shared" si="310"/>
        <v>13.406359261827985</v>
      </c>
      <c r="O55" s="392">
        <f t="shared" si="347"/>
        <v>80.438155570967908</v>
      </c>
      <c r="P55" s="401">
        <f t="shared" si="311"/>
        <v>0.2</v>
      </c>
      <c r="Q55" s="418">
        <v>65</v>
      </c>
      <c r="R55" s="418">
        <v>0</v>
      </c>
      <c r="S55" s="418">
        <f t="shared" si="312"/>
        <v>0</v>
      </c>
      <c r="T55" s="401" t="s">
        <v>131</v>
      </c>
      <c r="U55" s="418" t="s">
        <v>333</v>
      </c>
      <c r="V55" s="401">
        <v>35</v>
      </c>
      <c r="W55" s="401" t="str">
        <f t="shared" si="313"/>
        <v>3C X 35</v>
      </c>
      <c r="X55" s="401" t="str">
        <f t="shared" si="314"/>
        <v>3C X 35+PE</v>
      </c>
      <c r="Y55" s="401" t="s">
        <v>358</v>
      </c>
      <c r="Z55" s="393">
        <f>IF(T55="AIR",VLOOKUP(W55,'Catalogue Aluminium'!$B$9:$G$93,2,FALSE),IF(T55="GROUND",VLOOKUP(W55,'Catalogue Aluminium'!$B$9:$G$93,3,FALSE),IF(T55="DUCT",VLOOKUP(W55,'Catalogue Aluminium'!$B$9:$G$93,4,FALSE),IF(T55="TRENCH",VLOOKUP(W55,'Catalogue Aluminium'!$B$9:$G$93,2,FALSE)))))</f>
        <v>117</v>
      </c>
      <c r="AA55" s="402">
        <f>VLOOKUP(W55,'Catalogue Aluminium'!$B$9:$G$93,5,FALSE)</f>
        <v>1.1100000000000001</v>
      </c>
      <c r="AB55" s="402">
        <f>VLOOKUP(W55,'Catalogue Aluminium'!$B$9:$G$93,6,FALSE)</f>
        <v>7.9399999999999998E-2</v>
      </c>
      <c r="AC55" s="401">
        <f t="shared" ref="AC55:AC57" si="402">17+3</f>
        <v>20</v>
      </c>
      <c r="AD55" s="401">
        <f t="shared" si="348"/>
        <v>335</v>
      </c>
      <c r="AE55" s="401">
        <f t="shared" si="316"/>
        <v>38</v>
      </c>
      <c r="AF55" s="401">
        <v>8</v>
      </c>
      <c r="AG55" s="401">
        <f t="shared" si="317"/>
        <v>41</v>
      </c>
      <c r="AH55" s="436">
        <f t="shared" si="318"/>
        <v>442</v>
      </c>
      <c r="AI55" s="393">
        <f>IF(T55="AIR",'Catalogue Aluminium'!$K$9,IF(T55="TRENCH",'Catalogue Aluminium'!$K$12,"NA"))</f>
        <v>0.89</v>
      </c>
      <c r="AJ55" s="392">
        <f>IF(T55="Air",(IF(U55="1C",'Catalogue Aluminium'!$L$9,'Catalogue Aluminium'!$M$9)),IF(T55="DUCT",(IF($U55="1C",'Catalogue Aluminium'!$L$10,'Catalogue Aluminium'!$M$10)),IF(T55="GROUND",(IF($U55="1C",'Catalogue Aluminium'!$L$11,'Catalogue Aluminium'!$M$11)),IF(T55="TRENCH",(IF($U55="1C",'Catalogue Aluminium'!$L$12,'Catalogue Aluminium'!$M$12))))))</f>
        <v>0.66</v>
      </c>
      <c r="AK55" s="393" t="str">
        <f>IF(T55="Air",'Catalogue Aluminium'!$N$9,IF(T55="GROUND",'Catalogue Aluminium'!$N$10,IF(T55="DUCT",'Catalogue Aluminium'!$N$11,IF(T55="TRENCH",'Catalogue Aluminium'!$N$12,"NA"))))</f>
        <v>NA</v>
      </c>
      <c r="AL55" s="393" t="str">
        <f>IF(T55="Air",(IF(U55="1C",'Catalogue Aluminium'!$O$9,'Catalogue Aluminium'!$P$9)),IF(T55="DUCT",(IF($U55="1C",'Catalogue Aluminium'!$O$10,'Catalogue Aluminium'!$P$10)),IF(T55="GROUND",(IF($U55="1C",'Catalogue Aluminium'!$O$11,'Catalogue Aluminium'!$P$11)),IF(T55="TRENCH",(IF($U55="1C",'Catalogue Aluminium'!$O$12,'Catalogue Aluminium'!$P$12))))))</f>
        <v>NA</v>
      </c>
      <c r="AM55" s="393" t="str">
        <f>IF(T55="AIR","NA",IF(T55="TRENCH","NA",IF(T55="DUCT",IF(U55="1C",VLOOKUP(V55,'Catalogue Aluminium'!$Q$9:$S$28,2,FALSE),VLOOKUP(V55,'Catalogue Aluminium'!$Q$9:$S$28,3)),IF(T55="GROUND",IF(U55="1C",VLOOKUP(V55,'Catalogue Aluminium'!$Q$9:$S$28,2,FALSE),VLOOKUP(V55,'Catalogue Aluminium'!$Q$9:$S$28,3))))))</f>
        <v>NA</v>
      </c>
      <c r="AN55" s="437">
        <f t="shared" si="319"/>
        <v>0.58740000000000003</v>
      </c>
      <c r="AO55" s="418">
        <f t="shared" si="320"/>
        <v>68.725800000000007</v>
      </c>
      <c r="AP55" s="434">
        <f t="shared" si="398"/>
        <v>1</v>
      </c>
      <c r="AQ55" s="418" t="str">
        <f t="shared" si="399"/>
        <v>YES</v>
      </c>
      <c r="AR55" s="437">
        <f t="shared" si="400"/>
        <v>2.5282146403764441</v>
      </c>
      <c r="AS55" s="401" t="str">
        <f t="shared" si="401"/>
        <v>YES</v>
      </c>
      <c r="AT55" s="437">
        <f t="shared" si="324"/>
        <v>4.6154127459792695</v>
      </c>
      <c r="AU55" s="401" t="str">
        <f t="shared" si="325"/>
        <v>YES</v>
      </c>
      <c r="AV55" s="503" t="str">
        <f t="shared" si="326"/>
        <v>1R x 0.6/1kV x 3C x 35 Sqmm</v>
      </c>
      <c r="AW55" s="503" t="str">
        <f t="shared" si="327"/>
        <v>1R x 0.6/1kV x 3C x 35+PE Sqmm</v>
      </c>
      <c r="AX55" s="401">
        <f t="shared" si="328"/>
        <v>442</v>
      </c>
      <c r="AY55" s="504"/>
      <c r="AZ55" s="504">
        <f t="shared" si="329"/>
        <v>2</v>
      </c>
      <c r="BA55" s="438" t="str">
        <f t="shared" si="330"/>
        <v>ACDEE1E2E3E4E5</v>
      </c>
      <c r="BB55" s="505">
        <f>VLOOKUP(W55,'Catalogue Aluminium'!$B$9:$H$93,7,FALSE)</f>
        <v>23</v>
      </c>
      <c r="BC55" s="439">
        <f t="shared" si="331"/>
        <v>23</v>
      </c>
      <c r="BE55" s="336"/>
      <c r="BF55" s="336">
        <v>1</v>
      </c>
      <c r="BG55" s="336"/>
      <c r="BH55" s="336"/>
      <c r="BI55" s="336">
        <v>1</v>
      </c>
      <c r="BJ55" s="336">
        <v>1</v>
      </c>
      <c r="BK55" s="336"/>
      <c r="BL55" s="336"/>
      <c r="BM55" s="336"/>
      <c r="BN55" s="336">
        <v>1</v>
      </c>
      <c r="BO55" s="336"/>
      <c r="BP55" s="336">
        <v>1</v>
      </c>
      <c r="BQ55" s="336">
        <v>1</v>
      </c>
      <c r="BR55" s="336">
        <v>1</v>
      </c>
      <c r="BS55" s="336">
        <v>1</v>
      </c>
      <c r="BT55" s="336">
        <v>1</v>
      </c>
      <c r="BU55" s="336"/>
      <c r="BV55" s="336"/>
      <c r="BW55" s="336"/>
      <c r="BX55" s="336"/>
      <c r="BY55" s="336"/>
      <c r="BZ55" s="336"/>
      <c r="CA55" s="336"/>
      <c r="CB55" s="336"/>
      <c r="CC55" s="336"/>
      <c r="CD55" s="336"/>
      <c r="CE55" s="336"/>
      <c r="CF55" s="336"/>
      <c r="CG55" s="336"/>
      <c r="CH55" s="336"/>
      <c r="CI55" s="336"/>
      <c r="CJ55" s="336"/>
      <c r="CK55" s="336"/>
      <c r="CL55" s="336"/>
      <c r="CM55" s="336"/>
      <c r="CN55" s="336"/>
      <c r="CO55" s="336"/>
      <c r="CP55" s="336"/>
      <c r="CQ55" s="336"/>
      <c r="CR55" s="336"/>
      <c r="CS55" s="336"/>
      <c r="CT55" s="336"/>
      <c r="CU55" s="336"/>
      <c r="CV55" s="336"/>
      <c r="CW55" s="336"/>
      <c r="CX55" s="336"/>
      <c r="CY55" s="336"/>
      <c r="CZ55" s="336"/>
      <c r="DA55" s="336"/>
      <c r="DB55" s="336"/>
      <c r="DC55" s="336"/>
      <c r="DD55" s="336"/>
      <c r="DE55" s="336"/>
      <c r="DF55" s="336"/>
      <c r="DG55" s="336"/>
      <c r="DH55" s="336"/>
      <c r="DI55" s="336"/>
      <c r="DJ55" s="336"/>
      <c r="DK55" s="336"/>
      <c r="DL55" s="336"/>
      <c r="DM55" s="336"/>
      <c r="DN55" s="336"/>
      <c r="DO55" s="336"/>
      <c r="DP55" s="336"/>
      <c r="DQ55" s="336"/>
      <c r="DR55" s="336"/>
      <c r="DS55" s="336"/>
      <c r="DT55" s="336"/>
      <c r="DU55" s="336"/>
      <c r="DW55" s="336">
        <f t="shared" si="387"/>
        <v>0</v>
      </c>
      <c r="DX55" s="336">
        <f t="shared" si="388"/>
        <v>23</v>
      </c>
      <c r="DY55" s="336">
        <f t="shared" si="389"/>
        <v>0</v>
      </c>
      <c r="DZ55" s="336">
        <f t="shared" si="390"/>
        <v>0</v>
      </c>
      <c r="EA55" s="336">
        <f t="shared" si="391"/>
        <v>23</v>
      </c>
      <c r="EB55" s="336">
        <f t="shared" si="392"/>
        <v>23</v>
      </c>
      <c r="EC55" s="336">
        <f t="shared" si="393"/>
        <v>0</v>
      </c>
      <c r="ED55" s="336">
        <f t="shared" si="209"/>
        <v>0</v>
      </c>
      <c r="EE55" s="336">
        <f t="shared" si="210"/>
        <v>0</v>
      </c>
      <c r="EF55" s="336">
        <f t="shared" si="211"/>
        <v>23</v>
      </c>
      <c r="EG55" s="336">
        <f t="shared" si="212"/>
        <v>0</v>
      </c>
      <c r="EH55" s="336">
        <f t="shared" si="213"/>
        <v>23</v>
      </c>
      <c r="EI55" s="336">
        <f t="shared" si="214"/>
        <v>23</v>
      </c>
      <c r="EJ55" s="336">
        <f t="shared" si="215"/>
        <v>23</v>
      </c>
      <c r="EK55" s="336">
        <f t="shared" si="216"/>
        <v>23</v>
      </c>
      <c r="EL55" s="336">
        <f t="shared" si="217"/>
        <v>23</v>
      </c>
      <c r="EM55" s="336">
        <f t="shared" si="218"/>
        <v>0</v>
      </c>
      <c r="EN55" s="336">
        <f t="shared" si="219"/>
        <v>0</v>
      </c>
      <c r="EO55" s="336">
        <f t="shared" si="220"/>
        <v>0</v>
      </c>
      <c r="EP55" s="336">
        <f t="shared" si="221"/>
        <v>0</v>
      </c>
      <c r="EQ55" s="336">
        <f t="shared" si="222"/>
        <v>0</v>
      </c>
      <c r="ER55" s="336">
        <f t="shared" si="223"/>
        <v>0</v>
      </c>
      <c r="ES55" s="336">
        <f t="shared" si="224"/>
        <v>0</v>
      </c>
      <c r="ET55" s="336">
        <f t="shared" si="224"/>
        <v>0</v>
      </c>
      <c r="EU55" s="336">
        <f t="shared" si="225"/>
        <v>0</v>
      </c>
      <c r="EV55" s="336">
        <f t="shared" si="226"/>
        <v>0</v>
      </c>
      <c r="EW55" s="336">
        <f t="shared" si="227"/>
        <v>0</v>
      </c>
      <c r="EX55" s="336">
        <f t="shared" si="228"/>
        <v>0</v>
      </c>
      <c r="EY55" s="336">
        <f t="shared" si="229"/>
        <v>0</v>
      </c>
      <c r="EZ55" s="336">
        <f t="shared" si="230"/>
        <v>0</v>
      </c>
      <c r="FA55" s="336">
        <f t="shared" si="231"/>
        <v>0</v>
      </c>
      <c r="FB55" s="336">
        <f t="shared" si="232"/>
        <v>0</v>
      </c>
      <c r="FC55" s="336">
        <f t="shared" si="233"/>
        <v>0</v>
      </c>
      <c r="FD55" s="336">
        <f t="shared" si="234"/>
        <v>0</v>
      </c>
      <c r="FE55" s="336">
        <f t="shared" si="235"/>
        <v>0</v>
      </c>
      <c r="FF55" s="336">
        <f t="shared" si="236"/>
        <v>0</v>
      </c>
      <c r="FG55" s="336">
        <f t="shared" si="237"/>
        <v>0</v>
      </c>
      <c r="FH55" s="336">
        <f t="shared" si="238"/>
        <v>0</v>
      </c>
      <c r="FI55" s="336">
        <f t="shared" si="239"/>
        <v>0</v>
      </c>
      <c r="FJ55" s="336">
        <f t="shared" si="240"/>
        <v>0</v>
      </c>
      <c r="FK55" s="336">
        <f t="shared" si="241"/>
        <v>0</v>
      </c>
      <c r="FL55" s="336">
        <f t="shared" si="242"/>
        <v>0</v>
      </c>
      <c r="FM55" s="336">
        <f t="shared" si="243"/>
        <v>0</v>
      </c>
      <c r="FN55" s="336">
        <f t="shared" si="244"/>
        <v>0</v>
      </c>
      <c r="FO55" s="336">
        <f t="shared" si="245"/>
        <v>0</v>
      </c>
      <c r="FP55" s="336">
        <f t="shared" si="246"/>
        <v>0</v>
      </c>
      <c r="FQ55" s="336">
        <f t="shared" si="247"/>
        <v>0</v>
      </c>
      <c r="FR55" s="336">
        <f t="shared" si="248"/>
        <v>0</v>
      </c>
      <c r="FS55" s="336">
        <f t="shared" si="249"/>
        <v>0</v>
      </c>
      <c r="FT55" s="336">
        <f t="shared" si="250"/>
        <v>0</v>
      </c>
      <c r="FU55" s="336">
        <f t="shared" si="305"/>
        <v>0</v>
      </c>
      <c r="FV55" s="336">
        <f t="shared" si="306"/>
        <v>0</v>
      </c>
      <c r="FW55" s="336">
        <f t="shared" si="307"/>
        <v>0</v>
      </c>
      <c r="FX55" s="336">
        <f t="shared" si="308"/>
        <v>0</v>
      </c>
      <c r="FY55" s="336">
        <f t="shared" si="332"/>
        <v>0</v>
      </c>
      <c r="FZ55" s="336">
        <f t="shared" si="333"/>
        <v>0</v>
      </c>
      <c r="GA55" s="336">
        <f t="shared" si="334"/>
        <v>0</v>
      </c>
      <c r="GB55" s="336">
        <f t="shared" si="335"/>
        <v>0</v>
      </c>
      <c r="GC55" s="336">
        <f t="shared" si="336"/>
        <v>0</v>
      </c>
      <c r="GD55" s="336">
        <f t="shared" si="337"/>
        <v>0</v>
      </c>
      <c r="GE55" s="336">
        <f t="shared" si="338"/>
        <v>0</v>
      </c>
      <c r="GF55" s="336">
        <f t="shared" si="339"/>
        <v>0</v>
      </c>
      <c r="GG55" s="336">
        <f t="shared" si="340"/>
        <v>0</v>
      </c>
      <c r="GH55" s="336">
        <f t="shared" si="341"/>
        <v>0</v>
      </c>
      <c r="GI55" s="336">
        <f t="shared" si="342"/>
        <v>0</v>
      </c>
      <c r="GJ55" s="336">
        <f t="shared" si="343"/>
        <v>0</v>
      </c>
      <c r="GK55" s="336">
        <f t="shared" si="344"/>
        <v>0</v>
      </c>
      <c r="GL55" s="336">
        <f t="shared" si="309"/>
        <v>0</v>
      </c>
      <c r="GM55" s="336">
        <f t="shared" si="345"/>
        <v>0</v>
      </c>
    </row>
    <row r="56" spans="1:195" s="869" customFormat="1" ht="20.100000000000001" customHeight="1">
      <c r="A56" s="406">
        <f t="shared" si="346"/>
        <v>36</v>
      </c>
      <c r="B56" s="406" t="s">
        <v>527</v>
      </c>
      <c r="C56" s="406" t="s">
        <v>489</v>
      </c>
      <c r="D56" s="890" t="s">
        <v>1632</v>
      </c>
      <c r="E56" s="580" t="s">
        <v>345</v>
      </c>
      <c r="F56" s="406" t="s">
        <v>29</v>
      </c>
      <c r="G56" s="406" t="s">
        <v>350</v>
      </c>
      <c r="H56" s="583">
        <v>7.5</v>
      </c>
      <c r="I56" s="406" t="s">
        <v>330</v>
      </c>
      <c r="J56" s="406" t="s">
        <v>331</v>
      </c>
      <c r="K56" s="585">
        <v>400</v>
      </c>
      <c r="L56" s="409">
        <v>0.85</v>
      </c>
      <c r="M56" s="583">
        <v>0.95</v>
      </c>
      <c r="N56" s="407">
        <f t="shared" ref="N56:N57" si="403">IF(I56="kVA",IF(J56="3Ph",(H56*1000/(1.732*M56*K56)),(H56*1000/(M56*K56))),IF(I56="kW",IF(J56="3Ph",(H56*1000/(1.732*M56*K56*L56)),(H56*1000/(M56*K56*L56)))))</f>
        <v>13.406359261827985</v>
      </c>
      <c r="O56" s="407">
        <f t="shared" ref="O56:O57" si="404">IF(G56="MOTOR",(6*N56),IF(G56="VFD",(1*N56),0))</f>
        <v>80.438155570967908</v>
      </c>
      <c r="P56" s="409">
        <f t="shared" ref="P56:P57" si="405">IF(G56="MOTOR",0.2,"0.00")</f>
        <v>0.2</v>
      </c>
      <c r="Q56" s="583">
        <v>65</v>
      </c>
      <c r="R56" s="583">
        <v>0</v>
      </c>
      <c r="S56" s="583">
        <f t="shared" ref="S56:S57" si="406">(Q56*1000*SQRT(R56)/143)</f>
        <v>0</v>
      </c>
      <c r="T56" s="409" t="s">
        <v>131</v>
      </c>
      <c r="U56" s="583" t="s">
        <v>333</v>
      </c>
      <c r="V56" s="409">
        <v>35</v>
      </c>
      <c r="W56" s="409" t="str">
        <f t="shared" ref="W56:W57" si="407">CONCATENATE(U56," X ",V56)</f>
        <v>3C X 35</v>
      </c>
      <c r="X56" s="409" t="str">
        <f t="shared" ref="X56:X57" si="408">(IF(J56="1Ph",W56,IF(J56="3Ph",(IF(G56="MOTOR",(CONCATENATE(W56,"+PE")),W56)))))</f>
        <v>3C X 35+PE</v>
      </c>
      <c r="Y56" s="409" t="s">
        <v>358</v>
      </c>
      <c r="Z56" s="408">
        <f>IF(T56="AIR",VLOOKUP(W56,'Catalogue Aluminium'!$B$9:$G$93,2,FALSE),IF(T56="GROUND",VLOOKUP(W56,'Catalogue Aluminium'!$B$9:$G$93,3,FALSE),IF(T56="DUCT",VLOOKUP(W56,'Catalogue Aluminium'!$B$9:$G$93,4,FALSE),IF(T56="TRENCH",VLOOKUP(W56,'Catalogue Aluminium'!$B$9:$G$93,2,FALSE)))))</f>
        <v>117</v>
      </c>
      <c r="AA56" s="410">
        <f>VLOOKUP(W56,'Catalogue Aluminium'!$B$9:$G$93,5,FALSE)</f>
        <v>1.1100000000000001</v>
      </c>
      <c r="AB56" s="410">
        <f>VLOOKUP(W56,'Catalogue Aluminium'!$B$9:$G$93,6,FALSE)</f>
        <v>7.9399999999999998E-2</v>
      </c>
      <c r="AC56" s="409">
        <f t="shared" si="402"/>
        <v>20</v>
      </c>
      <c r="AD56" s="409">
        <f t="shared" si="348"/>
        <v>335</v>
      </c>
      <c r="AE56" s="409">
        <f t="shared" si="316"/>
        <v>38</v>
      </c>
      <c r="AF56" s="409">
        <v>8</v>
      </c>
      <c r="AG56" s="409">
        <f t="shared" ref="AG56:AG57" si="409">ROUNDUP((SUM(AC56:AF56)*0.1),0)</f>
        <v>41</v>
      </c>
      <c r="AH56" s="865">
        <f t="shared" ref="AH56:AH57" si="410">SUM(AC56:AG56)</f>
        <v>442</v>
      </c>
      <c r="AI56" s="408">
        <f>IF(T56="AIR",'Catalogue Aluminium'!$K$9,IF(T56="TRENCH",'Catalogue Aluminium'!$K$12,"NA"))</f>
        <v>0.89</v>
      </c>
      <c r="AJ56" s="407">
        <f>IF(T56="Air",(IF(U56="1C",'Catalogue Aluminium'!$L$9,'Catalogue Aluminium'!$M$9)),IF(T56="DUCT",(IF($U56="1C",'Catalogue Aluminium'!$L$10,'Catalogue Aluminium'!$M$10)),IF(T56="GROUND",(IF($U56="1C",'Catalogue Aluminium'!$L$11,'Catalogue Aluminium'!$M$11)),IF(T56="TRENCH",(IF($U56="1C",'Catalogue Aluminium'!$L$12,'Catalogue Aluminium'!$M$12))))))</f>
        <v>0.66</v>
      </c>
      <c r="AK56" s="408" t="str">
        <f>IF(T56="Air",'Catalogue Aluminium'!$N$9,IF(T56="GROUND",'Catalogue Aluminium'!$N$10,IF(T56="DUCT",'Catalogue Aluminium'!$N$11,IF(T56="TRENCH",'Catalogue Aluminium'!$N$12,"NA"))))</f>
        <v>NA</v>
      </c>
      <c r="AL56" s="408" t="str">
        <f>IF(T56="Air",(IF(U56="1C",'Catalogue Aluminium'!$O$9,'Catalogue Aluminium'!$P$9)),IF(T56="DUCT",(IF($U56="1C",'Catalogue Aluminium'!$O$10,'Catalogue Aluminium'!$P$10)),IF(T56="GROUND",(IF($U56="1C",'Catalogue Aluminium'!$O$11,'Catalogue Aluminium'!$P$11)),IF(T56="TRENCH",(IF($U56="1C",'Catalogue Aluminium'!$O$12,'Catalogue Aluminium'!$P$12))))))</f>
        <v>NA</v>
      </c>
      <c r="AM56" s="408" t="str">
        <f>IF(T56="AIR","NA",IF(T56="TRENCH","NA",IF(T56="DUCT",IF(U56="1C",VLOOKUP(V56,'Catalogue Aluminium'!$Q$9:$S$28,2,FALSE),VLOOKUP(V56,'Catalogue Aluminium'!$Q$9:$S$28,3)),IF(T56="GROUND",IF(U56="1C",VLOOKUP(V56,'Catalogue Aluminium'!$Q$9:$S$28,2,FALSE),VLOOKUP(V56,'Catalogue Aluminium'!$Q$9:$S$28,3))))))</f>
        <v>NA</v>
      </c>
      <c r="AN56" s="584">
        <f t="shared" ref="AN56:AN57" si="411">IF(T56="AIR",AI56*AJ56,IF(T56="TRENCH",AI56*AJ56,IF(T56="DUCT",AJ56*AK56*AL56*AM56,IF(T56="GROUND",AJ56*AK56*AL56*AM56))))</f>
        <v>0.58740000000000003</v>
      </c>
      <c r="AO56" s="583">
        <f t="shared" ref="AO56:AO57" si="412">Z56*AN56</f>
        <v>68.725800000000007</v>
      </c>
      <c r="AP56" s="585">
        <f t="shared" si="398"/>
        <v>1</v>
      </c>
      <c r="AQ56" s="583" t="str">
        <f t="shared" si="399"/>
        <v>YES</v>
      </c>
      <c r="AR56" s="584">
        <f t="shared" si="400"/>
        <v>2.5282146403764441</v>
      </c>
      <c r="AS56" s="409" t="str">
        <f t="shared" si="401"/>
        <v>YES</v>
      </c>
      <c r="AT56" s="584">
        <f t="shared" ref="AT56:AT57" si="413">IF(G56="MOTOR",(SQRT(3)*AH56*O56*((AA56*P56)+(AB56*SIN(ACOS(P56))))*100/(AP56*K56*1000)),"NA")</f>
        <v>4.6154127459792695</v>
      </c>
      <c r="AU56" s="409" t="str">
        <f t="shared" ref="AU56:AU57" si="414">IF(G56="MOTOR",IF(AT56&lt;=15,"YES","NO"),"NA")</f>
        <v>YES</v>
      </c>
      <c r="AV56" s="586" t="str">
        <f t="shared" ref="AV56:AV57" si="415">IF(U56="1C",CONCATENATE(AP56,"R x ",Y56,"kV x ",U56," x ",V56," Sqmm/Phase"),CONCATENATE(AP56,"R x ",0.6,"/1kV x ",U56," x ",V56," Sqmm"))</f>
        <v>1R x 0.6/1kV x 3C x 35 Sqmm</v>
      </c>
      <c r="AW56" s="586" t="str">
        <f t="shared" ref="AW56:AW57" si="416">IF(U56="1C",CONCATENATE(AP56,"R x ",Y56,"kV x ",U56," x ",V56," Sqmm/Phase"),CONCATENATE(AP56,"R x ",0.6,"/1kV x ",U56," x ",V56,(IF(G56="MOTOR","+PE",""))," Sqmm"))</f>
        <v>1R x 0.6/1kV x 3C x 35+PE Sqmm</v>
      </c>
      <c r="AX56" s="409">
        <f t="shared" ref="AX56:AX57" si="417">(IF(K56=400,(IF(U56="1C",(4*AH56*AP56),(AH56*AP56))),IF(K56=230,(AH56*AP56))))</f>
        <v>442</v>
      </c>
      <c r="AY56" s="866"/>
      <c r="AZ56" s="866">
        <f t="shared" ref="AZ56:AZ57" si="418">IF(U56="1C",(3*AP56*2),(AP56*2))</f>
        <v>2</v>
      </c>
      <c r="BA56" s="867" t="str">
        <f t="shared" ref="BA56:BA57" si="419">CONCATENATE(IF(BE56=1,BE$4,""),IF(BF56=1,BF$4,""),IF(BG56=1,BG$4,""),IF(BH56=1,BH$4,""),IF(BI56=1,BI$4,""),IF(BJ56=1,BJ$4,""),IF(BK56=1,BK$4,""),IF(BL56=1,BL$4,""),IF(BM56=1,BM$4,""),IF(BN56=1,BN$4,""),IF(BO56=1,BO$4,""),IF(BP56=1,BP$4,""),IF(BQ56=1,BQ$4,""),IF(BR56=1,BR$4,""),IF(BS56=1,BS$4,""),IF(BT56=1,BT$4,""),IF(BU56=1,BU$4,""),IF(BV56=1,BV$4,""),IF(BW56=1,BW$4,""),IF(BX56=1,BX$4,""),IF(BY56=1,BY$4,""),IF(BZ56=1,BZ$4,""),IF(CA56=1,CA$4,""),IF(CB56=1,CB$4,""),IF(CC56=1,CC$4,""),IF(CD56=1,CD$4,""),IF(CE56=1,CE$4,""),IF(CF56=1,CF$4,""),IF(CG56=1,CG$4,""),IF(CH56=1,CH$4,""),IF(CI56=1,CI$4,""),IF(CJ56=1,CJ$4,""),IF(CK56=1,CK$4,""),IF(CL56=1,CL$4,""),IF(CM56=1,CM$4,""),IF(CN56=1,CN$4,""),IF(CO56=1,CO$4,""),IF(CP56=1,CP$4,""),IF(CQ56=1,CQ$4,""),IF(CR56=1,CR$4,""),IF(CS56=1,CS$4,""),IF(CT56=1,CT$4,""),IF(CU56=1,CU$4,""),IF(CV56=1,CV$4,""),IF(CW56=1,CW$4,""),IF(CX56=1,CX$4,""),IF(CY56=1,CY$4,""),IF(CZ56=1,CZ$4,""),IF(DA56=1,DA$4,""),IF(DB56=1,DB$4,""),IF(DC56=1,DC$4,""),IF(DD56=1,DD$4,""),IF(DE56=1,DE$4,""),IF(DF56=1,DF$4,""),IF(DG56=1,DG$4,""),IF(DH56=1,DH$4,""),IF(DI56=1,DI$4,""),IF(DJ56=1,DJ$4,""),IF(DK56=1,DK$4,""),IF(DL56=1,DL$4,""),IF(DM56=1,DM$4,""),IF(DN56=1,DN$4,""),IF(DO56=1,DO$4,""),IF(DP56=1,DP$4,""),IF(DQ56=1,DQ$4,""),IF(DR56=1,DR$4,""),IF(DS56=1,DS$4,""),IF(DT56=1,DT$4,""),IF(DU56=1,DU$4,""))</f>
        <v>ACDEE1E2E3E4E5</v>
      </c>
      <c r="BB56" s="868">
        <f>VLOOKUP(W56,'Catalogue Aluminium'!$B$9:$H$93,7,FALSE)</f>
        <v>23</v>
      </c>
      <c r="BC56" s="789">
        <f t="shared" ref="BC56:BC57" si="420">AP56*BB56</f>
        <v>23</v>
      </c>
      <c r="BE56" s="587"/>
      <c r="BF56" s="587">
        <v>1</v>
      </c>
      <c r="BG56" s="587"/>
      <c r="BH56" s="587"/>
      <c r="BI56" s="587">
        <v>1</v>
      </c>
      <c r="BJ56" s="587">
        <v>1</v>
      </c>
      <c r="BK56" s="587"/>
      <c r="BL56" s="587"/>
      <c r="BM56" s="587"/>
      <c r="BN56" s="587">
        <v>1</v>
      </c>
      <c r="BO56" s="587"/>
      <c r="BP56" s="587">
        <v>1</v>
      </c>
      <c r="BQ56" s="587">
        <v>1</v>
      </c>
      <c r="BR56" s="587">
        <v>1</v>
      </c>
      <c r="BS56" s="587">
        <v>1</v>
      </c>
      <c r="BT56" s="587">
        <v>1</v>
      </c>
      <c r="BU56" s="587"/>
      <c r="BV56" s="587"/>
      <c r="BW56" s="587"/>
      <c r="BX56" s="587"/>
      <c r="BY56" s="587"/>
      <c r="BZ56" s="587"/>
      <c r="CA56" s="587"/>
      <c r="CB56" s="587"/>
      <c r="CC56" s="587"/>
      <c r="CD56" s="587"/>
      <c r="CE56" s="587"/>
      <c r="CF56" s="587"/>
      <c r="CG56" s="587"/>
      <c r="CH56" s="587"/>
      <c r="CI56" s="587"/>
      <c r="CJ56" s="587"/>
      <c r="CK56" s="587"/>
      <c r="CL56" s="587"/>
      <c r="CM56" s="587"/>
      <c r="CN56" s="587"/>
      <c r="CO56" s="587"/>
      <c r="CP56" s="587"/>
      <c r="CQ56" s="587"/>
      <c r="CR56" s="587"/>
      <c r="CS56" s="587"/>
      <c r="CT56" s="587"/>
      <c r="CU56" s="587"/>
      <c r="CV56" s="587"/>
      <c r="CW56" s="587"/>
      <c r="CX56" s="587"/>
      <c r="CY56" s="587"/>
      <c r="CZ56" s="587"/>
      <c r="DA56" s="587"/>
      <c r="DB56" s="587"/>
      <c r="DC56" s="587"/>
      <c r="DD56" s="587"/>
      <c r="DE56" s="587"/>
      <c r="DF56" s="587"/>
      <c r="DG56" s="587"/>
      <c r="DH56" s="587"/>
      <c r="DI56" s="587"/>
      <c r="DJ56" s="587"/>
      <c r="DK56" s="587"/>
      <c r="DL56" s="587"/>
      <c r="DM56" s="587"/>
      <c r="DN56" s="587"/>
      <c r="DO56" s="587"/>
      <c r="DP56" s="587"/>
      <c r="DQ56" s="587"/>
      <c r="DR56" s="587"/>
      <c r="DS56" s="587"/>
      <c r="DT56" s="587"/>
      <c r="DU56" s="587"/>
      <c r="DW56" s="587">
        <f t="shared" ref="DW56:DW57" si="421">IF(BE56=1,($BC56*BE56),0)</f>
        <v>0</v>
      </c>
      <c r="DX56" s="587">
        <f t="shared" ref="DX56:DX57" si="422">IF(BF56=1,($BC56*BF56),0)</f>
        <v>23</v>
      </c>
      <c r="DY56" s="587">
        <f t="shared" ref="DY56:DY57" si="423">IF(BG56=1,($BC56*BG56),0)</f>
        <v>0</v>
      </c>
      <c r="DZ56" s="587">
        <f t="shared" ref="DZ56:DZ57" si="424">IF(BH56=1,($BC56*BH56),0)</f>
        <v>0</v>
      </c>
      <c r="EA56" s="587">
        <f t="shared" ref="EA56:EA57" si="425">IF(BI56=1,($BC56*BI56),0)</f>
        <v>23</v>
      </c>
      <c r="EB56" s="587">
        <f t="shared" ref="EB56:EB57" si="426">IF(BJ56=1,($BC56*BJ56),0)</f>
        <v>23</v>
      </c>
      <c r="EC56" s="587">
        <f t="shared" ref="EC56:EC57" si="427">IF(BK56=1,($BC56*BK56),0)</f>
        <v>0</v>
      </c>
      <c r="ED56" s="587">
        <f t="shared" ref="ED56:ED57" si="428">IF(BL56=1,($BC56*BL56),0)</f>
        <v>0</v>
      </c>
      <c r="EE56" s="587">
        <f t="shared" ref="EE56:EE57" si="429">IF(BM56=1,($BC56*BM56),0)</f>
        <v>0</v>
      </c>
      <c r="EF56" s="587">
        <f t="shared" ref="EF56:EF57" si="430">IF(BN56=1,($BC56*BN56),0)</f>
        <v>23</v>
      </c>
      <c r="EG56" s="587">
        <f t="shared" ref="EG56:EG57" si="431">IF(BO56=1,($BC56*BO56),0)</f>
        <v>0</v>
      </c>
      <c r="EH56" s="587">
        <f t="shared" ref="EH56:EH57" si="432">IF(BP56=1,($BC56*BP56),0)</f>
        <v>23</v>
      </c>
      <c r="EI56" s="587">
        <f t="shared" ref="EI56:EI57" si="433">IF(BQ56=1,($BC56*BQ56),0)</f>
        <v>23</v>
      </c>
      <c r="EJ56" s="587">
        <f t="shared" ref="EJ56:EJ57" si="434">IF(BR56=1,($BC56*BR56),0)</f>
        <v>23</v>
      </c>
      <c r="EK56" s="587">
        <f t="shared" ref="EK56:EK57" si="435">IF(BS56=1,($BC56*BS56),0)</f>
        <v>23</v>
      </c>
      <c r="EL56" s="587">
        <f t="shared" ref="EL56:EL57" si="436">IF(BT56=1,($BC56*BT56),0)</f>
        <v>23</v>
      </c>
      <c r="EM56" s="587">
        <f t="shared" ref="EM56:EM57" si="437">IF(BU56=1,($BC56*BU56),0)</f>
        <v>0</v>
      </c>
      <c r="EN56" s="587">
        <f t="shared" ref="EN56:EN57" si="438">IF(BV56=1,($BC56*BV56),0)</f>
        <v>0</v>
      </c>
      <c r="EO56" s="587">
        <f t="shared" ref="EO56:EO57" si="439">IF(BW56=1,($BC56*BW56),0)</f>
        <v>0</v>
      </c>
      <c r="EP56" s="587">
        <f t="shared" ref="EP56:EP57" si="440">IF(BX56=1,($BC56*BX56),0)</f>
        <v>0</v>
      </c>
      <c r="EQ56" s="587">
        <f t="shared" ref="EQ56:EQ57" si="441">IF(BY56=1,($BC56*BY56),0)</f>
        <v>0</v>
      </c>
      <c r="ER56" s="587">
        <f t="shared" ref="ER56:ER57" si="442">IF(BZ56=1,($BC56*BZ56),0)</f>
        <v>0</v>
      </c>
      <c r="ES56" s="587">
        <f t="shared" ref="ES56:ES57" si="443">IF(CA56=1,($BC56*CA56),0)</f>
        <v>0</v>
      </c>
      <c r="ET56" s="587">
        <f t="shared" ref="ET56:ET57" si="444">IF(CB56=1,($BC56*CB56),0)</f>
        <v>0</v>
      </c>
      <c r="EU56" s="587">
        <f t="shared" ref="EU56:EU57" si="445">IF(CC56=1,($BC56*CC56),0)</f>
        <v>0</v>
      </c>
      <c r="EV56" s="587">
        <f t="shared" ref="EV56:EV57" si="446">IF(CD56=1,($BC56*CD56),0)</f>
        <v>0</v>
      </c>
      <c r="EW56" s="587">
        <f t="shared" ref="EW56:EW57" si="447">IF(CE56=1,($BC56*CE56),0)</f>
        <v>0</v>
      </c>
      <c r="EX56" s="587">
        <f t="shared" ref="EX56:EX57" si="448">IF(CF56=1,($BC56*CF56),0)</f>
        <v>0</v>
      </c>
      <c r="EY56" s="587">
        <f t="shared" ref="EY56:EY57" si="449">IF(CG56=1,($BC56*CG56),0)</f>
        <v>0</v>
      </c>
      <c r="EZ56" s="587">
        <f t="shared" ref="EZ56:EZ57" si="450">IF(CH56=1,($BC56*CH56),0)</f>
        <v>0</v>
      </c>
      <c r="FA56" s="587">
        <f t="shared" ref="FA56:FA57" si="451">IF(CI56=1,($BC56*CI56),0)</f>
        <v>0</v>
      </c>
      <c r="FB56" s="587">
        <f t="shared" ref="FB56:FB57" si="452">IF(CJ56=1,($BC56*CJ56),0)</f>
        <v>0</v>
      </c>
      <c r="FC56" s="587">
        <f t="shared" ref="FC56:FC57" si="453">IF(CK56=1,($BC56*CK56),0)</f>
        <v>0</v>
      </c>
      <c r="FD56" s="587">
        <f t="shared" ref="FD56:FD57" si="454">IF(CL56=1,($BC56*CL56),0)</f>
        <v>0</v>
      </c>
      <c r="FE56" s="587">
        <f t="shared" ref="FE56:FE57" si="455">IF(CM56=1,($BC56*CM56),0)</f>
        <v>0</v>
      </c>
      <c r="FF56" s="587">
        <f t="shared" ref="FF56:FF57" si="456">IF(CN56=1,($BC56*CN56),0)</f>
        <v>0</v>
      </c>
      <c r="FG56" s="587">
        <f t="shared" ref="FG56:FG57" si="457">IF(CO56=1,($BC56*CO56),0)</f>
        <v>0</v>
      </c>
      <c r="FH56" s="587">
        <f t="shared" ref="FH56:FH57" si="458">IF(CP56=1,($BC56*CP56),0)</f>
        <v>0</v>
      </c>
      <c r="FI56" s="587">
        <f t="shared" ref="FI56:FI57" si="459">IF(CQ56=1,($BC56*CQ56),0)</f>
        <v>0</v>
      </c>
      <c r="FJ56" s="587">
        <f t="shared" ref="FJ56:FJ57" si="460">IF(CR56=1,($BC56*CR56),0)</f>
        <v>0</v>
      </c>
      <c r="FK56" s="587">
        <f t="shared" ref="FK56:FK57" si="461">IF(CS56=1,($BC56*CS56),0)</f>
        <v>0</v>
      </c>
      <c r="FL56" s="587">
        <f t="shared" ref="FL56:FL57" si="462">IF(CT56=1,($BC56*CT56),0)</f>
        <v>0</v>
      </c>
      <c r="FM56" s="587">
        <f t="shared" ref="FM56:FM57" si="463">IF(CU56=1,($BC56*CU56),0)</f>
        <v>0</v>
      </c>
      <c r="FN56" s="587">
        <f t="shared" ref="FN56:FN57" si="464">IF(CV56=1,($BC56*CV56),0)</f>
        <v>0</v>
      </c>
      <c r="FO56" s="587">
        <f t="shared" ref="FO56:FO57" si="465">IF(CW56=1,($BC56*CW56),0)</f>
        <v>0</v>
      </c>
      <c r="FP56" s="587">
        <f t="shared" ref="FP56:FP57" si="466">IF(CX56=1,($BC56*CX56),0)</f>
        <v>0</v>
      </c>
      <c r="FQ56" s="587">
        <f t="shared" ref="FQ56:FQ57" si="467">IF(CY56=1,($BC56*CY56),0)</f>
        <v>0</v>
      </c>
      <c r="FR56" s="587">
        <f t="shared" ref="FR56:FR57" si="468">IF(CZ56=1,($BC56*CZ56),0)</f>
        <v>0</v>
      </c>
      <c r="FS56" s="587">
        <f t="shared" ref="FS56:FS57" si="469">IF(DA56=1,($BC56*DA56),0)</f>
        <v>0</v>
      </c>
      <c r="FT56" s="587">
        <f t="shared" ref="FT56:FT57" si="470">IF(DB56=1,($BC56*DB56),0)</f>
        <v>0</v>
      </c>
      <c r="FU56" s="587">
        <f t="shared" ref="FU56:FU57" si="471">IF(DC56=1,($BC56*DC56),0)</f>
        <v>0</v>
      </c>
      <c r="FV56" s="587">
        <f t="shared" ref="FV56:FV57" si="472">IF(DD56=1,($BC56*DD56),0)</f>
        <v>0</v>
      </c>
      <c r="FW56" s="587">
        <f t="shared" ref="FW56:FW57" si="473">IF(DE56=1,($BC56*DE56),0)</f>
        <v>0</v>
      </c>
      <c r="FX56" s="587">
        <f t="shared" ref="FX56:FX57" si="474">IF(DF56=1,($BC56*DF56),0)</f>
        <v>0</v>
      </c>
      <c r="FY56" s="587">
        <f t="shared" ref="FY56:FY57" si="475">IF(DG56=1,($BC56*DG56),0)</f>
        <v>0</v>
      </c>
      <c r="FZ56" s="587">
        <f t="shared" ref="FZ56:FZ57" si="476">IF(DH56=1,($BC56*DH56),0)</f>
        <v>0</v>
      </c>
      <c r="GA56" s="587">
        <f t="shared" ref="GA56:GA57" si="477">IF(DI56=1,($BC56*DI56),0)</f>
        <v>0</v>
      </c>
      <c r="GB56" s="587">
        <f t="shared" ref="GB56:GB57" si="478">IF(DJ56=1,($BC56*DJ56),0)</f>
        <v>0</v>
      </c>
      <c r="GC56" s="587">
        <f t="shared" ref="GC56:GC57" si="479">IF(DK56=1,($BC56*DK56),0)</f>
        <v>0</v>
      </c>
      <c r="GD56" s="587">
        <f t="shared" ref="GD56:GD57" si="480">IF(DL56=1,($BC56*DL56),0)</f>
        <v>0</v>
      </c>
      <c r="GE56" s="587">
        <f t="shared" ref="GE56:GE57" si="481">IF(DM56=1,($BC56*DM56),0)</f>
        <v>0</v>
      </c>
      <c r="GF56" s="587">
        <f t="shared" ref="GF56:GF57" si="482">IF(DN56=1,($BC56*DN56),0)</f>
        <v>0</v>
      </c>
      <c r="GG56" s="587">
        <f t="shared" ref="GG56:GG57" si="483">IF(DO56=1,($BC56*DO56),0)</f>
        <v>0</v>
      </c>
      <c r="GH56" s="587">
        <f t="shared" ref="GH56:GH57" si="484">IF(DP56=1,($BC56*DP56),0)</f>
        <v>0</v>
      </c>
      <c r="GI56" s="587">
        <f t="shared" ref="GI56:GI57" si="485">IF(DQ56=1,($BC56*DQ56),0)</f>
        <v>0</v>
      </c>
      <c r="GJ56" s="587">
        <f t="shared" ref="GJ56:GJ57" si="486">IF(DR56=1,($BC56*DR56),0)</f>
        <v>0</v>
      </c>
      <c r="GK56" s="587">
        <f t="shared" ref="GK56:GK57" si="487">IF(DS56=1,($BC56*DS56),0)</f>
        <v>0</v>
      </c>
      <c r="GL56" s="587">
        <f t="shared" ref="GL56:GL57" si="488">IF(DT56=1,($BC56*DT56),0)</f>
        <v>0</v>
      </c>
      <c r="GM56" s="587">
        <f t="shared" ref="GM56:GM57" si="489">IF(DU56=1,($BC56*DU56),0)</f>
        <v>0</v>
      </c>
    </row>
    <row r="57" spans="1:195" s="869" customFormat="1" ht="20.100000000000001" customHeight="1">
      <c r="A57" s="406">
        <f t="shared" si="346"/>
        <v>37</v>
      </c>
      <c r="B57" s="406" t="s">
        <v>527</v>
      </c>
      <c r="C57" s="406" t="s">
        <v>489</v>
      </c>
      <c r="D57" s="890" t="s">
        <v>1633</v>
      </c>
      <c r="E57" s="580" t="s">
        <v>345</v>
      </c>
      <c r="F57" s="406" t="s">
        <v>29</v>
      </c>
      <c r="G57" s="406" t="s">
        <v>350</v>
      </c>
      <c r="H57" s="583">
        <v>5.5</v>
      </c>
      <c r="I57" s="406" t="s">
        <v>330</v>
      </c>
      <c r="J57" s="406" t="s">
        <v>331</v>
      </c>
      <c r="K57" s="585">
        <v>400</v>
      </c>
      <c r="L57" s="409">
        <v>0.85</v>
      </c>
      <c r="M57" s="583">
        <v>0.95</v>
      </c>
      <c r="N57" s="407">
        <f t="shared" si="403"/>
        <v>9.8313301253405232</v>
      </c>
      <c r="O57" s="407">
        <f t="shared" si="404"/>
        <v>58.987980752043143</v>
      </c>
      <c r="P57" s="409">
        <f t="shared" si="405"/>
        <v>0.2</v>
      </c>
      <c r="Q57" s="583">
        <v>65</v>
      </c>
      <c r="R57" s="583">
        <v>0</v>
      </c>
      <c r="S57" s="583">
        <f t="shared" si="406"/>
        <v>0</v>
      </c>
      <c r="T57" s="409" t="s">
        <v>131</v>
      </c>
      <c r="U57" s="583" t="s">
        <v>333</v>
      </c>
      <c r="V57" s="409">
        <v>25</v>
      </c>
      <c r="W57" s="409" t="str">
        <f t="shared" si="407"/>
        <v>3C X 25</v>
      </c>
      <c r="X57" s="409" t="str">
        <f t="shared" si="408"/>
        <v>3C X 25+PE</v>
      </c>
      <c r="Y57" s="409" t="s">
        <v>358</v>
      </c>
      <c r="Z57" s="408">
        <f>IF(T57="AIR",VLOOKUP(W57,'Catalogue Aluminium'!$B$9:$G$93,2,FALSE),IF(T57="GROUND",VLOOKUP(W57,'Catalogue Aluminium'!$B$9:$G$93,3,FALSE),IF(T57="DUCT",VLOOKUP(W57,'Catalogue Aluminium'!$B$9:$G$93,4,FALSE),IF(T57="TRENCH",VLOOKUP(W57,'Catalogue Aluminium'!$B$9:$G$93,2,FALSE)))))</f>
        <v>95</v>
      </c>
      <c r="AA57" s="410">
        <f>VLOOKUP(W57,'Catalogue Aluminium'!$B$9:$G$93,5,FALSE)</f>
        <v>1.54</v>
      </c>
      <c r="AB57" s="410">
        <f>VLOOKUP(W57,'Catalogue Aluminium'!$B$9:$G$93,6,FALSE)</f>
        <v>8.1600000000000006E-2</v>
      </c>
      <c r="AC57" s="409">
        <f t="shared" si="402"/>
        <v>20</v>
      </c>
      <c r="AD57" s="409">
        <f t="shared" si="348"/>
        <v>335</v>
      </c>
      <c r="AE57" s="409">
        <f t="shared" si="316"/>
        <v>38</v>
      </c>
      <c r="AF57" s="409">
        <v>8</v>
      </c>
      <c r="AG57" s="409">
        <f t="shared" si="409"/>
        <v>41</v>
      </c>
      <c r="AH57" s="865">
        <f t="shared" si="410"/>
        <v>442</v>
      </c>
      <c r="AI57" s="408">
        <f>IF(T57="AIR",'Catalogue Aluminium'!$K$9,IF(T57="TRENCH",'Catalogue Aluminium'!$K$12,"NA"))</f>
        <v>0.89</v>
      </c>
      <c r="AJ57" s="407">
        <f>IF(T57="Air",(IF(U57="1C",'Catalogue Aluminium'!$L$9,'Catalogue Aluminium'!$M$9)),IF(T57="DUCT",(IF($U57="1C",'Catalogue Aluminium'!$L$10,'Catalogue Aluminium'!$M$10)),IF(T57="GROUND",(IF($U57="1C",'Catalogue Aluminium'!$L$11,'Catalogue Aluminium'!$M$11)),IF(T57="TRENCH",(IF($U57="1C",'Catalogue Aluminium'!$L$12,'Catalogue Aluminium'!$M$12))))))</f>
        <v>0.66</v>
      </c>
      <c r="AK57" s="408" t="str">
        <f>IF(T57="Air",'Catalogue Aluminium'!$N$9,IF(T57="GROUND",'Catalogue Aluminium'!$N$10,IF(T57="DUCT",'Catalogue Aluminium'!$N$11,IF(T57="TRENCH",'Catalogue Aluminium'!$N$12,"NA"))))</f>
        <v>NA</v>
      </c>
      <c r="AL57" s="408" t="str">
        <f>IF(T57="Air",(IF(U57="1C",'Catalogue Aluminium'!$O$9,'Catalogue Aluminium'!$P$9)),IF(T57="DUCT",(IF($U57="1C",'Catalogue Aluminium'!$O$10,'Catalogue Aluminium'!$P$10)),IF(T57="GROUND",(IF($U57="1C",'Catalogue Aluminium'!$O$11,'Catalogue Aluminium'!$P$11)),IF(T57="TRENCH",(IF($U57="1C",'Catalogue Aluminium'!$O$12,'Catalogue Aluminium'!$P$12))))))</f>
        <v>NA</v>
      </c>
      <c r="AM57" s="408" t="str">
        <f>IF(T57="AIR","NA",IF(T57="TRENCH","NA",IF(T57="DUCT",IF(U57="1C",VLOOKUP(V57,'Catalogue Aluminium'!$Q$9:$S$28,2,FALSE),VLOOKUP(V57,'Catalogue Aluminium'!$Q$9:$S$28,3)),IF(T57="GROUND",IF(U57="1C",VLOOKUP(V57,'Catalogue Aluminium'!$Q$9:$S$28,2,FALSE),VLOOKUP(V57,'Catalogue Aluminium'!$Q$9:$S$28,3))))))</f>
        <v>NA</v>
      </c>
      <c r="AN57" s="584">
        <f t="shared" si="411"/>
        <v>0.58740000000000003</v>
      </c>
      <c r="AO57" s="583">
        <f t="shared" si="412"/>
        <v>55.803000000000004</v>
      </c>
      <c r="AP57" s="585">
        <f t="shared" ref="AP57" si="490">CEILING(((N57)/AO57),1)</f>
        <v>1</v>
      </c>
      <c r="AQ57" s="583" t="str">
        <f t="shared" ref="AQ57" si="491">IF(AO57*AP57&gt;=N57,"YES","NO")</f>
        <v>YES</v>
      </c>
      <c r="AR57" s="584">
        <f t="shared" ref="AR57" si="492">SQRT(3)*AH57*N57*((AA57*L57)+(AB57*SIN(ACOS(L57))))*100/(AP57*K57*1000)</f>
        <v>2.543942015835261</v>
      </c>
      <c r="AS57" s="409" t="str">
        <f t="shared" ref="AS57" si="493">IF(G57="INCOMER",(IF(AR57&lt;=2,"YES","NO")),IF(G57="POWER",(IF(AR57&lt;=2.5,"YES","NO")),IF(G57="MOTOR",(IF(AR57&lt;=3,"YES","NO")))))</f>
        <v>YES</v>
      </c>
      <c r="AT57" s="584">
        <f t="shared" si="413"/>
        <v>4.3798949812434662</v>
      </c>
      <c r="AU57" s="409" t="str">
        <f t="shared" si="414"/>
        <v>YES</v>
      </c>
      <c r="AV57" s="586" t="str">
        <f t="shared" si="415"/>
        <v>1R x 0.6/1kV x 3C x 25 Sqmm</v>
      </c>
      <c r="AW57" s="586" t="str">
        <f t="shared" si="416"/>
        <v>1R x 0.6/1kV x 3C x 25+PE Sqmm</v>
      </c>
      <c r="AX57" s="409">
        <f t="shared" si="417"/>
        <v>442</v>
      </c>
      <c r="AY57" s="866"/>
      <c r="AZ57" s="866">
        <f t="shared" si="418"/>
        <v>2</v>
      </c>
      <c r="BA57" s="867" t="str">
        <f t="shared" si="419"/>
        <v>ACDEE1E2E3E4E5</v>
      </c>
      <c r="BB57" s="868">
        <f>VLOOKUP(W57,'Catalogue Aluminium'!$B$9:$H$93,7,FALSE)</f>
        <v>21</v>
      </c>
      <c r="BC57" s="789">
        <f t="shared" si="420"/>
        <v>21</v>
      </c>
      <c r="BE57" s="587"/>
      <c r="BF57" s="587">
        <v>1</v>
      </c>
      <c r="BG57" s="587"/>
      <c r="BH57" s="587"/>
      <c r="BI57" s="587">
        <v>1</v>
      </c>
      <c r="BJ57" s="587">
        <v>1</v>
      </c>
      <c r="BK57" s="587"/>
      <c r="BL57" s="587"/>
      <c r="BM57" s="587"/>
      <c r="BN57" s="587">
        <v>1</v>
      </c>
      <c r="BO57" s="587"/>
      <c r="BP57" s="587">
        <v>1</v>
      </c>
      <c r="BQ57" s="587">
        <v>1</v>
      </c>
      <c r="BR57" s="587">
        <v>1</v>
      </c>
      <c r="BS57" s="587">
        <v>1</v>
      </c>
      <c r="BT57" s="587">
        <v>1</v>
      </c>
      <c r="BU57" s="587"/>
      <c r="BV57" s="587"/>
      <c r="BW57" s="587"/>
      <c r="BX57" s="587"/>
      <c r="BY57" s="587"/>
      <c r="BZ57" s="587"/>
      <c r="CA57" s="587"/>
      <c r="CB57" s="587"/>
      <c r="CC57" s="587"/>
      <c r="CD57" s="587"/>
      <c r="CE57" s="587"/>
      <c r="CF57" s="587"/>
      <c r="CG57" s="587"/>
      <c r="CH57" s="587"/>
      <c r="CI57" s="587"/>
      <c r="CJ57" s="587"/>
      <c r="CK57" s="587"/>
      <c r="CL57" s="587"/>
      <c r="CM57" s="587"/>
      <c r="CN57" s="587"/>
      <c r="CO57" s="587"/>
      <c r="CP57" s="587"/>
      <c r="CQ57" s="587"/>
      <c r="CR57" s="587"/>
      <c r="CS57" s="587"/>
      <c r="CT57" s="587"/>
      <c r="CU57" s="587"/>
      <c r="CV57" s="587"/>
      <c r="CW57" s="587"/>
      <c r="CX57" s="587"/>
      <c r="CY57" s="587"/>
      <c r="CZ57" s="587"/>
      <c r="DA57" s="587"/>
      <c r="DB57" s="587"/>
      <c r="DC57" s="587"/>
      <c r="DD57" s="587"/>
      <c r="DE57" s="587"/>
      <c r="DF57" s="587"/>
      <c r="DG57" s="587"/>
      <c r="DH57" s="587"/>
      <c r="DI57" s="587"/>
      <c r="DJ57" s="587"/>
      <c r="DK57" s="587"/>
      <c r="DL57" s="587"/>
      <c r="DM57" s="587"/>
      <c r="DN57" s="587"/>
      <c r="DO57" s="587"/>
      <c r="DP57" s="587"/>
      <c r="DQ57" s="587"/>
      <c r="DR57" s="587"/>
      <c r="DS57" s="587"/>
      <c r="DT57" s="587"/>
      <c r="DU57" s="587"/>
      <c r="DW57" s="587">
        <f t="shared" si="421"/>
        <v>0</v>
      </c>
      <c r="DX57" s="587">
        <f t="shared" si="422"/>
        <v>21</v>
      </c>
      <c r="DY57" s="587">
        <f t="shared" si="423"/>
        <v>0</v>
      </c>
      <c r="DZ57" s="587">
        <f t="shared" si="424"/>
        <v>0</v>
      </c>
      <c r="EA57" s="587">
        <f t="shared" si="425"/>
        <v>21</v>
      </c>
      <c r="EB57" s="587">
        <f t="shared" si="426"/>
        <v>21</v>
      </c>
      <c r="EC57" s="587">
        <f t="shared" si="427"/>
        <v>0</v>
      </c>
      <c r="ED57" s="587">
        <f t="shared" si="428"/>
        <v>0</v>
      </c>
      <c r="EE57" s="587">
        <f t="shared" si="429"/>
        <v>0</v>
      </c>
      <c r="EF57" s="587">
        <f t="shared" si="430"/>
        <v>21</v>
      </c>
      <c r="EG57" s="587">
        <f t="shared" si="431"/>
        <v>0</v>
      </c>
      <c r="EH57" s="587">
        <f t="shared" si="432"/>
        <v>21</v>
      </c>
      <c r="EI57" s="587">
        <f t="shared" si="433"/>
        <v>21</v>
      </c>
      <c r="EJ57" s="587">
        <f t="shared" si="434"/>
        <v>21</v>
      </c>
      <c r="EK57" s="587">
        <f t="shared" si="435"/>
        <v>21</v>
      </c>
      <c r="EL57" s="587">
        <f t="shared" si="436"/>
        <v>21</v>
      </c>
      <c r="EM57" s="587">
        <f t="shared" si="437"/>
        <v>0</v>
      </c>
      <c r="EN57" s="587">
        <f t="shared" si="438"/>
        <v>0</v>
      </c>
      <c r="EO57" s="587">
        <f t="shared" si="439"/>
        <v>0</v>
      </c>
      <c r="EP57" s="587">
        <f t="shared" si="440"/>
        <v>0</v>
      </c>
      <c r="EQ57" s="587">
        <f t="shared" si="441"/>
        <v>0</v>
      </c>
      <c r="ER57" s="587">
        <f t="shared" si="442"/>
        <v>0</v>
      </c>
      <c r="ES57" s="587">
        <f t="shared" si="443"/>
        <v>0</v>
      </c>
      <c r="ET57" s="587">
        <f t="shared" si="444"/>
        <v>0</v>
      </c>
      <c r="EU57" s="587">
        <f t="shared" si="445"/>
        <v>0</v>
      </c>
      <c r="EV57" s="587">
        <f t="shared" si="446"/>
        <v>0</v>
      </c>
      <c r="EW57" s="587">
        <f t="shared" si="447"/>
        <v>0</v>
      </c>
      <c r="EX57" s="587">
        <f t="shared" si="448"/>
        <v>0</v>
      </c>
      <c r="EY57" s="587">
        <f t="shared" si="449"/>
        <v>0</v>
      </c>
      <c r="EZ57" s="587">
        <f t="shared" si="450"/>
        <v>0</v>
      </c>
      <c r="FA57" s="587">
        <f t="shared" si="451"/>
        <v>0</v>
      </c>
      <c r="FB57" s="587">
        <f t="shared" si="452"/>
        <v>0</v>
      </c>
      <c r="FC57" s="587">
        <f t="shared" si="453"/>
        <v>0</v>
      </c>
      <c r="FD57" s="587">
        <f t="shared" si="454"/>
        <v>0</v>
      </c>
      <c r="FE57" s="587">
        <f t="shared" si="455"/>
        <v>0</v>
      </c>
      <c r="FF57" s="587">
        <f t="shared" si="456"/>
        <v>0</v>
      </c>
      <c r="FG57" s="587">
        <f t="shared" si="457"/>
        <v>0</v>
      </c>
      <c r="FH57" s="587">
        <f t="shared" si="458"/>
        <v>0</v>
      </c>
      <c r="FI57" s="587">
        <f t="shared" si="459"/>
        <v>0</v>
      </c>
      <c r="FJ57" s="587">
        <f t="shared" si="460"/>
        <v>0</v>
      </c>
      <c r="FK57" s="587">
        <f t="shared" si="461"/>
        <v>0</v>
      </c>
      <c r="FL57" s="587">
        <f t="shared" si="462"/>
        <v>0</v>
      </c>
      <c r="FM57" s="587">
        <f t="shared" si="463"/>
        <v>0</v>
      </c>
      <c r="FN57" s="587">
        <f t="shared" si="464"/>
        <v>0</v>
      </c>
      <c r="FO57" s="587">
        <f t="shared" si="465"/>
        <v>0</v>
      </c>
      <c r="FP57" s="587">
        <f t="shared" si="466"/>
        <v>0</v>
      </c>
      <c r="FQ57" s="587">
        <f t="shared" si="467"/>
        <v>0</v>
      </c>
      <c r="FR57" s="587">
        <f t="shared" si="468"/>
        <v>0</v>
      </c>
      <c r="FS57" s="587">
        <f t="shared" si="469"/>
        <v>0</v>
      </c>
      <c r="FT57" s="587">
        <f t="shared" si="470"/>
        <v>0</v>
      </c>
      <c r="FU57" s="587">
        <f t="shared" si="471"/>
        <v>0</v>
      </c>
      <c r="FV57" s="587">
        <f t="shared" si="472"/>
        <v>0</v>
      </c>
      <c r="FW57" s="587">
        <f t="shared" si="473"/>
        <v>0</v>
      </c>
      <c r="FX57" s="587">
        <f t="shared" si="474"/>
        <v>0</v>
      </c>
      <c r="FY57" s="587">
        <f t="shared" si="475"/>
        <v>0</v>
      </c>
      <c r="FZ57" s="587">
        <f t="shared" si="476"/>
        <v>0</v>
      </c>
      <c r="GA57" s="587">
        <f t="shared" si="477"/>
        <v>0</v>
      </c>
      <c r="GB57" s="587">
        <f t="shared" si="478"/>
        <v>0</v>
      </c>
      <c r="GC57" s="587">
        <f t="shared" si="479"/>
        <v>0</v>
      </c>
      <c r="GD57" s="587">
        <f t="shared" si="480"/>
        <v>0</v>
      </c>
      <c r="GE57" s="587">
        <f t="shared" si="481"/>
        <v>0</v>
      </c>
      <c r="GF57" s="587">
        <f t="shared" si="482"/>
        <v>0</v>
      </c>
      <c r="GG57" s="587">
        <f t="shared" si="483"/>
        <v>0</v>
      </c>
      <c r="GH57" s="587">
        <f t="shared" si="484"/>
        <v>0</v>
      </c>
      <c r="GI57" s="587">
        <f t="shared" si="485"/>
        <v>0</v>
      </c>
      <c r="GJ57" s="587">
        <f t="shared" si="486"/>
        <v>0</v>
      </c>
      <c r="GK57" s="587">
        <f t="shared" si="487"/>
        <v>0</v>
      </c>
      <c r="GL57" s="587">
        <f t="shared" si="488"/>
        <v>0</v>
      </c>
      <c r="GM57" s="587">
        <f t="shared" si="489"/>
        <v>0</v>
      </c>
    </row>
    <row r="58" spans="1:195" s="76" customFormat="1" ht="45.75" customHeight="1">
      <c r="A58" s="373"/>
      <c r="B58" s="373"/>
      <c r="C58" s="373"/>
      <c r="D58" s="508" t="s">
        <v>544</v>
      </c>
      <c r="E58" s="517"/>
      <c r="F58" s="510"/>
      <c r="G58" s="373"/>
      <c r="H58" s="382"/>
      <c r="I58" s="373"/>
      <c r="J58" s="373"/>
      <c r="K58" s="381"/>
      <c r="L58" s="376"/>
      <c r="M58" s="382"/>
      <c r="N58" s="375"/>
      <c r="O58" s="375"/>
      <c r="P58" s="376"/>
      <c r="Q58" s="382"/>
      <c r="R58" s="382"/>
      <c r="S58" s="382"/>
      <c r="T58" s="376"/>
      <c r="U58" s="382"/>
      <c r="V58" s="376"/>
      <c r="W58" s="376"/>
      <c r="X58" s="376"/>
      <c r="Y58" s="376"/>
      <c r="Z58" s="377"/>
      <c r="AA58" s="378"/>
      <c r="AB58" s="378"/>
      <c r="AC58" s="378"/>
      <c r="AD58" s="378"/>
      <c r="AE58" s="378"/>
      <c r="AF58" s="378"/>
      <c r="AG58" s="378"/>
      <c r="AH58" s="378"/>
      <c r="AI58" s="377"/>
      <c r="AJ58" s="375"/>
      <c r="AK58" s="377"/>
      <c r="AL58" s="377"/>
      <c r="AM58" s="377"/>
      <c r="AN58" s="383"/>
      <c r="AO58" s="382"/>
      <c r="AP58" s="381"/>
      <c r="AQ58" s="382"/>
      <c r="AR58" s="383"/>
      <c r="AS58" s="376"/>
      <c r="AT58" s="383"/>
      <c r="AU58" s="383"/>
      <c r="AV58" s="384"/>
      <c r="AW58" s="384"/>
      <c r="AX58" s="376"/>
      <c r="AY58" s="385"/>
      <c r="AZ58" s="385"/>
      <c r="BA58" s="513" t="str">
        <f t="shared" si="301"/>
        <v/>
      </c>
      <c r="BB58" s="513"/>
      <c r="BC58" s="513"/>
      <c r="BE58" s="513"/>
      <c r="BF58" s="513"/>
      <c r="BG58" s="513"/>
      <c r="BH58" s="513"/>
      <c r="BI58" s="513"/>
      <c r="BJ58" s="513"/>
      <c r="BK58" s="513"/>
      <c r="BL58" s="513"/>
      <c r="BM58" s="513"/>
      <c r="BN58" s="513"/>
      <c r="BO58" s="513"/>
      <c r="BP58" s="513"/>
      <c r="BQ58" s="513"/>
      <c r="BR58" s="513"/>
      <c r="BS58" s="513"/>
      <c r="BT58" s="513"/>
      <c r="BU58" s="513"/>
      <c r="BV58" s="513"/>
      <c r="BW58" s="513"/>
      <c r="BX58" s="513"/>
      <c r="BY58" s="513"/>
      <c r="BZ58" s="513"/>
      <c r="CA58" s="513"/>
      <c r="CB58" s="513"/>
      <c r="CC58" s="513"/>
      <c r="CD58" s="513"/>
      <c r="CE58" s="513"/>
      <c r="CF58" s="513"/>
      <c r="CG58" s="513"/>
      <c r="CH58" s="513"/>
      <c r="CI58" s="513"/>
      <c r="CJ58" s="513"/>
      <c r="CK58" s="513"/>
      <c r="CL58" s="513"/>
      <c r="CM58" s="513"/>
      <c r="CN58" s="513"/>
      <c r="CO58" s="513"/>
      <c r="CP58" s="513"/>
      <c r="CQ58" s="513"/>
      <c r="CR58" s="513"/>
      <c r="CS58" s="513"/>
      <c r="CT58" s="513"/>
      <c r="CU58" s="513"/>
      <c r="CV58" s="513"/>
      <c r="CW58" s="513"/>
      <c r="CX58" s="513"/>
      <c r="CY58" s="513"/>
      <c r="CZ58" s="513"/>
      <c r="DA58" s="513"/>
      <c r="DB58" s="513"/>
      <c r="DC58" s="513"/>
      <c r="DD58" s="513"/>
      <c r="DE58" s="513"/>
      <c r="DF58" s="513"/>
      <c r="DG58" s="513"/>
      <c r="DH58" s="513"/>
      <c r="DI58" s="513"/>
      <c r="DJ58" s="513"/>
      <c r="DK58" s="513"/>
      <c r="DL58" s="513"/>
      <c r="DM58" s="513"/>
      <c r="DN58" s="513"/>
      <c r="DO58" s="513"/>
      <c r="DP58" s="513"/>
      <c r="DQ58" s="513"/>
      <c r="DR58" s="513"/>
      <c r="DS58" s="513"/>
      <c r="DT58" s="513"/>
      <c r="DU58" s="513"/>
      <c r="DV58" s="61"/>
      <c r="DW58" s="336">
        <f t="shared" si="387"/>
        <v>0</v>
      </c>
      <c r="DX58" s="336">
        <f t="shared" si="388"/>
        <v>0</v>
      </c>
      <c r="DY58" s="336">
        <f t="shared" si="389"/>
        <v>0</v>
      </c>
      <c r="DZ58" s="336">
        <f t="shared" si="390"/>
        <v>0</v>
      </c>
      <c r="EA58" s="336">
        <f t="shared" si="391"/>
        <v>0</v>
      </c>
      <c r="EB58" s="336">
        <f t="shared" si="392"/>
        <v>0</v>
      </c>
      <c r="EC58" s="336">
        <f t="shared" si="393"/>
        <v>0</v>
      </c>
      <c r="ED58" s="336">
        <f t="shared" si="209"/>
        <v>0</v>
      </c>
      <c r="EE58" s="336">
        <f t="shared" si="210"/>
        <v>0</v>
      </c>
      <c r="EF58" s="336">
        <f t="shared" si="211"/>
        <v>0</v>
      </c>
      <c r="EG58" s="336">
        <f t="shared" si="212"/>
        <v>0</v>
      </c>
      <c r="EH58" s="336">
        <f t="shared" si="213"/>
        <v>0</v>
      </c>
      <c r="EI58" s="336">
        <f t="shared" si="214"/>
        <v>0</v>
      </c>
      <c r="EJ58" s="336">
        <f t="shared" si="215"/>
        <v>0</v>
      </c>
      <c r="EK58" s="336">
        <f t="shared" si="216"/>
        <v>0</v>
      </c>
      <c r="EL58" s="336">
        <f t="shared" si="217"/>
        <v>0</v>
      </c>
      <c r="EM58" s="336">
        <f t="shared" si="218"/>
        <v>0</v>
      </c>
      <c r="EN58" s="336">
        <f t="shared" si="219"/>
        <v>0</v>
      </c>
      <c r="EO58" s="336">
        <f t="shared" si="220"/>
        <v>0</v>
      </c>
      <c r="EP58" s="336">
        <f t="shared" si="221"/>
        <v>0</v>
      </c>
      <c r="EQ58" s="336">
        <f t="shared" si="222"/>
        <v>0</v>
      </c>
      <c r="ER58" s="336">
        <f t="shared" si="223"/>
        <v>0</v>
      </c>
      <c r="ES58" s="336">
        <f t="shared" si="224"/>
        <v>0</v>
      </c>
      <c r="ET58" s="336">
        <f t="shared" si="224"/>
        <v>0</v>
      </c>
      <c r="EU58" s="336">
        <f t="shared" si="225"/>
        <v>0</v>
      </c>
      <c r="EV58" s="336">
        <f t="shared" si="226"/>
        <v>0</v>
      </c>
      <c r="EW58" s="336">
        <f t="shared" si="227"/>
        <v>0</v>
      </c>
      <c r="EX58" s="336">
        <f t="shared" si="228"/>
        <v>0</v>
      </c>
      <c r="EY58" s="336">
        <f t="shared" si="229"/>
        <v>0</v>
      </c>
      <c r="EZ58" s="336">
        <f t="shared" si="230"/>
        <v>0</v>
      </c>
      <c r="FA58" s="336">
        <f t="shared" si="231"/>
        <v>0</v>
      </c>
      <c r="FB58" s="336">
        <f t="shared" si="232"/>
        <v>0</v>
      </c>
      <c r="FC58" s="336">
        <f t="shared" si="233"/>
        <v>0</v>
      </c>
      <c r="FD58" s="336">
        <f t="shared" si="234"/>
        <v>0</v>
      </c>
      <c r="FE58" s="336">
        <f t="shared" si="235"/>
        <v>0</v>
      </c>
      <c r="FF58" s="336">
        <f t="shared" si="236"/>
        <v>0</v>
      </c>
      <c r="FG58" s="336">
        <f t="shared" si="237"/>
        <v>0</v>
      </c>
      <c r="FH58" s="336">
        <f t="shared" si="238"/>
        <v>0</v>
      </c>
      <c r="FI58" s="336">
        <f t="shared" si="239"/>
        <v>0</v>
      </c>
      <c r="FJ58" s="336">
        <f t="shared" si="240"/>
        <v>0</v>
      </c>
      <c r="FK58" s="336">
        <f t="shared" si="241"/>
        <v>0</v>
      </c>
      <c r="FL58" s="336">
        <f t="shared" si="242"/>
        <v>0</v>
      </c>
      <c r="FM58" s="336">
        <f t="shared" si="243"/>
        <v>0</v>
      </c>
      <c r="FN58" s="336">
        <f t="shared" si="244"/>
        <v>0</v>
      </c>
      <c r="FO58" s="492">
        <f t="shared" si="245"/>
        <v>0</v>
      </c>
      <c r="FP58" s="492">
        <f t="shared" si="246"/>
        <v>0</v>
      </c>
      <c r="FQ58" s="492">
        <f t="shared" si="247"/>
        <v>0</v>
      </c>
      <c r="FR58" s="492">
        <f t="shared" si="248"/>
        <v>0</v>
      </c>
      <c r="FS58" s="492">
        <f t="shared" si="249"/>
        <v>0</v>
      </c>
      <c r="FT58" s="492">
        <f t="shared" si="250"/>
        <v>0</v>
      </c>
      <c r="FU58" s="336">
        <f t="shared" si="305"/>
        <v>0</v>
      </c>
      <c r="FV58" s="336">
        <f t="shared" si="306"/>
        <v>0</v>
      </c>
      <c r="FW58" s="336">
        <f t="shared" si="307"/>
        <v>0</v>
      </c>
      <c r="FX58" s="336">
        <f t="shared" si="308"/>
        <v>0</v>
      </c>
      <c r="FY58" s="492">
        <f t="shared" si="332"/>
        <v>0</v>
      </c>
      <c r="FZ58" s="492">
        <f t="shared" si="333"/>
        <v>0</v>
      </c>
      <c r="GA58" s="492">
        <f t="shared" si="334"/>
        <v>0</v>
      </c>
      <c r="GB58" s="492">
        <f t="shared" si="335"/>
        <v>0</v>
      </c>
      <c r="GC58" s="492">
        <f t="shared" si="336"/>
        <v>0</v>
      </c>
      <c r="GD58" s="492">
        <f t="shared" si="337"/>
        <v>0</v>
      </c>
      <c r="GE58" s="492">
        <f t="shared" si="338"/>
        <v>0</v>
      </c>
      <c r="GF58" s="492">
        <f t="shared" si="339"/>
        <v>0</v>
      </c>
      <c r="GG58" s="492">
        <f t="shared" si="340"/>
        <v>0</v>
      </c>
      <c r="GH58" s="492">
        <f t="shared" si="341"/>
        <v>0</v>
      </c>
      <c r="GI58" s="492">
        <f t="shared" si="342"/>
        <v>0</v>
      </c>
      <c r="GJ58" s="492">
        <f t="shared" si="343"/>
        <v>0</v>
      </c>
      <c r="GK58" s="492">
        <f t="shared" si="344"/>
        <v>0</v>
      </c>
      <c r="GL58" s="336">
        <f t="shared" si="309"/>
        <v>0</v>
      </c>
      <c r="GM58" s="492">
        <f t="shared" si="345"/>
        <v>0</v>
      </c>
    </row>
    <row r="59" spans="1:195" ht="30.75" customHeight="1">
      <c r="A59" s="337">
        <f>1+A57</f>
        <v>38</v>
      </c>
      <c r="B59" s="406" t="s">
        <v>1634</v>
      </c>
      <c r="C59" s="337" t="str">
        <f t="shared" ref="C59:C66" si="494">$D$6</f>
        <v>PMCC-1</v>
      </c>
      <c r="D59" s="372" t="s">
        <v>545</v>
      </c>
      <c r="E59" s="500" t="s">
        <v>345</v>
      </c>
      <c r="F59" s="337" t="s">
        <v>28</v>
      </c>
      <c r="G59" s="337" t="s">
        <v>329</v>
      </c>
      <c r="H59" s="418">
        <v>17.5</v>
      </c>
      <c r="I59" s="337" t="s">
        <v>330</v>
      </c>
      <c r="J59" s="337" t="s">
        <v>331</v>
      </c>
      <c r="K59" s="349">
        <v>400</v>
      </c>
      <c r="L59" s="343">
        <v>0.85</v>
      </c>
      <c r="M59" s="350">
        <v>0.95</v>
      </c>
      <c r="N59" s="342">
        <f t="shared" ref="N59:N81" si="495">IF(I59="kVA",IF(J59="3Ph",(H59*1000/(1.732*M59*K59)),(H59*1000/(M59*K59))),IF(I59="kW",IF(J59="3Ph",(H59*1000/(1.732*M59*K59*L59)),(H59*1000/(M59*K59*L59)))))</f>
        <v>31.281504944265301</v>
      </c>
      <c r="O59" s="342">
        <f t="shared" si="347"/>
        <v>0</v>
      </c>
      <c r="P59" s="343" t="str">
        <f t="shared" ref="P59:P81" si="496">IF(G59="MOTOR",0.2,"0.00")</f>
        <v>0.00</v>
      </c>
      <c r="Q59" s="350">
        <v>65</v>
      </c>
      <c r="R59" s="350">
        <v>0</v>
      </c>
      <c r="S59" s="350">
        <f t="shared" ref="S59:S81" si="497">(Q59*1000*SQRT(R59)/143)</f>
        <v>0</v>
      </c>
      <c r="T59" s="343" t="s">
        <v>131</v>
      </c>
      <c r="U59" s="350" t="s">
        <v>535</v>
      </c>
      <c r="V59" s="343">
        <v>95</v>
      </c>
      <c r="W59" s="343" t="str">
        <f t="shared" ref="W59:W81" si="498">CONCATENATE(U59," X ",V59)</f>
        <v>3.5C X 95</v>
      </c>
      <c r="X59" s="343" t="str">
        <f t="shared" ref="X59:X81" si="499">(IF(J59="1Ph",W59,IF(J59="3Ph",(IF(G59="MOTOR",(CONCATENATE(W59,"+PE")),W59)))))</f>
        <v>3.5C X 95</v>
      </c>
      <c r="Y59" s="343" t="s">
        <v>358</v>
      </c>
      <c r="Z59" s="344">
        <f>IF(T59="AIR",VLOOKUP(W59,'Catalogue Aluminium'!$B$9:$G$93,2,FALSE),IF(T59="GROUND",VLOOKUP(W59,'Catalogue Aluminium'!$B$9:$G$93,3,FALSE),IF(T59="DUCT",VLOOKUP(W59,'Catalogue Aluminium'!$B$9:$G$93,4,FALSE),IF(T59="TRENCH",VLOOKUP(W59,'Catalogue Aluminium'!$B$9:$G$93,2,FALSE)))))</f>
        <v>221</v>
      </c>
      <c r="AA59" s="345">
        <f>VLOOKUP(W59,'Catalogue Aluminium'!$B$9:$G$93,5,FALSE)</f>
        <v>0.41</v>
      </c>
      <c r="AB59" s="345">
        <f>VLOOKUP(W59,'Catalogue Aluminium'!$B$9:$G$93,6,FALSE)</f>
        <v>7.3400000000000007E-2</v>
      </c>
      <c r="AC59" s="401">
        <f t="shared" ref="AC59" si="500">26+3</f>
        <v>29</v>
      </c>
      <c r="AD59" s="401">
        <f>40+50+38+50+17+(27+42+22)</f>
        <v>286</v>
      </c>
      <c r="AE59" s="401">
        <f t="shared" ref="AE59:AE79" si="501">11+8+8+11</f>
        <v>38</v>
      </c>
      <c r="AF59" s="401">
        <v>8</v>
      </c>
      <c r="AG59" s="401">
        <f t="shared" ref="AG59:AG81" si="502">ROUNDUP((SUM(AC59:AF59)*0.1),0)</f>
        <v>37</v>
      </c>
      <c r="AH59" s="347">
        <f t="shared" ref="AH59:AH75" si="503">SUM(AC59:AG59)</f>
        <v>398</v>
      </c>
      <c r="AI59" s="344">
        <f>IF(T59="AIR",'Catalogue Aluminium'!$K$9,IF(T59="TRENCH",'Catalogue Aluminium'!$K$12,"NA"))</f>
        <v>0.89</v>
      </c>
      <c r="AJ59" s="342">
        <f>IF(T59="Air",(IF(U59="1C",'Catalogue Aluminium'!$L$9,'Catalogue Aluminium'!$M$9)),IF(T59="DUCT",(IF($U59="1C",'Catalogue Aluminium'!$L$10,'Catalogue Aluminium'!$M$10)),IF(T59="GROUND",(IF($U59="1C",'Catalogue Aluminium'!$L$11,'Catalogue Aluminium'!$M$11)),IF(T59="TRENCH",(IF($U59="1C",'Catalogue Aluminium'!$L$12,'Catalogue Aluminium'!$M$12))))))</f>
        <v>0.66</v>
      </c>
      <c r="AK59" s="344" t="str">
        <f>IF(T59="Air",'Catalogue Aluminium'!$N$9,IF(T59="GROUND",'Catalogue Aluminium'!$N$10,IF(T59="DUCT",'Catalogue Aluminium'!$N$11,IF(T59="TRENCH",'Catalogue Aluminium'!$N$12,"NA"))))</f>
        <v>NA</v>
      </c>
      <c r="AL59" s="344" t="str">
        <f>IF(T59="Air",(IF(U59="1C",'Catalogue Aluminium'!$O$9,'Catalogue Aluminium'!$P$9)),IF(T59="DUCT",(IF($U59="1C",'Catalogue Aluminium'!$O$10,'Catalogue Aluminium'!$P$10)),IF(T59="GROUND",(IF($U59="1C",'Catalogue Aluminium'!$O$11,'Catalogue Aluminium'!$P$11)),IF(T59="TRENCH",(IF($U59="1C",'Catalogue Aluminium'!$O$12,'Catalogue Aluminium'!$P$12))))))</f>
        <v>NA</v>
      </c>
      <c r="AM59" s="344" t="str">
        <f>IF(T59="AIR","NA",IF(T59="TRENCH","NA",IF(T59="DUCT",IF(U59="1C",VLOOKUP(V59,'Catalogue Aluminium'!$Q$9:$S$28,2,FALSE),VLOOKUP(V59,'Catalogue Aluminium'!$Q$9:$S$28,3)),IF(T59="GROUND",IF(U59="1C",VLOOKUP(V59,'Catalogue Aluminium'!$Q$9:$S$28,2,FALSE),VLOOKUP(V59,'Catalogue Aluminium'!$Q$9:$S$28,3))))))</f>
        <v>NA</v>
      </c>
      <c r="AN59" s="351">
        <f t="shared" ref="AN59:AN81" si="504">IF(T59="AIR",AI59*AJ59,IF(T59="TRENCH",AI59*AJ59,IF(T59="DUCT",AJ59*AK59*AL59*AM59,IF(T59="GROUND",AJ59*AK59*AL59*AM59))))</f>
        <v>0.58740000000000003</v>
      </c>
      <c r="AO59" s="350">
        <f t="shared" ref="AO59:AO81" si="505">Z59*AN59</f>
        <v>129.81540000000001</v>
      </c>
      <c r="AP59" s="349">
        <f t="shared" si="10"/>
        <v>1</v>
      </c>
      <c r="AQ59" s="350" t="str">
        <f t="shared" ref="AQ59:AQ81" si="506">IF(AO59*AP59&gt;=N59,"YES","NO")</f>
        <v>YES</v>
      </c>
      <c r="AR59" s="351">
        <f t="shared" ref="AR59:AR81" si="507">SQRT(3)*AH59*N59*((AA59*L59)+(AB59*SIN(ACOS(L59))))*100/(AP59*K59*1000)</f>
        <v>2.0872207772685298</v>
      </c>
      <c r="AS59" s="343" t="str">
        <f t="shared" ref="AS59:AS81" si="508">IF(G59="INCOMER",(IF(AR59&lt;=2,"YES","NO")),IF(G59="POWER",(IF(AR59&lt;=2.5,"YES","NO")),IF(G59="MOTOR",(IF(AR59&lt;=3,"YES","NO")))))</f>
        <v>YES</v>
      </c>
      <c r="AT59" s="351" t="str">
        <f t="shared" ref="AT59:AT64" si="509">IF(G59="MOTOR",(SQRT(3)*AH59*O59*((AA59*P59)+(AB59*SIN(ACOS(P59))))*100/(AP59*K59*1000)),"NA")</f>
        <v>NA</v>
      </c>
      <c r="AU59" s="343" t="str">
        <f t="shared" ref="AU59:AU81" si="510">IF(G59="MOTOR",IF(AT59&lt;=15,"YES","NO"),"NA")</f>
        <v>NA</v>
      </c>
      <c r="AV59" s="354" t="str">
        <f t="shared" ref="AV59:AV81" si="511">IF(U59="1C",CONCATENATE(AP59,"R x ",Y59,"kV x ",U59," x ",V59," Sqmm/Phase"),CONCATENATE(AP59,"R x ",0.6,"/1kV x ",U59," x ",V59," Sqmm"))</f>
        <v>1R x 0.6/1kV x 3.5C x 95 Sqmm</v>
      </c>
      <c r="AW59" s="354" t="str">
        <f t="shared" ref="AW59:AW81" si="512">IF(U59="1C",CONCATENATE(AP59,"R x ",Y59,"kV x ",U59," x ",V59," Sqmm/Phase"),CONCATENATE(AP59,"R x ",0.6,"/1kV x ",U59," x ",V59,(IF(G59="MOTOR","+PE",""))," Sqmm"))</f>
        <v>1R x 0.6/1kV x 3.5C x 95 Sqmm</v>
      </c>
      <c r="AX59" s="343">
        <f t="shared" ref="AX59:AX64" si="513">(IF(K59=400,(IF(U59="1C",(4*AH59*AP59),(AH59*AP59))),IF(K59=230,(AH59*AP59))))</f>
        <v>398</v>
      </c>
      <c r="AY59" s="355"/>
      <c r="AZ59" s="355">
        <f t="shared" ref="AZ59:AZ64" si="514">IF(U59="1C",(3*AP59*2),(AP59*2))</f>
        <v>2</v>
      </c>
      <c r="BA59" s="356" t="str">
        <f t="shared" ref="BA59:BA81" si="515">CONCATENATE(IF(BE59=1,BE$4,""),IF(BF59=1,BF$4,""),IF(BG59=1,BG$4,""),IF(BH59=1,BH$4,""),IF(BI59=1,BI$4,""),IF(BJ59=1,BJ$4,""),IF(BK59=1,BK$4,""),IF(BL59=1,BL$4,""),IF(BM59=1,BM$4,""),IF(BN59=1,BN$4,""),IF(BO59=1,BO$4,""),IF(BP59=1,BP$4,""),IF(BQ59=1,BQ$4,""),IF(BR59=1,BR$4,""),IF(BS59=1,BS$4,""),IF(BT59=1,BT$4,""),IF(BU59=1,BU$4,""),IF(BV59=1,BV$4,""),IF(BW59=1,BW$4,""),IF(BX59=1,BX$4,""),IF(BY59=1,BY$4,""),IF(BZ59=1,BZ$4,""),IF(CA59=1,CA$4,""),IF(CB59=1,CB$4,""),IF(CC59=1,CC$4,""),IF(CD59=1,CD$4,""),IF(CE59=1,CE$4,""),IF(CF59=1,CF$4,""),IF(CG59=1,CG$4,""),IF(CH59=1,CH$4,""),IF(CI59=1,CI$4,""),IF(CJ59=1,CJ$4,""),IF(CK59=1,CK$4,""),IF(CL59=1,CL$4,""),IF(CM59=1,CM$4,""),IF(CN59=1,CN$4,""),IF(CO59=1,CO$4,""),IF(CP59=1,CP$4,""),IF(CQ59=1,CQ$4,""),IF(CR59=1,CR$4,""),IF(CS59=1,CS$4,""),IF(CT59=1,CT$4,""),IF(CU59=1,CU$4,""),IF(CV59=1,CV$4,""),IF(CW59=1,CW$4,""),IF(CX59=1,CX$4,""),IF(CY59=1,CY$4,""),IF(CZ59=1,CZ$4,""),IF(DA59=1,DA$4,""),IF(DB59=1,DB$4,""),IF(DC59=1,DC$4,""),IF(DD59=1,DD$4,""),IF(DE59=1,DE$4,""),IF(DF59=1,DF$4,""),IF(DG59=1,DG$4,""),IF(DH59=1,DH$4,""),IF(DI59=1,DI$4,""),IF(DJ59=1,DJ$4,""),IF(DK59=1,DK$4,""),IF(DL59=1,DL$4,""),IF(DM59=1,DM$4,""),IF(DN59=1,DN$4,""),IF(DO59=1,DO$4,""),IF(DP59=1,DP$4,""),IF(DQ59=1,DQ$4,""),IF(DR59=1,DR$4,""),IF(DS59=1,DS$4,""),IF(DT59=1,DT$4,""),IF(DU59=1,DU$4,""))</f>
        <v>ACDEE1E2E3</v>
      </c>
      <c r="BB59" s="501">
        <f>VLOOKUP(W59,'Catalogue Aluminium'!$B$9:$H$93,7,FALSE)</f>
        <v>39</v>
      </c>
      <c r="BC59" s="328">
        <f t="shared" ref="BC59:BC64" si="516">AP59*BB59</f>
        <v>39</v>
      </c>
      <c r="BE59" s="336"/>
      <c r="BF59" s="336">
        <v>1</v>
      </c>
      <c r="BG59" s="336"/>
      <c r="BH59" s="336"/>
      <c r="BI59" s="336">
        <v>1</v>
      </c>
      <c r="BJ59" s="336">
        <v>1</v>
      </c>
      <c r="BK59" s="336"/>
      <c r="BL59" s="336"/>
      <c r="BM59" s="336"/>
      <c r="BN59" s="336">
        <v>1</v>
      </c>
      <c r="BO59" s="336"/>
      <c r="BP59" s="336">
        <v>1</v>
      </c>
      <c r="BQ59" s="336">
        <v>1</v>
      </c>
      <c r="BR59" s="336">
        <v>1</v>
      </c>
      <c r="BS59" s="336"/>
      <c r="BT59" s="336"/>
      <c r="BU59" s="336"/>
      <c r="BV59" s="336"/>
      <c r="BW59" s="336"/>
      <c r="BX59" s="336"/>
      <c r="BY59" s="336"/>
      <c r="BZ59" s="336"/>
      <c r="CA59" s="336"/>
      <c r="CB59" s="336"/>
      <c r="CC59" s="336"/>
      <c r="CD59" s="336"/>
      <c r="CE59" s="336"/>
      <c r="CF59" s="336"/>
      <c r="CG59" s="336"/>
      <c r="CH59" s="336"/>
      <c r="CI59" s="336"/>
      <c r="CJ59" s="336"/>
      <c r="CK59" s="336"/>
      <c r="CL59" s="336"/>
      <c r="CM59" s="336"/>
      <c r="CN59" s="336"/>
      <c r="CO59" s="336"/>
      <c r="CP59" s="336"/>
      <c r="CQ59" s="336"/>
      <c r="CR59" s="336"/>
      <c r="CS59" s="336"/>
      <c r="CT59" s="336"/>
      <c r="CU59" s="336"/>
      <c r="CV59" s="336"/>
      <c r="CW59" s="336"/>
      <c r="CX59" s="336"/>
      <c r="CY59" s="336"/>
      <c r="CZ59" s="336"/>
      <c r="DA59" s="336"/>
      <c r="DB59" s="336"/>
      <c r="DC59" s="336"/>
      <c r="DD59" s="336"/>
      <c r="DE59" s="336"/>
      <c r="DF59" s="336"/>
      <c r="DG59" s="336"/>
      <c r="DH59" s="336"/>
      <c r="DI59" s="336"/>
      <c r="DJ59" s="336"/>
      <c r="DK59" s="336"/>
      <c r="DL59" s="336"/>
      <c r="DM59" s="336"/>
      <c r="DN59" s="336"/>
      <c r="DO59" s="336"/>
      <c r="DP59" s="336"/>
      <c r="DQ59" s="336"/>
      <c r="DR59" s="336"/>
      <c r="DS59" s="336"/>
      <c r="DT59" s="336"/>
      <c r="DU59" s="336"/>
      <c r="DW59" s="336">
        <f t="shared" si="387"/>
        <v>0</v>
      </c>
      <c r="DX59" s="336">
        <f t="shared" si="388"/>
        <v>39</v>
      </c>
      <c r="DY59" s="336">
        <f t="shared" si="389"/>
        <v>0</v>
      </c>
      <c r="DZ59" s="336">
        <f t="shared" si="390"/>
        <v>0</v>
      </c>
      <c r="EA59" s="336">
        <f t="shared" si="391"/>
        <v>39</v>
      </c>
      <c r="EB59" s="336">
        <f t="shared" si="392"/>
        <v>39</v>
      </c>
      <c r="EC59" s="336">
        <f t="shared" si="393"/>
        <v>0</v>
      </c>
      <c r="ED59" s="336">
        <f t="shared" si="209"/>
        <v>0</v>
      </c>
      <c r="EE59" s="336">
        <f t="shared" si="210"/>
        <v>0</v>
      </c>
      <c r="EF59" s="336">
        <f t="shared" si="211"/>
        <v>39</v>
      </c>
      <c r="EG59" s="336">
        <f t="shared" si="212"/>
        <v>0</v>
      </c>
      <c r="EH59" s="336">
        <f t="shared" si="213"/>
        <v>39</v>
      </c>
      <c r="EI59" s="336">
        <f t="shared" si="214"/>
        <v>39</v>
      </c>
      <c r="EJ59" s="336">
        <f t="shared" si="215"/>
        <v>39</v>
      </c>
      <c r="EK59" s="336">
        <f t="shared" si="216"/>
        <v>0</v>
      </c>
      <c r="EL59" s="336">
        <f t="shared" si="217"/>
        <v>0</v>
      </c>
      <c r="EM59" s="336">
        <f t="shared" si="218"/>
        <v>0</v>
      </c>
      <c r="EN59" s="336">
        <f t="shared" si="219"/>
        <v>0</v>
      </c>
      <c r="EO59" s="336">
        <f t="shared" si="220"/>
        <v>0</v>
      </c>
      <c r="EP59" s="336">
        <f t="shared" si="221"/>
        <v>0</v>
      </c>
      <c r="EQ59" s="336">
        <f t="shared" si="222"/>
        <v>0</v>
      </c>
      <c r="ER59" s="336">
        <f t="shared" si="223"/>
        <v>0</v>
      </c>
      <c r="ES59" s="336">
        <f t="shared" si="224"/>
        <v>0</v>
      </c>
      <c r="ET59" s="336">
        <f t="shared" si="224"/>
        <v>0</v>
      </c>
      <c r="EU59" s="336">
        <f t="shared" si="225"/>
        <v>0</v>
      </c>
      <c r="EV59" s="336">
        <f t="shared" si="226"/>
        <v>0</v>
      </c>
      <c r="EW59" s="336">
        <f t="shared" si="227"/>
        <v>0</v>
      </c>
      <c r="EX59" s="336">
        <f t="shared" si="228"/>
        <v>0</v>
      </c>
      <c r="EY59" s="336">
        <f t="shared" si="229"/>
        <v>0</v>
      </c>
      <c r="EZ59" s="336">
        <f t="shared" si="230"/>
        <v>0</v>
      </c>
      <c r="FA59" s="336">
        <f t="shared" si="231"/>
        <v>0</v>
      </c>
      <c r="FB59" s="336">
        <f t="shared" si="232"/>
        <v>0</v>
      </c>
      <c r="FC59" s="336">
        <f t="shared" si="233"/>
        <v>0</v>
      </c>
      <c r="FD59" s="336">
        <f t="shared" si="234"/>
        <v>0</v>
      </c>
      <c r="FE59" s="336">
        <f t="shared" si="235"/>
        <v>0</v>
      </c>
      <c r="FF59" s="336">
        <f t="shared" si="236"/>
        <v>0</v>
      </c>
      <c r="FG59" s="336">
        <f t="shared" si="237"/>
        <v>0</v>
      </c>
      <c r="FH59" s="336">
        <f t="shared" si="238"/>
        <v>0</v>
      </c>
      <c r="FI59" s="336">
        <f t="shared" si="239"/>
        <v>0</v>
      </c>
      <c r="FJ59" s="336">
        <f t="shared" si="240"/>
        <v>0</v>
      </c>
      <c r="FK59" s="336">
        <f t="shared" si="241"/>
        <v>0</v>
      </c>
      <c r="FL59" s="336">
        <f t="shared" si="242"/>
        <v>0</v>
      </c>
      <c r="FM59" s="336">
        <f t="shared" si="243"/>
        <v>0</v>
      </c>
      <c r="FN59" s="336">
        <f t="shared" si="244"/>
        <v>0</v>
      </c>
      <c r="FO59" s="336">
        <f t="shared" si="245"/>
        <v>0</v>
      </c>
      <c r="FP59" s="336">
        <f t="shared" si="246"/>
        <v>0</v>
      </c>
      <c r="FQ59" s="336">
        <f t="shared" si="247"/>
        <v>0</v>
      </c>
      <c r="FR59" s="336">
        <f t="shared" si="248"/>
        <v>0</v>
      </c>
      <c r="FS59" s="336">
        <f t="shared" si="249"/>
        <v>0</v>
      </c>
      <c r="FT59" s="336">
        <f t="shared" si="250"/>
        <v>0</v>
      </c>
      <c r="FU59" s="336">
        <f t="shared" si="305"/>
        <v>0</v>
      </c>
      <c r="FV59" s="336">
        <f t="shared" si="306"/>
        <v>0</v>
      </c>
      <c r="FW59" s="336">
        <f t="shared" si="307"/>
        <v>0</v>
      </c>
      <c r="FX59" s="336">
        <f t="shared" si="308"/>
        <v>0</v>
      </c>
      <c r="FY59" s="336">
        <f t="shared" si="332"/>
        <v>0</v>
      </c>
      <c r="FZ59" s="336">
        <f t="shared" si="333"/>
        <v>0</v>
      </c>
      <c r="GA59" s="336">
        <f t="shared" si="334"/>
        <v>0</v>
      </c>
      <c r="GB59" s="336">
        <f t="shared" si="335"/>
        <v>0</v>
      </c>
      <c r="GC59" s="336">
        <f t="shared" si="336"/>
        <v>0</v>
      </c>
      <c r="GD59" s="336">
        <f t="shared" si="337"/>
        <v>0</v>
      </c>
      <c r="GE59" s="336">
        <f t="shared" si="338"/>
        <v>0</v>
      </c>
      <c r="GF59" s="336">
        <f t="shared" si="339"/>
        <v>0</v>
      </c>
      <c r="GG59" s="336">
        <f t="shared" si="340"/>
        <v>0</v>
      </c>
      <c r="GH59" s="336">
        <f t="shared" si="341"/>
        <v>0</v>
      </c>
      <c r="GI59" s="336">
        <f t="shared" si="342"/>
        <v>0</v>
      </c>
      <c r="GJ59" s="336">
        <f t="shared" si="343"/>
        <v>0</v>
      </c>
      <c r="GK59" s="336">
        <f t="shared" si="344"/>
        <v>0</v>
      </c>
      <c r="GL59" s="336">
        <f t="shared" si="309"/>
        <v>0</v>
      </c>
      <c r="GM59" s="336">
        <f t="shared" si="345"/>
        <v>0</v>
      </c>
    </row>
    <row r="60" spans="1:195" ht="28.5" customHeight="1">
      <c r="A60" s="337">
        <f t="shared" ref="A60:A75" si="517">1+A59</f>
        <v>39</v>
      </c>
      <c r="B60" s="337" t="s">
        <v>527</v>
      </c>
      <c r="C60" s="337" t="str">
        <f t="shared" si="494"/>
        <v>PMCC-1</v>
      </c>
      <c r="D60" s="787" t="s">
        <v>1635</v>
      </c>
      <c r="E60" s="500" t="s">
        <v>555</v>
      </c>
      <c r="F60" s="337" t="s">
        <v>29</v>
      </c>
      <c r="G60" s="337" t="s">
        <v>329</v>
      </c>
      <c r="H60" s="583">
        <v>5</v>
      </c>
      <c r="I60" s="337" t="s">
        <v>330</v>
      </c>
      <c r="J60" s="337" t="s">
        <v>357</v>
      </c>
      <c r="K60" s="349">
        <v>230</v>
      </c>
      <c r="L60" s="343">
        <v>0.85</v>
      </c>
      <c r="M60" s="350">
        <v>0.95</v>
      </c>
      <c r="N60" s="342">
        <f t="shared" si="495"/>
        <v>26.921523758244717</v>
      </c>
      <c r="O60" s="342">
        <f t="shared" si="347"/>
        <v>0</v>
      </c>
      <c r="P60" s="343" t="str">
        <f t="shared" si="496"/>
        <v>0.00</v>
      </c>
      <c r="Q60" s="350">
        <v>65</v>
      </c>
      <c r="R60" s="350">
        <v>0</v>
      </c>
      <c r="S60" s="350">
        <f t="shared" si="497"/>
        <v>0</v>
      </c>
      <c r="T60" s="343" t="s">
        <v>131</v>
      </c>
      <c r="U60" s="350" t="s">
        <v>333</v>
      </c>
      <c r="V60" s="343">
        <v>25</v>
      </c>
      <c r="W60" s="343" t="str">
        <f t="shared" si="498"/>
        <v>3C X 25</v>
      </c>
      <c r="X60" s="343" t="str">
        <f t="shared" si="499"/>
        <v>3C X 25</v>
      </c>
      <c r="Y60" s="343" t="s">
        <v>358</v>
      </c>
      <c r="Z60" s="344">
        <f>IF(T60="AIR",VLOOKUP(W60,'Catalogue Aluminium'!$B$9:$G$93,2,FALSE),IF(T60="GROUND",VLOOKUP(W60,'Catalogue Aluminium'!$B$9:$G$93,3,FALSE),IF(T60="DUCT",VLOOKUP(W60,'Catalogue Aluminium'!$B$9:$G$93,4,FALSE),IF(T60="TRENCH",VLOOKUP(W60,'Catalogue Aluminium'!$B$9:$G$93,2,FALSE)))))</f>
        <v>95</v>
      </c>
      <c r="AA60" s="345">
        <f>VLOOKUP(W60,'Catalogue Aluminium'!$B$9:$G$93,5,FALSE)</f>
        <v>1.54</v>
      </c>
      <c r="AB60" s="345">
        <f>VLOOKUP(W60,'Catalogue Aluminium'!$B$9:$G$93,6,FALSE)</f>
        <v>8.1600000000000006E-2</v>
      </c>
      <c r="AC60" s="401">
        <f t="shared" ref="AC60:AC61" si="518">17+3</f>
        <v>20</v>
      </c>
      <c r="AD60" s="401">
        <v>80</v>
      </c>
      <c r="AE60" s="401">
        <v>5</v>
      </c>
      <c r="AF60" s="401">
        <v>8</v>
      </c>
      <c r="AG60" s="401">
        <f t="shared" si="502"/>
        <v>12</v>
      </c>
      <c r="AH60" s="347">
        <v>90</v>
      </c>
      <c r="AI60" s="344">
        <f>IF(T60="AIR",'Catalogue Aluminium'!$K$9,IF(T60="TRENCH",'Catalogue Aluminium'!$K$12,"NA"))</f>
        <v>0.89</v>
      </c>
      <c r="AJ60" s="342">
        <f>IF(T60="Air",(IF(U60="1C",'Catalogue Aluminium'!$L$9,'Catalogue Aluminium'!$M$9)),IF(T60="DUCT",(IF($U60="1C",'Catalogue Aluminium'!$L$10,'Catalogue Aluminium'!$M$10)),IF(T60="GROUND",(IF($U60="1C",'Catalogue Aluminium'!$L$11,'Catalogue Aluminium'!$M$11)),IF(T60="TRENCH",(IF($U60="1C",'Catalogue Aluminium'!$L$12,'Catalogue Aluminium'!$M$12))))))</f>
        <v>0.66</v>
      </c>
      <c r="AK60" s="344" t="str">
        <f>IF(T60="Air",'Catalogue Aluminium'!$N$9,IF(T60="GROUND",'Catalogue Aluminium'!$N$10,IF(T60="DUCT",'Catalogue Aluminium'!$N$11,IF(T60="TRENCH",'Catalogue Aluminium'!$N$12,"NA"))))</f>
        <v>NA</v>
      </c>
      <c r="AL60" s="344" t="str">
        <f>IF(T60="Air",(IF(U60="1C",'Catalogue Aluminium'!$O$9,'Catalogue Aluminium'!$P$9)),IF(T60="DUCT",(IF($U60="1C",'Catalogue Aluminium'!$O$10,'Catalogue Aluminium'!$P$10)),IF(T60="GROUND",(IF($U60="1C",'Catalogue Aluminium'!$O$11,'Catalogue Aluminium'!$P$11)),IF(T60="TRENCH",(IF($U60="1C",'Catalogue Aluminium'!$O$12,'Catalogue Aluminium'!$P$12))))))</f>
        <v>NA</v>
      </c>
      <c r="AM60" s="344" t="str">
        <f>IF(T60="AIR","NA",IF(T60="TRENCH","NA",IF(T60="DUCT",IF(U60="1C",VLOOKUP(V60,'Catalogue Aluminium'!$Q$9:$S$28,2,FALSE),VLOOKUP(V60,'Catalogue Aluminium'!$Q$9:$S$28,3)),IF(T60="GROUND",IF(U60="1C",VLOOKUP(V60,'Catalogue Aluminium'!$Q$9:$S$28,2,FALSE),VLOOKUP(V60,'Catalogue Aluminium'!$Q$9:$S$28,3))))))</f>
        <v>NA</v>
      </c>
      <c r="AN60" s="351">
        <f t="shared" si="504"/>
        <v>0.58740000000000003</v>
      </c>
      <c r="AO60" s="350">
        <f t="shared" si="505"/>
        <v>55.803000000000004</v>
      </c>
      <c r="AP60" s="519">
        <v>1</v>
      </c>
      <c r="AQ60" s="350" t="str">
        <f t="shared" si="506"/>
        <v>YES</v>
      </c>
      <c r="AR60" s="351">
        <f t="shared" si="507"/>
        <v>2.4668739644643609</v>
      </c>
      <c r="AS60" s="343" t="str">
        <f>IF(G60="INCOMER",(IF(AR60&lt;=2,"YES","NO")),IF(G60="POWER",(IF(AR60&lt;=2.5,"YES","NO")),IF(G60="MOTOR",(IF(AR60&lt;=3,"YES","NO")))))</f>
        <v>YES</v>
      </c>
      <c r="AT60" s="351" t="str">
        <f t="shared" si="509"/>
        <v>NA</v>
      </c>
      <c r="AU60" s="343" t="str">
        <f t="shared" si="510"/>
        <v>NA</v>
      </c>
      <c r="AV60" s="354" t="str">
        <f t="shared" si="511"/>
        <v>1R x 0.6/1kV x 3C x 25 Sqmm</v>
      </c>
      <c r="AW60" s="354" t="str">
        <f t="shared" si="512"/>
        <v>1R x 0.6/1kV x 3C x 25 Sqmm</v>
      </c>
      <c r="AX60" s="343">
        <f t="shared" si="513"/>
        <v>90</v>
      </c>
      <c r="AY60" s="355"/>
      <c r="AZ60" s="355">
        <f t="shared" si="514"/>
        <v>2</v>
      </c>
      <c r="BA60" s="356" t="str">
        <f t="shared" si="515"/>
        <v>ACDEE1E2E3</v>
      </c>
      <c r="BB60" s="501">
        <f>VLOOKUP(W60,'Catalogue Aluminium'!$B$9:$H$93,7,FALSE)</f>
        <v>21</v>
      </c>
      <c r="BC60" s="328">
        <f t="shared" si="516"/>
        <v>21</v>
      </c>
      <c r="BE60" s="336"/>
      <c r="BF60" s="336">
        <v>1</v>
      </c>
      <c r="BG60" s="336"/>
      <c r="BH60" s="336"/>
      <c r="BI60" s="336">
        <v>1</v>
      </c>
      <c r="BJ60" s="336">
        <v>1</v>
      </c>
      <c r="BK60" s="336"/>
      <c r="BL60" s="336"/>
      <c r="BM60" s="336"/>
      <c r="BN60" s="336">
        <v>1</v>
      </c>
      <c r="BO60" s="336"/>
      <c r="BP60" s="336">
        <v>1</v>
      </c>
      <c r="BQ60" s="336">
        <v>1</v>
      </c>
      <c r="BR60" s="336">
        <v>1</v>
      </c>
      <c r="BS60" s="336"/>
      <c r="BT60" s="336"/>
      <c r="BU60" s="336"/>
      <c r="BV60" s="336"/>
      <c r="BW60" s="336"/>
      <c r="BX60" s="336"/>
      <c r="BY60" s="336"/>
      <c r="BZ60" s="336"/>
      <c r="CA60" s="336"/>
      <c r="CB60" s="336"/>
      <c r="CC60" s="336"/>
      <c r="CD60" s="336"/>
      <c r="CE60" s="336"/>
      <c r="CF60" s="336"/>
      <c r="CG60" s="336"/>
      <c r="CH60" s="336"/>
      <c r="CI60" s="336"/>
      <c r="CJ60" s="336"/>
      <c r="CK60" s="336"/>
      <c r="CL60" s="336"/>
      <c r="CM60" s="336"/>
      <c r="CN60" s="336"/>
      <c r="CO60" s="336"/>
      <c r="CP60" s="336"/>
      <c r="CQ60" s="336"/>
      <c r="CR60" s="336"/>
      <c r="CS60" s="336"/>
      <c r="CT60" s="336"/>
      <c r="CU60" s="336"/>
      <c r="CV60" s="336"/>
      <c r="CW60" s="336"/>
      <c r="CX60" s="336"/>
      <c r="CY60" s="336"/>
      <c r="CZ60" s="336"/>
      <c r="DA60" s="336"/>
      <c r="DB60" s="336"/>
      <c r="DC60" s="336"/>
      <c r="DD60" s="336"/>
      <c r="DE60" s="336"/>
      <c r="DF60" s="336"/>
      <c r="DG60" s="336"/>
      <c r="DH60" s="336"/>
      <c r="DI60" s="336"/>
      <c r="DJ60" s="336"/>
      <c r="DK60" s="336"/>
      <c r="DL60" s="336"/>
      <c r="DM60" s="336"/>
      <c r="DN60" s="336"/>
      <c r="DO60" s="336"/>
      <c r="DP60" s="336"/>
      <c r="DQ60" s="336"/>
      <c r="DR60" s="336"/>
      <c r="DS60" s="336"/>
      <c r="DT60" s="336"/>
      <c r="DU60" s="336"/>
      <c r="DW60" s="336">
        <f t="shared" si="387"/>
        <v>0</v>
      </c>
      <c r="DX60" s="336">
        <f t="shared" si="388"/>
        <v>21</v>
      </c>
      <c r="DY60" s="336">
        <f t="shared" si="389"/>
        <v>0</v>
      </c>
      <c r="DZ60" s="336">
        <f t="shared" si="390"/>
        <v>0</v>
      </c>
      <c r="EA60" s="336">
        <f t="shared" si="391"/>
        <v>21</v>
      </c>
      <c r="EB60" s="336">
        <f t="shared" si="392"/>
        <v>21</v>
      </c>
      <c r="EC60" s="336">
        <f t="shared" si="393"/>
        <v>0</v>
      </c>
      <c r="ED60" s="336">
        <f t="shared" si="209"/>
        <v>0</v>
      </c>
      <c r="EE60" s="336">
        <f t="shared" si="210"/>
        <v>0</v>
      </c>
      <c r="EF60" s="336">
        <f t="shared" si="211"/>
        <v>21</v>
      </c>
      <c r="EG60" s="336">
        <f t="shared" si="212"/>
        <v>0</v>
      </c>
      <c r="EH60" s="336">
        <f t="shared" si="213"/>
        <v>21</v>
      </c>
      <c r="EI60" s="336">
        <f t="shared" si="214"/>
        <v>21</v>
      </c>
      <c r="EJ60" s="336">
        <f t="shared" si="215"/>
        <v>21</v>
      </c>
      <c r="EK60" s="336">
        <f t="shared" si="216"/>
        <v>0</v>
      </c>
      <c r="EL60" s="336">
        <f t="shared" si="217"/>
        <v>0</v>
      </c>
      <c r="EM60" s="336">
        <f t="shared" si="218"/>
        <v>0</v>
      </c>
      <c r="EN60" s="336">
        <f t="shared" si="219"/>
        <v>0</v>
      </c>
      <c r="EO60" s="336">
        <f t="shared" si="220"/>
        <v>0</v>
      </c>
      <c r="EP60" s="336">
        <f t="shared" si="221"/>
        <v>0</v>
      </c>
      <c r="EQ60" s="336">
        <f t="shared" si="222"/>
        <v>0</v>
      </c>
      <c r="ER60" s="336">
        <f t="shared" si="223"/>
        <v>0</v>
      </c>
      <c r="ES60" s="336">
        <f t="shared" si="224"/>
        <v>0</v>
      </c>
      <c r="ET60" s="336">
        <f t="shared" si="224"/>
        <v>0</v>
      </c>
      <c r="EU60" s="336">
        <f t="shared" si="225"/>
        <v>0</v>
      </c>
      <c r="EV60" s="336">
        <f t="shared" si="226"/>
        <v>0</v>
      </c>
      <c r="EW60" s="336">
        <f t="shared" si="227"/>
        <v>0</v>
      </c>
      <c r="EX60" s="336">
        <f t="shared" si="228"/>
        <v>0</v>
      </c>
      <c r="EY60" s="336">
        <f t="shared" si="229"/>
        <v>0</v>
      </c>
      <c r="EZ60" s="336">
        <f t="shared" si="230"/>
        <v>0</v>
      </c>
      <c r="FA60" s="336">
        <f t="shared" si="231"/>
        <v>0</v>
      </c>
      <c r="FB60" s="336">
        <f t="shared" si="232"/>
        <v>0</v>
      </c>
      <c r="FC60" s="336">
        <f t="shared" si="233"/>
        <v>0</v>
      </c>
      <c r="FD60" s="336">
        <f t="shared" si="234"/>
        <v>0</v>
      </c>
      <c r="FE60" s="336">
        <f t="shared" si="235"/>
        <v>0</v>
      </c>
      <c r="FF60" s="336">
        <f t="shared" si="236"/>
        <v>0</v>
      </c>
      <c r="FG60" s="336">
        <f t="shared" si="237"/>
        <v>0</v>
      </c>
      <c r="FH60" s="336">
        <f t="shared" si="238"/>
        <v>0</v>
      </c>
      <c r="FI60" s="336">
        <f t="shared" si="239"/>
        <v>0</v>
      </c>
      <c r="FJ60" s="336">
        <f t="shared" si="240"/>
        <v>0</v>
      </c>
      <c r="FK60" s="336">
        <f t="shared" si="241"/>
        <v>0</v>
      </c>
      <c r="FL60" s="336">
        <f t="shared" si="242"/>
        <v>0</v>
      </c>
      <c r="FM60" s="336">
        <f t="shared" si="243"/>
        <v>0</v>
      </c>
      <c r="FN60" s="336">
        <f t="shared" si="244"/>
        <v>0</v>
      </c>
      <c r="FO60" s="336">
        <f t="shared" si="245"/>
        <v>0</v>
      </c>
      <c r="FP60" s="336">
        <f t="shared" si="246"/>
        <v>0</v>
      </c>
      <c r="FQ60" s="336">
        <f t="shared" si="247"/>
        <v>0</v>
      </c>
      <c r="FR60" s="336">
        <f t="shared" si="248"/>
        <v>0</v>
      </c>
      <c r="FS60" s="336">
        <f t="shared" si="249"/>
        <v>0</v>
      </c>
      <c r="FT60" s="336">
        <f t="shared" si="250"/>
        <v>0</v>
      </c>
      <c r="FU60" s="336">
        <f t="shared" si="305"/>
        <v>0</v>
      </c>
      <c r="FV60" s="336">
        <f t="shared" si="306"/>
        <v>0</v>
      </c>
      <c r="FW60" s="336">
        <f t="shared" si="307"/>
        <v>0</v>
      </c>
      <c r="FX60" s="336">
        <f t="shared" si="308"/>
        <v>0</v>
      </c>
      <c r="FY60" s="336">
        <f t="shared" si="332"/>
        <v>0</v>
      </c>
      <c r="FZ60" s="336">
        <f t="shared" si="333"/>
        <v>0</v>
      </c>
      <c r="GA60" s="336">
        <f t="shared" si="334"/>
        <v>0</v>
      </c>
      <c r="GB60" s="336">
        <f t="shared" si="335"/>
        <v>0</v>
      </c>
      <c r="GC60" s="336">
        <f t="shared" si="336"/>
        <v>0</v>
      </c>
      <c r="GD60" s="336">
        <f t="shared" si="337"/>
        <v>0</v>
      </c>
      <c r="GE60" s="336">
        <f t="shared" si="338"/>
        <v>0</v>
      </c>
      <c r="GF60" s="336">
        <f t="shared" si="339"/>
        <v>0</v>
      </c>
      <c r="GG60" s="336">
        <f t="shared" si="340"/>
        <v>0</v>
      </c>
      <c r="GH60" s="336">
        <f t="shared" si="341"/>
        <v>0</v>
      </c>
      <c r="GI60" s="336">
        <f t="shared" si="342"/>
        <v>0</v>
      </c>
      <c r="GJ60" s="336">
        <f t="shared" si="343"/>
        <v>0</v>
      </c>
      <c r="GK60" s="336">
        <f t="shared" si="344"/>
        <v>0</v>
      </c>
      <c r="GL60" s="336">
        <f t="shared" si="309"/>
        <v>0</v>
      </c>
      <c r="GM60" s="336">
        <f t="shared" si="345"/>
        <v>0</v>
      </c>
    </row>
    <row r="61" spans="1:195" s="869" customFormat="1" ht="33" customHeight="1">
      <c r="A61" s="406">
        <f t="shared" si="517"/>
        <v>40</v>
      </c>
      <c r="B61" s="406" t="s">
        <v>527</v>
      </c>
      <c r="C61" s="406" t="str">
        <f t="shared" si="494"/>
        <v>PMCC-1</v>
      </c>
      <c r="D61" s="787" t="s">
        <v>1636</v>
      </c>
      <c r="E61" s="580" t="s">
        <v>555</v>
      </c>
      <c r="F61" s="406" t="s">
        <v>29</v>
      </c>
      <c r="G61" s="406" t="s">
        <v>329</v>
      </c>
      <c r="H61" s="583">
        <v>5</v>
      </c>
      <c r="I61" s="406" t="s">
        <v>330</v>
      </c>
      <c r="J61" s="406" t="s">
        <v>357</v>
      </c>
      <c r="K61" s="585">
        <v>230</v>
      </c>
      <c r="L61" s="409">
        <v>0.85</v>
      </c>
      <c r="M61" s="583">
        <v>0.95</v>
      </c>
      <c r="N61" s="407">
        <f t="shared" ref="N61" si="519">IF(I61="kVA",IF(J61="3Ph",(H61*1000/(1.732*M61*K61)),(H61*1000/(M61*K61))),IF(I61="kW",IF(J61="3Ph",(H61*1000/(1.732*M61*K61*L61)),(H61*1000/(M61*K61*L61)))))</f>
        <v>26.921523758244717</v>
      </c>
      <c r="O61" s="407">
        <f t="shared" ref="O61" si="520">IF(G61="MOTOR",(6*N61),IF(G61="VFD",(1*N61),0))</f>
        <v>0</v>
      </c>
      <c r="P61" s="409" t="str">
        <f t="shared" ref="P61" si="521">IF(G61="MOTOR",0.2,"0.00")</f>
        <v>0.00</v>
      </c>
      <c r="Q61" s="583">
        <v>65</v>
      </c>
      <c r="R61" s="583">
        <v>0</v>
      </c>
      <c r="S61" s="583">
        <f t="shared" ref="S61" si="522">(Q61*1000*SQRT(R61)/143)</f>
        <v>0</v>
      </c>
      <c r="T61" s="409" t="s">
        <v>131</v>
      </c>
      <c r="U61" s="583" t="s">
        <v>333</v>
      </c>
      <c r="V61" s="409">
        <v>25</v>
      </c>
      <c r="W61" s="409" t="str">
        <f t="shared" ref="W61" si="523">CONCATENATE(U61," X ",V61)</f>
        <v>3C X 25</v>
      </c>
      <c r="X61" s="409" t="str">
        <f t="shared" ref="X61" si="524">(IF(J61="1Ph",W61,IF(J61="3Ph",(IF(G61="MOTOR",(CONCATENATE(W61,"+PE")),W61)))))</f>
        <v>3C X 25</v>
      </c>
      <c r="Y61" s="409" t="s">
        <v>358</v>
      </c>
      <c r="Z61" s="408">
        <f>IF(T61="AIR",VLOOKUP(W61,'Catalogue Aluminium'!$B$9:$G$93,2,FALSE),IF(T61="GROUND",VLOOKUP(W61,'Catalogue Aluminium'!$B$9:$G$93,3,FALSE),IF(T61="DUCT",VLOOKUP(W61,'Catalogue Aluminium'!$B$9:$G$93,4,FALSE),IF(T61="TRENCH",VLOOKUP(W61,'Catalogue Aluminium'!$B$9:$G$93,2,FALSE)))))</f>
        <v>95</v>
      </c>
      <c r="AA61" s="410">
        <f>VLOOKUP(W61,'Catalogue Aluminium'!$B$9:$G$93,5,FALSE)</f>
        <v>1.54</v>
      </c>
      <c r="AB61" s="410">
        <f>VLOOKUP(W61,'Catalogue Aluminium'!$B$9:$G$93,6,FALSE)</f>
        <v>8.1600000000000006E-2</v>
      </c>
      <c r="AC61" s="409">
        <f t="shared" si="518"/>
        <v>20</v>
      </c>
      <c r="AD61" s="409">
        <v>80</v>
      </c>
      <c r="AE61" s="409">
        <v>5</v>
      </c>
      <c r="AF61" s="409">
        <v>8</v>
      </c>
      <c r="AG61" s="409">
        <f t="shared" ref="AG61" si="525">ROUNDUP((SUM(AC61:AF61)*0.1),0)</f>
        <v>12</v>
      </c>
      <c r="AH61" s="865">
        <v>90</v>
      </c>
      <c r="AI61" s="408">
        <f>IF(T61="AIR",'Catalogue Aluminium'!$K$9,IF(T61="TRENCH",'Catalogue Aluminium'!$K$12,"NA"))</f>
        <v>0.89</v>
      </c>
      <c r="AJ61" s="407">
        <f>IF(T61="Air",(IF(U61="1C",'Catalogue Aluminium'!$L$9,'Catalogue Aluminium'!$M$9)),IF(T61="DUCT",(IF($U61="1C",'Catalogue Aluminium'!$L$10,'Catalogue Aluminium'!$M$10)),IF(T61="GROUND",(IF($U61="1C",'Catalogue Aluminium'!$L$11,'Catalogue Aluminium'!$M$11)),IF(T61="TRENCH",(IF($U61="1C",'Catalogue Aluminium'!$L$12,'Catalogue Aluminium'!$M$12))))))</f>
        <v>0.66</v>
      </c>
      <c r="AK61" s="408" t="str">
        <f>IF(T61="Air",'Catalogue Aluminium'!$N$9,IF(T61="GROUND",'Catalogue Aluminium'!$N$10,IF(T61="DUCT",'Catalogue Aluminium'!$N$11,IF(T61="TRENCH",'Catalogue Aluminium'!$N$12,"NA"))))</f>
        <v>NA</v>
      </c>
      <c r="AL61" s="408" t="str">
        <f>IF(T61="Air",(IF(U61="1C",'Catalogue Aluminium'!$O$9,'Catalogue Aluminium'!$P$9)),IF(T61="DUCT",(IF($U61="1C",'Catalogue Aluminium'!$O$10,'Catalogue Aluminium'!$P$10)),IF(T61="GROUND",(IF($U61="1C",'Catalogue Aluminium'!$O$11,'Catalogue Aluminium'!$P$11)),IF(T61="TRENCH",(IF($U61="1C",'Catalogue Aluminium'!$O$12,'Catalogue Aluminium'!$P$12))))))</f>
        <v>NA</v>
      </c>
      <c r="AM61" s="408" t="str">
        <f>IF(T61="AIR","NA",IF(T61="TRENCH","NA",IF(T61="DUCT",IF(U61="1C",VLOOKUP(V61,'Catalogue Aluminium'!$Q$9:$S$28,2,FALSE),VLOOKUP(V61,'Catalogue Aluminium'!$Q$9:$S$28,3)),IF(T61="GROUND",IF(U61="1C",VLOOKUP(V61,'Catalogue Aluminium'!$Q$9:$S$28,2,FALSE),VLOOKUP(V61,'Catalogue Aluminium'!$Q$9:$S$28,3))))))</f>
        <v>NA</v>
      </c>
      <c r="AN61" s="584">
        <f t="shared" ref="AN61" si="526">IF(T61="AIR",AI61*AJ61,IF(T61="TRENCH",AI61*AJ61,IF(T61="DUCT",AJ61*AK61*AL61*AM61,IF(T61="GROUND",AJ61*AK61*AL61*AM61))))</f>
        <v>0.58740000000000003</v>
      </c>
      <c r="AO61" s="583">
        <f t="shared" ref="AO61" si="527">Z61*AN61</f>
        <v>55.803000000000004</v>
      </c>
      <c r="AP61" s="891">
        <v>1</v>
      </c>
      <c r="AQ61" s="583" t="str">
        <f t="shared" ref="AQ61" si="528">IF(AO61*AP61&gt;=N61,"YES","NO")</f>
        <v>YES</v>
      </c>
      <c r="AR61" s="584">
        <f t="shared" ref="AR61" si="529">SQRT(3)*AH61*N61*((AA61*L61)+(AB61*SIN(ACOS(L61))))*100/(AP61*K61*1000)</f>
        <v>2.4668739644643609</v>
      </c>
      <c r="AS61" s="409" t="str">
        <f t="shared" ref="AS61" si="530">IF(G61="INCOMER",(IF(AR61&lt;=2,"YES","NO")),IF(G61="POWER",(IF(AR61&lt;=2.5,"YES","NO")),IF(G61="MOTOR",(IF(AR61&lt;=3,"YES","NO")))))</f>
        <v>YES</v>
      </c>
      <c r="AT61" s="584" t="str">
        <f t="shared" si="509"/>
        <v>NA</v>
      </c>
      <c r="AU61" s="409" t="str">
        <f t="shared" ref="AU61" si="531">IF(G61="MOTOR",IF(AT61&lt;=15,"YES","NO"),"NA")</f>
        <v>NA</v>
      </c>
      <c r="AV61" s="586" t="str">
        <f t="shared" ref="AV61" si="532">IF(U61="1C",CONCATENATE(AP61,"R x ",Y61,"kV x ",U61," x ",V61," Sqmm/Phase"),CONCATENATE(AP61,"R x ",0.6,"/1kV x ",U61," x ",V61," Sqmm"))</f>
        <v>1R x 0.6/1kV x 3C x 25 Sqmm</v>
      </c>
      <c r="AW61" s="586" t="str">
        <f t="shared" ref="AW61" si="533">IF(U61="1C",CONCATENATE(AP61,"R x ",Y61,"kV x ",U61," x ",V61," Sqmm/Phase"),CONCATENATE(AP61,"R x ",0.6,"/1kV x ",U61," x ",V61,(IF(G61="MOTOR","+PE",""))," Sqmm"))</f>
        <v>1R x 0.6/1kV x 3C x 25 Sqmm</v>
      </c>
      <c r="AX61" s="409">
        <f t="shared" si="513"/>
        <v>90</v>
      </c>
      <c r="AY61" s="866"/>
      <c r="AZ61" s="866">
        <f t="shared" si="514"/>
        <v>2</v>
      </c>
      <c r="BA61" s="867" t="str">
        <f t="shared" ref="BA61" si="534">CONCATENATE(IF(BE61=1,BE$4,""),IF(BF61=1,BF$4,""),IF(BG61=1,BG$4,""),IF(BH61=1,BH$4,""),IF(BI61=1,BI$4,""),IF(BJ61=1,BJ$4,""),IF(BK61=1,BK$4,""),IF(BL61=1,BL$4,""),IF(BM61=1,BM$4,""),IF(BN61=1,BN$4,""),IF(BO61=1,BO$4,""),IF(BP61=1,BP$4,""),IF(BQ61=1,BQ$4,""),IF(BR61=1,BR$4,""),IF(BS61=1,BS$4,""),IF(BT61=1,BT$4,""),IF(BU61=1,BU$4,""),IF(BV61=1,BV$4,""),IF(BW61=1,BW$4,""),IF(BX61=1,BX$4,""),IF(BY61=1,BY$4,""),IF(BZ61=1,BZ$4,""),IF(CA61=1,CA$4,""),IF(CB61=1,CB$4,""),IF(CC61=1,CC$4,""),IF(CD61=1,CD$4,""),IF(CE61=1,CE$4,""),IF(CF61=1,CF$4,""),IF(CG61=1,CG$4,""),IF(CH61=1,CH$4,""),IF(CI61=1,CI$4,""),IF(CJ61=1,CJ$4,""),IF(CK61=1,CK$4,""),IF(CL61=1,CL$4,""),IF(CM61=1,CM$4,""),IF(CN61=1,CN$4,""),IF(CO61=1,CO$4,""),IF(CP61=1,CP$4,""),IF(CQ61=1,CQ$4,""),IF(CR61=1,CR$4,""),IF(CS61=1,CS$4,""),IF(CT61=1,CT$4,""),IF(CU61=1,CU$4,""),IF(CV61=1,CV$4,""),IF(CW61=1,CW$4,""),IF(CX61=1,CX$4,""),IF(CY61=1,CY$4,""),IF(CZ61=1,CZ$4,""),IF(DA61=1,DA$4,""),IF(DB61=1,DB$4,""),IF(DC61=1,DC$4,""),IF(DD61=1,DD$4,""),IF(DE61=1,DE$4,""),IF(DF61=1,DF$4,""),IF(DG61=1,DG$4,""),IF(DH61=1,DH$4,""),IF(DI61=1,DI$4,""),IF(DJ61=1,DJ$4,""),IF(DK61=1,DK$4,""),IF(DL61=1,DL$4,""),IF(DM61=1,DM$4,""),IF(DN61=1,DN$4,""),IF(DO61=1,DO$4,""),IF(DP61=1,DP$4,""),IF(DQ61=1,DQ$4,""),IF(DR61=1,DR$4,""),IF(DS61=1,DS$4,""),IF(DT61=1,DT$4,""),IF(DU61=1,DU$4,""))</f>
        <v>ACDEE1E2E3</v>
      </c>
      <c r="BB61" s="868">
        <f>VLOOKUP(W61,'Catalogue Aluminium'!$B$9:$H$93,7,FALSE)</f>
        <v>21</v>
      </c>
      <c r="BC61" s="789">
        <f t="shared" si="516"/>
        <v>21</v>
      </c>
      <c r="BE61" s="587"/>
      <c r="BF61" s="587">
        <v>1</v>
      </c>
      <c r="BG61" s="587"/>
      <c r="BH61" s="587"/>
      <c r="BI61" s="587">
        <v>1</v>
      </c>
      <c r="BJ61" s="587">
        <v>1</v>
      </c>
      <c r="BK61" s="587"/>
      <c r="BL61" s="587"/>
      <c r="BM61" s="587"/>
      <c r="BN61" s="587">
        <v>1</v>
      </c>
      <c r="BO61" s="587"/>
      <c r="BP61" s="587">
        <v>1</v>
      </c>
      <c r="BQ61" s="587">
        <v>1</v>
      </c>
      <c r="BR61" s="587">
        <v>1</v>
      </c>
      <c r="BS61" s="587"/>
      <c r="BT61" s="587"/>
      <c r="BU61" s="587"/>
      <c r="BV61" s="587"/>
      <c r="BW61" s="587"/>
      <c r="BX61" s="587"/>
      <c r="BY61" s="587"/>
      <c r="BZ61" s="587"/>
      <c r="CA61" s="587"/>
      <c r="CB61" s="587"/>
      <c r="CC61" s="587"/>
      <c r="CD61" s="587"/>
      <c r="CE61" s="587"/>
      <c r="CF61" s="587"/>
      <c r="CG61" s="587"/>
      <c r="CH61" s="587"/>
      <c r="CI61" s="587"/>
      <c r="CJ61" s="587"/>
      <c r="CK61" s="587"/>
      <c r="CL61" s="587"/>
      <c r="CM61" s="587"/>
      <c r="CN61" s="587"/>
      <c r="CO61" s="587"/>
      <c r="CP61" s="587"/>
      <c r="CQ61" s="587"/>
      <c r="CR61" s="587"/>
      <c r="CS61" s="587"/>
      <c r="CT61" s="587"/>
      <c r="CU61" s="587"/>
      <c r="CV61" s="587"/>
      <c r="CW61" s="587"/>
      <c r="CX61" s="587"/>
      <c r="CY61" s="587"/>
      <c r="CZ61" s="587"/>
      <c r="DA61" s="587"/>
      <c r="DB61" s="587"/>
      <c r="DC61" s="587"/>
      <c r="DD61" s="587"/>
      <c r="DE61" s="587"/>
      <c r="DF61" s="587"/>
      <c r="DG61" s="587"/>
      <c r="DH61" s="587"/>
      <c r="DI61" s="587"/>
      <c r="DJ61" s="587"/>
      <c r="DK61" s="587"/>
      <c r="DL61" s="587"/>
      <c r="DM61" s="587"/>
      <c r="DN61" s="587"/>
      <c r="DO61" s="587"/>
      <c r="DP61" s="587"/>
      <c r="DQ61" s="587"/>
      <c r="DR61" s="587"/>
      <c r="DS61" s="587"/>
      <c r="DT61" s="587"/>
      <c r="DU61" s="587"/>
      <c r="DW61" s="587">
        <f t="shared" ref="DW61" si="535">IF(BE61=1,($BC61*BE61),0)</f>
        <v>0</v>
      </c>
      <c r="DX61" s="587">
        <f t="shared" ref="DX61" si="536">IF(BF61=1,($BC61*BF61),0)</f>
        <v>21</v>
      </c>
      <c r="DY61" s="587">
        <f t="shared" ref="DY61" si="537">IF(BG61=1,($BC61*BG61),0)</f>
        <v>0</v>
      </c>
      <c r="DZ61" s="587">
        <f t="shared" ref="DZ61" si="538">IF(BH61=1,($BC61*BH61),0)</f>
        <v>0</v>
      </c>
      <c r="EA61" s="587">
        <f t="shared" ref="EA61" si="539">IF(BI61=1,($BC61*BI61),0)</f>
        <v>21</v>
      </c>
      <c r="EB61" s="587">
        <f t="shared" ref="EB61" si="540">IF(BJ61=1,($BC61*BJ61),0)</f>
        <v>21</v>
      </c>
      <c r="EC61" s="587">
        <f t="shared" ref="EC61" si="541">IF(BK61=1,($BC61*BK61),0)</f>
        <v>0</v>
      </c>
      <c r="ED61" s="587">
        <f t="shared" ref="ED61" si="542">IF(BL61=1,($BC61*BL61),0)</f>
        <v>0</v>
      </c>
      <c r="EE61" s="587">
        <f t="shared" ref="EE61" si="543">IF(BM61=1,($BC61*BM61),0)</f>
        <v>0</v>
      </c>
      <c r="EF61" s="587">
        <f t="shared" ref="EF61" si="544">IF(BN61=1,($BC61*BN61),0)</f>
        <v>21</v>
      </c>
      <c r="EG61" s="587">
        <f t="shared" ref="EG61" si="545">IF(BO61=1,($BC61*BO61),0)</f>
        <v>0</v>
      </c>
      <c r="EH61" s="587">
        <f t="shared" ref="EH61" si="546">IF(BP61=1,($BC61*BP61),0)</f>
        <v>21</v>
      </c>
      <c r="EI61" s="587">
        <f t="shared" ref="EI61" si="547">IF(BQ61=1,($BC61*BQ61),0)</f>
        <v>21</v>
      </c>
      <c r="EJ61" s="587">
        <f t="shared" ref="EJ61" si="548">IF(BR61=1,($BC61*BR61),0)</f>
        <v>21</v>
      </c>
      <c r="EK61" s="587">
        <f t="shared" ref="EK61" si="549">IF(BS61=1,($BC61*BS61),0)</f>
        <v>0</v>
      </c>
      <c r="EL61" s="587">
        <f t="shared" ref="EL61" si="550">IF(BT61=1,($BC61*BT61),0)</f>
        <v>0</v>
      </c>
      <c r="EM61" s="587">
        <f t="shared" ref="EM61" si="551">IF(BU61=1,($BC61*BU61),0)</f>
        <v>0</v>
      </c>
      <c r="EN61" s="587">
        <f t="shared" ref="EN61" si="552">IF(BV61=1,($BC61*BV61),0)</f>
        <v>0</v>
      </c>
      <c r="EO61" s="587">
        <f t="shared" ref="EO61" si="553">IF(BW61=1,($BC61*BW61),0)</f>
        <v>0</v>
      </c>
      <c r="EP61" s="587">
        <f t="shared" ref="EP61" si="554">IF(BX61=1,($BC61*BX61),0)</f>
        <v>0</v>
      </c>
      <c r="EQ61" s="587">
        <f t="shared" ref="EQ61" si="555">IF(BY61=1,($BC61*BY61),0)</f>
        <v>0</v>
      </c>
      <c r="ER61" s="587">
        <f t="shared" ref="ER61" si="556">IF(BZ61=1,($BC61*BZ61),0)</f>
        <v>0</v>
      </c>
      <c r="ES61" s="587">
        <f t="shared" ref="ES61" si="557">IF(CA61=1,($BC61*CA61),0)</f>
        <v>0</v>
      </c>
      <c r="ET61" s="587">
        <f t="shared" ref="ET61" si="558">IF(CB61=1,($BC61*CB61),0)</f>
        <v>0</v>
      </c>
      <c r="EU61" s="587">
        <f t="shared" ref="EU61" si="559">IF(CC61=1,($BC61*CC61),0)</f>
        <v>0</v>
      </c>
      <c r="EV61" s="587">
        <f t="shared" ref="EV61" si="560">IF(CD61=1,($BC61*CD61),0)</f>
        <v>0</v>
      </c>
      <c r="EW61" s="587">
        <f t="shared" ref="EW61" si="561">IF(CE61=1,($BC61*CE61),0)</f>
        <v>0</v>
      </c>
      <c r="EX61" s="587">
        <f t="shared" ref="EX61" si="562">IF(CF61=1,($BC61*CF61),0)</f>
        <v>0</v>
      </c>
      <c r="EY61" s="587">
        <f t="shared" ref="EY61" si="563">IF(CG61=1,($BC61*CG61),0)</f>
        <v>0</v>
      </c>
      <c r="EZ61" s="587">
        <f t="shared" ref="EZ61" si="564">IF(CH61=1,($BC61*CH61),0)</f>
        <v>0</v>
      </c>
      <c r="FA61" s="587">
        <f t="shared" ref="FA61" si="565">IF(CI61=1,($BC61*CI61),0)</f>
        <v>0</v>
      </c>
      <c r="FB61" s="587">
        <f t="shared" ref="FB61" si="566">IF(CJ61=1,($BC61*CJ61),0)</f>
        <v>0</v>
      </c>
      <c r="FC61" s="587">
        <f t="shared" ref="FC61" si="567">IF(CK61=1,($BC61*CK61),0)</f>
        <v>0</v>
      </c>
      <c r="FD61" s="587">
        <f t="shared" ref="FD61" si="568">IF(CL61=1,($BC61*CL61),0)</f>
        <v>0</v>
      </c>
      <c r="FE61" s="587">
        <f t="shared" ref="FE61" si="569">IF(CM61=1,($BC61*CM61),0)</f>
        <v>0</v>
      </c>
      <c r="FF61" s="587">
        <f t="shared" ref="FF61" si="570">IF(CN61=1,($BC61*CN61),0)</f>
        <v>0</v>
      </c>
      <c r="FG61" s="587">
        <f t="shared" ref="FG61" si="571">IF(CO61=1,($BC61*CO61),0)</f>
        <v>0</v>
      </c>
      <c r="FH61" s="587">
        <f t="shared" ref="FH61" si="572">IF(CP61=1,($BC61*CP61),0)</f>
        <v>0</v>
      </c>
      <c r="FI61" s="587">
        <f t="shared" ref="FI61" si="573">IF(CQ61=1,($BC61*CQ61),0)</f>
        <v>0</v>
      </c>
      <c r="FJ61" s="587">
        <f t="shared" ref="FJ61" si="574">IF(CR61=1,($BC61*CR61),0)</f>
        <v>0</v>
      </c>
      <c r="FK61" s="587">
        <f t="shared" ref="FK61" si="575">IF(CS61=1,($BC61*CS61),0)</f>
        <v>0</v>
      </c>
      <c r="FL61" s="587">
        <f t="shared" ref="FL61" si="576">IF(CT61=1,($BC61*CT61),0)</f>
        <v>0</v>
      </c>
      <c r="FM61" s="587">
        <f t="shared" ref="FM61" si="577">IF(CU61=1,($BC61*CU61),0)</f>
        <v>0</v>
      </c>
      <c r="FN61" s="587">
        <f t="shared" ref="FN61" si="578">IF(CV61=1,($BC61*CV61),0)</f>
        <v>0</v>
      </c>
      <c r="FO61" s="587">
        <f t="shared" ref="FO61" si="579">IF(CW61=1,($BC61*CW61),0)</f>
        <v>0</v>
      </c>
      <c r="FP61" s="587">
        <f t="shared" ref="FP61" si="580">IF(CX61=1,($BC61*CX61),0)</f>
        <v>0</v>
      </c>
      <c r="FQ61" s="587">
        <f t="shared" ref="FQ61" si="581">IF(CY61=1,($BC61*CY61),0)</f>
        <v>0</v>
      </c>
      <c r="FR61" s="587">
        <f t="shared" ref="FR61" si="582">IF(CZ61=1,($BC61*CZ61),0)</f>
        <v>0</v>
      </c>
      <c r="FS61" s="587">
        <f t="shared" ref="FS61" si="583">IF(DA61=1,($BC61*DA61),0)</f>
        <v>0</v>
      </c>
      <c r="FT61" s="587">
        <f t="shared" ref="FT61" si="584">IF(DB61=1,($BC61*DB61),0)</f>
        <v>0</v>
      </c>
      <c r="FU61" s="587">
        <f t="shared" ref="FU61" si="585">IF(DC61=1,($BC61*DC61),0)</f>
        <v>0</v>
      </c>
      <c r="FV61" s="587">
        <f t="shared" ref="FV61" si="586">IF(DD61=1,($BC61*DD61),0)</f>
        <v>0</v>
      </c>
      <c r="FW61" s="587">
        <f t="shared" ref="FW61" si="587">IF(DE61=1,($BC61*DE61),0)</f>
        <v>0</v>
      </c>
      <c r="FX61" s="587">
        <f t="shared" ref="FX61" si="588">IF(DF61=1,($BC61*DF61),0)</f>
        <v>0</v>
      </c>
      <c r="FY61" s="587">
        <f t="shared" ref="FY61" si="589">IF(DG61=1,($BC61*DG61),0)</f>
        <v>0</v>
      </c>
      <c r="FZ61" s="587">
        <f t="shared" ref="FZ61" si="590">IF(DH61=1,($BC61*DH61),0)</f>
        <v>0</v>
      </c>
      <c r="GA61" s="587">
        <f t="shared" ref="GA61" si="591">IF(DI61=1,($BC61*DI61),0)</f>
        <v>0</v>
      </c>
      <c r="GB61" s="587">
        <f t="shared" ref="GB61" si="592">IF(DJ61=1,($BC61*DJ61),0)</f>
        <v>0</v>
      </c>
      <c r="GC61" s="587">
        <f t="shared" ref="GC61" si="593">IF(DK61=1,($BC61*DK61),0)</f>
        <v>0</v>
      </c>
      <c r="GD61" s="587">
        <f t="shared" ref="GD61" si="594">IF(DL61=1,($BC61*DL61),0)</f>
        <v>0</v>
      </c>
      <c r="GE61" s="587">
        <f t="shared" ref="GE61" si="595">IF(DM61=1,($BC61*DM61),0)</f>
        <v>0</v>
      </c>
      <c r="GF61" s="587">
        <f t="shared" ref="GF61" si="596">IF(DN61=1,($BC61*DN61),0)</f>
        <v>0</v>
      </c>
      <c r="GG61" s="587">
        <f t="shared" ref="GG61" si="597">IF(DO61=1,($BC61*DO61),0)</f>
        <v>0</v>
      </c>
      <c r="GH61" s="587">
        <f t="shared" ref="GH61" si="598">IF(DP61=1,($BC61*DP61),0)</f>
        <v>0</v>
      </c>
      <c r="GI61" s="587">
        <f t="shared" ref="GI61" si="599">IF(DQ61=1,($BC61*DQ61),0)</f>
        <v>0</v>
      </c>
      <c r="GJ61" s="587">
        <f t="shared" ref="GJ61" si="600">IF(DR61=1,($BC61*DR61),0)</f>
        <v>0</v>
      </c>
      <c r="GK61" s="587">
        <f t="shared" ref="GK61" si="601">IF(DS61=1,($BC61*DS61),0)</f>
        <v>0</v>
      </c>
      <c r="GL61" s="587">
        <f t="shared" ref="GL61" si="602">IF(DT61=1,($BC61*DT61),0)</f>
        <v>0</v>
      </c>
      <c r="GM61" s="587">
        <f t="shared" ref="GM61" si="603">IF(DU61=1,($BC61*DU61),0)</f>
        <v>0</v>
      </c>
    </row>
    <row r="62" spans="1:195" ht="27" customHeight="1">
      <c r="A62" s="337">
        <f>1+A61</f>
        <v>41</v>
      </c>
      <c r="B62" s="337" t="s">
        <v>527</v>
      </c>
      <c r="C62" s="337" t="str">
        <f t="shared" si="494"/>
        <v>PMCC-1</v>
      </c>
      <c r="D62" s="372" t="s">
        <v>546</v>
      </c>
      <c r="E62" s="500" t="s">
        <v>345</v>
      </c>
      <c r="F62" s="337" t="s">
        <v>28</v>
      </c>
      <c r="G62" s="337" t="s">
        <v>329</v>
      </c>
      <c r="H62" s="418">
        <v>17.5</v>
      </c>
      <c r="I62" s="337" t="s">
        <v>330</v>
      </c>
      <c r="J62" s="337" t="s">
        <v>331</v>
      </c>
      <c r="K62" s="349">
        <v>400</v>
      </c>
      <c r="L62" s="343">
        <v>0.85</v>
      </c>
      <c r="M62" s="350">
        <v>0.95</v>
      </c>
      <c r="N62" s="342">
        <f t="shared" si="495"/>
        <v>31.281504944265301</v>
      </c>
      <c r="O62" s="342">
        <f t="shared" si="347"/>
        <v>0</v>
      </c>
      <c r="P62" s="343" t="str">
        <f t="shared" si="496"/>
        <v>0.00</v>
      </c>
      <c r="Q62" s="350">
        <v>65</v>
      </c>
      <c r="R62" s="350">
        <v>0</v>
      </c>
      <c r="S62" s="350">
        <f t="shared" si="497"/>
        <v>0</v>
      </c>
      <c r="T62" s="343" t="s">
        <v>131</v>
      </c>
      <c r="U62" s="350" t="s">
        <v>535</v>
      </c>
      <c r="V62" s="343">
        <v>95</v>
      </c>
      <c r="W62" s="343" t="str">
        <f t="shared" si="498"/>
        <v>3.5C X 95</v>
      </c>
      <c r="X62" s="343" t="str">
        <f t="shared" si="499"/>
        <v>3.5C X 95</v>
      </c>
      <c r="Y62" s="343" t="s">
        <v>358</v>
      </c>
      <c r="Z62" s="344">
        <f>IF(T62="AIR",VLOOKUP(W62,'Catalogue Aluminium'!$B$9:$G$93,2,FALSE),IF(T62="GROUND",VLOOKUP(W62,'Catalogue Aluminium'!$B$9:$G$93,3,FALSE),IF(T62="DUCT",VLOOKUP(W62,'Catalogue Aluminium'!$B$9:$G$93,4,FALSE),IF(T62="TRENCH",VLOOKUP(W62,'Catalogue Aluminium'!$B$9:$G$93,2,FALSE)))))</f>
        <v>221</v>
      </c>
      <c r="AA62" s="345">
        <f>VLOOKUP(W62,'Catalogue Aluminium'!$B$9:$G$93,5,FALSE)</f>
        <v>0.41</v>
      </c>
      <c r="AB62" s="345">
        <f>VLOOKUP(W62,'Catalogue Aluminium'!$B$9:$G$93,6,FALSE)</f>
        <v>7.3400000000000007E-2</v>
      </c>
      <c r="AC62" s="401">
        <f>26+3</f>
        <v>29</v>
      </c>
      <c r="AD62" s="401">
        <f>40+50+38+50+17+(27+42+23)</f>
        <v>287</v>
      </c>
      <c r="AE62" s="401">
        <f t="shared" si="501"/>
        <v>38</v>
      </c>
      <c r="AF62" s="401">
        <v>8</v>
      </c>
      <c r="AG62" s="401">
        <f t="shared" si="502"/>
        <v>37</v>
      </c>
      <c r="AH62" s="347">
        <f t="shared" si="503"/>
        <v>399</v>
      </c>
      <c r="AI62" s="344">
        <f>IF(T62="AIR",'Catalogue Aluminium'!$K$9,IF(T62="TRENCH",'Catalogue Aluminium'!$K$12,"NA"))</f>
        <v>0.89</v>
      </c>
      <c r="AJ62" s="342">
        <f>IF(T62="Air",(IF(U62="1C",'Catalogue Aluminium'!$L$9,'Catalogue Aluminium'!$M$9)),IF(T62="DUCT",(IF($U62="1C",'Catalogue Aluminium'!$L$10,'Catalogue Aluminium'!$M$10)),IF(T62="GROUND",(IF($U62="1C",'Catalogue Aluminium'!$L$11,'Catalogue Aluminium'!$M$11)),IF(T62="TRENCH",(IF($U62="1C",'Catalogue Aluminium'!$L$12,'Catalogue Aluminium'!$M$12))))))</f>
        <v>0.66</v>
      </c>
      <c r="AK62" s="344" t="str">
        <f>IF(T62="Air",'Catalogue Aluminium'!$N$9,IF(T62="GROUND",'Catalogue Aluminium'!$N$10,IF(T62="DUCT",'Catalogue Aluminium'!$N$11,IF(T62="TRENCH",'Catalogue Aluminium'!$N$12,"NA"))))</f>
        <v>NA</v>
      </c>
      <c r="AL62" s="344" t="str">
        <f>IF(T62="Air",(IF(U62="1C",'Catalogue Aluminium'!$O$9,'Catalogue Aluminium'!$P$9)),IF(T62="DUCT",(IF($U62="1C",'Catalogue Aluminium'!$O$10,'Catalogue Aluminium'!$P$10)),IF(T62="GROUND",(IF($U62="1C",'Catalogue Aluminium'!$O$11,'Catalogue Aluminium'!$P$11)),IF(T62="TRENCH",(IF($U62="1C",'Catalogue Aluminium'!$O$12,'Catalogue Aluminium'!$P$12))))))</f>
        <v>NA</v>
      </c>
      <c r="AM62" s="344" t="str">
        <f>IF(T62="AIR","NA",IF(T62="TRENCH","NA",IF(T62="DUCT",IF(U62="1C",VLOOKUP(V62,'Catalogue Aluminium'!$Q$9:$S$28,2,FALSE),VLOOKUP(V62,'Catalogue Aluminium'!$Q$9:$S$28,3)),IF(T62="GROUND",IF(U62="1C",VLOOKUP(V62,'Catalogue Aluminium'!$Q$9:$S$28,2,FALSE),VLOOKUP(V62,'Catalogue Aluminium'!$Q$9:$S$28,3))))))</f>
        <v>NA</v>
      </c>
      <c r="AN62" s="351">
        <f t="shared" si="504"/>
        <v>0.58740000000000003</v>
      </c>
      <c r="AO62" s="350">
        <f t="shared" si="505"/>
        <v>129.81540000000001</v>
      </c>
      <c r="AP62" s="349">
        <f t="shared" si="10"/>
        <v>1</v>
      </c>
      <c r="AQ62" s="350" t="str">
        <f t="shared" si="506"/>
        <v>YES</v>
      </c>
      <c r="AR62" s="351">
        <f t="shared" si="507"/>
        <v>2.0924650505782494</v>
      </c>
      <c r="AS62" s="343" t="str">
        <f t="shared" si="508"/>
        <v>YES</v>
      </c>
      <c r="AT62" s="351" t="str">
        <f t="shared" si="509"/>
        <v>NA</v>
      </c>
      <c r="AU62" s="343" t="str">
        <f t="shared" si="510"/>
        <v>NA</v>
      </c>
      <c r="AV62" s="354" t="str">
        <f t="shared" si="511"/>
        <v>1R x 0.6/1kV x 3.5C x 95 Sqmm</v>
      </c>
      <c r="AW62" s="354" t="str">
        <f t="shared" si="512"/>
        <v>1R x 0.6/1kV x 3.5C x 95 Sqmm</v>
      </c>
      <c r="AX62" s="343">
        <f t="shared" si="513"/>
        <v>399</v>
      </c>
      <c r="AY62" s="355"/>
      <c r="AZ62" s="355">
        <f t="shared" si="514"/>
        <v>2</v>
      </c>
      <c r="BA62" s="356" t="str">
        <f t="shared" si="515"/>
        <v>ACDEE1E2E3</v>
      </c>
      <c r="BB62" s="501">
        <f>VLOOKUP(W62,'Catalogue Aluminium'!$B$9:$H$93,7,FALSE)</f>
        <v>39</v>
      </c>
      <c r="BC62" s="328">
        <f t="shared" si="516"/>
        <v>39</v>
      </c>
      <c r="BE62" s="336"/>
      <c r="BF62" s="336">
        <v>1</v>
      </c>
      <c r="BG62" s="336"/>
      <c r="BH62" s="336"/>
      <c r="BI62" s="336">
        <v>1</v>
      </c>
      <c r="BJ62" s="336">
        <v>1</v>
      </c>
      <c r="BK62" s="336"/>
      <c r="BL62" s="336"/>
      <c r="BM62" s="336"/>
      <c r="BN62" s="336">
        <v>1</v>
      </c>
      <c r="BO62" s="336"/>
      <c r="BP62" s="336">
        <v>1</v>
      </c>
      <c r="BQ62" s="336">
        <v>1</v>
      </c>
      <c r="BR62" s="336">
        <v>1</v>
      </c>
      <c r="BS62" s="336"/>
      <c r="BT62" s="336"/>
      <c r="BU62" s="336"/>
      <c r="BV62" s="336"/>
      <c r="BW62" s="336"/>
      <c r="BX62" s="336"/>
      <c r="BY62" s="336"/>
      <c r="BZ62" s="336"/>
      <c r="CA62" s="336"/>
      <c r="CB62" s="336"/>
      <c r="CC62" s="336"/>
      <c r="CD62" s="336"/>
      <c r="CE62" s="336"/>
      <c r="CF62" s="336"/>
      <c r="CG62" s="336"/>
      <c r="CH62" s="336"/>
      <c r="CI62" s="336"/>
      <c r="CJ62" s="336"/>
      <c r="CK62" s="336"/>
      <c r="CL62" s="336"/>
      <c r="CM62" s="336"/>
      <c r="CN62" s="336"/>
      <c r="CO62" s="336"/>
      <c r="CP62" s="336"/>
      <c r="CQ62" s="336"/>
      <c r="CR62" s="336"/>
      <c r="CS62" s="336"/>
      <c r="CT62" s="336"/>
      <c r="CU62" s="336"/>
      <c r="CV62" s="336"/>
      <c r="CW62" s="336"/>
      <c r="CX62" s="336"/>
      <c r="CY62" s="336"/>
      <c r="CZ62" s="336"/>
      <c r="DA62" s="336"/>
      <c r="DB62" s="336"/>
      <c r="DC62" s="336"/>
      <c r="DD62" s="336"/>
      <c r="DE62" s="336"/>
      <c r="DF62" s="336"/>
      <c r="DG62" s="336"/>
      <c r="DH62" s="336"/>
      <c r="DI62" s="336"/>
      <c r="DJ62" s="336"/>
      <c r="DK62" s="336"/>
      <c r="DL62" s="336"/>
      <c r="DM62" s="336"/>
      <c r="DN62" s="336"/>
      <c r="DO62" s="336"/>
      <c r="DP62" s="336"/>
      <c r="DQ62" s="336"/>
      <c r="DR62" s="336"/>
      <c r="DS62" s="336"/>
      <c r="DT62" s="336"/>
      <c r="DU62" s="336"/>
      <c r="DW62" s="336">
        <f t="shared" si="387"/>
        <v>0</v>
      </c>
      <c r="DX62" s="336">
        <f t="shared" si="388"/>
        <v>39</v>
      </c>
      <c r="DY62" s="336">
        <f t="shared" si="389"/>
        <v>0</v>
      </c>
      <c r="DZ62" s="336">
        <f t="shared" si="390"/>
        <v>0</v>
      </c>
      <c r="EA62" s="336">
        <f t="shared" si="391"/>
        <v>39</v>
      </c>
      <c r="EB62" s="336">
        <f t="shared" si="392"/>
        <v>39</v>
      </c>
      <c r="EC62" s="336">
        <f t="shared" si="393"/>
        <v>0</v>
      </c>
      <c r="ED62" s="336">
        <f t="shared" si="209"/>
        <v>0</v>
      </c>
      <c r="EE62" s="336">
        <f t="shared" si="210"/>
        <v>0</v>
      </c>
      <c r="EF62" s="336">
        <f t="shared" si="211"/>
        <v>39</v>
      </c>
      <c r="EG62" s="336">
        <f t="shared" si="212"/>
        <v>0</v>
      </c>
      <c r="EH62" s="336">
        <f t="shared" si="213"/>
        <v>39</v>
      </c>
      <c r="EI62" s="336">
        <f t="shared" si="214"/>
        <v>39</v>
      </c>
      <c r="EJ62" s="336">
        <f t="shared" si="215"/>
        <v>39</v>
      </c>
      <c r="EK62" s="336">
        <f t="shared" si="216"/>
        <v>0</v>
      </c>
      <c r="EL62" s="336">
        <f t="shared" si="217"/>
        <v>0</v>
      </c>
      <c r="EM62" s="336">
        <f t="shared" si="218"/>
        <v>0</v>
      </c>
      <c r="EN62" s="336">
        <f t="shared" si="219"/>
        <v>0</v>
      </c>
      <c r="EO62" s="336">
        <f t="shared" si="220"/>
        <v>0</v>
      </c>
      <c r="EP62" s="336">
        <f t="shared" si="221"/>
        <v>0</v>
      </c>
      <c r="EQ62" s="336">
        <f t="shared" si="222"/>
        <v>0</v>
      </c>
      <c r="ER62" s="336">
        <f t="shared" si="223"/>
        <v>0</v>
      </c>
      <c r="ES62" s="336">
        <f t="shared" si="224"/>
        <v>0</v>
      </c>
      <c r="ET62" s="336">
        <f t="shared" si="224"/>
        <v>0</v>
      </c>
      <c r="EU62" s="336">
        <f t="shared" si="225"/>
        <v>0</v>
      </c>
      <c r="EV62" s="336">
        <f t="shared" si="226"/>
        <v>0</v>
      </c>
      <c r="EW62" s="336">
        <f t="shared" si="227"/>
        <v>0</v>
      </c>
      <c r="EX62" s="336">
        <f t="shared" si="228"/>
        <v>0</v>
      </c>
      <c r="EY62" s="336">
        <f t="shared" si="229"/>
        <v>0</v>
      </c>
      <c r="EZ62" s="336">
        <f t="shared" si="230"/>
        <v>0</v>
      </c>
      <c r="FA62" s="336">
        <f t="shared" si="231"/>
        <v>0</v>
      </c>
      <c r="FB62" s="336">
        <f t="shared" si="232"/>
        <v>0</v>
      </c>
      <c r="FC62" s="336">
        <f t="shared" si="233"/>
        <v>0</v>
      </c>
      <c r="FD62" s="336">
        <f t="shared" si="234"/>
        <v>0</v>
      </c>
      <c r="FE62" s="336">
        <f t="shared" si="235"/>
        <v>0</v>
      </c>
      <c r="FF62" s="336">
        <f t="shared" si="236"/>
        <v>0</v>
      </c>
      <c r="FG62" s="336">
        <f t="shared" si="237"/>
        <v>0</v>
      </c>
      <c r="FH62" s="336">
        <f t="shared" si="238"/>
        <v>0</v>
      </c>
      <c r="FI62" s="336">
        <f t="shared" si="239"/>
        <v>0</v>
      </c>
      <c r="FJ62" s="336">
        <f t="shared" si="240"/>
        <v>0</v>
      </c>
      <c r="FK62" s="336">
        <f t="shared" si="241"/>
        <v>0</v>
      </c>
      <c r="FL62" s="336">
        <f t="shared" si="242"/>
        <v>0</v>
      </c>
      <c r="FM62" s="336">
        <f t="shared" si="243"/>
        <v>0</v>
      </c>
      <c r="FN62" s="336">
        <f t="shared" si="244"/>
        <v>0</v>
      </c>
      <c r="FO62" s="336">
        <f t="shared" si="245"/>
        <v>0</v>
      </c>
      <c r="FP62" s="336">
        <f t="shared" si="246"/>
        <v>0</v>
      </c>
      <c r="FQ62" s="336">
        <f t="shared" si="247"/>
        <v>0</v>
      </c>
      <c r="FR62" s="336">
        <f t="shared" si="248"/>
        <v>0</v>
      </c>
      <c r="FS62" s="336">
        <f t="shared" si="249"/>
        <v>0</v>
      </c>
      <c r="FT62" s="336">
        <f t="shared" si="250"/>
        <v>0</v>
      </c>
      <c r="FU62" s="336">
        <f t="shared" si="305"/>
        <v>0</v>
      </c>
      <c r="FV62" s="336">
        <f t="shared" si="306"/>
        <v>0</v>
      </c>
      <c r="FW62" s="336">
        <f t="shared" si="307"/>
        <v>0</v>
      </c>
      <c r="FX62" s="336">
        <f t="shared" si="308"/>
        <v>0</v>
      </c>
      <c r="FY62" s="336">
        <f t="shared" si="332"/>
        <v>0</v>
      </c>
      <c r="FZ62" s="336">
        <f t="shared" si="333"/>
        <v>0</v>
      </c>
      <c r="GA62" s="336">
        <f t="shared" si="334"/>
        <v>0</v>
      </c>
      <c r="GB62" s="336">
        <f t="shared" si="335"/>
        <v>0</v>
      </c>
      <c r="GC62" s="336">
        <f t="shared" si="336"/>
        <v>0</v>
      </c>
      <c r="GD62" s="336">
        <f t="shared" si="337"/>
        <v>0</v>
      </c>
      <c r="GE62" s="336">
        <f t="shared" si="338"/>
        <v>0</v>
      </c>
      <c r="GF62" s="336">
        <f t="shared" si="339"/>
        <v>0</v>
      </c>
      <c r="GG62" s="336">
        <f t="shared" si="340"/>
        <v>0</v>
      </c>
      <c r="GH62" s="336">
        <f t="shared" si="341"/>
        <v>0</v>
      </c>
      <c r="GI62" s="336">
        <f t="shared" si="342"/>
        <v>0</v>
      </c>
      <c r="GJ62" s="336">
        <f t="shared" si="343"/>
        <v>0</v>
      </c>
      <c r="GK62" s="336">
        <f t="shared" si="344"/>
        <v>0</v>
      </c>
      <c r="GL62" s="336">
        <f t="shared" si="309"/>
        <v>0</v>
      </c>
      <c r="GM62" s="336">
        <f t="shared" si="345"/>
        <v>0</v>
      </c>
    </row>
    <row r="63" spans="1:195" ht="27" customHeight="1">
      <c r="A63" s="337">
        <f t="shared" si="517"/>
        <v>42</v>
      </c>
      <c r="B63" s="337" t="s">
        <v>527</v>
      </c>
      <c r="C63" s="337" t="str">
        <f t="shared" si="494"/>
        <v>PMCC-1</v>
      </c>
      <c r="D63" s="338" t="s">
        <v>547</v>
      </c>
      <c r="E63" s="500" t="s">
        <v>345</v>
      </c>
      <c r="F63" s="337" t="s">
        <v>29</v>
      </c>
      <c r="G63" s="337" t="s">
        <v>329</v>
      </c>
      <c r="H63" s="418">
        <v>1</v>
      </c>
      <c r="I63" s="337" t="s">
        <v>330</v>
      </c>
      <c r="J63" s="337" t="s">
        <v>357</v>
      </c>
      <c r="K63" s="349">
        <v>230</v>
      </c>
      <c r="L63" s="343">
        <v>0.85</v>
      </c>
      <c r="M63" s="350">
        <v>0.95</v>
      </c>
      <c r="N63" s="342">
        <f t="shared" si="495"/>
        <v>5.3843047516489433</v>
      </c>
      <c r="O63" s="342">
        <f t="shared" si="347"/>
        <v>0</v>
      </c>
      <c r="P63" s="343" t="str">
        <f t="shared" si="496"/>
        <v>0.00</v>
      </c>
      <c r="Q63" s="350">
        <v>65</v>
      </c>
      <c r="R63" s="350">
        <v>0</v>
      </c>
      <c r="S63" s="350">
        <f t="shared" si="497"/>
        <v>0</v>
      </c>
      <c r="T63" s="343" t="s">
        <v>131</v>
      </c>
      <c r="U63" s="350" t="s">
        <v>333</v>
      </c>
      <c r="V63" s="343">
        <v>25</v>
      </c>
      <c r="W63" s="343" t="str">
        <f t="shared" si="498"/>
        <v>3C X 25</v>
      </c>
      <c r="X63" s="343" t="str">
        <f t="shared" si="499"/>
        <v>3C X 25</v>
      </c>
      <c r="Y63" s="343" t="s">
        <v>358</v>
      </c>
      <c r="Z63" s="344">
        <f>IF(T63="AIR",VLOOKUP(W63,'Catalogue Aluminium'!$B$9:$G$93,2,FALSE),IF(T63="GROUND",VLOOKUP(W63,'Catalogue Aluminium'!$B$9:$G$93,3,FALSE),IF(T63="DUCT",VLOOKUP(W63,'Catalogue Aluminium'!$B$9:$G$93,4,FALSE),IF(T63="TRENCH",VLOOKUP(W63,'Catalogue Aluminium'!$B$9:$G$93,2,FALSE)))))</f>
        <v>95</v>
      </c>
      <c r="AA63" s="345">
        <f>VLOOKUP(W63,'Catalogue Aluminium'!$B$9:$G$93,5,FALSE)</f>
        <v>1.54</v>
      </c>
      <c r="AB63" s="345">
        <f>VLOOKUP(W63,'Catalogue Aluminium'!$B$9:$G$93,6,FALSE)</f>
        <v>8.1600000000000006E-2</v>
      </c>
      <c r="AC63" s="401">
        <f t="shared" ref="AC63" si="604">17+3</f>
        <v>20</v>
      </c>
      <c r="AD63" s="401">
        <f>40+50+38+50+17+(27+42+33)</f>
        <v>297</v>
      </c>
      <c r="AE63" s="401">
        <f t="shared" si="501"/>
        <v>38</v>
      </c>
      <c r="AF63" s="401">
        <v>8</v>
      </c>
      <c r="AG63" s="401">
        <f t="shared" si="502"/>
        <v>37</v>
      </c>
      <c r="AH63" s="347">
        <f t="shared" si="503"/>
        <v>400</v>
      </c>
      <c r="AI63" s="344">
        <f>IF(T63="AIR",'Catalogue Aluminium'!$K$9,IF(T63="TRENCH",'Catalogue Aluminium'!$K$12,"NA"))</f>
        <v>0.89</v>
      </c>
      <c r="AJ63" s="342">
        <f>IF(T63="Air",(IF(U63="1C",'Catalogue Aluminium'!$L$9,'Catalogue Aluminium'!$M$9)),IF(T63="DUCT",(IF($U63="1C",'Catalogue Aluminium'!$L$10,'Catalogue Aluminium'!$M$10)),IF(T63="GROUND",(IF($U63="1C",'Catalogue Aluminium'!$L$11,'Catalogue Aluminium'!$M$11)),IF(T63="TRENCH",(IF($U63="1C",'Catalogue Aluminium'!$L$12,'Catalogue Aluminium'!$M$12))))))</f>
        <v>0.66</v>
      </c>
      <c r="AK63" s="344" t="str">
        <f>IF(T63="Air",'Catalogue Aluminium'!$N$9,IF(T63="GROUND",'Catalogue Aluminium'!$N$10,IF(T63="DUCT",'Catalogue Aluminium'!$N$11,IF(T63="TRENCH",'Catalogue Aluminium'!$N$12,"NA"))))</f>
        <v>NA</v>
      </c>
      <c r="AL63" s="344" t="str">
        <f>IF(T63="Air",(IF(U63="1C",'Catalogue Aluminium'!$O$9,'Catalogue Aluminium'!$P$9)),IF(T63="DUCT",(IF($U63="1C",'Catalogue Aluminium'!$O$10,'Catalogue Aluminium'!$P$10)),IF(T63="GROUND",(IF($U63="1C",'Catalogue Aluminium'!$O$11,'Catalogue Aluminium'!$P$11)),IF(T63="TRENCH",(IF($U63="1C",'Catalogue Aluminium'!$O$12,'Catalogue Aluminium'!$P$12))))))</f>
        <v>NA</v>
      </c>
      <c r="AM63" s="344" t="str">
        <f>IF(T63="AIR","NA",IF(T63="TRENCH","NA",IF(T63="DUCT",IF(U63="1C",VLOOKUP(V63,'Catalogue Aluminium'!$Q$9:$S$28,2,FALSE),VLOOKUP(V63,'Catalogue Aluminium'!$Q$9:$S$28,3)),IF(T63="GROUND",IF(U63="1C",VLOOKUP(V63,'Catalogue Aluminium'!$Q$9:$S$28,2,FALSE),VLOOKUP(V63,'Catalogue Aluminium'!$Q$9:$S$28,3))))))</f>
        <v>NA</v>
      </c>
      <c r="AN63" s="351">
        <f t="shared" si="504"/>
        <v>0.58740000000000003</v>
      </c>
      <c r="AO63" s="350">
        <f t="shared" si="505"/>
        <v>55.803000000000004</v>
      </c>
      <c r="AP63" s="349">
        <f t="shared" si="10"/>
        <v>1</v>
      </c>
      <c r="AQ63" s="350" t="str">
        <f t="shared" si="506"/>
        <v>YES</v>
      </c>
      <c r="AR63" s="351">
        <f t="shared" si="507"/>
        <v>2.1927768573016539</v>
      </c>
      <c r="AS63" s="343" t="str">
        <f t="shared" si="508"/>
        <v>YES</v>
      </c>
      <c r="AT63" s="351" t="str">
        <f t="shared" si="509"/>
        <v>NA</v>
      </c>
      <c r="AU63" s="343" t="str">
        <f t="shared" si="510"/>
        <v>NA</v>
      </c>
      <c r="AV63" s="354" t="str">
        <f t="shared" si="511"/>
        <v>1R x 0.6/1kV x 3C x 25 Sqmm</v>
      </c>
      <c r="AW63" s="354" t="str">
        <f t="shared" si="512"/>
        <v>1R x 0.6/1kV x 3C x 25 Sqmm</v>
      </c>
      <c r="AX63" s="343">
        <f t="shared" si="513"/>
        <v>400</v>
      </c>
      <c r="AY63" s="355"/>
      <c r="AZ63" s="355">
        <f t="shared" si="514"/>
        <v>2</v>
      </c>
      <c r="BA63" s="356" t="str">
        <f t="shared" si="515"/>
        <v>ACDEE1E2E3</v>
      </c>
      <c r="BB63" s="501">
        <f>VLOOKUP(W63,'Catalogue Aluminium'!$B$9:$H$93,7,FALSE)</f>
        <v>21</v>
      </c>
      <c r="BC63" s="328">
        <f t="shared" si="516"/>
        <v>21</v>
      </c>
      <c r="BE63" s="336"/>
      <c r="BF63" s="336">
        <v>1</v>
      </c>
      <c r="BG63" s="336"/>
      <c r="BH63" s="336"/>
      <c r="BI63" s="336">
        <v>1</v>
      </c>
      <c r="BJ63" s="336">
        <v>1</v>
      </c>
      <c r="BK63" s="336"/>
      <c r="BL63" s="336"/>
      <c r="BM63" s="336"/>
      <c r="BN63" s="336">
        <v>1</v>
      </c>
      <c r="BO63" s="336"/>
      <c r="BP63" s="336">
        <v>1</v>
      </c>
      <c r="BQ63" s="336">
        <v>1</v>
      </c>
      <c r="BR63" s="336">
        <v>1</v>
      </c>
      <c r="BS63" s="336"/>
      <c r="BT63" s="336"/>
      <c r="BU63" s="336"/>
      <c r="BV63" s="336"/>
      <c r="BW63" s="336"/>
      <c r="BX63" s="336"/>
      <c r="BY63" s="336"/>
      <c r="BZ63" s="336"/>
      <c r="CA63" s="336"/>
      <c r="CB63" s="336"/>
      <c r="CC63" s="336"/>
      <c r="CD63" s="336"/>
      <c r="CE63" s="336"/>
      <c r="CF63" s="336"/>
      <c r="CG63" s="336"/>
      <c r="CH63" s="336"/>
      <c r="CI63" s="336"/>
      <c r="CJ63" s="336"/>
      <c r="CK63" s="336"/>
      <c r="CL63" s="336"/>
      <c r="CM63" s="336"/>
      <c r="CN63" s="336"/>
      <c r="CO63" s="336"/>
      <c r="CP63" s="336"/>
      <c r="CQ63" s="336"/>
      <c r="CR63" s="336"/>
      <c r="CS63" s="336"/>
      <c r="CT63" s="336"/>
      <c r="CU63" s="336"/>
      <c r="CV63" s="336"/>
      <c r="CW63" s="336"/>
      <c r="CX63" s="336"/>
      <c r="CY63" s="336"/>
      <c r="CZ63" s="336"/>
      <c r="DA63" s="336"/>
      <c r="DB63" s="336"/>
      <c r="DC63" s="336"/>
      <c r="DD63" s="336"/>
      <c r="DE63" s="336"/>
      <c r="DF63" s="336"/>
      <c r="DG63" s="336"/>
      <c r="DH63" s="336"/>
      <c r="DI63" s="336"/>
      <c r="DJ63" s="336"/>
      <c r="DK63" s="336"/>
      <c r="DL63" s="336"/>
      <c r="DM63" s="336"/>
      <c r="DN63" s="336"/>
      <c r="DO63" s="336"/>
      <c r="DP63" s="336"/>
      <c r="DQ63" s="336"/>
      <c r="DR63" s="336"/>
      <c r="DS63" s="336"/>
      <c r="DT63" s="336"/>
      <c r="DU63" s="336"/>
      <c r="DW63" s="336">
        <f t="shared" si="387"/>
        <v>0</v>
      </c>
      <c r="DX63" s="336">
        <f t="shared" si="388"/>
        <v>21</v>
      </c>
      <c r="DY63" s="336">
        <f t="shared" si="389"/>
        <v>0</v>
      </c>
      <c r="DZ63" s="336">
        <f t="shared" si="390"/>
        <v>0</v>
      </c>
      <c r="EA63" s="336">
        <f t="shared" si="391"/>
        <v>21</v>
      </c>
      <c r="EB63" s="336">
        <f t="shared" si="392"/>
        <v>21</v>
      </c>
      <c r="EC63" s="336">
        <f t="shared" si="393"/>
        <v>0</v>
      </c>
      <c r="ED63" s="336">
        <f t="shared" si="209"/>
        <v>0</v>
      </c>
      <c r="EE63" s="336">
        <f t="shared" si="210"/>
        <v>0</v>
      </c>
      <c r="EF63" s="336">
        <f t="shared" si="211"/>
        <v>21</v>
      </c>
      <c r="EG63" s="336">
        <f t="shared" si="212"/>
        <v>0</v>
      </c>
      <c r="EH63" s="336">
        <f t="shared" si="213"/>
        <v>21</v>
      </c>
      <c r="EI63" s="336">
        <f t="shared" si="214"/>
        <v>21</v>
      </c>
      <c r="EJ63" s="336">
        <f t="shared" si="215"/>
        <v>21</v>
      </c>
      <c r="EK63" s="336">
        <f t="shared" si="216"/>
        <v>0</v>
      </c>
      <c r="EL63" s="336">
        <f t="shared" si="217"/>
        <v>0</v>
      </c>
      <c r="EM63" s="336">
        <f t="shared" si="218"/>
        <v>0</v>
      </c>
      <c r="EN63" s="336">
        <f t="shared" si="219"/>
        <v>0</v>
      </c>
      <c r="EO63" s="336">
        <f t="shared" si="220"/>
        <v>0</v>
      </c>
      <c r="EP63" s="336">
        <f t="shared" si="221"/>
        <v>0</v>
      </c>
      <c r="EQ63" s="336">
        <f t="shared" si="222"/>
        <v>0</v>
      </c>
      <c r="ER63" s="336">
        <f t="shared" si="223"/>
        <v>0</v>
      </c>
      <c r="ES63" s="336">
        <f t="shared" si="224"/>
        <v>0</v>
      </c>
      <c r="ET63" s="336">
        <f t="shared" si="224"/>
        <v>0</v>
      </c>
      <c r="EU63" s="336">
        <f t="shared" si="225"/>
        <v>0</v>
      </c>
      <c r="EV63" s="336">
        <f t="shared" si="226"/>
        <v>0</v>
      </c>
      <c r="EW63" s="336">
        <f t="shared" si="227"/>
        <v>0</v>
      </c>
      <c r="EX63" s="336">
        <f t="shared" si="228"/>
        <v>0</v>
      </c>
      <c r="EY63" s="336">
        <f t="shared" si="229"/>
        <v>0</v>
      </c>
      <c r="EZ63" s="336">
        <f t="shared" si="230"/>
        <v>0</v>
      </c>
      <c r="FA63" s="336">
        <f t="shared" si="231"/>
        <v>0</v>
      </c>
      <c r="FB63" s="336">
        <f t="shared" si="232"/>
        <v>0</v>
      </c>
      <c r="FC63" s="336">
        <f t="shared" si="233"/>
        <v>0</v>
      </c>
      <c r="FD63" s="336">
        <f t="shared" si="234"/>
        <v>0</v>
      </c>
      <c r="FE63" s="336">
        <f t="shared" si="235"/>
        <v>0</v>
      </c>
      <c r="FF63" s="336">
        <f t="shared" si="236"/>
        <v>0</v>
      </c>
      <c r="FG63" s="336">
        <f t="shared" si="237"/>
        <v>0</v>
      </c>
      <c r="FH63" s="336">
        <f t="shared" si="238"/>
        <v>0</v>
      </c>
      <c r="FI63" s="336">
        <f t="shared" si="239"/>
        <v>0</v>
      </c>
      <c r="FJ63" s="336">
        <f t="shared" si="240"/>
        <v>0</v>
      </c>
      <c r="FK63" s="336">
        <f t="shared" si="241"/>
        <v>0</v>
      </c>
      <c r="FL63" s="336">
        <f t="shared" si="242"/>
        <v>0</v>
      </c>
      <c r="FM63" s="336">
        <f t="shared" si="243"/>
        <v>0</v>
      </c>
      <c r="FN63" s="336">
        <f t="shared" si="244"/>
        <v>0</v>
      </c>
      <c r="FO63" s="336">
        <f t="shared" si="245"/>
        <v>0</v>
      </c>
      <c r="FP63" s="336">
        <f t="shared" si="246"/>
        <v>0</v>
      </c>
      <c r="FQ63" s="336">
        <f t="shared" si="247"/>
        <v>0</v>
      </c>
      <c r="FR63" s="336">
        <f t="shared" si="248"/>
        <v>0</v>
      </c>
      <c r="FS63" s="336">
        <f t="shared" si="249"/>
        <v>0</v>
      </c>
      <c r="FT63" s="336">
        <f t="shared" si="250"/>
        <v>0</v>
      </c>
      <c r="FU63" s="336">
        <f t="shared" si="305"/>
        <v>0</v>
      </c>
      <c r="FV63" s="336">
        <f t="shared" si="306"/>
        <v>0</v>
      </c>
      <c r="FW63" s="336">
        <f t="shared" si="307"/>
        <v>0</v>
      </c>
      <c r="FX63" s="336">
        <f t="shared" si="308"/>
        <v>0</v>
      </c>
      <c r="FY63" s="336">
        <f t="shared" si="332"/>
        <v>0</v>
      </c>
      <c r="FZ63" s="336">
        <f t="shared" si="333"/>
        <v>0</v>
      </c>
      <c r="GA63" s="336">
        <f t="shared" si="334"/>
        <v>0</v>
      </c>
      <c r="GB63" s="336">
        <f t="shared" si="335"/>
        <v>0</v>
      </c>
      <c r="GC63" s="336">
        <f t="shared" si="336"/>
        <v>0</v>
      </c>
      <c r="GD63" s="336">
        <f t="shared" si="337"/>
        <v>0</v>
      </c>
      <c r="GE63" s="336">
        <f t="shared" si="338"/>
        <v>0</v>
      </c>
      <c r="GF63" s="336">
        <f t="shared" si="339"/>
        <v>0</v>
      </c>
      <c r="GG63" s="336">
        <f t="shared" si="340"/>
        <v>0</v>
      </c>
      <c r="GH63" s="336">
        <f t="shared" si="341"/>
        <v>0</v>
      </c>
      <c r="GI63" s="336">
        <f t="shared" si="342"/>
        <v>0</v>
      </c>
      <c r="GJ63" s="336">
        <f t="shared" si="343"/>
        <v>0</v>
      </c>
      <c r="GK63" s="336">
        <f t="shared" si="344"/>
        <v>0</v>
      </c>
      <c r="GL63" s="336">
        <f t="shared" si="309"/>
        <v>0</v>
      </c>
      <c r="GM63" s="336">
        <f t="shared" si="345"/>
        <v>0</v>
      </c>
    </row>
    <row r="64" spans="1:195" s="888" customFormat="1" ht="20.100000000000001" hidden="1" customHeight="1">
      <c r="A64" s="870" t="s">
        <v>334</v>
      </c>
      <c r="B64" s="870" t="s">
        <v>527</v>
      </c>
      <c r="C64" s="870" t="str">
        <f t="shared" si="494"/>
        <v>PMCC-1</v>
      </c>
      <c r="D64" s="872" t="s">
        <v>548</v>
      </c>
      <c r="E64" s="873" t="s">
        <v>345</v>
      </c>
      <c r="F64" s="870" t="s">
        <v>28</v>
      </c>
      <c r="G64" s="870" t="s">
        <v>329</v>
      </c>
      <c r="H64" s="877">
        <v>55</v>
      </c>
      <c r="I64" s="870" t="s">
        <v>330</v>
      </c>
      <c r="J64" s="870" t="s">
        <v>331</v>
      </c>
      <c r="K64" s="875">
        <v>400</v>
      </c>
      <c r="L64" s="876">
        <v>0.85</v>
      </c>
      <c r="M64" s="877">
        <v>0.95</v>
      </c>
      <c r="N64" s="878">
        <f t="shared" si="495"/>
        <v>98.313301253405228</v>
      </c>
      <c r="O64" s="878">
        <f t="shared" si="347"/>
        <v>0</v>
      </c>
      <c r="P64" s="876" t="str">
        <f t="shared" si="496"/>
        <v>0.00</v>
      </c>
      <c r="Q64" s="877">
        <v>65</v>
      </c>
      <c r="R64" s="877">
        <v>0</v>
      </c>
      <c r="S64" s="877">
        <f t="shared" si="497"/>
        <v>0</v>
      </c>
      <c r="T64" s="876" t="s">
        <v>131</v>
      </c>
      <c r="U64" s="877" t="s">
        <v>535</v>
      </c>
      <c r="V64" s="876">
        <v>25</v>
      </c>
      <c r="W64" s="876" t="str">
        <f t="shared" si="498"/>
        <v>3.5C X 25</v>
      </c>
      <c r="X64" s="876" t="str">
        <f t="shared" si="499"/>
        <v>3.5C X 25</v>
      </c>
      <c r="Y64" s="876" t="s">
        <v>358</v>
      </c>
      <c r="Z64" s="879">
        <f>IF(T64="AIR",VLOOKUP(W64,'Catalogue Aluminium'!$B$9:$G$93,2,FALSE),IF(T64="GROUND",VLOOKUP(W64,'Catalogue Aluminium'!$B$9:$G$93,3,FALSE),IF(T64="DUCT",VLOOKUP(W64,'Catalogue Aluminium'!$B$9:$G$93,4,FALSE),IF(T64="TRENCH",VLOOKUP(W64,'Catalogue Aluminium'!$B$9:$G$93,2,FALSE)))))</f>
        <v>95</v>
      </c>
      <c r="AA64" s="880">
        <f>VLOOKUP(W64,'Catalogue Aluminium'!$B$9:$G$93,5,FALSE)</f>
        <v>1.54</v>
      </c>
      <c r="AB64" s="880">
        <f>VLOOKUP(W64,'Catalogue Aluminium'!$B$9:$G$93,6,FALSE)</f>
        <v>8.1600000000000006E-2</v>
      </c>
      <c r="AC64" s="876">
        <f>26+3</f>
        <v>29</v>
      </c>
      <c r="AD64" s="876">
        <f>40+50+38+50+17+(27+42+32)</f>
        <v>296</v>
      </c>
      <c r="AE64" s="876">
        <f t="shared" si="501"/>
        <v>38</v>
      </c>
      <c r="AF64" s="876">
        <v>8</v>
      </c>
      <c r="AG64" s="876">
        <f t="shared" si="502"/>
        <v>38</v>
      </c>
      <c r="AH64" s="881">
        <f t="shared" si="503"/>
        <v>409</v>
      </c>
      <c r="AI64" s="879">
        <f>IF(T64="AIR",'Catalogue Aluminium'!$K$9,IF(T64="TRENCH",'Catalogue Aluminium'!$K$12,"NA"))</f>
        <v>0.89</v>
      </c>
      <c r="AJ64" s="878">
        <f>IF(T64="Air",(IF(U64="1C",'Catalogue Aluminium'!$L$9,'Catalogue Aluminium'!$M$9)),IF(T64="DUCT",(IF($U64="1C",'Catalogue Aluminium'!$L$10,'Catalogue Aluminium'!$M$10)),IF(T64="GROUND",(IF($U64="1C",'Catalogue Aluminium'!$L$11,'Catalogue Aluminium'!$M$11)),IF(T64="TRENCH",(IF($U64="1C",'Catalogue Aluminium'!$L$12,'Catalogue Aluminium'!$M$12))))))</f>
        <v>0.66</v>
      </c>
      <c r="AK64" s="879" t="str">
        <f>IF(T64="Air",'Catalogue Aluminium'!$N$9,IF(T64="GROUND",'Catalogue Aluminium'!$N$10,IF(T64="DUCT",'Catalogue Aluminium'!$N$11,IF(T64="TRENCH",'Catalogue Aluminium'!$N$12,"NA"))))</f>
        <v>NA</v>
      </c>
      <c r="AL64" s="879" t="str">
        <f>IF(T64="Air",(IF(U64="1C",'Catalogue Aluminium'!$O$9,'Catalogue Aluminium'!$P$9)),IF(T64="DUCT",(IF($U64="1C",'Catalogue Aluminium'!$O$10,'Catalogue Aluminium'!$P$10)),IF(T64="GROUND",(IF($U64="1C",'Catalogue Aluminium'!$O$11,'Catalogue Aluminium'!$P$11)),IF(T64="TRENCH",(IF($U64="1C",'Catalogue Aluminium'!$O$12,'Catalogue Aluminium'!$P$12))))))</f>
        <v>NA</v>
      </c>
      <c r="AM64" s="879" t="str">
        <f>IF(T64="AIR","NA",IF(T64="TRENCH","NA",IF(T64="DUCT",IF(U64="1C",VLOOKUP(V64,'Catalogue Aluminium'!$Q$9:$S$28,2,FALSE),VLOOKUP(V64,'Catalogue Aluminium'!$Q$9:$S$28,3)),IF(T64="GROUND",IF(U64="1C",VLOOKUP(V64,'Catalogue Aluminium'!$Q$9:$S$28,2,FALSE),VLOOKUP(V64,'Catalogue Aluminium'!$Q$9:$S$28,3))))))</f>
        <v>NA</v>
      </c>
      <c r="AN64" s="882">
        <f t="shared" si="504"/>
        <v>0.58740000000000003</v>
      </c>
      <c r="AO64" s="877">
        <f t="shared" si="505"/>
        <v>55.803000000000004</v>
      </c>
      <c r="AP64" s="875">
        <v>2</v>
      </c>
      <c r="AQ64" s="877" t="str">
        <f t="shared" si="506"/>
        <v>YES</v>
      </c>
      <c r="AR64" s="882">
        <f t="shared" si="507"/>
        <v>11.770048466930108</v>
      </c>
      <c r="AS64" s="876" t="str">
        <f t="shared" si="508"/>
        <v>NO</v>
      </c>
      <c r="AT64" s="882" t="str">
        <f t="shared" si="509"/>
        <v>NA</v>
      </c>
      <c r="AU64" s="876" t="str">
        <f t="shared" si="510"/>
        <v>NA</v>
      </c>
      <c r="AV64" s="883" t="str">
        <f t="shared" si="511"/>
        <v>2R x 0.6/1kV x 3.5C x 25 Sqmm</v>
      </c>
      <c r="AW64" s="883" t="str">
        <f t="shared" si="512"/>
        <v>2R x 0.6/1kV x 3.5C x 25 Sqmm</v>
      </c>
      <c r="AX64" s="876">
        <f t="shared" si="513"/>
        <v>818</v>
      </c>
      <c r="AY64" s="884"/>
      <c r="AZ64" s="884">
        <f t="shared" si="514"/>
        <v>4</v>
      </c>
      <c r="BA64" s="885" t="str">
        <f t="shared" si="515"/>
        <v>ACDEE1E2E3</v>
      </c>
      <c r="BB64" s="886">
        <f>VLOOKUP(W64,'Catalogue Aluminium'!$B$9:$H$93,7,FALSE)</f>
        <v>25</v>
      </c>
      <c r="BC64" s="887">
        <f t="shared" si="516"/>
        <v>50</v>
      </c>
      <c r="BE64" s="889"/>
      <c r="BF64" s="889">
        <v>1</v>
      </c>
      <c r="BG64" s="889"/>
      <c r="BH64" s="889"/>
      <c r="BI64" s="889">
        <v>1</v>
      </c>
      <c r="BJ64" s="889">
        <v>1</v>
      </c>
      <c r="BK64" s="889"/>
      <c r="BL64" s="889"/>
      <c r="BM64" s="889"/>
      <c r="BN64" s="889">
        <v>1</v>
      </c>
      <c r="BO64" s="889"/>
      <c r="BP64" s="889">
        <v>1</v>
      </c>
      <c r="BQ64" s="889">
        <v>1</v>
      </c>
      <c r="BR64" s="889">
        <v>1</v>
      </c>
      <c r="BS64" s="889"/>
      <c r="BT64" s="889"/>
      <c r="BU64" s="889"/>
      <c r="BV64" s="889"/>
      <c r="BW64" s="889"/>
      <c r="BX64" s="889"/>
      <c r="BY64" s="889"/>
      <c r="BZ64" s="889"/>
      <c r="CA64" s="889"/>
      <c r="CB64" s="889"/>
      <c r="CC64" s="889"/>
      <c r="CD64" s="889"/>
      <c r="CE64" s="889"/>
      <c r="CF64" s="889"/>
      <c r="CG64" s="889"/>
      <c r="CH64" s="889"/>
      <c r="CI64" s="889"/>
      <c r="CJ64" s="889"/>
      <c r="CK64" s="889"/>
      <c r="CL64" s="889"/>
      <c r="CM64" s="889"/>
      <c r="CN64" s="889"/>
      <c r="CO64" s="889"/>
      <c r="CP64" s="889"/>
      <c r="CQ64" s="889"/>
      <c r="CR64" s="889"/>
      <c r="CS64" s="889"/>
      <c r="CT64" s="889"/>
      <c r="CU64" s="889"/>
      <c r="CV64" s="889"/>
      <c r="CW64" s="889"/>
      <c r="CX64" s="889"/>
      <c r="CY64" s="889"/>
      <c r="CZ64" s="889"/>
      <c r="DA64" s="889"/>
      <c r="DB64" s="889"/>
      <c r="DC64" s="889"/>
      <c r="DD64" s="889"/>
      <c r="DE64" s="889"/>
      <c r="DF64" s="889"/>
      <c r="DG64" s="889"/>
      <c r="DH64" s="889"/>
      <c r="DI64" s="889"/>
      <c r="DJ64" s="889"/>
      <c r="DK64" s="889"/>
      <c r="DL64" s="889"/>
      <c r="DM64" s="889"/>
      <c r="DN64" s="889"/>
      <c r="DO64" s="889"/>
      <c r="DP64" s="889"/>
      <c r="DQ64" s="889"/>
      <c r="DR64" s="889"/>
      <c r="DS64" s="889"/>
      <c r="DT64" s="889"/>
      <c r="DU64" s="889"/>
      <c r="DW64" s="889">
        <f t="shared" si="387"/>
        <v>0</v>
      </c>
      <c r="DX64" s="889">
        <f t="shared" si="388"/>
        <v>50</v>
      </c>
      <c r="DY64" s="889">
        <f t="shared" si="389"/>
        <v>0</v>
      </c>
      <c r="DZ64" s="889">
        <f t="shared" si="390"/>
        <v>0</v>
      </c>
      <c r="EA64" s="889">
        <f t="shared" si="391"/>
        <v>50</v>
      </c>
      <c r="EB64" s="889">
        <f t="shared" si="392"/>
        <v>50</v>
      </c>
      <c r="EC64" s="889">
        <f t="shared" si="393"/>
        <v>0</v>
      </c>
      <c r="ED64" s="889">
        <f t="shared" si="209"/>
        <v>0</v>
      </c>
      <c r="EE64" s="889">
        <f t="shared" si="210"/>
        <v>0</v>
      </c>
      <c r="EF64" s="889">
        <f t="shared" si="211"/>
        <v>50</v>
      </c>
      <c r="EG64" s="889">
        <f t="shared" si="212"/>
        <v>0</v>
      </c>
      <c r="EH64" s="889">
        <f t="shared" si="213"/>
        <v>50</v>
      </c>
      <c r="EI64" s="889">
        <f t="shared" si="214"/>
        <v>50</v>
      </c>
      <c r="EJ64" s="889">
        <f t="shared" si="215"/>
        <v>50</v>
      </c>
      <c r="EK64" s="889">
        <f t="shared" si="216"/>
        <v>0</v>
      </c>
      <c r="EL64" s="889">
        <f t="shared" si="217"/>
        <v>0</v>
      </c>
      <c r="EM64" s="889">
        <f t="shared" si="218"/>
        <v>0</v>
      </c>
      <c r="EN64" s="889">
        <f t="shared" si="219"/>
        <v>0</v>
      </c>
      <c r="EO64" s="889">
        <f t="shared" si="220"/>
        <v>0</v>
      </c>
      <c r="EP64" s="889">
        <f t="shared" si="221"/>
        <v>0</v>
      </c>
      <c r="EQ64" s="889">
        <f t="shared" si="222"/>
        <v>0</v>
      </c>
      <c r="ER64" s="889">
        <f t="shared" si="223"/>
        <v>0</v>
      </c>
      <c r="ES64" s="889">
        <f t="shared" si="224"/>
        <v>0</v>
      </c>
      <c r="ET64" s="889">
        <f t="shared" si="224"/>
        <v>0</v>
      </c>
      <c r="EU64" s="889">
        <f t="shared" si="225"/>
        <v>0</v>
      </c>
      <c r="EV64" s="889">
        <f t="shared" si="226"/>
        <v>0</v>
      </c>
      <c r="EW64" s="889">
        <f t="shared" si="227"/>
        <v>0</v>
      </c>
      <c r="EX64" s="889">
        <f t="shared" si="228"/>
        <v>0</v>
      </c>
      <c r="EY64" s="889">
        <f t="shared" si="229"/>
        <v>0</v>
      </c>
      <c r="EZ64" s="889">
        <f t="shared" si="230"/>
        <v>0</v>
      </c>
      <c r="FA64" s="889">
        <f t="shared" si="231"/>
        <v>0</v>
      </c>
      <c r="FB64" s="889">
        <f t="shared" si="232"/>
        <v>0</v>
      </c>
      <c r="FC64" s="889">
        <f t="shared" si="233"/>
        <v>0</v>
      </c>
      <c r="FD64" s="889">
        <f t="shared" si="234"/>
        <v>0</v>
      </c>
      <c r="FE64" s="889">
        <f t="shared" si="235"/>
        <v>0</v>
      </c>
      <c r="FF64" s="889">
        <f t="shared" si="236"/>
        <v>0</v>
      </c>
      <c r="FG64" s="889">
        <f t="shared" si="237"/>
        <v>0</v>
      </c>
      <c r="FH64" s="889">
        <f t="shared" si="238"/>
        <v>0</v>
      </c>
      <c r="FI64" s="889">
        <f t="shared" si="239"/>
        <v>0</v>
      </c>
      <c r="FJ64" s="889">
        <f t="shared" si="240"/>
        <v>0</v>
      </c>
      <c r="FK64" s="889">
        <f t="shared" si="241"/>
        <v>0</v>
      </c>
      <c r="FL64" s="889">
        <f t="shared" si="242"/>
        <v>0</v>
      </c>
      <c r="FM64" s="889">
        <f t="shared" si="243"/>
        <v>0</v>
      </c>
      <c r="FN64" s="889">
        <f t="shared" si="244"/>
        <v>0</v>
      </c>
      <c r="FO64" s="889">
        <f t="shared" si="245"/>
        <v>0</v>
      </c>
      <c r="FP64" s="889">
        <f t="shared" si="246"/>
        <v>0</v>
      </c>
      <c r="FQ64" s="889">
        <f t="shared" si="247"/>
        <v>0</v>
      </c>
      <c r="FR64" s="889">
        <f t="shared" si="248"/>
        <v>0</v>
      </c>
      <c r="FS64" s="889">
        <f t="shared" si="249"/>
        <v>0</v>
      </c>
      <c r="FT64" s="889">
        <f t="shared" si="250"/>
        <v>0</v>
      </c>
      <c r="FU64" s="889">
        <f t="shared" si="305"/>
        <v>0</v>
      </c>
      <c r="FV64" s="889">
        <f t="shared" si="306"/>
        <v>0</v>
      </c>
      <c r="FW64" s="889">
        <f t="shared" si="307"/>
        <v>0</v>
      </c>
      <c r="FX64" s="889">
        <f t="shared" si="308"/>
        <v>0</v>
      </c>
      <c r="FY64" s="889">
        <f t="shared" si="332"/>
        <v>0</v>
      </c>
      <c r="FZ64" s="889">
        <f t="shared" si="333"/>
        <v>0</v>
      </c>
      <c r="GA64" s="889">
        <f t="shared" si="334"/>
        <v>0</v>
      </c>
      <c r="GB64" s="889">
        <f t="shared" si="335"/>
        <v>0</v>
      </c>
      <c r="GC64" s="889">
        <f t="shared" si="336"/>
        <v>0</v>
      </c>
      <c r="GD64" s="889">
        <f t="shared" si="337"/>
        <v>0</v>
      </c>
      <c r="GE64" s="889">
        <f t="shared" si="338"/>
        <v>0</v>
      </c>
      <c r="GF64" s="889">
        <f t="shared" si="339"/>
        <v>0</v>
      </c>
      <c r="GG64" s="889">
        <f t="shared" si="340"/>
        <v>0</v>
      </c>
      <c r="GH64" s="889">
        <f t="shared" si="341"/>
        <v>0</v>
      </c>
      <c r="GI64" s="889">
        <f t="shared" si="342"/>
        <v>0</v>
      </c>
      <c r="GJ64" s="889">
        <f t="shared" si="343"/>
        <v>0</v>
      </c>
      <c r="GK64" s="889">
        <f t="shared" si="344"/>
        <v>0</v>
      </c>
      <c r="GL64" s="889">
        <f t="shared" si="309"/>
        <v>0</v>
      </c>
      <c r="GM64" s="889">
        <f t="shared" si="345"/>
        <v>0</v>
      </c>
    </row>
    <row r="65" spans="1:195" s="158" customFormat="1" ht="20.100000000000001" hidden="1" customHeight="1">
      <c r="A65" s="357" t="s">
        <v>334</v>
      </c>
      <c r="B65" s="357" t="s">
        <v>527</v>
      </c>
      <c r="C65" s="357" t="str">
        <f t="shared" si="494"/>
        <v>PMCC-1</v>
      </c>
      <c r="D65" s="395" t="s">
        <v>549</v>
      </c>
      <c r="E65" s="493" t="s">
        <v>345</v>
      </c>
      <c r="F65" s="357" t="s">
        <v>28</v>
      </c>
      <c r="G65" s="357" t="s">
        <v>329</v>
      </c>
      <c r="H65" s="352">
        <v>17.5</v>
      </c>
      <c r="I65" s="357" t="s">
        <v>330</v>
      </c>
      <c r="J65" s="357" t="s">
        <v>331</v>
      </c>
      <c r="K65" s="353">
        <v>400</v>
      </c>
      <c r="L65" s="360">
        <v>0.85</v>
      </c>
      <c r="M65" s="352">
        <v>0.95</v>
      </c>
      <c r="N65" s="359">
        <f t="shared" si="495"/>
        <v>31.281504944265301</v>
      </c>
      <c r="O65" s="359">
        <f t="shared" si="347"/>
        <v>0</v>
      </c>
      <c r="P65" s="360" t="str">
        <f t="shared" si="496"/>
        <v>0.00</v>
      </c>
      <c r="Q65" s="352">
        <v>65</v>
      </c>
      <c r="R65" s="352">
        <v>0</v>
      </c>
      <c r="S65" s="352">
        <f t="shared" si="497"/>
        <v>0</v>
      </c>
      <c r="T65" s="360" t="s">
        <v>131</v>
      </c>
      <c r="U65" s="352" t="s">
        <v>535</v>
      </c>
      <c r="V65" s="360">
        <v>25</v>
      </c>
      <c r="W65" s="360" t="str">
        <f t="shared" si="498"/>
        <v>3.5C X 25</v>
      </c>
      <c r="X65" s="360" t="str">
        <f t="shared" si="499"/>
        <v>3.5C X 25</v>
      </c>
      <c r="Y65" s="360" t="s">
        <v>358</v>
      </c>
      <c r="Z65" s="361">
        <f>IF(T65="AIR",VLOOKUP(W65,'Catalogue Aluminium'!$B$9:$G$93,2,FALSE),IF(T65="GROUND",VLOOKUP(W65,'Catalogue Aluminium'!$B$9:$G$93,3,FALSE),IF(T65="DUCT",VLOOKUP(W65,'Catalogue Aluminium'!$B$9:$G$93,4,FALSE),IF(T65="TRENCH",VLOOKUP(W65,'Catalogue Aluminium'!$B$9:$G$93,2,FALSE)))))</f>
        <v>95</v>
      </c>
      <c r="AA65" s="362">
        <f>VLOOKUP(W65,'Catalogue Aluminium'!$B$9:$G$93,5,FALSE)</f>
        <v>1.54</v>
      </c>
      <c r="AB65" s="362">
        <f>VLOOKUP(W65,'Catalogue Aluminium'!$B$9:$G$93,6,FALSE)</f>
        <v>8.1600000000000006E-2</v>
      </c>
      <c r="AC65" s="360">
        <f>26+3</f>
        <v>29</v>
      </c>
      <c r="AD65" s="360">
        <f>11+34+48+35+30+11+24+(15+18+26+22+12+3+15)</f>
        <v>304</v>
      </c>
      <c r="AE65" s="360">
        <f t="shared" si="501"/>
        <v>38</v>
      </c>
      <c r="AF65" s="360">
        <v>8</v>
      </c>
      <c r="AG65" s="360">
        <f t="shared" si="502"/>
        <v>38</v>
      </c>
      <c r="AH65" s="363">
        <f t="shared" si="503"/>
        <v>417</v>
      </c>
      <c r="AI65" s="361">
        <f>IF(T65="AIR",'Catalogue Aluminium'!$K$9,IF(T65="TRENCH",'Catalogue Aluminium'!$K$12,"NA"))</f>
        <v>0.89</v>
      </c>
      <c r="AJ65" s="359">
        <f>IF(T65="Air",(IF(U65="1C",'Catalogue Aluminium'!$L$9,'Catalogue Aluminium'!$M$9)),IF(T65="DUCT",(IF($U65="1C",'Catalogue Aluminium'!$L$10,'Catalogue Aluminium'!$M$10)),IF(T65="GROUND",(IF($U65="1C",'Catalogue Aluminium'!$L$11,'Catalogue Aluminium'!$M$11)),IF(T65="TRENCH",(IF($U65="1C",'Catalogue Aluminium'!$L$12,'Catalogue Aluminium'!$M$12))))))</f>
        <v>0.66</v>
      </c>
      <c r="AK65" s="361" t="str">
        <f>IF(T65="Air",'Catalogue Aluminium'!$N$9,IF(T65="GROUND",'Catalogue Aluminium'!$N$10,IF(T65="DUCT",'Catalogue Aluminium'!$N$11,IF(T65="TRENCH",'Catalogue Aluminium'!$N$12,"NA"))))</f>
        <v>NA</v>
      </c>
      <c r="AL65" s="361" t="str">
        <f>IF(T65="Air",(IF(U65="1C",'Catalogue Aluminium'!$O$9,'Catalogue Aluminium'!$P$9)),IF(T65="DUCT",(IF($U65="1C",'Catalogue Aluminium'!$O$10,'Catalogue Aluminium'!$P$10)),IF(T65="GROUND",(IF($U65="1C",'Catalogue Aluminium'!$O$11,'Catalogue Aluminium'!$P$11)),IF(T65="TRENCH",(IF($U65="1C",'Catalogue Aluminium'!$O$12,'Catalogue Aluminium'!$P$12))))))</f>
        <v>NA</v>
      </c>
      <c r="AM65" s="361" t="str">
        <f>IF(T65="AIR","NA",IF(T65="TRENCH","NA",IF(T65="DUCT",IF(U65="1C",VLOOKUP(V65,'Catalogue Aluminium'!$Q$9:$S$28,2,FALSE),VLOOKUP(V65,'Catalogue Aluminium'!$Q$9:$S$28,3)),IF(T65="GROUND",IF(U65="1C",VLOOKUP(V65,'Catalogue Aluminium'!$Q$9:$S$28,2,FALSE),VLOOKUP(V65,'Catalogue Aluminium'!$Q$9:$S$28,3))))))</f>
        <v>NA</v>
      </c>
      <c r="AN65" s="365">
        <f t="shared" si="504"/>
        <v>0.58740000000000003</v>
      </c>
      <c r="AO65" s="352">
        <f t="shared" si="505"/>
        <v>55.803000000000004</v>
      </c>
      <c r="AP65" s="353">
        <f t="shared" si="10"/>
        <v>1</v>
      </c>
      <c r="AQ65" s="352" t="str">
        <f t="shared" si="506"/>
        <v>YES</v>
      </c>
      <c r="AR65" s="365">
        <f t="shared" si="507"/>
        <v>7.6365351133516306</v>
      </c>
      <c r="AS65" s="496" t="str">
        <f t="shared" si="508"/>
        <v>NO</v>
      </c>
      <c r="AT65" s="365" t="str">
        <f>IF(G65="MOTOR",(SQRT(3)*AH65*O65*((AA65*L65)+(AB65*SIN(ACOS(L65))))*100/(AP65*K65*1000)),"NA")</f>
        <v>NA</v>
      </c>
      <c r="AU65" s="360" t="str">
        <f t="shared" si="510"/>
        <v>NA</v>
      </c>
      <c r="AV65" s="366" t="str">
        <f t="shared" si="511"/>
        <v>1R x 0.6/1kV x 3.5C x 25 Sqmm</v>
      </c>
      <c r="AW65" s="366" t="str">
        <f t="shared" si="512"/>
        <v>1R x 0.6/1kV x 3.5C x 25 Sqmm</v>
      </c>
      <c r="AX65" s="360"/>
      <c r="AY65" s="367"/>
      <c r="AZ65" s="367"/>
      <c r="BA65" s="520" t="str">
        <f t="shared" si="515"/>
        <v/>
      </c>
      <c r="BB65" s="498"/>
      <c r="BC65" s="426"/>
      <c r="BE65" s="368"/>
      <c r="BF65" s="368"/>
      <c r="BG65" s="368"/>
      <c r="BH65" s="368"/>
      <c r="BI65" s="368"/>
      <c r="BJ65" s="368"/>
      <c r="BK65" s="368"/>
      <c r="BL65" s="368"/>
      <c r="BM65" s="368"/>
      <c r="BN65" s="368"/>
      <c r="BO65" s="368"/>
      <c r="BP65" s="368"/>
      <c r="BQ65" s="368"/>
      <c r="BR65" s="368"/>
      <c r="BS65" s="368"/>
      <c r="BT65" s="368"/>
      <c r="BU65" s="368"/>
      <c r="BV65" s="368"/>
      <c r="BW65" s="368"/>
      <c r="BX65" s="368"/>
      <c r="BY65" s="368"/>
      <c r="BZ65" s="368"/>
      <c r="CA65" s="368"/>
      <c r="CB65" s="368"/>
      <c r="CC65" s="368"/>
      <c r="CD65" s="368"/>
      <c r="CE65" s="368"/>
      <c r="CF65" s="368"/>
      <c r="CG65" s="368"/>
      <c r="CH65" s="368"/>
      <c r="CI65" s="368"/>
      <c r="CJ65" s="368"/>
      <c r="CK65" s="368"/>
      <c r="CL65" s="368"/>
      <c r="CM65" s="368"/>
      <c r="CN65" s="368"/>
      <c r="CO65" s="368"/>
      <c r="CP65" s="368"/>
      <c r="CQ65" s="368"/>
      <c r="CR65" s="368"/>
      <c r="CS65" s="368"/>
      <c r="CT65" s="368"/>
      <c r="CU65" s="368"/>
      <c r="CV65" s="368"/>
      <c r="CW65" s="368"/>
      <c r="CX65" s="368"/>
      <c r="CY65" s="368"/>
      <c r="CZ65" s="368"/>
      <c r="DA65" s="368"/>
      <c r="DB65" s="368"/>
      <c r="DC65" s="368"/>
      <c r="DD65" s="368"/>
      <c r="DE65" s="368"/>
      <c r="DF65" s="368"/>
      <c r="DG65" s="368"/>
      <c r="DH65" s="368"/>
      <c r="DI65" s="368"/>
      <c r="DJ65" s="368"/>
      <c r="DK65" s="368"/>
      <c r="DL65" s="368"/>
      <c r="DM65" s="368"/>
      <c r="DN65" s="368"/>
      <c r="DO65" s="368"/>
      <c r="DP65" s="368"/>
      <c r="DQ65" s="368"/>
      <c r="DR65" s="368"/>
      <c r="DS65" s="368"/>
      <c r="DT65" s="368"/>
      <c r="DU65" s="368"/>
      <c r="DV65" s="83"/>
      <c r="DW65" s="368">
        <f t="shared" si="387"/>
        <v>0</v>
      </c>
      <c r="DX65" s="368">
        <f t="shared" si="388"/>
        <v>0</v>
      </c>
      <c r="DY65" s="368">
        <f t="shared" si="389"/>
        <v>0</v>
      </c>
      <c r="DZ65" s="368">
        <f t="shared" si="390"/>
        <v>0</v>
      </c>
      <c r="EA65" s="368">
        <f t="shared" si="391"/>
        <v>0</v>
      </c>
      <c r="EB65" s="368">
        <f t="shared" si="392"/>
        <v>0</v>
      </c>
      <c r="EC65" s="368">
        <f t="shared" si="393"/>
        <v>0</v>
      </c>
      <c r="ED65" s="368">
        <f t="shared" si="209"/>
        <v>0</v>
      </c>
      <c r="EE65" s="368">
        <f t="shared" si="210"/>
        <v>0</v>
      </c>
      <c r="EF65" s="368">
        <f t="shared" si="211"/>
        <v>0</v>
      </c>
      <c r="EG65" s="368">
        <f t="shared" si="212"/>
        <v>0</v>
      </c>
      <c r="EH65" s="368">
        <f t="shared" si="213"/>
        <v>0</v>
      </c>
      <c r="EI65" s="368">
        <f t="shared" si="214"/>
        <v>0</v>
      </c>
      <c r="EJ65" s="368">
        <f t="shared" si="215"/>
        <v>0</v>
      </c>
      <c r="EK65" s="368">
        <f t="shared" si="216"/>
        <v>0</v>
      </c>
      <c r="EL65" s="368">
        <f t="shared" si="217"/>
        <v>0</v>
      </c>
      <c r="EM65" s="368">
        <f t="shared" si="218"/>
        <v>0</v>
      </c>
      <c r="EN65" s="368">
        <f t="shared" si="219"/>
        <v>0</v>
      </c>
      <c r="EO65" s="368">
        <f t="shared" si="220"/>
        <v>0</v>
      </c>
      <c r="EP65" s="368">
        <f t="shared" si="221"/>
        <v>0</v>
      </c>
      <c r="EQ65" s="368">
        <f t="shared" si="222"/>
        <v>0</v>
      </c>
      <c r="ER65" s="368">
        <f t="shared" si="223"/>
        <v>0</v>
      </c>
      <c r="ES65" s="368">
        <f t="shared" si="224"/>
        <v>0</v>
      </c>
      <c r="ET65" s="368">
        <f t="shared" si="224"/>
        <v>0</v>
      </c>
      <c r="EU65" s="368">
        <f t="shared" si="225"/>
        <v>0</v>
      </c>
      <c r="EV65" s="368">
        <f t="shared" si="226"/>
        <v>0</v>
      </c>
      <c r="EW65" s="368">
        <f t="shared" si="227"/>
        <v>0</v>
      </c>
      <c r="EX65" s="368">
        <f t="shared" si="228"/>
        <v>0</v>
      </c>
      <c r="EY65" s="368">
        <f t="shared" si="229"/>
        <v>0</v>
      </c>
      <c r="EZ65" s="368">
        <f t="shared" si="230"/>
        <v>0</v>
      </c>
      <c r="FA65" s="368">
        <f t="shared" si="231"/>
        <v>0</v>
      </c>
      <c r="FB65" s="368">
        <f t="shared" si="232"/>
        <v>0</v>
      </c>
      <c r="FC65" s="368">
        <f t="shared" si="233"/>
        <v>0</v>
      </c>
      <c r="FD65" s="368">
        <f t="shared" si="234"/>
        <v>0</v>
      </c>
      <c r="FE65" s="368">
        <f t="shared" si="235"/>
        <v>0</v>
      </c>
      <c r="FF65" s="368">
        <f t="shared" si="236"/>
        <v>0</v>
      </c>
      <c r="FG65" s="368">
        <f t="shared" si="237"/>
        <v>0</v>
      </c>
      <c r="FH65" s="368">
        <f t="shared" si="238"/>
        <v>0</v>
      </c>
      <c r="FI65" s="368">
        <f t="shared" si="239"/>
        <v>0</v>
      </c>
      <c r="FJ65" s="368">
        <f t="shared" si="240"/>
        <v>0</v>
      </c>
      <c r="FK65" s="368">
        <f t="shared" si="241"/>
        <v>0</v>
      </c>
      <c r="FL65" s="368">
        <f t="shared" si="242"/>
        <v>0</v>
      </c>
      <c r="FM65" s="368">
        <f t="shared" si="243"/>
        <v>0</v>
      </c>
      <c r="FN65" s="368">
        <f t="shared" si="244"/>
        <v>0</v>
      </c>
      <c r="FO65" s="499">
        <f t="shared" si="245"/>
        <v>0</v>
      </c>
      <c r="FP65" s="499">
        <f t="shared" si="246"/>
        <v>0</v>
      </c>
      <c r="FQ65" s="499">
        <f t="shared" si="247"/>
        <v>0</v>
      </c>
      <c r="FR65" s="499">
        <f t="shared" si="248"/>
        <v>0</v>
      </c>
      <c r="FS65" s="499">
        <f t="shared" si="249"/>
        <v>0</v>
      </c>
      <c r="FT65" s="499">
        <f t="shared" si="250"/>
        <v>0</v>
      </c>
      <c r="FU65" s="499"/>
      <c r="FV65" s="499"/>
      <c r="FW65" s="499"/>
      <c r="FX65" s="499"/>
      <c r="FY65" s="499">
        <f t="shared" si="332"/>
        <v>0</v>
      </c>
      <c r="FZ65" s="499">
        <f t="shared" si="333"/>
        <v>0</v>
      </c>
      <c r="GA65" s="499">
        <f t="shared" si="334"/>
        <v>0</v>
      </c>
      <c r="GB65" s="499">
        <f t="shared" si="335"/>
        <v>0</v>
      </c>
      <c r="GC65" s="499">
        <f t="shared" si="336"/>
        <v>0</v>
      </c>
      <c r="GD65" s="499">
        <f t="shared" si="337"/>
        <v>0</v>
      </c>
      <c r="GE65" s="499">
        <f t="shared" si="338"/>
        <v>0</v>
      </c>
      <c r="GF65" s="499">
        <f t="shared" si="339"/>
        <v>0</v>
      </c>
      <c r="GG65" s="499">
        <f t="shared" si="340"/>
        <v>0</v>
      </c>
      <c r="GH65" s="499">
        <f t="shared" si="341"/>
        <v>0</v>
      </c>
      <c r="GI65" s="499">
        <f t="shared" si="342"/>
        <v>0</v>
      </c>
      <c r="GJ65" s="499">
        <f t="shared" si="343"/>
        <v>0</v>
      </c>
      <c r="GK65" s="499">
        <f t="shared" si="344"/>
        <v>0</v>
      </c>
      <c r="GL65" s="499"/>
      <c r="GM65" s="499">
        <f t="shared" si="345"/>
        <v>0</v>
      </c>
    </row>
    <row r="66" spans="1:195" s="83" customFormat="1" ht="20.100000000000001" hidden="1" customHeight="1">
      <c r="A66" s="357" t="s">
        <v>334</v>
      </c>
      <c r="B66" s="357" t="s">
        <v>527</v>
      </c>
      <c r="C66" s="357" t="str">
        <f t="shared" si="494"/>
        <v>PMCC-1</v>
      </c>
      <c r="D66" s="395" t="s">
        <v>550</v>
      </c>
      <c r="E66" s="493" t="s">
        <v>345</v>
      </c>
      <c r="F66" s="357" t="s">
        <v>29</v>
      </c>
      <c r="G66" s="357" t="s">
        <v>329</v>
      </c>
      <c r="H66" s="352">
        <v>1</v>
      </c>
      <c r="I66" s="357" t="s">
        <v>330</v>
      </c>
      <c r="J66" s="357" t="s">
        <v>331</v>
      </c>
      <c r="K66" s="353">
        <v>400</v>
      </c>
      <c r="L66" s="360">
        <v>0.85</v>
      </c>
      <c r="M66" s="352">
        <v>0.95</v>
      </c>
      <c r="N66" s="359">
        <f t="shared" si="495"/>
        <v>1.7875145682437314</v>
      </c>
      <c r="O66" s="359">
        <f t="shared" si="347"/>
        <v>0</v>
      </c>
      <c r="P66" s="360" t="str">
        <f t="shared" si="496"/>
        <v>0.00</v>
      </c>
      <c r="Q66" s="352">
        <v>65</v>
      </c>
      <c r="R66" s="352">
        <v>0</v>
      </c>
      <c r="S66" s="352">
        <f t="shared" si="497"/>
        <v>0</v>
      </c>
      <c r="T66" s="360" t="s">
        <v>131</v>
      </c>
      <c r="U66" s="352" t="s">
        <v>522</v>
      </c>
      <c r="V66" s="360">
        <v>25</v>
      </c>
      <c r="W66" s="360" t="str">
        <f t="shared" si="498"/>
        <v>4C X 25</v>
      </c>
      <c r="X66" s="360" t="str">
        <f t="shared" si="499"/>
        <v>4C X 25</v>
      </c>
      <c r="Y66" s="360" t="s">
        <v>358</v>
      </c>
      <c r="Z66" s="361" t="e">
        <f>IF(T66="AIR",VLOOKUP(W66,'Catalogue Aluminium'!$B$9:$G$93,2,FALSE),IF(T66="GROUND",VLOOKUP(W66,'Catalogue Aluminium'!$B$9:$G$93,3,FALSE),IF(T66="DUCT",VLOOKUP(W66,'Catalogue Aluminium'!$B$9:$G$93,4,FALSE),IF(T66="TRENCH",VLOOKUP(W66,'Catalogue Aluminium'!$B$9:$G$93,2,FALSE)))))</f>
        <v>#N/A</v>
      </c>
      <c r="AA66" s="362" t="e">
        <f>VLOOKUP(W66,'Catalogue Aluminium'!$B$9:$G$93,5,FALSE)</f>
        <v>#N/A</v>
      </c>
      <c r="AB66" s="362" t="e">
        <f>VLOOKUP(W66,'Catalogue Aluminium'!$B$9:$G$93,6,FALSE)</f>
        <v>#N/A</v>
      </c>
      <c r="AC66" s="360">
        <f>35+3</f>
        <v>38</v>
      </c>
      <c r="AD66" s="360">
        <f>11+34+48+35+30+11+24+(15+18+26+22+12+3+15)</f>
        <v>304</v>
      </c>
      <c r="AE66" s="456">
        <f t="shared" si="501"/>
        <v>38</v>
      </c>
      <c r="AF66" s="360">
        <v>8</v>
      </c>
      <c r="AG66" s="360">
        <f t="shared" si="502"/>
        <v>39</v>
      </c>
      <c r="AH66" s="363">
        <f t="shared" si="503"/>
        <v>427</v>
      </c>
      <c r="AI66" s="361">
        <f>IF(T66="AIR",'Catalogue Aluminium'!$K$9,IF(T66="TRENCH",'Catalogue Aluminium'!$K$12,"NA"))</f>
        <v>0.89</v>
      </c>
      <c r="AJ66" s="359">
        <f>IF(T66="Air",(IF(U66="1C",'Catalogue Aluminium'!$L$9,'Catalogue Aluminium'!$M$9)),IF(T66="DUCT",(IF($U66="1C",'Catalogue Aluminium'!$L$10,'Catalogue Aluminium'!$M$10)),IF(T66="GROUND",(IF($U66="1C",'Catalogue Aluminium'!$L$11,'Catalogue Aluminium'!$M$11)),IF(T66="TRENCH",(IF($U66="1C",'Catalogue Aluminium'!$L$12,'Catalogue Aluminium'!$M$12))))))</f>
        <v>0.66</v>
      </c>
      <c r="AK66" s="361" t="str">
        <f>IF(T66="Air",'Catalogue Aluminium'!$N$9,IF(T66="GROUND",'Catalogue Aluminium'!$N$10,IF(T66="DUCT",'Catalogue Aluminium'!$N$11,IF(T66="TRENCH",'Catalogue Aluminium'!$N$12,"NA"))))</f>
        <v>NA</v>
      </c>
      <c r="AL66" s="361" t="str">
        <f>IF(T66="Air",(IF(U66="1C",'Catalogue Aluminium'!$O$9,'Catalogue Aluminium'!$P$9)),IF(T66="DUCT",(IF($U66="1C",'Catalogue Aluminium'!$O$10,'Catalogue Aluminium'!$P$10)),IF(T66="GROUND",(IF($U66="1C",'Catalogue Aluminium'!$O$11,'Catalogue Aluminium'!$P$11)),IF(T66="TRENCH",(IF($U66="1C",'Catalogue Aluminium'!$O$12,'Catalogue Aluminium'!$P$12))))))</f>
        <v>NA</v>
      </c>
      <c r="AM66" s="361" t="str">
        <f>IF(T66="AIR","NA",IF(T66="TRENCH","NA",IF(T66="DUCT",IF(U66="1C",VLOOKUP(V66,'Catalogue Aluminium'!$Q$9:$S$28,2,FALSE),VLOOKUP(V66,'Catalogue Aluminium'!$Q$9:$S$28,3)),IF(T66="GROUND",IF(U66="1C",VLOOKUP(V66,'Catalogue Aluminium'!$Q$9:$S$28,2,FALSE),VLOOKUP(V66,'Catalogue Aluminium'!$Q$9:$S$28,3))))))</f>
        <v>NA</v>
      </c>
      <c r="AN66" s="365">
        <f t="shared" si="504"/>
        <v>0.58740000000000003</v>
      </c>
      <c r="AO66" s="352" t="e">
        <f t="shared" si="505"/>
        <v>#N/A</v>
      </c>
      <c r="AP66" s="353" t="e">
        <f t="shared" si="10"/>
        <v>#N/A</v>
      </c>
      <c r="AQ66" s="352" t="e">
        <f t="shared" si="506"/>
        <v>#N/A</v>
      </c>
      <c r="AR66" s="365" t="e">
        <f t="shared" si="507"/>
        <v>#N/A</v>
      </c>
      <c r="AS66" s="496" t="e">
        <f t="shared" si="508"/>
        <v>#N/A</v>
      </c>
      <c r="AT66" s="365" t="str">
        <f>IF(G66="MOTOR",(SQRT(3)*AH66*O66*((AA66*L66)+(AB66*SIN(ACOS(L66))))*100/(AP66*K66*1000)),"NA")</f>
        <v>NA</v>
      </c>
      <c r="AU66" s="360" t="str">
        <f t="shared" si="510"/>
        <v>NA</v>
      </c>
      <c r="AV66" s="366" t="e">
        <f t="shared" si="511"/>
        <v>#N/A</v>
      </c>
      <c r="AW66" s="366" t="e">
        <f t="shared" si="512"/>
        <v>#N/A</v>
      </c>
      <c r="AX66" s="360"/>
      <c r="AY66" s="367"/>
      <c r="AZ66" s="367"/>
      <c r="BA66" s="520" t="str">
        <f t="shared" si="515"/>
        <v/>
      </c>
      <c r="BB66" s="498"/>
      <c r="BC66" s="426"/>
      <c r="BE66" s="368"/>
      <c r="BF66" s="368"/>
      <c r="BG66" s="368"/>
      <c r="BH66" s="368"/>
      <c r="BI66" s="368"/>
      <c r="BJ66" s="368"/>
      <c r="BK66" s="368"/>
      <c r="BL66" s="368"/>
      <c r="BM66" s="368"/>
      <c r="BN66" s="368"/>
      <c r="BO66" s="368"/>
      <c r="BP66" s="368"/>
      <c r="BQ66" s="368"/>
      <c r="BR66" s="368"/>
      <c r="BS66" s="368"/>
      <c r="BT66" s="368"/>
      <c r="BU66" s="368"/>
      <c r="BV66" s="368"/>
      <c r="BW66" s="368"/>
      <c r="BX66" s="368"/>
      <c r="BY66" s="368"/>
      <c r="BZ66" s="368"/>
      <c r="CA66" s="368"/>
      <c r="CB66" s="368"/>
      <c r="CC66" s="368"/>
      <c r="CD66" s="368"/>
      <c r="CE66" s="368"/>
      <c r="CF66" s="368"/>
      <c r="CG66" s="368"/>
      <c r="CH66" s="368"/>
      <c r="CI66" s="368"/>
      <c r="CJ66" s="368"/>
      <c r="CK66" s="368"/>
      <c r="CL66" s="368"/>
      <c r="CM66" s="368"/>
      <c r="CN66" s="368"/>
      <c r="CO66" s="368"/>
      <c r="CP66" s="368"/>
      <c r="CQ66" s="368"/>
      <c r="CR66" s="368"/>
      <c r="CS66" s="368"/>
      <c r="CT66" s="368"/>
      <c r="CU66" s="368"/>
      <c r="CV66" s="368"/>
      <c r="CW66" s="368"/>
      <c r="CX66" s="368"/>
      <c r="CY66" s="368"/>
      <c r="CZ66" s="368"/>
      <c r="DA66" s="368"/>
      <c r="DB66" s="368"/>
      <c r="DC66" s="368"/>
      <c r="DD66" s="368"/>
      <c r="DE66" s="368"/>
      <c r="DF66" s="368"/>
      <c r="DG66" s="368"/>
      <c r="DH66" s="368"/>
      <c r="DI66" s="368"/>
      <c r="DJ66" s="368"/>
      <c r="DK66" s="368"/>
      <c r="DL66" s="368"/>
      <c r="DM66" s="368"/>
      <c r="DN66" s="368"/>
      <c r="DO66" s="368"/>
      <c r="DP66" s="368"/>
      <c r="DQ66" s="368"/>
      <c r="DR66" s="368"/>
      <c r="DS66" s="368"/>
      <c r="DT66" s="368"/>
      <c r="DU66" s="368"/>
      <c r="DW66" s="368">
        <f t="shared" si="387"/>
        <v>0</v>
      </c>
      <c r="DX66" s="368">
        <f t="shared" si="388"/>
        <v>0</v>
      </c>
      <c r="DY66" s="368">
        <f t="shared" si="389"/>
        <v>0</v>
      </c>
      <c r="DZ66" s="368">
        <f t="shared" si="390"/>
        <v>0</v>
      </c>
      <c r="EA66" s="368">
        <f t="shared" si="391"/>
        <v>0</v>
      </c>
      <c r="EB66" s="368">
        <f t="shared" si="392"/>
        <v>0</v>
      </c>
      <c r="EC66" s="368">
        <f t="shared" si="393"/>
        <v>0</v>
      </c>
      <c r="ED66" s="368">
        <f t="shared" si="209"/>
        <v>0</v>
      </c>
      <c r="EE66" s="368">
        <f t="shared" si="210"/>
        <v>0</v>
      </c>
      <c r="EF66" s="368">
        <f t="shared" si="211"/>
        <v>0</v>
      </c>
      <c r="EG66" s="368">
        <f t="shared" si="212"/>
        <v>0</v>
      </c>
      <c r="EH66" s="368">
        <f t="shared" si="213"/>
        <v>0</v>
      </c>
      <c r="EI66" s="368">
        <f t="shared" si="214"/>
        <v>0</v>
      </c>
      <c r="EJ66" s="368">
        <f t="shared" si="215"/>
        <v>0</v>
      </c>
      <c r="EK66" s="368">
        <f t="shared" si="216"/>
        <v>0</v>
      </c>
      <c r="EL66" s="368">
        <f t="shared" si="217"/>
        <v>0</v>
      </c>
      <c r="EM66" s="368">
        <f t="shared" si="218"/>
        <v>0</v>
      </c>
      <c r="EN66" s="368">
        <f t="shared" si="219"/>
        <v>0</v>
      </c>
      <c r="EO66" s="368">
        <f t="shared" si="220"/>
        <v>0</v>
      </c>
      <c r="EP66" s="368">
        <f t="shared" si="221"/>
        <v>0</v>
      </c>
      <c r="EQ66" s="368">
        <f t="shared" si="222"/>
        <v>0</v>
      </c>
      <c r="ER66" s="368">
        <f t="shared" si="223"/>
        <v>0</v>
      </c>
      <c r="ES66" s="368">
        <f t="shared" si="224"/>
        <v>0</v>
      </c>
      <c r="ET66" s="368">
        <f t="shared" si="224"/>
        <v>0</v>
      </c>
      <c r="EU66" s="368">
        <f t="shared" si="225"/>
        <v>0</v>
      </c>
      <c r="EV66" s="368">
        <f t="shared" si="226"/>
        <v>0</v>
      </c>
      <c r="EW66" s="368">
        <f t="shared" si="227"/>
        <v>0</v>
      </c>
      <c r="EX66" s="368">
        <f t="shared" si="228"/>
        <v>0</v>
      </c>
      <c r="EY66" s="368">
        <f t="shared" si="229"/>
        <v>0</v>
      </c>
      <c r="EZ66" s="368">
        <f t="shared" si="230"/>
        <v>0</v>
      </c>
      <c r="FA66" s="368">
        <f t="shared" si="231"/>
        <v>0</v>
      </c>
      <c r="FB66" s="368">
        <f t="shared" si="232"/>
        <v>0</v>
      </c>
      <c r="FC66" s="368">
        <f t="shared" si="233"/>
        <v>0</v>
      </c>
      <c r="FD66" s="368">
        <f t="shared" si="234"/>
        <v>0</v>
      </c>
      <c r="FE66" s="368">
        <f t="shared" si="235"/>
        <v>0</v>
      </c>
      <c r="FF66" s="368">
        <f t="shared" si="236"/>
        <v>0</v>
      </c>
      <c r="FG66" s="368">
        <f t="shared" si="237"/>
        <v>0</v>
      </c>
      <c r="FH66" s="368">
        <f t="shared" si="238"/>
        <v>0</v>
      </c>
      <c r="FI66" s="368">
        <f t="shared" si="239"/>
        <v>0</v>
      </c>
      <c r="FJ66" s="368">
        <f t="shared" si="240"/>
        <v>0</v>
      </c>
      <c r="FK66" s="368">
        <f t="shared" si="241"/>
        <v>0</v>
      </c>
      <c r="FL66" s="368">
        <f t="shared" si="242"/>
        <v>0</v>
      </c>
      <c r="FM66" s="368">
        <f t="shared" si="243"/>
        <v>0</v>
      </c>
      <c r="FN66" s="368">
        <f t="shared" si="244"/>
        <v>0</v>
      </c>
      <c r="FO66" s="368">
        <f t="shared" si="245"/>
        <v>0</v>
      </c>
      <c r="FP66" s="368">
        <f t="shared" si="246"/>
        <v>0</v>
      </c>
      <c r="FQ66" s="368">
        <f t="shared" si="247"/>
        <v>0</v>
      </c>
      <c r="FR66" s="368">
        <f t="shared" si="248"/>
        <v>0</v>
      </c>
      <c r="FS66" s="368">
        <f t="shared" si="249"/>
        <v>0</v>
      </c>
      <c r="FT66" s="368">
        <f t="shared" si="250"/>
        <v>0</v>
      </c>
      <c r="FU66" s="368"/>
      <c r="FV66" s="368"/>
      <c r="FW66" s="368"/>
      <c r="FX66" s="368"/>
      <c r="FY66" s="368">
        <f t="shared" si="332"/>
        <v>0</v>
      </c>
      <c r="FZ66" s="368">
        <f t="shared" si="333"/>
        <v>0</v>
      </c>
      <c r="GA66" s="368">
        <f t="shared" si="334"/>
        <v>0</v>
      </c>
      <c r="GB66" s="368">
        <f t="shared" si="335"/>
        <v>0</v>
      </c>
      <c r="GC66" s="368">
        <f t="shared" si="336"/>
        <v>0</v>
      </c>
      <c r="GD66" s="368">
        <f t="shared" si="337"/>
        <v>0</v>
      </c>
      <c r="GE66" s="368">
        <f t="shared" si="338"/>
        <v>0</v>
      </c>
      <c r="GF66" s="368">
        <f t="shared" si="339"/>
        <v>0</v>
      </c>
      <c r="GG66" s="368">
        <f t="shared" si="340"/>
        <v>0</v>
      </c>
      <c r="GH66" s="368">
        <f t="shared" si="341"/>
        <v>0</v>
      </c>
      <c r="GI66" s="368">
        <f t="shared" si="342"/>
        <v>0</v>
      </c>
      <c r="GJ66" s="368">
        <f t="shared" si="343"/>
        <v>0</v>
      </c>
      <c r="GK66" s="368">
        <f t="shared" si="344"/>
        <v>0</v>
      </c>
      <c r="GL66" s="368"/>
      <c r="GM66" s="368">
        <f t="shared" si="345"/>
        <v>0</v>
      </c>
    </row>
    <row r="67" spans="1:195" ht="34.5" customHeight="1">
      <c r="A67" s="388">
        <f>1+A63</f>
        <v>43</v>
      </c>
      <c r="B67" s="388">
        <v>0</v>
      </c>
      <c r="C67" s="388" t="s">
        <v>489</v>
      </c>
      <c r="D67" s="338" t="s">
        <v>551</v>
      </c>
      <c r="E67" s="502" t="s">
        <v>345</v>
      </c>
      <c r="F67" s="388" t="s">
        <v>28</v>
      </c>
      <c r="G67" s="388" t="s">
        <v>329</v>
      </c>
      <c r="H67" s="583">
        <v>0.06</v>
      </c>
      <c r="I67" s="388" t="s">
        <v>330</v>
      </c>
      <c r="J67" s="388" t="s">
        <v>357</v>
      </c>
      <c r="K67" s="434">
        <v>230</v>
      </c>
      <c r="L67" s="401">
        <v>0.85</v>
      </c>
      <c r="M67" s="418">
        <v>0.95</v>
      </c>
      <c r="N67" s="392">
        <f t="shared" si="495"/>
        <v>0.32305828509893664</v>
      </c>
      <c r="O67" s="392">
        <f t="shared" si="347"/>
        <v>0</v>
      </c>
      <c r="P67" s="401" t="str">
        <f t="shared" si="496"/>
        <v>0.00</v>
      </c>
      <c r="Q67" s="418">
        <v>65</v>
      </c>
      <c r="R67" s="418">
        <v>0</v>
      </c>
      <c r="S67" s="418">
        <f t="shared" si="497"/>
        <v>0</v>
      </c>
      <c r="T67" s="401" t="s">
        <v>131</v>
      </c>
      <c r="U67" s="418" t="s">
        <v>333</v>
      </c>
      <c r="V67" s="401">
        <v>25</v>
      </c>
      <c r="W67" s="401" t="str">
        <f t="shared" si="498"/>
        <v>3C X 25</v>
      </c>
      <c r="X67" s="401" t="str">
        <f t="shared" si="499"/>
        <v>3C X 25</v>
      </c>
      <c r="Y67" s="401" t="s">
        <v>358</v>
      </c>
      <c r="Z67" s="393">
        <f>IF(T67="AIR",VLOOKUP(W67,'Catalogue Aluminium'!$B$9:$G$93,2,FALSE),IF(T67="GROUND",VLOOKUP(W67,'Catalogue Aluminium'!$B$9:$G$93,3,FALSE),IF(T67="DUCT",VLOOKUP(W67,'Catalogue Aluminium'!$B$9:$G$93,4,FALSE),IF(T67="TRENCH",VLOOKUP(W67,'Catalogue Aluminium'!$B$9:$G$93,2,FALSE)))))</f>
        <v>95</v>
      </c>
      <c r="AA67" s="402">
        <f>VLOOKUP(W67,'Catalogue Aluminium'!$B$9:$G$93,5,FALSE)</f>
        <v>1.54</v>
      </c>
      <c r="AB67" s="402">
        <f>VLOOKUP(W67,'Catalogue Aluminium'!$B$9:$G$93,6,FALSE)</f>
        <v>8.1600000000000006E-2</v>
      </c>
      <c r="AC67" s="401">
        <f>26+3</f>
        <v>29</v>
      </c>
      <c r="AD67" s="401">
        <f>40+50+38+50+17+(27+42+22)</f>
        <v>286</v>
      </c>
      <c r="AE67" s="401">
        <f t="shared" si="501"/>
        <v>38</v>
      </c>
      <c r="AF67" s="401">
        <v>8</v>
      </c>
      <c r="AG67" s="401">
        <f t="shared" si="502"/>
        <v>37</v>
      </c>
      <c r="AH67" s="436">
        <f t="shared" si="503"/>
        <v>398</v>
      </c>
      <c r="AI67" s="393">
        <f>IF(T67="AIR",'Catalogue Aluminium'!$K$9,IF(T67="TRENCH",'Catalogue Aluminium'!$K$12,"NA"))</f>
        <v>0.89</v>
      </c>
      <c r="AJ67" s="392">
        <f>IF(T67="Air",(IF(U67="1C",'Catalogue Aluminium'!$L$9,'Catalogue Aluminium'!$M$9)),IF(T67="DUCT",(IF($U67="1C",'Catalogue Aluminium'!$L$10,'Catalogue Aluminium'!$M$10)),IF(T67="GROUND",(IF($U67="1C",'Catalogue Aluminium'!$L$11,'Catalogue Aluminium'!$M$11)),IF(T67="TRENCH",(IF($U67="1C",'Catalogue Aluminium'!$L$12,'Catalogue Aluminium'!$M$12))))))</f>
        <v>0.66</v>
      </c>
      <c r="AK67" s="393" t="str">
        <f>IF(T67="Air",'Catalogue Aluminium'!$N$9,IF(T67="GROUND",'Catalogue Aluminium'!$N$10,IF(T67="DUCT",'Catalogue Aluminium'!$N$11,IF(T67="TRENCH",'Catalogue Aluminium'!$N$12,"NA"))))</f>
        <v>NA</v>
      </c>
      <c r="AL67" s="393" t="str">
        <f>IF(T67="Air",(IF(U67="1C",'Catalogue Aluminium'!$O$9,'Catalogue Aluminium'!$P$9)),IF(T67="DUCT",(IF($U67="1C",'Catalogue Aluminium'!$O$10,'Catalogue Aluminium'!$P$10)),IF(T67="GROUND",(IF($U67="1C",'Catalogue Aluminium'!$O$11,'Catalogue Aluminium'!$P$11)),IF(T67="TRENCH",(IF($U67="1C",'Catalogue Aluminium'!$O$12,'Catalogue Aluminium'!$P$12))))))</f>
        <v>NA</v>
      </c>
      <c r="AM67" s="393" t="str">
        <f>IF(T67="AIR","NA",IF(T67="TRENCH","NA",IF(T67="DUCT",IF(U67="1C",VLOOKUP(V67,'Catalogue Aluminium'!$Q$9:$S$28,2,FALSE),VLOOKUP(V67,'Catalogue Aluminium'!$Q$9:$S$28,3)),IF(T67="GROUND",IF(U67="1C",VLOOKUP(V67,'Catalogue Aluminium'!$Q$9:$S$28,2,FALSE),VLOOKUP(V67,'Catalogue Aluminium'!$Q$9:$S$28,3))))))</f>
        <v>NA</v>
      </c>
      <c r="AN67" s="437">
        <f t="shared" si="504"/>
        <v>0.58740000000000003</v>
      </c>
      <c r="AO67" s="418">
        <f t="shared" si="505"/>
        <v>55.803000000000004</v>
      </c>
      <c r="AP67" s="434">
        <f t="shared" si="10"/>
        <v>1</v>
      </c>
      <c r="AQ67" s="418" t="str">
        <f t="shared" si="506"/>
        <v>YES</v>
      </c>
      <c r="AR67" s="437">
        <f t="shared" si="507"/>
        <v>0.13090877838090875</v>
      </c>
      <c r="AS67" s="401" t="str">
        <f t="shared" si="508"/>
        <v>YES</v>
      </c>
      <c r="AT67" s="437" t="str">
        <f t="shared" ref="AT67:AT81" si="605">IF(G67="MOTOR",(SQRT(3)*AH67*O67*((AA67*P67)+(AB67*SIN(ACOS(P67))))*100/(AP67*K67*1000)),"NA")</f>
        <v>NA</v>
      </c>
      <c r="AU67" s="401" t="str">
        <f t="shared" si="510"/>
        <v>NA</v>
      </c>
      <c r="AV67" s="503" t="str">
        <f t="shared" si="511"/>
        <v>1R x 0.6/1kV x 3C x 25 Sqmm</v>
      </c>
      <c r="AW67" s="503" t="str">
        <f t="shared" si="512"/>
        <v>1R x 0.6/1kV x 3C x 25 Sqmm</v>
      </c>
      <c r="AX67" s="401">
        <f t="shared" ref="AX67:AX81" si="606">(IF(K67=400,(IF(U67="1C",(4*AH67*AP67),(AH67*AP67))),IF(K67=230,(AH67*AP67))))</f>
        <v>398</v>
      </c>
      <c r="AY67" s="504"/>
      <c r="AZ67" s="504">
        <f t="shared" ref="AZ67:AZ81" si="607">IF(U67="1C",(3*AP67*2),(AP67*2))</f>
        <v>2</v>
      </c>
      <c r="BA67" s="438" t="str">
        <f t="shared" si="515"/>
        <v>ACDEE1E2E3</v>
      </c>
      <c r="BB67" s="505">
        <f>VLOOKUP(W67,'Catalogue Aluminium'!$B$9:$H$93,7,FALSE)</f>
        <v>21</v>
      </c>
      <c r="BC67" s="439">
        <f t="shared" ref="BC67:BC81" si="608">AP67*BB67</f>
        <v>21</v>
      </c>
      <c r="BE67" s="336"/>
      <c r="BF67" s="336">
        <v>1</v>
      </c>
      <c r="BG67" s="336"/>
      <c r="BH67" s="336"/>
      <c r="BI67" s="336">
        <v>1</v>
      </c>
      <c r="BJ67" s="336">
        <v>1</v>
      </c>
      <c r="BK67" s="336"/>
      <c r="BL67" s="336"/>
      <c r="BM67" s="336"/>
      <c r="BN67" s="336">
        <v>1</v>
      </c>
      <c r="BO67" s="336"/>
      <c r="BP67" s="336">
        <v>1</v>
      </c>
      <c r="BQ67" s="336">
        <v>1</v>
      </c>
      <c r="BR67" s="336">
        <v>1</v>
      </c>
      <c r="BS67" s="336"/>
      <c r="BT67" s="336"/>
      <c r="BU67" s="336"/>
      <c r="BV67" s="336"/>
      <c r="BW67" s="336"/>
      <c r="BX67" s="336"/>
      <c r="BY67" s="336"/>
      <c r="BZ67" s="336"/>
      <c r="CA67" s="336"/>
      <c r="CB67" s="336"/>
      <c r="CC67" s="336"/>
      <c r="CD67" s="336"/>
      <c r="CE67" s="336"/>
      <c r="CF67" s="336"/>
      <c r="CG67" s="336"/>
      <c r="CH67" s="336"/>
      <c r="CI67" s="336"/>
      <c r="CJ67" s="336"/>
      <c r="CK67" s="336"/>
      <c r="CL67" s="336"/>
      <c r="CM67" s="336"/>
      <c r="CN67" s="336"/>
      <c r="CO67" s="336"/>
      <c r="CP67" s="336"/>
      <c r="CQ67" s="336"/>
      <c r="CR67" s="336"/>
      <c r="CS67" s="336"/>
      <c r="CT67" s="336"/>
      <c r="CU67" s="336"/>
      <c r="CV67" s="336"/>
      <c r="CW67" s="336"/>
      <c r="CX67" s="336"/>
      <c r="CY67" s="336"/>
      <c r="CZ67" s="336"/>
      <c r="DA67" s="336"/>
      <c r="DB67" s="336"/>
      <c r="DC67" s="336"/>
      <c r="DD67" s="336"/>
      <c r="DE67" s="336"/>
      <c r="DF67" s="336"/>
      <c r="DG67" s="336"/>
      <c r="DH67" s="336"/>
      <c r="DI67" s="336"/>
      <c r="DJ67" s="336"/>
      <c r="DK67" s="336"/>
      <c r="DL67" s="336"/>
      <c r="DM67" s="336"/>
      <c r="DN67" s="336"/>
      <c r="DO67" s="336"/>
      <c r="DP67" s="336"/>
      <c r="DQ67" s="336"/>
      <c r="DR67" s="336"/>
      <c r="DS67" s="336"/>
      <c r="DT67" s="336"/>
      <c r="DU67" s="336"/>
      <c r="DW67" s="336">
        <f t="shared" si="387"/>
        <v>0</v>
      </c>
      <c r="DX67" s="336">
        <f t="shared" si="388"/>
        <v>21</v>
      </c>
      <c r="DY67" s="336">
        <f t="shared" si="389"/>
        <v>0</v>
      </c>
      <c r="DZ67" s="336">
        <f t="shared" si="390"/>
        <v>0</v>
      </c>
      <c r="EA67" s="336">
        <f t="shared" si="391"/>
        <v>21</v>
      </c>
      <c r="EB67" s="336">
        <f t="shared" si="392"/>
        <v>21</v>
      </c>
      <c r="EC67" s="336">
        <f t="shared" si="393"/>
        <v>0</v>
      </c>
      <c r="ED67" s="336">
        <f t="shared" si="209"/>
        <v>0</v>
      </c>
      <c r="EE67" s="336">
        <f t="shared" si="210"/>
        <v>0</v>
      </c>
      <c r="EF67" s="336">
        <f t="shared" si="211"/>
        <v>21</v>
      </c>
      <c r="EG67" s="336">
        <f t="shared" si="212"/>
        <v>0</v>
      </c>
      <c r="EH67" s="336">
        <f t="shared" si="213"/>
        <v>21</v>
      </c>
      <c r="EI67" s="336">
        <f t="shared" si="214"/>
        <v>21</v>
      </c>
      <c r="EJ67" s="336">
        <f t="shared" si="215"/>
        <v>21</v>
      </c>
      <c r="EK67" s="336">
        <f t="shared" si="216"/>
        <v>0</v>
      </c>
      <c r="EL67" s="336">
        <f t="shared" si="217"/>
        <v>0</v>
      </c>
      <c r="EM67" s="336">
        <f t="shared" si="218"/>
        <v>0</v>
      </c>
      <c r="EN67" s="336">
        <f t="shared" si="219"/>
        <v>0</v>
      </c>
      <c r="EO67" s="336">
        <f t="shared" si="220"/>
        <v>0</v>
      </c>
      <c r="EP67" s="336">
        <f t="shared" si="221"/>
        <v>0</v>
      </c>
      <c r="EQ67" s="336">
        <f t="shared" si="222"/>
        <v>0</v>
      </c>
      <c r="ER67" s="336">
        <f t="shared" si="223"/>
        <v>0</v>
      </c>
      <c r="ES67" s="336">
        <f t="shared" si="224"/>
        <v>0</v>
      </c>
      <c r="ET67" s="336">
        <f t="shared" si="224"/>
        <v>0</v>
      </c>
      <c r="EU67" s="336">
        <f t="shared" si="225"/>
        <v>0</v>
      </c>
      <c r="EV67" s="336">
        <f t="shared" si="226"/>
        <v>0</v>
      </c>
      <c r="EW67" s="336">
        <f t="shared" si="227"/>
        <v>0</v>
      </c>
      <c r="EX67" s="336">
        <f t="shared" si="228"/>
        <v>0</v>
      </c>
      <c r="EY67" s="336">
        <f t="shared" si="229"/>
        <v>0</v>
      </c>
      <c r="EZ67" s="336">
        <f t="shared" si="230"/>
        <v>0</v>
      </c>
      <c r="FA67" s="336">
        <f t="shared" si="231"/>
        <v>0</v>
      </c>
      <c r="FB67" s="336">
        <f t="shared" si="232"/>
        <v>0</v>
      </c>
      <c r="FC67" s="336">
        <f t="shared" si="233"/>
        <v>0</v>
      </c>
      <c r="FD67" s="336">
        <f t="shared" si="234"/>
        <v>0</v>
      </c>
      <c r="FE67" s="336">
        <f t="shared" si="235"/>
        <v>0</v>
      </c>
      <c r="FF67" s="336">
        <f t="shared" si="236"/>
        <v>0</v>
      </c>
      <c r="FG67" s="336">
        <f t="shared" si="237"/>
        <v>0</v>
      </c>
      <c r="FH67" s="336">
        <f t="shared" si="238"/>
        <v>0</v>
      </c>
      <c r="FI67" s="336">
        <f t="shared" si="239"/>
        <v>0</v>
      </c>
      <c r="FJ67" s="336">
        <f t="shared" si="240"/>
        <v>0</v>
      </c>
      <c r="FK67" s="336">
        <f t="shared" si="241"/>
        <v>0</v>
      </c>
      <c r="FL67" s="336">
        <f t="shared" si="242"/>
        <v>0</v>
      </c>
      <c r="FM67" s="336">
        <f t="shared" si="243"/>
        <v>0</v>
      </c>
      <c r="FN67" s="336">
        <f t="shared" si="244"/>
        <v>0</v>
      </c>
      <c r="FO67" s="336">
        <f t="shared" si="245"/>
        <v>0</v>
      </c>
      <c r="FP67" s="336">
        <f t="shared" si="246"/>
        <v>0</v>
      </c>
      <c r="FQ67" s="336">
        <f t="shared" si="247"/>
        <v>0</v>
      </c>
      <c r="FR67" s="336">
        <f t="shared" si="248"/>
        <v>0</v>
      </c>
      <c r="FS67" s="336">
        <f t="shared" si="249"/>
        <v>0</v>
      </c>
      <c r="FT67" s="336">
        <f t="shared" si="250"/>
        <v>0</v>
      </c>
      <c r="FU67" s="336">
        <f t="shared" ref="FU67:FU107" si="609">IF(DC67=1,($BC67*DC67),0)</f>
        <v>0</v>
      </c>
      <c r="FV67" s="336">
        <f t="shared" ref="FV67:FV107" si="610">IF(DD67=1,($BC67*DD67),0)</f>
        <v>0</v>
      </c>
      <c r="FW67" s="336">
        <f t="shared" ref="FW67:FW107" si="611">IF(DE67=1,($BC67*DE67),0)</f>
        <v>0</v>
      </c>
      <c r="FX67" s="336">
        <f t="shared" ref="FX67:FX107" si="612">IF(DF67=1,($BC67*DF67),0)</f>
        <v>0</v>
      </c>
      <c r="FY67" s="336">
        <f t="shared" si="332"/>
        <v>0</v>
      </c>
      <c r="FZ67" s="336">
        <f t="shared" si="333"/>
        <v>0</v>
      </c>
      <c r="GA67" s="336">
        <f t="shared" si="334"/>
        <v>0</v>
      </c>
      <c r="GB67" s="336">
        <f t="shared" si="335"/>
        <v>0</v>
      </c>
      <c r="GC67" s="336">
        <f t="shared" si="336"/>
        <v>0</v>
      </c>
      <c r="GD67" s="336">
        <f t="shared" si="337"/>
        <v>0</v>
      </c>
      <c r="GE67" s="336">
        <f t="shared" si="338"/>
        <v>0</v>
      </c>
      <c r="GF67" s="336">
        <f t="shared" si="339"/>
        <v>0</v>
      </c>
      <c r="GG67" s="336">
        <f t="shared" si="340"/>
        <v>0</v>
      </c>
      <c r="GH67" s="336">
        <f t="shared" si="341"/>
        <v>0</v>
      </c>
      <c r="GI67" s="336">
        <f t="shared" si="342"/>
        <v>0</v>
      </c>
      <c r="GJ67" s="336">
        <f t="shared" si="343"/>
        <v>0</v>
      </c>
      <c r="GK67" s="336">
        <f t="shared" si="344"/>
        <v>0</v>
      </c>
      <c r="GL67" s="336">
        <f t="shared" ref="GL67:GL107" si="613">IF(DT67=1,($BC67*DT67),0)</f>
        <v>0</v>
      </c>
      <c r="GM67" s="336">
        <f t="shared" si="345"/>
        <v>0</v>
      </c>
    </row>
    <row r="68" spans="1:195" ht="49.5" customHeight="1">
      <c r="A68" s="388">
        <f t="shared" si="517"/>
        <v>44</v>
      </c>
      <c r="B68" s="388">
        <v>0</v>
      </c>
      <c r="C68" s="388" t="s">
        <v>489</v>
      </c>
      <c r="D68" s="338" t="s">
        <v>552</v>
      </c>
      <c r="E68" s="502" t="s">
        <v>345</v>
      </c>
      <c r="F68" s="388" t="s">
        <v>29</v>
      </c>
      <c r="G68" s="388" t="s">
        <v>329</v>
      </c>
      <c r="H68" s="583">
        <v>0.06</v>
      </c>
      <c r="I68" s="388" t="s">
        <v>330</v>
      </c>
      <c r="J68" s="388" t="s">
        <v>357</v>
      </c>
      <c r="K68" s="434">
        <v>230</v>
      </c>
      <c r="L68" s="401">
        <v>0.85</v>
      </c>
      <c r="M68" s="418">
        <v>0.95</v>
      </c>
      <c r="N68" s="392">
        <f t="shared" si="495"/>
        <v>0.32305828509893664</v>
      </c>
      <c r="O68" s="392">
        <f t="shared" si="347"/>
        <v>0</v>
      </c>
      <c r="P68" s="401" t="str">
        <f t="shared" si="496"/>
        <v>0.00</v>
      </c>
      <c r="Q68" s="418">
        <v>65</v>
      </c>
      <c r="R68" s="418">
        <v>0</v>
      </c>
      <c r="S68" s="418">
        <f t="shared" si="497"/>
        <v>0</v>
      </c>
      <c r="T68" s="401" t="s">
        <v>131</v>
      </c>
      <c r="U68" s="418" t="s">
        <v>333</v>
      </c>
      <c r="V68" s="401">
        <v>25</v>
      </c>
      <c r="W68" s="401" t="str">
        <f t="shared" si="498"/>
        <v>3C X 25</v>
      </c>
      <c r="X68" s="401" t="str">
        <f t="shared" si="499"/>
        <v>3C X 25</v>
      </c>
      <c r="Y68" s="401" t="s">
        <v>358</v>
      </c>
      <c r="Z68" s="393">
        <f>IF(T68="AIR",VLOOKUP(W68,'Catalogue Aluminium'!$B$9:$G$93,2,FALSE),IF(T68="GROUND",VLOOKUP(W68,'Catalogue Aluminium'!$B$9:$G$93,3,FALSE),IF(T68="DUCT",VLOOKUP(W68,'Catalogue Aluminium'!$B$9:$G$93,4,FALSE),IF(T68="TRENCH",VLOOKUP(W68,'Catalogue Aluminium'!$B$9:$G$93,2,FALSE)))))</f>
        <v>95</v>
      </c>
      <c r="AA68" s="402">
        <f>VLOOKUP(W68,'Catalogue Aluminium'!$B$9:$G$93,5,FALSE)</f>
        <v>1.54</v>
      </c>
      <c r="AB68" s="402">
        <f>VLOOKUP(W68,'Catalogue Aluminium'!$B$9:$G$93,6,FALSE)</f>
        <v>8.1600000000000006E-2</v>
      </c>
      <c r="AC68" s="401">
        <f t="shared" ref="AC68" si="614">17+3</f>
        <v>20</v>
      </c>
      <c r="AD68" s="401">
        <f>40+50+38+50+17+(27+42+23)</f>
        <v>287</v>
      </c>
      <c r="AE68" s="401">
        <f t="shared" si="501"/>
        <v>38</v>
      </c>
      <c r="AF68" s="401">
        <v>8</v>
      </c>
      <c r="AG68" s="401">
        <f t="shared" si="502"/>
        <v>36</v>
      </c>
      <c r="AH68" s="436">
        <f t="shared" si="503"/>
        <v>389</v>
      </c>
      <c r="AI68" s="393">
        <f>IF(T68="AIR",'Catalogue Aluminium'!$K$9,IF(T68="TRENCH",'Catalogue Aluminium'!$K$12,"NA"))</f>
        <v>0.89</v>
      </c>
      <c r="AJ68" s="392">
        <f>IF(T68="Air",(IF(U68="1C",'Catalogue Aluminium'!$L$9,'Catalogue Aluminium'!$M$9)),IF(T68="DUCT",(IF($U68="1C",'Catalogue Aluminium'!$L$10,'Catalogue Aluminium'!$M$10)),IF(T68="GROUND",(IF($U68="1C",'Catalogue Aluminium'!$L$11,'Catalogue Aluminium'!$M$11)),IF(T68="TRENCH",(IF($U68="1C",'Catalogue Aluminium'!$L$12,'Catalogue Aluminium'!$M$12))))))</f>
        <v>0.66</v>
      </c>
      <c r="AK68" s="393" t="str">
        <f>IF(T68="Air",'Catalogue Aluminium'!$N$9,IF(T68="GROUND",'Catalogue Aluminium'!$N$10,IF(T68="DUCT",'Catalogue Aluminium'!$N$11,IF(T68="TRENCH",'Catalogue Aluminium'!$N$12,"NA"))))</f>
        <v>NA</v>
      </c>
      <c r="AL68" s="393" t="str">
        <f>IF(T68="Air",(IF(U68="1C",'Catalogue Aluminium'!$O$9,'Catalogue Aluminium'!$P$9)),IF(T68="DUCT",(IF($U68="1C",'Catalogue Aluminium'!$O$10,'Catalogue Aluminium'!$P$10)),IF(T68="GROUND",(IF($U68="1C",'Catalogue Aluminium'!$O$11,'Catalogue Aluminium'!$P$11)),IF(T68="TRENCH",(IF($U68="1C",'Catalogue Aluminium'!$O$12,'Catalogue Aluminium'!$P$12))))))</f>
        <v>NA</v>
      </c>
      <c r="AM68" s="393" t="str">
        <f>IF(T68="AIR","NA",IF(T68="TRENCH","NA",IF(T68="DUCT",IF(U68="1C",VLOOKUP(V68,'Catalogue Aluminium'!$Q$9:$S$28,2,FALSE),VLOOKUP(V68,'Catalogue Aluminium'!$Q$9:$S$28,3)),IF(T68="GROUND",IF(U68="1C",VLOOKUP(V68,'Catalogue Aluminium'!$Q$9:$S$28,2,FALSE),VLOOKUP(V68,'Catalogue Aluminium'!$Q$9:$S$28,3))))))</f>
        <v>NA</v>
      </c>
      <c r="AN68" s="437">
        <f t="shared" si="504"/>
        <v>0.58740000000000003</v>
      </c>
      <c r="AO68" s="418">
        <f t="shared" si="505"/>
        <v>55.803000000000004</v>
      </c>
      <c r="AP68" s="434">
        <f t="shared" si="10"/>
        <v>1</v>
      </c>
      <c r="AQ68" s="418" t="str">
        <f t="shared" si="506"/>
        <v>YES</v>
      </c>
      <c r="AR68" s="437">
        <f t="shared" si="507"/>
        <v>0.12794852962355149</v>
      </c>
      <c r="AS68" s="401" t="str">
        <f t="shared" si="508"/>
        <v>YES</v>
      </c>
      <c r="AT68" s="437" t="str">
        <f t="shared" si="605"/>
        <v>NA</v>
      </c>
      <c r="AU68" s="401" t="str">
        <f t="shared" si="510"/>
        <v>NA</v>
      </c>
      <c r="AV68" s="503" t="str">
        <f t="shared" si="511"/>
        <v>1R x 0.6/1kV x 3C x 25 Sqmm</v>
      </c>
      <c r="AW68" s="503" t="str">
        <f t="shared" si="512"/>
        <v>1R x 0.6/1kV x 3C x 25 Sqmm</v>
      </c>
      <c r="AX68" s="401">
        <f t="shared" si="606"/>
        <v>389</v>
      </c>
      <c r="AY68" s="504"/>
      <c r="AZ68" s="504">
        <f t="shared" si="607"/>
        <v>2</v>
      </c>
      <c r="BA68" s="438" t="str">
        <f t="shared" si="515"/>
        <v>ACDEE1E2E3</v>
      </c>
      <c r="BB68" s="505">
        <f>VLOOKUP(W68,'Catalogue Aluminium'!$B$9:$H$93,7,FALSE)</f>
        <v>21</v>
      </c>
      <c r="BC68" s="439">
        <f t="shared" si="608"/>
        <v>21</v>
      </c>
      <c r="BE68" s="336"/>
      <c r="BF68" s="336">
        <v>1</v>
      </c>
      <c r="BG68" s="336"/>
      <c r="BH68" s="336"/>
      <c r="BI68" s="336">
        <v>1</v>
      </c>
      <c r="BJ68" s="336">
        <v>1</v>
      </c>
      <c r="BK68" s="336"/>
      <c r="BL68" s="336"/>
      <c r="BM68" s="336"/>
      <c r="BN68" s="336">
        <v>1</v>
      </c>
      <c r="BO68" s="336"/>
      <c r="BP68" s="336">
        <v>1</v>
      </c>
      <c r="BQ68" s="336">
        <v>1</v>
      </c>
      <c r="BR68" s="336">
        <v>1</v>
      </c>
      <c r="BS68" s="336"/>
      <c r="BT68" s="336"/>
      <c r="BU68" s="336"/>
      <c r="BV68" s="336"/>
      <c r="BW68" s="336"/>
      <c r="BX68" s="336"/>
      <c r="BY68" s="336"/>
      <c r="BZ68" s="336"/>
      <c r="CA68" s="336"/>
      <c r="CB68" s="336"/>
      <c r="CC68" s="336"/>
      <c r="CD68" s="336"/>
      <c r="CE68" s="336"/>
      <c r="CF68" s="336"/>
      <c r="CG68" s="336"/>
      <c r="CH68" s="336"/>
      <c r="CI68" s="336"/>
      <c r="CJ68" s="336"/>
      <c r="CK68" s="336"/>
      <c r="CL68" s="336"/>
      <c r="CM68" s="336"/>
      <c r="CN68" s="336"/>
      <c r="CO68" s="336"/>
      <c r="CP68" s="336"/>
      <c r="CQ68" s="336"/>
      <c r="CR68" s="336"/>
      <c r="CS68" s="336"/>
      <c r="CT68" s="336"/>
      <c r="CU68" s="336"/>
      <c r="CV68" s="336"/>
      <c r="CW68" s="336"/>
      <c r="CX68" s="336"/>
      <c r="CY68" s="336"/>
      <c r="CZ68" s="336"/>
      <c r="DA68" s="336"/>
      <c r="DB68" s="336"/>
      <c r="DC68" s="336"/>
      <c r="DD68" s="336"/>
      <c r="DE68" s="336"/>
      <c r="DF68" s="336"/>
      <c r="DG68" s="336"/>
      <c r="DH68" s="336"/>
      <c r="DI68" s="336"/>
      <c r="DJ68" s="336"/>
      <c r="DK68" s="336"/>
      <c r="DL68" s="336"/>
      <c r="DM68" s="336"/>
      <c r="DN68" s="336"/>
      <c r="DO68" s="336"/>
      <c r="DP68" s="336"/>
      <c r="DQ68" s="336"/>
      <c r="DR68" s="336"/>
      <c r="DS68" s="336"/>
      <c r="DT68" s="336"/>
      <c r="DU68" s="336"/>
      <c r="DW68" s="336">
        <f t="shared" si="387"/>
        <v>0</v>
      </c>
      <c r="DX68" s="336">
        <f t="shared" si="388"/>
        <v>21</v>
      </c>
      <c r="DY68" s="336">
        <f t="shared" si="389"/>
        <v>0</v>
      </c>
      <c r="DZ68" s="336">
        <f t="shared" si="390"/>
        <v>0</v>
      </c>
      <c r="EA68" s="336">
        <f t="shared" si="391"/>
        <v>21</v>
      </c>
      <c r="EB68" s="336">
        <f t="shared" si="392"/>
        <v>21</v>
      </c>
      <c r="EC68" s="336">
        <f t="shared" si="393"/>
        <v>0</v>
      </c>
      <c r="ED68" s="336">
        <f t="shared" si="209"/>
        <v>0</v>
      </c>
      <c r="EE68" s="336">
        <f t="shared" si="210"/>
        <v>0</v>
      </c>
      <c r="EF68" s="336">
        <f t="shared" si="211"/>
        <v>21</v>
      </c>
      <c r="EG68" s="336">
        <f t="shared" si="212"/>
        <v>0</v>
      </c>
      <c r="EH68" s="336">
        <f t="shared" si="213"/>
        <v>21</v>
      </c>
      <c r="EI68" s="336">
        <f t="shared" si="214"/>
        <v>21</v>
      </c>
      <c r="EJ68" s="336">
        <f t="shared" si="215"/>
        <v>21</v>
      </c>
      <c r="EK68" s="336">
        <f t="shared" si="216"/>
        <v>0</v>
      </c>
      <c r="EL68" s="336">
        <f t="shared" si="217"/>
        <v>0</v>
      </c>
      <c r="EM68" s="336">
        <f t="shared" si="218"/>
        <v>0</v>
      </c>
      <c r="EN68" s="336">
        <f t="shared" si="219"/>
        <v>0</v>
      </c>
      <c r="EO68" s="336">
        <f t="shared" si="220"/>
        <v>0</v>
      </c>
      <c r="EP68" s="336">
        <f t="shared" si="221"/>
        <v>0</v>
      </c>
      <c r="EQ68" s="336">
        <f t="shared" si="222"/>
        <v>0</v>
      </c>
      <c r="ER68" s="336">
        <f t="shared" si="223"/>
        <v>0</v>
      </c>
      <c r="ES68" s="336">
        <f t="shared" si="224"/>
        <v>0</v>
      </c>
      <c r="ET68" s="336">
        <f t="shared" si="224"/>
        <v>0</v>
      </c>
      <c r="EU68" s="336">
        <f t="shared" si="225"/>
        <v>0</v>
      </c>
      <c r="EV68" s="336">
        <f t="shared" si="226"/>
        <v>0</v>
      </c>
      <c r="EW68" s="336">
        <f t="shared" si="227"/>
        <v>0</v>
      </c>
      <c r="EX68" s="336">
        <f t="shared" si="228"/>
        <v>0</v>
      </c>
      <c r="EY68" s="336">
        <f t="shared" si="229"/>
        <v>0</v>
      </c>
      <c r="EZ68" s="336">
        <f t="shared" si="230"/>
        <v>0</v>
      </c>
      <c r="FA68" s="336">
        <f t="shared" si="231"/>
        <v>0</v>
      </c>
      <c r="FB68" s="336">
        <f t="shared" si="232"/>
        <v>0</v>
      </c>
      <c r="FC68" s="336">
        <f t="shared" si="233"/>
        <v>0</v>
      </c>
      <c r="FD68" s="336">
        <f t="shared" si="234"/>
        <v>0</v>
      </c>
      <c r="FE68" s="336">
        <f t="shared" si="235"/>
        <v>0</v>
      </c>
      <c r="FF68" s="336">
        <f t="shared" si="236"/>
        <v>0</v>
      </c>
      <c r="FG68" s="336">
        <f t="shared" si="237"/>
        <v>0</v>
      </c>
      <c r="FH68" s="336">
        <f t="shared" si="238"/>
        <v>0</v>
      </c>
      <c r="FI68" s="336">
        <f t="shared" si="239"/>
        <v>0</v>
      </c>
      <c r="FJ68" s="336">
        <f t="shared" si="240"/>
        <v>0</v>
      </c>
      <c r="FK68" s="336">
        <f t="shared" si="241"/>
        <v>0</v>
      </c>
      <c r="FL68" s="336">
        <f t="shared" si="242"/>
        <v>0</v>
      </c>
      <c r="FM68" s="336">
        <f t="shared" si="243"/>
        <v>0</v>
      </c>
      <c r="FN68" s="336">
        <f t="shared" si="244"/>
        <v>0</v>
      </c>
      <c r="FO68" s="336">
        <f t="shared" si="245"/>
        <v>0</v>
      </c>
      <c r="FP68" s="336">
        <f t="shared" si="246"/>
        <v>0</v>
      </c>
      <c r="FQ68" s="336">
        <f t="shared" si="247"/>
        <v>0</v>
      </c>
      <c r="FR68" s="336">
        <f t="shared" si="248"/>
        <v>0</v>
      </c>
      <c r="FS68" s="336">
        <f t="shared" si="249"/>
        <v>0</v>
      </c>
      <c r="FT68" s="336">
        <f t="shared" si="250"/>
        <v>0</v>
      </c>
      <c r="FU68" s="336">
        <f t="shared" si="609"/>
        <v>0</v>
      </c>
      <c r="FV68" s="336">
        <f t="shared" si="610"/>
        <v>0</v>
      </c>
      <c r="FW68" s="336">
        <f t="shared" si="611"/>
        <v>0</v>
      </c>
      <c r="FX68" s="336">
        <f t="shared" si="612"/>
        <v>0</v>
      </c>
      <c r="FY68" s="336">
        <f t="shared" si="332"/>
        <v>0</v>
      </c>
      <c r="FZ68" s="336">
        <f t="shared" si="333"/>
        <v>0</v>
      </c>
      <c r="GA68" s="336">
        <f t="shared" si="334"/>
        <v>0</v>
      </c>
      <c r="GB68" s="336">
        <f t="shared" si="335"/>
        <v>0</v>
      </c>
      <c r="GC68" s="336">
        <f t="shared" si="336"/>
        <v>0</v>
      </c>
      <c r="GD68" s="336">
        <f t="shared" si="337"/>
        <v>0</v>
      </c>
      <c r="GE68" s="336">
        <f t="shared" si="338"/>
        <v>0</v>
      </c>
      <c r="GF68" s="336">
        <f t="shared" si="339"/>
        <v>0</v>
      </c>
      <c r="GG68" s="336">
        <f t="shared" si="340"/>
        <v>0</v>
      </c>
      <c r="GH68" s="336">
        <f t="shared" si="341"/>
        <v>0</v>
      </c>
      <c r="GI68" s="336">
        <f t="shared" si="342"/>
        <v>0</v>
      </c>
      <c r="GJ68" s="336">
        <f t="shared" si="343"/>
        <v>0</v>
      </c>
      <c r="GK68" s="336">
        <f t="shared" si="344"/>
        <v>0</v>
      </c>
      <c r="GL68" s="336">
        <f t="shared" si="613"/>
        <v>0</v>
      </c>
      <c r="GM68" s="336">
        <f t="shared" si="345"/>
        <v>0</v>
      </c>
    </row>
    <row r="69" spans="1:195" ht="34.5" customHeight="1">
      <c r="A69" s="388">
        <f t="shared" si="517"/>
        <v>45</v>
      </c>
      <c r="B69" s="406" t="s">
        <v>1637</v>
      </c>
      <c r="C69" s="388" t="s">
        <v>489</v>
      </c>
      <c r="D69" s="338" t="s">
        <v>553</v>
      </c>
      <c r="E69" s="502" t="s">
        <v>345</v>
      </c>
      <c r="F69" s="388" t="s">
        <v>28</v>
      </c>
      <c r="G69" s="388" t="s">
        <v>350</v>
      </c>
      <c r="H69" s="418">
        <v>4</v>
      </c>
      <c r="I69" s="388" t="s">
        <v>330</v>
      </c>
      <c r="J69" s="388" t="s">
        <v>331</v>
      </c>
      <c r="K69" s="434">
        <v>400</v>
      </c>
      <c r="L69" s="401">
        <v>0.85</v>
      </c>
      <c r="M69" s="418">
        <v>0.95</v>
      </c>
      <c r="N69" s="392">
        <f t="shared" si="495"/>
        <v>7.1500582729749258</v>
      </c>
      <c r="O69" s="392">
        <f t="shared" si="347"/>
        <v>42.900349637849558</v>
      </c>
      <c r="P69" s="401">
        <f t="shared" si="496"/>
        <v>0.2</v>
      </c>
      <c r="Q69" s="418">
        <v>65</v>
      </c>
      <c r="R69" s="418">
        <v>0</v>
      </c>
      <c r="S69" s="418">
        <f t="shared" si="497"/>
        <v>0</v>
      </c>
      <c r="T69" s="401" t="s">
        <v>131</v>
      </c>
      <c r="U69" s="418" t="s">
        <v>333</v>
      </c>
      <c r="V69" s="401">
        <v>16</v>
      </c>
      <c r="W69" s="401" t="str">
        <f t="shared" si="498"/>
        <v>3C X 16</v>
      </c>
      <c r="X69" s="401" t="str">
        <f t="shared" si="499"/>
        <v>3C X 16+PE</v>
      </c>
      <c r="Y69" s="401" t="s">
        <v>358</v>
      </c>
      <c r="Z69" s="393">
        <f>IF(T69="AIR",VLOOKUP(W69,'Catalogue Aluminium'!$B$9:$G$93,2,FALSE),IF(T69="GROUND",VLOOKUP(W69,'Catalogue Aluminium'!$B$9:$G$93,3,FALSE),IF(T69="DUCT",VLOOKUP(W69,'Catalogue Aluminium'!$B$9:$G$93,4,FALSE),IF(T69="TRENCH",VLOOKUP(W69,'Catalogue Aluminium'!$B$9:$G$93,2,FALSE)))))</f>
        <v>70</v>
      </c>
      <c r="AA69" s="402">
        <f>VLOOKUP(W69,'Catalogue Aluminium'!$B$9:$G$93,5,FALSE)</f>
        <v>2.44</v>
      </c>
      <c r="AB69" s="402">
        <f>VLOOKUP(W69,'Catalogue Aluminium'!$B$9:$G$93,6,FALSE)</f>
        <v>8.1500000000000003E-2</v>
      </c>
      <c r="AC69" s="401">
        <f>26+3</f>
        <v>29</v>
      </c>
      <c r="AD69" s="401">
        <f>40+50+38+50+17+(27+42+22)</f>
        <v>286</v>
      </c>
      <c r="AE69" s="401">
        <f t="shared" si="501"/>
        <v>38</v>
      </c>
      <c r="AF69" s="401">
        <v>8</v>
      </c>
      <c r="AG69" s="401">
        <f t="shared" si="502"/>
        <v>37</v>
      </c>
      <c r="AH69" s="436">
        <f t="shared" si="503"/>
        <v>398</v>
      </c>
      <c r="AI69" s="393">
        <f>IF(T69="AIR",'Catalogue Aluminium'!$K$9,IF(T69="TRENCH",'Catalogue Aluminium'!$K$12,"NA"))</f>
        <v>0.89</v>
      </c>
      <c r="AJ69" s="392">
        <f>IF(T69="Air",(IF(U69="1C",'Catalogue Aluminium'!$L$9,'Catalogue Aluminium'!$M$9)),IF(T69="DUCT",(IF($U69="1C",'Catalogue Aluminium'!$L$10,'Catalogue Aluminium'!$M$10)),IF(T69="GROUND",(IF($U69="1C",'Catalogue Aluminium'!$L$11,'Catalogue Aluminium'!$M$11)),IF(T69="TRENCH",(IF($U69="1C",'Catalogue Aluminium'!$L$12,'Catalogue Aluminium'!$M$12))))))</f>
        <v>0.66</v>
      </c>
      <c r="AK69" s="393" t="str">
        <f>IF(T69="Air",'Catalogue Aluminium'!$N$9,IF(T69="GROUND",'Catalogue Aluminium'!$N$10,IF(T69="DUCT",'Catalogue Aluminium'!$N$11,IF(T69="TRENCH",'Catalogue Aluminium'!$N$12,"NA"))))</f>
        <v>NA</v>
      </c>
      <c r="AL69" s="393" t="str">
        <f>IF(T69="Air",(IF(U69="1C",'Catalogue Aluminium'!$O$9,'Catalogue Aluminium'!$P$9)),IF(T69="DUCT",(IF($U69="1C",'Catalogue Aluminium'!$O$10,'Catalogue Aluminium'!$P$10)),IF(T69="GROUND",(IF($U69="1C",'Catalogue Aluminium'!$O$11,'Catalogue Aluminium'!$P$11)),IF(T69="TRENCH",(IF($U69="1C",'Catalogue Aluminium'!$O$12,'Catalogue Aluminium'!$P$12))))))</f>
        <v>NA</v>
      </c>
      <c r="AM69" s="393" t="str">
        <f>IF(T69="AIR","NA",IF(T69="TRENCH","NA",IF(T69="DUCT",IF(U69="1C",VLOOKUP(V69,'Catalogue Aluminium'!$Q$9:$S$28,2,FALSE),VLOOKUP(V69,'Catalogue Aluminium'!$Q$9:$S$28,3)),IF(T69="GROUND",IF(U69="1C",VLOOKUP(V69,'Catalogue Aluminium'!$Q$9:$S$28,2,FALSE),VLOOKUP(V69,'Catalogue Aluminium'!$Q$9:$S$28,3))))))</f>
        <v>NA</v>
      </c>
      <c r="AN69" s="437">
        <f t="shared" si="504"/>
        <v>0.58740000000000003</v>
      </c>
      <c r="AO69" s="418">
        <f t="shared" si="505"/>
        <v>41.118000000000002</v>
      </c>
      <c r="AP69" s="434">
        <f t="shared" si="10"/>
        <v>1</v>
      </c>
      <c r="AQ69" s="418" t="str">
        <f t="shared" si="506"/>
        <v>YES</v>
      </c>
      <c r="AR69" s="437">
        <f t="shared" si="507"/>
        <v>2.6085571690749925</v>
      </c>
      <c r="AS69" s="401" t="str">
        <f t="shared" si="508"/>
        <v>YES</v>
      </c>
      <c r="AT69" s="437">
        <f t="shared" si="605"/>
        <v>4.198370327649557</v>
      </c>
      <c r="AU69" s="401" t="str">
        <f t="shared" si="510"/>
        <v>YES</v>
      </c>
      <c r="AV69" s="503" t="str">
        <f t="shared" si="511"/>
        <v>1R x 0.6/1kV x 3C x 16 Sqmm</v>
      </c>
      <c r="AW69" s="503" t="str">
        <f t="shared" si="512"/>
        <v>1R x 0.6/1kV x 3C x 16+PE Sqmm</v>
      </c>
      <c r="AX69" s="401">
        <f t="shared" si="606"/>
        <v>398</v>
      </c>
      <c r="AY69" s="504"/>
      <c r="AZ69" s="504">
        <f t="shared" si="607"/>
        <v>2</v>
      </c>
      <c r="BA69" s="438" t="str">
        <f t="shared" si="515"/>
        <v>ACDEE1E2E3</v>
      </c>
      <c r="BB69" s="505">
        <f>VLOOKUP(W69,'Catalogue Aluminium'!$B$9:$H$93,7,FALSE)</f>
        <v>19</v>
      </c>
      <c r="BC69" s="439">
        <f t="shared" si="608"/>
        <v>19</v>
      </c>
      <c r="BE69" s="336"/>
      <c r="BF69" s="336">
        <v>1</v>
      </c>
      <c r="BG69" s="336"/>
      <c r="BH69" s="336"/>
      <c r="BI69" s="336">
        <v>1</v>
      </c>
      <c r="BJ69" s="336">
        <v>1</v>
      </c>
      <c r="BK69" s="336"/>
      <c r="BL69" s="336"/>
      <c r="BM69" s="336"/>
      <c r="BN69" s="336">
        <v>1</v>
      </c>
      <c r="BO69" s="336"/>
      <c r="BP69" s="336">
        <v>1</v>
      </c>
      <c r="BQ69" s="336">
        <v>1</v>
      </c>
      <c r="BR69" s="336">
        <v>1</v>
      </c>
      <c r="BS69" s="336"/>
      <c r="BT69" s="336"/>
      <c r="BU69" s="336"/>
      <c r="BV69" s="336"/>
      <c r="BW69" s="336"/>
      <c r="BX69" s="336"/>
      <c r="BY69" s="336"/>
      <c r="BZ69" s="336"/>
      <c r="CA69" s="336"/>
      <c r="CB69" s="336"/>
      <c r="CC69" s="336"/>
      <c r="CD69" s="336"/>
      <c r="CE69" s="336"/>
      <c r="CF69" s="336"/>
      <c r="CG69" s="336"/>
      <c r="CH69" s="336"/>
      <c r="CI69" s="336"/>
      <c r="CJ69" s="336"/>
      <c r="CK69" s="336"/>
      <c r="CL69" s="336"/>
      <c r="CM69" s="336"/>
      <c r="CN69" s="336"/>
      <c r="CO69" s="336"/>
      <c r="CP69" s="336"/>
      <c r="CQ69" s="336"/>
      <c r="CR69" s="336"/>
      <c r="CS69" s="336"/>
      <c r="CT69" s="336"/>
      <c r="CU69" s="336"/>
      <c r="CV69" s="336"/>
      <c r="CW69" s="336"/>
      <c r="CX69" s="336"/>
      <c r="CY69" s="336"/>
      <c r="CZ69" s="336"/>
      <c r="DA69" s="336"/>
      <c r="DB69" s="336"/>
      <c r="DC69" s="336"/>
      <c r="DD69" s="336"/>
      <c r="DE69" s="336"/>
      <c r="DF69" s="336"/>
      <c r="DG69" s="336"/>
      <c r="DH69" s="336"/>
      <c r="DI69" s="336"/>
      <c r="DJ69" s="336"/>
      <c r="DK69" s="336"/>
      <c r="DL69" s="336"/>
      <c r="DM69" s="336"/>
      <c r="DN69" s="336"/>
      <c r="DO69" s="336"/>
      <c r="DP69" s="336"/>
      <c r="DQ69" s="336"/>
      <c r="DR69" s="336"/>
      <c r="DS69" s="336"/>
      <c r="DT69" s="336"/>
      <c r="DU69" s="336"/>
      <c r="DW69" s="336">
        <f t="shared" si="387"/>
        <v>0</v>
      </c>
      <c r="DX69" s="336">
        <f t="shared" si="388"/>
        <v>19</v>
      </c>
      <c r="DY69" s="336">
        <f t="shared" si="389"/>
        <v>0</v>
      </c>
      <c r="DZ69" s="336">
        <f t="shared" si="390"/>
        <v>0</v>
      </c>
      <c r="EA69" s="336">
        <f t="shared" si="391"/>
        <v>19</v>
      </c>
      <c r="EB69" s="336">
        <f t="shared" si="392"/>
        <v>19</v>
      </c>
      <c r="EC69" s="336">
        <f t="shared" si="393"/>
        <v>0</v>
      </c>
      <c r="ED69" s="336">
        <f t="shared" si="209"/>
        <v>0</v>
      </c>
      <c r="EE69" s="336">
        <f t="shared" si="210"/>
        <v>0</v>
      </c>
      <c r="EF69" s="336">
        <f t="shared" si="211"/>
        <v>19</v>
      </c>
      <c r="EG69" s="336">
        <f t="shared" si="212"/>
        <v>0</v>
      </c>
      <c r="EH69" s="336">
        <f t="shared" si="213"/>
        <v>19</v>
      </c>
      <c r="EI69" s="336">
        <f t="shared" si="214"/>
        <v>19</v>
      </c>
      <c r="EJ69" s="336">
        <f t="shared" si="215"/>
        <v>19</v>
      </c>
      <c r="EK69" s="336">
        <f t="shared" si="216"/>
        <v>0</v>
      </c>
      <c r="EL69" s="336">
        <f t="shared" si="217"/>
        <v>0</v>
      </c>
      <c r="EM69" s="336">
        <f t="shared" si="218"/>
        <v>0</v>
      </c>
      <c r="EN69" s="336">
        <f t="shared" si="219"/>
        <v>0</v>
      </c>
      <c r="EO69" s="336">
        <f t="shared" si="220"/>
        <v>0</v>
      </c>
      <c r="EP69" s="336">
        <f t="shared" si="221"/>
        <v>0</v>
      </c>
      <c r="EQ69" s="336">
        <f t="shared" si="222"/>
        <v>0</v>
      </c>
      <c r="ER69" s="336">
        <f t="shared" si="223"/>
        <v>0</v>
      </c>
      <c r="ES69" s="336">
        <f t="shared" si="224"/>
        <v>0</v>
      </c>
      <c r="ET69" s="336">
        <f t="shared" si="224"/>
        <v>0</v>
      </c>
      <c r="EU69" s="336">
        <f t="shared" si="225"/>
        <v>0</v>
      </c>
      <c r="EV69" s="336">
        <f t="shared" si="226"/>
        <v>0</v>
      </c>
      <c r="EW69" s="336">
        <f t="shared" si="227"/>
        <v>0</v>
      </c>
      <c r="EX69" s="336">
        <f t="shared" si="228"/>
        <v>0</v>
      </c>
      <c r="EY69" s="336">
        <f t="shared" si="229"/>
        <v>0</v>
      </c>
      <c r="EZ69" s="336">
        <f t="shared" si="230"/>
        <v>0</v>
      </c>
      <c r="FA69" s="336">
        <f t="shared" si="231"/>
        <v>0</v>
      </c>
      <c r="FB69" s="336">
        <f t="shared" si="232"/>
        <v>0</v>
      </c>
      <c r="FC69" s="336">
        <f t="shared" si="233"/>
        <v>0</v>
      </c>
      <c r="FD69" s="336">
        <f t="shared" si="234"/>
        <v>0</v>
      </c>
      <c r="FE69" s="336">
        <f t="shared" si="235"/>
        <v>0</v>
      </c>
      <c r="FF69" s="336">
        <f t="shared" si="236"/>
        <v>0</v>
      </c>
      <c r="FG69" s="336">
        <f t="shared" si="237"/>
        <v>0</v>
      </c>
      <c r="FH69" s="336">
        <f t="shared" si="238"/>
        <v>0</v>
      </c>
      <c r="FI69" s="336">
        <f t="shared" si="239"/>
        <v>0</v>
      </c>
      <c r="FJ69" s="336">
        <f t="shared" si="240"/>
        <v>0</v>
      </c>
      <c r="FK69" s="336">
        <f t="shared" si="241"/>
        <v>0</v>
      </c>
      <c r="FL69" s="336">
        <f t="shared" si="242"/>
        <v>0</v>
      </c>
      <c r="FM69" s="336">
        <f t="shared" si="243"/>
        <v>0</v>
      </c>
      <c r="FN69" s="336">
        <f t="shared" si="244"/>
        <v>0</v>
      </c>
      <c r="FO69" s="336">
        <f t="shared" si="245"/>
        <v>0</v>
      </c>
      <c r="FP69" s="336">
        <f t="shared" si="246"/>
        <v>0</v>
      </c>
      <c r="FQ69" s="336">
        <f t="shared" si="247"/>
        <v>0</v>
      </c>
      <c r="FR69" s="336">
        <f t="shared" si="248"/>
        <v>0</v>
      </c>
      <c r="FS69" s="336">
        <f t="shared" si="249"/>
        <v>0</v>
      </c>
      <c r="FT69" s="336">
        <f t="shared" si="250"/>
        <v>0</v>
      </c>
      <c r="FU69" s="336">
        <f t="shared" si="609"/>
        <v>0</v>
      </c>
      <c r="FV69" s="336">
        <f t="shared" si="610"/>
        <v>0</v>
      </c>
      <c r="FW69" s="336">
        <f t="shared" si="611"/>
        <v>0</v>
      </c>
      <c r="FX69" s="336">
        <f t="shared" si="612"/>
        <v>0</v>
      </c>
      <c r="FY69" s="336">
        <f t="shared" si="332"/>
        <v>0</v>
      </c>
      <c r="FZ69" s="336">
        <f t="shared" si="333"/>
        <v>0</v>
      </c>
      <c r="GA69" s="336">
        <f t="shared" si="334"/>
        <v>0</v>
      </c>
      <c r="GB69" s="336">
        <f t="shared" si="335"/>
        <v>0</v>
      </c>
      <c r="GC69" s="336">
        <f t="shared" si="336"/>
        <v>0</v>
      </c>
      <c r="GD69" s="336">
        <f t="shared" si="337"/>
        <v>0</v>
      </c>
      <c r="GE69" s="336">
        <f t="shared" si="338"/>
        <v>0</v>
      </c>
      <c r="GF69" s="336">
        <f t="shared" si="339"/>
        <v>0</v>
      </c>
      <c r="GG69" s="336">
        <f t="shared" si="340"/>
        <v>0</v>
      </c>
      <c r="GH69" s="336">
        <f t="shared" si="341"/>
        <v>0</v>
      </c>
      <c r="GI69" s="336">
        <f t="shared" si="342"/>
        <v>0</v>
      </c>
      <c r="GJ69" s="336">
        <f t="shared" si="343"/>
        <v>0</v>
      </c>
      <c r="GK69" s="336">
        <f t="shared" si="344"/>
        <v>0</v>
      </c>
      <c r="GL69" s="336">
        <f t="shared" si="613"/>
        <v>0</v>
      </c>
      <c r="GM69" s="336">
        <f t="shared" si="345"/>
        <v>0</v>
      </c>
    </row>
    <row r="70" spans="1:195" ht="34.5" customHeight="1">
      <c r="A70" s="388">
        <f t="shared" si="517"/>
        <v>46</v>
      </c>
      <c r="B70" s="337">
        <v>0</v>
      </c>
      <c r="C70" s="388" t="s">
        <v>489</v>
      </c>
      <c r="D70" s="338" t="s">
        <v>554</v>
      </c>
      <c r="E70" s="502" t="s">
        <v>555</v>
      </c>
      <c r="F70" s="522" t="s">
        <v>29</v>
      </c>
      <c r="G70" s="388" t="s">
        <v>329</v>
      </c>
      <c r="H70" s="418">
        <v>1</v>
      </c>
      <c r="I70" s="388" t="s">
        <v>330</v>
      </c>
      <c r="J70" s="388" t="s">
        <v>357</v>
      </c>
      <c r="K70" s="434">
        <v>230</v>
      </c>
      <c r="L70" s="401">
        <v>0.85</v>
      </c>
      <c r="M70" s="418">
        <v>0.95</v>
      </c>
      <c r="N70" s="392">
        <f t="shared" si="495"/>
        <v>5.3843047516489433</v>
      </c>
      <c r="O70" s="392">
        <f t="shared" si="347"/>
        <v>0</v>
      </c>
      <c r="P70" s="401" t="str">
        <f t="shared" si="496"/>
        <v>0.00</v>
      </c>
      <c r="Q70" s="418">
        <v>65</v>
      </c>
      <c r="R70" s="418">
        <v>0</v>
      </c>
      <c r="S70" s="418">
        <f t="shared" si="497"/>
        <v>0</v>
      </c>
      <c r="T70" s="401" t="s">
        <v>131</v>
      </c>
      <c r="U70" s="418" t="s">
        <v>333</v>
      </c>
      <c r="V70" s="401">
        <v>25</v>
      </c>
      <c r="W70" s="401" t="str">
        <f t="shared" si="498"/>
        <v>3C X 25</v>
      </c>
      <c r="X70" s="401" t="str">
        <f t="shared" si="499"/>
        <v>3C X 25</v>
      </c>
      <c r="Y70" s="401" t="s">
        <v>358</v>
      </c>
      <c r="Z70" s="393">
        <f>IF(T70="AIR",VLOOKUP(W70,'Catalogue Aluminium'!$B$9:$G$93,2,FALSE),IF(T70="GROUND",VLOOKUP(W70,'Catalogue Aluminium'!$B$9:$G$93,3,FALSE),IF(T70="DUCT",VLOOKUP(W70,'Catalogue Aluminium'!$B$9:$G$93,4,FALSE),IF(T70="TRENCH",VLOOKUP(W70,'Catalogue Aluminium'!$B$9:$G$93,2,FALSE)))))</f>
        <v>95</v>
      </c>
      <c r="AA70" s="402">
        <f>VLOOKUP(W70,'Catalogue Aluminium'!$B$9:$G$93,5,FALSE)</f>
        <v>1.54</v>
      </c>
      <c r="AB70" s="402">
        <f>VLOOKUP(W70,'Catalogue Aluminium'!$B$9:$G$93,6,FALSE)</f>
        <v>8.1600000000000006E-2</v>
      </c>
      <c r="AC70" s="401">
        <f t="shared" ref="AC70" si="615">17+3</f>
        <v>20</v>
      </c>
      <c r="AD70" s="401">
        <v>80</v>
      </c>
      <c r="AE70" s="401">
        <v>5</v>
      </c>
      <c r="AF70" s="401">
        <v>8</v>
      </c>
      <c r="AG70" s="401">
        <f t="shared" si="502"/>
        <v>12</v>
      </c>
      <c r="AH70" s="436">
        <f t="shared" si="503"/>
        <v>125</v>
      </c>
      <c r="AI70" s="393">
        <f>IF(T70="AIR",'Catalogue Aluminium'!$K$9,IF(T70="TRENCH",'Catalogue Aluminium'!$K$12,"NA"))</f>
        <v>0.89</v>
      </c>
      <c r="AJ70" s="392">
        <f>IF(T70="Air",(IF(U70="1C",'Catalogue Aluminium'!$L$9,'Catalogue Aluminium'!$M$9)),IF(T70="DUCT",(IF($U70="1C",'Catalogue Aluminium'!$L$10,'Catalogue Aluminium'!$M$10)),IF(T70="GROUND",(IF($U70="1C",'Catalogue Aluminium'!$L$11,'Catalogue Aluminium'!$M$11)),IF(T70="TRENCH",(IF($U70="1C",'Catalogue Aluminium'!$L$12,'Catalogue Aluminium'!$M$12))))))</f>
        <v>0.66</v>
      </c>
      <c r="AK70" s="393" t="str">
        <f>IF(T70="Air",'Catalogue Aluminium'!$N$9,IF(T70="GROUND",'Catalogue Aluminium'!$N$10,IF(T70="DUCT",'Catalogue Aluminium'!$N$11,IF(T70="TRENCH",'Catalogue Aluminium'!$N$12,"NA"))))</f>
        <v>NA</v>
      </c>
      <c r="AL70" s="393" t="str">
        <f>IF(T70="Air",(IF(U70="1C",'Catalogue Aluminium'!$O$9,'Catalogue Aluminium'!$P$9)),IF(T70="DUCT",(IF($U70="1C",'Catalogue Aluminium'!$O$10,'Catalogue Aluminium'!$P$10)),IF(T70="GROUND",(IF($U70="1C",'Catalogue Aluminium'!$O$11,'Catalogue Aluminium'!$P$11)),IF(T70="TRENCH",(IF($U70="1C",'Catalogue Aluminium'!$O$12,'Catalogue Aluminium'!$P$12))))))</f>
        <v>NA</v>
      </c>
      <c r="AM70" s="393" t="str">
        <f>IF(T70="AIR","NA",IF(T70="TRENCH","NA",IF(T70="DUCT",IF(U70="1C",VLOOKUP(V70,'Catalogue Aluminium'!$Q$9:$S$28,2,FALSE),VLOOKUP(V70,'Catalogue Aluminium'!$Q$9:$S$28,3)),IF(T70="GROUND",IF(U70="1C",VLOOKUP(V70,'Catalogue Aluminium'!$Q$9:$S$28,2,FALSE),VLOOKUP(V70,'Catalogue Aluminium'!$Q$9:$S$28,3))))))</f>
        <v>NA</v>
      </c>
      <c r="AN70" s="437">
        <f t="shared" si="504"/>
        <v>0.58740000000000003</v>
      </c>
      <c r="AO70" s="418">
        <f t="shared" si="505"/>
        <v>55.803000000000004</v>
      </c>
      <c r="AP70" s="434">
        <f t="shared" si="10"/>
        <v>1</v>
      </c>
      <c r="AQ70" s="418" t="str">
        <f t="shared" si="506"/>
        <v>YES</v>
      </c>
      <c r="AR70" s="437">
        <f t="shared" si="507"/>
        <v>0.68524276790676686</v>
      </c>
      <c r="AS70" s="401" t="str">
        <f t="shared" si="508"/>
        <v>YES</v>
      </c>
      <c r="AT70" s="437" t="str">
        <f t="shared" si="605"/>
        <v>NA</v>
      </c>
      <c r="AU70" s="401" t="str">
        <f t="shared" si="510"/>
        <v>NA</v>
      </c>
      <c r="AV70" s="503" t="str">
        <f t="shared" si="511"/>
        <v>1R x 0.6/1kV x 3C x 25 Sqmm</v>
      </c>
      <c r="AW70" s="503" t="str">
        <f t="shared" si="512"/>
        <v>1R x 0.6/1kV x 3C x 25 Sqmm</v>
      </c>
      <c r="AX70" s="401">
        <f t="shared" si="606"/>
        <v>125</v>
      </c>
      <c r="AY70" s="504"/>
      <c r="AZ70" s="504">
        <f t="shared" si="607"/>
        <v>2</v>
      </c>
      <c r="BA70" s="438" t="str">
        <f t="shared" si="515"/>
        <v>AB</v>
      </c>
      <c r="BB70" s="505">
        <f>VLOOKUP(W70,'Catalogue Aluminium'!$B$9:$H$93,7,FALSE)</f>
        <v>21</v>
      </c>
      <c r="BC70" s="439">
        <f t="shared" si="608"/>
        <v>21</v>
      </c>
      <c r="BE70" s="336"/>
      <c r="BF70" s="336">
        <v>1</v>
      </c>
      <c r="BG70" s="336">
        <v>1</v>
      </c>
      <c r="BH70" s="336"/>
      <c r="BI70" s="336"/>
      <c r="BJ70" s="336"/>
      <c r="BK70" s="336"/>
      <c r="BL70" s="336"/>
      <c r="BM70" s="336"/>
      <c r="BN70" s="336"/>
      <c r="BO70" s="336"/>
      <c r="BP70" s="336"/>
      <c r="BQ70" s="336"/>
      <c r="BR70" s="336"/>
      <c r="BS70" s="336"/>
      <c r="BT70" s="336"/>
      <c r="BU70" s="336"/>
      <c r="BV70" s="336"/>
      <c r="BW70" s="336"/>
      <c r="BX70" s="336"/>
      <c r="BY70" s="336"/>
      <c r="BZ70" s="336"/>
      <c r="CA70" s="336"/>
      <c r="CB70" s="336"/>
      <c r="CC70" s="336"/>
      <c r="CD70" s="336"/>
      <c r="CE70" s="336"/>
      <c r="CF70" s="336"/>
      <c r="CG70" s="336"/>
      <c r="CH70" s="336"/>
      <c r="CI70" s="336"/>
      <c r="CJ70" s="336"/>
      <c r="CK70" s="336"/>
      <c r="CL70" s="336"/>
      <c r="CM70" s="336"/>
      <c r="CN70" s="336"/>
      <c r="CO70" s="336"/>
      <c r="CP70" s="336"/>
      <c r="CQ70" s="336"/>
      <c r="CR70" s="336"/>
      <c r="CS70" s="336"/>
      <c r="CT70" s="336"/>
      <c r="CU70" s="336"/>
      <c r="CV70" s="336"/>
      <c r="CW70" s="336"/>
      <c r="CX70" s="336"/>
      <c r="CY70" s="336"/>
      <c r="CZ70" s="336"/>
      <c r="DA70" s="336"/>
      <c r="DB70" s="336"/>
      <c r="DC70" s="336"/>
      <c r="DD70" s="336"/>
      <c r="DE70" s="336"/>
      <c r="DF70" s="336"/>
      <c r="DG70" s="336"/>
      <c r="DH70" s="336"/>
      <c r="DI70" s="336"/>
      <c r="DJ70" s="336"/>
      <c r="DK70" s="336"/>
      <c r="DL70" s="336"/>
      <c r="DM70" s="336"/>
      <c r="DN70" s="336"/>
      <c r="DO70" s="336"/>
      <c r="DP70" s="336"/>
      <c r="DQ70" s="336"/>
      <c r="DR70" s="336"/>
      <c r="DS70" s="336"/>
      <c r="DT70" s="336"/>
      <c r="DU70" s="336"/>
      <c r="DW70" s="336">
        <f t="shared" si="387"/>
        <v>0</v>
      </c>
      <c r="DX70" s="336">
        <f t="shared" si="388"/>
        <v>21</v>
      </c>
      <c r="DY70" s="336">
        <f t="shared" si="389"/>
        <v>21</v>
      </c>
      <c r="DZ70" s="336">
        <f t="shared" si="390"/>
        <v>0</v>
      </c>
      <c r="EA70" s="336">
        <f t="shared" si="391"/>
        <v>0</v>
      </c>
      <c r="EB70" s="336">
        <f t="shared" si="392"/>
        <v>0</v>
      </c>
      <c r="EC70" s="336">
        <f t="shared" si="393"/>
        <v>0</v>
      </c>
      <c r="ED70" s="336">
        <f t="shared" si="209"/>
        <v>0</v>
      </c>
      <c r="EE70" s="336">
        <f t="shared" si="210"/>
        <v>0</v>
      </c>
      <c r="EF70" s="336">
        <f t="shared" si="211"/>
        <v>0</v>
      </c>
      <c r="EG70" s="336">
        <f t="shared" si="212"/>
        <v>0</v>
      </c>
      <c r="EH70" s="336">
        <f t="shared" si="213"/>
        <v>0</v>
      </c>
      <c r="EI70" s="336">
        <f t="shared" si="214"/>
        <v>0</v>
      </c>
      <c r="EJ70" s="336">
        <f t="shared" si="215"/>
        <v>0</v>
      </c>
      <c r="EK70" s="336">
        <f t="shared" si="216"/>
        <v>0</v>
      </c>
      <c r="EL70" s="336">
        <f t="shared" si="217"/>
        <v>0</v>
      </c>
      <c r="EM70" s="336">
        <f t="shared" si="218"/>
        <v>0</v>
      </c>
      <c r="EN70" s="336">
        <f t="shared" si="219"/>
        <v>0</v>
      </c>
      <c r="EO70" s="336">
        <f t="shared" si="220"/>
        <v>0</v>
      </c>
      <c r="EP70" s="336">
        <f t="shared" si="221"/>
        <v>0</v>
      </c>
      <c r="EQ70" s="336">
        <f t="shared" si="222"/>
        <v>0</v>
      </c>
      <c r="ER70" s="336">
        <f t="shared" si="223"/>
        <v>0</v>
      </c>
      <c r="ES70" s="336">
        <f t="shared" si="224"/>
        <v>0</v>
      </c>
      <c r="ET70" s="336">
        <f t="shared" si="224"/>
        <v>0</v>
      </c>
      <c r="EU70" s="336">
        <f t="shared" si="225"/>
        <v>0</v>
      </c>
      <c r="EV70" s="336">
        <f t="shared" si="226"/>
        <v>0</v>
      </c>
      <c r="EW70" s="336">
        <f t="shared" si="227"/>
        <v>0</v>
      </c>
      <c r="EX70" s="336">
        <f t="shared" si="228"/>
        <v>0</v>
      </c>
      <c r="EY70" s="336">
        <f t="shared" si="229"/>
        <v>0</v>
      </c>
      <c r="EZ70" s="336">
        <f t="shared" si="230"/>
        <v>0</v>
      </c>
      <c r="FA70" s="336">
        <f t="shared" si="231"/>
        <v>0</v>
      </c>
      <c r="FB70" s="336">
        <f t="shared" si="232"/>
        <v>0</v>
      </c>
      <c r="FC70" s="336">
        <f t="shared" si="233"/>
        <v>0</v>
      </c>
      <c r="FD70" s="336">
        <f t="shared" si="234"/>
        <v>0</v>
      </c>
      <c r="FE70" s="336">
        <f t="shared" si="235"/>
        <v>0</v>
      </c>
      <c r="FF70" s="336">
        <f t="shared" si="236"/>
        <v>0</v>
      </c>
      <c r="FG70" s="336">
        <f t="shared" si="237"/>
        <v>0</v>
      </c>
      <c r="FH70" s="336">
        <f t="shared" si="238"/>
        <v>0</v>
      </c>
      <c r="FI70" s="336">
        <f t="shared" si="239"/>
        <v>0</v>
      </c>
      <c r="FJ70" s="336">
        <f t="shared" si="240"/>
        <v>0</v>
      </c>
      <c r="FK70" s="336">
        <f t="shared" si="241"/>
        <v>0</v>
      </c>
      <c r="FL70" s="336">
        <f t="shared" si="242"/>
        <v>0</v>
      </c>
      <c r="FM70" s="336">
        <f t="shared" si="243"/>
        <v>0</v>
      </c>
      <c r="FN70" s="336">
        <f t="shared" si="244"/>
        <v>0</v>
      </c>
      <c r="FO70" s="336">
        <f t="shared" si="245"/>
        <v>0</v>
      </c>
      <c r="FP70" s="336">
        <f t="shared" si="246"/>
        <v>0</v>
      </c>
      <c r="FQ70" s="336">
        <f t="shared" si="247"/>
        <v>0</v>
      </c>
      <c r="FR70" s="336">
        <f t="shared" si="248"/>
        <v>0</v>
      </c>
      <c r="FS70" s="336">
        <f t="shared" si="249"/>
        <v>0</v>
      </c>
      <c r="FT70" s="336">
        <f t="shared" si="250"/>
        <v>0</v>
      </c>
      <c r="FU70" s="336">
        <f t="shared" si="609"/>
        <v>0</v>
      </c>
      <c r="FV70" s="336">
        <f t="shared" si="610"/>
        <v>0</v>
      </c>
      <c r="FW70" s="336">
        <f t="shared" si="611"/>
        <v>0</v>
      </c>
      <c r="FX70" s="336">
        <f t="shared" si="612"/>
        <v>0</v>
      </c>
      <c r="FY70" s="336">
        <f t="shared" si="332"/>
        <v>0</v>
      </c>
      <c r="FZ70" s="336">
        <f t="shared" si="333"/>
        <v>0</v>
      </c>
      <c r="GA70" s="336">
        <f t="shared" si="334"/>
        <v>0</v>
      </c>
      <c r="GB70" s="336">
        <f t="shared" si="335"/>
        <v>0</v>
      </c>
      <c r="GC70" s="336">
        <f t="shared" si="336"/>
        <v>0</v>
      </c>
      <c r="GD70" s="336">
        <f t="shared" si="337"/>
        <v>0</v>
      </c>
      <c r="GE70" s="336">
        <f t="shared" si="338"/>
        <v>0</v>
      </c>
      <c r="GF70" s="336">
        <f t="shared" si="339"/>
        <v>0</v>
      </c>
      <c r="GG70" s="336">
        <f t="shared" si="340"/>
        <v>0</v>
      </c>
      <c r="GH70" s="336">
        <f t="shared" si="341"/>
        <v>0</v>
      </c>
      <c r="GI70" s="336">
        <f t="shared" si="342"/>
        <v>0</v>
      </c>
      <c r="GJ70" s="336">
        <f t="shared" si="343"/>
        <v>0</v>
      </c>
      <c r="GK70" s="336">
        <f t="shared" si="344"/>
        <v>0</v>
      </c>
      <c r="GL70" s="336">
        <f t="shared" si="613"/>
        <v>0</v>
      </c>
      <c r="GM70" s="336">
        <f t="shared" si="345"/>
        <v>0</v>
      </c>
    </row>
    <row r="71" spans="1:195" ht="34.5" customHeight="1">
      <c r="A71" s="388">
        <f t="shared" si="517"/>
        <v>47</v>
      </c>
      <c r="B71" s="406" t="s">
        <v>1638</v>
      </c>
      <c r="C71" s="388" t="s">
        <v>489</v>
      </c>
      <c r="D71" s="338" t="s">
        <v>556</v>
      </c>
      <c r="E71" s="502" t="s">
        <v>345</v>
      </c>
      <c r="F71" s="388" t="s">
        <v>28</v>
      </c>
      <c r="G71" s="388" t="s">
        <v>350</v>
      </c>
      <c r="H71" s="418">
        <v>1.1000000000000001</v>
      </c>
      <c r="I71" s="388" t="s">
        <v>330</v>
      </c>
      <c r="J71" s="388" t="s">
        <v>331</v>
      </c>
      <c r="K71" s="434">
        <v>400</v>
      </c>
      <c r="L71" s="401">
        <v>0.85</v>
      </c>
      <c r="M71" s="418">
        <v>0.95</v>
      </c>
      <c r="N71" s="392">
        <f t="shared" si="495"/>
        <v>1.9662660250681046</v>
      </c>
      <c r="O71" s="392">
        <f t="shared" si="347"/>
        <v>11.797596150408626</v>
      </c>
      <c r="P71" s="401">
        <f t="shared" si="496"/>
        <v>0.2</v>
      </c>
      <c r="Q71" s="418">
        <v>65</v>
      </c>
      <c r="R71" s="418">
        <v>0</v>
      </c>
      <c r="S71" s="418">
        <f t="shared" si="497"/>
        <v>0</v>
      </c>
      <c r="T71" s="401" t="s">
        <v>131</v>
      </c>
      <c r="U71" s="418" t="s">
        <v>333</v>
      </c>
      <c r="V71" s="401">
        <v>4</v>
      </c>
      <c r="W71" s="401" t="str">
        <f t="shared" si="498"/>
        <v>3C X 4</v>
      </c>
      <c r="X71" s="401" t="str">
        <f t="shared" si="499"/>
        <v>3C X 4+PE</v>
      </c>
      <c r="Y71" s="401" t="s">
        <v>358</v>
      </c>
      <c r="Z71" s="393">
        <f>IF(T71="AIR",VLOOKUP(W71,'Catalogue Aluminium'!$B$9:$G$93,2,FALSE),IF(T71="GROUND",VLOOKUP(W71,'Catalogue Aluminium'!$B$9:$G$93,3,FALSE),IF(T71="DUCT",VLOOKUP(W71,'Catalogue Aluminium'!$B$9:$G$93,4,FALSE),IF(T71="TRENCH",VLOOKUP(W71,'Catalogue Aluminium'!$B$9:$G$93,2,FALSE)))))</f>
        <v>38</v>
      </c>
      <c r="AA71" s="402">
        <f>VLOOKUP(W71,'Catalogue Aluminium'!$B$9:$G$93,5,FALSE)</f>
        <v>5.9</v>
      </c>
      <c r="AB71" s="402">
        <f>VLOOKUP(W71,'Catalogue Aluminium'!$B$9:$G$93,6,FALSE)</f>
        <v>9.4700000000000006E-2</v>
      </c>
      <c r="AC71" s="401">
        <f>26+3</f>
        <v>29</v>
      </c>
      <c r="AD71" s="401">
        <f>40+50+38+50+17+(27+42+33)</f>
        <v>297</v>
      </c>
      <c r="AE71" s="401">
        <f t="shared" si="501"/>
        <v>38</v>
      </c>
      <c r="AF71" s="401">
        <v>8</v>
      </c>
      <c r="AG71" s="401">
        <f t="shared" si="502"/>
        <v>38</v>
      </c>
      <c r="AH71" s="436">
        <f t="shared" si="503"/>
        <v>410</v>
      </c>
      <c r="AI71" s="393">
        <f>IF(T71="AIR",'Catalogue Aluminium'!$K$9,IF(T71="TRENCH",'Catalogue Aluminium'!$K$12,"NA"))</f>
        <v>0.89</v>
      </c>
      <c r="AJ71" s="392">
        <f>IF(T71="Air",(IF(U71="1C",'Catalogue Aluminium'!$L$9,'Catalogue Aluminium'!$M$9)),IF(T71="DUCT",(IF($U71="1C",'Catalogue Aluminium'!$L$10,'Catalogue Aluminium'!$M$10)),IF(T71="GROUND",(IF($U71="1C",'Catalogue Aluminium'!$L$11,'Catalogue Aluminium'!$M$11)),IF(T71="TRENCH",(IF($U71="1C",'Catalogue Aluminium'!$L$12,'Catalogue Aluminium'!$M$12))))))</f>
        <v>0.66</v>
      </c>
      <c r="AK71" s="393" t="str">
        <f>IF(T71="Air",'Catalogue Aluminium'!$N$9,IF(T71="GROUND",'Catalogue Aluminium'!$N$10,IF(T71="DUCT",'Catalogue Aluminium'!$N$11,IF(T71="TRENCH",'Catalogue Aluminium'!$N$12,"NA"))))</f>
        <v>NA</v>
      </c>
      <c r="AL71" s="393" t="str">
        <f>IF(T71="Air",(IF(U71="1C",'Catalogue Aluminium'!$O$9,'Catalogue Aluminium'!$P$9)),IF(T71="DUCT",(IF($U71="1C",'Catalogue Aluminium'!$O$10,'Catalogue Aluminium'!$P$10)),IF(T71="GROUND",(IF($U71="1C",'Catalogue Aluminium'!$O$11,'Catalogue Aluminium'!$P$11)),IF(T71="TRENCH",(IF($U71="1C",'Catalogue Aluminium'!$O$12,'Catalogue Aluminium'!$P$12))))))</f>
        <v>NA</v>
      </c>
      <c r="AM71" s="393" t="str">
        <f>IF(T71="AIR","NA",IF(T71="TRENCH","NA",IF(T71="DUCT",IF(U71="1C",VLOOKUP(V71,'Catalogue Aluminium'!$Q$9:$S$28,2,FALSE),VLOOKUP(V71,'Catalogue Aluminium'!$Q$9:$S$28,3)),IF(T71="GROUND",IF(U71="1C",VLOOKUP(V71,'Catalogue Aluminium'!$Q$9:$S$28,2,FALSE),VLOOKUP(V71,'Catalogue Aluminium'!$Q$9:$S$28,3))))))</f>
        <v>NA</v>
      </c>
      <c r="AN71" s="437">
        <f t="shared" si="504"/>
        <v>0.58740000000000003</v>
      </c>
      <c r="AO71" s="418">
        <f t="shared" si="505"/>
        <v>22.321200000000001</v>
      </c>
      <c r="AP71" s="434">
        <f t="shared" si="10"/>
        <v>1</v>
      </c>
      <c r="AQ71" s="418" t="str">
        <f t="shared" si="506"/>
        <v>YES</v>
      </c>
      <c r="AR71" s="437">
        <f t="shared" si="507"/>
        <v>1.7680578471921113</v>
      </c>
      <c r="AS71" s="401" t="str">
        <f t="shared" si="508"/>
        <v>YES</v>
      </c>
      <c r="AT71" s="437">
        <f t="shared" si="605"/>
        <v>2.6658372802801442</v>
      </c>
      <c r="AU71" s="401" t="str">
        <f t="shared" si="510"/>
        <v>YES</v>
      </c>
      <c r="AV71" s="503" t="str">
        <f t="shared" si="511"/>
        <v>1R x 0.6/1kV x 3C x 4 Sqmm</v>
      </c>
      <c r="AW71" s="503" t="str">
        <f t="shared" si="512"/>
        <v>1R x 0.6/1kV x 3C x 4+PE Sqmm</v>
      </c>
      <c r="AX71" s="401">
        <f t="shared" si="606"/>
        <v>410</v>
      </c>
      <c r="AY71" s="504"/>
      <c r="AZ71" s="504">
        <f t="shared" si="607"/>
        <v>2</v>
      </c>
      <c r="BA71" s="438" t="str">
        <f t="shared" si="515"/>
        <v>ACDEE1E2E3</v>
      </c>
      <c r="BB71" s="505">
        <f>VLOOKUP(W71,'Catalogue Aluminium'!$B$9:$H$93,7,FALSE)</f>
        <v>15</v>
      </c>
      <c r="BC71" s="439">
        <f t="shared" si="608"/>
        <v>15</v>
      </c>
      <c r="BE71" s="336"/>
      <c r="BF71" s="336">
        <v>1</v>
      </c>
      <c r="BG71" s="336"/>
      <c r="BH71" s="336"/>
      <c r="BI71" s="336">
        <v>1</v>
      </c>
      <c r="BJ71" s="336">
        <v>1</v>
      </c>
      <c r="BK71" s="336"/>
      <c r="BL71" s="336"/>
      <c r="BM71" s="336"/>
      <c r="BN71" s="336">
        <v>1</v>
      </c>
      <c r="BO71" s="336"/>
      <c r="BP71" s="336">
        <v>1</v>
      </c>
      <c r="BQ71" s="336">
        <v>1</v>
      </c>
      <c r="BR71" s="336">
        <v>1</v>
      </c>
      <c r="BS71" s="336"/>
      <c r="BT71" s="336"/>
      <c r="BU71" s="336"/>
      <c r="BV71" s="336"/>
      <c r="BW71" s="336"/>
      <c r="BX71" s="336"/>
      <c r="BY71" s="336"/>
      <c r="BZ71" s="336"/>
      <c r="CA71" s="336"/>
      <c r="CB71" s="336"/>
      <c r="CC71" s="336"/>
      <c r="CD71" s="336"/>
      <c r="CE71" s="336"/>
      <c r="CF71" s="336"/>
      <c r="CG71" s="336"/>
      <c r="CH71" s="336"/>
      <c r="CI71" s="336"/>
      <c r="CJ71" s="336"/>
      <c r="CK71" s="336"/>
      <c r="CL71" s="336"/>
      <c r="CM71" s="336"/>
      <c r="CN71" s="336"/>
      <c r="CO71" s="336"/>
      <c r="CP71" s="336"/>
      <c r="CQ71" s="336"/>
      <c r="CR71" s="336"/>
      <c r="CS71" s="336"/>
      <c r="CT71" s="336"/>
      <c r="CU71" s="336"/>
      <c r="CV71" s="336"/>
      <c r="CW71" s="336"/>
      <c r="CX71" s="336"/>
      <c r="CY71" s="336"/>
      <c r="CZ71" s="336"/>
      <c r="DA71" s="336"/>
      <c r="DB71" s="336"/>
      <c r="DC71" s="336"/>
      <c r="DD71" s="336"/>
      <c r="DE71" s="336"/>
      <c r="DF71" s="336"/>
      <c r="DG71" s="336"/>
      <c r="DH71" s="336"/>
      <c r="DI71" s="336"/>
      <c r="DJ71" s="336"/>
      <c r="DK71" s="336"/>
      <c r="DL71" s="336"/>
      <c r="DM71" s="336"/>
      <c r="DN71" s="336"/>
      <c r="DO71" s="336"/>
      <c r="DP71" s="336"/>
      <c r="DQ71" s="336"/>
      <c r="DR71" s="336"/>
      <c r="DS71" s="336"/>
      <c r="DT71" s="336"/>
      <c r="DU71" s="336"/>
      <c r="DW71" s="336">
        <f t="shared" si="387"/>
        <v>0</v>
      </c>
      <c r="DX71" s="336">
        <f t="shared" si="388"/>
        <v>15</v>
      </c>
      <c r="DY71" s="336">
        <f t="shared" si="389"/>
        <v>0</v>
      </c>
      <c r="DZ71" s="336">
        <f t="shared" si="390"/>
        <v>0</v>
      </c>
      <c r="EA71" s="336">
        <f t="shared" si="391"/>
        <v>15</v>
      </c>
      <c r="EB71" s="336">
        <f t="shared" si="392"/>
        <v>15</v>
      </c>
      <c r="EC71" s="336">
        <f t="shared" si="393"/>
        <v>0</v>
      </c>
      <c r="ED71" s="336">
        <f t="shared" si="209"/>
        <v>0</v>
      </c>
      <c r="EE71" s="336">
        <f t="shared" si="210"/>
        <v>0</v>
      </c>
      <c r="EF71" s="336">
        <f t="shared" si="211"/>
        <v>15</v>
      </c>
      <c r="EG71" s="336">
        <f t="shared" si="212"/>
        <v>0</v>
      </c>
      <c r="EH71" s="336">
        <f t="shared" si="213"/>
        <v>15</v>
      </c>
      <c r="EI71" s="336">
        <f t="shared" si="214"/>
        <v>15</v>
      </c>
      <c r="EJ71" s="336">
        <f t="shared" si="215"/>
        <v>15</v>
      </c>
      <c r="EK71" s="336">
        <f t="shared" si="216"/>
        <v>0</v>
      </c>
      <c r="EL71" s="336">
        <f t="shared" si="217"/>
        <v>0</v>
      </c>
      <c r="EM71" s="336">
        <f t="shared" si="218"/>
        <v>0</v>
      </c>
      <c r="EN71" s="336">
        <f t="shared" si="219"/>
        <v>0</v>
      </c>
      <c r="EO71" s="336">
        <f t="shared" si="220"/>
        <v>0</v>
      </c>
      <c r="EP71" s="336">
        <f t="shared" si="221"/>
        <v>0</v>
      </c>
      <c r="EQ71" s="336">
        <f t="shared" si="222"/>
        <v>0</v>
      </c>
      <c r="ER71" s="336">
        <f t="shared" si="223"/>
        <v>0</v>
      </c>
      <c r="ES71" s="336">
        <f t="shared" si="224"/>
        <v>0</v>
      </c>
      <c r="ET71" s="336">
        <f t="shared" si="224"/>
        <v>0</v>
      </c>
      <c r="EU71" s="336">
        <f t="shared" si="225"/>
        <v>0</v>
      </c>
      <c r="EV71" s="336">
        <f t="shared" si="226"/>
        <v>0</v>
      </c>
      <c r="EW71" s="336">
        <f t="shared" si="227"/>
        <v>0</v>
      </c>
      <c r="EX71" s="336">
        <f t="shared" si="228"/>
        <v>0</v>
      </c>
      <c r="EY71" s="336">
        <f t="shared" si="229"/>
        <v>0</v>
      </c>
      <c r="EZ71" s="336">
        <f t="shared" si="230"/>
        <v>0</v>
      </c>
      <c r="FA71" s="336">
        <f t="shared" si="231"/>
        <v>0</v>
      </c>
      <c r="FB71" s="336">
        <f t="shared" si="232"/>
        <v>0</v>
      </c>
      <c r="FC71" s="336">
        <f t="shared" si="233"/>
        <v>0</v>
      </c>
      <c r="FD71" s="336">
        <f t="shared" si="234"/>
        <v>0</v>
      </c>
      <c r="FE71" s="336">
        <f t="shared" si="235"/>
        <v>0</v>
      </c>
      <c r="FF71" s="336">
        <f t="shared" si="236"/>
        <v>0</v>
      </c>
      <c r="FG71" s="336">
        <f t="shared" si="237"/>
        <v>0</v>
      </c>
      <c r="FH71" s="336">
        <f t="shared" si="238"/>
        <v>0</v>
      </c>
      <c r="FI71" s="336">
        <f t="shared" si="239"/>
        <v>0</v>
      </c>
      <c r="FJ71" s="336">
        <f t="shared" si="240"/>
        <v>0</v>
      </c>
      <c r="FK71" s="336">
        <f t="shared" si="241"/>
        <v>0</v>
      </c>
      <c r="FL71" s="336">
        <f t="shared" si="242"/>
        <v>0</v>
      </c>
      <c r="FM71" s="336">
        <f t="shared" si="243"/>
        <v>0</v>
      </c>
      <c r="FN71" s="336">
        <f t="shared" si="244"/>
        <v>0</v>
      </c>
      <c r="FO71" s="336">
        <f t="shared" si="245"/>
        <v>0</v>
      </c>
      <c r="FP71" s="336">
        <f t="shared" si="246"/>
        <v>0</v>
      </c>
      <c r="FQ71" s="336">
        <f t="shared" si="247"/>
        <v>0</v>
      </c>
      <c r="FR71" s="336">
        <f t="shared" si="248"/>
        <v>0</v>
      </c>
      <c r="FS71" s="336">
        <f t="shared" si="249"/>
        <v>0</v>
      </c>
      <c r="FT71" s="336">
        <f t="shared" si="250"/>
        <v>0</v>
      </c>
      <c r="FU71" s="336">
        <f t="shared" si="609"/>
        <v>0</v>
      </c>
      <c r="FV71" s="336">
        <f t="shared" si="610"/>
        <v>0</v>
      </c>
      <c r="FW71" s="336">
        <f t="shared" si="611"/>
        <v>0</v>
      </c>
      <c r="FX71" s="336">
        <f t="shared" si="612"/>
        <v>0</v>
      </c>
      <c r="FY71" s="336">
        <f t="shared" si="332"/>
        <v>0</v>
      </c>
      <c r="FZ71" s="336">
        <f t="shared" si="333"/>
        <v>0</v>
      </c>
      <c r="GA71" s="336">
        <f t="shared" si="334"/>
        <v>0</v>
      </c>
      <c r="GB71" s="336">
        <f t="shared" si="335"/>
        <v>0</v>
      </c>
      <c r="GC71" s="336">
        <f t="shared" si="336"/>
        <v>0</v>
      </c>
      <c r="GD71" s="336">
        <f t="shared" si="337"/>
        <v>0</v>
      </c>
      <c r="GE71" s="336">
        <f t="shared" si="338"/>
        <v>0</v>
      </c>
      <c r="GF71" s="336">
        <f t="shared" si="339"/>
        <v>0</v>
      </c>
      <c r="GG71" s="336">
        <f t="shared" si="340"/>
        <v>0</v>
      </c>
      <c r="GH71" s="336">
        <f t="shared" si="341"/>
        <v>0</v>
      </c>
      <c r="GI71" s="336">
        <f t="shared" si="342"/>
        <v>0</v>
      </c>
      <c r="GJ71" s="336">
        <f t="shared" si="343"/>
        <v>0</v>
      </c>
      <c r="GK71" s="336">
        <f t="shared" si="344"/>
        <v>0</v>
      </c>
      <c r="GL71" s="336">
        <f t="shared" si="613"/>
        <v>0</v>
      </c>
      <c r="GM71" s="336">
        <f t="shared" si="345"/>
        <v>0</v>
      </c>
    </row>
    <row r="72" spans="1:195" ht="34.5" customHeight="1">
      <c r="A72" s="388">
        <f t="shared" si="517"/>
        <v>48</v>
      </c>
      <c r="B72" s="406" t="s">
        <v>1639</v>
      </c>
      <c r="C72" s="388" t="s">
        <v>489</v>
      </c>
      <c r="D72" s="338" t="s">
        <v>557</v>
      </c>
      <c r="E72" s="502" t="s">
        <v>401</v>
      </c>
      <c r="F72" s="388" t="s">
        <v>29</v>
      </c>
      <c r="G72" s="388" t="s">
        <v>329</v>
      </c>
      <c r="H72" s="418">
        <v>3</v>
      </c>
      <c r="I72" s="388" t="s">
        <v>330</v>
      </c>
      <c r="J72" s="388" t="s">
        <v>331</v>
      </c>
      <c r="K72" s="434">
        <v>400</v>
      </c>
      <c r="L72" s="401">
        <v>0.85</v>
      </c>
      <c r="M72" s="418">
        <v>0.95</v>
      </c>
      <c r="N72" s="392">
        <f t="shared" si="495"/>
        <v>5.3625437047311939</v>
      </c>
      <c r="O72" s="392">
        <f t="shared" si="347"/>
        <v>0</v>
      </c>
      <c r="P72" s="401" t="str">
        <f t="shared" si="496"/>
        <v>0.00</v>
      </c>
      <c r="Q72" s="418">
        <v>65</v>
      </c>
      <c r="R72" s="418">
        <v>0</v>
      </c>
      <c r="S72" s="418">
        <f t="shared" si="497"/>
        <v>0</v>
      </c>
      <c r="T72" s="401" t="s">
        <v>131</v>
      </c>
      <c r="U72" s="418" t="s">
        <v>522</v>
      </c>
      <c r="V72" s="401">
        <v>6</v>
      </c>
      <c r="W72" s="401" t="str">
        <f t="shared" si="498"/>
        <v>4C X 6</v>
      </c>
      <c r="X72" s="401" t="str">
        <f t="shared" si="499"/>
        <v>4C X 6</v>
      </c>
      <c r="Y72" s="401" t="s">
        <v>358</v>
      </c>
      <c r="Z72" s="393">
        <f>IF(T72="AIR",VLOOKUP(W72,'Catalogue Aluminium'!$B$9:$G$93,2,FALSE),IF(T72="GROUND",VLOOKUP(W72,'Catalogue Aluminium'!$B$9:$G$93,3,FALSE),IF(T72="DUCT",VLOOKUP(W72,'Catalogue Aluminium'!$B$9:$G$93,4,FALSE),IF(T72="TRENCH",VLOOKUP(W72,'Catalogue Aluminium'!$B$9:$G$93,2,FALSE)))))</f>
        <v>51</v>
      </c>
      <c r="AA72" s="402">
        <f>VLOOKUP(W72,'Catalogue Aluminium'!$B$9:$G$93,5,FALSE)</f>
        <v>3.94</v>
      </c>
      <c r="AB72" s="402">
        <f>VLOOKUP(W72,'Catalogue Aluminium'!$B$9:$G$93,6,FALSE)</f>
        <v>9.0200000000000002E-2</v>
      </c>
      <c r="AC72" s="401">
        <f t="shared" ref="AC72" si="616">17+3</f>
        <v>20</v>
      </c>
      <c r="AD72" s="401">
        <f t="shared" ref="AD72:AD75" si="617">40+50+22+30</f>
        <v>142</v>
      </c>
      <c r="AE72" s="401">
        <f t="shared" si="501"/>
        <v>38</v>
      </c>
      <c r="AF72" s="401">
        <v>8</v>
      </c>
      <c r="AG72" s="401">
        <f t="shared" si="502"/>
        <v>21</v>
      </c>
      <c r="AH72" s="436">
        <f t="shared" si="503"/>
        <v>229</v>
      </c>
      <c r="AI72" s="393">
        <f>IF(T72="AIR",'Catalogue Aluminium'!$K$9,IF(T72="TRENCH",'Catalogue Aluminium'!$K$12,"NA"))</f>
        <v>0.89</v>
      </c>
      <c r="AJ72" s="392">
        <f>IF(T72="Air",(IF(U72="1C",'Catalogue Aluminium'!$L$9,'Catalogue Aluminium'!$M$9)),IF(T72="DUCT",(IF($U72="1C",'Catalogue Aluminium'!$L$10,'Catalogue Aluminium'!$M$10)),IF(T72="GROUND",(IF($U72="1C",'Catalogue Aluminium'!$L$11,'Catalogue Aluminium'!$M$11)),IF(T72="TRENCH",(IF($U72="1C",'Catalogue Aluminium'!$L$12,'Catalogue Aluminium'!$M$12))))))</f>
        <v>0.66</v>
      </c>
      <c r="AK72" s="393" t="str">
        <f>IF(T72="Air",'Catalogue Aluminium'!$N$9,IF(T72="GROUND",'Catalogue Aluminium'!$N$10,IF(T72="DUCT",'Catalogue Aluminium'!$N$11,IF(T72="TRENCH",'Catalogue Aluminium'!$N$12,"NA"))))</f>
        <v>NA</v>
      </c>
      <c r="AL72" s="393" t="str">
        <f>IF(T72="Air",(IF(U72="1C",'Catalogue Aluminium'!$O$9,'Catalogue Aluminium'!$P$9)),IF(T72="DUCT",(IF($U72="1C",'Catalogue Aluminium'!$O$10,'Catalogue Aluminium'!$P$10)),IF(T72="GROUND",(IF($U72="1C",'Catalogue Aluminium'!$O$11,'Catalogue Aluminium'!$P$11)),IF(T72="TRENCH",(IF($U72="1C",'Catalogue Aluminium'!$O$12,'Catalogue Aluminium'!$P$12))))))</f>
        <v>NA</v>
      </c>
      <c r="AM72" s="393" t="str">
        <f>IF(T72="AIR","NA",IF(T72="TRENCH","NA",IF(T72="DUCT",IF(U72="1C",VLOOKUP(V72,'Catalogue Aluminium'!$Q$9:$S$28,2,FALSE),VLOOKUP(V72,'Catalogue Aluminium'!$Q$9:$S$28,3)),IF(T72="GROUND",IF(U72="1C",VLOOKUP(V72,'Catalogue Aluminium'!$Q$9:$S$28,2,FALSE),VLOOKUP(V72,'Catalogue Aluminium'!$Q$9:$S$28,3))))))</f>
        <v>NA</v>
      </c>
      <c r="AN72" s="437">
        <f t="shared" si="504"/>
        <v>0.58740000000000003</v>
      </c>
      <c r="AO72" s="418">
        <f t="shared" si="505"/>
        <v>29.957400000000003</v>
      </c>
      <c r="AP72" s="434">
        <f t="shared" si="10"/>
        <v>1</v>
      </c>
      <c r="AQ72" s="418" t="str">
        <f t="shared" si="506"/>
        <v>YES</v>
      </c>
      <c r="AR72" s="437">
        <f t="shared" si="507"/>
        <v>1.8060950488516976</v>
      </c>
      <c r="AS72" s="401" t="str">
        <f t="shared" si="508"/>
        <v>YES</v>
      </c>
      <c r="AT72" s="437" t="str">
        <f t="shared" si="605"/>
        <v>NA</v>
      </c>
      <c r="AU72" s="401" t="str">
        <f t="shared" si="510"/>
        <v>NA</v>
      </c>
      <c r="AV72" s="503" t="str">
        <f t="shared" si="511"/>
        <v>1R x 0.6/1kV x 4C x 6 Sqmm</v>
      </c>
      <c r="AW72" s="503" t="str">
        <f t="shared" si="512"/>
        <v>1R x 0.6/1kV x 4C x 6 Sqmm</v>
      </c>
      <c r="AX72" s="401">
        <f t="shared" si="606"/>
        <v>229</v>
      </c>
      <c r="AY72" s="504"/>
      <c r="AZ72" s="504">
        <f t="shared" si="607"/>
        <v>2</v>
      </c>
      <c r="BA72" s="438" t="str">
        <f t="shared" si="515"/>
        <v>AC</v>
      </c>
      <c r="BB72" s="505">
        <f>VLOOKUP(W72,'Catalogue Aluminium'!$B$9:$H$93,7,FALSE)</f>
        <v>18</v>
      </c>
      <c r="BC72" s="439">
        <f t="shared" si="608"/>
        <v>18</v>
      </c>
      <c r="BE72" s="336"/>
      <c r="BF72" s="336">
        <v>1</v>
      </c>
      <c r="BG72" s="336"/>
      <c r="BH72" s="336"/>
      <c r="BI72" s="336">
        <v>1</v>
      </c>
      <c r="BJ72" s="336"/>
      <c r="BK72" s="336"/>
      <c r="BL72" s="336"/>
      <c r="BM72" s="336"/>
      <c r="BN72" s="336"/>
      <c r="BO72" s="336"/>
      <c r="BP72" s="336"/>
      <c r="BQ72" s="336"/>
      <c r="BR72" s="336"/>
      <c r="BS72" s="336"/>
      <c r="BT72" s="336"/>
      <c r="BU72" s="336"/>
      <c r="BV72" s="336"/>
      <c r="BW72" s="336"/>
      <c r="BX72" s="336"/>
      <c r="BY72" s="336"/>
      <c r="BZ72" s="336"/>
      <c r="CA72" s="336"/>
      <c r="CB72" s="336"/>
      <c r="CC72" s="336"/>
      <c r="CD72" s="336"/>
      <c r="CE72" s="336"/>
      <c r="CF72" s="336"/>
      <c r="CG72" s="336"/>
      <c r="CH72" s="336"/>
      <c r="CI72" s="336"/>
      <c r="CJ72" s="336"/>
      <c r="CK72" s="336"/>
      <c r="CL72" s="336"/>
      <c r="CM72" s="336"/>
      <c r="CN72" s="336"/>
      <c r="CO72" s="336"/>
      <c r="CP72" s="336"/>
      <c r="CQ72" s="336"/>
      <c r="CR72" s="336"/>
      <c r="CS72" s="336"/>
      <c r="CT72" s="336"/>
      <c r="CU72" s="336"/>
      <c r="CV72" s="336"/>
      <c r="CW72" s="336"/>
      <c r="CX72" s="336"/>
      <c r="CY72" s="336"/>
      <c r="CZ72" s="336"/>
      <c r="DA72" s="336"/>
      <c r="DB72" s="336"/>
      <c r="DC72" s="336"/>
      <c r="DD72" s="336"/>
      <c r="DE72" s="336"/>
      <c r="DF72" s="336"/>
      <c r="DG72" s="336"/>
      <c r="DH72" s="336"/>
      <c r="DI72" s="336"/>
      <c r="DJ72" s="336"/>
      <c r="DK72" s="336"/>
      <c r="DL72" s="336"/>
      <c r="DM72" s="336"/>
      <c r="DN72" s="336"/>
      <c r="DO72" s="336"/>
      <c r="DP72" s="336"/>
      <c r="DQ72" s="336"/>
      <c r="DR72" s="336"/>
      <c r="DS72" s="336"/>
      <c r="DT72" s="336"/>
      <c r="DU72" s="336"/>
      <c r="DW72" s="336">
        <f t="shared" si="387"/>
        <v>0</v>
      </c>
      <c r="DX72" s="336">
        <f t="shared" si="388"/>
        <v>18</v>
      </c>
      <c r="DY72" s="336">
        <f t="shared" si="389"/>
        <v>0</v>
      </c>
      <c r="DZ72" s="336">
        <f t="shared" si="390"/>
        <v>0</v>
      </c>
      <c r="EA72" s="336">
        <f t="shared" si="391"/>
        <v>18</v>
      </c>
      <c r="EB72" s="336">
        <f t="shared" si="392"/>
        <v>0</v>
      </c>
      <c r="EC72" s="336">
        <f t="shared" si="393"/>
        <v>0</v>
      </c>
      <c r="ED72" s="336">
        <f t="shared" si="209"/>
        <v>0</v>
      </c>
      <c r="EE72" s="336">
        <f t="shared" si="210"/>
        <v>0</v>
      </c>
      <c r="EF72" s="336">
        <f t="shared" si="211"/>
        <v>0</v>
      </c>
      <c r="EG72" s="336">
        <f t="shared" si="212"/>
        <v>0</v>
      </c>
      <c r="EH72" s="336">
        <f t="shared" si="213"/>
        <v>0</v>
      </c>
      <c r="EI72" s="336">
        <f t="shared" si="214"/>
        <v>0</v>
      </c>
      <c r="EJ72" s="336">
        <f t="shared" si="215"/>
        <v>0</v>
      </c>
      <c r="EK72" s="336">
        <f t="shared" si="216"/>
        <v>0</v>
      </c>
      <c r="EL72" s="336">
        <f t="shared" si="217"/>
        <v>0</v>
      </c>
      <c r="EM72" s="336">
        <f t="shared" si="218"/>
        <v>0</v>
      </c>
      <c r="EN72" s="336">
        <f t="shared" si="219"/>
        <v>0</v>
      </c>
      <c r="EO72" s="336">
        <f t="shared" si="220"/>
        <v>0</v>
      </c>
      <c r="EP72" s="336">
        <f t="shared" si="221"/>
        <v>0</v>
      </c>
      <c r="EQ72" s="336">
        <f t="shared" si="222"/>
        <v>0</v>
      </c>
      <c r="ER72" s="336">
        <f t="shared" si="223"/>
        <v>0</v>
      </c>
      <c r="ES72" s="336">
        <f t="shared" si="224"/>
        <v>0</v>
      </c>
      <c r="ET72" s="336">
        <f t="shared" si="224"/>
        <v>0</v>
      </c>
      <c r="EU72" s="336">
        <f t="shared" si="225"/>
        <v>0</v>
      </c>
      <c r="EV72" s="336">
        <f t="shared" si="226"/>
        <v>0</v>
      </c>
      <c r="EW72" s="336">
        <f t="shared" si="227"/>
        <v>0</v>
      </c>
      <c r="EX72" s="336">
        <f t="shared" si="228"/>
        <v>0</v>
      </c>
      <c r="EY72" s="336">
        <f t="shared" si="229"/>
        <v>0</v>
      </c>
      <c r="EZ72" s="336">
        <f t="shared" si="230"/>
        <v>0</v>
      </c>
      <c r="FA72" s="336">
        <f t="shared" si="231"/>
        <v>0</v>
      </c>
      <c r="FB72" s="336">
        <f t="shared" si="232"/>
        <v>0</v>
      </c>
      <c r="FC72" s="336">
        <f t="shared" si="233"/>
        <v>0</v>
      </c>
      <c r="FD72" s="336">
        <f t="shared" si="234"/>
        <v>0</v>
      </c>
      <c r="FE72" s="336">
        <f t="shared" si="235"/>
        <v>0</v>
      </c>
      <c r="FF72" s="336">
        <f t="shared" si="236"/>
        <v>0</v>
      </c>
      <c r="FG72" s="336">
        <f t="shared" si="237"/>
        <v>0</v>
      </c>
      <c r="FH72" s="336">
        <f t="shared" si="238"/>
        <v>0</v>
      </c>
      <c r="FI72" s="336">
        <f t="shared" si="239"/>
        <v>0</v>
      </c>
      <c r="FJ72" s="336">
        <f t="shared" si="240"/>
        <v>0</v>
      </c>
      <c r="FK72" s="336">
        <f t="shared" si="241"/>
        <v>0</v>
      </c>
      <c r="FL72" s="336">
        <f t="shared" si="242"/>
        <v>0</v>
      </c>
      <c r="FM72" s="336">
        <f t="shared" si="243"/>
        <v>0</v>
      </c>
      <c r="FN72" s="336">
        <f t="shared" si="244"/>
        <v>0</v>
      </c>
      <c r="FO72" s="336">
        <f t="shared" si="245"/>
        <v>0</v>
      </c>
      <c r="FP72" s="336">
        <f t="shared" si="246"/>
        <v>0</v>
      </c>
      <c r="FQ72" s="336">
        <f t="shared" si="247"/>
        <v>0</v>
      </c>
      <c r="FR72" s="336">
        <f t="shared" si="248"/>
        <v>0</v>
      </c>
      <c r="FS72" s="336">
        <f t="shared" si="249"/>
        <v>0</v>
      </c>
      <c r="FT72" s="336">
        <f t="shared" si="250"/>
        <v>0</v>
      </c>
      <c r="FU72" s="336">
        <f t="shared" si="609"/>
        <v>0</v>
      </c>
      <c r="FV72" s="336">
        <f t="shared" si="610"/>
        <v>0</v>
      </c>
      <c r="FW72" s="336">
        <f t="shared" si="611"/>
        <v>0</v>
      </c>
      <c r="FX72" s="336">
        <f t="shared" si="612"/>
        <v>0</v>
      </c>
      <c r="FY72" s="336">
        <f t="shared" si="332"/>
        <v>0</v>
      </c>
      <c r="FZ72" s="336">
        <f t="shared" si="333"/>
        <v>0</v>
      </c>
      <c r="GA72" s="336">
        <f t="shared" si="334"/>
        <v>0</v>
      </c>
      <c r="GB72" s="336">
        <f t="shared" si="335"/>
        <v>0</v>
      </c>
      <c r="GC72" s="336">
        <f t="shared" si="336"/>
        <v>0</v>
      </c>
      <c r="GD72" s="336">
        <f t="shared" si="337"/>
        <v>0</v>
      </c>
      <c r="GE72" s="336">
        <f t="shared" si="338"/>
        <v>0</v>
      </c>
      <c r="GF72" s="336">
        <f t="shared" si="339"/>
        <v>0</v>
      </c>
      <c r="GG72" s="336">
        <f t="shared" si="340"/>
        <v>0</v>
      </c>
      <c r="GH72" s="336">
        <f t="shared" si="341"/>
        <v>0</v>
      </c>
      <c r="GI72" s="336">
        <f t="shared" si="342"/>
        <v>0</v>
      </c>
      <c r="GJ72" s="336">
        <f t="shared" si="343"/>
        <v>0</v>
      </c>
      <c r="GK72" s="336">
        <f t="shared" si="344"/>
        <v>0</v>
      </c>
      <c r="GL72" s="336">
        <f t="shared" si="613"/>
        <v>0</v>
      </c>
      <c r="GM72" s="336">
        <f t="shared" si="345"/>
        <v>0</v>
      </c>
    </row>
    <row r="73" spans="1:195" ht="34.5" customHeight="1">
      <c r="A73" s="388">
        <f t="shared" si="517"/>
        <v>49</v>
      </c>
      <c r="B73" s="406" t="s">
        <v>1640</v>
      </c>
      <c r="C73" s="388" t="s">
        <v>489</v>
      </c>
      <c r="D73" s="338" t="s">
        <v>558</v>
      </c>
      <c r="E73" s="502" t="s">
        <v>401</v>
      </c>
      <c r="F73" s="388" t="s">
        <v>28</v>
      </c>
      <c r="G73" s="388" t="s">
        <v>329</v>
      </c>
      <c r="H73" s="418">
        <v>5</v>
      </c>
      <c r="I73" s="388" t="s">
        <v>330</v>
      </c>
      <c r="J73" s="388" t="s">
        <v>331</v>
      </c>
      <c r="K73" s="434">
        <v>400</v>
      </c>
      <c r="L73" s="401">
        <v>0.85</v>
      </c>
      <c r="M73" s="418">
        <v>0.95</v>
      </c>
      <c r="N73" s="392">
        <f t="shared" si="495"/>
        <v>8.9375728412186568</v>
      </c>
      <c r="O73" s="392">
        <f t="shared" si="347"/>
        <v>0</v>
      </c>
      <c r="P73" s="401" t="str">
        <f t="shared" si="496"/>
        <v>0.00</v>
      </c>
      <c r="Q73" s="418">
        <v>65</v>
      </c>
      <c r="R73" s="418">
        <v>0</v>
      </c>
      <c r="S73" s="418">
        <f t="shared" si="497"/>
        <v>0</v>
      </c>
      <c r="T73" s="401" t="s">
        <v>131</v>
      </c>
      <c r="U73" s="418" t="s">
        <v>522</v>
      </c>
      <c r="V73" s="401">
        <v>16</v>
      </c>
      <c r="W73" s="401" t="str">
        <f t="shared" si="498"/>
        <v>4C X 16</v>
      </c>
      <c r="X73" s="401" t="str">
        <f t="shared" si="499"/>
        <v>4C X 16</v>
      </c>
      <c r="Y73" s="401" t="s">
        <v>358</v>
      </c>
      <c r="Z73" s="393">
        <f>IF(T73="AIR",VLOOKUP(W73,'Catalogue Aluminium'!$B$9:$G$93,2,FALSE),IF(T73="GROUND",VLOOKUP(W73,'Catalogue Aluminium'!$B$9:$G$93,3,FALSE),IF(T73="DUCT",VLOOKUP(W73,'Catalogue Aluminium'!$B$9:$G$93,4,FALSE),IF(T73="TRENCH",VLOOKUP(W73,'Catalogue Aluminium'!$B$9:$G$93,2,FALSE)))))</f>
        <v>70</v>
      </c>
      <c r="AA73" s="402">
        <f>VLOOKUP(W73,'Catalogue Aluminium'!$B$9:$G$93,5,FALSE)</f>
        <v>2.44</v>
      </c>
      <c r="AB73" s="402">
        <f>VLOOKUP(W73,'Catalogue Aluminium'!$B$9:$G$93,6,FALSE)</f>
        <v>8.1500000000000003E-2</v>
      </c>
      <c r="AC73" s="401">
        <f>26+3</f>
        <v>29</v>
      </c>
      <c r="AD73" s="401">
        <f t="shared" si="617"/>
        <v>142</v>
      </c>
      <c r="AE73" s="401">
        <f t="shared" si="501"/>
        <v>38</v>
      </c>
      <c r="AF73" s="401">
        <v>8</v>
      </c>
      <c r="AG73" s="401">
        <f t="shared" si="502"/>
        <v>22</v>
      </c>
      <c r="AH73" s="436">
        <f t="shared" si="503"/>
        <v>239</v>
      </c>
      <c r="AI73" s="393">
        <f>IF(T73="AIR",'Catalogue Aluminium'!$K$9,IF(T73="TRENCH",'Catalogue Aluminium'!$K$12,"NA"))</f>
        <v>0.89</v>
      </c>
      <c r="AJ73" s="392">
        <f>IF(T73="Air",(IF(U73="1C",'Catalogue Aluminium'!$L$9,'Catalogue Aluminium'!$M$9)),IF(T73="DUCT",(IF($U73="1C",'Catalogue Aluminium'!$L$10,'Catalogue Aluminium'!$M$10)),IF(T73="GROUND",(IF($U73="1C",'Catalogue Aluminium'!$L$11,'Catalogue Aluminium'!$M$11)),IF(T73="TRENCH",(IF($U73="1C",'Catalogue Aluminium'!$L$12,'Catalogue Aluminium'!$M$12))))))</f>
        <v>0.66</v>
      </c>
      <c r="AK73" s="393" t="str">
        <f>IF(T73="Air",'Catalogue Aluminium'!$N$9,IF(T73="GROUND",'Catalogue Aluminium'!$N$10,IF(T73="DUCT",'Catalogue Aluminium'!$N$11,IF(T73="TRENCH",'Catalogue Aluminium'!$N$12,"NA"))))</f>
        <v>NA</v>
      </c>
      <c r="AL73" s="393" t="str">
        <f>IF(T73="Air",(IF(U73="1C",'Catalogue Aluminium'!$O$9,'Catalogue Aluminium'!$P$9)),IF(T73="DUCT",(IF($U73="1C",'Catalogue Aluminium'!$O$10,'Catalogue Aluminium'!$P$10)),IF(T73="GROUND",(IF($U73="1C",'Catalogue Aluminium'!$O$11,'Catalogue Aluminium'!$P$11)),IF(T73="TRENCH",(IF($U73="1C",'Catalogue Aluminium'!$O$12,'Catalogue Aluminium'!$P$12))))))</f>
        <v>NA</v>
      </c>
      <c r="AM73" s="393" t="str">
        <f>IF(T73="AIR","NA",IF(T73="TRENCH","NA",IF(T73="DUCT",IF(U73="1C",VLOOKUP(V73,'Catalogue Aluminium'!$Q$9:$S$28,2,FALSE),VLOOKUP(V73,'Catalogue Aluminium'!$Q$9:$S$28,3)),IF(T73="GROUND",IF(U73="1C",VLOOKUP(V73,'Catalogue Aluminium'!$Q$9:$S$28,2,FALSE),VLOOKUP(V73,'Catalogue Aluminium'!$Q$9:$S$28,3))))))</f>
        <v>NA</v>
      </c>
      <c r="AN73" s="437">
        <f t="shared" si="504"/>
        <v>0.58740000000000003</v>
      </c>
      <c r="AO73" s="418">
        <f>Z73*AN73</f>
        <v>41.118000000000002</v>
      </c>
      <c r="AP73" s="434">
        <f t="shared" si="10"/>
        <v>1</v>
      </c>
      <c r="AQ73" s="418" t="str">
        <f t="shared" si="506"/>
        <v>YES</v>
      </c>
      <c r="AR73" s="437">
        <f t="shared" si="507"/>
        <v>1.9580564177415931</v>
      </c>
      <c r="AS73" s="401" t="str">
        <f t="shared" si="508"/>
        <v>YES</v>
      </c>
      <c r="AT73" s="437" t="str">
        <f t="shared" si="605"/>
        <v>NA</v>
      </c>
      <c r="AU73" s="401" t="str">
        <f t="shared" si="510"/>
        <v>NA</v>
      </c>
      <c r="AV73" s="503" t="str">
        <f t="shared" si="511"/>
        <v>1R x 0.6/1kV x 4C x 16 Sqmm</v>
      </c>
      <c r="AW73" s="503" t="str">
        <f t="shared" si="512"/>
        <v>1R x 0.6/1kV x 4C x 16 Sqmm</v>
      </c>
      <c r="AX73" s="401">
        <f t="shared" si="606"/>
        <v>239</v>
      </c>
      <c r="AY73" s="504"/>
      <c r="AZ73" s="504">
        <f t="shared" si="607"/>
        <v>2</v>
      </c>
      <c r="BA73" s="438" t="str">
        <f t="shared" si="515"/>
        <v>AC</v>
      </c>
      <c r="BB73" s="505">
        <f>VLOOKUP(W73,'Catalogue Aluminium'!$B$9:$H$93,7,FALSE)</f>
        <v>21</v>
      </c>
      <c r="BC73" s="439">
        <f t="shared" si="608"/>
        <v>21</v>
      </c>
      <c r="BE73" s="336"/>
      <c r="BF73" s="336">
        <v>1</v>
      </c>
      <c r="BG73" s="336"/>
      <c r="BH73" s="336"/>
      <c r="BI73" s="336">
        <v>1</v>
      </c>
      <c r="BJ73" s="336"/>
      <c r="BK73" s="336"/>
      <c r="BL73" s="336"/>
      <c r="BM73" s="336"/>
      <c r="BN73" s="336"/>
      <c r="BO73" s="336"/>
      <c r="BP73" s="336"/>
      <c r="BQ73" s="336"/>
      <c r="BR73" s="336"/>
      <c r="BS73" s="336"/>
      <c r="BT73" s="336"/>
      <c r="BU73" s="336"/>
      <c r="BV73" s="336"/>
      <c r="BW73" s="336"/>
      <c r="BX73" s="336"/>
      <c r="BY73" s="336"/>
      <c r="BZ73" s="336"/>
      <c r="CA73" s="336"/>
      <c r="CB73" s="336"/>
      <c r="CC73" s="336"/>
      <c r="CD73" s="336"/>
      <c r="CE73" s="336"/>
      <c r="CF73" s="336"/>
      <c r="CG73" s="336"/>
      <c r="CH73" s="336"/>
      <c r="CI73" s="336"/>
      <c r="CJ73" s="336"/>
      <c r="CK73" s="336"/>
      <c r="CL73" s="336"/>
      <c r="CM73" s="336"/>
      <c r="CN73" s="336"/>
      <c r="CO73" s="336"/>
      <c r="CP73" s="336"/>
      <c r="CQ73" s="336"/>
      <c r="CR73" s="336"/>
      <c r="CS73" s="336"/>
      <c r="CT73" s="336"/>
      <c r="CU73" s="336"/>
      <c r="CV73" s="336"/>
      <c r="CW73" s="336"/>
      <c r="CX73" s="336"/>
      <c r="CY73" s="336"/>
      <c r="CZ73" s="336"/>
      <c r="DA73" s="336"/>
      <c r="DB73" s="336"/>
      <c r="DC73" s="336"/>
      <c r="DD73" s="336"/>
      <c r="DE73" s="336"/>
      <c r="DF73" s="336"/>
      <c r="DG73" s="336"/>
      <c r="DH73" s="336"/>
      <c r="DI73" s="336"/>
      <c r="DJ73" s="336"/>
      <c r="DK73" s="336"/>
      <c r="DL73" s="336"/>
      <c r="DM73" s="336"/>
      <c r="DN73" s="336"/>
      <c r="DO73" s="336"/>
      <c r="DP73" s="336"/>
      <c r="DQ73" s="336"/>
      <c r="DR73" s="336"/>
      <c r="DS73" s="336"/>
      <c r="DT73" s="336"/>
      <c r="DU73" s="336"/>
      <c r="DW73" s="336">
        <f t="shared" si="387"/>
        <v>0</v>
      </c>
      <c r="DX73" s="336">
        <f t="shared" si="388"/>
        <v>21</v>
      </c>
      <c r="DY73" s="336">
        <f t="shared" si="389"/>
        <v>0</v>
      </c>
      <c r="DZ73" s="336">
        <f t="shared" si="390"/>
        <v>0</v>
      </c>
      <c r="EA73" s="336">
        <f t="shared" si="391"/>
        <v>21</v>
      </c>
      <c r="EB73" s="336">
        <f t="shared" si="392"/>
        <v>0</v>
      </c>
      <c r="EC73" s="336">
        <f t="shared" si="393"/>
        <v>0</v>
      </c>
      <c r="ED73" s="336">
        <f t="shared" si="209"/>
        <v>0</v>
      </c>
      <c r="EE73" s="336">
        <f t="shared" si="210"/>
        <v>0</v>
      </c>
      <c r="EF73" s="336">
        <f t="shared" si="211"/>
        <v>0</v>
      </c>
      <c r="EG73" s="336">
        <f t="shared" si="212"/>
        <v>0</v>
      </c>
      <c r="EH73" s="336">
        <f t="shared" si="213"/>
        <v>0</v>
      </c>
      <c r="EI73" s="336">
        <f t="shared" si="214"/>
        <v>0</v>
      </c>
      <c r="EJ73" s="336">
        <f t="shared" si="215"/>
        <v>0</v>
      </c>
      <c r="EK73" s="336">
        <f t="shared" si="216"/>
        <v>0</v>
      </c>
      <c r="EL73" s="336">
        <f t="shared" si="217"/>
        <v>0</v>
      </c>
      <c r="EM73" s="336">
        <f t="shared" si="218"/>
        <v>0</v>
      </c>
      <c r="EN73" s="336">
        <f t="shared" si="219"/>
        <v>0</v>
      </c>
      <c r="EO73" s="336">
        <f t="shared" si="220"/>
        <v>0</v>
      </c>
      <c r="EP73" s="336">
        <f t="shared" si="221"/>
        <v>0</v>
      </c>
      <c r="EQ73" s="336">
        <f t="shared" si="222"/>
        <v>0</v>
      </c>
      <c r="ER73" s="336">
        <f t="shared" si="223"/>
        <v>0</v>
      </c>
      <c r="ES73" s="336">
        <f t="shared" si="224"/>
        <v>0</v>
      </c>
      <c r="ET73" s="336">
        <f t="shared" si="224"/>
        <v>0</v>
      </c>
      <c r="EU73" s="336">
        <f t="shared" si="225"/>
        <v>0</v>
      </c>
      <c r="EV73" s="336">
        <f t="shared" si="226"/>
        <v>0</v>
      </c>
      <c r="EW73" s="336">
        <f t="shared" si="227"/>
        <v>0</v>
      </c>
      <c r="EX73" s="336">
        <f t="shared" si="228"/>
        <v>0</v>
      </c>
      <c r="EY73" s="336">
        <f t="shared" si="229"/>
        <v>0</v>
      </c>
      <c r="EZ73" s="336">
        <f t="shared" si="230"/>
        <v>0</v>
      </c>
      <c r="FA73" s="336">
        <f t="shared" si="231"/>
        <v>0</v>
      </c>
      <c r="FB73" s="336">
        <f t="shared" si="232"/>
        <v>0</v>
      </c>
      <c r="FC73" s="336">
        <f t="shared" si="233"/>
        <v>0</v>
      </c>
      <c r="FD73" s="336">
        <f t="shared" si="234"/>
        <v>0</v>
      </c>
      <c r="FE73" s="336">
        <f t="shared" si="235"/>
        <v>0</v>
      </c>
      <c r="FF73" s="336">
        <f t="shared" si="236"/>
        <v>0</v>
      </c>
      <c r="FG73" s="336">
        <f t="shared" si="237"/>
        <v>0</v>
      </c>
      <c r="FH73" s="336">
        <f t="shared" si="238"/>
        <v>0</v>
      </c>
      <c r="FI73" s="336">
        <f t="shared" si="239"/>
        <v>0</v>
      </c>
      <c r="FJ73" s="336">
        <f t="shared" si="240"/>
        <v>0</v>
      </c>
      <c r="FK73" s="336">
        <f t="shared" si="241"/>
        <v>0</v>
      </c>
      <c r="FL73" s="336">
        <f t="shared" si="242"/>
        <v>0</v>
      </c>
      <c r="FM73" s="336">
        <f t="shared" si="243"/>
        <v>0</v>
      </c>
      <c r="FN73" s="336">
        <f t="shared" si="244"/>
        <v>0</v>
      </c>
      <c r="FO73" s="336">
        <f t="shared" si="245"/>
        <v>0</v>
      </c>
      <c r="FP73" s="336">
        <f t="shared" si="246"/>
        <v>0</v>
      </c>
      <c r="FQ73" s="336">
        <f t="shared" si="247"/>
        <v>0</v>
      </c>
      <c r="FR73" s="336">
        <f t="shared" si="248"/>
        <v>0</v>
      </c>
      <c r="FS73" s="336">
        <f t="shared" si="249"/>
        <v>0</v>
      </c>
      <c r="FT73" s="336">
        <f t="shared" si="250"/>
        <v>0</v>
      </c>
      <c r="FU73" s="336">
        <f t="shared" si="609"/>
        <v>0</v>
      </c>
      <c r="FV73" s="336">
        <f t="shared" si="610"/>
        <v>0</v>
      </c>
      <c r="FW73" s="336">
        <f t="shared" si="611"/>
        <v>0</v>
      </c>
      <c r="FX73" s="336">
        <f t="shared" si="612"/>
        <v>0</v>
      </c>
      <c r="FY73" s="336">
        <f t="shared" si="332"/>
        <v>0</v>
      </c>
      <c r="FZ73" s="336">
        <f t="shared" si="333"/>
        <v>0</v>
      </c>
      <c r="GA73" s="336">
        <f t="shared" si="334"/>
        <v>0</v>
      </c>
      <c r="GB73" s="336">
        <f t="shared" si="335"/>
        <v>0</v>
      </c>
      <c r="GC73" s="336">
        <f t="shared" si="336"/>
        <v>0</v>
      </c>
      <c r="GD73" s="336">
        <f t="shared" si="337"/>
        <v>0</v>
      </c>
      <c r="GE73" s="336">
        <f t="shared" si="338"/>
        <v>0</v>
      </c>
      <c r="GF73" s="336">
        <f t="shared" si="339"/>
        <v>0</v>
      </c>
      <c r="GG73" s="336">
        <f t="shared" si="340"/>
        <v>0</v>
      </c>
      <c r="GH73" s="336">
        <f t="shared" si="341"/>
        <v>0</v>
      </c>
      <c r="GI73" s="336">
        <f t="shared" si="342"/>
        <v>0</v>
      </c>
      <c r="GJ73" s="336">
        <f t="shared" si="343"/>
        <v>0</v>
      </c>
      <c r="GK73" s="336">
        <f t="shared" si="344"/>
        <v>0</v>
      </c>
      <c r="GL73" s="336">
        <f t="shared" si="613"/>
        <v>0</v>
      </c>
      <c r="GM73" s="336">
        <f t="shared" si="345"/>
        <v>0</v>
      </c>
    </row>
    <row r="74" spans="1:195" ht="34.5" customHeight="1">
      <c r="A74" s="388">
        <f t="shared" si="517"/>
        <v>50</v>
      </c>
      <c r="B74" s="406" t="s">
        <v>1641</v>
      </c>
      <c r="C74" s="388" t="s">
        <v>489</v>
      </c>
      <c r="D74" s="338" t="s">
        <v>559</v>
      </c>
      <c r="E74" s="502" t="s">
        <v>401</v>
      </c>
      <c r="F74" s="388" t="s">
        <v>29</v>
      </c>
      <c r="G74" s="388" t="s">
        <v>329</v>
      </c>
      <c r="H74" s="418">
        <v>8</v>
      </c>
      <c r="I74" s="388" t="s">
        <v>330</v>
      </c>
      <c r="J74" s="388" t="s">
        <v>331</v>
      </c>
      <c r="K74" s="434">
        <v>400</v>
      </c>
      <c r="L74" s="401">
        <v>0.85</v>
      </c>
      <c r="M74" s="418">
        <v>0.95</v>
      </c>
      <c r="N74" s="392">
        <f t="shared" si="495"/>
        <v>14.300116545949852</v>
      </c>
      <c r="O74" s="392">
        <f t="shared" si="347"/>
        <v>0</v>
      </c>
      <c r="P74" s="401" t="str">
        <f t="shared" si="496"/>
        <v>0.00</v>
      </c>
      <c r="Q74" s="418">
        <v>65</v>
      </c>
      <c r="R74" s="418">
        <v>0</v>
      </c>
      <c r="S74" s="418">
        <f t="shared" si="497"/>
        <v>0</v>
      </c>
      <c r="T74" s="401" t="s">
        <v>131</v>
      </c>
      <c r="U74" s="418" t="s">
        <v>535</v>
      </c>
      <c r="V74" s="401">
        <v>25</v>
      </c>
      <c r="W74" s="401" t="str">
        <f t="shared" si="498"/>
        <v>3.5C X 25</v>
      </c>
      <c r="X74" s="401" t="str">
        <f t="shared" si="499"/>
        <v>3.5C X 25</v>
      </c>
      <c r="Y74" s="401" t="s">
        <v>358</v>
      </c>
      <c r="Z74" s="393">
        <f>IF(T74="AIR",VLOOKUP(W74,'Catalogue Aluminium'!$B$9:$G$93,2,FALSE),IF(T74="GROUND",VLOOKUP(W74,'Catalogue Aluminium'!$B$9:$G$93,3,FALSE),IF(T74="DUCT",VLOOKUP(W74,'Catalogue Aluminium'!$B$9:$G$93,4,FALSE),IF(T74="TRENCH",VLOOKUP(W74,'Catalogue Aluminium'!$B$9:$G$93,2,FALSE)))))</f>
        <v>95</v>
      </c>
      <c r="AA74" s="402">
        <f>VLOOKUP(W74,'Catalogue Aluminium'!$B$9:$G$93,5,FALSE)</f>
        <v>1.54</v>
      </c>
      <c r="AB74" s="402">
        <f>VLOOKUP(W74,'Catalogue Aluminium'!$B$9:$G$93,6,FALSE)</f>
        <v>8.1600000000000006E-2</v>
      </c>
      <c r="AC74" s="401">
        <f t="shared" ref="AC74" si="618">17+3</f>
        <v>20</v>
      </c>
      <c r="AD74" s="401">
        <f t="shared" si="617"/>
        <v>142</v>
      </c>
      <c r="AE74" s="401">
        <f t="shared" si="501"/>
        <v>38</v>
      </c>
      <c r="AF74" s="401">
        <v>8</v>
      </c>
      <c r="AG74" s="401">
        <f t="shared" si="502"/>
        <v>21</v>
      </c>
      <c r="AH74" s="436">
        <f t="shared" si="503"/>
        <v>229</v>
      </c>
      <c r="AI74" s="393">
        <f>IF(T74="AIR",'Catalogue Aluminium'!$K$9,IF(T74="TRENCH",'Catalogue Aluminium'!$K$12,"NA"))</f>
        <v>0.89</v>
      </c>
      <c r="AJ74" s="392">
        <f>IF(T74="Air",(IF(U74="1C",'Catalogue Aluminium'!$L$9,'Catalogue Aluminium'!$M$9)),IF(T74="DUCT",(IF($U74="1C",'Catalogue Aluminium'!$L$10,'Catalogue Aluminium'!$M$10)),IF(T74="GROUND",(IF($U74="1C",'Catalogue Aluminium'!$L$11,'Catalogue Aluminium'!$M$11)),IF(T74="TRENCH",(IF($U74="1C",'Catalogue Aluminium'!$L$12,'Catalogue Aluminium'!$M$12))))))</f>
        <v>0.66</v>
      </c>
      <c r="AK74" s="393" t="str">
        <f>IF(T74="Air",'Catalogue Aluminium'!$N$9,IF(T74="GROUND",'Catalogue Aluminium'!$N$10,IF(T74="DUCT",'Catalogue Aluminium'!$N$11,IF(T74="TRENCH",'Catalogue Aluminium'!$N$12,"NA"))))</f>
        <v>NA</v>
      </c>
      <c r="AL74" s="393" t="str">
        <f>IF(T74="Air",(IF(U74="1C",'Catalogue Aluminium'!$O$9,'Catalogue Aluminium'!$P$9)),IF(T74="DUCT",(IF($U74="1C",'Catalogue Aluminium'!$O$10,'Catalogue Aluminium'!$P$10)),IF(T74="GROUND",(IF($U74="1C",'Catalogue Aluminium'!$O$11,'Catalogue Aluminium'!$P$11)),IF(T74="TRENCH",(IF($U74="1C",'Catalogue Aluminium'!$O$12,'Catalogue Aluminium'!$P$12))))))</f>
        <v>NA</v>
      </c>
      <c r="AM74" s="393" t="str">
        <f>IF(T74="AIR","NA",IF(T74="TRENCH","NA",IF(T74="DUCT",IF(U74="1C",VLOOKUP(V74,'Catalogue Aluminium'!$Q$9:$S$28,2,FALSE),VLOOKUP(V74,'Catalogue Aluminium'!$Q$9:$S$28,3)),IF(T74="GROUND",IF(U74="1C",VLOOKUP(V74,'Catalogue Aluminium'!$Q$9:$S$28,2,FALSE),VLOOKUP(V74,'Catalogue Aluminium'!$Q$9:$S$28,3))))))</f>
        <v>NA</v>
      </c>
      <c r="AN74" s="437">
        <f t="shared" si="504"/>
        <v>0.58740000000000003</v>
      </c>
      <c r="AO74" s="418">
        <f t="shared" si="505"/>
        <v>55.803000000000004</v>
      </c>
      <c r="AP74" s="434">
        <f t="shared" si="10"/>
        <v>1</v>
      </c>
      <c r="AQ74" s="418" t="str">
        <f t="shared" si="506"/>
        <v>YES</v>
      </c>
      <c r="AR74" s="437">
        <f t="shared" si="507"/>
        <v>1.9171130287989295</v>
      </c>
      <c r="AS74" s="401" t="str">
        <f t="shared" si="508"/>
        <v>YES</v>
      </c>
      <c r="AT74" s="437" t="str">
        <f t="shared" si="605"/>
        <v>NA</v>
      </c>
      <c r="AU74" s="401" t="str">
        <f t="shared" si="510"/>
        <v>NA</v>
      </c>
      <c r="AV74" s="503" t="str">
        <f t="shared" si="511"/>
        <v>1R x 0.6/1kV x 3.5C x 25 Sqmm</v>
      </c>
      <c r="AW74" s="503" t="str">
        <f t="shared" si="512"/>
        <v>1R x 0.6/1kV x 3.5C x 25 Sqmm</v>
      </c>
      <c r="AX74" s="401">
        <f t="shared" si="606"/>
        <v>229</v>
      </c>
      <c r="AY74" s="504"/>
      <c r="AZ74" s="504">
        <f t="shared" si="607"/>
        <v>2</v>
      </c>
      <c r="BA74" s="438" t="str">
        <f t="shared" si="515"/>
        <v>AC</v>
      </c>
      <c r="BB74" s="505">
        <f>VLOOKUP(W74,'Catalogue Aluminium'!$B$9:$H$93,7,FALSE)</f>
        <v>25</v>
      </c>
      <c r="BC74" s="439">
        <f t="shared" si="608"/>
        <v>25</v>
      </c>
      <c r="BE74" s="336"/>
      <c r="BF74" s="336">
        <v>1</v>
      </c>
      <c r="BG74" s="336"/>
      <c r="BH74" s="336"/>
      <c r="BI74" s="336">
        <v>1</v>
      </c>
      <c r="BJ74" s="336"/>
      <c r="BK74" s="336"/>
      <c r="BL74" s="336"/>
      <c r="BM74" s="336"/>
      <c r="BN74" s="336"/>
      <c r="BO74" s="336"/>
      <c r="BP74" s="336"/>
      <c r="BQ74" s="336"/>
      <c r="BR74" s="336"/>
      <c r="BS74" s="336"/>
      <c r="BT74" s="336"/>
      <c r="BU74" s="336"/>
      <c r="BV74" s="336"/>
      <c r="BW74" s="336"/>
      <c r="BX74" s="336"/>
      <c r="BY74" s="336"/>
      <c r="BZ74" s="336"/>
      <c r="CA74" s="336"/>
      <c r="CB74" s="336"/>
      <c r="CC74" s="336"/>
      <c r="CD74" s="336"/>
      <c r="CE74" s="336"/>
      <c r="CF74" s="336"/>
      <c r="CG74" s="336"/>
      <c r="CH74" s="336"/>
      <c r="CI74" s="336"/>
      <c r="CJ74" s="336"/>
      <c r="CK74" s="336"/>
      <c r="CL74" s="336"/>
      <c r="CM74" s="336"/>
      <c r="CN74" s="336"/>
      <c r="CO74" s="336"/>
      <c r="CP74" s="336"/>
      <c r="CQ74" s="336"/>
      <c r="CR74" s="336"/>
      <c r="CS74" s="336"/>
      <c r="CT74" s="336"/>
      <c r="CU74" s="336"/>
      <c r="CV74" s="336"/>
      <c r="CW74" s="336"/>
      <c r="CX74" s="336"/>
      <c r="CY74" s="336"/>
      <c r="CZ74" s="336"/>
      <c r="DA74" s="336"/>
      <c r="DB74" s="336"/>
      <c r="DC74" s="336"/>
      <c r="DD74" s="336"/>
      <c r="DE74" s="336"/>
      <c r="DF74" s="336"/>
      <c r="DG74" s="336"/>
      <c r="DH74" s="336"/>
      <c r="DI74" s="336"/>
      <c r="DJ74" s="336"/>
      <c r="DK74" s="336"/>
      <c r="DL74" s="336"/>
      <c r="DM74" s="336"/>
      <c r="DN74" s="336"/>
      <c r="DO74" s="336"/>
      <c r="DP74" s="336"/>
      <c r="DQ74" s="336"/>
      <c r="DR74" s="336"/>
      <c r="DS74" s="336"/>
      <c r="DT74" s="336"/>
      <c r="DU74" s="336"/>
      <c r="DW74" s="336">
        <f t="shared" si="387"/>
        <v>0</v>
      </c>
      <c r="DX74" s="336">
        <f t="shared" si="388"/>
        <v>25</v>
      </c>
      <c r="DY74" s="336">
        <f t="shared" si="389"/>
        <v>0</v>
      </c>
      <c r="DZ74" s="336">
        <f t="shared" si="390"/>
        <v>0</v>
      </c>
      <c r="EA74" s="336">
        <f t="shared" si="391"/>
        <v>25</v>
      </c>
      <c r="EB74" s="336">
        <f t="shared" si="392"/>
        <v>0</v>
      </c>
      <c r="EC74" s="336">
        <f t="shared" si="393"/>
        <v>0</v>
      </c>
      <c r="ED74" s="336">
        <f t="shared" si="209"/>
        <v>0</v>
      </c>
      <c r="EE74" s="336">
        <f t="shared" si="210"/>
        <v>0</v>
      </c>
      <c r="EF74" s="336">
        <f t="shared" si="211"/>
        <v>0</v>
      </c>
      <c r="EG74" s="336">
        <f t="shared" si="212"/>
        <v>0</v>
      </c>
      <c r="EH74" s="336">
        <f t="shared" si="213"/>
        <v>0</v>
      </c>
      <c r="EI74" s="336">
        <f t="shared" si="214"/>
        <v>0</v>
      </c>
      <c r="EJ74" s="336">
        <f t="shared" si="215"/>
        <v>0</v>
      </c>
      <c r="EK74" s="336">
        <f t="shared" si="216"/>
        <v>0</v>
      </c>
      <c r="EL74" s="336">
        <f t="shared" si="217"/>
        <v>0</v>
      </c>
      <c r="EM74" s="336">
        <f t="shared" si="218"/>
        <v>0</v>
      </c>
      <c r="EN74" s="336">
        <f t="shared" si="219"/>
        <v>0</v>
      </c>
      <c r="EO74" s="336">
        <f t="shared" si="220"/>
        <v>0</v>
      </c>
      <c r="EP74" s="336">
        <f t="shared" si="221"/>
        <v>0</v>
      </c>
      <c r="EQ74" s="336">
        <f t="shared" si="222"/>
        <v>0</v>
      </c>
      <c r="ER74" s="336">
        <f t="shared" si="223"/>
        <v>0</v>
      </c>
      <c r="ES74" s="336">
        <f t="shared" si="224"/>
        <v>0</v>
      </c>
      <c r="ET74" s="336">
        <f t="shared" si="224"/>
        <v>0</v>
      </c>
      <c r="EU74" s="336">
        <f t="shared" si="225"/>
        <v>0</v>
      </c>
      <c r="EV74" s="336">
        <f t="shared" si="226"/>
        <v>0</v>
      </c>
      <c r="EW74" s="336">
        <f t="shared" si="227"/>
        <v>0</v>
      </c>
      <c r="EX74" s="336">
        <f t="shared" si="228"/>
        <v>0</v>
      </c>
      <c r="EY74" s="336">
        <f t="shared" si="229"/>
        <v>0</v>
      </c>
      <c r="EZ74" s="336">
        <f t="shared" si="230"/>
        <v>0</v>
      </c>
      <c r="FA74" s="336">
        <f t="shared" si="231"/>
        <v>0</v>
      </c>
      <c r="FB74" s="336">
        <f t="shared" si="232"/>
        <v>0</v>
      </c>
      <c r="FC74" s="336">
        <f t="shared" si="233"/>
        <v>0</v>
      </c>
      <c r="FD74" s="336">
        <f t="shared" si="234"/>
        <v>0</v>
      </c>
      <c r="FE74" s="336">
        <f t="shared" si="235"/>
        <v>0</v>
      </c>
      <c r="FF74" s="336">
        <f t="shared" si="236"/>
        <v>0</v>
      </c>
      <c r="FG74" s="336">
        <f t="shared" si="237"/>
        <v>0</v>
      </c>
      <c r="FH74" s="336">
        <f t="shared" si="238"/>
        <v>0</v>
      </c>
      <c r="FI74" s="336">
        <f t="shared" si="239"/>
        <v>0</v>
      </c>
      <c r="FJ74" s="336">
        <f t="shared" si="240"/>
        <v>0</v>
      </c>
      <c r="FK74" s="336">
        <f t="shared" si="241"/>
        <v>0</v>
      </c>
      <c r="FL74" s="336">
        <f t="shared" si="242"/>
        <v>0</v>
      </c>
      <c r="FM74" s="336">
        <f t="shared" si="243"/>
        <v>0</v>
      </c>
      <c r="FN74" s="336">
        <f t="shared" si="244"/>
        <v>0</v>
      </c>
      <c r="FO74" s="336">
        <f t="shared" si="245"/>
        <v>0</v>
      </c>
      <c r="FP74" s="336">
        <f t="shared" si="246"/>
        <v>0</v>
      </c>
      <c r="FQ74" s="336">
        <f t="shared" si="247"/>
        <v>0</v>
      </c>
      <c r="FR74" s="336">
        <f t="shared" si="248"/>
        <v>0</v>
      </c>
      <c r="FS74" s="336">
        <f t="shared" si="249"/>
        <v>0</v>
      </c>
      <c r="FT74" s="336">
        <f t="shared" si="250"/>
        <v>0</v>
      </c>
      <c r="FU74" s="336">
        <f t="shared" si="609"/>
        <v>0</v>
      </c>
      <c r="FV74" s="336">
        <f t="shared" si="610"/>
        <v>0</v>
      </c>
      <c r="FW74" s="336">
        <f t="shared" si="611"/>
        <v>0</v>
      </c>
      <c r="FX74" s="336">
        <f t="shared" si="612"/>
        <v>0</v>
      </c>
      <c r="FY74" s="336">
        <f t="shared" si="332"/>
        <v>0</v>
      </c>
      <c r="FZ74" s="336">
        <f t="shared" si="333"/>
        <v>0</v>
      </c>
      <c r="GA74" s="336">
        <f t="shared" si="334"/>
        <v>0</v>
      </c>
      <c r="GB74" s="336">
        <f t="shared" si="335"/>
        <v>0</v>
      </c>
      <c r="GC74" s="336">
        <f t="shared" si="336"/>
        <v>0</v>
      </c>
      <c r="GD74" s="336">
        <f t="shared" si="337"/>
        <v>0</v>
      </c>
      <c r="GE74" s="336">
        <f t="shared" si="338"/>
        <v>0</v>
      </c>
      <c r="GF74" s="336">
        <f t="shared" si="339"/>
        <v>0</v>
      </c>
      <c r="GG74" s="336">
        <f t="shared" si="340"/>
        <v>0</v>
      </c>
      <c r="GH74" s="336">
        <f t="shared" si="341"/>
        <v>0</v>
      </c>
      <c r="GI74" s="336">
        <f t="shared" si="342"/>
        <v>0</v>
      </c>
      <c r="GJ74" s="336">
        <f t="shared" si="343"/>
        <v>0</v>
      </c>
      <c r="GK74" s="336">
        <f t="shared" si="344"/>
        <v>0</v>
      </c>
      <c r="GL74" s="336">
        <f t="shared" si="613"/>
        <v>0</v>
      </c>
      <c r="GM74" s="336">
        <f t="shared" si="345"/>
        <v>0</v>
      </c>
    </row>
    <row r="75" spans="1:195" ht="34.5" customHeight="1">
      <c r="A75" s="388">
        <f t="shared" si="517"/>
        <v>51</v>
      </c>
      <c r="B75" s="388">
        <v>0</v>
      </c>
      <c r="C75" s="388" t="s">
        <v>489</v>
      </c>
      <c r="D75" s="338" t="s">
        <v>560</v>
      </c>
      <c r="E75" s="502" t="s">
        <v>401</v>
      </c>
      <c r="F75" s="388" t="s">
        <v>28</v>
      </c>
      <c r="G75" s="388" t="s">
        <v>329</v>
      </c>
      <c r="H75" s="418">
        <v>28</v>
      </c>
      <c r="I75" s="388" t="s">
        <v>330</v>
      </c>
      <c r="J75" s="388" t="s">
        <v>331</v>
      </c>
      <c r="K75" s="434">
        <v>400</v>
      </c>
      <c r="L75" s="401">
        <v>0.85</v>
      </c>
      <c r="M75" s="418">
        <v>0.95</v>
      </c>
      <c r="N75" s="392">
        <f t="shared" si="495"/>
        <v>50.050407910824482</v>
      </c>
      <c r="O75" s="392">
        <f t="shared" si="347"/>
        <v>0</v>
      </c>
      <c r="P75" s="401" t="str">
        <f t="shared" si="496"/>
        <v>0.00</v>
      </c>
      <c r="Q75" s="418">
        <v>65</v>
      </c>
      <c r="R75" s="418">
        <v>0</v>
      </c>
      <c r="S75" s="418">
        <f t="shared" si="497"/>
        <v>0</v>
      </c>
      <c r="T75" s="401" t="s">
        <v>131</v>
      </c>
      <c r="U75" s="418" t="s">
        <v>535</v>
      </c>
      <c r="V75" s="401">
        <v>95</v>
      </c>
      <c r="W75" s="401" t="str">
        <f t="shared" si="498"/>
        <v>3.5C X 95</v>
      </c>
      <c r="X75" s="401" t="str">
        <f t="shared" si="499"/>
        <v>3.5C X 95</v>
      </c>
      <c r="Y75" s="401" t="s">
        <v>358</v>
      </c>
      <c r="Z75" s="393">
        <f>IF(T75="AIR",VLOOKUP(W75,'Catalogue Aluminium'!$B$9:$G$93,2,FALSE),IF(T75="GROUND",VLOOKUP(W75,'Catalogue Aluminium'!$B$9:$G$93,3,FALSE),IF(T75="DUCT",VLOOKUP(W75,'Catalogue Aluminium'!$B$9:$G$93,4,FALSE),IF(T75="TRENCH",VLOOKUP(W75,'Catalogue Aluminium'!$B$9:$G$93,2,FALSE)))))</f>
        <v>221</v>
      </c>
      <c r="AA75" s="402">
        <f>VLOOKUP(W75,'Catalogue Aluminium'!$B$9:$G$93,5,FALSE)</f>
        <v>0.41</v>
      </c>
      <c r="AB75" s="402">
        <f>VLOOKUP(W75,'Catalogue Aluminium'!$B$9:$G$93,6,FALSE)</f>
        <v>7.3400000000000007E-2</v>
      </c>
      <c r="AC75" s="401">
        <f>26+3</f>
        <v>29</v>
      </c>
      <c r="AD75" s="401">
        <f t="shared" si="617"/>
        <v>142</v>
      </c>
      <c r="AE75" s="401">
        <f t="shared" si="501"/>
        <v>38</v>
      </c>
      <c r="AF75" s="401">
        <v>8</v>
      </c>
      <c r="AG75" s="401">
        <f t="shared" si="502"/>
        <v>22</v>
      </c>
      <c r="AH75" s="436">
        <f t="shared" si="503"/>
        <v>239</v>
      </c>
      <c r="AI75" s="393">
        <f>IF(T75="AIR",'Catalogue Aluminium'!$K$9,IF(T75="TRENCH",'Catalogue Aluminium'!$K$12,"NA"))</f>
        <v>0.89</v>
      </c>
      <c r="AJ75" s="392">
        <f>IF(T75="Air",(IF(U75="1C",'Catalogue Aluminium'!$L$9,'Catalogue Aluminium'!$M$9)),IF(T75="DUCT",(IF($U75="1C",'Catalogue Aluminium'!$L$10,'Catalogue Aluminium'!$M$10)),IF(T75="GROUND",(IF($U75="1C",'Catalogue Aluminium'!$L$11,'Catalogue Aluminium'!$M$11)),IF(T75="TRENCH",(IF($U75="1C",'Catalogue Aluminium'!$L$12,'Catalogue Aluminium'!$M$12))))))</f>
        <v>0.66</v>
      </c>
      <c r="AK75" s="393" t="str">
        <f>IF(T75="Air",'Catalogue Aluminium'!$N$9,IF(T75="GROUND",'Catalogue Aluminium'!$N$10,IF(T75="DUCT",'Catalogue Aluminium'!$N$11,IF(T75="TRENCH",'Catalogue Aluminium'!$N$12,"NA"))))</f>
        <v>NA</v>
      </c>
      <c r="AL75" s="393" t="str">
        <f>IF(T75="Air",(IF(U75="1C",'Catalogue Aluminium'!$O$9,'Catalogue Aluminium'!$P$9)),IF(T75="DUCT",(IF($U75="1C",'Catalogue Aluminium'!$O$10,'Catalogue Aluminium'!$P$10)),IF(T75="GROUND",(IF($U75="1C",'Catalogue Aluminium'!$O$11,'Catalogue Aluminium'!$P$11)),IF(T75="TRENCH",(IF($U75="1C",'Catalogue Aluminium'!$O$12,'Catalogue Aluminium'!$P$12))))))</f>
        <v>NA</v>
      </c>
      <c r="AM75" s="393" t="str">
        <f>IF(T75="AIR","NA",IF(T75="TRENCH","NA",IF(T75="DUCT",IF(U75="1C",VLOOKUP(V75,'Catalogue Aluminium'!$Q$9:$S$28,2,FALSE),VLOOKUP(V75,'Catalogue Aluminium'!$Q$9:$S$28,3)),IF(T75="GROUND",IF(U75="1C",VLOOKUP(V75,'Catalogue Aluminium'!$Q$9:$S$28,2,FALSE),VLOOKUP(V75,'Catalogue Aluminium'!$Q$9:$S$28,3))))))</f>
        <v>NA</v>
      </c>
      <c r="AN75" s="437">
        <f t="shared" si="504"/>
        <v>0.58740000000000003</v>
      </c>
      <c r="AO75" s="418">
        <f t="shared" si="505"/>
        <v>129.81540000000001</v>
      </c>
      <c r="AP75" s="434">
        <f t="shared" si="10"/>
        <v>1</v>
      </c>
      <c r="AQ75" s="418" t="str">
        <f t="shared" si="506"/>
        <v>YES</v>
      </c>
      <c r="AR75" s="437">
        <f t="shared" si="507"/>
        <v>2.0054101136368989</v>
      </c>
      <c r="AS75" s="401" t="str">
        <f t="shared" si="508"/>
        <v>YES</v>
      </c>
      <c r="AT75" s="437" t="str">
        <f t="shared" si="605"/>
        <v>NA</v>
      </c>
      <c r="AU75" s="401" t="str">
        <f t="shared" si="510"/>
        <v>NA</v>
      </c>
      <c r="AV75" s="503" t="str">
        <f t="shared" si="511"/>
        <v>1R x 0.6/1kV x 3.5C x 95 Sqmm</v>
      </c>
      <c r="AW75" s="503" t="str">
        <f t="shared" si="512"/>
        <v>1R x 0.6/1kV x 3.5C x 95 Sqmm</v>
      </c>
      <c r="AX75" s="401">
        <f t="shared" si="606"/>
        <v>239</v>
      </c>
      <c r="AY75" s="504"/>
      <c r="AZ75" s="504">
        <f t="shared" si="607"/>
        <v>2</v>
      </c>
      <c r="BA75" s="438" t="str">
        <f t="shared" si="515"/>
        <v>AC</v>
      </c>
      <c r="BB75" s="505">
        <f>VLOOKUP(W75,'Catalogue Aluminium'!$B$9:$H$93,7,FALSE)</f>
        <v>39</v>
      </c>
      <c r="BC75" s="439">
        <f t="shared" si="608"/>
        <v>39</v>
      </c>
      <c r="BE75" s="336"/>
      <c r="BF75" s="336">
        <v>1</v>
      </c>
      <c r="BG75" s="336"/>
      <c r="BH75" s="336"/>
      <c r="BI75" s="336">
        <v>1</v>
      </c>
      <c r="BJ75" s="336"/>
      <c r="BK75" s="336"/>
      <c r="BL75" s="336"/>
      <c r="BM75" s="336"/>
      <c r="BN75" s="336"/>
      <c r="BO75" s="336"/>
      <c r="BP75" s="336"/>
      <c r="BQ75" s="336"/>
      <c r="BR75" s="336"/>
      <c r="BS75" s="336"/>
      <c r="BT75" s="336"/>
      <c r="BU75" s="336"/>
      <c r="BV75" s="336"/>
      <c r="BW75" s="336"/>
      <c r="BX75" s="336"/>
      <c r="BY75" s="336"/>
      <c r="BZ75" s="336"/>
      <c r="CA75" s="336"/>
      <c r="CB75" s="336"/>
      <c r="CC75" s="336"/>
      <c r="CD75" s="336"/>
      <c r="CE75" s="336"/>
      <c r="CF75" s="336"/>
      <c r="CG75" s="336"/>
      <c r="CH75" s="336"/>
      <c r="CI75" s="336"/>
      <c r="CJ75" s="336"/>
      <c r="CK75" s="336"/>
      <c r="CL75" s="336"/>
      <c r="CM75" s="336"/>
      <c r="CN75" s="336"/>
      <c r="CO75" s="336"/>
      <c r="CP75" s="336"/>
      <c r="CQ75" s="336"/>
      <c r="CR75" s="336"/>
      <c r="CS75" s="336"/>
      <c r="CT75" s="336"/>
      <c r="CU75" s="336"/>
      <c r="CV75" s="336"/>
      <c r="CW75" s="336"/>
      <c r="CX75" s="336"/>
      <c r="CY75" s="336"/>
      <c r="CZ75" s="336"/>
      <c r="DA75" s="336"/>
      <c r="DB75" s="336"/>
      <c r="DC75" s="336"/>
      <c r="DD75" s="336"/>
      <c r="DE75" s="336"/>
      <c r="DF75" s="336"/>
      <c r="DG75" s="336"/>
      <c r="DH75" s="336"/>
      <c r="DI75" s="336"/>
      <c r="DJ75" s="336"/>
      <c r="DK75" s="336"/>
      <c r="DL75" s="336"/>
      <c r="DM75" s="336"/>
      <c r="DN75" s="336"/>
      <c r="DO75" s="336"/>
      <c r="DP75" s="336"/>
      <c r="DQ75" s="336"/>
      <c r="DR75" s="336"/>
      <c r="DS75" s="336"/>
      <c r="DT75" s="336"/>
      <c r="DU75" s="336"/>
      <c r="DW75" s="336">
        <f t="shared" si="387"/>
        <v>0</v>
      </c>
      <c r="DX75" s="336">
        <f t="shared" si="388"/>
        <v>39</v>
      </c>
      <c r="DY75" s="336">
        <f t="shared" si="389"/>
        <v>0</v>
      </c>
      <c r="DZ75" s="336">
        <f t="shared" si="390"/>
        <v>0</v>
      </c>
      <c r="EA75" s="336">
        <f t="shared" si="391"/>
        <v>39</v>
      </c>
      <c r="EB75" s="336">
        <f t="shared" si="392"/>
        <v>0</v>
      </c>
      <c r="EC75" s="336">
        <f t="shared" si="393"/>
        <v>0</v>
      </c>
      <c r="ED75" s="336">
        <f t="shared" si="209"/>
        <v>0</v>
      </c>
      <c r="EE75" s="336">
        <f t="shared" si="210"/>
        <v>0</v>
      </c>
      <c r="EF75" s="336">
        <f t="shared" si="211"/>
        <v>0</v>
      </c>
      <c r="EG75" s="336">
        <f t="shared" si="212"/>
        <v>0</v>
      </c>
      <c r="EH75" s="336">
        <f t="shared" si="213"/>
        <v>0</v>
      </c>
      <c r="EI75" s="336">
        <f t="shared" si="214"/>
        <v>0</v>
      </c>
      <c r="EJ75" s="336">
        <f t="shared" si="215"/>
        <v>0</v>
      </c>
      <c r="EK75" s="336">
        <f t="shared" si="216"/>
        <v>0</v>
      </c>
      <c r="EL75" s="336">
        <f t="shared" si="217"/>
        <v>0</v>
      </c>
      <c r="EM75" s="336">
        <f t="shared" si="218"/>
        <v>0</v>
      </c>
      <c r="EN75" s="336">
        <f t="shared" si="219"/>
        <v>0</v>
      </c>
      <c r="EO75" s="336">
        <f t="shared" si="220"/>
        <v>0</v>
      </c>
      <c r="EP75" s="336">
        <f t="shared" si="221"/>
        <v>0</v>
      </c>
      <c r="EQ75" s="336">
        <f t="shared" si="222"/>
        <v>0</v>
      </c>
      <c r="ER75" s="336">
        <f t="shared" si="223"/>
        <v>0</v>
      </c>
      <c r="ES75" s="336">
        <f t="shared" si="224"/>
        <v>0</v>
      </c>
      <c r="ET75" s="336">
        <f t="shared" si="224"/>
        <v>0</v>
      </c>
      <c r="EU75" s="336">
        <f t="shared" si="225"/>
        <v>0</v>
      </c>
      <c r="EV75" s="336">
        <f t="shared" si="226"/>
        <v>0</v>
      </c>
      <c r="EW75" s="336">
        <f t="shared" si="227"/>
        <v>0</v>
      </c>
      <c r="EX75" s="336">
        <f t="shared" si="228"/>
        <v>0</v>
      </c>
      <c r="EY75" s="336">
        <f t="shared" si="229"/>
        <v>0</v>
      </c>
      <c r="EZ75" s="336">
        <f t="shared" si="230"/>
        <v>0</v>
      </c>
      <c r="FA75" s="336">
        <f t="shared" si="231"/>
        <v>0</v>
      </c>
      <c r="FB75" s="336">
        <f t="shared" si="232"/>
        <v>0</v>
      </c>
      <c r="FC75" s="336">
        <f t="shared" si="233"/>
        <v>0</v>
      </c>
      <c r="FD75" s="336">
        <f t="shared" si="234"/>
        <v>0</v>
      </c>
      <c r="FE75" s="336">
        <f t="shared" si="235"/>
        <v>0</v>
      </c>
      <c r="FF75" s="336">
        <f t="shared" si="236"/>
        <v>0</v>
      </c>
      <c r="FG75" s="336">
        <f t="shared" si="237"/>
        <v>0</v>
      </c>
      <c r="FH75" s="336">
        <f t="shared" si="238"/>
        <v>0</v>
      </c>
      <c r="FI75" s="336">
        <f t="shared" si="239"/>
        <v>0</v>
      </c>
      <c r="FJ75" s="336">
        <f t="shared" si="240"/>
        <v>0</v>
      </c>
      <c r="FK75" s="336">
        <f t="shared" si="241"/>
        <v>0</v>
      </c>
      <c r="FL75" s="336">
        <f t="shared" si="242"/>
        <v>0</v>
      </c>
      <c r="FM75" s="336">
        <f t="shared" si="243"/>
        <v>0</v>
      </c>
      <c r="FN75" s="336">
        <f t="shared" si="244"/>
        <v>0</v>
      </c>
      <c r="FO75" s="336">
        <f t="shared" si="245"/>
        <v>0</v>
      </c>
      <c r="FP75" s="336">
        <f t="shared" si="246"/>
        <v>0</v>
      </c>
      <c r="FQ75" s="336">
        <f t="shared" si="247"/>
        <v>0</v>
      </c>
      <c r="FR75" s="336">
        <f t="shared" si="248"/>
        <v>0</v>
      </c>
      <c r="FS75" s="336">
        <f t="shared" si="249"/>
        <v>0</v>
      </c>
      <c r="FT75" s="336">
        <f t="shared" si="250"/>
        <v>0</v>
      </c>
      <c r="FU75" s="336">
        <f t="shared" si="609"/>
        <v>0</v>
      </c>
      <c r="FV75" s="336">
        <f t="shared" si="610"/>
        <v>0</v>
      </c>
      <c r="FW75" s="336">
        <f t="shared" si="611"/>
        <v>0</v>
      </c>
      <c r="FX75" s="336">
        <f t="shared" si="612"/>
        <v>0</v>
      </c>
      <c r="FY75" s="336">
        <f t="shared" si="332"/>
        <v>0</v>
      </c>
      <c r="FZ75" s="336">
        <f t="shared" si="333"/>
        <v>0</v>
      </c>
      <c r="GA75" s="336">
        <f t="shared" si="334"/>
        <v>0</v>
      </c>
      <c r="GB75" s="336">
        <f t="shared" si="335"/>
        <v>0</v>
      </c>
      <c r="GC75" s="336">
        <f t="shared" si="336"/>
        <v>0</v>
      </c>
      <c r="GD75" s="336">
        <f t="shared" si="337"/>
        <v>0</v>
      </c>
      <c r="GE75" s="336">
        <f t="shared" si="338"/>
        <v>0</v>
      </c>
      <c r="GF75" s="336">
        <f t="shared" si="339"/>
        <v>0</v>
      </c>
      <c r="GG75" s="336">
        <f t="shared" si="340"/>
        <v>0</v>
      </c>
      <c r="GH75" s="336">
        <f t="shared" si="341"/>
        <v>0</v>
      </c>
      <c r="GI75" s="336">
        <f t="shared" si="342"/>
        <v>0</v>
      </c>
      <c r="GJ75" s="336">
        <f t="shared" si="343"/>
        <v>0</v>
      </c>
      <c r="GK75" s="336">
        <f t="shared" si="344"/>
        <v>0</v>
      </c>
      <c r="GL75" s="336">
        <f t="shared" si="613"/>
        <v>0</v>
      </c>
      <c r="GM75" s="336">
        <f t="shared" si="345"/>
        <v>0</v>
      </c>
    </row>
    <row r="76" spans="1:195" s="888" customFormat="1" ht="34.5" hidden="1" customHeight="1">
      <c r="A76" s="870" t="s">
        <v>334</v>
      </c>
      <c r="B76" s="870" t="s">
        <v>527</v>
      </c>
      <c r="C76" s="870" t="s">
        <v>489</v>
      </c>
      <c r="D76" s="872" t="s">
        <v>561</v>
      </c>
      <c r="E76" s="873" t="s">
        <v>345</v>
      </c>
      <c r="F76" s="870" t="s">
        <v>28</v>
      </c>
      <c r="G76" s="870" t="s">
        <v>350</v>
      </c>
      <c r="H76" s="877">
        <v>3</v>
      </c>
      <c r="I76" s="870" t="s">
        <v>330</v>
      </c>
      <c r="J76" s="870" t="s">
        <v>331</v>
      </c>
      <c r="K76" s="875">
        <v>400</v>
      </c>
      <c r="L76" s="876">
        <v>0.85</v>
      </c>
      <c r="M76" s="877">
        <v>0.95</v>
      </c>
      <c r="N76" s="878">
        <f t="shared" si="495"/>
        <v>5.3625437047311939</v>
      </c>
      <c r="O76" s="878">
        <f t="shared" si="347"/>
        <v>32.175262228387162</v>
      </c>
      <c r="P76" s="876">
        <f t="shared" si="496"/>
        <v>0.2</v>
      </c>
      <c r="Q76" s="877">
        <v>65</v>
      </c>
      <c r="R76" s="877">
        <v>0</v>
      </c>
      <c r="S76" s="877">
        <f t="shared" si="497"/>
        <v>0</v>
      </c>
      <c r="T76" s="876" t="s">
        <v>131</v>
      </c>
      <c r="U76" s="877" t="s">
        <v>333</v>
      </c>
      <c r="V76" s="876">
        <v>25</v>
      </c>
      <c r="W76" s="876" t="str">
        <f t="shared" si="498"/>
        <v>3C X 25</v>
      </c>
      <c r="X76" s="876" t="str">
        <f t="shared" si="499"/>
        <v>3C X 25+PE</v>
      </c>
      <c r="Y76" s="876" t="s">
        <v>358</v>
      </c>
      <c r="Z76" s="879">
        <f>IF(T76="AIR",VLOOKUP(W76,'Catalogue Aluminium'!$B$9:$G$93,2,FALSE),IF(T76="GROUND",VLOOKUP(W76,'Catalogue Aluminium'!$B$9:$G$93,3,FALSE),IF(T76="DUCT",VLOOKUP(W76,'Catalogue Aluminium'!$B$9:$G$93,4,FALSE),IF(T76="TRENCH",VLOOKUP(W76,'Catalogue Aluminium'!$B$9:$G$93,2,FALSE)))))</f>
        <v>95</v>
      </c>
      <c r="AA76" s="880">
        <f>VLOOKUP(W76,'Catalogue Aluminium'!$B$9:$G$93,5,FALSE)</f>
        <v>1.54</v>
      </c>
      <c r="AB76" s="880">
        <f>VLOOKUP(W76,'Catalogue Aluminium'!$B$9:$G$93,6,FALSE)</f>
        <v>8.1600000000000006E-2</v>
      </c>
      <c r="AC76" s="876">
        <f>26+3</f>
        <v>29</v>
      </c>
      <c r="AD76" s="876">
        <f>40+50+38+50+17+(27+42+22)</f>
        <v>286</v>
      </c>
      <c r="AE76" s="876">
        <f t="shared" si="501"/>
        <v>38</v>
      </c>
      <c r="AF76" s="876">
        <v>8</v>
      </c>
      <c r="AG76" s="876">
        <f t="shared" si="502"/>
        <v>37</v>
      </c>
      <c r="AH76" s="881">
        <v>90</v>
      </c>
      <c r="AI76" s="879">
        <f>IF(T76="AIR",'Catalogue Aluminium'!$K$9,IF(T76="TRENCH",'Catalogue Aluminium'!$K$12,"NA"))</f>
        <v>0.89</v>
      </c>
      <c r="AJ76" s="878">
        <f>IF(T76="Air",(IF(U76="1C",'Catalogue Aluminium'!$L$9,'Catalogue Aluminium'!$M$9)),IF(T76="DUCT",(IF($U76="1C",'Catalogue Aluminium'!$L$10,'Catalogue Aluminium'!$M$10)),IF(T76="GROUND",(IF($U76="1C",'Catalogue Aluminium'!$L$11,'Catalogue Aluminium'!$M$11)),IF(T76="TRENCH",(IF($U76="1C",'Catalogue Aluminium'!$L$12,'Catalogue Aluminium'!$M$12))))))</f>
        <v>0.66</v>
      </c>
      <c r="AK76" s="879" t="str">
        <f>IF(T76="Air",'Catalogue Aluminium'!$N$9,IF(T76="GROUND",'Catalogue Aluminium'!$N$10,IF(T76="DUCT",'Catalogue Aluminium'!$N$11,IF(T76="TRENCH",'Catalogue Aluminium'!$N$12,"NA"))))</f>
        <v>NA</v>
      </c>
      <c r="AL76" s="879" t="str">
        <f>IF(T76="Air",(IF(U76="1C",'Catalogue Aluminium'!$O$9,'Catalogue Aluminium'!$P$9)),IF(T76="DUCT",(IF($U76="1C",'Catalogue Aluminium'!$O$10,'Catalogue Aluminium'!$P$10)),IF(T76="GROUND",(IF($U76="1C",'Catalogue Aluminium'!$O$11,'Catalogue Aluminium'!$P$11)),IF(T76="TRENCH",(IF($U76="1C",'Catalogue Aluminium'!$O$12,'Catalogue Aluminium'!$P$12))))))</f>
        <v>NA</v>
      </c>
      <c r="AM76" s="879" t="str">
        <f>IF(T76="AIR","NA",IF(T76="TRENCH","NA",IF(T76="DUCT",IF(U76="1C",VLOOKUP(V76,'Catalogue Aluminium'!$Q$9:$S$28,2,FALSE),VLOOKUP(V76,'Catalogue Aluminium'!$Q$9:$S$28,3)),IF(T76="GROUND",IF(U76="1C",VLOOKUP(V76,'Catalogue Aluminium'!$Q$9:$S$28,2,FALSE),VLOOKUP(V76,'Catalogue Aluminium'!$Q$9:$S$28,3))))))</f>
        <v>NA</v>
      </c>
      <c r="AN76" s="882">
        <f t="shared" si="504"/>
        <v>0.58740000000000003</v>
      </c>
      <c r="AO76" s="877">
        <f t="shared" si="505"/>
        <v>55.803000000000004</v>
      </c>
      <c r="AP76" s="875">
        <f t="shared" si="10"/>
        <v>1</v>
      </c>
      <c r="AQ76" s="877" t="str">
        <f t="shared" si="506"/>
        <v>YES</v>
      </c>
      <c r="AR76" s="882">
        <f t="shared" si="507"/>
        <v>0.28254395075093391</v>
      </c>
      <c r="AS76" s="876" t="str">
        <f t="shared" si="508"/>
        <v>YES</v>
      </c>
      <c r="AT76" s="882">
        <f t="shared" si="605"/>
        <v>0.48645481075102259</v>
      </c>
      <c r="AU76" s="876" t="str">
        <f t="shared" si="510"/>
        <v>YES</v>
      </c>
      <c r="AV76" s="883" t="str">
        <f t="shared" si="511"/>
        <v>1R x 0.6/1kV x 3C x 25 Sqmm</v>
      </c>
      <c r="AW76" s="883" t="str">
        <f t="shared" si="512"/>
        <v>1R x 0.6/1kV x 3C x 25+PE Sqmm</v>
      </c>
      <c r="AX76" s="876">
        <f t="shared" si="606"/>
        <v>90</v>
      </c>
      <c r="AY76" s="884"/>
      <c r="AZ76" s="884">
        <f t="shared" si="607"/>
        <v>2</v>
      </c>
      <c r="BA76" s="885" t="str">
        <f t="shared" si="515"/>
        <v>ACDEE1E2E3</v>
      </c>
      <c r="BB76" s="886">
        <f>VLOOKUP(W76,'Catalogue Aluminium'!$B$9:$H$93,7,FALSE)</f>
        <v>21</v>
      </c>
      <c r="BC76" s="887">
        <f t="shared" si="608"/>
        <v>21</v>
      </c>
      <c r="BE76" s="889"/>
      <c r="BF76" s="889">
        <v>1</v>
      </c>
      <c r="BG76" s="889"/>
      <c r="BH76" s="889"/>
      <c r="BI76" s="889">
        <v>1</v>
      </c>
      <c r="BJ76" s="889">
        <v>1</v>
      </c>
      <c r="BK76" s="889"/>
      <c r="BL76" s="889"/>
      <c r="BM76" s="889"/>
      <c r="BN76" s="889">
        <v>1</v>
      </c>
      <c r="BO76" s="889"/>
      <c r="BP76" s="889">
        <v>1</v>
      </c>
      <c r="BQ76" s="889">
        <v>1</v>
      </c>
      <c r="BR76" s="889">
        <v>1</v>
      </c>
      <c r="BS76" s="889"/>
      <c r="BT76" s="889"/>
      <c r="BU76" s="889"/>
      <c r="BV76" s="889"/>
      <c r="BW76" s="889"/>
      <c r="BX76" s="889"/>
      <c r="BY76" s="889"/>
      <c r="BZ76" s="889"/>
      <c r="CA76" s="889"/>
      <c r="CB76" s="889"/>
      <c r="CC76" s="889"/>
      <c r="CD76" s="889"/>
      <c r="CE76" s="889"/>
      <c r="CF76" s="889"/>
      <c r="CG76" s="889"/>
      <c r="CH76" s="889"/>
      <c r="CI76" s="889"/>
      <c r="CJ76" s="889"/>
      <c r="CK76" s="889"/>
      <c r="CL76" s="889"/>
      <c r="CM76" s="889"/>
      <c r="CN76" s="889"/>
      <c r="CO76" s="889"/>
      <c r="CP76" s="889"/>
      <c r="CQ76" s="889"/>
      <c r="CR76" s="889"/>
      <c r="CS76" s="889"/>
      <c r="CT76" s="889"/>
      <c r="CU76" s="889"/>
      <c r="CV76" s="889"/>
      <c r="CW76" s="889"/>
      <c r="CX76" s="889"/>
      <c r="CY76" s="889"/>
      <c r="CZ76" s="889"/>
      <c r="DA76" s="889"/>
      <c r="DB76" s="889"/>
      <c r="DC76" s="889"/>
      <c r="DD76" s="889"/>
      <c r="DE76" s="889"/>
      <c r="DF76" s="889"/>
      <c r="DG76" s="889"/>
      <c r="DH76" s="889"/>
      <c r="DI76" s="889"/>
      <c r="DJ76" s="889"/>
      <c r="DK76" s="889"/>
      <c r="DL76" s="889"/>
      <c r="DM76" s="889"/>
      <c r="DN76" s="889"/>
      <c r="DO76" s="889"/>
      <c r="DP76" s="889"/>
      <c r="DQ76" s="889"/>
      <c r="DR76" s="889"/>
      <c r="DS76" s="889"/>
      <c r="DT76" s="889"/>
      <c r="DU76" s="889"/>
      <c r="DW76" s="889">
        <f t="shared" si="387"/>
        <v>0</v>
      </c>
      <c r="DX76" s="889">
        <f t="shared" si="388"/>
        <v>21</v>
      </c>
      <c r="DY76" s="889">
        <f t="shared" si="389"/>
        <v>0</v>
      </c>
      <c r="DZ76" s="889">
        <f t="shared" si="390"/>
        <v>0</v>
      </c>
      <c r="EA76" s="889">
        <f t="shared" si="391"/>
        <v>21</v>
      </c>
      <c r="EB76" s="889">
        <f t="shared" si="392"/>
        <v>21</v>
      </c>
      <c r="EC76" s="889">
        <f t="shared" si="393"/>
        <v>0</v>
      </c>
      <c r="ED76" s="889">
        <f t="shared" si="209"/>
        <v>0</v>
      </c>
      <c r="EE76" s="889">
        <f t="shared" si="210"/>
        <v>0</v>
      </c>
      <c r="EF76" s="889">
        <f t="shared" si="211"/>
        <v>21</v>
      </c>
      <c r="EG76" s="889">
        <f t="shared" si="212"/>
        <v>0</v>
      </c>
      <c r="EH76" s="889">
        <f t="shared" si="213"/>
        <v>21</v>
      </c>
      <c r="EI76" s="889">
        <f t="shared" si="214"/>
        <v>21</v>
      </c>
      <c r="EJ76" s="889">
        <f t="shared" si="215"/>
        <v>21</v>
      </c>
      <c r="EK76" s="889">
        <f t="shared" si="216"/>
        <v>0</v>
      </c>
      <c r="EL76" s="889">
        <f t="shared" si="217"/>
        <v>0</v>
      </c>
      <c r="EM76" s="889">
        <f t="shared" si="218"/>
        <v>0</v>
      </c>
      <c r="EN76" s="889">
        <f t="shared" si="219"/>
        <v>0</v>
      </c>
      <c r="EO76" s="889">
        <f t="shared" si="220"/>
        <v>0</v>
      </c>
      <c r="EP76" s="889">
        <f t="shared" si="221"/>
        <v>0</v>
      </c>
      <c r="EQ76" s="889">
        <f t="shared" si="222"/>
        <v>0</v>
      </c>
      <c r="ER76" s="889">
        <f t="shared" si="223"/>
        <v>0</v>
      </c>
      <c r="ES76" s="889">
        <f t="shared" si="224"/>
        <v>0</v>
      </c>
      <c r="ET76" s="889">
        <f t="shared" si="224"/>
        <v>0</v>
      </c>
      <c r="EU76" s="889">
        <f t="shared" si="225"/>
        <v>0</v>
      </c>
      <c r="EV76" s="889">
        <f t="shared" si="226"/>
        <v>0</v>
      </c>
      <c r="EW76" s="889">
        <f t="shared" si="227"/>
        <v>0</v>
      </c>
      <c r="EX76" s="889">
        <f t="shared" si="228"/>
        <v>0</v>
      </c>
      <c r="EY76" s="889">
        <f t="shared" si="229"/>
        <v>0</v>
      </c>
      <c r="EZ76" s="889">
        <f t="shared" si="230"/>
        <v>0</v>
      </c>
      <c r="FA76" s="889">
        <f t="shared" si="231"/>
        <v>0</v>
      </c>
      <c r="FB76" s="889">
        <f t="shared" si="232"/>
        <v>0</v>
      </c>
      <c r="FC76" s="889">
        <f t="shared" si="233"/>
        <v>0</v>
      </c>
      <c r="FD76" s="889">
        <f t="shared" si="234"/>
        <v>0</v>
      </c>
      <c r="FE76" s="889">
        <f t="shared" si="235"/>
        <v>0</v>
      </c>
      <c r="FF76" s="889">
        <f t="shared" si="236"/>
        <v>0</v>
      </c>
      <c r="FG76" s="889">
        <f t="shared" si="237"/>
        <v>0</v>
      </c>
      <c r="FH76" s="889">
        <f t="shared" si="238"/>
        <v>0</v>
      </c>
      <c r="FI76" s="889">
        <f t="shared" si="239"/>
        <v>0</v>
      </c>
      <c r="FJ76" s="889">
        <f t="shared" si="240"/>
        <v>0</v>
      </c>
      <c r="FK76" s="889">
        <f t="shared" si="241"/>
        <v>0</v>
      </c>
      <c r="FL76" s="889">
        <f t="shared" si="242"/>
        <v>0</v>
      </c>
      <c r="FM76" s="889">
        <f t="shared" si="243"/>
        <v>0</v>
      </c>
      <c r="FN76" s="889">
        <f t="shared" si="244"/>
        <v>0</v>
      </c>
      <c r="FO76" s="889">
        <f t="shared" si="245"/>
        <v>0</v>
      </c>
      <c r="FP76" s="889">
        <f t="shared" si="246"/>
        <v>0</v>
      </c>
      <c r="FQ76" s="889">
        <f t="shared" si="247"/>
        <v>0</v>
      </c>
      <c r="FR76" s="889">
        <f t="shared" si="248"/>
        <v>0</v>
      </c>
      <c r="FS76" s="889">
        <f t="shared" si="249"/>
        <v>0</v>
      </c>
      <c r="FT76" s="889">
        <f t="shared" si="250"/>
        <v>0</v>
      </c>
      <c r="FU76" s="889">
        <f t="shared" si="609"/>
        <v>0</v>
      </c>
      <c r="FV76" s="889">
        <f t="shared" si="610"/>
        <v>0</v>
      </c>
      <c r="FW76" s="889">
        <f t="shared" si="611"/>
        <v>0</v>
      </c>
      <c r="FX76" s="889">
        <f t="shared" si="612"/>
        <v>0</v>
      </c>
      <c r="FY76" s="889">
        <f t="shared" si="332"/>
        <v>0</v>
      </c>
      <c r="FZ76" s="889">
        <f t="shared" si="333"/>
        <v>0</v>
      </c>
      <c r="GA76" s="889">
        <f t="shared" si="334"/>
        <v>0</v>
      </c>
      <c r="GB76" s="889">
        <f t="shared" si="335"/>
        <v>0</v>
      </c>
      <c r="GC76" s="889">
        <f t="shared" si="336"/>
        <v>0</v>
      </c>
      <c r="GD76" s="889">
        <f t="shared" si="337"/>
        <v>0</v>
      </c>
      <c r="GE76" s="889">
        <f t="shared" si="338"/>
        <v>0</v>
      </c>
      <c r="GF76" s="889">
        <f t="shared" si="339"/>
        <v>0</v>
      </c>
      <c r="GG76" s="889">
        <f t="shared" si="340"/>
        <v>0</v>
      </c>
      <c r="GH76" s="889">
        <f t="shared" si="341"/>
        <v>0</v>
      </c>
      <c r="GI76" s="889">
        <f t="shared" si="342"/>
        <v>0</v>
      </c>
      <c r="GJ76" s="889">
        <f t="shared" si="343"/>
        <v>0</v>
      </c>
      <c r="GK76" s="889">
        <f t="shared" si="344"/>
        <v>0</v>
      </c>
      <c r="GL76" s="889">
        <f t="shared" si="613"/>
        <v>0</v>
      </c>
      <c r="GM76" s="889">
        <f t="shared" si="345"/>
        <v>0</v>
      </c>
    </row>
    <row r="77" spans="1:195" s="888" customFormat="1" ht="34.5" hidden="1" customHeight="1">
      <c r="A77" s="870" t="s">
        <v>334</v>
      </c>
      <c r="B77" s="870" t="s">
        <v>527</v>
      </c>
      <c r="C77" s="870" t="s">
        <v>489</v>
      </c>
      <c r="D77" s="872" t="s">
        <v>562</v>
      </c>
      <c r="E77" s="873" t="s">
        <v>345</v>
      </c>
      <c r="F77" s="870" t="s">
        <v>29</v>
      </c>
      <c r="G77" s="870" t="s">
        <v>350</v>
      </c>
      <c r="H77" s="877">
        <v>0.75</v>
      </c>
      <c r="I77" s="870" t="s">
        <v>330</v>
      </c>
      <c r="J77" s="870" t="s">
        <v>331</v>
      </c>
      <c r="K77" s="875">
        <v>400</v>
      </c>
      <c r="L77" s="876">
        <v>0.85</v>
      </c>
      <c r="M77" s="877">
        <v>0.95</v>
      </c>
      <c r="N77" s="878">
        <f t="shared" si="495"/>
        <v>1.3406359261827985</v>
      </c>
      <c r="O77" s="878">
        <f t="shared" si="347"/>
        <v>8.0438155570967904</v>
      </c>
      <c r="P77" s="876">
        <f t="shared" si="496"/>
        <v>0.2</v>
      </c>
      <c r="Q77" s="877">
        <v>65</v>
      </c>
      <c r="R77" s="877">
        <v>0</v>
      </c>
      <c r="S77" s="877">
        <f t="shared" si="497"/>
        <v>0</v>
      </c>
      <c r="T77" s="876" t="s">
        <v>131</v>
      </c>
      <c r="U77" s="877" t="s">
        <v>333</v>
      </c>
      <c r="V77" s="876">
        <v>25</v>
      </c>
      <c r="W77" s="876" t="str">
        <f t="shared" si="498"/>
        <v>3C X 25</v>
      </c>
      <c r="X77" s="876" t="str">
        <f t="shared" si="499"/>
        <v>3C X 25+PE</v>
      </c>
      <c r="Y77" s="876" t="s">
        <v>358</v>
      </c>
      <c r="Z77" s="879">
        <f>IF(T77="AIR",VLOOKUP(W77,'Catalogue Aluminium'!$B$9:$G$93,2,FALSE),IF(T77="GROUND",VLOOKUP(W77,'Catalogue Aluminium'!$B$9:$G$93,3,FALSE),IF(T77="DUCT",VLOOKUP(W77,'Catalogue Aluminium'!$B$9:$G$93,4,FALSE),IF(T77="TRENCH",VLOOKUP(W77,'Catalogue Aluminium'!$B$9:$G$93,2,FALSE)))))</f>
        <v>95</v>
      </c>
      <c r="AA77" s="880">
        <f>VLOOKUP(W77,'Catalogue Aluminium'!$B$9:$G$93,5,FALSE)</f>
        <v>1.54</v>
      </c>
      <c r="AB77" s="880">
        <f>VLOOKUP(W77,'Catalogue Aluminium'!$B$9:$G$93,6,FALSE)</f>
        <v>8.1600000000000006E-2</v>
      </c>
      <c r="AC77" s="876">
        <f t="shared" ref="AC77" si="619">17+3</f>
        <v>20</v>
      </c>
      <c r="AD77" s="876">
        <f t="shared" ref="AD77:AD79" si="620">40+50+38+50+17+(27+42+22)</f>
        <v>286</v>
      </c>
      <c r="AE77" s="876">
        <f t="shared" si="501"/>
        <v>38</v>
      </c>
      <c r="AF77" s="876">
        <v>8</v>
      </c>
      <c r="AG77" s="876">
        <f t="shared" si="502"/>
        <v>36</v>
      </c>
      <c r="AH77" s="881">
        <v>90</v>
      </c>
      <c r="AI77" s="879">
        <f>IF(T77="AIR",'Catalogue Aluminium'!$K$9,IF(T77="TRENCH",'Catalogue Aluminium'!$K$12,"NA"))</f>
        <v>0.89</v>
      </c>
      <c r="AJ77" s="878">
        <f>IF(T77="Air",(IF(U77="1C",'Catalogue Aluminium'!$L$9,'Catalogue Aluminium'!$M$9)),IF(T77="DUCT",(IF($U77="1C",'Catalogue Aluminium'!$L$10,'Catalogue Aluminium'!$M$10)),IF(T77="GROUND",(IF($U77="1C",'Catalogue Aluminium'!$L$11,'Catalogue Aluminium'!$M$11)),IF(T77="TRENCH",(IF($U77="1C",'Catalogue Aluminium'!$L$12,'Catalogue Aluminium'!$M$12))))))</f>
        <v>0.66</v>
      </c>
      <c r="AK77" s="879" t="str">
        <f>IF(T77="Air",'Catalogue Aluminium'!$N$9,IF(T77="GROUND",'Catalogue Aluminium'!$N$10,IF(T77="DUCT",'Catalogue Aluminium'!$N$11,IF(T77="TRENCH",'Catalogue Aluminium'!$N$12,"NA"))))</f>
        <v>NA</v>
      </c>
      <c r="AL77" s="879" t="str">
        <f>IF(T77="Air",(IF(U77="1C",'Catalogue Aluminium'!$O$9,'Catalogue Aluminium'!$P$9)),IF(T77="DUCT",(IF($U77="1C",'Catalogue Aluminium'!$O$10,'Catalogue Aluminium'!$P$10)),IF(T77="GROUND",(IF($U77="1C",'Catalogue Aluminium'!$O$11,'Catalogue Aluminium'!$P$11)),IF(T77="TRENCH",(IF($U77="1C",'Catalogue Aluminium'!$O$12,'Catalogue Aluminium'!$P$12))))))</f>
        <v>NA</v>
      </c>
      <c r="AM77" s="879" t="str">
        <f>IF(T77="AIR","NA",IF(T77="TRENCH","NA",IF(T77="DUCT",IF(U77="1C",VLOOKUP(V77,'Catalogue Aluminium'!$Q$9:$S$28,2,FALSE),VLOOKUP(V77,'Catalogue Aluminium'!$Q$9:$S$28,3)),IF(T77="GROUND",IF(U77="1C",VLOOKUP(V77,'Catalogue Aluminium'!$Q$9:$S$28,2,FALSE),VLOOKUP(V77,'Catalogue Aluminium'!$Q$9:$S$28,3))))))</f>
        <v>NA</v>
      </c>
      <c r="AN77" s="882">
        <f t="shared" si="504"/>
        <v>0.58740000000000003</v>
      </c>
      <c r="AO77" s="877">
        <f t="shared" si="505"/>
        <v>55.803000000000004</v>
      </c>
      <c r="AP77" s="875">
        <f t="shared" si="10"/>
        <v>1</v>
      </c>
      <c r="AQ77" s="877" t="str">
        <f t="shared" si="506"/>
        <v>YES</v>
      </c>
      <c r="AR77" s="882">
        <f t="shared" si="507"/>
        <v>7.0635987687733479E-2</v>
      </c>
      <c r="AS77" s="876" t="str">
        <f t="shared" si="508"/>
        <v>YES</v>
      </c>
      <c r="AT77" s="882">
        <f t="shared" si="605"/>
        <v>0.12161370268775565</v>
      </c>
      <c r="AU77" s="876" t="str">
        <f t="shared" si="510"/>
        <v>YES</v>
      </c>
      <c r="AV77" s="883" t="str">
        <f t="shared" si="511"/>
        <v>1R x 0.6/1kV x 3C x 25 Sqmm</v>
      </c>
      <c r="AW77" s="883" t="str">
        <f t="shared" si="512"/>
        <v>1R x 0.6/1kV x 3C x 25+PE Sqmm</v>
      </c>
      <c r="AX77" s="876">
        <f t="shared" si="606"/>
        <v>90</v>
      </c>
      <c r="AY77" s="884"/>
      <c r="AZ77" s="884">
        <f t="shared" si="607"/>
        <v>2</v>
      </c>
      <c r="BA77" s="885" t="str">
        <f t="shared" si="515"/>
        <v>ACDEE1E2E3</v>
      </c>
      <c r="BB77" s="886">
        <f>VLOOKUP(W77,'Catalogue Aluminium'!$B$9:$H$93,7,FALSE)</f>
        <v>21</v>
      </c>
      <c r="BC77" s="887">
        <f t="shared" si="608"/>
        <v>21</v>
      </c>
      <c r="BE77" s="889"/>
      <c r="BF77" s="889">
        <v>1</v>
      </c>
      <c r="BG77" s="889"/>
      <c r="BH77" s="889"/>
      <c r="BI77" s="889">
        <v>1</v>
      </c>
      <c r="BJ77" s="889">
        <v>1</v>
      </c>
      <c r="BK77" s="889"/>
      <c r="BL77" s="889"/>
      <c r="BM77" s="889"/>
      <c r="BN77" s="889">
        <v>1</v>
      </c>
      <c r="BO77" s="889"/>
      <c r="BP77" s="889">
        <v>1</v>
      </c>
      <c r="BQ77" s="889">
        <v>1</v>
      </c>
      <c r="BR77" s="889">
        <v>1</v>
      </c>
      <c r="BS77" s="889"/>
      <c r="BT77" s="889"/>
      <c r="BU77" s="889"/>
      <c r="BV77" s="889"/>
      <c r="BW77" s="889"/>
      <c r="BX77" s="889"/>
      <c r="BY77" s="889"/>
      <c r="BZ77" s="889"/>
      <c r="CA77" s="889"/>
      <c r="CB77" s="889"/>
      <c r="CC77" s="889"/>
      <c r="CD77" s="889"/>
      <c r="CE77" s="889"/>
      <c r="CF77" s="889"/>
      <c r="CG77" s="889"/>
      <c r="CH77" s="889"/>
      <c r="CI77" s="889"/>
      <c r="CJ77" s="889"/>
      <c r="CK77" s="889"/>
      <c r="CL77" s="889"/>
      <c r="CM77" s="889"/>
      <c r="CN77" s="889"/>
      <c r="CO77" s="889"/>
      <c r="CP77" s="889"/>
      <c r="CQ77" s="889"/>
      <c r="CR77" s="889"/>
      <c r="CS77" s="889"/>
      <c r="CT77" s="889"/>
      <c r="CU77" s="889"/>
      <c r="CV77" s="889"/>
      <c r="CW77" s="889"/>
      <c r="CX77" s="889"/>
      <c r="CY77" s="889"/>
      <c r="CZ77" s="889"/>
      <c r="DA77" s="889"/>
      <c r="DB77" s="889"/>
      <c r="DC77" s="889"/>
      <c r="DD77" s="889"/>
      <c r="DE77" s="889"/>
      <c r="DF77" s="889"/>
      <c r="DG77" s="889"/>
      <c r="DH77" s="889"/>
      <c r="DI77" s="889"/>
      <c r="DJ77" s="889"/>
      <c r="DK77" s="889"/>
      <c r="DL77" s="889"/>
      <c r="DM77" s="889"/>
      <c r="DN77" s="889"/>
      <c r="DO77" s="889"/>
      <c r="DP77" s="889"/>
      <c r="DQ77" s="889"/>
      <c r="DR77" s="889"/>
      <c r="DS77" s="889"/>
      <c r="DT77" s="889"/>
      <c r="DU77" s="889"/>
      <c r="DW77" s="889">
        <f t="shared" si="387"/>
        <v>0</v>
      </c>
      <c r="DX77" s="889">
        <f t="shared" si="388"/>
        <v>21</v>
      </c>
      <c r="DY77" s="889">
        <f t="shared" si="389"/>
        <v>0</v>
      </c>
      <c r="DZ77" s="889">
        <f t="shared" si="390"/>
        <v>0</v>
      </c>
      <c r="EA77" s="889">
        <f t="shared" si="391"/>
        <v>21</v>
      </c>
      <c r="EB77" s="889">
        <f t="shared" si="392"/>
        <v>21</v>
      </c>
      <c r="EC77" s="889">
        <f t="shared" si="393"/>
        <v>0</v>
      </c>
      <c r="ED77" s="889">
        <f t="shared" si="209"/>
        <v>0</v>
      </c>
      <c r="EE77" s="889">
        <f t="shared" si="210"/>
        <v>0</v>
      </c>
      <c r="EF77" s="889">
        <f t="shared" si="211"/>
        <v>21</v>
      </c>
      <c r="EG77" s="889">
        <f t="shared" si="212"/>
        <v>0</v>
      </c>
      <c r="EH77" s="889">
        <f t="shared" si="213"/>
        <v>21</v>
      </c>
      <c r="EI77" s="889">
        <f t="shared" si="214"/>
        <v>21</v>
      </c>
      <c r="EJ77" s="889">
        <f t="shared" si="215"/>
        <v>21</v>
      </c>
      <c r="EK77" s="889">
        <f t="shared" si="216"/>
        <v>0</v>
      </c>
      <c r="EL77" s="889">
        <f t="shared" si="217"/>
        <v>0</v>
      </c>
      <c r="EM77" s="889">
        <f t="shared" si="218"/>
        <v>0</v>
      </c>
      <c r="EN77" s="889">
        <f t="shared" si="219"/>
        <v>0</v>
      </c>
      <c r="EO77" s="889">
        <f t="shared" si="220"/>
        <v>0</v>
      </c>
      <c r="EP77" s="889">
        <f t="shared" si="221"/>
        <v>0</v>
      </c>
      <c r="EQ77" s="889">
        <f t="shared" si="222"/>
        <v>0</v>
      </c>
      <c r="ER77" s="889">
        <f t="shared" si="223"/>
        <v>0</v>
      </c>
      <c r="ES77" s="889">
        <f t="shared" si="224"/>
        <v>0</v>
      </c>
      <c r="ET77" s="889">
        <f t="shared" si="224"/>
        <v>0</v>
      </c>
      <c r="EU77" s="889">
        <f t="shared" si="225"/>
        <v>0</v>
      </c>
      <c r="EV77" s="889">
        <f t="shared" si="226"/>
        <v>0</v>
      </c>
      <c r="EW77" s="889">
        <f t="shared" si="227"/>
        <v>0</v>
      </c>
      <c r="EX77" s="889">
        <f t="shared" si="228"/>
        <v>0</v>
      </c>
      <c r="EY77" s="889">
        <f t="shared" si="229"/>
        <v>0</v>
      </c>
      <c r="EZ77" s="889">
        <f t="shared" si="230"/>
        <v>0</v>
      </c>
      <c r="FA77" s="889">
        <f t="shared" si="231"/>
        <v>0</v>
      </c>
      <c r="FB77" s="889">
        <f t="shared" si="232"/>
        <v>0</v>
      </c>
      <c r="FC77" s="889">
        <f t="shared" si="233"/>
        <v>0</v>
      </c>
      <c r="FD77" s="889">
        <f t="shared" si="234"/>
        <v>0</v>
      </c>
      <c r="FE77" s="889">
        <f t="shared" si="235"/>
        <v>0</v>
      </c>
      <c r="FF77" s="889">
        <f t="shared" si="236"/>
        <v>0</v>
      </c>
      <c r="FG77" s="889">
        <f t="shared" si="237"/>
        <v>0</v>
      </c>
      <c r="FH77" s="889">
        <f t="shared" si="238"/>
        <v>0</v>
      </c>
      <c r="FI77" s="889">
        <f t="shared" si="239"/>
        <v>0</v>
      </c>
      <c r="FJ77" s="889">
        <f t="shared" si="240"/>
        <v>0</v>
      </c>
      <c r="FK77" s="889">
        <f t="shared" si="241"/>
        <v>0</v>
      </c>
      <c r="FL77" s="889">
        <f t="shared" si="242"/>
        <v>0</v>
      </c>
      <c r="FM77" s="889">
        <f t="shared" si="243"/>
        <v>0</v>
      </c>
      <c r="FN77" s="889">
        <f t="shared" si="244"/>
        <v>0</v>
      </c>
      <c r="FO77" s="889">
        <f t="shared" si="245"/>
        <v>0</v>
      </c>
      <c r="FP77" s="889">
        <f t="shared" si="246"/>
        <v>0</v>
      </c>
      <c r="FQ77" s="889">
        <f t="shared" si="247"/>
        <v>0</v>
      </c>
      <c r="FR77" s="889">
        <f t="shared" si="248"/>
        <v>0</v>
      </c>
      <c r="FS77" s="889">
        <f t="shared" si="249"/>
        <v>0</v>
      </c>
      <c r="FT77" s="889">
        <f t="shared" si="250"/>
        <v>0</v>
      </c>
      <c r="FU77" s="889">
        <f t="shared" si="609"/>
        <v>0</v>
      </c>
      <c r="FV77" s="889">
        <f t="shared" si="610"/>
        <v>0</v>
      </c>
      <c r="FW77" s="889">
        <f t="shared" si="611"/>
        <v>0</v>
      </c>
      <c r="FX77" s="889">
        <f t="shared" si="612"/>
        <v>0</v>
      </c>
      <c r="FY77" s="889">
        <f t="shared" si="332"/>
        <v>0</v>
      </c>
      <c r="FZ77" s="889">
        <f t="shared" si="333"/>
        <v>0</v>
      </c>
      <c r="GA77" s="889">
        <f t="shared" si="334"/>
        <v>0</v>
      </c>
      <c r="GB77" s="889">
        <f t="shared" si="335"/>
        <v>0</v>
      </c>
      <c r="GC77" s="889">
        <f t="shared" si="336"/>
        <v>0</v>
      </c>
      <c r="GD77" s="889">
        <f t="shared" si="337"/>
        <v>0</v>
      </c>
      <c r="GE77" s="889">
        <f t="shared" si="338"/>
        <v>0</v>
      </c>
      <c r="GF77" s="889">
        <f t="shared" si="339"/>
        <v>0</v>
      </c>
      <c r="GG77" s="889">
        <f t="shared" si="340"/>
        <v>0</v>
      </c>
      <c r="GH77" s="889">
        <f t="shared" si="341"/>
        <v>0</v>
      </c>
      <c r="GI77" s="889">
        <f t="shared" si="342"/>
        <v>0</v>
      </c>
      <c r="GJ77" s="889">
        <f t="shared" si="343"/>
        <v>0</v>
      </c>
      <c r="GK77" s="889">
        <f t="shared" si="344"/>
        <v>0</v>
      </c>
      <c r="GL77" s="889">
        <f t="shared" si="613"/>
        <v>0</v>
      </c>
      <c r="GM77" s="889">
        <f t="shared" si="345"/>
        <v>0</v>
      </c>
    </row>
    <row r="78" spans="1:195" s="888" customFormat="1" ht="34.5" hidden="1" customHeight="1">
      <c r="A78" s="870" t="s">
        <v>334</v>
      </c>
      <c r="B78" s="870" t="s">
        <v>527</v>
      </c>
      <c r="C78" s="870" t="s">
        <v>489</v>
      </c>
      <c r="D78" s="872" t="s">
        <v>563</v>
      </c>
      <c r="E78" s="873" t="s">
        <v>345</v>
      </c>
      <c r="F78" s="870" t="s">
        <v>28</v>
      </c>
      <c r="G78" s="870" t="s">
        <v>350</v>
      </c>
      <c r="H78" s="877">
        <v>0.75</v>
      </c>
      <c r="I78" s="870" t="s">
        <v>330</v>
      </c>
      <c r="J78" s="870" t="s">
        <v>331</v>
      </c>
      <c r="K78" s="875">
        <v>400</v>
      </c>
      <c r="L78" s="876">
        <v>0.85</v>
      </c>
      <c r="M78" s="877">
        <v>0.95</v>
      </c>
      <c r="N78" s="878">
        <f t="shared" si="495"/>
        <v>1.3406359261827985</v>
      </c>
      <c r="O78" s="878">
        <f t="shared" si="347"/>
        <v>8.0438155570967904</v>
      </c>
      <c r="P78" s="876">
        <f t="shared" si="496"/>
        <v>0.2</v>
      </c>
      <c r="Q78" s="877">
        <v>65</v>
      </c>
      <c r="R78" s="877">
        <v>0</v>
      </c>
      <c r="S78" s="877">
        <f t="shared" si="497"/>
        <v>0</v>
      </c>
      <c r="T78" s="876" t="s">
        <v>131</v>
      </c>
      <c r="U78" s="877" t="s">
        <v>333</v>
      </c>
      <c r="V78" s="876">
        <v>25</v>
      </c>
      <c r="W78" s="876" t="str">
        <f t="shared" si="498"/>
        <v>3C X 25</v>
      </c>
      <c r="X78" s="876" t="str">
        <f t="shared" si="499"/>
        <v>3C X 25+PE</v>
      </c>
      <c r="Y78" s="876" t="s">
        <v>358</v>
      </c>
      <c r="Z78" s="879">
        <f>IF(T78="AIR",VLOOKUP(W78,'Catalogue Aluminium'!$B$9:$G$93,2,FALSE),IF(T78="GROUND",VLOOKUP(W78,'Catalogue Aluminium'!$B$9:$G$93,3,FALSE),IF(T78="DUCT",VLOOKUP(W78,'Catalogue Aluminium'!$B$9:$G$93,4,FALSE),IF(T78="TRENCH",VLOOKUP(W78,'Catalogue Aluminium'!$B$9:$G$93,2,FALSE)))))</f>
        <v>95</v>
      </c>
      <c r="AA78" s="880">
        <f>VLOOKUP(W78,'Catalogue Aluminium'!$B$9:$G$93,5,FALSE)</f>
        <v>1.54</v>
      </c>
      <c r="AB78" s="880">
        <f>VLOOKUP(W78,'Catalogue Aluminium'!$B$9:$G$93,6,FALSE)</f>
        <v>8.1600000000000006E-2</v>
      </c>
      <c r="AC78" s="876">
        <f>26+3</f>
        <v>29</v>
      </c>
      <c r="AD78" s="876">
        <f t="shared" si="620"/>
        <v>286</v>
      </c>
      <c r="AE78" s="876">
        <f t="shared" si="501"/>
        <v>38</v>
      </c>
      <c r="AF78" s="876">
        <v>8</v>
      </c>
      <c r="AG78" s="876">
        <f t="shared" si="502"/>
        <v>37</v>
      </c>
      <c r="AH78" s="881">
        <v>90</v>
      </c>
      <c r="AI78" s="879">
        <f>IF(T78="AIR",'Catalogue Aluminium'!$K$9,IF(T78="TRENCH",'Catalogue Aluminium'!$K$12,"NA"))</f>
        <v>0.89</v>
      </c>
      <c r="AJ78" s="878">
        <f>IF(T78="Air",(IF(U78="1C",'Catalogue Aluminium'!$L$9,'Catalogue Aluminium'!$M$9)),IF(T78="DUCT",(IF($U78="1C",'Catalogue Aluminium'!$L$10,'Catalogue Aluminium'!$M$10)),IF(T78="GROUND",(IF($U78="1C",'Catalogue Aluminium'!$L$11,'Catalogue Aluminium'!$M$11)),IF(T78="TRENCH",(IF($U78="1C",'Catalogue Aluminium'!$L$12,'Catalogue Aluminium'!$M$12))))))</f>
        <v>0.66</v>
      </c>
      <c r="AK78" s="879" t="str">
        <f>IF(T78="Air",'Catalogue Aluminium'!$N$9,IF(T78="GROUND",'Catalogue Aluminium'!$N$10,IF(T78="DUCT",'Catalogue Aluminium'!$N$11,IF(T78="TRENCH",'Catalogue Aluminium'!$N$12,"NA"))))</f>
        <v>NA</v>
      </c>
      <c r="AL78" s="879" t="str">
        <f>IF(T78="Air",(IF(U78="1C",'Catalogue Aluminium'!$O$9,'Catalogue Aluminium'!$P$9)),IF(T78="DUCT",(IF($U78="1C",'Catalogue Aluminium'!$O$10,'Catalogue Aluminium'!$P$10)),IF(T78="GROUND",(IF($U78="1C",'Catalogue Aluminium'!$O$11,'Catalogue Aluminium'!$P$11)),IF(T78="TRENCH",(IF($U78="1C",'Catalogue Aluminium'!$O$12,'Catalogue Aluminium'!$P$12))))))</f>
        <v>NA</v>
      </c>
      <c r="AM78" s="879" t="str">
        <f>IF(T78="AIR","NA",IF(T78="TRENCH","NA",IF(T78="DUCT",IF(U78="1C",VLOOKUP(V78,'Catalogue Aluminium'!$Q$9:$S$28,2,FALSE),VLOOKUP(V78,'Catalogue Aluminium'!$Q$9:$S$28,3)),IF(T78="GROUND",IF(U78="1C",VLOOKUP(V78,'Catalogue Aluminium'!$Q$9:$S$28,2,FALSE),VLOOKUP(V78,'Catalogue Aluminium'!$Q$9:$S$28,3))))))</f>
        <v>NA</v>
      </c>
      <c r="AN78" s="882">
        <f t="shared" si="504"/>
        <v>0.58740000000000003</v>
      </c>
      <c r="AO78" s="877">
        <f t="shared" si="505"/>
        <v>55.803000000000004</v>
      </c>
      <c r="AP78" s="875">
        <f t="shared" si="10"/>
        <v>1</v>
      </c>
      <c r="AQ78" s="877" t="str">
        <f t="shared" si="506"/>
        <v>YES</v>
      </c>
      <c r="AR78" s="882">
        <f t="shared" si="507"/>
        <v>7.0635987687733479E-2</v>
      </c>
      <c r="AS78" s="876" t="str">
        <f t="shared" si="508"/>
        <v>YES</v>
      </c>
      <c r="AT78" s="882">
        <f t="shared" si="605"/>
        <v>0.12161370268775565</v>
      </c>
      <c r="AU78" s="876" t="str">
        <f t="shared" si="510"/>
        <v>YES</v>
      </c>
      <c r="AV78" s="883" t="str">
        <f t="shared" si="511"/>
        <v>1R x 0.6/1kV x 3C x 25 Sqmm</v>
      </c>
      <c r="AW78" s="883" t="str">
        <f t="shared" si="512"/>
        <v>1R x 0.6/1kV x 3C x 25+PE Sqmm</v>
      </c>
      <c r="AX78" s="876">
        <f t="shared" si="606"/>
        <v>90</v>
      </c>
      <c r="AY78" s="884"/>
      <c r="AZ78" s="884">
        <f t="shared" si="607"/>
        <v>2</v>
      </c>
      <c r="BA78" s="885" t="str">
        <f t="shared" si="515"/>
        <v>ACDEE1E2E3</v>
      </c>
      <c r="BB78" s="886">
        <f>VLOOKUP(W78,'Catalogue Aluminium'!$B$9:$H$93,7,FALSE)</f>
        <v>21</v>
      </c>
      <c r="BC78" s="887">
        <f t="shared" si="608"/>
        <v>21</v>
      </c>
      <c r="BE78" s="889"/>
      <c r="BF78" s="889">
        <v>1</v>
      </c>
      <c r="BG78" s="889"/>
      <c r="BH78" s="889"/>
      <c r="BI78" s="889">
        <v>1</v>
      </c>
      <c r="BJ78" s="889">
        <v>1</v>
      </c>
      <c r="BK78" s="889"/>
      <c r="BL78" s="889"/>
      <c r="BM78" s="889"/>
      <c r="BN78" s="889">
        <v>1</v>
      </c>
      <c r="BO78" s="889"/>
      <c r="BP78" s="889">
        <v>1</v>
      </c>
      <c r="BQ78" s="889">
        <v>1</v>
      </c>
      <c r="BR78" s="889">
        <v>1</v>
      </c>
      <c r="BS78" s="889"/>
      <c r="BT78" s="889"/>
      <c r="BU78" s="889"/>
      <c r="BV78" s="889"/>
      <c r="BW78" s="889"/>
      <c r="BX78" s="889"/>
      <c r="BY78" s="889"/>
      <c r="BZ78" s="889"/>
      <c r="CA78" s="889"/>
      <c r="CB78" s="889"/>
      <c r="CC78" s="889"/>
      <c r="CD78" s="889"/>
      <c r="CE78" s="889"/>
      <c r="CF78" s="889"/>
      <c r="CG78" s="889"/>
      <c r="CH78" s="889"/>
      <c r="CI78" s="889"/>
      <c r="CJ78" s="889"/>
      <c r="CK78" s="889"/>
      <c r="CL78" s="889"/>
      <c r="CM78" s="889"/>
      <c r="CN78" s="889"/>
      <c r="CO78" s="889"/>
      <c r="CP78" s="889"/>
      <c r="CQ78" s="889"/>
      <c r="CR78" s="889"/>
      <c r="CS78" s="889"/>
      <c r="CT78" s="889"/>
      <c r="CU78" s="889"/>
      <c r="CV78" s="889"/>
      <c r="CW78" s="889"/>
      <c r="CX78" s="889"/>
      <c r="CY78" s="889"/>
      <c r="CZ78" s="889"/>
      <c r="DA78" s="889"/>
      <c r="DB78" s="889"/>
      <c r="DC78" s="889"/>
      <c r="DD78" s="889"/>
      <c r="DE78" s="889"/>
      <c r="DF78" s="889"/>
      <c r="DG78" s="889"/>
      <c r="DH78" s="889"/>
      <c r="DI78" s="889"/>
      <c r="DJ78" s="889"/>
      <c r="DK78" s="889"/>
      <c r="DL78" s="889"/>
      <c r="DM78" s="889"/>
      <c r="DN78" s="889"/>
      <c r="DO78" s="889"/>
      <c r="DP78" s="889"/>
      <c r="DQ78" s="889"/>
      <c r="DR78" s="889"/>
      <c r="DS78" s="889"/>
      <c r="DT78" s="889"/>
      <c r="DU78" s="889"/>
      <c r="DW78" s="889">
        <f t="shared" si="387"/>
        <v>0</v>
      </c>
      <c r="DX78" s="889">
        <f t="shared" si="388"/>
        <v>21</v>
      </c>
      <c r="DY78" s="889">
        <f t="shared" si="389"/>
        <v>0</v>
      </c>
      <c r="DZ78" s="889">
        <f t="shared" si="390"/>
        <v>0</v>
      </c>
      <c r="EA78" s="889">
        <f t="shared" si="391"/>
        <v>21</v>
      </c>
      <c r="EB78" s="889">
        <f t="shared" si="392"/>
        <v>21</v>
      </c>
      <c r="EC78" s="889">
        <f t="shared" si="393"/>
        <v>0</v>
      </c>
      <c r="ED78" s="889">
        <f t="shared" ref="ED78:ED143" si="621">IF(BL78=1,($BC78*BL78),0)</f>
        <v>0</v>
      </c>
      <c r="EE78" s="889">
        <f t="shared" ref="EE78:EE143" si="622">IF(BM78=1,($BC78*BM78),0)</f>
        <v>0</v>
      </c>
      <c r="EF78" s="889">
        <f t="shared" ref="EF78:EF143" si="623">IF(BN78=1,($BC78*BN78),0)</f>
        <v>21</v>
      </c>
      <c r="EG78" s="889">
        <f t="shared" ref="EG78:EG143" si="624">IF(BO78=1,($BC78*BO78),0)</f>
        <v>0</v>
      </c>
      <c r="EH78" s="889">
        <f t="shared" ref="EH78:EH143" si="625">IF(BP78=1,($BC78*BP78),0)</f>
        <v>21</v>
      </c>
      <c r="EI78" s="889">
        <f t="shared" ref="EI78:EI143" si="626">IF(BQ78=1,($BC78*BQ78),0)</f>
        <v>21</v>
      </c>
      <c r="EJ78" s="889">
        <f t="shared" ref="EJ78:EJ143" si="627">IF(BR78=1,($BC78*BR78),0)</f>
        <v>21</v>
      </c>
      <c r="EK78" s="889">
        <f t="shared" ref="EK78:EK143" si="628">IF(BS78=1,($BC78*BS78),0)</f>
        <v>0</v>
      </c>
      <c r="EL78" s="889">
        <f t="shared" ref="EL78:EL143" si="629">IF(BT78=1,($BC78*BT78),0)</f>
        <v>0</v>
      </c>
      <c r="EM78" s="889">
        <f t="shared" ref="EM78:EM143" si="630">IF(BU78=1,($BC78*BU78),0)</f>
        <v>0</v>
      </c>
      <c r="EN78" s="889">
        <f t="shared" ref="EN78:EN143" si="631">IF(BV78=1,($BC78*BV78),0)</f>
        <v>0</v>
      </c>
      <c r="EO78" s="889">
        <f t="shared" ref="EO78:EO143" si="632">IF(BW78=1,($BC78*BW78),0)</f>
        <v>0</v>
      </c>
      <c r="EP78" s="889">
        <f t="shared" ref="EP78:EP143" si="633">IF(BX78=1,($BC78*BX78),0)</f>
        <v>0</v>
      </c>
      <c r="EQ78" s="889">
        <f t="shared" ref="EQ78:EQ143" si="634">IF(BY78=1,($BC78*BY78),0)</f>
        <v>0</v>
      </c>
      <c r="ER78" s="889">
        <f t="shared" ref="ER78:ER143" si="635">IF(BZ78=1,($BC78*BZ78),0)</f>
        <v>0</v>
      </c>
      <c r="ES78" s="889">
        <f t="shared" ref="ES78:ET143" si="636">IF(CA78=1,($BC78*CA78),0)</f>
        <v>0</v>
      </c>
      <c r="ET78" s="889">
        <f t="shared" si="636"/>
        <v>0</v>
      </c>
      <c r="EU78" s="889">
        <f t="shared" ref="EU78:EU143" si="637">IF(CC78=1,($BC78*CC78),0)</f>
        <v>0</v>
      </c>
      <c r="EV78" s="889">
        <f t="shared" ref="EV78:EV143" si="638">IF(CD78=1,($BC78*CD78),0)</f>
        <v>0</v>
      </c>
      <c r="EW78" s="889">
        <f t="shared" ref="EW78:EW143" si="639">IF(CE78=1,($BC78*CE78),0)</f>
        <v>0</v>
      </c>
      <c r="EX78" s="889">
        <f t="shared" ref="EX78:EX143" si="640">IF(CF78=1,($BC78*CF78),0)</f>
        <v>0</v>
      </c>
      <c r="EY78" s="889">
        <f t="shared" ref="EY78:EY143" si="641">IF(CG78=1,($BC78*CG78),0)</f>
        <v>0</v>
      </c>
      <c r="EZ78" s="889">
        <f t="shared" ref="EZ78:EZ143" si="642">IF(CH78=1,($BC78*CH78),0)</f>
        <v>0</v>
      </c>
      <c r="FA78" s="889">
        <f t="shared" ref="FA78:FA143" si="643">IF(CI78=1,($BC78*CI78),0)</f>
        <v>0</v>
      </c>
      <c r="FB78" s="889">
        <f t="shared" ref="FB78:FB143" si="644">IF(CJ78=1,($BC78*CJ78),0)</f>
        <v>0</v>
      </c>
      <c r="FC78" s="889">
        <f t="shared" ref="FC78:FC143" si="645">IF(CK78=1,($BC78*CK78),0)</f>
        <v>0</v>
      </c>
      <c r="FD78" s="889">
        <f t="shared" ref="FD78:FD143" si="646">IF(CL78=1,($BC78*CL78),0)</f>
        <v>0</v>
      </c>
      <c r="FE78" s="889">
        <f t="shared" ref="FE78:FE143" si="647">IF(CM78=1,($BC78*CM78),0)</f>
        <v>0</v>
      </c>
      <c r="FF78" s="889">
        <f t="shared" ref="FF78:FF143" si="648">IF(CN78=1,($BC78*CN78),0)</f>
        <v>0</v>
      </c>
      <c r="FG78" s="889">
        <f t="shared" ref="FG78:FG143" si="649">IF(CO78=1,($BC78*CO78),0)</f>
        <v>0</v>
      </c>
      <c r="FH78" s="889">
        <f t="shared" ref="FH78:FH143" si="650">IF(CP78=1,($BC78*CP78),0)</f>
        <v>0</v>
      </c>
      <c r="FI78" s="889">
        <f t="shared" ref="FI78:FI143" si="651">IF(CQ78=1,($BC78*CQ78),0)</f>
        <v>0</v>
      </c>
      <c r="FJ78" s="889">
        <f t="shared" ref="FJ78:FJ143" si="652">IF(CR78=1,($BC78*CR78),0)</f>
        <v>0</v>
      </c>
      <c r="FK78" s="889">
        <f t="shared" ref="FK78:FK143" si="653">IF(CS78=1,($BC78*CS78),0)</f>
        <v>0</v>
      </c>
      <c r="FL78" s="889">
        <f t="shared" ref="FL78:FL143" si="654">IF(CT78=1,($BC78*CT78),0)</f>
        <v>0</v>
      </c>
      <c r="FM78" s="889">
        <f t="shared" ref="FM78:FM143" si="655">IF(CU78=1,($BC78*CU78),0)</f>
        <v>0</v>
      </c>
      <c r="FN78" s="889">
        <f t="shared" ref="FN78:FN143" si="656">IF(CV78=1,($BC78*CV78),0)</f>
        <v>0</v>
      </c>
      <c r="FO78" s="889">
        <f t="shared" ref="FO78:FO143" si="657">IF(CW78=1,($BC78*CW78),0)</f>
        <v>0</v>
      </c>
      <c r="FP78" s="889">
        <f t="shared" ref="FP78:FP143" si="658">IF(CX78=1,($BC78*CX78),0)</f>
        <v>0</v>
      </c>
      <c r="FQ78" s="889">
        <f t="shared" ref="FQ78:FQ143" si="659">IF(CY78=1,($BC78*CY78),0)</f>
        <v>0</v>
      </c>
      <c r="FR78" s="889">
        <f t="shared" ref="FR78:FR143" si="660">IF(CZ78=1,($BC78*CZ78),0)</f>
        <v>0</v>
      </c>
      <c r="FS78" s="889">
        <f t="shared" ref="FS78:FS143" si="661">IF(DA78=1,($BC78*DA78),0)</f>
        <v>0</v>
      </c>
      <c r="FT78" s="889">
        <f t="shared" ref="FT78:FT143" si="662">IF(DB78=1,($BC78*DB78),0)</f>
        <v>0</v>
      </c>
      <c r="FU78" s="889">
        <f t="shared" si="609"/>
        <v>0</v>
      </c>
      <c r="FV78" s="889">
        <f t="shared" si="610"/>
        <v>0</v>
      </c>
      <c r="FW78" s="889">
        <f t="shared" si="611"/>
        <v>0</v>
      </c>
      <c r="FX78" s="889">
        <f t="shared" si="612"/>
        <v>0</v>
      </c>
      <c r="FY78" s="889">
        <f t="shared" ref="FY78:FY143" si="663">IF(DG78=1,($BC78*DG78),0)</f>
        <v>0</v>
      </c>
      <c r="FZ78" s="889">
        <f t="shared" ref="FZ78:FZ143" si="664">IF(DH78=1,($BC78*DH78),0)</f>
        <v>0</v>
      </c>
      <c r="GA78" s="889">
        <f t="shared" ref="GA78:GA143" si="665">IF(DI78=1,($BC78*DI78),0)</f>
        <v>0</v>
      </c>
      <c r="GB78" s="889">
        <f t="shared" ref="GB78:GB143" si="666">IF(DJ78=1,($BC78*DJ78),0)</f>
        <v>0</v>
      </c>
      <c r="GC78" s="889">
        <f t="shared" ref="GC78:GC143" si="667">IF(DK78=1,($BC78*DK78),0)</f>
        <v>0</v>
      </c>
      <c r="GD78" s="889">
        <f t="shared" ref="GD78:GD143" si="668">IF(DL78=1,($BC78*DL78),0)</f>
        <v>0</v>
      </c>
      <c r="GE78" s="889">
        <f t="shared" ref="GE78:GE143" si="669">IF(DM78=1,($BC78*DM78),0)</f>
        <v>0</v>
      </c>
      <c r="GF78" s="889">
        <f t="shared" ref="GF78:GF143" si="670">IF(DN78=1,($BC78*DN78),0)</f>
        <v>0</v>
      </c>
      <c r="GG78" s="889">
        <f t="shared" ref="GG78:GG143" si="671">IF(DO78=1,($BC78*DO78),0)</f>
        <v>0</v>
      </c>
      <c r="GH78" s="889">
        <f t="shared" ref="GH78:GH143" si="672">IF(DP78=1,($BC78*DP78),0)</f>
        <v>0</v>
      </c>
      <c r="GI78" s="889">
        <f t="shared" ref="GI78:GI143" si="673">IF(DQ78=1,($BC78*DQ78),0)</f>
        <v>0</v>
      </c>
      <c r="GJ78" s="889">
        <f t="shared" ref="GJ78:GJ143" si="674">IF(DR78=1,($BC78*DR78),0)</f>
        <v>0</v>
      </c>
      <c r="GK78" s="889">
        <f t="shared" si="344"/>
        <v>0</v>
      </c>
      <c r="GL78" s="889">
        <f t="shared" si="613"/>
        <v>0</v>
      </c>
      <c r="GM78" s="889">
        <f t="shared" ref="GM78:GM143" si="675">IF(DU78=1,($BC78*DU78),0)</f>
        <v>0</v>
      </c>
    </row>
    <row r="79" spans="1:195" s="888" customFormat="1" ht="34.5" hidden="1" customHeight="1">
      <c r="A79" s="870" t="s">
        <v>334</v>
      </c>
      <c r="B79" s="870" t="s">
        <v>527</v>
      </c>
      <c r="C79" s="870" t="s">
        <v>489</v>
      </c>
      <c r="D79" s="872" t="s">
        <v>564</v>
      </c>
      <c r="E79" s="873" t="s">
        <v>345</v>
      </c>
      <c r="F79" s="870" t="s">
        <v>29</v>
      </c>
      <c r="G79" s="870" t="s">
        <v>350</v>
      </c>
      <c r="H79" s="877">
        <v>0.55000000000000004</v>
      </c>
      <c r="I79" s="870" t="s">
        <v>330</v>
      </c>
      <c r="J79" s="870" t="s">
        <v>331</v>
      </c>
      <c r="K79" s="875">
        <v>400</v>
      </c>
      <c r="L79" s="876">
        <v>0.85</v>
      </c>
      <c r="M79" s="877">
        <v>0.95</v>
      </c>
      <c r="N79" s="878">
        <f t="shared" si="495"/>
        <v>0.98313301253405228</v>
      </c>
      <c r="O79" s="878">
        <f t="shared" si="347"/>
        <v>5.8987980752043132</v>
      </c>
      <c r="P79" s="876">
        <f t="shared" si="496"/>
        <v>0.2</v>
      </c>
      <c r="Q79" s="877">
        <v>65</v>
      </c>
      <c r="R79" s="877">
        <v>0</v>
      </c>
      <c r="S79" s="877">
        <f t="shared" si="497"/>
        <v>0</v>
      </c>
      <c r="T79" s="876" t="s">
        <v>131</v>
      </c>
      <c r="U79" s="877" t="s">
        <v>333</v>
      </c>
      <c r="V79" s="876">
        <v>25</v>
      </c>
      <c r="W79" s="876" t="str">
        <f t="shared" si="498"/>
        <v>3C X 25</v>
      </c>
      <c r="X79" s="876" t="str">
        <f t="shared" si="499"/>
        <v>3C X 25+PE</v>
      </c>
      <c r="Y79" s="876" t="s">
        <v>358</v>
      </c>
      <c r="Z79" s="879">
        <f>IF(T79="AIR",VLOOKUP(W79,'Catalogue Aluminium'!$B$9:$G$93,2,FALSE),IF(T79="GROUND",VLOOKUP(W79,'Catalogue Aluminium'!$B$9:$G$93,3,FALSE),IF(T79="DUCT",VLOOKUP(W79,'Catalogue Aluminium'!$B$9:$G$93,4,FALSE),IF(T79="TRENCH",VLOOKUP(W79,'Catalogue Aluminium'!$B$9:$G$93,2,FALSE)))))</f>
        <v>95</v>
      </c>
      <c r="AA79" s="880">
        <f>VLOOKUP(W79,'Catalogue Aluminium'!$B$9:$G$93,5,FALSE)</f>
        <v>1.54</v>
      </c>
      <c r="AB79" s="880">
        <f>VLOOKUP(W79,'Catalogue Aluminium'!$B$9:$G$93,6,FALSE)</f>
        <v>8.1600000000000006E-2</v>
      </c>
      <c r="AC79" s="876">
        <f t="shared" ref="AC79" si="676">17+3</f>
        <v>20</v>
      </c>
      <c r="AD79" s="876">
        <f t="shared" si="620"/>
        <v>286</v>
      </c>
      <c r="AE79" s="876">
        <f t="shared" si="501"/>
        <v>38</v>
      </c>
      <c r="AF79" s="876">
        <v>8</v>
      </c>
      <c r="AG79" s="876">
        <f t="shared" si="502"/>
        <v>36</v>
      </c>
      <c r="AH79" s="881">
        <v>90</v>
      </c>
      <c r="AI79" s="879">
        <f>IF(T79="AIR",'Catalogue Aluminium'!$K$9,IF(T79="TRENCH",'Catalogue Aluminium'!$K$12,"NA"))</f>
        <v>0.89</v>
      </c>
      <c r="AJ79" s="878">
        <f>IF(T79="Air",(IF(U79="1C",'Catalogue Aluminium'!$L$9,'Catalogue Aluminium'!$M$9)),IF(T79="DUCT",(IF($U79="1C",'Catalogue Aluminium'!$L$10,'Catalogue Aluminium'!$M$10)),IF(T79="GROUND",(IF($U79="1C",'Catalogue Aluminium'!$L$11,'Catalogue Aluminium'!$M$11)),IF(T79="TRENCH",(IF($U79="1C",'Catalogue Aluminium'!$L$12,'Catalogue Aluminium'!$M$12))))))</f>
        <v>0.66</v>
      </c>
      <c r="AK79" s="879" t="str">
        <f>IF(T79="Air",'Catalogue Aluminium'!$N$9,IF(T79="GROUND",'Catalogue Aluminium'!$N$10,IF(T79="DUCT",'Catalogue Aluminium'!$N$11,IF(T79="TRENCH",'Catalogue Aluminium'!$N$12,"NA"))))</f>
        <v>NA</v>
      </c>
      <c r="AL79" s="879" t="str">
        <f>IF(T79="Air",(IF(U79="1C",'Catalogue Aluminium'!$O$9,'Catalogue Aluminium'!$P$9)),IF(T79="DUCT",(IF($U79="1C",'Catalogue Aluminium'!$O$10,'Catalogue Aluminium'!$P$10)),IF(T79="GROUND",(IF($U79="1C",'Catalogue Aluminium'!$O$11,'Catalogue Aluminium'!$P$11)),IF(T79="TRENCH",(IF($U79="1C",'Catalogue Aluminium'!$O$12,'Catalogue Aluminium'!$P$12))))))</f>
        <v>NA</v>
      </c>
      <c r="AM79" s="879" t="str">
        <f>IF(T79="AIR","NA",IF(T79="TRENCH","NA",IF(T79="DUCT",IF(U79="1C",VLOOKUP(V79,'Catalogue Aluminium'!$Q$9:$S$28,2,FALSE),VLOOKUP(V79,'Catalogue Aluminium'!$Q$9:$S$28,3)),IF(T79="GROUND",IF(U79="1C",VLOOKUP(V79,'Catalogue Aluminium'!$Q$9:$S$28,2,FALSE),VLOOKUP(V79,'Catalogue Aluminium'!$Q$9:$S$28,3))))))</f>
        <v>NA</v>
      </c>
      <c r="AN79" s="882">
        <f t="shared" si="504"/>
        <v>0.58740000000000003</v>
      </c>
      <c r="AO79" s="877">
        <f t="shared" si="505"/>
        <v>55.803000000000004</v>
      </c>
      <c r="AP79" s="875">
        <f t="shared" si="10"/>
        <v>1</v>
      </c>
      <c r="AQ79" s="877" t="str">
        <f t="shared" si="506"/>
        <v>YES</v>
      </c>
      <c r="AR79" s="882">
        <f t="shared" si="507"/>
        <v>5.1799724304337894E-2</v>
      </c>
      <c r="AS79" s="876" t="str">
        <f t="shared" si="508"/>
        <v>YES</v>
      </c>
      <c r="AT79" s="882">
        <f t="shared" si="605"/>
        <v>8.9183381971020784E-2</v>
      </c>
      <c r="AU79" s="876" t="str">
        <f t="shared" si="510"/>
        <v>YES</v>
      </c>
      <c r="AV79" s="883" t="str">
        <f t="shared" si="511"/>
        <v>1R x 0.6/1kV x 3C x 25 Sqmm</v>
      </c>
      <c r="AW79" s="883" t="str">
        <f t="shared" si="512"/>
        <v>1R x 0.6/1kV x 3C x 25+PE Sqmm</v>
      </c>
      <c r="AX79" s="876">
        <f t="shared" si="606"/>
        <v>90</v>
      </c>
      <c r="AY79" s="884"/>
      <c r="AZ79" s="884">
        <f t="shared" si="607"/>
        <v>2</v>
      </c>
      <c r="BA79" s="885" t="str">
        <f t="shared" si="515"/>
        <v>ACDEE1E2E3</v>
      </c>
      <c r="BB79" s="886">
        <f>VLOOKUP(W79,'Catalogue Aluminium'!$B$9:$H$93,7,FALSE)</f>
        <v>21</v>
      </c>
      <c r="BC79" s="887">
        <f t="shared" si="608"/>
        <v>21</v>
      </c>
      <c r="BE79" s="889"/>
      <c r="BF79" s="889">
        <v>1</v>
      </c>
      <c r="BG79" s="889"/>
      <c r="BH79" s="889"/>
      <c r="BI79" s="889">
        <v>1</v>
      </c>
      <c r="BJ79" s="889">
        <v>1</v>
      </c>
      <c r="BK79" s="889"/>
      <c r="BL79" s="889"/>
      <c r="BM79" s="889"/>
      <c r="BN79" s="889">
        <v>1</v>
      </c>
      <c r="BO79" s="889"/>
      <c r="BP79" s="889">
        <v>1</v>
      </c>
      <c r="BQ79" s="889">
        <v>1</v>
      </c>
      <c r="BR79" s="889">
        <v>1</v>
      </c>
      <c r="BS79" s="889"/>
      <c r="BT79" s="889"/>
      <c r="BU79" s="889"/>
      <c r="BV79" s="889"/>
      <c r="BW79" s="889"/>
      <c r="BX79" s="889"/>
      <c r="BY79" s="889"/>
      <c r="BZ79" s="889"/>
      <c r="CA79" s="889"/>
      <c r="CB79" s="889"/>
      <c r="CC79" s="889"/>
      <c r="CD79" s="889"/>
      <c r="CE79" s="889"/>
      <c r="CF79" s="889"/>
      <c r="CG79" s="889"/>
      <c r="CH79" s="889"/>
      <c r="CI79" s="889"/>
      <c r="CJ79" s="889"/>
      <c r="CK79" s="889"/>
      <c r="CL79" s="889"/>
      <c r="CM79" s="889"/>
      <c r="CN79" s="889"/>
      <c r="CO79" s="889"/>
      <c r="CP79" s="889"/>
      <c r="CQ79" s="889"/>
      <c r="CR79" s="889"/>
      <c r="CS79" s="889"/>
      <c r="CT79" s="889"/>
      <c r="CU79" s="889"/>
      <c r="CV79" s="889"/>
      <c r="CW79" s="889"/>
      <c r="CX79" s="889"/>
      <c r="CY79" s="889"/>
      <c r="CZ79" s="889"/>
      <c r="DA79" s="889"/>
      <c r="DB79" s="889"/>
      <c r="DC79" s="889"/>
      <c r="DD79" s="889"/>
      <c r="DE79" s="889"/>
      <c r="DF79" s="889"/>
      <c r="DG79" s="889"/>
      <c r="DH79" s="889"/>
      <c r="DI79" s="889"/>
      <c r="DJ79" s="889"/>
      <c r="DK79" s="889"/>
      <c r="DL79" s="889"/>
      <c r="DM79" s="889"/>
      <c r="DN79" s="889"/>
      <c r="DO79" s="889"/>
      <c r="DP79" s="889"/>
      <c r="DQ79" s="889"/>
      <c r="DR79" s="889"/>
      <c r="DS79" s="889"/>
      <c r="DT79" s="889"/>
      <c r="DU79" s="889"/>
      <c r="DW79" s="889">
        <f t="shared" si="387"/>
        <v>0</v>
      </c>
      <c r="DX79" s="889">
        <f t="shared" si="388"/>
        <v>21</v>
      </c>
      <c r="DY79" s="889">
        <f t="shared" si="389"/>
        <v>0</v>
      </c>
      <c r="DZ79" s="889">
        <f t="shared" si="390"/>
        <v>0</v>
      </c>
      <c r="EA79" s="889">
        <f t="shared" si="391"/>
        <v>21</v>
      </c>
      <c r="EB79" s="889">
        <f t="shared" si="392"/>
        <v>21</v>
      </c>
      <c r="EC79" s="889">
        <f t="shared" si="393"/>
        <v>0</v>
      </c>
      <c r="ED79" s="889">
        <f t="shared" si="621"/>
        <v>0</v>
      </c>
      <c r="EE79" s="889">
        <f t="shared" si="622"/>
        <v>0</v>
      </c>
      <c r="EF79" s="889">
        <f t="shared" si="623"/>
        <v>21</v>
      </c>
      <c r="EG79" s="889">
        <f t="shared" si="624"/>
        <v>0</v>
      </c>
      <c r="EH79" s="889">
        <f t="shared" si="625"/>
        <v>21</v>
      </c>
      <c r="EI79" s="889">
        <f t="shared" si="626"/>
        <v>21</v>
      </c>
      <c r="EJ79" s="889">
        <f t="shared" si="627"/>
        <v>21</v>
      </c>
      <c r="EK79" s="889">
        <f t="shared" si="628"/>
        <v>0</v>
      </c>
      <c r="EL79" s="889">
        <f t="shared" si="629"/>
        <v>0</v>
      </c>
      <c r="EM79" s="889">
        <f t="shared" si="630"/>
        <v>0</v>
      </c>
      <c r="EN79" s="889">
        <f t="shared" si="631"/>
        <v>0</v>
      </c>
      <c r="EO79" s="889">
        <f t="shared" si="632"/>
        <v>0</v>
      </c>
      <c r="EP79" s="889">
        <f t="shared" si="633"/>
        <v>0</v>
      </c>
      <c r="EQ79" s="889">
        <f t="shared" si="634"/>
        <v>0</v>
      </c>
      <c r="ER79" s="889">
        <f t="shared" si="635"/>
        <v>0</v>
      </c>
      <c r="ES79" s="889">
        <f t="shared" si="636"/>
        <v>0</v>
      </c>
      <c r="ET79" s="889">
        <f t="shared" si="636"/>
        <v>0</v>
      </c>
      <c r="EU79" s="889">
        <f t="shared" si="637"/>
        <v>0</v>
      </c>
      <c r="EV79" s="889">
        <f t="shared" si="638"/>
        <v>0</v>
      </c>
      <c r="EW79" s="889">
        <f t="shared" si="639"/>
        <v>0</v>
      </c>
      <c r="EX79" s="889">
        <f t="shared" si="640"/>
        <v>0</v>
      </c>
      <c r="EY79" s="889">
        <f t="shared" si="641"/>
        <v>0</v>
      </c>
      <c r="EZ79" s="889">
        <f t="shared" si="642"/>
        <v>0</v>
      </c>
      <c r="FA79" s="889">
        <f t="shared" si="643"/>
        <v>0</v>
      </c>
      <c r="FB79" s="889">
        <f t="shared" si="644"/>
        <v>0</v>
      </c>
      <c r="FC79" s="889">
        <f t="shared" si="645"/>
        <v>0</v>
      </c>
      <c r="FD79" s="889">
        <f t="shared" si="646"/>
        <v>0</v>
      </c>
      <c r="FE79" s="889">
        <f t="shared" si="647"/>
        <v>0</v>
      </c>
      <c r="FF79" s="889">
        <f t="shared" si="648"/>
        <v>0</v>
      </c>
      <c r="FG79" s="889">
        <f t="shared" si="649"/>
        <v>0</v>
      </c>
      <c r="FH79" s="889">
        <f t="shared" si="650"/>
        <v>0</v>
      </c>
      <c r="FI79" s="889">
        <f t="shared" si="651"/>
        <v>0</v>
      </c>
      <c r="FJ79" s="889">
        <f t="shared" si="652"/>
        <v>0</v>
      </c>
      <c r="FK79" s="889">
        <f t="shared" si="653"/>
        <v>0</v>
      </c>
      <c r="FL79" s="889">
        <f t="shared" si="654"/>
        <v>0</v>
      </c>
      <c r="FM79" s="889">
        <f t="shared" si="655"/>
        <v>0</v>
      </c>
      <c r="FN79" s="889">
        <f t="shared" si="656"/>
        <v>0</v>
      </c>
      <c r="FO79" s="889">
        <f t="shared" si="657"/>
        <v>0</v>
      </c>
      <c r="FP79" s="889">
        <f t="shared" si="658"/>
        <v>0</v>
      </c>
      <c r="FQ79" s="889">
        <f t="shared" si="659"/>
        <v>0</v>
      </c>
      <c r="FR79" s="889">
        <f t="shared" si="660"/>
        <v>0</v>
      </c>
      <c r="FS79" s="889">
        <f t="shared" si="661"/>
        <v>0</v>
      </c>
      <c r="FT79" s="889">
        <f t="shared" si="662"/>
        <v>0</v>
      </c>
      <c r="FU79" s="889">
        <f t="shared" si="609"/>
        <v>0</v>
      </c>
      <c r="FV79" s="889">
        <f t="shared" si="610"/>
        <v>0</v>
      </c>
      <c r="FW79" s="889">
        <f t="shared" si="611"/>
        <v>0</v>
      </c>
      <c r="FX79" s="889">
        <f t="shared" si="612"/>
        <v>0</v>
      </c>
      <c r="FY79" s="889">
        <f t="shared" si="663"/>
        <v>0</v>
      </c>
      <c r="FZ79" s="889">
        <f t="shared" si="664"/>
        <v>0</v>
      </c>
      <c r="GA79" s="889">
        <f t="shared" si="665"/>
        <v>0</v>
      </c>
      <c r="GB79" s="889">
        <f t="shared" si="666"/>
        <v>0</v>
      </c>
      <c r="GC79" s="889">
        <f t="shared" si="667"/>
        <v>0</v>
      </c>
      <c r="GD79" s="889">
        <f t="shared" si="668"/>
        <v>0</v>
      </c>
      <c r="GE79" s="889">
        <f t="shared" si="669"/>
        <v>0</v>
      </c>
      <c r="GF79" s="889">
        <f t="shared" si="670"/>
        <v>0</v>
      </c>
      <c r="GG79" s="889">
        <f t="shared" si="671"/>
        <v>0</v>
      </c>
      <c r="GH79" s="889">
        <f t="shared" si="672"/>
        <v>0</v>
      </c>
      <c r="GI79" s="889">
        <f t="shared" si="673"/>
        <v>0</v>
      </c>
      <c r="GJ79" s="889">
        <f t="shared" si="674"/>
        <v>0</v>
      </c>
      <c r="GK79" s="889">
        <f t="shared" ref="GK79:GK112" si="677">IF(DS79=1,($BC79*DS79),0)</f>
        <v>0</v>
      </c>
      <c r="GL79" s="889">
        <f t="shared" si="613"/>
        <v>0</v>
      </c>
      <c r="GM79" s="889">
        <f t="shared" si="675"/>
        <v>0</v>
      </c>
    </row>
    <row r="80" spans="1:195" s="888" customFormat="1" ht="34.5" hidden="1" customHeight="1">
      <c r="A80" s="870" t="s">
        <v>334</v>
      </c>
      <c r="B80" s="870" t="s">
        <v>527</v>
      </c>
      <c r="C80" s="870" t="s">
        <v>489</v>
      </c>
      <c r="D80" s="872" t="s">
        <v>565</v>
      </c>
      <c r="E80" s="873" t="s">
        <v>555</v>
      </c>
      <c r="F80" s="870" t="s">
        <v>28</v>
      </c>
      <c r="G80" s="870" t="s">
        <v>329</v>
      </c>
      <c r="H80" s="877">
        <v>1</v>
      </c>
      <c r="I80" s="870" t="s">
        <v>330</v>
      </c>
      <c r="J80" s="870" t="s">
        <v>331</v>
      </c>
      <c r="K80" s="875">
        <v>400</v>
      </c>
      <c r="L80" s="876">
        <v>0.85</v>
      </c>
      <c r="M80" s="877">
        <v>0.95</v>
      </c>
      <c r="N80" s="878">
        <f t="shared" si="495"/>
        <v>1.7875145682437314</v>
      </c>
      <c r="O80" s="878">
        <f t="shared" si="347"/>
        <v>0</v>
      </c>
      <c r="P80" s="876" t="str">
        <f t="shared" si="496"/>
        <v>0.00</v>
      </c>
      <c r="Q80" s="877">
        <v>65</v>
      </c>
      <c r="R80" s="877">
        <v>0</v>
      </c>
      <c r="S80" s="877">
        <f t="shared" si="497"/>
        <v>0</v>
      </c>
      <c r="T80" s="876" t="s">
        <v>131</v>
      </c>
      <c r="U80" s="877" t="s">
        <v>522</v>
      </c>
      <c r="V80" s="876">
        <v>25</v>
      </c>
      <c r="W80" s="876" t="str">
        <f t="shared" si="498"/>
        <v>4C X 25</v>
      </c>
      <c r="X80" s="876" t="str">
        <f t="shared" si="499"/>
        <v>4C X 25</v>
      </c>
      <c r="Y80" s="876" t="s">
        <v>358</v>
      </c>
      <c r="Z80" s="879" t="e">
        <f>IF(T80="AIR",VLOOKUP(W80,'Catalogue Aluminium'!$B$9:$G$93,2,FALSE),IF(T80="GROUND",VLOOKUP(W80,'Catalogue Aluminium'!$B$9:$G$93,3,FALSE),IF(T80="DUCT",VLOOKUP(W80,'Catalogue Aluminium'!$B$9:$G$93,4,FALSE),IF(T80="TRENCH",VLOOKUP(W80,'Catalogue Aluminium'!$B$9:$G$93,2,FALSE)))))</f>
        <v>#N/A</v>
      </c>
      <c r="AA80" s="880" t="e">
        <f>VLOOKUP(W80,'Catalogue Aluminium'!$B$9:$G$93,5,FALSE)</f>
        <v>#N/A</v>
      </c>
      <c r="AB80" s="880" t="e">
        <f>VLOOKUP(W80,'Catalogue Aluminium'!$B$9:$G$93,6,FALSE)</f>
        <v>#N/A</v>
      </c>
      <c r="AC80" s="876">
        <f>26+3</f>
        <v>29</v>
      </c>
      <c r="AD80" s="876">
        <v>80</v>
      </c>
      <c r="AE80" s="876">
        <v>5</v>
      </c>
      <c r="AF80" s="876">
        <v>8</v>
      </c>
      <c r="AG80" s="876">
        <f t="shared" si="502"/>
        <v>13</v>
      </c>
      <c r="AH80" s="881">
        <v>90</v>
      </c>
      <c r="AI80" s="879">
        <f>IF(T80="AIR",'Catalogue Aluminium'!$K$9,IF(T80="TRENCH",'Catalogue Aluminium'!$K$12,"NA"))</f>
        <v>0.89</v>
      </c>
      <c r="AJ80" s="878">
        <f>IF(T80="Air",(IF(U80="1C",'Catalogue Aluminium'!$L$9,'Catalogue Aluminium'!$M$9)),IF(T80="DUCT",(IF($U80="1C",'Catalogue Aluminium'!$L$10,'Catalogue Aluminium'!$M$10)),IF(T80="GROUND",(IF($U80="1C",'Catalogue Aluminium'!$L$11,'Catalogue Aluminium'!$M$11)),IF(T80="TRENCH",(IF($U80="1C",'Catalogue Aluminium'!$L$12,'Catalogue Aluminium'!$M$12))))))</f>
        <v>0.66</v>
      </c>
      <c r="AK80" s="879" t="str">
        <f>IF(T80="Air",'Catalogue Aluminium'!$N$9,IF(T80="GROUND",'Catalogue Aluminium'!$N$10,IF(T80="DUCT",'Catalogue Aluminium'!$N$11,IF(T80="TRENCH",'Catalogue Aluminium'!$N$12,"NA"))))</f>
        <v>NA</v>
      </c>
      <c r="AL80" s="879" t="str">
        <f>IF(T80="Air",(IF(U80="1C",'Catalogue Aluminium'!$O$9,'Catalogue Aluminium'!$P$9)),IF(T80="DUCT",(IF($U80="1C",'Catalogue Aluminium'!$O$10,'Catalogue Aluminium'!$P$10)),IF(T80="GROUND",(IF($U80="1C",'Catalogue Aluminium'!$O$11,'Catalogue Aluminium'!$P$11)),IF(T80="TRENCH",(IF($U80="1C",'Catalogue Aluminium'!$O$12,'Catalogue Aluminium'!$P$12))))))</f>
        <v>NA</v>
      </c>
      <c r="AM80" s="879" t="str">
        <f>IF(T80="AIR","NA",IF(T80="TRENCH","NA",IF(T80="DUCT",IF(U80="1C",VLOOKUP(V80,'Catalogue Aluminium'!$Q$9:$S$28,2,FALSE),VLOOKUP(V80,'Catalogue Aluminium'!$Q$9:$S$28,3)),IF(T80="GROUND",IF(U80="1C",VLOOKUP(V80,'Catalogue Aluminium'!$Q$9:$S$28,2,FALSE),VLOOKUP(V80,'Catalogue Aluminium'!$Q$9:$S$28,3))))))</f>
        <v>NA</v>
      </c>
      <c r="AN80" s="882">
        <f t="shared" si="504"/>
        <v>0.58740000000000003</v>
      </c>
      <c r="AO80" s="877" t="e">
        <f t="shared" si="505"/>
        <v>#N/A</v>
      </c>
      <c r="AP80" s="875" t="e">
        <f t="shared" si="10"/>
        <v>#N/A</v>
      </c>
      <c r="AQ80" s="877" t="e">
        <f t="shared" si="506"/>
        <v>#N/A</v>
      </c>
      <c r="AR80" s="882" t="e">
        <f t="shared" si="507"/>
        <v>#N/A</v>
      </c>
      <c r="AS80" s="876" t="e">
        <f t="shared" si="508"/>
        <v>#N/A</v>
      </c>
      <c r="AT80" s="882" t="str">
        <f t="shared" si="605"/>
        <v>NA</v>
      </c>
      <c r="AU80" s="876" t="str">
        <f t="shared" si="510"/>
        <v>NA</v>
      </c>
      <c r="AV80" s="883" t="e">
        <f t="shared" si="511"/>
        <v>#N/A</v>
      </c>
      <c r="AW80" s="883" t="e">
        <f t="shared" si="512"/>
        <v>#N/A</v>
      </c>
      <c r="AX80" s="876" t="e">
        <f t="shared" si="606"/>
        <v>#N/A</v>
      </c>
      <c r="AY80" s="884"/>
      <c r="AZ80" s="884" t="e">
        <f t="shared" si="607"/>
        <v>#N/A</v>
      </c>
      <c r="BA80" s="885" t="str">
        <f t="shared" si="515"/>
        <v>AB</v>
      </c>
      <c r="BB80" s="886" t="e">
        <f>VLOOKUP(W80,'Catalogue Aluminium'!$B$9:$H$93,7,FALSE)</f>
        <v>#N/A</v>
      </c>
      <c r="BC80" s="887" t="e">
        <f t="shared" si="608"/>
        <v>#N/A</v>
      </c>
      <c r="BE80" s="889"/>
      <c r="BF80" s="889">
        <v>1</v>
      </c>
      <c r="BG80" s="889">
        <v>1</v>
      </c>
      <c r="BH80" s="889"/>
      <c r="BI80" s="889"/>
      <c r="BJ80" s="889"/>
      <c r="BK80" s="889"/>
      <c r="BL80" s="889"/>
      <c r="BM80" s="889"/>
      <c r="BN80" s="889"/>
      <c r="BO80" s="889"/>
      <c r="BP80" s="889"/>
      <c r="BQ80" s="889"/>
      <c r="BR80" s="889"/>
      <c r="BS80" s="889"/>
      <c r="BT80" s="889"/>
      <c r="BU80" s="889"/>
      <c r="BV80" s="889"/>
      <c r="BW80" s="889"/>
      <c r="BX80" s="889"/>
      <c r="BY80" s="889"/>
      <c r="BZ80" s="889"/>
      <c r="CA80" s="889"/>
      <c r="CB80" s="889"/>
      <c r="CC80" s="889"/>
      <c r="CD80" s="889"/>
      <c r="CE80" s="889"/>
      <c r="CF80" s="889"/>
      <c r="CG80" s="889"/>
      <c r="CH80" s="889"/>
      <c r="CI80" s="889"/>
      <c r="CJ80" s="889"/>
      <c r="CK80" s="889"/>
      <c r="CL80" s="889"/>
      <c r="CM80" s="889"/>
      <c r="CN80" s="889"/>
      <c r="CO80" s="889"/>
      <c r="CP80" s="889"/>
      <c r="CQ80" s="889"/>
      <c r="CR80" s="889"/>
      <c r="CS80" s="889"/>
      <c r="CT80" s="889"/>
      <c r="CU80" s="889"/>
      <c r="CV80" s="889"/>
      <c r="CW80" s="889"/>
      <c r="CX80" s="889"/>
      <c r="CY80" s="889"/>
      <c r="CZ80" s="889"/>
      <c r="DA80" s="889"/>
      <c r="DB80" s="889"/>
      <c r="DC80" s="889"/>
      <c r="DD80" s="889"/>
      <c r="DE80" s="889"/>
      <c r="DF80" s="889"/>
      <c r="DG80" s="889"/>
      <c r="DH80" s="889"/>
      <c r="DI80" s="889"/>
      <c r="DJ80" s="889"/>
      <c r="DK80" s="889"/>
      <c r="DL80" s="889"/>
      <c r="DM80" s="889"/>
      <c r="DN80" s="889"/>
      <c r="DO80" s="889"/>
      <c r="DP80" s="889"/>
      <c r="DQ80" s="889"/>
      <c r="DR80" s="889"/>
      <c r="DS80" s="889"/>
      <c r="DT80" s="889"/>
      <c r="DU80" s="889"/>
      <c r="DW80" s="889">
        <f t="shared" si="387"/>
        <v>0</v>
      </c>
      <c r="DX80" s="889" t="e">
        <f t="shared" si="388"/>
        <v>#N/A</v>
      </c>
      <c r="DY80" s="889" t="e">
        <f t="shared" si="389"/>
        <v>#N/A</v>
      </c>
      <c r="DZ80" s="889">
        <f t="shared" si="390"/>
        <v>0</v>
      </c>
      <c r="EA80" s="889">
        <f t="shared" si="391"/>
        <v>0</v>
      </c>
      <c r="EB80" s="889">
        <f t="shared" si="392"/>
        <v>0</v>
      </c>
      <c r="EC80" s="889">
        <f t="shared" si="393"/>
        <v>0</v>
      </c>
      <c r="ED80" s="889">
        <f t="shared" si="621"/>
        <v>0</v>
      </c>
      <c r="EE80" s="889">
        <f t="shared" si="622"/>
        <v>0</v>
      </c>
      <c r="EF80" s="889">
        <f t="shared" si="623"/>
        <v>0</v>
      </c>
      <c r="EG80" s="889">
        <f t="shared" si="624"/>
        <v>0</v>
      </c>
      <c r="EH80" s="889">
        <f t="shared" si="625"/>
        <v>0</v>
      </c>
      <c r="EI80" s="889">
        <f t="shared" si="626"/>
        <v>0</v>
      </c>
      <c r="EJ80" s="889">
        <f t="shared" si="627"/>
        <v>0</v>
      </c>
      <c r="EK80" s="889">
        <f t="shared" si="628"/>
        <v>0</v>
      </c>
      <c r="EL80" s="889">
        <f t="shared" si="629"/>
        <v>0</v>
      </c>
      <c r="EM80" s="889">
        <f t="shared" si="630"/>
        <v>0</v>
      </c>
      <c r="EN80" s="889">
        <f t="shared" si="631"/>
        <v>0</v>
      </c>
      <c r="EO80" s="889">
        <f t="shared" si="632"/>
        <v>0</v>
      </c>
      <c r="EP80" s="889">
        <f t="shared" si="633"/>
        <v>0</v>
      </c>
      <c r="EQ80" s="889">
        <f t="shared" si="634"/>
        <v>0</v>
      </c>
      <c r="ER80" s="889">
        <f t="shared" si="635"/>
        <v>0</v>
      </c>
      <c r="ES80" s="889">
        <f t="shared" si="636"/>
        <v>0</v>
      </c>
      <c r="ET80" s="889">
        <f t="shared" si="636"/>
        <v>0</v>
      </c>
      <c r="EU80" s="889">
        <f t="shared" si="637"/>
        <v>0</v>
      </c>
      <c r="EV80" s="889">
        <f t="shared" si="638"/>
        <v>0</v>
      </c>
      <c r="EW80" s="889">
        <f t="shared" si="639"/>
        <v>0</v>
      </c>
      <c r="EX80" s="889">
        <f t="shared" si="640"/>
        <v>0</v>
      </c>
      <c r="EY80" s="889">
        <f t="shared" si="641"/>
        <v>0</v>
      </c>
      <c r="EZ80" s="889">
        <f t="shared" si="642"/>
        <v>0</v>
      </c>
      <c r="FA80" s="889">
        <f t="shared" si="643"/>
        <v>0</v>
      </c>
      <c r="FB80" s="889">
        <f t="shared" si="644"/>
        <v>0</v>
      </c>
      <c r="FC80" s="889">
        <f t="shared" si="645"/>
        <v>0</v>
      </c>
      <c r="FD80" s="889">
        <f t="shared" si="646"/>
        <v>0</v>
      </c>
      <c r="FE80" s="889">
        <f t="shared" si="647"/>
        <v>0</v>
      </c>
      <c r="FF80" s="889">
        <f t="shared" si="648"/>
        <v>0</v>
      </c>
      <c r="FG80" s="889">
        <f t="shared" si="649"/>
        <v>0</v>
      </c>
      <c r="FH80" s="889">
        <f t="shared" si="650"/>
        <v>0</v>
      </c>
      <c r="FI80" s="889">
        <f t="shared" si="651"/>
        <v>0</v>
      </c>
      <c r="FJ80" s="889">
        <f t="shared" si="652"/>
        <v>0</v>
      </c>
      <c r="FK80" s="889">
        <f t="shared" si="653"/>
        <v>0</v>
      </c>
      <c r="FL80" s="889">
        <f t="shared" si="654"/>
        <v>0</v>
      </c>
      <c r="FM80" s="889">
        <f t="shared" si="655"/>
        <v>0</v>
      </c>
      <c r="FN80" s="889">
        <f t="shared" si="656"/>
        <v>0</v>
      </c>
      <c r="FO80" s="889">
        <f t="shared" si="657"/>
        <v>0</v>
      </c>
      <c r="FP80" s="889">
        <f t="shared" si="658"/>
        <v>0</v>
      </c>
      <c r="FQ80" s="889">
        <f t="shared" si="659"/>
        <v>0</v>
      </c>
      <c r="FR80" s="889">
        <f t="shared" si="660"/>
        <v>0</v>
      </c>
      <c r="FS80" s="889">
        <f t="shared" si="661"/>
        <v>0</v>
      </c>
      <c r="FT80" s="889">
        <f t="shared" si="662"/>
        <v>0</v>
      </c>
      <c r="FU80" s="889">
        <f t="shared" si="609"/>
        <v>0</v>
      </c>
      <c r="FV80" s="889">
        <f t="shared" si="610"/>
        <v>0</v>
      </c>
      <c r="FW80" s="889">
        <f t="shared" si="611"/>
        <v>0</v>
      </c>
      <c r="FX80" s="889">
        <f t="shared" si="612"/>
        <v>0</v>
      </c>
      <c r="FY80" s="889">
        <f t="shared" si="663"/>
        <v>0</v>
      </c>
      <c r="FZ80" s="889">
        <f t="shared" si="664"/>
        <v>0</v>
      </c>
      <c r="GA80" s="889">
        <f t="shared" si="665"/>
        <v>0</v>
      </c>
      <c r="GB80" s="889">
        <f t="shared" si="666"/>
        <v>0</v>
      </c>
      <c r="GC80" s="889">
        <f t="shared" si="667"/>
        <v>0</v>
      </c>
      <c r="GD80" s="889">
        <f t="shared" si="668"/>
        <v>0</v>
      </c>
      <c r="GE80" s="889">
        <f t="shared" si="669"/>
        <v>0</v>
      </c>
      <c r="GF80" s="889">
        <f t="shared" si="670"/>
        <v>0</v>
      </c>
      <c r="GG80" s="889">
        <f t="shared" si="671"/>
        <v>0</v>
      </c>
      <c r="GH80" s="889">
        <f t="shared" si="672"/>
        <v>0</v>
      </c>
      <c r="GI80" s="889">
        <f t="shared" si="673"/>
        <v>0</v>
      </c>
      <c r="GJ80" s="889">
        <f t="shared" si="674"/>
        <v>0</v>
      </c>
      <c r="GK80" s="889">
        <f t="shared" si="677"/>
        <v>0</v>
      </c>
      <c r="GL80" s="889">
        <f t="shared" si="613"/>
        <v>0</v>
      </c>
      <c r="GM80" s="889">
        <f t="shared" si="675"/>
        <v>0</v>
      </c>
    </row>
    <row r="81" spans="1:195" s="888" customFormat="1" ht="34.5" hidden="1" customHeight="1">
      <c r="A81" s="870" t="s">
        <v>334</v>
      </c>
      <c r="B81" s="870" t="s">
        <v>527</v>
      </c>
      <c r="C81" s="870" t="s">
        <v>489</v>
      </c>
      <c r="D81" s="872" t="s">
        <v>566</v>
      </c>
      <c r="E81" s="873" t="s">
        <v>555</v>
      </c>
      <c r="F81" s="870" t="s">
        <v>29</v>
      </c>
      <c r="G81" s="870" t="s">
        <v>329</v>
      </c>
      <c r="H81" s="877">
        <v>1</v>
      </c>
      <c r="I81" s="870" t="s">
        <v>330</v>
      </c>
      <c r="J81" s="870" t="s">
        <v>331</v>
      </c>
      <c r="K81" s="875">
        <v>400</v>
      </c>
      <c r="L81" s="876">
        <v>0.85</v>
      </c>
      <c r="M81" s="877">
        <v>0.95</v>
      </c>
      <c r="N81" s="878">
        <f t="shared" si="495"/>
        <v>1.7875145682437314</v>
      </c>
      <c r="O81" s="878">
        <f t="shared" si="347"/>
        <v>0</v>
      </c>
      <c r="P81" s="876" t="str">
        <f t="shared" si="496"/>
        <v>0.00</v>
      </c>
      <c r="Q81" s="877">
        <v>65</v>
      </c>
      <c r="R81" s="877">
        <v>0</v>
      </c>
      <c r="S81" s="877">
        <f t="shared" si="497"/>
        <v>0</v>
      </c>
      <c r="T81" s="876" t="s">
        <v>131</v>
      </c>
      <c r="U81" s="877" t="s">
        <v>522</v>
      </c>
      <c r="V81" s="876">
        <v>25</v>
      </c>
      <c r="W81" s="876" t="str">
        <f t="shared" si="498"/>
        <v>4C X 25</v>
      </c>
      <c r="X81" s="876" t="str">
        <f t="shared" si="499"/>
        <v>4C X 25</v>
      </c>
      <c r="Y81" s="876" t="s">
        <v>358</v>
      </c>
      <c r="Z81" s="879" t="e">
        <f>IF(T81="AIR",VLOOKUP(W81,'Catalogue Aluminium'!$B$9:$G$93,2,FALSE),IF(T81="GROUND",VLOOKUP(W81,'Catalogue Aluminium'!$B$9:$G$93,3,FALSE),IF(T81="DUCT",VLOOKUP(W81,'Catalogue Aluminium'!$B$9:$G$93,4,FALSE),IF(T81="TRENCH",VLOOKUP(W81,'Catalogue Aluminium'!$B$9:$G$93,2,FALSE)))))</f>
        <v>#N/A</v>
      </c>
      <c r="AA81" s="880" t="e">
        <f>VLOOKUP(W81,'Catalogue Aluminium'!$B$9:$G$93,5,FALSE)</f>
        <v>#N/A</v>
      </c>
      <c r="AB81" s="880" t="e">
        <f>VLOOKUP(W81,'Catalogue Aluminium'!$B$9:$G$93,6,FALSE)</f>
        <v>#N/A</v>
      </c>
      <c r="AC81" s="876">
        <f t="shared" ref="AC81" si="678">17+3</f>
        <v>20</v>
      </c>
      <c r="AD81" s="876">
        <v>80</v>
      </c>
      <c r="AE81" s="876">
        <v>5</v>
      </c>
      <c r="AF81" s="876">
        <v>8</v>
      </c>
      <c r="AG81" s="876">
        <f t="shared" si="502"/>
        <v>12</v>
      </c>
      <c r="AH81" s="881">
        <v>90</v>
      </c>
      <c r="AI81" s="879">
        <f>IF(T81="AIR",'Catalogue Aluminium'!$K$9,IF(T81="TRENCH",'Catalogue Aluminium'!$K$12,"NA"))</f>
        <v>0.89</v>
      </c>
      <c r="AJ81" s="878">
        <f>IF(T81="Air",(IF(U81="1C",'Catalogue Aluminium'!$L$9,'Catalogue Aluminium'!$M$9)),IF(T81="DUCT",(IF($U81="1C",'Catalogue Aluminium'!$L$10,'Catalogue Aluminium'!$M$10)),IF(T81="GROUND",(IF($U81="1C",'Catalogue Aluminium'!$L$11,'Catalogue Aluminium'!$M$11)),IF(T81="TRENCH",(IF($U81="1C",'Catalogue Aluminium'!$L$12,'Catalogue Aluminium'!$M$12))))))</f>
        <v>0.66</v>
      </c>
      <c r="AK81" s="879" t="str">
        <f>IF(T81="Air",'Catalogue Aluminium'!$N$9,IF(T81="GROUND",'Catalogue Aluminium'!$N$10,IF(T81="DUCT",'Catalogue Aluminium'!$N$11,IF(T81="TRENCH",'Catalogue Aluminium'!$N$12,"NA"))))</f>
        <v>NA</v>
      </c>
      <c r="AL81" s="879" t="str">
        <f>IF(T81="Air",(IF(U81="1C",'Catalogue Aluminium'!$O$9,'Catalogue Aluminium'!$P$9)),IF(T81="DUCT",(IF($U81="1C",'Catalogue Aluminium'!$O$10,'Catalogue Aluminium'!$P$10)),IF(T81="GROUND",(IF($U81="1C",'Catalogue Aluminium'!$O$11,'Catalogue Aluminium'!$P$11)),IF(T81="TRENCH",(IF($U81="1C",'Catalogue Aluminium'!$O$12,'Catalogue Aluminium'!$P$12))))))</f>
        <v>NA</v>
      </c>
      <c r="AM81" s="879" t="str">
        <f>IF(T81="AIR","NA",IF(T81="TRENCH","NA",IF(T81="DUCT",IF(U81="1C",VLOOKUP(V81,'Catalogue Aluminium'!$Q$9:$S$28,2,FALSE),VLOOKUP(V81,'Catalogue Aluminium'!$Q$9:$S$28,3)),IF(T81="GROUND",IF(U81="1C",VLOOKUP(V81,'Catalogue Aluminium'!$Q$9:$S$28,2,FALSE),VLOOKUP(V81,'Catalogue Aluminium'!$Q$9:$S$28,3))))))</f>
        <v>NA</v>
      </c>
      <c r="AN81" s="882">
        <f t="shared" si="504"/>
        <v>0.58740000000000003</v>
      </c>
      <c r="AO81" s="877" t="e">
        <f t="shared" si="505"/>
        <v>#N/A</v>
      </c>
      <c r="AP81" s="875" t="e">
        <f t="shared" si="10"/>
        <v>#N/A</v>
      </c>
      <c r="AQ81" s="877" t="e">
        <f t="shared" si="506"/>
        <v>#N/A</v>
      </c>
      <c r="AR81" s="882" t="e">
        <f t="shared" si="507"/>
        <v>#N/A</v>
      </c>
      <c r="AS81" s="876" t="e">
        <f t="shared" si="508"/>
        <v>#N/A</v>
      </c>
      <c r="AT81" s="882" t="str">
        <f t="shared" si="605"/>
        <v>NA</v>
      </c>
      <c r="AU81" s="876" t="str">
        <f t="shared" si="510"/>
        <v>NA</v>
      </c>
      <c r="AV81" s="883" t="e">
        <f t="shared" si="511"/>
        <v>#N/A</v>
      </c>
      <c r="AW81" s="883" t="e">
        <f t="shared" si="512"/>
        <v>#N/A</v>
      </c>
      <c r="AX81" s="876" t="e">
        <f t="shared" si="606"/>
        <v>#N/A</v>
      </c>
      <c r="AY81" s="884"/>
      <c r="AZ81" s="884" t="e">
        <f t="shared" si="607"/>
        <v>#N/A</v>
      </c>
      <c r="BA81" s="885" t="str">
        <f t="shared" si="515"/>
        <v>AB</v>
      </c>
      <c r="BB81" s="886" t="e">
        <f>VLOOKUP(W81,'Catalogue Aluminium'!$B$9:$H$93,7,FALSE)</f>
        <v>#N/A</v>
      </c>
      <c r="BC81" s="887" t="e">
        <f t="shared" si="608"/>
        <v>#N/A</v>
      </c>
      <c r="BE81" s="889"/>
      <c r="BF81" s="889">
        <v>1</v>
      </c>
      <c r="BG81" s="889">
        <v>1</v>
      </c>
      <c r="BH81" s="889"/>
      <c r="BI81" s="889"/>
      <c r="BJ81" s="889"/>
      <c r="BK81" s="889"/>
      <c r="BL81" s="889"/>
      <c r="BM81" s="889"/>
      <c r="BN81" s="889"/>
      <c r="BO81" s="889"/>
      <c r="BP81" s="889"/>
      <c r="BQ81" s="889"/>
      <c r="BR81" s="889"/>
      <c r="BS81" s="889"/>
      <c r="BT81" s="889"/>
      <c r="BU81" s="889"/>
      <c r="BV81" s="889"/>
      <c r="BW81" s="889"/>
      <c r="BX81" s="889"/>
      <c r="BY81" s="889"/>
      <c r="BZ81" s="889"/>
      <c r="CA81" s="889"/>
      <c r="CB81" s="889"/>
      <c r="CC81" s="889"/>
      <c r="CD81" s="889"/>
      <c r="CE81" s="889"/>
      <c r="CF81" s="889"/>
      <c r="CG81" s="889"/>
      <c r="CH81" s="889"/>
      <c r="CI81" s="889"/>
      <c r="CJ81" s="889"/>
      <c r="CK81" s="889"/>
      <c r="CL81" s="889"/>
      <c r="CM81" s="889"/>
      <c r="CN81" s="889"/>
      <c r="CO81" s="889"/>
      <c r="CP81" s="889"/>
      <c r="CQ81" s="889"/>
      <c r="CR81" s="889"/>
      <c r="CS81" s="889"/>
      <c r="CT81" s="889"/>
      <c r="CU81" s="889"/>
      <c r="CV81" s="889"/>
      <c r="CW81" s="889"/>
      <c r="CX81" s="889"/>
      <c r="CY81" s="889"/>
      <c r="CZ81" s="889"/>
      <c r="DA81" s="889"/>
      <c r="DB81" s="889"/>
      <c r="DC81" s="889"/>
      <c r="DD81" s="889"/>
      <c r="DE81" s="889"/>
      <c r="DF81" s="889"/>
      <c r="DG81" s="889"/>
      <c r="DH81" s="889"/>
      <c r="DI81" s="889"/>
      <c r="DJ81" s="889"/>
      <c r="DK81" s="889"/>
      <c r="DL81" s="889"/>
      <c r="DM81" s="889"/>
      <c r="DN81" s="889"/>
      <c r="DO81" s="889"/>
      <c r="DP81" s="889"/>
      <c r="DQ81" s="889"/>
      <c r="DR81" s="889"/>
      <c r="DS81" s="889"/>
      <c r="DT81" s="889"/>
      <c r="DU81" s="889"/>
      <c r="DW81" s="889">
        <f t="shared" si="387"/>
        <v>0</v>
      </c>
      <c r="DX81" s="889" t="e">
        <f t="shared" si="388"/>
        <v>#N/A</v>
      </c>
      <c r="DY81" s="889" t="e">
        <f t="shared" si="389"/>
        <v>#N/A</v>
      </c>
      <c r="DZ81" s="889">
        <f t="shared" si="390"/>
        <v>0</v>
      </c>
      <c r="EA81" s="889">
        <f t="shared" si="391"/>
        <v>0</v>
      </c>
      <c r="EB81" s="889">
        <f t="shared" si="392"/>
        <v>0</v>
      </c>
      <c r="EC81" s="889">
        <f t="shared" si="393"/>
        <v>0</v>
      </c>
      <c r="ED81" s="889">
        <f t="shared" si="621"/>
        <v>0</v>
      </c>
      <c r="EE81" s="889">
        <f t="shared" si="622"/>
        <v>0</v>
      </c>
      <c r="EF81" s="889">
        <f t="shared" si="623"/>
        <v>0</v>
      </c>
      <c r="EG81" s="889">
        <f t="shared" si="624"/>
        <v>0</v>
      </c>
      <c r="EH81" s="889">
        <f t="shared" si="625"/>
        <v>0</v>
      </c>
      <c r="EI81" s="889">
        <f t="shared" si="626"/>
        <v>0</v>
      </c>
      <c r="EJ81" s="889">
        <f t="shared" si="627"/>
        <v>0</v>
      </c>
      <c r="EK81" s="889">
        <f t="shared" si="628"/>
        <v>0</v>
      </c>
      <c r="EL81" s="889">
        <f t="shared" si="629"/>
        <v>0</v>
      </c>
      <c r="EM81" s="889">
        <f t="shared" si="630"/>
        <v>0</v>
      </c>
      <c r="EN81" s="889">
        <f t="shared" si="631"/>
        <v>0</v>
      </c>
      <c r="EO81" s="889">
        <f t="shared" si="632"/>
        <v>0</v>
      </c>
      <c r="EP81" s="889">
        <f t="shared" si="633"/>
        <v>0</v>
      </c>
      <c r="EQ81" s="889">
        <f t="shared" si="634"/>
        <v>0</v>
      </c>
      <c r="ER81" s="889">
        <f t="shared" si="635"/>
        <v>0</v>
      </c>
      <c r="ES81" s="889">
        <f t="shared" si="636"/>
        <v>0</v>
      </c>
      <c r="ET81" s="889">
        <f t="shared" si="636"/>
        <v>0</v>
      </c>
      <c r="EU81" s="889">
        <f t="shared" si="637"/>
        <v>0</v>
      </c>
      <c r="EV81" s="889">
        <f t="shared" si="638"/>
        <v>0</v>
      </c>
      <c r="EW81" s="889">
        <f t="shared" si="639"/>
        <v>0</v>
      </c>
      <c r="EX81" s="889">
        <f t="shared" si="640"/>
        <v>0</v>
      </c>
      <c r="EY81" s="889">
        <f t="shared" si="641"/>
        <v>0</v>
      </c>
      <c r="EZ81" s="889">
        <f t="shared" si="642"/>
        <v>0</v>
      </c>
      <c r="FA81" s="889">
        <f t="shared" si="643"/>
        <v>0</v>
      </c>
      <c r="FB81" s="889">
        <f t="shared" si="644"/>
        <v>0</v>
      </c>
      <c r="FC81" s="889">
        <f t="shared" si="645"/>
        <v>0</v>
      </c>
      <c r="FD81" s="889">
        <f t="shared" si="646"/>
        <v>0</v>
      </c>
      <c r="FE81" s="889">
        <f t="shared" si="647"/>
        <v>0</v>
      </c>
      <c r="FF81" s="889">
        <f t="shared" si="648"/>
        <v>0</v>
      </c>
      <c r="FG81" s="889">
        <f t="shared" si="649"/>
        <v>0</v>
      </c>
      <c r="FH81" s="889">
        <f t="shared" si="650"/>
        <v>0</v>
      </c>
      <c r="FI81" s="889">
        <f t="shared" si="651"/>
        <v>0</v>
      </c>
      <c r="FJ81" s="889">
        <f t="shared" si="652"/>
        <v>0</v>
      </c>
      <c r="FK81" s="889">
        <f t="shared" si="653"/>
        <v>0</v>
      </c>
      <c r="FL81" s="889">
        <f t="shared" si="654"/>
        <v>0</v>
      </c>
      <c r="FM81" s="889">
        <f t="shared" si="655"/>
        <v>0</v>
      </c>
      <c r="FN81" s="889">
        <f t="shared" si="656"/>
        <v>0</v>
      </c>
      <c r="FO81" s="889">
        <f t="shared" si="657"/>
        <v>0</v>
      </c>
      <c r="FP81" s="889">
        <f t="shared" si="658"/>
        <v>0</v>
      </c>
      <c r="FQ81" s="889">
        <f t="shared" si="659"/>
        <v>0</v>
      </c>
      <c r="FR81" s="889">
        <f t="shared" si="660"/>
        <v>0</v>
      </c>
      <c r="FS81" s="889">
        <f t="shared" si="661"/>
        <v>0</v>
      </c>
      <c r="FT81" s="889">
        <f t="shared" si="662"/>
        <v>0</v>
      </c>
      <c r="FU81" s="889">
        <f t="shared" si="609"/>
        <v>0</v>
      </c>
      <c r="FV81" s="889">
        <f t="shared" si="610"/>
        <v>0</v>
      </c>
      <c r="FW81" s="889">
        <f t="shared" si="611"/>
        <v>0</v>
      </c>
      <c r="FX81" s="889">
        <f t="shared" si="612"/>
        <v>0</v>
      </c>
      <c r="FY81" s="889">
        <f t="shared" si="663"/>
        <v>0</v>
      </c>
      <c r="FZ81" s="889">
        <f t="shared" si="664"/>
        <v>0</v>
      </c>
      <c r="GA81" s="889">
        <f t="shared" si="665"/>
        <v>0</v>
      </c>
      <c r="GB81" s="889">
        <f t="shared" si="666"/>
        <v>0</v>
      </c>
      <c r="GC81" s="889">
        <f t="shared" si="667"/>
        <v>0</v>
      </c>
      <c r="GD81" s="889">
        <f t="shared" si="668"/>
        <v>0</v>
      </c>
      <c r="GE81" s="889">
        <f t="shared" si="669"/>
        <v>0</v>
      </c>
      <c r="GF81" s="889">
        <f t="shared" si="670"/>
        <v>0</v>
      </c>
      <c r="GG81" s="889">
        <f t="shared" si="671"/>
        <v>0</v>
      </c>
      <c r="GH81" s="889">
        <f t="shared" si="672"/>
        <v>0</v>
      </c>
      <c r="GI81" s="889">
        <f t="shared" si="673"/>
        <v>0</v>
      </c>
      <c r="GJ81" s="889">
        <f t="shared" si="674"/>
        <v>0</v>
      </c>
      <c r="GK81" s="889">
        <f t="shared" si="677"/>
        <v>0</v>
      </c>
      <c r="GL81" s="889">
        <f t="shared" si="613"/>
        <v>0</v>
      </c>
      <c r="GM81" s="889">
        <f t="shared" si="675"/>
        <v>0</v>
      </c>
    </row>
    <row r="82" spans="1:195" s="76" customFormat="1" ht="29.25" customHeight="1">
      <c r="A82" s="373"/>
      <c r="B82" s="373"/>
      <c r="C82" s="373"/>
      <c r="D82" s="508" t="s">
        <v>1646</v>
      </c>
      <c r="E82" s="373"/>
      <c r="F82" s="510"/>
      <c r="G82" s="373"/>
      <c r="H82" s="382"/>
      <c r="I82" s="373"/>
      <c r="J82" s="373"/>
      <c r="K82" s="381"/>
      <c r="L82" s="376"/>
      <c r="M82" s="382"/>
      <c r="N82" s="375"/>
      <c r="O82" s="375"/>
      <c r="P82" s="376"/>
      <c r="Q82" s="382"/>
      <c r="R82" s="382"/>
      <c r="S82" s="382"/>
      <c r="T82" s="376"/>
      <c r="U82" s="382"/>
      <c r="V82" s="376"/>
      <c r="W82" s="376"/>
      <c r="X82" s="376"/>
      <c r="Y82" s="376"/>
      <c r="Z82" s="377"/>
      <c r="AA82" s="378"/>
      <c r="AB82" s="378"/>
      <c r="AC82" s="378"/>
      <c r="AD82" s="378"/>
      <c r="AE82" s="378"/>
      <c r="AF82" s="378"/>
      <c r="AG82" s="378"/>
      <c r="AH82" s="378"/>
      <c r="AI82" s="377"/>
      <c r="AJ82" s="375"/>
      <c r="AK82" s="377"/>
      <c r="AL82" s="377"/>
      <c r="AM82" s="377"/>
      <c r="AN82" s="383"/>
      <c r="AO82" s="382"/>
      <c r="AP82" s="381"/>
      <c r="AQ82" s="382"/>
      <c r="AR82" s="383"/>
      <c r="AS82" s="376"/>
      <c r="AT82" s="383"/>
      <c r="AU82" s="383"/>
      <c r="AV82" s="384"/>
      <c r="AW82" s="384"/>
      <c r="AX82" s="376"/>
      <c r="AY82" s="385"/>
      <c r="AZ82" s="385"/>
      <c r="BA82" s="513" t="str">
        <f t="shared" si="301"/>
        <v/>
      </c>
      <c r="BB82" s="513"/>
      <c r="BC82" s="513"/>
      <c r="BE82" s="513"/>
      <c r="BF82" s="513"/>
      <c r="BG82" s="513"/>
      <c r="BH82" s="513"/>
      <c r="BI82" s="513"/>
      <c r="BJ82" s="513"/>
      <c r="BK82" s="513"/>
      <c r="BL82" s="513"/>
      <c r="BM82" s="513"/>
      <c r="BN82" s="513"/>
      <c r="BO82" s="513"/>
      <c r="BP82" s="513"/>
      <c r="BQ82" s="513"/>
      <c r="BR82" s="513"/>
      <c r="BS82" s="513"/>
      <c r="BT82" s="513"/>
      <c r="BU82" s="513"/>
      <c r="BV82" s="513"/>
      <c r="BW82" s="513"/>
      <c r="BX82" s="513"/>
      <c r="BY82" s="513"/>
      <c r="BZ82" s="513"/>
      <c r="CA82" s="513"/>
      <c r="CB82" s="513"/>
      <c r="CC82" s="513"/>
      <c r="CD82" s="513"/>
      <c r="CE82" s="513"/>
      <c r="CF82" s="513"/>
      <c r="CG82" s="513"/>
      <c r="CH82" s="513"/>
      <c r="CI82" s="513"/>
      <c r="CJ82" s="513"/>
      <c r="CK82" s="513"/>
      <c r="CL82" s="513"/>
      <c r="CM82" s="513"/>
      <c r="CN82" s="513"/>
      <c r="CO82" s="513"/>
      <c r="CP82" s="513"/>
      <c r="CQ82" s="513"/>
      <c r="CR82" s="513"/>
      <c r="CS82" s="513"/>
      <c r="CT82" s="513"/>
      <c r="CU82" s="513"/>
      <c r="CV82" s="513"/>
      <c r="CW82" s="513"/>
      <c r="CX82" s="513"/>
      <c r="CY82" s="513"/>
      <c r="CZ82" s="513"/>
      <c r="DA82" s="513"/>
      <c r="DB82" s="513"/>
      <c r="DC82" s="513"/>
      <c r="DD82" s="513"/>
      <c r="DE82" s="513"/>
      <c r="DF82" s="513"/>
      <c r="DG82" s="513"/>
      <c r="DH82" s="513"/>
      <c r="DI82" s="513"/>
      <c r="DJ82" s="513"/>
      <c r="DK82" s="513"/>
      <c r="DL82" s="513"/>
      <c r="DM82" s="513"/>
      <c r="DN82" s="513"/>
      <c r="DO82" s="513"/>
      <c r="DP82" s="513"/>
      <c r="DQ82" s="513"/>
      <c r="DR82" s="513"/>
      <c r="DS82" s="513"/>
      <c r="DT82" s="513"/>
      <c r="DU82" s="513"/>
      <c r="DV82" s="61"/>
      <c r="DW82" s="336">
        <f t="shared" si="387"/>
        <v>0</v>
      </c>
      <c r="DX82" s="336">
        <f t="shared" si="388"/>
        <v>0</v>
      </c>
      <c r="DY82" s="336">
        <f t="shared" si="389"/>
        <v>0</v>
      </c>
      <c r="DZ82" s="336">
        <f t="shared" si="390"/>
        <v>0</v>
      </c>
      <c r="EA82" s="336">
        <f t="shared" si="391"/>
        <v>0</v>
      </c>
      <c r="EB82" s="336">
        <f t="shared" si="392"/>
        <v>0</v>
      </c>
      <c r="EC82" s="336">
        <f t="shared" si="393"/>
        <v>0</v>
      </c>
      <c r="ED82" s="336">
        <f t="shared" si="621"/>
        <v>0</v>
      </c>
      <c r="EE82" s="336">
        <f t="shared" si="622"/>
        <v>0</v>
      </c>
      <c r="EF82" s="336">
        <f t="shared" si="623"/>
        <v>0</v>
      </c>
      <c r="EG82" s="336">
        <f t="shared" si="624"/>
        <v>0</v>
      </c>
      <c r="EH82" s="336">
        <f t="shared" si="625"/>
        <v>0</v>
      </c>
      <c r="EI82" s="336">
        <f t="shared" si="626"/>
        <v>0</v>
      </c>
      <c r="EJ82" s="336">
        <f t="shared" si="627"/>
        <v>0</v>
      </c>
      <c r="EK82" s="336">
        <f t="shared" si="628"/>
        <v>0</v>
      </c>
      <c r="EL82" s="336">
        <f t="shared" si="629"/>
        <v>0</v>
      </c>
      <c r="EM82" s="336">
        <f t="shared" si="630"/>
        <v>0</v>
      </c>
      <c r="EN82" s="336">
        <f t="shared" si="631"/>
        <v>0</v>
      </c>
      <c r="EO82" s="336">
        <f t="shared" si="632"/>
        <v>0</v>
      </c>
      <c r="EP82" s="336">
        <f t="shared" si="633"/>
        <v>0</v>
      </c>
      <c r="EQ82" s="336">
        <f t="shared" si="634"/>
        <v>0</v>
      </c>
      <c r="ER82" s="336">
        <f t="shared" si="635"/>
        <v>0</v>
      </c>
      <c r="ES82" s="336">
        <f t="shared" si="636"/>
        <v>0</v>
      </c>
      <c r="ET82" s="336">
        <f t="shared" si="636"/>
        <v>0</v>
      </c>
      <c r="EU82" s="336">
        <f t="shared" si="637"/>
        <v>0</v>
      </c>
      <c r="EV82" s="336">
        <f t="shared" si="638"/>
        <v>0</v>
      </c>
      <c r="EW82" s="336">
        <f t="shared" si="639"/>
        <v>0</v>
      </c>
      <c r="EX82" s="336">
        <f t="shared" si="640"/>
        <v>0</v>
      </c>
      <c r="EY82" s="336">
        <f t="shared" si="641"/>
        <v>0</v>
      </c>
      <c r="EZ82" s="336">
        <f t="shared" si="642"/>
        <v>0</v>
      </c>
      <c r="FA82" s="336">
        <f t="shared" si="643"/>
        <v>0</v>
      </c>
      <c r="FB82" s="336">
        <f t="shared" si="644"/>
        <v>0</v>
      </c>
      <c r="FC82" s="336">
        <f t="shared" si="645"/>
        <v>0</v>
      </c>
      <c r="FD82" s="336">
        <f t="shared" si="646"/>
        <v>0</v>
      </c>
      <c r="FE82" s="336">
        <f t="shared" si="647"/>
        <v>0</v>
      </c>
      <c r="FF82" s="336">
        <f t="shared" si="648"/>
        <v>0</v>
      </c>
      <c r="FG82" s="336">
        <f t="shared" si="649"/>
        <v>0</v>
      </c>
      <c r="FH82" s="336">
        <f t="shared" si="650"/>
        <v>0</v>
      </c>
      <c r="FI82" s="336">
        <f t="shared" si="651"/>
        <v>0</v>
      </c>
      <c r="FJ82" s="336">
        <f t="shared" si="652"/>
        <v>0</v>
      </c>
      <c r="FK82" s="336">
        <f t="shared" si="653"/>
        <v>0</v>
      </c>
      <c r="FL82" s="336">
        <f t="shared" si="654"/>
        <v>0</v>
      </c>
      <c r="FM82" s="336">
        <f t="shared" si="655"/>
        <v>0</v>
      </c>
      <c r="FN82" s="336">
        <f t="shared" si="656"/>
        <v>0</v>
      </c>
      <c r="FO82" s="492">
        <f t="shared" si="657"/>
        <v>0</v>
      </c>
      <c r="FP82" s="492">
        <f t="shared" si="658"/>
        <v>0</v>
      </c>
      <c r="FQ82" s="492">
        <f t="shared" si="659"/>
        <v>0</v>
      </c>
      <c r="FR82" s="492">
        <f t="shared" si="660"/>
        <v>0</v>
      </c>
      <c r="FS82" s="492">
        <f t="shared" si="661"/>
        <v>0</v>
      </c>
      <c r="FT82" s="492">
        <f t="shared" si="662"/>
        <v>0</v>
      </c>
      <c r="FU82" s="336">
        <f t="shared" si="609"/>
        <v>0</v>
      </c>
      <c r="FV82" s="336">
        <f t="shared" si="610"/>
        <v>0</v>
      </c>
      <c r="FW82" s="336">
        <f t="shared" si="611"/>
        <v>0</v>
      </c>
      <c r="FX82" s="336">
        <f t="shared" si="612"/>
        <v>0</v>
      </c>
      <c r="FY82" s="492">
        <f t="shared" si="663"/>
        <v>0</v>
      </c>
      <c r="FZ82" s="492">
        <f t="shared" si="664"/>
        <v>0</v>
      </c>
      <c r="GA82" s="492">
        <f t="shared" si="665"/>
        <v>0</v>
      </c>
      <c r="GB82" s="492">
        <f t="shared" si="666"/>
        <v>0</v>
      </c>
      <c r="GC82" s="492">
        <f t="shared" si="667"/>
        <v>0</v>
      </c>
      <c r="GD82" s="492">
        <f t="shared" si="668"/>
        <v>0</v>
      </c>
      <c r="GE82" s="492">
        <f t="shared" si="669"/>
        <v>0</v>
      </c>
      <c r="GF82" s="492">
        <f t="shared" si="670"/>
        <v>0</v>
      </c>
      <c r="GG82" s="492">
        <f t="shared" si="671"/>
        <v>0</v>
      </c>
      <c r="GH82" s="492">
        <f t="shared" si="672"/>
        <v>0</v>
      </c>
      <c r="GI82" s="492">
        <f t="shared" si="673"/>
        <v>0</v>
      </c>
      <c r="GJ82" s="492">
        <f t="shared" si="674"/>
        <v>0</v>
      </c>
      <c r="GK82" s="492">
        <f t="shared" si="677"/>
        <v>0</v>
      </c>
      <c r="GL82" s="336">
        <f t="shared" si="613"/>
        <v>0</v>
      </c>
      <c r="GM82" s="492">
        <f t="shared" si="675"/>
        <v>0</v>
      </c>
    </row>
    <row r="83" spans="1:195" ht="30.75" customHeight="1">
      <c r="A83" s="388">
        <f>1+A75</f>
        <v>52</v>
      </c>
      <c r="B83" s="406" t="s">
        <v>1647</v>
      </c>
      <c r="C83" s="388" t="s">
        <v>489</v>
      </c>
      <c r="D83" s="338" t="s">
        <v>568</v>
      </c>
      <c r="E83" s="502" t="s">
        <v>345</v>
      </c>
      <c r="F83" s="388" t="s">
        <v>28</v>
      </c>
      <c r="G83" s="388" t="s">
        <v>329</v>
      </c>
      <c r="H83" s="418">
        <v>13</v>
      </c>
      <c r="I83" s="388" t="s">
        <v>330</v>
      </c>
      <c r="J83" s="388" t="s">
        <v>331</v>
      </c>
      <c r="K83" s="434">
        <v>400</v>
      </c>
      <c r="L83" s="401">
        <v>0.85</v>
      </c>
      <c r="M83" s="418">
        <v>0.95</v>
      </c>
      <c r="N83" s="392">
        <f t="shared" ref="N83:N92" si="679">IF(I83="kVA",IF(J83="3Ph",(H83*1000/(1.732*M83*K83)),(H83*1000/(M83*K83))),IF(I83="kW",IF(J83="3Ph",(H83*1000/(1.732*M83*K83*L83)),(H83*1000/(M83*K83*L83)))))</f>
        <v>23.237689387168508</v>
      </c>
      <c r="O83" s="392">
        <f t="shared" ref="O83:O115" si="680">IF(G83="MOTOR",(6*N83),IF(G83="VFD",(1*N83),0))</f>
        <v>0</v>
      </c>
      <c r="P83" s="401" t="str">
        <f t="shared" ref="P83:P92" si="681">IF(G83="MOTOR",0.2,"0.00")</f>
        <v>0.00</v>
      </c>
      <c r="Q83" s="418">
        <v>65</v>
      </c>
      <c r="R83" s="418">
        <v>0</v>
      </c>
      <c r="S83" s="418">
        <f t="shared" ref="S83:S92" si="682">(Q83*1000*SQRT(R83)/143)</f>
        <v>0</v>
      </c>
      <c r="T83" s="401" t="s">
        <v>131</v>
      </c>
      <c r="U83" s="418" t="s">
        <v>535</v>
      </c>
      <c r="V83" s="401">
        <v>25</v>
      </c>
      <c r="W83" s="401" t="str">
        <f t="shared" ref="W83:W92" si="683">CONCATENATE(U83," X ",V83)</f>
        <v>3.5C X 25</v>
      </c>
      <c r="X83" s="401" t="str">
        <f t="shared" ref="X83:X92" si="684">(IF(J83="1Ph",W83,IF(J83="3Ph",(IF(G83="MOTOR",(CONCATENATE(W83,"+PE")),W83)))))</f>
        <v>3.5C X 25</v>
      </c>
      <c r="Y83" s="401" t="s">
        <v>358</v>
      </c>
      <c r="Z83" s="393">
        <f>IF(T83="AIR",VLOOKUP(W83,'Catalogue Aluminium'!$B$9:$G$93,2,FALSE),IF(T83="GROUND",VLOOKUP(W83,'Catalogue Aluminium'!$B$9:$G$93,3,FALSE),IF(T83="DUCT",VLOOKUP(W83,'Catalogue Aluminium'!$B$9:$G$93,4,FALSE),IF(T83="TRENCH",VLOOKUP(W83,'Catalogue Aluminium'!$B$9:$G$93,2,FALSE)))))</f>
        <v>95</v>
      </c>
      <c r="AA83" s="402">
        <f>VLOOKUP(W83,'Catalogue Aluminium'!$B$9:$G$93,5,FALSE)</f>
        <v>1.54</v>
      </c>
      <c r="AB83" s="402">
        <f>VLOOKUP(W83,'Catalogue Aluminium'!$B$9:$G$93,6,FALSE)</f>
        <v>8.1600000000000006E-2</v>
      </c>
      <c r="AC83" s="401">
        <f>26+3</f>
        <v>29</v>
      </c>
      <c r="AD83" s="401">
        <f>40+50+38+50+17+(27+42+30+10)</f>
        <v>304</v>
      </c>
      <c r="AE83" s="401">
        <f t="shared" ref="AE83:AE93" si="685">11+8+8+11</f>
        <v>38</v>
      </c>
      <c r="AF83" s="401">
        <v>8</v>
      </c>
      <c r="AG83" s="401">
        <f t="shared" ref="AG83:AG92" si="686">ROUNDUP((SUM(AC83:AF83)*0.1),0)</f>
        <v>38</v>
      </c>
      <c r="AH83" s="436">
        <v>90</v>
      </c>
      <c r="AI83" s="393">
        <f>IF(T83="AIR",'Catalogue Aluminium'!$K$9,IF(T83="TRENCH",'Catalogue Aluminium'!$K$12,"NA"))</f>
        <v>0.89</v>
      </c>
      <c r="AJ83" s="392">
        <f>IF(T83="Air",(IF(U83="1C",'Catalogue Aluminium'!$L$9,'Catalogue Aluminium'!$M$9)),IF(T83="DUCT",(IF($U83="1C",'Catalogue Aluminium'!$L$10,'Catalogue Aluminium'!$M$10)),IF(T83="GROUND",(IF($U83="1C",'Catalogue Aluminium'!$L$11,'Catalogue Aluminium'!$M$11)),IF(T83="TRENCH",(IF($U83="1C",'Catalogue Aluminium'!$L$12,'Catalogue Aluminium'!$M$12))))))</f>
        <v>0.66</v>
      </c>
      <c r="AK83" s="393" t="str">
        <f>IF(T83="Air",'Catalogue Aluminium'!$N$9,IF(T83="GROUND",'Catalogue Aluminium'!$N$10,IF(T83="DUCT",'Catalogue Aluminium'!$N$11,IF(T83="TRENCH",'Catalogue Aluminium'!$N$12,"NA"))))</f>
        <v>NA</v>
      </c>
      <c r="AL83" s="393" t="str">
        <f>IF(T83="Air",(IF(U83="1C",'Catalogue Aluminium'!$O$9,'Catalogue Aluminium'!$P$9)),IF(T83="DUCT",(IF($U83="1C",'Catalogue Aluminium'!$O$10,'Catalogue Aluminium'!$P$10)),IF(T83="GROUND",(IF($U83="1C",'Catalogue Aluminium'!$O$11,'Catalogue Aluminium'!$P$11)),IF(T83="TRENCH",(IF($U83="1C",'Catalogue Aluminium'!$O$12,'Catalogue Aluminium'!$P$12))))))</f>
        <v>NA</v>
      </c>
      <c r="AM83" s="393" t="str">
        <f>IF(T83="AIR","NA",IF(T83="TRENCH","NA",IF(T83="DUCT",IF(U83="1C",VLOOKUP(V83,'Catalogue Aluminium'!$Q$9:$S$28,2,FALSE),VLOOKUP(V83,'Catalogue Aluminium'!$Q$9:$S$28,3)),IF(T83="GROUND",IF(U83="1C",VLOOKUP(V83,'Catalogue Aluminium'!$Q$9:$S$28,2,FALSE),VLOOKUP(V83,'Catalogue Aluminium'!$Q$9:$S$28,3))))))</f>
        <v>NA</v>
      </c>
      <c r="AN83" s="437">
        <f t="shared" ref="AN83:AN92" si="687">IF(T83="AIR",AI83*AJ83,IF(T83="TRENCH",AI83*AJ83,IF(T83="DUCT",AJ83*AK83*AL83*AM83,IF(T83="GROUND",AJ83*AK83*AL83*AM83))))</f>
        <v>0.58740000000000003</v>
      </c>
      <c r="AO83" s="418">
        <f t="shared" ref="AO83:AO92" si="688">Z83*AN83</f>
        <v>55.803000000000004</v>
      </c>
      <c r="AP83" s="434">
        <f t="shared" ref="AP83:AP151" si="689">CEILING(((N83)/AO83),1)</f>
        <v>1</v>
      </c>
      <c r="AQ83" s="418" t="str">
        <f t="shared" ref="AQ83:AQ92" si="690">IF(AO83*AP83&gt;=N83,"YES","NO")</f>
        <v>YES</v>
      </c>
      <c r="AR83" s="437">
        <f t="shared" ref="AR83:AR92" si="691">SQRT(3)*AH83*N83*((AA83*L83)+(AB83*SIN(ACOS(L83))))*100/(AP83*K83*1000)</f>
        <v>1.2243571199207137</v>
      </c>
      <c r="AS83" s="401" t="str">
        <f t="shared" ref="AS83:AS92" si="692">IF(G83="INCOMER",(IF(AR83&lt;=2,"YES","NO")),IF(G83="POWER",(IF(AR83&lt;=2.5,"YES","NO")),IF(G83="MOTOR",(IF(AR83&lt;=3,"YES","NO")))))</f>
        <v>YES</v>
      </c>
      <c r="AT83" s="437" t="str">
        <f t="shared" ref="AT83:AT92" si="693">IF(G83="MOTOR",(SQRT(3)*AH83*O83*((AA83*P83)+(AB83*SIN(ACOS(P83))))*100/(AP83*K83*1000)),"NA")</f>
        <v>NA</v>
      </c>
      <c r="AU83" s="401" t="str">
        <f t="shared" ref="AU83:AU92" si="694">IF(G83="MOTOR",IF(AT83&lt;=15,"YES","NO"),"NA")</f>
        <v>NA</v>
      </c>
      <c r="AV83" s="503" t="str">
        <f t="shared" ref="AV83:AV92" si="695">IF(U83="1C",CONCATENATE(AP83,"R x ",Y83,"kV x ",U83," x ",V83," Sqmm/Phase"),CONCATENATE(AP83,"R x ",0.6,"/1kV x ",U83," x ",V83," Sqmm"))</f>
        <v>1R x 0.6/1kV x 3.5C x 25 Sqmm</v>
      </c>
      <c r="AW83" s="503" t="str">
        <f t="shared" ref="AW83:AW92" si="696">IF(U83="1C",CONCATENATE(AP83,"R x ",Y83,"kV x ",U83," x ",V83," Sqmm/Phase"),CONCATENATE(AP83,"R x ",0.6,"/1kV x ",U83," x ",V83,(IF(G83="MOTOR","+PE",""))," Sqmm"))</f>
        <v>1R x 0.6/1kV x 3.5C x 25 Sqmm</v>
      </c>
      <c r="AX83" s="401">
        <f t="shared" ref="AX83:AX92" si="697">(IF(K83=400,(IF(U83="1C",(4*AH83*AP83),(AH83*AP83))),IF(K83=230,(AH83*AP83))))</f>
        <v>90</v>
      </c>
      <c r="AY83" s="504"/>
      <c r="AZ83" s="504">
        <f t="shared" ref="AZ83:AZ92" si="698">IF(U83="1C",(3*AP83*2),(AP83*2))</f>
        <v>2</v>
      </c>
      <c r="BA83" s="438" t="str">
        <f t="shared" ref="BA83:BA92" si="699">CONCATENATE(IF(BE83=1,BE$4,""),IF(BF83=1,BF$4,""),IF(BG83=1,BG$4,""),IF(BH83=1,BH$4,""),IF(BI83=1,BI$4,""),IF(BJ83=1,BJ$4,""),IF(BK83=1,BK$4,""),IF(BL83=1,BL$4,""),IF(BM83=1,BM$4,""),IF(BN83=1,BN$4,""),IF(BO83=1,BO$4,""),IF(BP83=1,BP$4,""),IF(BQ83=1,BQ$4,""),IF(BR83=1,BR$4,""),IF(BS83=1,BS$4,""),IF(BT83=1,BT$4,""),IF(BU83=1,BU$4,""),IF(BV83=1,BV$4,""),IF(BW83=1,BW$4,""),IF(BX83=1,BX$4,""),IF(BY83=1,BY$4,""),IF(BZ83=1,BZ$4,""),IF(CA83=1,CA$4,""),IF(CB83=1,CB$4,""),IF(CC83=1,CC$4,""),IF(CD83=1,CD$4,""),IF(CE83=1,CE$4,""),IF(CF83=1,CF$4,""),IF(CG83=1,CG$4,""),IF(CH83=1,CH$4,""),IF(CI83=1,CI$4,""),IF(CJ83=1,CJ$4,""),IF(CK83=1,CK$4,""),IF(CL83=1,CL$4,""),IF(CM83=1,CM$4,""),IF(CN83=1,CN$4,""),IF(CO83=1,CO$4,""),IF(CP83=1,CP$4,""),IF(CQ83=1,CQ$4,""),IF(CR83=1,CR$4,""),IF(CS83=1,CS$4,""),IF(CT83=1,CT$4,""),IF(CU83=1,CU$4,""),IF(CV83=1,CV$4,""),IF(CW83=1,CW$4,""),IF(CX83=1,CX$4,""),IF(CY83=1,CY$4,""),IF(CZ83=1,CZ$4,""),IF(DA83=1,DA$4,""),IF(DB83=1,DB$4,""),IF(DC83=1,DC$4,""),IF(DD83=1,DD$4,""),IF(DE83=1,DE$4,""),IF(DF83=1,DF$4,""),IF(DG83=1,DG$4,""),IF(DH83=1,DH$4,""),IF(DI83=1,DI$4,""),IF(DJ83=1,DJ$4,""),IF(DK83=1,DK$4,""),IF(DL83=1,DL$4,""),IF(DM83=1,DM$4,""),IF(DN83=1,DN$4,""),IF(DO83=1,DO$4,""),IF(DP83=1,DP$4,""),IF(DQ83=1,DQ$4,""),IF(DR83=1,DR$4,""),IF(DS83=1,DS$4,""),IF(DT83=1,DT$4,""),IF(DU83=1,DU$4,""))</f>
        <v>ACDEE1E2E3E4</v>
      </c>
      <c r="BB83" s="505">
        <f>VLOOKUP(W83,'Catalogue Aluminium'!$B$9:$H$93,7,FALSE)</f>
        <v>25</v>
      </c>
      <c r="BC83" s="439">
        <f t="shared" ref="BC83:BC92" si="700">AP83*BB83</f>
        <v>25</v>
      </c>
      <c r="BE83" s="336"/>
      <c r="BF83" s="336">
        <v>1</v>
      </c>
      <c r="BG83" s="336"/>
      <c r="BH83" s="336"/>
      <c r="BI83" s="336">
        <v>1</v>
      </c>
      <c r="BJ83" s="336">
        <v>1</v>
      </c>
      <c r="BK83" s="336"/>
      <c r="BL83" s="336"/>
      <c r="BM83" s="336"/>
      <c r="BN83" s="336">
        <v>1</v>
      </c>
      <c r="BO83" s="336"/>
      <c r="BP83" s="336">
        <v>1</v>
      </c>
      <c r="BQ83" s="336">
        <v>1</v>
      </c>
      <c r="BR83" s="336">
        <v>1</v>
      </c>
      <c r="BS83" s="336">
        <v>1</v>
      </c>
      <c r="BT83" s="336"/>
      <c r="BU83" s="336"/>
      <c r="BV83" s="336"/>
      <c r="BW83" s="336"/>
      <c r="BX83" s="336"/>
      <c r="BY83" s="336"/>
      <c r="BZ83" s="336"/>
      <c r="CA83" s="336"/>
      <c r="CB83" s="336"/>
      <c r="CC83" s="336"/>
      <c r="CD83" s="336"/>
      <c r="CE83" s="336"/>
      <c r="CF83" s="336"/>
      <c r="CG83" s="336"/>
      <c r="CH83" s="336"/>
      <c r="CI83" s="336"/>
      <c r="CJ83" s="336"/>
      <c r="CK83" s="336"/>
      <c r="CL83" s="336"/>
      <c r="CM83" s="336"/>
      <c r="CN83" s="336"/>
      <c r="CO83" s="336"/>
      <c r="CP83" s="336"/>
      <c r="CQ83" s="336"/>
      <c r="CR83" s="336"/>
      <c r="CS83" s="336"/>
      <c r="CT83" s="336"/>
      <c r="CU83" s="336"/>
      <c r="CV83" s="336"/>
      <c r="CW83" s="336"/>
      <c r="CX83" s="336"/>
      <c r="CY83" s="336"/>
      <c r="CZ83" s="336"/>
      <c r="DA83" s="336"/>
      <c r="DB83" s="336"/>
      <c r="DC83" s="336"/>
      <c r="DD83" s="336"/>
      <c r="DE83" s="336"/>
      <c r="DF83" s="336"/>
      <c r="DG83" s="336"/>
      <c r="DH83" s="336"/>
      <c r="DI83" s="336"/>
      <c r="DJ83" s="336"/>
      <c r="DK83" s="336"/>
      <c r="DL83" s="336"/>
      <c r="DM83" s="336"/>
      <c r="DN83" s="336"/>
      <c r="DO83" s="336"/>
      <c r="DP83" s="336"/>
      <c r="DQ83" s="336"/>
      <c r="DR83" s="336"/>
      <c r="DS83" s="336"/>
      <c r="DT83" s="336"/>
      <c r="DU83" s="336"/>
      <c r="DW83" s="336">
        <f>IF(BE83=1,($BC83*BE83),0)</f>
        <v>0</v>
      </c>
      <c r="DX83" s="336">
        <f t="shared" ref="DX83:DX148" si="701">IF(BF83=1,($BC83*BF83),0)</f>
        <v>25</v>
      </c>
      <c r="DY83" s="336">
        <f t="shared" ref="DY83:DY148" si="702">IF(BG83=1,($BC83*BG83),0)</f>
        <v>0</v>
      </c>
      <c r="DZ83" s="336">
        <f t="shared" ref="DZ83:DZ148" si="703">IF(BH83=1,($BC83*BH83),0)</f>
        <v>0</v>
      </c>
      <c r="EA83" s="336">
        <f t="shared" ref="EA83:EA148" si="704">IF(BI83=1,($BC83*BI83),0)</f>
        <v>25</v>
      </c>
      <c r="EB83" s="336">
        <f t="shared" ref="EB83:EB148" si="705">IF(BJ83=1,($BC83*BJ83),0)</f>
        <v>25</v>
      </c>
      <c r="EC83" s="336">
        <f t="shared" ref="EC83:EC148" si="706">IF(BK83=1,($BC83*BK83),0)</f>
        <v>0</v>
      </c>
      <c r="ED83" s="336">
        <f t="shared" si="621"/>
        <v>0</v>
      </c>
      <c r="EE83" s="336">
        <f t="shared" si="622"/>
        <v>0</v>
      </c>
      <c r="EF83" s="336">
        <f t="shared" si="623"/>
        <v>25</v>
      </c>
      <c r="EG83" s="336">
        <f t="shared" si="624"/>
        <v>0</v>
      </c>
      <c r="EH83" s="336">
        <f t="shared" si="625"/>
        <v>25</v>
      </c>
      <c r="EI83" s="336">
        <f t="shared" si="626"/>
        <v>25</v>
      </c>
      <c r="EJ83" s="336">
        <f t="shared" si="627"/>
        <v>25</v>
      </c>
      <c r="EK83" s="336">
        <f t="shared" si="628"/>
        <v>25</v>
      </c>
      <c r="EL83" s="336">
        <f t="shared" si="629"/>
        <v>0</v>
      </c>
      <c r="EM83" s="336">
        <f t="shared" si="630"/>
        <v>0</v>
      </c>
      <c r="EN83" s="336">
        <f t="shared" si="631"/>
        <v>0</v>
      </c>
      <c r="EO83" s="336">
        <f t="shared" si="632"/>
        <v>0</v>
      </c>
      <c r="EP83" s="336">
        <f t="shared" si="633"/>
        <v>0</v>
      </c>
      <c r="EQ83" s="336">
        <f t="shared" si="634"/>
        <v>0</v>
      </c>
      <c r="ER83" s="336">
        <f t="shared" si="635"/>
        <v>0</v>
      </c>
      <c r="ES83" s="336">
        <f t="shared" si="636"/>
        <v>0</v>
      </c>
      <c r="ET83" s="336">
        <f t="shared" si="636"/>
        <v>0</v>
      </c>
      <c r="EU83" s="336">
        <f t="shared" si="637"/>
        <v>0</v>
      </c>
      <c r="EV83" s="336">
        <f t="shared" si="638"/>
        <v>0</v>
      </c>
      <c r="EW83" s="336">
        <f t="shared" si="639"/>
        <v>0</v>
      </c>
      <c r="EX83" s="336">
        <f t="shared" si="640"/>
        <v>0</v>
      </c>
      <c r="EY83" s="336">
        <f t="shared" si="641"/>
        <v>0</v>
      </c>
      <c r="EZ83" s="336">
        <f t="shared" si="642"/>
        <v>0</v>
      </c>
      <c r="FA83" s="336">
        <f t="shared" si="643"/>
        <v>0</v>
      </c>
      <c r="FB83" s="336">
        <f t="shared" si="644"/>
        <v>0</v>
      </c>
      <c r="FC83" s="336">
        <f t="shared" si="645"/>
        <v>0</v>
      </c>
      <c r="FD83" s="336">
        <f t="shared" si="646"/>
        <v>0</v>
      </c>
      <c r="FE83" s="336">
        <f t="shared" si="647"/>
        <v>0</v>
      </c>
      <c r="FF83" s="336">
        <f t="shared" si="648"/>
        <v>0</v>
      </c>
      <c r="FG83" s="336">
        <f t="shared" si="649"/>
        <v>0</v>
      </c>
      <c r="FH83" s="336">
        <f t="shared" si="650"/>
        <v>0</v>
      </c>
      <c r="FI83" s="336">
        <f t="shared" si="651"/>
        <v>0</v>
      </c>
      <c r="FJ83" s="336">
        <f t="shared" si="652"/>
        <v>0</v>
      </c>
      <c r="FK83" s="336">
        <f t="shared" si="653"/>
        <v>0</v>
      </c>
      <c r="FL83" s="336">
        <f t="shared" si="654"/>
        <v>0</v>
      </c>
      <c r="FM83" s="336">
        <f t="shared" si="655"/>
        <v>0</v>
      </c>
      <c r="FN83" s="336">
        <f t="shared" si="656"/>
        <v>0</v>
      </c>
      <c r="FO83" s="336">
        <f t="shared" si="657"/>
        <v>0</v>
      </c>
      <c r="FP83" s="336">
        <f t="shared" si="658"/>
        <v>0</v>
      </c>
      <c r="FQ83" s="336">
        <f t="shared" si="659"/>
        <v>0</v>
      </c>
      <c r="FR83" s="336">
        <f t="shared" si="660"/>
        <v>0</v>
      </c>
      <c r="FS83" s="336">
        <f t="shared" si="661"/>
        <v>0</v>
      </c>
      <c r="FT83" s="336">
        <f t="shared" si="662"/>
        <v>0</v>
      </c>
      <c r="FU83" s="336">
        <f t="shared" si="609"/>
        <v>0</v>
      </c>
      <c r="FV83" s="336">
        <f t="shared" si="610"/>
        <v>0</v>
      </c>
      <c r="FW83" s="336">
        <f t="shared" si="611"/>
        <v>0</v>
      </c>
      <c r="FX83" s="336">
        <f t="shared" si="612"/>
        <v>0</v>
      </c>
      <c r="FY83" s="336">
        <f t="shared" si="663"/>
        <v>0</v>
      </c>
      <c r="FZ83" s="336">
        <f t="shared" si="664"/>
        <v>0</v>
      </c>
      <c r="GA83" s="336">
        <f t="shared" si="665"/>
        <v>0</v>
      </c>
      <c r="GB83" s="336">
        <f t="shared" si="666"/>
        <v>0</v>
      </c>
      <c r="GC83" s="336">
        <f t="shared" si="667"/>
        <v>0</v>
      </c>
      <c r="GD83" s="336">
        <f t="shared" si="668"/>
        <v>0</v>
      </c>
      <c r="GE83" s="336">
        <f t="shared" si="669"/>
        <v>0</v>
      </c>
      <c r="GF83" s="336">
        <f t="shared" si="670"/>
        <v>0</v>
      </c>
      <c r="GG83" s="336">
        <f t="shared" si="671"/>
        <v>0</v>
      </c>
      <c r="GH83" s="336">
        <f t="shared" si="672"/>
        <v>0</v>
      </c>
      <c r="GI83" s="336">
        <f t="shared" si="673"/>
        <v>0</v>
      </c>
      <c r="GJ83" s="336">
        <f t="shared" si="674"/>
        <v>0</v>
      </c>
      <c r="GK83" s="336">
        <f t="shared" si="677"/>
        <v>0</v>
      </c>
      <c r="GL83" s="336">
        <f t="shared" si="613"/>
        <v>0</v>
      </c>
      <c r="GM83" s="336">
        <f t="shared" si="675"/>
        <v>0</v>
      </c>
    </row>
    <row r="84" spans="1:195" ht="29.25" customHeight="1">
      <c r="A84" s="388">
        <f t="shared" ref="A84:A93" si="707">1+A83</f>
        <v>53</v>
      </c>
      <c r="B84" s="388" t="s">
        <v>527</v>
      </c>
      <c r="C84" s="388" t="s">
        <v>489</v>
      </c>
      <c r="D84" s="787" t="s">
        <v>1644</v>
      </c>
      <c r="E84" s="502" t="s">
        <v>555</v>
      </c>
      <c r="F84" s="522" t="s">
        <v>29</v>
      </c>
      <c r="G84" s="388" t="s">
        <v>329</v>
      </c>
      <c r="H84" s="583">
        <v>5</v>
      </c>
      <c r="I84" s="388" t="s">
        <v>330</v>
      </c>
      <c r="J84" s="388" t="s">
        <v>357</v>
      </c>
      <c r="K84" s="434">
        <v>230</v>
      </c>
      <c r="L84" s="401">
        <v>0.85</v>
      </c>
      <c r="M84" s="418">
        <v>0.95</v>
      </c>
      <c r="N84" s="392">
        <f t="shared" si="679"/>
        <v>26.921523758244717</v>
      </c>
      <c r="O84" s="392">
        <f t="shared" si="680"/>
        <v>0</v>
      </c>
      <c r="P84" s="401" t="str">
        <f t="shared" si="681"/>
        <v>0.00</v>
      </c>
      <c r="Q84" s="418">
        <v>65</v>
      </c>
      <c r="R84" s="418">
        <v>0</v>
      </c>
      <c r="S84" s="418">
        <f t="shared" si="682"/>
        <v>0</v>
      </c>
      <c r="T84" s="401" t="s">
        <v>131</v>
      </c>
      <c r="U84" s="418" t="s">
        <v>333</v>
      </c>
      <c r="V84" s="401">
        <v>25</v>
      </c>
      <c r="W84" s="401" t="str">
        <f t="shared" si="683"/>
        <v>3C X 25</v>
      </c>
      <c r="X84" s="401" t="str">
        <f t="shared" si="684"/>
        <v>3C X 25</v>
      </c>
      <c r="Y84" s="401" t="s">
        <v>358</v>
      </c>
      <c r="Z84" s="393">
        <f>IF(T84="AIR",VLOOKUP(W84,'Catalogue Aluminium'!$B$9:$G$93,2,FALSE),IF(T84="GROUND",VLOOKUP(W84,'Catalogue Aluminium'!$B$9:$G$93,3,FALSE),IF(T84="DUCT",VLOOKUP(W84,'Catalogue Aluminium'!$B$9:$G$93,4,FALSE),IF(T84="TRENCH",VLOOKUP(W84,'Catalogue Aluminium'!$B$9:$G$93,2,FALSE)))))</f>
        <v>95</v>
      </c>
      <c r="AA84" s="402">
        <f>VLOOKUP(W84,'Catalogue Aluminium'!$B$9:$G$93,5,FALSE)</f>
        <v>1.54</v>
      </c>
      <c r="AB84" s="402">
        <f>VLOOKUP(W84,'Catalogue Aluminium'!$B$9:$G$93,6,FALSE)</f>
        <v>8.1600000000000006E-2</v>
      </c>
      <c r="AC84" s="401">
        <f t="shared" ref="AC84:AC91" si="708">17+3</f>
        <v>20</v>
      </c>
      <c r="AD84" s="401">
        <v>80</v>
      </c>
      <c r="AE84" s="401">
        <v>5</v>
      </c>
      <c r="AF84" s="401">
        <v>8</v>
      </c>
      <c r="AG84" s="401">
        <f t="shared" si="686"/>
        <v>12</v>
      </c>
      <c r="AH84" s="436">
        <v>90</v>
      </c>
      <c r="AI84" s="393">
        <f>IF(T84="AIR",'Catalogue Aluminium'!$K$9,IF(T84="TRENCH",'Catalogue Aluminium'!$K$12,"NA"))</f>
        <v>0.89</v>
      </c>
      <c r="AJ84" s="392">
        <f>IF(T84="Air",(IF(U84="1C",'Catalogue Aluminium'!$L$9,'Catalogue Aluminium'!$M$9)),IF(T84="DUCT",(IF($U84="1C",'Catalogue Aluminium'!$L$10,'Catalogue Aluminium'!$M$10)),IF(T84="GROUND",(IF($U84="1C",'Catalogue Aluminium'!$L$11,'Catalogue Aluminium'!$M$11)),IF(T84="TRENCH",(IF($U84="1C",'Catalogue Aluminium'!$L$12,'Catalogue Aluminium'!$M$12))))))</f>
        <v>0.66</v>
      </c>
      <c r="AK84" s="393" t="str">
        <f>IF(T84="Air",'Catalogue Aluminium'!$N$9,IF(T84="GROUND",'Catalogue Aluminium'!$N$10,IF(T84="DUCT",'Catalogue Aluminium'!$N$11,IF(T84="TRENCH",'Catalogue Aluminium'!$N$12,"NA"))))</f>
        <v>NA</v>
      </c>
      <c r="AL84" s="393" t="str">
        <f>IF(T84="Air",(IF(U84="1C",'Catalogue Aluminium'!$O$9,'Catalogue Aluminium'!$P$9)),IF(T84="DUCT",(IF($U84="1C",'Catalogue Aluminium'!$O$10,'Catalogue Aluminium'!$P$10)),IF(T84="GROUND",(IF($U84="1C",'Catalogue Aluminium'!$O$11,'Catalogue Aluminium'!$P$11)),IF(T84="TRENCH",(IF($U84="1C",'Catalogue Aluminium'!$O$12,'Catalogue Aluminium'!$P$12))))))</f>
        <v>NA</v>
      </c>
      <c r="AM84" s="393" t="str">
        <f>IF(T84="AIR","NA",IF(T84="TRENCH","NA",IF(T84="DUCT",IF(U84="1C",VLOOKUP(V84,'Catalogue Aluminium'!$Q$9:$S$28,2,FALSE),VLOOKUP(V84,'Catalogue Aluminium'!$Q$9:$S$28,3)),IF(T84="GROUND",IF(U84="1C",VLOOKUP(V84,'Catalogue Aluminium'!$Q$9:$S$28,2,FALSE),VLOOKUP(V84,'Catalogue Aluminium'!$Q$9:$S$28,3))))))</f>
        <v>NA</v>
      </c>
      <c r="AN84" s="437">
        <f t="shared" si="687"/>
        <v>0.58740000000000003</v>
      </c>
      <c r="AO84" s="418">
        <f t="shared" si="688"/>
        <v>55.803000000000004</v>
      </c>
      <c r="AP84" s="519">
        <v>1</v>
      </c>
      <c r="AQ84" s="418" t="str">
        <f t="shared" si="690"/>
        <v>YES</v>
      </c>
      <c r="AR84" s="437">
        <f t="shared" si="691"/>
        <v>2.4668739644643609</v>
      </c>
      <c r="AS84" s="401" t="str">
        <f t="shared" si="692"/>
        <v>YES</v>
      </c>
      <c r="AT84" s="437" t="str">
        <f t="shared" si="693"/>
        <v>NA</v>
      </c>
      <c r="AU84" s="401" t="str">
        <f t="shared" si="694"/>
        <v>NA</v>
      </c>
      <c r="AV84" s="503" t="str">
        <f t="shared" si="695"/>
        <v>1R x 0.6/1kV x 3C x 25 Sqmm</v>
      </c>
      <c r="AW84" s="503" t="str">
        <f t="shared" si="696"/>
        <v>1R x 0.6/1kV x 3C x 25 Sqmm</v>
      </c>
      <c r="AX84" s="401">
        <f t="shared" si="697"/>
        <v>90</v>
      </c>
      <c r="AY84" s="504"/>
      <c r="AZ84" s="504">
        <f t="shared" si="698"/>
        <v>2</v>
      </c>
      <c r="BA84" s="438" t="str">
        <f t="shared" si="699"/>
        <v>AB</v>
      </c>
      <c r="BB84" s="505">
        <f>VLOOKUP(W84,'Catalogue Aluminium'!$B$9:$H$93,7,FALSE)</f>
        <v>21</v>
      </c>
      <c r="BC84" s="439">
        <f t="shared" si="700"/>
        <v>21</v>
      </c>
      <c r="BE84" s="336"/>
      <c r="BF84" s="336">
        <v>1</v>
      </c>
      <c r="BG84" s="336">
        <v>1</v>
      </c>
      <c r="BH84" s="336"/>
      <c r="BI84" s="336"/>
      <c r="BJ84" s="336"/>
      <c r="BK84" s="336"/>
      <c r="BL84" s="336"/>
      <c r="BM84" s="336"/>
      <c r="BN84" s="336"/>
      <c r="BO84" s="336"/>
      <c r="BP84" s="336"/>
      <c r="BQ84" s="336"/>
      <c r="BR84" s="336"/>
      <c r="BS84" s="336"/>
      <c r="BT84" s="336"/>
      <c r="BU84" s="336"/>
      <c r="BV84" s="336"/>
      <c r="BW84" s="336"/>
      <c r="BX84" s="336"/>
      <c r="BY84" s="336"/>
      <c r="BZ84" s="336"/>
      <c r="CA84" s="336"/>
      <c r="CB84" s="336"/>
      <c r="CC84" s="336"/>
      <c r="CD84" s="336"/>
      <c r="CE84" s="336"/>
      <c r="CF84" s="336"/>
      <c r="CG84" s="336"/>
      <c r="CH84" s="336"/>
      <c r="CI84" s="336"/>
      <c r="CJ84" s="336"/>
      <c r="CK84" s="336"/>
      <c r="CL84" s="336"/>
      <c r="CM84" s="336"/>
      <c r="CN84" s="336"/>
      <c r="CO84" s="336"/>
      <c r="CP84" s="336"/>
      <c r="CQ84" s="336"/>
      <c r="CR84" s="336"/>
      <c r="CS84" s="336"/>
      <c r="CT84" s="336"/>
      <c r="CU84" s="336"/>
      <c r="CV84" s="336"/>
      <c r="CW84" s="336"/>
      <c r="CX84" s="336"/>
      <c r="CY84" s="336"/>
      <c r="CZ84" s="336"/>
      <c r="DA84" s="336"/>
      <c r="DB84" s="336"/>
      <c r="DC84" s="336"/>
      <c r="DD84" s="336"/>
      <c r="DE84" s="336"/>
      <c r="DF84" s="336"/>
      <c r="DG84" s="336"/>
      <c r="DH84" s="336"/>
      <c r="DI84" s="336"/>
      <c r="DJ84" s="336"/>
      <c r="DK84" s="336"/>
      <c r="DL84" s="336"/>
      <c r="DM84" s="336"/>
      <c r="DN84" s="336"/>
      <c r="DO84" s="336"/>
      <c r="DP84" s="336"/>
      <c r="DQ84" s="336"/>
      <c r="DR84" s="336"/>
      <c r="DS84" s="336"/>
      <c r="DT84" s="336"/>
      <c r="DU84" s="336"/>
      <c r="DW84" s="336">
        <f t="shared" ref="DW84:DW149" si="709">IF(BE84=1,($BC84*BE84),0)</f>
        <v>0</v>
      </c>
      <c r="DX84" s="336">
        <f t="shared" si="701"/>
        <v>21</v>
      </c>
      <c r="DY84" s="336">
        <f t="shared" si="702"/>
        <v>21</v>
      </c>
      <c r="DZ84" s="336">
        <f t="shared" si="703"/>
        <v>0</v>
      </c>
      <c r="EA84" s="336">
        <f t="shared" si="704"/>
        <v>0</v>
      </c>
      <c r="EB84" s="336">
        <f t="shared" si="705"/>
        <v>0</v>
      </c>
      <c r="EC84" s="336">
        <f t="shared" si="706"/>
        <v>0</v>
      </c>
      <c r="ED84" s="336">
        <f t="shared" si="621"/>
        <v>0</v>
      </c>
      <c r="EE84" s="336">
        <f t="shared" si="622"/>
        <v>0</v>
      </c>
      <c r="EF84" s="336">
        <f t="shared" si="623"/>
        <v>0</v>
      </c>
      <c r="EG84" s="336">
        <f t="shared" si="624"/>
        <v>0</v>
      </c>
      <c r="EH84" s="336">
        <f t="shared" si="625"/>
        <v>0</v>
      </c>
      <c r="EI84" s="336">
        <f t="shared" si="626"/>
        <v>0</v>
      </c>
      <c r="EJ84" s="336">
        <f t="shared" si="627"/>
        <v>0</v>
      </c>
      <c r="EK84" s="336">
        <f t="shared" si="628"/>
        <v>0</v>
      </c>
      <c r="EL84" s="336">
        <f t="shared" si="629"/>
        <v>0</v>
      </c>
      <c r="EM84" s="336">
        <f t="shared" si="630"/>
        <v>0</v>
      </c>
      <c r="EN84" s="336">
        <f t="shared" si="631"/>
        <v>0</v>
      </c>
      <c r="EO84" s="336">
        <f t="shared" si="632"/>
        <v>0</v>
      </c>
      <c r="EP84" s="336">
        <f t="shared" si="633"/>
        <v>0</v>
      </c>
      <c r="EQ84" s="336">
        <f t="shared" si="634"/>
        <v>0</v>
      </c>
      <c r="ER84" s="336">
        <f t="shared" si="635"/>
        <v>0</v>
      </c>
      <c r="ES84" s="336">
        <f t="shared" si="636"/>
        <v>0</v>
      </c>
      <c r="ET84" s="336">
        <f t="shared" si="636"/>
        <v>0</v>
      </c>
      <c r="EU84" s="336">
        <f t="shared" si="637"/>
        <v>0</v>
      </c>
      <c r="EV84" s="336">
        <f t="shared" si="638"/>
        <v>0</v>
      </c>
      <c r="EW84" s="336">
        <f t="shared" si="639"/>
        <v>0</v>
      </c>
      <c r="EX84" s="336">
        <f t="shared" si="640"/>
        <v>0</v>
      </c>
      <c r="EY84" s="336">
        <f t="shared" si="641"/>
        <v>0</v>
      </c>
      <c r="EZ84" s="336">
        <f t="shared" si="642"/>
        <v>0</v>
      </c>
      <c r="FA84" s="336">
        <f t="shared" si="643"/>
        <v>0</v>
      </c>
      <c r="FB84" s="336">
        <f t="shared" si="644"/>
        <v>0</v>
      </c>
      <c r="FC84" s="336">
        <f t="shared" si="645"/>
        <v>0</v>
      </c>
      <c r="FD84" s="336">
        <f t="shared" si="646"/>
        <v>0</v>
      </c>
      <c r="FE84" s="336">
        <f t="shared" si="647"/>
        <v>0</v>
      </c>
      <c r="FF84" s="336">
        <f t="shared" si="648"/>
        <v>0</v>
      </c>
      <c r="FG84" s="336">
        <f t="shared" si="649"/>
        <v>0</v>
      </c>
      <c r="FH84" s="336">
        <f t="shared" si="650"/>
        <v>0</v>
      </c>
      <c r="FI84" s="336">
        <f t="shared" si="651"/>
        <v>0</v>
      </c>
      <c r="FJ84" s="336">
        <f t="shared" si="652"/>
        <v>0</v>
      </c>
      <c r="FK84" s="336">
        <f t="shared" si="653"/>
        <v>0</v>
      </c>
      <c r="FL84" s="336">
        <f t="shared" si="654"/>
        <v>0</v>
      </c>
      <c r="FM84" s="336">
        <f t="shared" si="655"/>
        <v>0</v>
      </c>
      <c r="FN84" s="336">
        <f t="shared" si="656"/>
        <v>0</v>
      </c>
      <c r="FO84" s="336">
        <f t="shared" si="657"/>
        <v>0</v>
      </c>
      <c r="FP84" s="336">
        <f t="shared" si="658"/>
        <v>0</v>
      </c>
      <c r="FQ84" s="336">
        <f t="shared" si="659"/>
        <v>0</v>
      </c>
      <c r="FR84" s="336">
        <f t="shared" si="660"/>
        <v>0</v>
      </c>
      <c r="FS84" s="336">
        <f t="shared" si="661"/>
        <v>0</v>
      </c>
      <c r="FT84" s="336">
        <f t="shared" si="662"/>
        <v>0</v>
      </c>
      <c r="FU84" s="336">
        <f t="shared" si="609"/>
        <v>0</v>
      </c>
      <c r="FV84" s="336">
        <f t="shared" si="610"/>
        <v>0</v>
      </c>
      <c r="FW84" s="336">
        <f t="shared" si="611"/>
        <v>0</v>
      </c>
      <c r="FX84" s="336">
        <f t="shared" si="612"/>
        <v>0</v>
      </c>
      <c r="FY84" s="336">
        <f t="shared" si="663"/>
        <v>0</v>
      </c>
      <c r="FZ84" s="336">
        <f t="shared" si="664"/>
        <v>0</v>
      </c>
      <c r="GA84" s="336">
        <f t="shared" si="665"/>
        <v>0</v>
      </c>
      <c r="GB84" s="336">
        <f t="shared" si="666"/>
        <v>0</v>
      </c>
      <c r="GC84" s="336">
        <f t="shared" si="667"/>
        <v>0</v>
      </c>
      <c r="GD84" s="336">
        <f t="shared" si="668"/>
        <v>0</v>
      </c>
      <c r="GE84" s="336">
        <f t="shared" si="669"/>
        <v>0</v>
      </c>
      <c r="GF84" s="336">
        <f t="shared" si="670"/>
        <v>0</v>
      </c>
      <c r="GG84" s="336">
        <f t="shared" si="671"/>
        <v>0</v>
      </c>
      <c r="GH84" s="336">
        <f t="shared" si="672"/>
        <v>0</v>
      </c>
      <c r="GI84" s="336">
        <f t="shared" si="673"/>
        <v>0</v>
      </c>
      <c r="GJ84" s="336">
        <f t="shared" si="674"/>
        <v>0</v>
      </c>
      <c r="GK84" s="336">
        <f t="shared" si="677"/>
        <v>0</v>
      </c>
      <c r="GL84" s="336">
        <f t="shared" si="613"/>
        <v>0</v>
      </c>
      <c r="GM84" s="336">
        <f t="shared" si="675"/>
        <v>0</v>
      </c>
    </row>
    <row r="85" spans="1:195" s="869" customFormat="1" ht="32.25" customHeight="1">
      <c r="A85" s="406">
        <f t="shared" si="707"/>
        <v>54</v>
      </c>
      <c r="B85" s="406" t="s">
        <v>527</v>
      </c>
      <c r="C85" s="406" t="str">
        <f t="shared" ref="C85" si="710">$D$6</f>
        <v>PMCC-1</v>
      </c>
      <c r="D85" s="787" t="s">
        <v>1645</v>
      </c>
      <c r="E85" s="580" t="s">
        <v>555</v>
      </c>
      <c r="F85" s="406" t="s">
        <v>29</v>
      </c>
      <c r="G85" s="406" t="s">
        <v>329</v>
      </c>
      <c r="H85" s="583">
        <v>5</v>
      </c>
      <c r="I85" s="406" t="s">
        <v>330</v>
      </c>
      <c r="J85" s="406" t="s">
        <v>357</v>
      </c>
      <c r="K85" s="585">
        <v>230</v>
      </c>
      <c r="L85" s="409">
        <v>0.85</v>
      </c>
      <c r="M85" s="583">
        <v>0.95</v>
      </c>
      <c r="N85" s="407">
        <f t="shared" si="679"/>
        <v>26.921523758244717</v>
      </c>
      <c r="O85" s="407">
        <f t="shared" si="680"/>
        <v>0</v>
      </c>
      <c r="P85" s="409" t="str">
        <f t="shared" si="681"/>
        <v>0.00</v>
      </c>
      <c r="Q85" s="583">
        <v>65</v>
      </c>
      <c r="R85" s="583">
        <v>0</v>
      </c>
      <c r="S85" s="583">
        <f t="shared" si="682"/>
        <v>0</v>
      </c>
      <c r="T85" s="409" t="s">
        <v>131</v>
      </c>
      <c r="U85" s="583" t="s">
        <v>333</v>
      </c>
      <c r="V85" s="409">
        <v>25</v>
      </c>
      <c r="W85" s="409" t="str">
        <f t="shared" si="683"/>
        <v>3C X 25</v>
      </c>
      <c r="X85" s="409" t="str">
        <f t="shared" si="684"/>
        <v>3C X 25</v>
      </c>
      <c r="Y85" s="409" t="s">
        <v>358</v>
      </c>
      <c r="Z85" s="408">
        <f>IF(T85="AIR",VLOOKUP(W85,'Catalogue Aluminium'!$B$9:$G$93,2,FALSE),IF(T85="GROUND",VLOOKUP(W85,'Catalogue Aluminium'!$B$9:$G$93,3,FALSE),IF(T85="DUCT",VLOOKUP(W85,'Catalogue Aluminium'!$B$9:$G$93,4,FALSE),IF(T85="TRENCH",VLOOKUP(W85,'Catalogue Aluminium'!$B$9:$G$93,2,FALSE)))))</f>
        <v>95</v>
      </c>
      <c r="AA85" s="410">
        <f>VLOOKUP(W85,'Catalogue Aluminium'!$B$9:$G$93,5,FALSE)</f>
        <v>1.54</v>
      </c>
      <c r="AB85" s="410">
        <f>VLOOKUP(W85,'Catalogue Aluminium'!$B$9:$G$93,6,FALSE)</f>
        <v>8.1600000000000006E-2</v>
      </c>
      <c r="AC85" s="409">
        <f t="shared" si="708"/>
        <v>20</v>
      </c>
      <c r="AD85" s="409">
        <v>80</v>
      </c>
      <c r="AE85" s="409">
        <v>5</v>
      </c>
      <c r="AF85" s="409">
        <v>8</v>
      </c>
      <c r="AG85" s="409">
        <f t="shared" si="686"/>
        <v>12</v>
      </c>
      <c r="AH85" s="865">
        <v>90</v>
      </c>
      <c r="AI85" s="408">
        <f>IF(T85="AIR",'Catalogue Aluminium'!$K$9,IF(T85="TRENCH",'Catalogue Aluminium'!$K$12,"NA"))</f>
        <v>0.89</v>
      </c>
      <c r="AJ85" s="407">
        <f>IF(T85="Air",(IF(U85="1C",'Catalogue Aluminium'!$L$9,'Catalogue Aluminium'!$M$9)),IF(T85="DUCT",(IF($U85="1C",'Catalogue Aluminium'!$L$10,'Catalogue Aluminium'!$M$10)),IF(T85="GROUND",(IF($U85="1C",'Catalogue Aluminium'!$L$11,'Catalogue Aluminium'!$M$11)),IF(T85="TRENCH",(IF($U85="1C",'Catalogue Aluminium'!$L$12,'Catalogue Aluminium'!$M$12))))))</f>
        <v>0.66</v>
      </c>
      <c r="AK85" s="408" t="str">
        <f>IF(T85="Air",'Catalogue Aluminium'!$N$9,IF(T85="GROUND",'Catalogue Aluminium'!$N$10,IF(T85="DUCT",'Catalogue Aluminium'!$N$11,IF(T85="TRENCH",'Catalogue Aluminium'!$N$12,"NA"))))</f>
        <v>NA</v>
      </c>
      <c r="AL85" s="408" t="str">
        <f>IF(T85="Air",(IF(U85="1C",'Catalogue Aluminium'!$O$9,'Catalogue Aluminium'!$P$9)),IF(T85="DUCT",(IF($U85="1C",'Catalogue Aluminium'!$O$10,'Catalogue Aluminium'!$P$10)),IF(T85="GROUND",(IF($U85="1C",'Catalogue Aluminium'!$O$11,'Catalogue Aluminium'!$P$11)),IF(T85="TRENCH",(IF($U85="1C",'Catalogue Aluminium'!$O$12,'Catalogue Aluminium'!$P$12))))))</f>
        <v>NA</v>
      </c>
      <c r="AM85" s="408" t="str">
        <f>IF(T85="AIR","NA",IF(T85="TRENCH","NA",IF(T85="DUCT",IF(U85="1C",VLOOKUP(V85,'Catalogue Aluminium'!$Q$9:$S$28,2,FALSE),VLOOKUP(V85,'Catalogue Aluminium'!$Q$9:$S$28,3)),IF(T85="GROUND",IF(U85="1C",VLOOKUP(V85,'Catalogue Aluminium'!$Q$9:$S$28,2,FALSE),VLOOKUP(V85,'Catalogue Aluminium'!$Q$9:$S$28,3))))))</f>
        <v>NA</v>
      </c>
      <c r="AN85" s="584">
        <f t="shared" si="687"/>
        <v>0.58740000000000003</v>
      </c>
      <c r="AO85" s="583">
        <f t="shared" si="688"/>
        <v>55.803000000000004</v>
      </c>
      <c r="AP85" s="891">
        <v>1</v>
      </c>
      <c r="AQ85" s="583" t="str">
        <f t="shared" si="690"/>
        <v>YES</v>
      </c>
      <c r="AR85" s="584">
        <f t="shared" si="691"/>
        <v>2.4668739644643609</v>
      </c>
      <c r="AS85" s="409" t="str">
        <f t="shared" si="692"/>
        <v>YES</v>
      </c>
      <c r="AT85" s="584" t="str">
        <f>IF(G85="MOTOR",(SQRT(3)*AH85*O85*((AA85*P85)+(AB85*SIN(ACOS(P85))))*100/(AP85*K85*1000)),"NA")</f>
        <v>NA</v>
      </c>
      <c r="AU85" s="409" t="str">
        <f t="shared" si="694"/>
        <v>NA</v>
      </c>
      <c r="AV85" s="586" t="str">
        <f t="shared" si="695"/>
        <v>1R x 0.6/1kV x 3C x 25 Sqmm</v>
      </c>
      <c r="AW85" s="586" t="str">
        <f t="shared" si="696"/>
        <v>1R x 0.6/1kV x 3C x 25 Sqmm</v>
      </c>
      <c r="AX85" s="409">
        <f>(IF(K85=400,(IF(U85="1C",(4*AH85*AP85),(AH85*AP85))),IF(K85=230,(AH85*AP85))))</f>
        <v>90</v>
      </c>
      <c r="AY85" s="866"/>
      <c r="AZ85" s="866">
        <f>IF(U85="1C",(3*AP85*2),(AP85*2))</f>
        <v>2</v>
      </c>
      <c r="BA85" s="867" t="str">
        <f t="shared" si="699"/>
        <v>ACDEE1E2E3</v>
      </c>
      <c r="BB85" s="868">
        <f>VLOOKUP(W85,'Catalogue Aluminium'!$B$9:$H$93,7,FALSE)</f>
        <v>21</v>
      </c>
      <c r="BC85" s="789">
        <f>AP85*BB85</f>
        <v>21</v>
      </c>
      <c r="BE85" s="587"/>
      <c r="BF85" s="587">
        <v>1</v>
      </c>
      <c r="BG85" s="587"/>
      <c r="BH85" s="587"/>
      <c r="BI85" s="587">
        <v>1</v>
      </c>
      <c r="BJ85" s="587">
        <v>1</v>
      </c>
      <c r="BK85" s="587"/>
      <c r="BL85" s="587"/>
      <c r="BM85" s="587"/>
      <c r="BN85" s="587">
        <v>1</v>
      </c>
      <c r="BO85" s="587"/>
      <c r="BP85" s="587">
        <v>1</v>
      </c>
      <c r="BQ85" s="587">
        <v>1</v>
      </c>
      <c r="BR85" s="587">
        <v>1</v>
      </c>
      <c r="BS85" s="587"/>
      <c r="BT85" s="587"/>
      <c r="BU85" s="587"/>
      <c r="BV85" s="587"/>
      <c r="BW85" s="587"/>
      <c r="BX85" s="587"/>
      <c r="BY85" s="587"/>
      <c r="BZ85" s="587"/>
      <c r="CA85" s="587"/>
      <c r="CB85" s="587"/>
      <c r="CC85" s="587"/>
      <c r="CD85" s="587"/>
      <c r="CE85" s="587"/>
      <c r="CF85" s="587"/>
      <c r="CG85" s="587"/>
      <c r="CH85" s="587"/>
      <c r="CI85" s="587"/>
      <c r="CJ85" s="587"/>
      <c r="CK85" s="587"/>
      <c r="CL85" s="587"/>
      <c r="CM85" s="587"/>
      <c r="CN85" s="587"/>
      <c r="CO85" s="587"/>
      <c r="CP85" s="587"/>
      <c r="CQ85" s="587"/>
      <c r="CR85" s="587"/>
      <c r="CS85" s="587"/>
      <c r="CT85" s="587"/>
      <c r="CU85" s="587"/>
      <c r="CV85" s="587"/>
      <c r="CW85" s="587"/>
      <c r="CX85" s="587"/>
      <c r="CY85" s="587"/>
      <c r="CZ85" s="587"/>
      <c r="DA85" s="587"/>
      <c r="DB85" s="587"/>
      <c r="DC85" s="587"/>
      <c r="DD85" s="587"/>
      <c r="DE85" s="587"/>
      <c r="DF85" s="587"/>
      <c r="DG85" s="587"/>
      <c r="DH85" s="587"/>
      <c r="DI85" s="587"/>
      <c r="DJ85" s="587"/>
      <c r="DK85" s="587"/>
      <c r="DL85" s="587"/>
      <c r="DM85" s="587"/>
      <c r="DN85" s="587"/>
      <c r="DO85" s="587"/>
      <c r="DP85" s="587"/>
      <c r="DQ85" s="587"/>
      <c r="DR85" s="587"/>
      <c r="DS85" s="587"/>
      <c r="DT85" s="587"/>
      <c r="DU85" s="587"/>
      <c r="DW85" s="587">
        <f t="shared" si="709"/>
        <v>0</v>
      </c>
      <c r="DX85" s="587">
        <f t="shared" si="701"/>
        <v>21</v>
      </c>
      <c r="DY85" s="587">
        <f t="shared" si="702"/>
        <v>0</v>
      </c>
      <c r="DZ85" s="587">
        <f t="shared" si="703"/>
        <v>0</v>
      </c>
      <c r="EA85" s="587">
        <f t="shared" si="704"/>
        <v>21</v>
      </c>
      <c r="EB85" s="587">
        <f t="shared" si="705"/>
        <v>21</v>
      </c>
      <c r="EC85" s="587">
        <f t="shared" si="706"/>
        <v>0</v>
      </c>
      <c r="ED85" s="587">
        <f t="shared" si="621"/>
        <v>0</v>
      </c>
      <c r="EE85" s="587">
        <f t="shared" si="622"/>
        <v>0</v>
      </c>
      <c r="EF85" s="587">
        <f t="shared" si="623"/>
        <v>21</v>
      </c>
      <c r="EG85" s="587">
        <f t="shared" si="624"/>
        <v>0</v>
      </c>
      <c r="EH85" s="587">
        <f t="shared" si="625"/>
        <v>21</v>
      </c>
      <c r="EI85" s="587">
        <f t="shared" si="626"/>
        <v>21</v>
      </c>
      <c r="EJ85" s="587">
        <f t="shared" si="627"/>
        <v>21</v>
      </c>
      <c r="EK85" s="587">
        <f t="shared" si="628"/>
        <v>0</v>
      </c>
      <c r="EL85" s="587">
        <f t="shared" si="629"/>
        <v>0</v>
      </c>
      <c r="EM85" s="587">
        <f t="shared" si="630"/>
        <v>0</v>
      </c>
      <c r="EN85" s="587">
        <f t="shared" si="631"/>
        <v>0</v>
      </c>
      <c r="EO85" s="587">
        <f t="shared" si="632"/>
        <v>0</v>
      </c>
      <c r="EP85" s="587">
        <f t="shared" si="633"/>
        <v>0</v>
      </c>
      <c r="EQ85" s="587">
        <f t="shared" si="634"/>
        <v>0</v>
      </c>
      <c r="ER85" s="587">
        <f t="shared" si="635"/>
        <v>0</v>
      </c>
      <c r="ES85" s="587">
        <f t="shared" si="636"/>
        <v>0</v>
      </c>
      <c r="ET85" s="587">
        <f t="shared" si="636"/>
        <v>0</v>
      </c>
      <c r="EU85" s="587">
        <f t="shared" si="637"/>
        <v>0</v>
      </c>
      <c r="EV85" s="587">
        <f t="shared" si="638"/>
        <v>0</v>
      </c>
      <c r="EW85" s="587">
        <f t="shared" si="639"/>
        <v>0</v>
      </c>
      <c r="EX85" s="587">
        <f t="shared" si="640"/>
        <v>0</v>
      </c>
      <c r="EY85" s="587">
        <f t="shared" si="641"/>
        <v>0</v>
      </c>
      <c r="EZ85" s="587">
        <f t="shared" si="642"/>
        <v>0</v>
      </c>
      <c r="FA85" s="587">
        <f t="shared" si="643"/>
        <v>0</v>
      </c>
      <c r="FB85" s="587">
        <f t="shared" si="644"/>
        <v>0</v>
      </c>
      <c r="FC85" s="587">
        <f t="shared" si="645"/>
        <v>0</v>
      </c>
      <c r="FD85" s="587">
        <f t="shared" si="646"/>
        <v>0</v>
      </c>
      <c r="FE85" s="587">
        <f t="shared" si="647"/>
        <v>0</v>
      </c>
      <c r="FF85" s="587">
        <f t="shared" si="648"/>
        <v>0</v>
      </c>
      <c r="FG85" s="587">
        <f t="shared" si="649"/>
        <v>0</v>
      </c>
      <c r="FH85" s="587">
        <f t="shared" si="650"/>
        <v>0</v>
      </c>
      <c r="FI85" s="587">
        <f t="shared" si="651"/>
        <v>0</v>
      </c>
      <c r="FJ85" s="587">
        <f t="shared" si="652"/>
        <v>0</v>
      </c>
      <c r="FK85" s="587">
        <f t="shared" si="653"/>
        <v>0</v>
      </c>
      <c r="FL85" s="587">
        <f t="shared" si="654"/>
        <v>0</v>
      </c>
      <c r="FM85" s="587">
        <f t="shared" si="655"/>
        <v>0</v>
      </c>
      <c r="FN85" s="587">
        <f t="shared" si="656"/>
        <v>0</v>
      </c>
      <c r="FO85" s="587">
        <f t="shared" si="657"/>
        <v>0</v>
      </c>
      <c r="FP85" s="587">
        <f t="shared" si="658"/>
        <v>0</v>
      </c>
      <c r="FQ85" s="587">
        <f t="shared" si="659"/>
        <v>0</v>
      </c>
      <c r="FR85" s="587">
        <f t="shared" si="660"/>
        <v>0</v>
      </c>
      <c r="FS85" s="587">
        <f t="shared" si="661"/>
        <v>0</v>
      </c>
      <c r="FT85" s="587">
        <f t="shared" si="662"/>
        <v>0</v>
      </c>
      <c r="FU85" s="587">
        <f t="shared" si="609"/>
        <v>0</v>
      </c>
      <c r="FV85" s="587">
        <f t="shared" si="610"/>
        <v>0</v>
      </c>
      <c r="FW85" s="587">
        <f t="shared" si="611"/>
        <v>0</v>
      </c>
      <c r="FX85" s="587">
        <f t="shared" si="612"/>
        <v>0</v>
      </c>
      <c r="FY85" s="587">
        <f t="shared" si="663"/>
        <v>0</v>
      </c>
      <c r="FZ85" s="587">
        <f t="shared" si="664"/>
        <v>0</v>
      </c>
      <c r="GA85" s="587">
        <f t="shared" si="665"/>
        <v>0</v>
      </c>
      <c r="GB85" s="587">
        <f t="shared" si="666"/>
        <v>0</v>
      </c>
      <c r="GC85" s="587">
        <f t="shared" si="667"/>
        <v>0</v>
      </c>
      <c r="GD85" s="587">
        <f t="shared" si="668"/>
        <v>0</v>
      </c>
      <c r="GE85" s="587">
        <f t="shared" si="669"/>
        <v>0</v>
      </c>
      <c r="GF85" s="587">
        <f t="shared" si="670"/>
        <v>0</v>
      </c>
      <c r="GG85" s="587">
        <f t="shared" si="671"/>
        <v>0</v>
      </c>
      <c r="GH85" s="587">
        <f t="shared" si="672"/>
        <v>0</v>
      </c>
      <c r="GI85" s="587">
        <f t="shared" si="673"/>
        <v>0</v>
      </c>
      <c r="GJ85" s="587">
        <f t="shared" si="674"/>
        <v>0</v>
      </c>
      <c r="GK85" s="587">
        <f t="shared" si="677"/>
        <v>0</v>
      </c>
      <c r="GL85" s="587">
        <f t="shared" si="613"/>
        <v>0</v>
      </c>
      <c r="GM85" s="587">
        <f t="shared" si="675"/>
        <v>0</v>
      </c>
    </row>
    <row r="86" spans="1:195" ht="26.25" customHeight="1">
      <c r="A86" s="388">
        <f>1+A85</f>
        <v>55</v>
      </c>
      <c r="B86" s="388" t="s">
        <v>527</v>
      </c>
      <c r="C86" s="388" t="s">
        <v>489</v>
      </c>
      <c r="D86" s="338" t="s">
        <v>569</v>
      </c>
      <c r="E86" s="502" t="s">
        <v>555</v>
      </c>
      <c r="F86" s="522" t="s">
        <v>28</v>
      </c>
      <c r="G86" s="388" t="s">
        <v>329</v>
      </c>
      <c r="H86" s="418">
        <v>1</v>
      </c>
      <c r="I86" s="388" t="s">
        <v>330</v>
      </c>
      <c r="J86" s="388" t="s">
        <v>357</v>
      </c>
      <c r="K86" s="434">
        <v>230</v>
      </c>
      <c r="L86" s="401">
        <v>0.85</v>
      </c>
      <c r="M86" s="418">
        <v>0.95</v>
      </c>
      <c r="N86" s="392">
        <f t="shared" si="679"/>
        <v>5.3843047516489433</v>
      </c>
      <c r="O86" s="392">
        <f t="shared" si="680"/>
        <v>0</v>
      </c>
      <c r="P86" s="401" t="str">
        <f t="shared" si="681"/>
        <v>0.00</v>
      </c>
      <c r="Q86" s="418">
        <v>65</v>
      </c>
      <c r="R86" s="418">
        <v>0</v>
      </c>
      <c r="S86" s="418">
        <f t="shared" si="682"/>
        <v>0</v>
      </c>
      <c r="T86" s="401" t="s">
        <v>131</v>
      </c>
      <c r="U86" s="418" t="s">
        <v>333</v>
      </c>
      <c r="V86" s="401">
        <v>6</v>
      </c>
      <c r="W86" s="401" t="str">
        <f t="shared" si="683"/>
        <v>3C X 6</v>
      </c>
      <c r="X86" s="401" t="str">
        <f t="shared" si="684"/>
        <v>3C X 6</v>
      </c>
      <c r="Y86" s="401" t="s">
        <v>358</v>
      </c>
      <c r="Z86" s="393">
        <f>IF(T86="AIR",VLOOKUP(W86,'Catalogue Aluminium'!$B$9:$G$93,2,FALSE),IF(T86="GROUND",VLOOKUP(W86,'Catalogue Aluminium'!$B$9:$G$93,3,FALSE),IF(T86="DUCT",VLOOKUP(W86,'Catalogue Aluminium'!$B$9:$G$93,4,FALSE),IF(T86="TRENCH",VLOOKUP(W86,'Catalogue Aluminium'!$B$9:$G$93,2,FALSE)))))</f>
        <v>51</v>
      </c>
      <c r="AA86" s="402">
        <f>VLOOKUP(W86,'Catalogue Aluminium'!$B$9:$G$93,5,FALSE)</f>
        <v>3.94</v>
      </c>
      <c r="AB86" s="402">
        <f>VLOOKUP(W86,'Catalogue Aluminium'!$B$9:$G$93,6,FALSE)</f>
        <v>9.0200000000000002E-2</v>
      </c>
      <c r="AC86" s="401">
        <f>26+3</f>
        <v>29</v>
      </c>
      <c r="AD86" s="401">
        <v>80</v>
      </c>
      <c r="AE86" s="401">
        <v>5</v>
      </c>
      <c r="AF86" s="401">
        <v>8</v>
      </c>
      <c r="AG86" s="401">
        <f t="shared" si="686"/>
        <v>13</v>
      </c>
      <c r="AH86" s="436">
        <f t="shared" ref="AH86:AH92" si="711">SUM(AC86:AG86)</f>
        <v>135</v>
      </c>
      <c r="AI86" s="393">
        <f>IF(T86="AIR",'Catalogue Aluminium'!$K$9,IF(T86="TRENCH",'Catalogue Aluminium'!$K$12,"NA"))</f>
        <v>0.89</v>
      </c>
      <c r="AJ86" s="392">
        <f>IF(T86="Air",(IF(U86="1C",'Catalogue Aluminium'!$L$9,'Catalogue Aluminium'!$M$9)),IF(T86="DUCT",(IF($U86="1C",'Catalogue Aluminium'!$L$10,'Catalogue Aluminium'!$M$10)),IF(T86="GROUND",(IF($U86="1C",'Catalogue Aluminium'!$L$11,'Catalogue Aluminium'!$M$11)),IF(T86="TRENCH",(IF($U86="1C",'Catalogue Aluminium'!$L$12,'Catalogue Aluminium'!$M$12))))))</f>
        <v>0.66</v>
      </c>
      <c r="AK86" s="393" t="str">
        <f>IF(T86="Air",'Catalogue Aluminium'!$N$9,IF(T86="GROUND",'Catalogue Aluminium'!$N$10,IF(T86="DUCT",'Catalogue Aluminium'!$N$11,IF(T86="TRENCH",'Catalogue Aluminium'!$N$12,"NA"))))</f>
        <v>NA</v>
      </c>
      <c r="AL86" s="393" t="str">
        <f>IF(T86="Air",(IF(U86="1C",'Catalogue Aluminium'!$O$9,'Catalogue Aluminium'!$P$9)),IF(T86="DUCT",(IF($U86="1C",'Catalogue Aluminium'!$O$10,'Catalogue Aluminium'!$P$10)),IF(T86="GROUND",(IF($U86="1C",'Catalogue Aluminium'!$O$11,'Catalogue Aluminium'!$P$11)),IF(T86="TRENCH",(IF($U86="1C",'Catalogue Aluminium'!$O$12,'Catalogue Aluminium'!$P$12))))))</f>
        <v>NA</v>
      </c>
      <c r="AM86" s="393" t="str">
        <f>IF(T86="AIR","NA",IF(T86="TRENCH","NA",IF(T86="DUCT",IF(U86="1C",VLOOKUP(V86,'Catalogue Aluminium'!$Q$9:$S$28,2,FALSE),VLOOKUP(V86,'Catalogue Aluminium'!$Q$9:$S$28,3)),IF(T86="GROUND",IF(U86="1C",VLOOKUP(V86,'Catalogue Aluminium'!$Q$9:$S$28,2,FALSE),VLOOKUP(V86,'Catalogue Aluminium'!$Q$9:$S$28,3))))))</f>
        <v>NA</v>
      </c>
      <c r="AN86" s="437">
        <f t="shared" si="687"/>
        <v>0.58740000000000003</v>
      </c>
      <c r="AO86" s="418">
        <f t="shared" si="688"/>
        <v>29.957400000000003</v>
      </c>
      <c r="AP86" s="434">
        <f t="shared" si="689"/>
        <v>1</v>
      </c>
      <c r="AQ86" s="418" t="str">
        <f t="shared" si="690"/>
        <v>YES</v>
      </c>
      <c r="AR86" s="437">
        <f t="shared" si="691"/>
        <v>1.8592159299659248</v>
      </c>
      <c r="AS86" s="401" t="str">
        <f t="shared" si="692"/>
        <v>YES</v>
      </c>
      <c r="AT86" s="437" t="str">
        <f t="shared" si="693"/>
        <v>NA</v>
      </c>
      <c r="AU86" s="401" t="str">
        <f t="shared" si="694"/>
        <v>NA</v>
      </c>
      <c r="AV86" s="503" t="str">
        <f t="shared" si="695"/>
        <v>1R x 0.6/1kV x 3C x 6 Sqmm</v>
      </c>
      <c r="AW86" s="503" t="str">
        <f t="shared" si="696"/>
        <v>1R x 0.6/1kV x 3C x 6 Sqmm</v>
      </c>
      <c r="AX86" s="401">
        <f t="shared" si="697"/>
        <v>135</v>
      </c>
      <c r="AY86" s="504"/>
      <c r="AZ86" s="504">
        <f t="shared" si="698"/>
        <v>2</v>
      </c>
      <c r="BA86" s="438" t="str">
        <f t="shared" si="699"/>
        <v>AB</v>
      </c>
      <c r="BB86" s="505">
        <f>VLOOKUP(W86,'Catalogue Aluminium'!$B$9:$H$93,7,FALSE)</f>
        <v>16</v>
      </c>
      <c r="BC86" s="439">
        <f t="shared" si="700"/>
        <v>16</v>
      </c>
      <c r="BE86" s="336"/>
      <c r="BF86" s="336">
        <v>1</v>
      </c>
      <c r="BG86" s="336">
        <v>1</v>
      </c>
      <c r="BH86" s="336"/>
      <c r="BI86" s="336"/>
      <c r="BJ86" s="336"/>
      <c r="BK86" s="336"/>
      <c r="BL86" s="336"/>
      <c r="BM86" s="336"/>
      <c r="BN86" s="336"/>
      <c r="BO86" s="336"/>
      <c r="BP86" s="336"/>
      <c r="BQ86" s="336"/>
      <c r="BR86" s="336"/>
      <c r="BS86" s="336"/>
      <c r="BT86" s="336"/>
      <c r="BU86" s="336"/>
      <c r="BV86" s="336"/>
      <c r="BW86" s="336"/>
      <c r="BX86" s="336"/>
      <c r="BY86" s="336"/>
      <c r="BZ86" s="336"/>
      <c r="CA86" s="336"/>
      <c r="CB86" s="336"/>
      <c r="CC86" s="336"/>
      <c r="CD86" s="336"/>
      <c r="CE86" s="336"/>
      <c r="CF86" s="336"/>
      <c r="CG86" s="336"/>
      <c r="CH86" s="336"/>
      <c r="CI86" s="336"/>
      <c r="CJ86" s="336"/>
      <c r="CK86" s="336"/>
      <c r="CL86" s="336"/>
      <c r="CM86" s="336"/>
      <c r="CN86" s="336"/>
      <c r="CO86" s="336"/>
      <c r="CP86" s="336"/>
      <c r="CQ86" s="336"/>
      <c r="CR86" s="336"/>
      <c r="CS86" s="336"/>
      <c r="CT86" s="336"/>
      <c r="CU86" s="336"/>
      <c r="CV86" s="336"/>
      <c r="CW86" s="336"/>
      <c r="CX86" s="336"/>
      <c r="CY86" s="336"/>
      <c r="CZ86" s="336"/>
      <c r="DA86" s="336"/>
      <c r="DB86" s="336"/>
      <c r="DC86" s="336"/>
      <c r="DD86" s="336"/>
      <c r="DE86" s="336"/>
      <c r="DF86" s="336"/>
      <c r="DG86" s="336"/>
      <c r="DH86" s="336"/>
      <c r="DI86" s="336"/>
      <c r="DJ86" s="336"/>
      <c r="DK86" s="336"/>
      <c r="DL86" s="336"/>
      <c r="DM86" s="336"/>
      <c r="DN86" s="336"/>
      <c r="DO86" s="336"/>
      <c r="DP86" s="336"/>
      <c r="DQ86" s="336"/>
      <c r="DR86" s="336"/>
      <c r="DS86" s="336"/>
      <c r="DT86" s="336"/>
      <c r="DU86" s="336"/>
      <c r="DW86" s="336">
        <f t="shared" si="709"/>
        <v>0</v>
      </c>
      <c r="DX86" s="336">
        <f t="shared" si="701"/>
        <v>16</v>
      </c>
      <c r="DY86" s="336">
        <f t="shared" si="702"/>
        <v>16</v>
      </c>
      <c r="DZ86" s="336">
        <f t="shared" si="703"/>
        <v>0</v>
      </c>
      <c r="EA86" s="336">
        <f t="shared" si="704"/>
        <v>0</v>
      </c>
      <c r="EB86" s="336">
        <f t="shared" si="705"/>
        <v>0</v>
      </c>
      <c r="EC86" s="336">
        <f t="shared" si="706"/>
        <v>0</v>
      </c>
      <c r="ED86" s="336">
        <f t="shared" si="621"/>
        <v>0</v>
      </c>
      <c r="EE86" s="336">
        <f t="shared" si="622"/>
        <v>0</v>
      </c>
      <c r="EF86" s="336">
        <f t="shared" si="623"/>
        <v>0</v>
      </c>
      <c r="EG86" s="336">
        <f t="shared" si="624"/>
        <v>0</v>
      </c>
      <c r="EH86" s="336">
        <f t="shared" si="625"/>
        <v>0</v>
      </c>
      <c r="EI86" s="336">
        <f t="shared" si="626"/>
        <v>0</v>
      </c>
      <c r="EJ86" s="336">
        <f t="shared" si="627"/>
        <v>0</v>
      </c>
      <c r="EK86" s="336">
        <f t="shared" si="628"/>
        <v>0</v>
      </c>
      <c r="EL86" s="336">
        <f t="shared" si="629"/>
        <v>0</v>
      </c>
      <c r="EM86" s="336">
        <f t="shared" si="630"/>
        <v>0</v>
      </c>
      <c r="EN86" s="336">
        <f t="shared" si="631"/>
        <v>0</v>
      </c>
      <c r="EO86" s="336">
        <f t="shared" si="632"/>
        <v>0</v>
      </c>
      <c r="EP86" s="336">
        <f t="shared" si="633"/>
        <v>0</v>
      </c>
      <c r="EQ86" s="336">
        <f t="shared" si="634"/>
        <v>0</v>
      </c>
      <c r="ER86" s="336">
        <f t="shared" si="635"/>
        <v>0</v>
      </c>
      <c r="ES86" s="336">
        <f t="shared" si="636"/>
        <v>0</v>
      </c>
      <c r="ET86" s="336">
        <f t="shared" si="636"/>
        <v>0</v>
      </c>
      <c r="EU86" s="336">
        <f t="shared" si="637"/>
        <v>0</v>
      </c>
      <c r="EV86" s="336">
        <f t="shared" si="638"/>
        <v>0</v>
      </c>
      <c r="EW86" s="336">
        <f t="shared" si="639"/>
        <v>0</v>
      </c>
      <c r="EX86" s="336">
        <f t="shared" si="640"/>
        <v>0</v>
      </c>
      <c r="EY86" s="336">
        <f t="shared" si="641"/>
        <v>0</v>
      </c>
      <c r="EZ86" s="336">
        <f t="shared" si="642"/>
        <v>0</v>
      </c>
      <c r="FA86" s="336">
        <f t="shared" si="643"/>
        <v>0</v>
      </c>
      <c r="FB86" s="336">
        <f t="shared" si="644"/>
        <v>0</v>
      </c>
      <c r="FC86" s="336">
        <f t="shared" si="645"/>
        <v>0</v>
      </c>
      <c r="FD86" s="336">
        <f t="shared" si="646"/>
        <v>0</v>
      </c>
      <c r="FE86" s="336">
        <f t="shared" si="647"/>
        <v>0</v>
      </c>
      <c r="FF86" s="336">
        <f t="shared" si="648"/>
        <v>0</v>
      </c>
      <c r="FG86" s="336">
        <f t="shared" si="649"/>
        <v>0</v>
      </c>
      <c r="FH86" s="336">
        <f t="shared" si="650"/>
        <v>0</v>
      </c>
      <c r="FI86" s="336">
        <f t="shared" si="651"/>
        <v>0</v>
      </c>
      <c r="FJ86" s="336">
        <f t="shared" si="652"/>
        <v>0</v>
      </c>
      <c r="FK86" s="336">
        <f t="shared" si="653"/>
        <v>0</v>
      </c>
      <c r="FL86" s="336">
        <f t="shared" si="654"/>
        <v>0</v>
      </c>
      <c r="FM86" s="336">
        <f t="shared" si="655"/>
        <v>0</v>
      </c>
      <c r="FN86" s="336">
        <f t="shared" si="656"/>
        <v>0</v>
      </c>
      <c r="FO86" s="336">
        <f t="shared" si="657"/>
        <v>0</v>
      </c>
      <c r="FP86" s="336">
        <f t="shared" si="658"/>
        <v>0</v>
      </c>
      <c r="FQ86" s="336">
        <f t="shared" si="659"/>
        <v>0</v>
      </c>
      <c r="FR86" s="336">
        <f t="shared" si="660"/>
        <v>0</v>
      </c>
      <c r="FS86" s="336">
        <f t="shared" si="661"/>
        <v>0</v>
      </c>
      <c r="FT86" s="336">
        <f t="shared" si="662"/>
        <v>0</v>
      </c>
      <c r="FU86" s="336">
        <f t="shared" si="609"/>
        <v>0</v>
      </c>
      <c r="FV86" s="336">
        <f t="shared" si="610"/>
        <v>0</v>
      </c>
      <c r="FW86" s="336">
        <f t="shared" si="611"/>
        <v>0</v>
      </c>
      <c r="FX86" s="336">
        <f t="shared" si="612"/>
        <v>0</v>
      </c>
      <c r="FY86" s="336">
        <f t="shared" si="663"/>
        <v>0</v>
      </c>
      <c r="FZ86" s="336">
        <f t="shared" si="664"/>
        <v>0</v>
      </c>
      <c r="GA86" s="336">
        <f t="shared" si="665"/>
        <v>0</v>
      </c>
      <c r="GB86" s="336">
        <f t="shared" si="666"/>
        <v>0</v>
      </c>
      <c r="GC86" s="336">
        <f t="shared" si="667"/>
        <v>0</v>
      </c>
      <c r="GD86" s="336">
        <f t="shared" si="668"/>
        <v>0</v>
      </c>
      <c r="GE86" s="336">
        <f t="shared" si="669"/>
        <v>0</v>
      </c>
      <c r="GF86" s="336">
        <f t="shared" si="670"/>
        <v>0</v>
      </c>
      <c r="GG86" s="336">
        <f t="shared" si="671"/>
        <v>0</v>
      </c>
      <c r="GH86" s="336">
        <f t="shared" si="672"/>
        <v>0</v>
      </c>
      <c r="GI86" s="336">
        <f t="shared" si="673"/>
        <v>0</v>
      </c>
      <c r="GJ86" s="336">
        <f t="shared" si="674"/>
        <v>0</v>
      </c>
      <c r="GK86" s="336">
        <f t="shared" si="677"/>
        <v>0</v>
      </c>
      <c r="GL86" s="336">
        <f t="shared" si="613"/>
        <v>0</v>
      </c>
      <c r="GM86" s="336">
        <f t="shared" si="675"/>
        <v>0</v>
      </c>
    </row>
    <row r="87" spans="1:195" ht="20.100000000000001" customHeight="1">
      <c r="A87" s="388">
        <f t="shared" si="707"/>
        <v>56</v>
      </c>
      <c r="B87" s="406" t="s">
        <v>1648</v>
      </c>
      <c r="C87" s="388" t="s">
        <v>489</v>
      </c>
      <c r="D87" s="338" t="s">
        <v>549</v>
      </c>
      <c r="E87" s="502" t="s">
        <v>345</v>
      </c>
      <c r="F87" s="388" t="s">
        <v>29</v>
      </c>
      <c r="G87" s="388" t="s">
        <v>329</v>
      </c>
      <c r="H87" s="418">
        <v>13</v>
      </c>
      <c r="I87" s="388" t="s">
        <v>330</v>
      </c>
      <c r="J87" s="388" t="s">
        <v>331</v>
      </c>
      <c r="K87" s="434">
        <v>400</v>
      </c>
      <c r="L87" s="401">
        <v>0.85</v>
      </c>
      <c r="M87" s="418">
        <v>0.95</v>
      </c>
      <c r="N87" s="392">
        <f t="shared" si="679"/>
        <v>23.237689387168508</v>
      </c>
      <c r="O87" s="392">
        <f t="shared" si="680"/>
        <v>0</v>
      </c>
      <c r="P87" s="401" t="str">
        <f t="shared" si="681"/>
        <v>0.00</v>
      </c>
      <c r="Q87" s="418">
        <v>65</v>
      </c>
      <c r="R87" s="418">
        <v>0</v>
      </c>
      <c r="S87" s="418">
        <f t="shared" si="682"/>
        <v>0</v>
      </c>
      <c r="T87" s="401" t="s">
        <v>131</v>
      </c>
      <c r="U87" s="418" t="s">
        <v>535</v>
      </c>
      <c r="V87" s="401">
        <v>70</v>
      </c>
      <c r="W87" s="401" t="str">
        <f t="shared" si="683"/>
        <v>3.5C X 70</v>
      </c>
      <c r="X87" s="401" t="str">
        <f t="shared" si="684"/>
        <v>3.5C X 70</v>
      </c>
      <c r="Y87" s="401" t="s">
        <v>358</v>
      </c>
      <c r="Z87" s="393">
        <f>IF(T87="AIR",VLOOKUP(W87,'Catalogue Aluminium'!$B$9:$G$93,2,FALSE),IF(T87="GROUND",VLOOKUP(W87,'Catalogue Aluminium'!$B$9:$G$93,3,FALSE),IF(T87="DUCT",VLOOKUP(W87,'Catalogue Aluminium'!$B$9:$G$93,4,FALSE),IF(T87="TRENCH",VLOOKUP(W87,'Catalogue Aluminium'!$B$9:$G$93,2,FALSE)))))</f>
        <v>177</v>
      </c>
      <c r="AA87" s="402">
        <f>VLOOKUP(W87,'Catalogue Aluminium'!$B$9:$G$93,5,FALSE)</f>
        <v>0.56699999999999995</v>
      </c>
      <c r="AB87" s="402">
        <f>VLOOKUP(W87,'Catalogue Aluminium'!$B$9:$G$93,6,FALSE)</f>
        <v>7.5200000000000003E-2</v>
      </c>
      <c r="AC87" s="401">
        <f t="shared" si="708"/>
        <v>20</v>
      </c>
      <c r="AD87" s="401">
        <f>40+50+38+50+17+(27+42+30+10)</f>
        <v>304</v>
      </c>
      <c r="AE87" s="401">
        <f t="shared" si="685"/>
        <v>38</v>
      </c>
      <c r="AF87" s="401">
        <v>8</v>
      </c>
      <c r="AG87" s="401">
        <f t="shared" si="686"/>
        <v>37</v>
      </c>
      <c r="AH87" s="436">
        <f t="shared" si="711"/>
        <v>407</v>
      </c>
      <c r="AI87" s="393">
        <f>IF(T87="AIR",'Catalogue Aluminium'!$K$9,IF(T87="TRENCH",'Catalogue Aluminium'!$K$12,"NA"))</f>
        <v>0.89</v>
      </c>
      <c r="AJ87" s="392">
        <f>IF(T87="Air",(IF(U87="1C",'Catalogue Aluminium'!$L$9,'Catalogue Aluminium'!$M$9)),IF(T87="DUCT",(IF($U87="1C",'Catalogue Aluminium'!$L$10,'Catalogue Aluminium'!$M$10)),IF(T87="GROUND",(IF($U87="1C",'Catalogue Aluminium'!$L$11,'Catalogue Aluminium'!$M$11)),IF(T87="TRENCH",(IF($U87="1C",'Catalogue Aluminium'!$L$12,'Catalogue Aluminium'!$M$12))))))</f>
        <v>0.66</v>
      </c>
      <c r="AK87" s="393" t="str">
        <f>IF(T87="Air",'Catalogue Aluminium'!$N$9,IF(T87="GROUND",'Catalogue Aluminium'!$N$10,IF(T87="DUCT",'Catalogue Aluminium'!$N$11,IF(T87="TRENCH",'Catalogue Aluminium'!$N$12,"NA"))))</f>
        <v>NA</v>
      </c>
      <c r="AL87" s="393" t="str">
        <f>IF(T87="Air",(IF(U87="1C",'Catalogue Aluminium'!$O$9,'Catalogue Aluminium'!$P$9)),IF(T87="DUCT",(IF($U87="1C",'Catalogue Aluminium'!$O$10,'Catalogue Aluminium'!$P$10)),IF(T87="GROUND",(IF($U87="1C",'Catalogue Aluminium'!$O$11,'Catalogue Aluminium'!$P$11)),IF(T87="TRENCH",(IF($U87="1C",'Catalogue Aluminium'!$O$12,'Catalogue Aluminium'!$P$12))))))</f>
        <v>NA</v>
      </c>
      <c r="AM87" s="393" t="str">
        <f>IF(T87="AIR","NA",IF(T87="TRENCH","NA",IF(T87="DUCT",IF(U87="1C",VLOOKUP(V87,'Catalogue Aluminium'!$Q$9:$S$28,2,FALSE),VLOOKUP(V87,'Catalogue Aluminium'!$Q$9:$S$28,3)),IF(T87="GROUND",IF(U87="1C",VLOOKUP(V87,'Catalogue Aluminium'!$Q$9:$S$28,2,FALSE),VLOOKUP(V87,'Catalogue Aluminium'!$Q$9:$S$28,3))))))</f>
        <v>NA</v>
      </c>
      <c r="AN87" s="437">
        <f t="shared" si="687"/>
        <v>0.58740000000000003</v>
      </c>
      <c r="AO87" s="418">
        <f t="shared" si="688"/>
        <v>103.96980000000001</v>
      </c>
      <c r="AP87" s="434">
        <f t="shared" si="689"/>
        <v>1</v>
      </c>
      <c r="AQ87" s="418" t="str">
        <f t="shared" si="690"/>
        <v>YES</v>
      </c>
      <c r="AR87" s="437">
        <f t="shared" si="691"/>
        <v>2.1359724327851399</v>
      </c>
      <c r="AS87" s="401" t="str">
        <f t="shared" si="692"/>
        <v>YES</v>
      </c>
      <c r="AT87" s="437" t="str">
        <f t="shared" si="693"/>
        <v>NA</v>
      </c>
      <c r="AU87" s="401" t="str">
        <f t="shared" si="694"/>
        <v>NA</v>
      </c>
      <c r="AV87" s="503" t="str">
        <f t="shared" si="695"/>
        <v>1R x 0.6/1kV x 3.5C x 70 Sqmm</v>
      </c>
      <c r="AW87" s="503" t="str">
        <f t="shared" si="696"/>
        <v>1R x 0.6/1kV x 3.5C x 70 Sqmm</v>
      </c>
      <c r="AX87" s="401">
        <f t="shared" si="697"/>
        <v>407</v>
      </c>
      <c r="AY87" s="504"/>
      <c r="AZ87" s="504">
        <f t="shared" si="698"/>
        <v>2</v>
      </c>
      <c r="BA87" s="438" t="str">
        <f t="shared" si="699"/>
        <v>ACDEE1E2E3E4</v>
      </c>
      <c r="BB87" s="505">
        <f>VLOOKUP(W87,'Catalogue Aluminium'!$B$9:$H$93,7,FALSE)</f>
        <v>36</v>
      </c>
      <c r="BC87" s="439">
        <f t="shared" si="700"/>
        <v>36</v>
      </c>
      <c r="BE87" s="336"/>
      <c r="BF87" s="336">
        <v>1</v>
      </c>
      <c r="BG87" s="336"/>
      <c r="BH87" s="336"/>
      <c r="BI87" s="336">
        <v>1</v>
      </c>
      <c r="BJ87" s="336">
        <v>1</v>
      </c>
      <c r="BK87" s="336"/>
      <c r="BL87" s="336"/>
      <c r="BM87" s="336"/>
      <c r="BN87" s="336">
        <v>1</v>
      </c>
      <c r="BO87" s="336"/>
      <c r="BP87" s="336">
        <v>1</v>
      </c>
      <c r="BQ87" s="336">
        <v>1</v>
      </c>
      <c r="BR87" s="336">
        <v>1</v>
      </c>
      <c r="BS87" s="336">
        <v>1</v>
      </c>
      <c r="BT87" s="336"/>
      <c r="BU87" s="336"/>
      <c r="BV87" s="336"/>
      <c r="BW87" s="336"/>
      <c r="BX87" s="336"/>
      <c r="BY87" s="336"/>
      <c r="BZ87" s="336"/>
      <c r="CA87" s="336"/>
      <c r="CB87" s="336"/>
      <c r="CC87" s="336"/>
      <c r="CD87" s="336"/>
      <c r="CE87" s="336"/>
      <c r="CF87" s="336"/>
      <c r="CG87" s="336"/>
      <c r="CH87" s="336"/>
      <c r="CI87" s="336"/>
      <c r="CJ87" s="336"/>
      <c r="CK87" s="336"/>
      <c r="CL87" s="336"/>
      <c r="CM87" s="336"/>
      <c r="CN87" s="336"/>
      <c r="CO87" s="336"/>
      <c r="CP87" s="336"/>
      <c r="CQ87" s="336"/>
      <c r="CR87" s="336"/>
      <c r="CS87" s="336"/>
      <c r="CT87" s="336"/>
      <c r="CU87" s="336"/>
      <c r="CV87" s="336"/>
      <c r="CW87" s="336"/>
      <c r="CX87" s="336"/>
      <c r="CY87" s="336"/>
      <c r="CZ87" s="336"/>
      <c r="DA87" s="336"/>
      <c r="DB87" s="336"/>
      <c r="DC87" s="336"/>
      <c r="DD87" s="336"/>
      <c r="DE87" s="336"/>
      <c r="DF87" s="336"/>
      <c r="DG87" s="336"/>
      <c r="DH87" s="336"/>
      <c r="DI87" s="336"/>
      <c r="DJ87" s="336"/>
      <c r="DK87" s="336"/>
      <c r="DL87" s="336"/>
      <c r="DM87" s="336"/>
      <c r="DN87" s="336"/>
      <c r="DO87" s="336"/>
      <c r="DP87" s="336"/>
      <c r="DQ87" s="336"/>
      <c r="DR87" s="336"/>
      <c r="DS87" s="336"/>
      <c r="DT87" s="336"/>
      <c r="DU87" s="336"/>
      <c r="DW87" s="336">
        <f t="shared" si="709"/>
        <v>0</v>
      </c>
      <c r="DX87" s="336">
        <f t="shared" si="701"/>
        <v>36</v>
      </c>
      <c r="DY87" s="336">
        <f t="shared" si="702"/>
        <v>0</v>
      </c>
      <c r="DZ87" s="336">
        <f t="shared" si="703"/>
        <v>0</v>
      </c>
      <c r="EA87" s="336">
        <f t="shared" si="704"/>
        <v>36</v>
      </c>
      <c r="EB87" s="336">
        <f t="shared" si="705"/>
        <v>36</v>
      </c>
      <c r="EC87" s="336">
        <f t="shared" si="706"/>
        <v>0</v>
      </c>
      <c r="ED87" s="336">
        <f t="shared" si="621"/>
        <v>0</v>
      </c>
      <c r="EE87" s="336">
        <f t="shared" si="622"/>
        <v>0</v>
      </c>
      <c r="EF87" s="336">
        <f t="shared" si="623"/>
        <v>36</v>
      </c>
      <c r="EG87" s="336">
        <f t="shared" si="624"/>
        <v>0</v>
      </c>
      <c r="EH87" s="336">
        <f t="shared" si="625"/>
        <v>36</v>
      </c>
      <c r="EI87" s="336">
        <f t="shared" si="626"/>
        <v>36</v>
      </c>
      <c r="EJ87" s="336">
        <f t="shared" si="627"/>
        <v>36</v>
      </c>
      <c r="EK87" s="336">
        <f t="shared" si="628"/>
        <v>36</v>
      </c>
      <c r="EL87" s="336">
        <f t="shared" si="629"/>
        <v>0</v>
      </c>
      <c r="EM87" s="336">
        <f t="shared" si="630"/>
        <v>0</v>
      </c>
      <c r="EN87" s="336">
        <f t="shared" si="631"/>
        <v>0</v>
      </c>
      <c r="EO87" s="336">
        <f t="shared" si="632"/>
        <v>0</v>
      </c>
      <c r="EP87" s="336">
        <f t="shared" si="633"/>
        <v>0</v>
      </c>
      <c r="EQ87" s="336">
        <f t="shared" si="634"/>
        <v>0</v>
      </c>
      <c r="ER87" s="336">
        <f t="shared" si="635"/>
        <v>0</v>
      </c>
      <c r="ES87" s="336">
        <f t="shared" si="636"/>
        <v>0</v>
      </c>
      <c r="ET87" s="336">
        <f t="shared" si="636"/>
        <v>0</v>
      </c>
      <c r="EU87" s="336">
        <f t="shared" si="637"/>
        <v>0</v>
      </c>
      <c r="EV87" s="336">
        <f t="shared" si="638"/>
        <v>0</v>
      </c>
      <c r="EW87" s="336">
        <f t="shared" si="639"/>
        <v>0</v>
      </c>
      <c r="EX87" s="336">
        <f t="shared" si="640"/>
        <v>0</v>
      </c>
      <c r="EY87" s="336">
        <f t="shared" si="641"/>
        <v>0</v>
      </c>
      <c r="EZ87" s="336">
        <f t="shared" si="642"/>
        <v>0</v>
      </c>
      <c r="FA87" s="336">
        <f t="shared" si="643"/>
        <v>0</v>
      </c>
      <c r="FB87" s="336">
        <f t="shared" si="644"/>
        <v>0</v>
      </c>
      <c r="FC87" s="336">
        <f t="shared" si="645"/>
        <v>0</v>
      </c>
      <c r="FD87" s="336">
        <f t="shared" si="646"/>
        <v>0</v>
      </c>
      <c r="FE87" s="336">
        <f t="shared" si="647"/>
        <v>0</v>
      </c>
      <c r="FF87" s="336">
        <f t="shared" si="648"/>
        <v>0</v>
      </c>
      <c r="FG87" s="336">
        <f t="shared" si="649"/>
        <v>0</v>
      </c>
      <c r="FH87" s="336">
        <f t="shared" si="650"/>
        <v>0</v>
      </c>
      <c r="FI87" s="336">
        <f t="shared" si="651"/>
        <v>0</v>
      </c>
      <c r="FJ87" s="336">
        <f t="shared" si="652"/>
        <v>0</v>
      </c>
      <c r="FK87" s="336">
        <f t="shared" si="653"/>
        <v>0</v>
      </c>
      <c r="FL87" s="336">
        <f t="shared" si="654"/>
        <v>0</v>
      </c>
      <c r="FM87" s="336">
        <f t="shared" si="655"/>
        <v>0</v>
      </c>
      <c r="FN87" s="336">
        <f t="shared" si="656"/>
        <v>0</v>
      </c>
      <c r="FO87" s="336">
        <f t="shared" si="657"/>
        <v>0</v>
      </c>
      <c r="FP87" s="336">
        <f t="shared" si="658"/>
        <v>0</v>
      </c>
      <c r="FQ87" s="336">
        <f t="shared" si="659"/>
        <v>0</v>
      </c>
      <c r="FR87" s="336">
        <f t="shared" si="660"/>
        <v>0</v>
      </c>
      <c r="FS87" s="336">
        <f t="shared" si="661"/>
        <v>0</v>
      </c>
      <c r="FT87" s="336">
        <f t="shared" si="662"/>
        <v>0</v>
      </c>
      <c r="FU87" s="336">
        <f t="shared" si="609"/>
        <v>0</v>
      </c>
      <c r="FV87" s="336">
        <f t="shared" si="610"/>
        <v>0</v>
      </c>
      <c r="FW87" s="336">
        <f t="shared" si="611"/>
        <v>0</v>
      </c>
      <c r="FX87" s="336">
        <f t="shared" si="612"/>
        <v>0</v>
      </c>
      <c r="FY87" s="336">
        <f t="shared" si="663"/>
        <v>0</v>
      </c>
      <c r="FZ87" s="336">
        <f t="shared" si="664"/>
        <v>0</v>
      </c>
      <c r="GA87" s="336">
        <f t="shared" si="665"/>
        <v>0</v>
      </c>
      <c r="GB87" s="336">
        <f t="shared" si="666"/>
        <v>0</v>
      </c>
      <c r="GC87" s="336">
        <f t="shared" si="667"/>
        <v>0</v>
      </c>
      <c r="GD87" s="336">
        <f t="shared" si="668"/>
        <v>0</v>
      </c>
      <c r="GE87" s="336">
        <f t="shared" si="669"/>
        <v>0</v>
      </c>
      <c r="GF87" s="336">
        <f t="shared" si="670"/>
        <v>0</v>
      </c>
      <c r="GG87" s="336">
        <f t="shared" si="671"/>
        <v>0</v>
      </c>
      <c r="GH87" s="336">
        <f t="shared" si="672"/>
        <v>0</v>
      </c>
      <c r="GI87" s="336">
        <f t="shared" si="673"/>
        <v>0</v>
      </c>
      <c r="GJ87" s="336">
        <f t="shared" si="674"/>
        <v>0</v>
      </c>
      <c r="GK87" s="336">
        <f t="shared" si="677"/>
        <v>0</v>
      </c>
      <c r="GL87" s="336">
        <f t="shared" si="613"/>
        <v>0</v>
      </c>
      <c r="GM87" s="336">
        <f t="shared" si="675"/>
        <v>0</v>
      </c>
    </row>
    <row r="88" spans="1:195" ht="20.100000000000001" customHeight="1">
      <c r="A88" s="388">
        <f t="shared" si="707"/>
        <v>57</v>
      </c>
      <c r="B88" s="406" t="s">
        <v>1649</v>
      </c>
      <c r="C88" s="388" t="s">
        <v>489</v>
      </c>
      <c r="D88" s="338" t="s">
        <v>570</v>
      </c>
      <c r="E88" s="502" t="s">
        <v>345</v>
      </c>
      <c r="F88" s="388" t="s">
        <v>28</v>
      </c>
      <c r="G88" s="388" t="s">
        <v>329</v>
      </c>
      <c r="H88" s="418">
        <v>0.8</v>
      </c>
      <c r="I88" s="388" t="s">
        <v>330</v>
      </c>
      <c r="J88" s="388" t="s">
        <v>357</v>
      </c>
      <c r="K88" s="434">
        <v>230</v>
      </c>
      <c r="L88" s="401">
        <v>0.85</v>
      </c>
      <c r="M88" s="418">
        <v>0.95</v>
      </c>
      <c r="N88" s="392">
        <f t="shared" si="679"/>
        <v>4.3074438013191552</v>
      </c>
      <c r="O88" s="392">
        <f t="shared" si="680"/>
        <v>0</v>
      </c>
      <c r="P88" s="401" t="str">
        <f t="shared" si="681"/>
        <v>0.00</v>
      </c>
      <c r="Q88" s="418">
        <v>65</v>
      </c>
      <c r="R88" s="418">
        <v>0</v>
      </c>
      <c r="S88" s="418">
        <f t="shared" si="682"/>
        <v>0</v>
      </c>
      <c r="T88" s="401" t="s">
        <v>131</v>
      </c>
      <c r="U88" s="418" t="s">
        <v>333</v>
      </c>
      <c r="V88" s="401">
        <v>25</v>
      </c>
      <c r="W88" s="401" t="str">
        <f t="shared" si="683"/>
        <v>3C X 25</v>
      </c>
      <c r="X88" s="401" t="str">
        <f t="shared" si="684"/>
        <v>3C X 25</v>
      </c>
      <c r="Y88" s="401" t="s">
        <v>358</v>
      </c>
      <c r="Z88" s="393">
        <f>IF(T88="AIR",VLOOKUP(W88,'Catalogue Aluminium'!$B$9:$G$93,2,FALSE),IF(T88="GROUND",VLOOKUP(W88,'Catalogue Aluminium'!$B$9:$G$93,3,FALSE),IF(T88="DUCT",VLOOKUP(W88,'Catalogue Aluminium'!$B$9:$G$93,4,FALSE),IF(T88="TRENCH",VLOOKUP(W88,'Catalogue Aluminium'!$B$9:$G$93,2,FALSE)))))</f>
        <v>95</v>
      </c>
      <c r="AA88" s="402">
        <f>VLOOKUP(W88,'Catalogue Aluminium'!$B$9:$G$93,5,FALSE)</f>
        <v>1.54</v>
      </c>
      <c r="AB88" s="402">
        <f>VLOOKUP(W88,'Catalogue Aluminium'!$B$9:$G$93,6,FALSE)</f>
        <v>8.1600000000000006E-2</v>
      </c>
      <c r="AC88" s="401">
        <f>26+3</f>
        <v>29</v>
      </c>
      <c r="AD88" s="401">
        <f t="shared" ref="AD88" si="712">40+50+38+50+17+(27+42+30+20)</f>
        <v>314</v>
      </c>
      <c r="AE88" s="401">
        <f t="shared" si="685"/>
        <v>38</v>
      </c>
      <c r="AF88" s="401">
        <v>8</v>
      </c>
      <c r="AG88" s="401">
        <f t="shared" si="686"/>
        <v>39</v>
      </c>
      <c r="AH88" s="436">
        <f t="shared" si="711"/>
        <v>428</v>
      </c>
      <c r="AI88" s="393">
        <f>IF(T88="AIR",'Catalogue Aluminium'!$K$9,IF(T88="TRENCH",'Catalogue Aluminium'!$K$12,"NA"))</f>
        <v>0.89</v>
      </c>
      <c r="AJ88" s="392">
        <f>IF(T88="Air",(IF(U88="1C",'Catalogue Aluminium'!$L$9,'Catalogue Aluminium'!$M$9)),IF(T88="DUCT",(IF($U88="1C",'Catalogue Aluminium'!$L$10,'Catalogue Aluminium'!$M$10)),IF(T88="GROUND",(IF($U88="1C",'Catalogue Aluminium'!$L$11,'Catalogue Aluminium'!$M$11)),IF(T88="TRENCH",(IF($U88="1C",'Catalogue Aluminium'!$L$12,'Catalogue Aluminium'!$M$12))))))</f>
        <v>0.66</v>
      </c>
      <c r="AK88" s="393" t="str">
        <f>IF(T88="Air",'Catalogue Aluminium'!$N$9,IF(T88="GROUND",'Catalogue Aluminium'!$N$10,IF(T88="DUCT",'Catalogue Aluminium'!$N$11,IF(T88="TRENCH",'Catalogue Aluminium'!$N$12,"NA"))))</f>
        <v>NA</v>
      </c>
      <c r="AL88" s="393" t="str">
        <f>IF(T88="Air",(IF(U88="1C",'Catalogue Aluminium'!$O$9,'Catalogue Aluminium'!$P$9)),IF(T88="DUCT",(IF($U88="1C",'Catalogue Aluminium'!$O$10,'Catalogue Aluminium'!$P$10)),IF(T88="GROUND",(IF($U88="1C",'Catalogue Aluminium'!$O$11,'Catalogue Aluminium'!$P$11)),IF(T88="TRENCH",(IF($U88="1C",'Catalogue Aluminium'!$O$12,'Catalogue Aluminium'!$P$12))))))</f>
        <v>NA</v>
      </c>
      <c r="AM88" s="393" t="str">
        <f>IF(T88="AIR","NA",IF(T88="TRENCH","NA",IF(T88="DUCT",IF(U88="1C",VLOOKUP(V88,'Catalogue Aluminium'!$Q$9:$S$28,2,FALSE),VLOOKUP(V88,'Catalogue Aluminium'!$Q$9:$S$28,3)),IF(T88="GROUND",IF(U88="1C",VLOOKUP(V88,'Catalogue Aluminium'!$Q$9:$S$28,2,FALSE),VLOOKUP(V88,'Catalogue Aluminium'!$Q$9:$S$28,3))))))</f>
        <v>NA</v>
      </c>
      <c r="AN88" s="437">
        <f t="shared" si="687"/>
        <v>0.58740000000000003</v>
      </c>
      <c r="AO88" s="418">
        <f t="shared" si="688"/>
        <v>55.803000000000004</v>
      </c>
      <c r="AP88" s="434">
        <f t="shared" si="689"/>
        <v>1</v>
      </c>
      <c r="AQ88" s="418" t="str">
        <f t="shared" si="690"/>
        <v>YES</v>
      </c>
      <c r="AR88" s="437">
        <f t="shared" si="691"/>
        <v>1.8770169898502158</v>
      </c>
      <c r="AS88" s="401" t="str">
        <f t="shared" si="692"/>
        <v>YES</v>
      </c>
      <c r="AT88" s="437" t="str">
        <f t="shared" si="693"/>
        <v>NA</v>
      </c>
      <c r="AU88" s="401" t="str">
        <f t="shared" si="694"/>
        <v>NA</v>
      </c>
      <c r="AV88" s="503" t="str">
        <f t="shared" si="695"/>
        <v>1R x 0.6/1kV x 3C x 25 Sqmm</v>
      </c>
      <c r="AW88" s="503" t="str">
        <f t="shared" si="696"/>
        <v>1R x 0.6/1kV x 3C x 25 Sqmm</v>
      </c>
      <c r="AX88" s="401">
        <f t="shared" si="697"/>
        <v>428</v>
      </c>
      <c r="AY88" s="504"/>
      <c r="AZ88" s="504">
        <f t="shared" si="698"/>
        <v>2</v>
      </c>
      <c r="BA88" s="438" t="str">
        <f t="shared" si="699"/>
        <v>ACDEE1E2E3E4</v>
      </c>
      <c r="BB88" s="505">
        <f>VLOOKUP(W88,'Catalogue Aluminium'!$B$9:$H$93,7,FALSE)</f>
        <v>21</v>
      </c>
      <c r="BC88" s="439">
        <f t="shared" si="700"/>
        <v>21</v>
      </c>
      <c r="BE88" s="336"/>
      <c r="BF88" s="336">
        <v>1</v>
      </c>
      <c r="BG88" s="336"/>
      <c r="BH88" s="336"/>
      <c r="BI88" s="336">
        <v>1</v>
      </c>
      <c r="BJ88" s="336">
        <v>1</v>
      </c>
      <c r="BK88" s="336"/>
      <c r="BL88" s="336"/>
      <c r="BM88" s="336"/>
      <c r="BN88" s="336">
        <v>1</v>
      </c>
      <c r="BO88" s="336"/>
      <c r="BP88" s="336">
        <v>1</v>
      </c>
      <c r="BQ88" s="336">
        <v>1</v>
      </c>
      <c r="BR88" s="336">
        <v>1</v>
      </c>
      <c r="BS88" s="336">
        <v>1</v>
      </c>
      <c r="BT88" s="336"/>
      <c r="BU88" s="336"/>
      <c r="BV88" s="336"/>
      <c r="BW88" s="336"/>
      <c r="BX88" s="336"/>
      <c r="BY88" s="336"/>
      <c r="BZ88" s="336"/>
      <c r="CA88" s="336"/>
      <c r="CB88" s="336"/>
      <c r="CC88" s="336"/>
      <c r="CD88" s="336"/>
      <c r="CE88" s="336"/>
      <c r="CF88" s="336"/>
      <c r="CG88" s="336"/>
      <c r="CH88" s="336"/>
      <c r="CI88" s="336"/>
      <c r="CJ88" s="336"/>
      <c r="CK88" s="336"/>
      <c r="CL88" s="336"/>
      <c r="CM88" s="336"/>
      <c r="CN88" s="336"/>
      <c r="CO88" s="336"/>
      <c r="CP88" s="336"/>
      <c r="CQ88" s="336"/>
      <c r="CR88" s="336"/>
      <c r="CS88" s="336"/>
      <c r="CT88" s="336"/>
      <c r="CU88" s="336"/>
      <c r="CV88" s="336"/>
      <c r="CW88" s="336"/>
      <c r="CX88" s="336"/>
      <c r="CY88" s="336"/>
      <c r="CZ88" s="336"/>
      <c r="DA88" s="336"/>
      <c r="DB88" s="336"/>
      <c r="DC88" s="336"/>
      <c r="DD88" s="336"/>
      <c r="DE88" s="336"/>
      <c r="DF88" s="336"/>
      <c r="DG88" s="336"/>
      <c r="DH88" s="336"/>
      <c r="DI88" s="336"/>
      <c r="DJ88" s="336"/>
      <c r="DK88" s="336"/>
      <c r="DL88" s="336"/>
      <c r="DM88" s="336"/>
      <c r="DN88" s="336"/>
      <c r="DO88" s="336"/>
      <c r="DP88" s="336"/>
      <c r="DQ88" s="336"/>
      <c r="DR88" s="336"/>
      <c r="DS88" s="336"/>
      <c r="DT88" s="336"/>
      <c r="DU88" s="336"/>
      <c r="DW88" s="336">
        <f t="shared" si="709"/>
        <v>0</v>
      </c>
      <c r="DX88" s="336">
        <f t="shared" si="701"/>
        <v>21</v>
      </c>
      <c r="DY88" s="336">
        <f t="shared" si="702"/>
        <v>0</v>
      </c>
      <c r="DZ88" s="336">
        <f t="shared" si="703"/>
        <v>0</v>
      </c>
      <c r="EA88" s="336">
        <f t="shared" si="704"/>
        <v>21</v>
      </c>
      <c r="EB88" s="336">
        <f t="shared" si="705"/>
        <v>21</v>
      </c>
      <c r="EC88" s="336">
        <f t="shared" si="706"/>
        <v>0</v>
      </c>
      <c r="ED88" s="336">
        <f t="shared" si="621"/>
        <v>0</v>
      </c>
      <c r="EE88" s="336">
        <f t="shared" si="622"/>
        <v>0</v>
      </c>
      <c r="EF88" s="336">
        <f t="shared" si="623"/>
        <v>21</v>
      </c>
      <c r="EG88" s="336">
        <f t="shared" si="624"/>
        <v>0</v>
      </c>
      <c r="EH88" s="336">
        <f t="shared" si="625"/>
        <v>21</v>
      </c>
      <c r="EI88" s="336">
        <f t="shared" si="626"/>
        <v>21</v>
      </c>
      <c r="EJ88" s="336">
        <f t="shared" si="627"/>
        <v>21</v>
      </c>
      <c r="EK88" s="336">
        <f t="shared" si="628"/>
        <v>21</v>
      </c>
      <c r="EL88" s="336">
        <f t="shared" si="629"/>
        <v>0</v>
      </c>
      <c r="EM88" s="336">
        <f t="shared" si="630"/>
        <v>0</v>
      </c>
      <c r="EN88" s="336">
        <f t="shared" si="631"/>
        <v>0</v>
      </c>
      <c r="EO88" s="336">
        <f t="shared" si="632"/>
        <v>0</v>
      </c>
      <c r="EP88" s="336">
        <f t="shared" si="633"/>
        <v>0</v>
      </c>
      <c r="EQ88" s="336">
        <f t="shared" si="634"/>
        <v>0</v>
      </c>
      <c r="ER88" s="336">
        <f t="shared" si="635"/>
        <v>0</v>
      </c>
      <c r="ES88" s="336">
        <f t="shared" si="636"/>
        <v>0</v>
      </c>
      <c r="ET88" s="336">
        <f t="shared" si="636"/>
        <v>0</v>
      </c>
      <c r="EU88" s="336">
        <f t="shared" si="637"/>
        <v>0</v>
      </c>
      <c r="EV88" s="336">
        <f t="shared" si="638"/>
        <v>0</v>
      </c>
      <c r="EW88" s="336">
        <f t="shared" si="639"/>
        <v>0</v>
      </c>
      <c r="EX88" s="336">
        <f t="shared" si="640"/>
        <v>0</v>
      </c>
      <c r="EY88" s="336">
        <f t="shared" si="641"/>
        <v>0</v>
      </c>
      <c r="EZ88" s="336">
        <f t="shared" si="642"/>
        <v>0</v>
      </c>
      <c r="FA88" s="336">
        <f t="shared" si="643"/>
        <v>0</v>
      </c>
      <c r="FB88" s="336">
        <f t="shared" si="644"/>
        <v>0</v>
      </c>
      <c r="FC88" s="336">
        <f t="shared" si="645"/>
        <v>0</v>
      </c>
      <c r="FD88" s="336">
        <f t="shared" si="646"/>
        <v>0</v>
      </c>
      <c r="FE88" s="336">
        <f t="shared" si="647"/>
        <v>0</v>
      </c>
      <c r="FF88" s="336">
        <f t="shared" si="648"/>
        <v>0</v>
      </c>
      <c r="FG88" s="336">
        <f t="shared" si="649"/>
        <v>0</v>
      </c>
      <c r="FH88" s="336">
        <f t="shared" si="650"/>
        <v>0</v>
      </c>
      <c r="FI88" s="336">
        <f t="shared" si="651"/>
        <v>0</v>
      </c>
      <c r="FJ88" s="336">
        <f t="shared" si="652"/>
        <v>0</v>
      </c>
      <c r="FK88" s="336">
        <f t="shared" si="653"/>
        <v>0</v>
      </c>
      <c r="FL88" s="336">
        <f t="shared" si="654"/>
        <v>0</v>
      </c>
      <c r="FM88" s="336">
        <f t="shared" si="655"/>
        <v>0</v>
      </c>
      <c r="FN88" s="336">
        <f t="shared" si="656"/>
        <v>0</v>
      </c>
      <c r="FO88" s="336">
        <f t="shared" si="657"/>
        <v>0</v>
      </c>
      <c r="FP88" s="336">
        <f t="shared" si="658"/>
        <v>0</v>
      </c>
      <c r="FQ88" s="336">
        <f t="shared" si="659"/>
        <v>0</v>
      </c>
      <c r="FR88" s="336">
        <f t="shared" si="660"/>
        <v>0</v>
      </c>
      <c r="FS88" s="336">
        <f t="shared" si="661"/>
        <v>0</v>
      </c>
      <c r="FT88" s="336">
        <f t="shared" si="662"/>
        <v>0</v>
      </c>
      <c r="FU88" s="336">
        <f t="shared" si="609"/>
        <v>0</v>
      </c>
      <c r="FV88" s="336">
        <f t="shared" si="610"/>
        <v>0</v>
      </c>
      <c r="FW88" s="336">
        <f t="shared" si="611"/>
        <v>0</v>
      </c>
      <c r="FX88" s="336">
        <f t="shared" si="612"/>
        <v>0</v>
      </c>
      <c r="FY88" s="336">
        <f t="shared" si="663"/>
        <v>0</v>
      </c>
      <c r="FZ88" s="336">
        <f t="shared" si="664"/>
        <v>0</v>
      </c>
      <c r="GA88" s="336">
        <f t="shared" si="665"/>
        <v>0</v>
      </c>
      <c r="GB88" s="336">
        <f t="shared" si="666"/>
        <v>0</v>
      </c>
      <c r="GC88" s="336">
        <f t="shared" si="667"/>
        <v>0</v>
      </c>
      <c r="GD88" s="336">
        <f t="shared" si="668"/>
        <v>0</v>
      </c>
      <c r="GE88" s="336">
        <f t="shared" si="669"/>
        <v>0</v>
      </c>
      <c r="GF88" s="336">
        <f t="shared" si="670"/>
        <v>0</v>
      </c>
      <c r="GG88" s="336">
        <f t="shared" si="671"/>
        <v>0</v>
      </c>
      <c r="GH88" s="336">
        <f t="shared" si="672"/>
        <v>0</v>
      </c>
      <c r="GI88" s="336">
        <f t="shared" si="673"/>
        <v>0</v>
      </c>
      <c r="GJ88" s="336">
        <f t="shared" si="674"/>
        <v>0</v>
      </c>
      <c r="GK88" s="336">
        <f t="shared" si="677"/>
        <v>0</v>
      </c>
      <c r="GL88" s="336">
        <f t="shared" si="613"/>
        <v>0</v>
      </c>
      <c r="GM88" s="336">
        <f t="shared" si="675"/>
        <v>0</v>
      </c>
    </row>
    <row r="89" spans="1:195" ht="20.100000000000001" customHeight="1">
      <c r="A89" s="388">
        <f t="shared" si="707"/>
        <v>58</v>
      </c>
      <c r="B89" s="406" t="s">
        <v>1650</v>
      </c>
      <c r="C89" s="388" t="s">
        <v>489</v>
      </c>
      <c r="D89" s="338" t="s">
        <v>556</v>
      </c>
      <c r="E89" s="502" t="s">
        <v>345</v>
      </c>
      <c r="F89" s="388" t="s">
        <v>29</v>
      </c>
      <c r="G89" s="388" t="s">
        <v>350</v>
      </c>
      <c r="H89" s="418">
        <v>1.1000000000000001</v>
      </c>
      <c r="I89" s="388" t="s">
        <v>330</v>
      </c>
      <c r="J89" s="388" t="s">
        <v>331</v>
      </c>
      <c r="K89" s="434">
        <v>400</v>
      </c>
      <c r="L89" s="401">
        <v>0.85</v>
      </c>
      <c r="M89" s="418">
        <v>0.95</v>
      </c>
      <c r="N89" s="392">
        <f t="shared" si="679"/>
        <v>1.9662660250681046</v>
      </c>
      <c r="O89" s="392">
        <f t="shared" si="680"/>
        <v>11.797596150408626</v>
      </c>
      <c r="P89" s="401">
        <f t="shared" si="681"/>
        <v>0.2</v>
      </c>
      <c r="Q89" s="418">
        <v>65</v>
      </c>
      <c r="R89" s="418">
        <v>0</v>
      </c>
      <c r="S89" s="418">
        <f t="shared" si="682"/>
        <v>0</v>
      </c>
      <c r="T89" s="401" t="s">
        <v>131</v>
      </c>
      <c r="U89" s="418" t="s">
        <v>333</v>
      </c>
      <c r="V89" s="401">
        <v>4</v>
      </c>
      <c r="W89" s="401" t="str">
        <f t="shared" si="683"/>
        <v>3C X 4</v>
      </c>
      <c r="X89" s="401" t="str">
        <f t="shared" si="684"/>
        <v>3C X 4+PE</v>
      </c>
      <c r="Y89" s="401" t="s">
        <v>358</v>
      </c>
      <c r="Z89" s="393">
        <f>IF(T89="AIR",VLOOKUP(W89,'Catalogue Aluminium'!$B$9:$G$93,2,FALSE),IF(T89="GROUND",VLOOKUP(W89,'Catalogue Aluminium'!$B$9:$G$93,3,FALSE),IF(T89="DUCT",VLOOKUP(W89,'Catalogue Aluminium'!$B$9:$G$93,4,FALSE),IF(T89="TRENCH",VLOOKUP(W89,'Catalogue Aluminium'!$B$9:$G$93,2,FALSE)))))</f>
        <v>38</v>
      </c>
      <c r="AA89" s="402">
        <f>VLOOKUP(W89,'Catalogue Aluminium'!$B$9:$G$93,5,FALSE)</f>
        <v>5.9</v>
      </c>
      <c r="AB89" s="402">
        <f>VLOOKUP(W89,'Catalogue Aluminium'!$B$9:$G$93,6,FALSE)</f>
        <v>9.4700000000000006E-2</v>
      </c>
      <c r="AC89" s="401">
        <f t="shared" si="708"/>
        <v>20</v>
      </c>
      <c r="AD89" s="401">
        <f>40+50+38+50+17+(27+42+30+15)</f>
        <v>309</v>
      </c>
      <c r="AE89" s="401">
        <f t="shared" si="685"/>
        <v>38</v>
      </c>
      <c r="AF89" s="401">
        <v>8</v>
      </c>
      <c r="AG89" s="401">
        <f t="shared" si="686"/>
        <v>38</v>
      </c>
      <c r="AH89" s="436">
        <f t="shared" si="711"/>
        <v>413</v>
      </c>
      <c r="AI89" s="393">
        <f>IF(T89="AIR",'Catalogue Aluminium'!$K$9,IF(T89="TRENCH",'Catalogue Aluminium'!$K$12,"NA"))</f>
        <v>0.89</v>
      </c>
      <c r="AJ89" s="392">
        <f>IF(T89="Air",(IF(U89="1C",'Catalogue Aluminium'!$L$9,'Catalogue Aluminium'!$M$9)),IF(T89="DUCT",(IF($U89="1C",'Catalogue Aluminium'!$L$10,'Catalogue Aluminium'!$M$10)),IF(T89="GROUND",(IF($U89="1C",'Catalogue Aluminium'!$L$11,'Catalogue Aluminium'!$M$11)),IF(T89="TRENCH",(IF($U89="1C",'Catalogue Aluminium'!$L$12,'Catalogue Aluminium'!$M$12))))))</f>
        <v>0.66</v>
      </c>
      <c r="AK89" s="393" t="str">
        <f>IF(T89="Air",'Catalogue Aluminium'!$N$9,IF(T89="GROUND",'Catalogue Aluminium'!$N$10,IF(T89="DUCT",'Catalogue Aluminium'!$N$11,IF(T89="TRENCH",'Catalogue Aluminium'!$N$12,"NA"))))</f>
        <v>NA</v>
      </c>
      <c r="AL89" s="393" t="str">
        <f>IF(T89="Air",(IF(U89="1C",'Catalogue Aluminium'!$O$9,'Catalogue Aluminium'!$P$9)),IF(T89="DUCT",(IF($U89="1C",'Catalogue Aluminium'!$O$10,'Catalogue Aluminium'!$P$10)),IF(T89="GROUND",(IF($U89="1C",'Catalogue Aluminium'!$O$11,'Catalogue Aluminium'!$P$11)),IF(T89="TRENCH",(IF($U89="1C",'Catalogue Aluminium'!$O$12,'Catalogue Aluminium'!$P$12))))))</f>
        <v>NA</v>
      </c>
      <c r="AM89" s="393" t="str">
        <f>IF(T89="AIR","NA",IF(T89="TRENCH","NA",IF(T89="DUCT",IF(U89="1C",VLOOKUP(V89,'Catalogue Aluminium'!$Q$9:$S$28,2,FALSE),VLOOKUP(V89,'Catalogue Aluminium'!$Q$9:$S$28,3)),IF(T89="GROUND",IF(U89="1C",VLOOKUP(V89,'Catalogue Aluminium'!$Q$9:$S$28,2,FALSE),VLOOKUP(V89,'Catalogue Aluminium'!$Q$9:$S$28,3))))))</f>
        <v>NA</v>
      </c>
      <c r="AN89" s="437">
        <f t="shared" si="687"/>
        <v>0.58740000000000003</v>
      </c>
      <c r="AO89" s="418">
        <f t="shared" si="688"/>
        <v>22.321200000000001</v>
      </c>
      <c r="AP89" s="434">
        <f t="shared" si="689"/>
        <v>1</v>
      </c>
      <c r="AQ89" s="418" t="str">
        <f t="shared" si="690"/>
        <v>YES</v>
      </c>
      <c r="AR89" s="437">
        <f t="shared" si="691"/>
        <v>1.7809948558301025</v>
      </c>
      <c r="AS89" s="401" t="str">
        <f t="shared" si="692"/>
        <v>YES</v>
      </c>
      <c r="AT89" s="437">
        <f t="shared" si="693"/>
        <v>2.685343406721219</v>
      </c>
      <c r="AU89" s="401" t="str">
        <f t="shared" si="694"/>
        <v>YES</v>
      </c>
      <c r="AV89" s="503" t="str">
        <f t="shared" si="695"/>
        <v>1R x 0.6/1kV x 3C x 4 Sqmm</v>
      </c>
      <c r="AW89" s="503" t="str">
        <f t="shared" si="696"/>
        <v>1R x 0.6/1kV x 3C x 4+PE Sqmm</v>
      </c>
      <c r="AX89" s="401">
        <f t="shared" si="697"/>
        <v>413</v>
      </c>
      <c r="AY89" s="504"/>
      <c r="AZ89" s="504">
        <f t="shared" si="698"/>
        <v>2</v>
      </c>
      <c r="BA89" s="438" t="str">
        <f t="shared" si="699"/>
        <v>ACDEE1E2E3E4</v>
      </c>
      <c r="BB89" s="505">
        <f>VLOOKUP(W89,'Catalogue Aluminium'!$B$9:$H$93,7,FALSE)</f>
        <v>15</v>
      </c>
      <c r="BC89" s="439">
        <f t="shared" si="700"/>
        <v>15</v>
      </c>
      <c r="BE89" s="336"/>
      <c r="BF89" s="336">
        <v>1</v>
      </c>
      <c r="BG89" s="336"/>
      <c r="BH89" s="336"/>
      <c r="BI89" s="336">
        <v>1</v>
      </c>
      <c r="BJ89" s="336">
        <v>1</v>
      </c>
      <c r="BK89" s="336"/>
      <c r="BL89" s="336"/>
      <c r="BM89" s="336"/>
      <c r="BN89" s="336">
        <v>1</v>
      </c>
      <c r="BO89" s="336"/>
      <c r="BP89" s="336">
        <v>1</v>
      </c>
      <c r="BQ89" s="336">
        <v>1</v>
      </c>
      <c r="BR89" s="336">
        <v>1</v>
      </c>
      <c r="BS89" s="336">
        <v>1</v>
      </c>
      <c r="BT89" s="336"/>
      <c r="BU89" s="336"/>
      <c r="BV89" s="336"/>
      <c r="BW89" s="336"/>
      <c r="BX89" s="336"/>
      <c r="BY89" s="336"/>
      <c r="BZ89" s="336"/>
      <c r="CA89" s="336"/>
      <c r="CB89" s="336"/>
      <c r="CC89" s="336"/>
      <c r="CD89" s="336"/>
      <c r="CE89" s="336"/>
      <c r="CF89" s="336"/>
      <c r="CG89" s="336"/>
      <c r="CH89" s="336"/>
      <c r="CI89" s="336"/>
      <c r="CJ89" s="336"/>
      <c r="CK89" s="336"/>
      <c r="CL89" s="336"/>
      <c r="CM89" s="336"/>
      <c r="CN89" s="336"/>
      <c r="CO89" s="336"/>
      <c r="CP89" s="336"/>
      <c r="CQ89" s="336"/>
      <c r="CR89" s="336"/>
      <c r="CS89" s="336"/>
      <c r="CT89" s="336"/>
      <c r="CU89" s="336"/>
      <c r="CV89" s="336"/>
      <c r="CW89" s="336"/>
      <c r="CX89" s="336"/>
      <c r="CY89" s="336"/>
      <c r="CZ89" s="336"/>
      <c r="DA89" s="336"/>
      <c r="DB89" s="336"/>
      <c r="DC89" s="336"/>
      <c r="DD89" s="336"/>
      <c r="DE89" s="336"/>
      <c r="DF89" s="336"/>
      <c r="DG89" s="336"/>
      <c r="DH89" s="336"/>
      <c r="DI89" s="336"/>
      <c r="DJ89" s="336"/>
      <c r="DK89" s="336"/>
      <c r="DL89" s="336"/>
      <c r="DM89" s="336"/>
      <c r="DN89" s="336"/>
      <c r="DO89" s="336"/>
      <c r="DP89" s="336"/>
      <c r="DQ89" s="336"/>
      <c r="DR89" s="336"/>
      <c r="DS89" s="336"/>
      <c r="DT89" s="336"/>
      <c r="DU89" s="336"/>
      <c r="DW89" s="336">
        <f t="shared" si="709"/>
        <v>0</v>
      </c>
      <c r="DX89" s="336">
        <f t="shared" si="701"/>
        <v>15</v>
      </c>
      <c r="DY89" s="336">
        <f t="shared" si="702"/>
        <v>0</v>
      </c>
      <c r="DZ89" s="336">
        <f t="shared" si="703"/>
        <v>0</v>
      </c>
      <c r="EA89" s="336">
        <f t="shared" si="704"/>
        <v>15</v>
      </c>
      <c r="EB89" s="336">
        <f t="shared" si="705"/>
        <v>15</v>
      </c>
      <c r="EC89" s="336">
        <f t="shared" si="706"/>
        <v>0</v>
      </c>
      <c r="ED89" s="336">
        <f t="shared" si="621"/>
        <v>0</v>
      </c>
      <c r="EE89" s="336">
        <f t="shared" si="622"/>
        <v>0</v>
      </c>
      <c r="EF89" s="336">
        <f t="shared" si="623"/>
        <v>15</v>
      </c>
      <c r="EG89" s="336">
        <f t="shared" si="624"/>
        <v>0</v>
      </c>
      <c r="EH89" s="336">
        <f t="shared" si="625"/>
        <v>15</v>
      </c>
      <c r="EI89" s="336">
        <f t="shared" si="626"/>
        <v>15</v>
      </c>
      <c r="EJ89" s="336">
        <f t="shared" si="627"/>
        <v>15</v>
      </c>
      <c r="EK89" s="336">
        <f t="shared" si="628"/>
        <v>15</v>
      </c>
      <c r="EL89" s="336">
        <f t="shared" si="629"/>
        <v>0</v>
      </c>
      <c r="EM89" s="336">
        <f t="shared" si="630"/>
        <v>0</v>
      </c>
      <c r="EN89" s="336">
        <f t="shared" si="631"/>
        <v>0</v>
      </c>
      <c r="EO89" s="336">
        <f t="shared" si="632"/>
        <v>0</v>
      </c>
      <c r="EP89" s="336">
        <f t="shared" si="633"/>
        <v>0</v>
      </c>
      <c r="EQ89" s="336">
        <f t="shared" si="634"/>
        <v>0</v>
      </c>
      <c r="ER89" s="336">
        <f t="shared" si="635"/>
        <v>0</v>
      </c>
      <c r="ES89" s="336">
        <f t="shared" si="636"/>
        <v>0</v>
      </c>
      <c r="ET89" s="336">
        <f t="shared" si="636"/>
        <v>0</v>
      </c>
      <c r="EU89" s="336">
        <f t="shared" si="637"/>
        <v>0</v>
      </c>
      <c r="EV89" s="336">
        <f t="shared" si="638"/>
        <v>0</v>
      </c>
      <c r="EW89" s="336">
        <f t="shared" si="639"/>
        <v>0</v>
      </c>
      <c r="EX89" s="336">
        <f t="shared" si="640"/>
        <v>0</v>
      </c>
      <c r="EY89" s="336">
        <f t="shared" si="641"/>
        <v>0</v>
      </c>
      <c r="EZ89" s="336">
        <f t="shared" si="642"/>
        <v>0</v>
      </c>
      <c r="FA89" s="336">
        <f t="shared" si="643"/>
        <v>0</v>
      </c>
      <c r="FB89" s="336">
        <f t="shared" si="644"/>
        <v>0</v>
      </c>
      <c r="FC89" s="336">
        <f t="shared" si="645"/>
        <v>0</v>
      </c>
      <c r="FD89" s="336">
        <f t="shared" si="646"/>
        <v>0</v>
      </c>
      <c r="FE89" s="336">
        <f t="shared" si="647"/>
        <v>0</v>
      </c>
      <c r="FF89" s="336">
        <f t="shared" si="648"/>
        <v>0</v>
      </c>
      <c r="FG89" s="336">
        <f t="shared" si="649"/>
        <v>0</v>
      </c>
      <c r="FH89" s="336">
        <f t="shared" si="650"/>
        <v>0</v>
      </c>
      <c r="FI89" s="336">
        <f t="shared" si="651"/>
        <v>0</v>
      </c>
      <c r="FJ89" s="336">
        <f t="shared" si="652"/>
        <v>0</v>
      </c>
      <c r="FK89" s="336">
        <f t="shared" si="653"/>
        <v>0</v>
      </c>
      <c r="FL89" s="336">
        <f t="shared" si="654"/>
        <v>0</v>
      </c>
      <c r="FM89" s="336">
        <f t="shared" si="655"/>
        <v>0</v>
      </c>
      <c r="FN89" s="336">
        <f t="shared" si="656"/>
        <v>0</v>
      </c>
      <c r="FO89" s="336">
        <f t="shared" si="657"/>
        <v>0</v>
      </c>
      <c r="FP89" s="336">
        <f t="shared" si="658"/>
        <v>0</v>
      </c>
      <c r="FQ89" s="336">
        <f t="shared" si="659"/>
        <v>0</v>
      </c>
      <c r="FR89" s="336">
        <f t="shared" si="660"/>
        <v>0</v>
      </c>
      <c r="FS89" s="336">
        <f t="shared" si="661"/>
        <v>0</v>
      </c>
      <c r="FT89" s="336">
        <f t="shared" si="662"/>
        <v>0</v>
      </c>
      <c r="FU89" s="336">
        <f t="shared" si="609"/>
        <v>0</v>
      </c>
      <c r="FV89" s="336">
        <f t="shared" si="610"/>
        <v>0</v>
      </c>
      <c r="FW89" s="336">
        <f t="shared" si="611"/>
        <v>0</v>
      </c>
      <c r="FX89" s="336">
        <f t="shared" si="612"/>
        <v>0</v>
      </c>
      <c r="FY89" s="336">
        <f t="shared" si="663"/>
        <v>0</v>
      </c>
      <c r="FZ89" s="336">
        <f t="shared" si="664"/>
        <v>0</v>
      </c>
      <c r="GA89" s="336">
        <f t="shared" si="665"/>
        <v>0</v>
      </c>
      <c r="GB89" s="336">
        <f t="shared" si="666"/>
        <v>0</v>
      </c>
      <c r="GC89" s="336">
        <f t="shared" si="667"/>
        <v>0</v>
      </c>
      <c r="GD89" s="336">
        <f t="shared" si="668"/>
        <v>0</v>
      </c>
      <c r="GE89" s="336">
        <f t="shared" si="669"/>
        <v>0</v>
      </c>
      <c r="GF89" s="336">
        <f t="shared" si="670"/>
        <v>0</v>
      </c>
      <c r="GG89" s="336">
        <f t="shared" si="671"/>
        <v>0</v>
      </c>
      <c r="GH89" s="336">
        <f t="shared" si="672"/>
        <v>0</v>
      </c>
      <c r="GI89" s="336">
        <f t="shared" si="673"/>
        <v>0</v>
      </c>
      <c r="GJ89" s="336">
        <f t="shared" si="674"/>
        <v>0</v>
      </c>
      <c r="GK89" s="336">
        <f t="shared" si="677"/>
        <v>0</v>
      </c>
      <c r="GL89" s="336">
        <f t="shared" si="613"/>
        <v>0</v>
      </c>
      <c r="GM89" s="336">
        <f t="shared" si="675"/>
        <v>0</v>
      </c>
    </row>
    <row r="90" spans="1:195" ht="20.100000000000001" customHeight="1">
      <c r="A90" s="388">
        <f t="shared" si="707"/>
        <v>59</v>
      </c>
      <c r="B90" s="406" t="s">
        <v>1651</v>
      </c>
      <c r="C90" s="388" t="s">
        <v>489</v>
      </c>
      <c r="D90" s="338" t="s">
        <v>557</v>
      </c>
      <c r="E90" s="502" t="s">
        <v>401</v>
      </c>
      <c r="F90" s="388" t="s">
        <v>28</v>
      </c>
      <c r="G90" s="388" t="s">
        <v>329</v>
      </c>
      <c r="H90" s="418">
        <v>6</v>
      </c>
      <c r="I90" s="388" t="s">
        <v>330</v>
      </c>
      <c r="J90" s="388" t="s">
        <v>331</v>
      </c>
      <c r="K90" s="434">
        <v>400</v>
      </c>
      <c r="L90" s="401">
        <v>0.85</v>
      </c>
      <c r="M90" s="418">
        <v>0.95</v>
      </c>
      <c r="N90" s="392">
        <f t="shared" si="679"/>
        <v>10.725087409462388</v>
      </c>
      <c r="O90" s="392">
        <f t="shared" si="680"/>
        <v>0</v>
      </c>
      <c r="P90" s="401" t="str">
        <f t="shared" si="681"/>
        <v>0.00</v>
      </c>
      <c r="Q90" s="418">
        <v>65</v>
      </c>
      <c r="R90" s="418">
        <v>0</v>
      </c>
      <c r="S90" s="418">
        <f t="shared" si="682"/>
        <v>0</v>
      </c>
      <c r="T90" s="401" t="s">
        <v>131</v>
      </c>
      <c r="U90" s="418" t="s">
        <v>535</v>
      </c>
      <c r="V90" s="401">
        <v>25</v>
      </c>
      <c r="W90" s="401" t="str">
        <f t="shared" si="683"/>
        <v>3.5C X 25</v>
      </c>
      <c r="X90" s="401" t="str">
        <f t="shared" si="684"/>
        <v>3.5C X 25</v>
      </c>
      <c r="Y90" s="401" t="s">
        <v>358</v>
      </c>
      <c r="Z90" s="393">
        <f>IF(T90="AIR",VLOOKUP(W90,'Catalogue Aluminium'!$B$9:$G$93,2,FALSE),IF(T90="GROUND",VLOOKUP(W90,'Catalogue Aluminium'!$B$9:$G$93,3,FALSE),IF(T90="DUCT",VLOOKUP(W90,'Catalogue Aluminium'!$B$9:$G$93,4,FALSE),IF(T90="TRENCH",VLOOKUP(W90,'Catalogue Aluminium'!$B$9:$G$93,2,FALSE)))))</f>
        <v>95</v>
      </c>
      <c r="AA90" s="402">
        <f>VLOOKUP(W90,'Catalogue Aluminium'!$B$9:$G$93,5,FALSE)</f>
        <v>1.54</v>
      </c>
      <c r="AB90" s="402">
        <f>VLOOKUP(W90,'Catalogue Aluminium'!$B$9:$G$93,6,FALSE)</f>
        <v>8.1600000000000006E-2</v>
      </c>
      <c r="AC90" s="401">
        <f>26+3</f>
        <v>29</v>
      </c>
      <c r="AD90" s="401">
        <f>40+50+22+30</f>
        <v>142</v>
      </c>
      <c r="AE90" s="401">
        <f t="shared" si="685"/>
        <v>38</v>
      </c>
      <c r="AF90" s="401">
        <v>8</v>
      </c>
      <c r="AG90" s="401">
        <f t="shared" si="686"/>
        <v>22</v>
      </c>
      <c r="AH90" s="436">
        <f t="shared" si="711"/>
        <v>239</v>
      </c>
      <c r="AI90" s="393">
        <f>IF(T90="AIR",'Catalogue Aluminium'!$K$9,IF(T90="TRENCH",'Catalogue Aluminium'!$K$12,"NA"))</f>
        <v>0.89</v>
      </c>
      <c r="AJ90" s="392">
        <f>IF(T90="Air",(IF(U90="1C",'Catalogue Aluminium'!$L$9,'Catalogue Aluminium'!$M$9)),IF(T90="DUCT",(IF($U90="1C",'Catalogue Aluminium'!$L$10,'Catalogue Aluminium'!$M$10)),IF(T90="GROUND",(IF($U90="1C",'Catalogue Aluminium'!$L$11,'Catalogue Aluminium'!$M$11)),IF(T90="TRENCH",(IF($U90="1C",'Catalogue Aluminium'!$L$12,'Catalogue Aluminium'!$M$12))))))</f>
        <v>0.66</v>
      </c>
      <c r="AK90" s="393" t="str">
        <f>IF(T90="Air",'Catalogue Aluminium'!$N$9,IF(T90="GROUND",'Catalogue Aluminium'!$N$10,IF(T90="DUCT",'Catalogue Aluminium'!$N$11,IF(T90="TRENCH",'Catalogue Aluminium'!$N$12,"NA"))))</f>
        <v>NA</v>
      </c>
      <c r="AL90" s="393" t="str">
        <f>IF(T90="Air",(IF(U90="1C",'Catalogue Aluminium'!$O$9,'Catalogue Aluminium'!$P$9)),IF(T90="DUCT",(IF($U90="1C",'Catalogue Aluminium'!$O$10,'Catalogue Aluminium'!$P$10)),IF(T90="GROUND",(IF($U90="1C",'Catalogue Aluminium'!$O$11,'Catalogue Aluminium'!$P$11)),IF(T90="TRENCH",(IF($U90="1C",'Catalogue Aluminium'!$O$12,'Catalogue Aluminium'!$P$12))))))</f>
        <v>NA</v>
      </c>
      <c r="AM90" s="393" t="str">
        <f>IF(T90="AIR","NA",IF(T90="TRENCH","NA",IF(T90="DUCT",IF(U90="1C",VLOOKUP(V90,'Catalogue Aluminium'!$Q$9:$S$28,2,FALSE),VLOOKUP(V90,'Catalogue Aluminium'!$Q$9:$S$28,3)),IF(T90="GROUND",IF(U90="1C",VLOOKUP(V90,'Catalogue Aluminium'!$Q$9:$S$28,2,FALSE),VLOOKUP(V90,'Catalogue Aluminium'!$Q$9:$S$28,3))))))</f>
        <v>NA</v>
      </c>
      <c r="AN90" s="437">
        <f t="shared" si="687"/>
        <v>0.58740000000000003</v>
      </c>
      <c r="AO90" s="418">
        <f t="shared" si="688"/>
        <v>55.803000000000004</v>
      </c>
      <c r="AP90" s="434">
        <f t="shared" si="689"/>
        <v>1</v>
      </c>
      <c r="AQ90" s="418" t="str">
        <f t="shared" si="690"/>
        <v>YES</v>
      </c>
      <c r="AR90" s="437">
        <f t="shared" si="691"/>
        <v>1.5006223162105157</v>
      </c>
      <c r="AS90" s="401" t="str">
        <f t="shared" si="692"/>
        <v>YES</v>
      </c>
      <c r="AT90" s="437" t="str">
        <f t="shared" si="693"/>
        <v>NA</v>
      </c>
      <c r="AU90" s="401" t="str">
        <f t="shared" si="694"/>
        <v>NA</v>
      </c>
      <c r="AV90" s="503" t="str">
        <f t="shared" si="695"/>
        <v>1R x 0.6/1kV x 3.5C x 25 Sqmm</v>
      </c>
      <c r="AW90" s="503" t="str">
        <f t="shared" si="696"/>
        <v>1R x 0.6/1kV x 3.5C x 25 Sqmm</v>
      </c>
      <c r="AX90" s="401">
        <f t="shared" si="697"/>
        <v>239</v>
      </c>
      <c r="AY90" s="504"/>
      <c r="AZ90" s="504">
        <f t="shared" si="698"/>
        <v>2</v>
      </c>
      <c r="BA90" s="438" t="str">
        <f t="shared" si="699"/>
        <v>AC</v>
      </c>
      <c r="BB90" s="505">
        <f>VLOOKUP(W90,'Catalogue Aluminium'!$B$9:$H$93,7,FALSE)</f>
        <v>25</v>
      </c>
      <c r="BC90" s="439">
        <f t="shared" si="700"/>
        <v>25</v>
      </c>
      <c r="BE90" s="336"/>
      <c r="BF90" s="336">
        <v>1</v>
      </c>
      <c r="BG90" s="336"/>
      <c r="BH90" s="336"/>
      <c r="BI90" s="336">
        <v>1</v>
      </c>
      <c r="BJ90" s="336"/>
      <c r="BK90" s="336"/>
      <c r="BL90" s="336"/>
      <c r="BM90" s="336"/>
      <c r="BN90" s="336"/>
      <c r="BO90" s="336"/>
      <c r="BP90" s="336"/>
      <c r="BQ90" s="336"/>
      <c r="BR90" s="336"/>
      <c r="BS90" s="336"/>
      <c r="BT90" s="336"/>
      <c r="BU90" s="336"/>
      <c r="BV90" s="336"/>
      <c r="BW90" s="336"/>
      <c r="BX90" s="336"/>
      <c r="BY90" s="336"/>
      <c r="BZ90" s="336"/>
      <c r="CA90" s="336"/>
      <c r="CB90" s="336"/>
      <c r="CC90" s="336"/>
      <c r="CD90" s="336"/>
      <c r="CE90" s="336"/>
      <c r="CF90" s="336"/>
      <c r="CG90" s="336"/>
      <c r="CH90" s="336"/>
      <c r="CI90" s="336"/>
      <c r="CJ90" s="336"/>
      <c r="CK90" s="336"/>
      <c r="CL90" s="336"/>
      <c r="CM90" s="336"/>
      <c r="CN90" s="336"/>
      <c r="CO90" s="336"/>
      <c r="CP90" s="336"/>
      <c r="CQ90" s="336"/>
      <c r="CR90" s="336"/>
      <c r="CS90" s="336"/>
      <c r="CT90" s="336"/>
      <c r="CU90" s="336"/>
      <c r="CV90" s="336"/>
      <c r="CW90" s="336"/>
      <c r="CX90" s="336"/>
      <c r="CY90" s="336"/>
      <c r="CZ90" s="336"/>
      <c r="DA90" s="336"/>
      <c r="DB90" s="336"/>
      <c r="DC90" s="336"/>
      <c r="DD90" s="336"/>
      <c r="DE90" s="336"/>
      <c r="DF90" s="336"/>
      <c r="DG90" s="336"/>
      <c r="DH90" s="336"/>
      <c r="DI90" s="336"/>
      <c r="DJ90" s="336"/>
      <c r="DK90" s="336"/>
      <c r="DL90" s="336"/>
      <c r="DM90" s="336"/>
      <c r="DN90" s="336"/>
      <c r="DO90" s="336"/>
      <c r="DP90" s="336"/>
      <c r="DQ90" s="336"/>
      <c r="DR90" s="336"/>
      <c r="DS90" s="336"/>
      <c r="DT90" s="336"/>
      <c r="DU90" s="336"/>
      <c r="DW90" s="336">
        <f t="shared" si="709"/>
        <v>0</v>
      </c>
      <c r="DX90" s="336">
        <f t="shared" si="701"/>
        <v>25</v>
      </c>
      <c r="DY90" s="336">
        <f t="shared" si="702"/>
        <v>0</v>
      </c>
      <c r="DZ90" s="336">
        <f t="shared" si="703"/>
        <v>0</v>
      </c>
      <c r="EA90" s="336">
        <f t="shared" si="704"/>
        <v>25</v>
      </c>
      <c r="EB90" s="336">
        <f t="shared" si="705"/>
        <v>0</v>
      </c>
      <c r="EC90" s="336">
        <f t="shared" si="706"/>
        <v>0</v>
      </c>
      <c r="ED90" s="336">
        <f t="shared" si="621"/>
        <v>0</v>
      </c>
      <c r="EE90" s="336">
        <f t="shared" si="622"/>
        <v>0</v>
      </c>
      <c r="EF90" s="336">
        <f t="shared" si="623"/>
        <v>0</v>
      </c>
      <c r="EG90" s="336">
        <f t="shared" si="624"/>
        <v>0</v>
      </c>
      <c r="EH90" s="336">
        <f t="shared" si="625"/>
        <v>0</v>
      </c>
      <c r="EI90" s="336">
        <f t="shared" si="626"/>
        <v>0</v>
      </c>
      <c r="EJ90" s="336">
        <f t="shared" si="627"/>
        <v>0</v>
      </c>
      <c r="EK90" s="336">
        <f t="shared" si="628"/>
        <v>0</v>
      </c>
      <c r="EL90" s="336">
        <f t="shared" si="629"/>
        <v>0</v>
      </c>
      <c r="EM90" s="336">
        <f t="shared" si="630"/>
        <v>0</v>
      </c>
      <c r="EN90" s="336">
        <f t="shared" si="631"/>
        <v>0</v>
      </c>
      <c r="EO90" s="336">
        <f t="shared" si="632"/>
        <v>0</v>
      </c>
      <c r="EP90" s="336">
        <f t="shared" si="633"/>
        <v>0</v>
      </c>
      <c r="EQ90" s="336">
        <f t="shared" si="634"/>
        <v>0</v>
      </c>
      <c r="ER90" s="336">
        <f t="shared" si="635"/>
        <v>0</v>
      </c>
      <c r="ES90" s="336">
        <f t="shared" si="636"/>
        <v>0</v>
      </c>
      <c r="ET90" s="336">
        <f t="shared" si="636"/>
        <v>0</v>
      </c>
      <c r="EU90" s="336">
        <f t="shared" si="637"/>
        <v>0</v>
      </c>
      <c r="EV90" s="336">
        <f t="shared" si="638"/>
        <v>0</v>
      </c>
      <c r="EW90" s="336">
        <f t="shared" si="639"/>
        <v>0</v>
      </c>
      <c r="EX90" s="336">
        <f t="shared" si="640"/>
        <v>0</v>
      </c>
      <c r="EY90" s="336">
        <f t="shared" si="641"/>
        <v>0</v>
      </c>
      <c r="EZ90" s="336">
        <f t="shared" si="642"/>
        <v>0</v>
      </c>
      <c r="FA90" s="336">
        <f t="shared" si="643"/>
        <v>0</v>
      </c>
      <c r="FB90" s="336">
        <f t="shared" si="644"/>
        <v>0</v>
      </c>
      <c r="FC90" s="336">
        <f t="shared" si="645"/>
        <v>0</v>
      </c>
      <c r="FD90" s="336">
        <f t="shared" si="646"/>
        <v>0</v>
      </c>
      <c r="FE90" s="336">
        <f t="shared" si="647"/>
        <v>0</v>
      </c>
      <c r="FF90" s="336">
        <f t="shared" si="648"/>
        <v>0</v>
      </c>
      <c r="FG90" s="336">
        <f t="shared" si="649"/>
        <v>0</v>
      </c>
      <c r="FH90" s="336">
        <f t="shared" si="650"/>
        <v>0</v>
      </c>
      <c r="FI90" s="336">
        <f t="shared" si="651"/>
        <v>0</v>
      </c>
      <c r="FJ90" s="336">
        <f t="shared" si="652"/>
        <v>0</v>
      </c>
      <c r="FK90" s="336">
        <f t="shared" si="653"/>
        <v>0</v>
      </c>
      <c r="FL90" s="336">
        <f t="shared" si="654"/>
        <v>0</v>
      </c>
      <c r="FM90" s="336">
        <f t="shared" si="655"/>
        <v>0</v>
      </c>
      <c r="FN90" s="336">
        <f t="shared" si="656"/>
        <v>0</v>
      </c>
      <c r="FO90" s="336">
        <f t="shared" si="657"/>
        <v>0</v>
      </c>
      <c r="FP90" s="336">
        <f t="shared" si="658"/>
        <v>0</v>
      </c>
      <c r="FQ90" s="336">
        <f t="shared" si="659"/>
        <v>0</v>
      </c>
      <c r="FR90" s="336">
        <f t="shared" si="660"/>
        <v>0</v>
      </c>
      <c r="FS90" s="336">
        <f t="shared" si="661"/>
        <v>0</v>
      </c>
      <c r="FT90" s="336">
        <f t="shared" si="662"/>
        <v>0</v>
      </c>
      <c r="FU90" s="336">
        <f t="shared" si="609"/>
        <v>0</v>
      </c>
      <c r="FV90" s="336">
        <f t="shared" si="610"/>
        <v>0</v>
      </c>
      <c r="FW90" s="336">
        <f t="shared" si="611"/>
        <v>0</v>
      </c>
      <c r="FX90" s="336">
        <f t="shared" si="612"/>
        <v>0</v>
      </c>
      <c r="FY90" s="336">
        <f t="shared" si="663"/>
        <v>0</v>
      </c>
      <c r="FZ90" s="336">
        <f t="shared" si="664"/>
        <v>0</v>
      </c>
      <c r="GA90" s="336">
        <f t="shared" si="665"/>
        <v>0</v>
      </c>
      <c r="GB90" s="336">
        <f t="shared" si="666"/>
        <v>0</v>
      </c>
      <c r="GC90" s="336">
        <f t="shared" si="667"/>
        <v>0</v>
      </c>
      <c r="GD90" s="336">
        <f t="shared" si="668"/>
        <v>0</v>
      </c>
      <c r="GE90" s="336">
        <f t="shared" si="669"/>
        <v>0</v>
      </c>
      <c r="GF90" s="336">
        <f t="shared" si="670"/>
        <v>0</v>
      </c>
      <c r="GG90" s="336">
        <f t="shared" si="671"/>
        <v>0</v>
      </c>
      <c r="GH90" s="336">
        <f t="shared" si="672"/>
        <v>0</v>
      </c>
      <c r="GI90" s="336">
        <f t="shared" si="673"/>
        <v>0</v>
      </c>
      <c r="GJ90" s="336">
        <f t="shared" si="674"/>
        <v>0</v>
      </c>
      <c r="GK90" s="336">
        <f t="shared" si="677"/>
        <v>0</v>
      </c>
      <c r="GL90" s="336">
        <f t="shared" si="613"/>
        <v>0</v>
      </c>
      <c r="GM90" s="336">
        <f t="shared" si="675"/>
        <v>0</v>
      </c>
    </row>
    <row r="91" spans="1:195" ht="20.100000000000001" customHeight="1">
      <c r="A91" s="388">
        <f t="shared" si="707"/>
        <v>60</v>
      </c>
      <c r="B91" s="406" t="s">
        <v>1652</v>
      </c>
      <c r="C91" s="388" t="s">
        <v>489</v>
      </c>
      <c r="D91" s="338" t="s">
        <v>559</v>
      </c>
      <c r="E91" s="502" t="s">
        <v>401</v>
      </c>
      <c r="F91" s="388" t="s">
        <v>29</v>
      </c>
      <c r="G91" s="388" t="s">
        <v>329</v>
      </c>
      <c r="H91" s="418">
        <v>3</v>
      </c>
      <c r="I91" s="388" t="s">
        <v>330</v>
      </c>
      <c r="J91" s="388" t="s">
        <v>331</v>
      </c>
      <c r="K91" s="434">
        <v>400</v>
      </c>
      <c r="L91" s="401">
        <v>0.85</v>
      </c>
      <c r="M91" s="418">
        <v>0.95</v>
      </c>
      <c r="N91" s="392">
        <f t="shared" si="679"/>
        <v>5.3625437047311939</v>
      </c>
      <c r="O91" s="392">
        <f t="shared" si="680"/>
        <v>0</v>
      </c>
      <c r="P91" s="401" t="str">
        <f t="shared" si="681"/>
        <v>0.00</v>
      </c>
      <c r="Q91" s="418">
        <v>65</v>
      </c>
      <c r="R91" s="418">
        <v>0</v>
      </c>
      <c r="S91" s="418">
        <f t="shared" si="682"/>
        <v>0</v>
      </c>
      <c r="T91" s="401" t="s">
        <v>131</v>
      </c>
      <c r="U91" s="418" t="s">
        <v>522</v>
      </c>
      <c r="V91" s="401">
        <v>6</v>
      </c>
      <c r="W91" s="401" t="str">
        <f t="shared" si="683"/>
        <v>4C X 6</v>
      </c>
      <c r="X91" s="401" t="str">
        <f t="shared" si="684"/>
        <v>4C X 6</v>
      </c>
      <c r="Y91" s="401" t="s">
        <v>358</v>
      </c>
      <c r="Z91" s="393">
        <f>IF(T91="AIR",VLOOKUP(W91,'Catalogue Aluminium'!$B$9:$G$93,2,FALSE),IF(T91="GROUND",VLOOKUP(W91,'Catalogue Aluminium'!$B$9:$G$93,3,FALSE),IF(T91="DUCT",VLOOKUP(W91,'Catalogue Aluminium'!$B$9:$G$93,4,FALSE),IF(T91="TRENCH",VLOOKUP(W91,'Catalogue Aluminium'!$B$9:$G$93,2,FALSE)))))</f>
        <v>51</v>
      </c>
      <c r="AA91" s="402">
        <f>VLOOKUP(W91,'Catalogue Aluminium'!$B$9:$G$93,5,FALSE)</f>
        <v>3.94</v>
      </c>
      <c r="AB91" s="402">
        <f>VLOOKUP(W91,'Catalogue Aluminium'!$B$9:$G$93,6,FALSE)</f>
        <v>9.0200000000000002E-2</v>
      </c>
      <c r="AC91" s="401">
        <f t="shared" si="708"/>
        <v>20</v>
      </c>
      <c r="AD91" s="401">
        <f t="shared" ref="AD91:AD93" si="713">40+50+22+30</f>
        <v>142</v>
      </c>
      <c r="AE91" s="401">
        <f t="shared" si="685"/>
        <v>38</v>
      </c>
      <c r="AF91" s="401">
        <v>8</v>
      </c>
      <c r="AG91" s="401">
        <f t="shared" si="686"/>
        <v>21</v>
      </c>
      <c r="AH91" s="436">
        <f t="shared" si="711"/>
        <v>229</v>
      </c>
      <c r="AI91" s="393">
        <f>IF(T91="AIR",'Catalogue Aluminium'!$K$9,IF(T91="TRENCH",'Catalogue Aluminium'!$K$12,"NA"))</f>
        <v>0.89</v>
      </c>
      <c r="AJ91" s="392">
        <f>IF(T91="Air",(IF(U91="1C",'Catalogue Aluminium'!$L$9,'Catalogue Aluminium'!$M$9)),IF(T91="DUCT",(IF($U91="1C",'Catalogue Aluminium'!$L$10,'Catalogue Aluminium'!$M$10)),IF(T91="GROUND",(IF($U91="1C",'Catalogue Aluminium'!$L$11,'Catalogue Aluminium'!$M$11)),IF(T91="TRENCH",(IF($U91="1C",'Catalogue Aluminium'!$L$12,'Catalogue Aluminium'!$M$12))))))</f>
        <v>0.66</v>
      </c>
      <c r="AK91" s="393" t="str">
        <f>IF(T91="Air",'Catalogue Aluminium'!$N$9,IF(T91="GROUND",'Catalogue Aluminium'!$N$10,IF(T91="DUCT",'Catalogue Aluminium'!$N$11,IF(T91="TRENCH",'Catalogue Aluminium'!$N$12,"NA"))))</f>
        <v>NA</v>
      </c>
      <c r="AL91" s="393" t="str">
        <f>IF(T91="Air",(IF(U91="1C",'Catalogue Aluminium'!$O$9,'Catalogue Aluminium'!$P$9)),IF(T91="DUCT",(IF($U91="1C",'Catalogue Aluminium'!$O$10,'Catalogue Aluminium'!$P$10)),IF(T91="GROUND",(IF($U91="1C",'Catalogue Aluminium'!$O$11,'Catalogue Aluminium'!$P$11)),IF(T91="TRENCH",(IF($U91="1C",'Catalogue Aluminium'!$O$12,'Catalogue Aluminium'!$P$12))))))</f>
        <v>NA</v>
      </c>
      <c r="AM91" s="393" t="str">
        <f>IF(T91="AIR","NA",IF(T91="TRENCH","NA",IF(T91="DUCT",IF(U91="1C",VLOOKUP(V91,'Catalogue Aluminium'!$Q$9:$S$28,2,FALSE),VLOOKUP(V91,'Catalogue Aluminium'!$Q$9:$S$28,3)),IF(T91="GROUND",IF(U91="1C",VLOOKUP(V91,'Catalogue Aluminium'!$Q$9:$S$28,2,FALSE),VLOOKUP(V91,'Catalogue Aluminium'!$Q$9:$S$28,3))))))</f>
        <v>NA</v>
      </c>
      <c r="AN91" s="437">
        <f t="shared" si="687"/>
        <v>0.58740000000000003</v>
      </c>
      <c r="AO91" s="418">
        <f t="shared" si="688"/>
        <v>29.957400000000003</v>
      </c>
      <c r="AP91" s="434">
        <f t="shared" si="689"/>
        <v>1</v>
      </c>
      <c r="AQ91" s="418" t="str">
        <f t="shared" si="690"/>
        <v>YES</v>
      </c>
      <c r="AR91" s="437">
        <f t="shared" si="691"/>
        <v>1.8060950488516976</v>
      </c>
      <c r="AS91" s="401" t="str">
        <f t="shared" si="692"/>
        <v>YES</v>
      </c>
      <c r="AT91" s="437" t="str">
        <f t="shared" si="693"/>
        <v>NA</v>
      </c>
      <c r="AU91" s="401" t="str">
        <f t="shared" si="694"/>
        <v>NA</v>
      </c>
      <c r="AV91" s="503" t="str">
        <f t="shared" si="695"/>
        <v>1R x 0.6/1kV x 4C x 6 Sqmm</v>
      </c>
      <c r="AW91" s="503" t="str">
        <f t="shared" si="696"/>
        <v>1R x 0.6/1kV x 4C x 6 Sqmm</v>
      </c>
      <c r="AX91" s="401">
        <f t="shared" si="697"/>
        <v>229</v>
      </c>
      <c r="AY91" s="504"/>
      <c r="AZ91" s="504">
        <f t="shared" si="698"/>
        <v>2</v>
      </c>
      <c r="BA91" s="438" t="str">
        <f t="shared" si="699"/>
        <v>AC</v>
      </c>
      <c r="BB91" s="505">
        <f>VLOOKUP(W91,'Catalogue Aluminium'!$B$9:$H$93,7,FALSE)</f>
        <v>18</v>
      </c>
      <c r="BC91" s="439">
        <f t="shared" si="700"/>
        <v>18</v>
      </c>
      <c r="BE91" s="336"/>
      <c r="BF91" s="336">
        <v>1</v>
      </c>
      <c r="BG91" s="336"/>
      <c r="BH91" s="336"/>
      <c r="BI91" s="336">
        <v>1</v>
      </c>
      <c r="BJ91" s="336"/>
      <c r="BK91" s="336"/>
      <c r="BL91" s="336"/>
      <c r="BM91" s="336"/>
      <c r="BN91" s="336"/>
      <c r="BO91" s="336"/>
      <c r="BP91" s="336"/>
      <c r="BQ91" s="336"/>
      <c r="BR91" s="336"/>
      <c r="BS91" s="336"/>
      <c r="BT91" s="336"/>
      <c r="BU91" s="336"/>
      <c r="BV91" s="336"/>
      <c r="BW91" s="336"/>
      <c r="BX91" s="336"/>
      <c r="BY91" s="336"/>
      <c r="BZ91" s="336"/>
      <c r="CA91" s="336"/>
      <c r="CB91" s="336"/>
      <c r="CC91" s="336"/>
      <c r="CD91" s="336"/>
      <c r="CE91" s="336"/>
      <c r="CF91" s="336"/>
      <c r="CG91" s="336"/>
      <c r="CH91" s="336"/>
      <c r="CI91" s="336"/>
      <c r="CJ91" s="336"/>
      <c r="CK91" s="336"/>
      <c r="CL91" s="336"/>
      <c r="CM91" s="336"/>
      <c r="CN91" s="336"/>
      <c r="CO91" s="336"/>
      <c r="CP91" s="336"/>
      <c r="CQ91" s="336"/>
      <c r="CR91" s="336"/>
      <c r="CS91" s="336"/>
      <c r="CT91" s="336"/>
      <c r="CU91" s="336"/>
      <c r="CV91" s="336"/>
      <c r="CW91" s="336"/>
      <c r="CX91" s="336"/>
      <c r="CY91" s="336"/>
      <c r="CZ91" s="336"/>
      <c r="DA91" s="336"/>
      <c r="DB91" s="336"/>
      <c r="DC91" s="336"/>
      <c r="DD91" s="336"/>
      <c r="DE91" s="336"/>
      <c r="DF91" s="336"/>
      <c r="DG91" s="336"/>
      <c r="DH91" s="336"/>
      <c r="DI91" s="336"/>
      <c r="DJ91" s="336"/>
      <c r="DK91" s="336"/>
      <c r="DL91" s="336"/>
      <c r="DM91" s="336"/>
      <c r="DN91" s="336"/>
      <c r="DO91" s="336"/>
      <c r="DP91" s="336"/>
      <c r="DQ91" s="336"/>
      <c r="DR91" s="336"/>
      <c r="DS91" s="336"/>
      <c r="DT91" s="336"/>
      <c r="DU91" s="336"/>
      <c r="DW91" s="336">
        <f t="shared" si="709"/>
        <v>0</v>
      </c>
      <c r="DX91" s="336">
        <f t="shared" si="701"/>
        <v>18</v>
      </c>
      <c r="DY91" s="336">
        <f t="shared" si="702"/>
        <v>0</v>
      </c>
      <c r="DZ91" s="336">
        <f t="shared" si="703"/>
        <v>0</v>
      </c>
      <c r="EA91" s="336">
        <f t="shared" si="704"/>
        <v>18</v>
      </c>
      <c r="EB91" s="336">
        <f t="shared" si="705"/>
        <v>0</v>
      </c>
      <c r="EC91" s="336">
        <f t="shared" si="706"/>
        <v>0</v>
      </c>
      <c r="ED91" s="336">
        <f t="shared" si="621"/>
        <v>0</v>
      </c>
      <c r="EE91" s="336">
        <f t="shared" si="622"/>
        <v>0</v>
      </c>
      <c r="EF91" s="336">
        <f t="shared" si="623"/>
        <v>0</v>
      </c>
      <c r="EG91" s="336">
        <f t="shared" si="624"/>
        <v>0</v>
      </c>
      <c r="EH91" s="336">
        <f t="shared" si="625"/>
        <v>0</v>
      </c>
      <c r="EI91" s="336">
        <f t="shared" si="626"/>
        <v>0</v>
      </c>
      <c r="EJ91" s="336">
        <f t="shared" si="627"/>
        <v>0</v>
      </c>
      <c r="EK91" s="336">
        <f t="shared" si="628"/>
        <v>0</v>
      </c>
      <c r="EL91" s="336">
        <f t="shared" si="629"/>
        <v>0</v>
      </c>
      <c r="EM91" s="336">
        <f t="shared" si="630"/>
        <v>0</v>
      </c>
      <c r="EN91" s="336">
        <f t="shared" si="631"/>
        <v>0</v>
      </c>
      <c r="EO91" s="336">
        <f t="shared" si="632"/>
        <v>0</v>
      </c>
      <c r="EP91" s="336">
        <f t="shared" si="633"/>
        <v>0</v>
      </c>
      <c r="EQ91" s="336">
        <f t="shared" si="634"/>
        <v>0</v>
      </c>
      <c r="ER91" s="336">
        <f t="shared" si="635"/>
        <v>0</v>
      </c>
      <c r="ES91" s="336">
        <f t="shared" si="636"/>
        <v>0</v>
      </c>
      <c r="ET91" s="336">
        <f t="shared" si="636"/>
        <v>0</v>
      </c>
      <c r="EU91" s="336">
        <f t="shared" si="637"/>
        <v>0</v>
      </c>
      <c r="EV91" s="336">
        <f t="shared" si="638"/>
        <v>0</v>
      </c>
      <c r="EW91" s="336">
        <f t="shared" si="639"/>
        <v>0</v>
      </c>
      <c r="EX91" s="336">
        <f t="shared" si="640"/>
        <v>0</v>
      </c>
      <c r="EY91" s="336">
        <f t="shared" si="641"/>
        <v>0</v>
      </c>
      <c r="EZ91" s="336">
        <f t="shared" si="642"/>
        <v>0</v>
      </c>
      <c r="FA91" s="336">
        <f t="shared" si="643"/>
        <v>0</v>
      </c>
      <c r="FB91" s="336">
        <f t="shared" si="644"/>
        <v>0</v>
      </c>
      <c r="FC91" s="336">
        <f t="shared" si="645"/>
        <v>0</v>
      </c>
      <c r="FD91" s="336">
        <f t="shared" si="646"/>
        <v>0</v>
      </c>
      <c r="FE91" s="336">
        <f t="shared" si="647"/>
        <v>0</v>
      </c>
      <c r="FF91" s="336">
        <f t="shared" si="648"/>
        <v>0</v>
      </c>
      <c r="FG91" s="336">
        <f t="shared" si="649"/>
        <v>0</v>
      </c>
      <c r="FH91" s="336">
        <f t="shared" si="650"/>
        <v>0</v>
      </c>
      <c r="FI91" s="336">
        <f t="shared" si="651"/>
        <v>0</v>
      </c>
      <c r="FJ91" s="336">
        <f t="shared" si="652"/>
        <v>0</v>
      </c>
      <c r="FK91" s="336">
        <f t="shared" si="653"/>
        <v>0</v>
      </c>
      <c r="FL91" s="336">
        <f t="shared" si="654"/>
        <v>0</v>
      </c>
      <c r="FM91" s="336">
        <f t="shared" si="655"/>
        <v>0</v>
      </c>
      <c r="FN91" s="336">
        <f t="shared" si="656"/>
        <v>0</v>
      </c>
      <c r="FO91" s="336">
        <f t="shared" si="657"/>
        <v>0</v>
      </c>
      <c r="FP91" s="336">
        <f t="shared" si="658"/>
        <v>0</v>
      </c>
      <c r="FQ91" s="336">
        <f t="shared" si="659"/>
        <v>0</v>
      </c>
      <c r="FR91" s="336">
        <f t="shared" si="660"/>
        <v>0</v>
      </c>
      <c r="FS91" s="336">
        <f t="shared" si="661"/>
        <v>0</v>
      </c>
      <c r="FT91" s="336">
        <f t="shared" si="662"/>
        <v>0</v>
      </c>
      <c r="FU91" s="336">
        <f t="shared" si="609"/>
        <v>0</v>
      </c>
      <c r="FV91" s="336">
        <f t="shared" si="610"/>
        <v>0</v>
      </c>
      <c r="FW91" s="336">
        <f t="shared" si="611"/>
        <v>0</v>
      </c>
      <c r="FX91" s="336">
        <f t="shared" si="612"/>
        <v>0</v>
      </c>
      <c r="FY91" s="336">
        <f t="shared" si="663"/>
        <v>0</v>
      </c>
      <c r="FZ91" s="336">
        <f t="shared" si="664"/>
        <v>0</v>
      </c>
      <c r="GA91" s="336">
        <f t="shared" si="665"/>
        <v>0</v>
      </c>
      <c r="GB91" s="336">
        <f t="shared" si="666"/>
        <v>0</v>
      </c>
      <c r="GC91" s="336">
        <f t="shared" si="667"/>
        <v>0</v>
      </c>
      <c r="GD91" s="336">
        <f t="shared" si="668"/>
        <v>0</v>
      </c>
      <c r="GE91" s="336">
        <f t="shared" si="669"/>
        <v>0</v>
      </c>
      <c r="GF91" s="336">
        <f t="shared" si="670"/>
        <v>0</v>
      </c>
      <c r="GG91" s="336">
        <f t="shared" si="671"/>
        <v>0</v>
      </c>
      <c r="GH91" s="336">
        <f t="shared" si="672"/>
        <v>0</v>
      </c>
      <c r="GI91" s="336">
        <f t="shared" si="673"/>
        <v>0</v>
      </c>
      <c r="GJ91" s="336">
        <f t="shared" si="674"/>
        <v>0</v>
      </c>
      <c r="GK91" s="336">
        <f t="shared" si="677"/>
        <v>0</v>
      </c>
      <c r="GL91" s="336">
        <f t="shared" si="613"/>
        <v>0</v>
      </c>
      <c r="GM91" s="336">
        <f t="shared" si="675"/>
        <v>0</v>
      </c>
    </row>
    <row r="92" spans="1:195" ht="20.100000000000001" customHeight="1">
      <c r="A92" s="388">
        <f t="shared" si="707"/>
        <v>61</v>
      </c>
      <c r="B92" s="388" t="s">
        <v>527</v>
      </c>
      <c r="C92" s="388" t="s">
        <v>489</v>
      </c>
      <c r="D92" s="338" t="s">
        <v>560</v>
      </c>
      <c r="E92" s="502" t="s">
        <v>401</v>
      </c>
      <c r="F92" s="388" t="s">
        <v>28</v>
      </c>
      <c r="G92" s="388" t="s">
        <v>329</v>
      </c>
      <c r="H92" s="418">
        <v>16</v>
      </c>
      <c r="I92" s="388" t="s">
        <v>330</v>
      </c>
      <c r="J92" s="388" t="s">
        <v>331</v>
      </c>
      <c r="K92" s="434">
        <v>400</v>
      </c>
      <c r="L92" s="401">
        <v>0.85</v>
      </c>
      <c r="M92" s="418">
        <v>0.95</v>
      </c>
      <c r="N92" s="392">
        <f t="shared" si="679"/>
        <v>28.600233091899703</v>
      </c>
      <c r="O92" s="392">
        <f t="shared" si="680"/>
        <v>0</v>
      </c>
      <c r="P92" s="401" t="str">
        <f t="shared" si="681"/>
        <v>0.00</v>
      </c>
      <c r="Q92" s="418">
        <v>65</v>
      </c>
      <c r="R92" s="418">
        <v>0</v>
      </c>
      <c r="S92" s="418">
        <f t="shared" si="682"/>
        <v>0</v>
      </c>
      <c r="T92" s="401" t="s">
        <v>131</v>
      </c>
      <c r="U92" s="418" t="s">
        <v>535</v>
      </c>
      <c r="V92" s="401">
        <v>50</v>
      </c>
      <c r="W92" s="401" t="str">
        <f t="shared" si="683"/>
        <v>3.5C X 50</v>
      </c>
      <c r="X92" s="401" t="str">
        <f t="shared" si="684"/>
        <v>3.5C X 50</v>
      </c>
      <c r="Y92" s="401" t="s">
        <v>358</v>
      </c>
      <c r="Z92" s="393">
        <f>IF(T92="AIR",VLOOKUP(W92,'Catalogue Aluminium'!$B$9:$G$93,2,FALSE),IF(T92="GROUND",VLOOKUP(W92,'Catalogue Aluminium'!$B$9:$G$93,3,FALSE),IF(T92="DUCT",VLOOKUP(W92,'Catalogue Aluminium'!$B$9:$G$93,4,FALSE),IF(T92="TRENCH",VLOOKUP(W92,'Catalogue Aluminium'!$B$9:$G$93,2,FALSE)))))</f>
        <v>141</v>
      </c>
      <c r="AA92" s="402">
        <f>VLOOKUP(W92,'Catalogue Aluminium'!$B$9:$G$93,5,FALSE)</f>
        <v>0.82</v>
      </c>
      <c r="AB92" s="402">
        <f>VLOOKUP(W92,'Catalogue Aluminium'!$B$9:$G$93,6,FALSE)</f>
        <v>7.9200000000000007E-2</v>
      </c>
      <c r="AC92" s="401">
        <f>26+3</f>
        <v>29</v>
      </c>
      <c r="AD92" s="401">
        <f t="shared" si="713"/>
        <v>142</v>
      </c>
      <c r="AE92" s="401">
        <f t="shared" si="685"/>
        <v>38</v>
      </c>
      <c r="AF92" s="401">
        <v>8</v>
      </c>
      <c r="AG92" s="401">
        <f t="shared" si="686"/>
        <v>22</v>
      </c>
      <c r="AH92" s="436">
        <f t="shared" si="711"/>
        <v>239</v>
      </c>
      <c r="AI92" s="393">
        <f>IF(T92="AIR",'Catalogue Aluminium'!$K$9,IF(T92="TRENCH",'Catalogue Aluminium'!$K$12,"NA"))</f>
        <v>0.89</v>
      </c>
      <c r="AJ92" s="392">
        <f>IF(T92="Air",(IF(U92="1C",'Catalogue Aluminium'!$L$9,'Catalogue Aluminium'!$M$9)),IF(T92="DUCT",(IF($U92="1C",'Catalogue Aluminium'!$L$10,'Catalogue Aluminium'!$M$10)),IF(T92="GROUND",(IF($U92="1C",'Catalogue Aluminium'!$L$11,'Catalogue Aluminium'!$M$11)),IF(T92="TRENCH",(IF($U92="1C",'Catalogue Aluminium'!$L$12,'Catalogue Aluminium'!$M$12))))))</f>
        <v>0.66</v>
      </c>
      <c r="AK92" s="393" t="str">
        <f>IF(T92="Air",'Catalogue Aluminium'!$N$9,IF(T92="GROUND",'Catalogue Aluminium'!$N$10,IF(T92="DUCT",'Catalogue Aluminium'!$N$11,IF(T92="TRENCH",'Catalogue Aluminium'!$N$12,"NA"))))</f>
        <v>NA</v>
      </c>
      <c r="AL92" s="393" t="str">
        <f>IF(T92="Air",(IF(U92="1C",'Catalogue Aluminium'!$O$9,'Catalogue Aluminium'!$P$9)),IF(T92="DUCT",(IF($U92="1C",'Catalogue Aluminium'!$O$10,'Catalogue Aluminium'!$P$10)),IF(T92="GROUND",(IF($U92="1C",'Catalogue Aluminium'!$O$11,'Catalogue Aluminium'!$P$11)),IF(T92="TRENCH",(IF($U92="1C",'Catalogue Aluminium'!$O$12,'Catalogue Aluminium'!$P$12))))))</f>
        <v>NA</v>
      </c>
      <c r="AM92" s="393" t="str">
        <f>IF(T92="AIR","NA",IF(T92="TRENCH","NA",IF(T92="DUCT",IF(U92="1C",VLOOKUP(V92,'Catalogue Aluminium'!$Q$9:$S$28,2,FALSE),VLOOKUP(V92,'Catalogue Aluminium'!$Q$9:$S$28,3)),IF(T92="GROUND",IF(U92="1C",VLOOKUP(V92,'Catalogue Aluminium'!$Q$9:$S$28,2,FALSE),VLOOKUP(V92,'Catalogue Aluminium'!$Q$9:$S$28,3))))))</f>
        <v>NA</v>
      </c>
      <c r="AN92" s="437">
        <f t="shared" si="687"/>
        <v>0.58740000000000003</v>
      </c>
      <c r="AO92" s="418">
        <f t="shared" si="688"/>
        <v>82.823400000000007</v>
      </c>
      <c r="AP92" s="434">
        <f t="shared" si="689"/>
        <v>1</v>
      </c>
      <c r="AQ92" s="418" t="str">
        <f t="shared" si="690"/>
        <v>YES</v>
      </c>
      <c r="AR92" s="437">
        <f t="shared" si="691"/>
        <v>2.1864958921826458</v>
      </c>
      <c r="AS92" s="401" t="str">
        <f t="shared" si="692"/>
        <v>YES</v>
      </c>
      <c r="AT92" s="437" t="str">
        <f t="shared" si="693"/>
        <v>NA</v>
      </c>
      <c r="AU92" s="401" t="str">
        <f t="shared" si="694"/>
        <v>NA</v>
      </c>
      <c r="AV92" s="503" t="str">
        <f t="shared" si="695"/>
        <v>1R x 0.6/1kV x 3.5C x 50 Sqmm</v>
      </c>
      <c r="AW92" s="503" t="str">
        <f t="shared" si="696"/>
        <v>1R x 0.6/1kV x 3.5C x 50 Sqmm</v>
      </c>
      <c r="AX92" s="401">
        <f t="shared" si="697"/>
        <v>239</v>
      </c>
      <c r="AY92" s="504"/>
      <c r="AZ92" s="504">
        <f t="shared" si="698"/>
        <v>2</v>
      </c>
      <c r="BA92" s="438" t="str">
        <f t="shared" si="699"/>
        <v>AC</v>
      </c>
      <c r="BB92" s="505">
        <f>VLOOKUP(W92,'Catalogue Aluminium'!$B$9:$H$93,7,FALSE)</f>
        <v>30</v>
      </c>
      <c r="BC92" s="439">
        <f t="shared" si="700"/>
        <v>30</v>
      </c>
      <c r="BE92" s="336"/>
      <c r="BF92" s="336">
        <v>1</v>
      </c>
      <c r="BG92" s="336"/>
      <c r="BH92" s="336"/>
      <c r="BI92" s="336">
        <v>1</v>
      </c>
      <c r="BJ92" s="336"/>
      <c r="BK92" s="336"/>
      <c r="BL92" s="336"/>
      <c r="BM92" s="336"/>
      <c r="BN92" s="336"/>
      <c r="BO92" s="336"/>
      <c r="BP92" s="336"/>
      <c r="BQ92" s="336"/>
      <c r="BR92" s="336"/>
      <c r="BS92" s="336"/>
      <c r="BT92" s="336"/>
      <c r="BU92" s="336"/>
      <c r="BV92" s="336"/>
      <c r="BW92" s="336"/>
      <c r="BX92" s="336"/>
      <c r="BY92" s="336"/>
      <c r="BZ92" s="336"/>
      <c r="CA92" s="336"/>
      <c r="CB92" s="336"/>
      <c r="CC92" s="336"/>
      <c r="CD92" s="336"/>
      <c r="CE92" s="336"/>
      <c r="CF92" s="336"/>
      <c r="CG92" s="336"/>
      <c r="CH92" s="336"/>
      <c r="CI92" s="336"/>
      <c r="CJ92" s="336"/>
      <c r="CK92" s="336"/>
      <c r="CL92" s="336"/>
      <c r="CM92" s="336"/>
      <c r="CN92" s="336"/>
      <c r="CO92" s="336"/>
      <c r="CP92" s="336"/>
      <c r="CQ92" s="336"/>
      <c r="CR92" s="336"/>
      <c r="CS92" s="336"/>
      <c r="CT92" s="336"/>
      <c r="CU92" s="336"/>
      <c r="CV92" s="336"/>
      <c r="CW92" s="336"/>
      <c r="CX92" s="336"/>
      <c r="CY92" s="336"/>
      <c r="CZ92" s="336"/>
      <c r="DA92" s="336"/>
      <c r="DB92" s="336"/>
      <c r="DC92" s="336"/>
      <c r="DD92" s="336"/>
      <c r="DE92" s="336"/>
      <c r="DF92" s="336"/>
      <c r="DG92" s="336"/>
      <c r="DH92" s="336"/>
      <c r="DI92" s="336"/>
      <c r="DJ92" s="336"/>
      <c r="DK92" s="336"/>
      <c r="DL92" s="336"/>
      <c r="DM92" s="336"/>
      <c r="DN92" s="336"/>
      <c r="DO92" s="336"/>
      <c r="DP92" s="336"/>
      <c r="DQ92" s="336"/>
      <c r="DR92" s="336"/>
      <c r="DS92" s="336"/>
      <c r="DT92" s="336"/>
      <c r="DU92" s="336"/>
      <c r="DW92" s="336">
        <f t="shared" si="709"/>
        <v>0</v>
      </c>
      <c r="DX92" s="336">
        <f t="shared" si="701"/>
        <v>30</v>
      </c>
      <c r="DY92" s="336">
        <f t="shared" si="702"/>
        <v>0</v>
      </c>
      <c r="DZ92" s="336">
        <f t="shared" si="703"/>
        <v>0</v>
      </c>
      <c r="EA92" s="336">
        <f t="shared" si="704"/>
        <v>30</v>
      </c>
      <c r="EB92" s="336">
        <f t="shared" si="705"/>
        <v>0</v>
      </c>
      <c r="EC92" s="336">
        <f t="shared" si="706"/>
        <v>0</v>
      </c>
      <c r="ED92" s="336">
        <f t="shared" si="621"/>
        <v>0</v>
      </c>
      <c r="EE92" s="336">
        <f t="shared" si="622"/>
        <v>0</v>
      </c>
      <c r="EF92" s="336">
        <f t="shared" si="623"/>
        <v>0</v>
      </c>
      <c r="EG92" s="336">
        <f t="shared" si="624"/>
        <v>0</v>
      </c>
      <c r="EH92" s="336">
        <f t="shared" si="625"/>
        <v>0</v>
      </c>
      <c r="EI92" s="336">
        <f t="shared" si="626"/>
        <v>0</v>
      </c>
      <c r="EJ92" s="336">
        <f t="shared" si="627"/>
        <v>0</v>
      </c>
      <c r="EK92" s="336">
        <f t="shared" si="628"/>
        <v>0</v>
      </c>
      <c r="EL92" s="336">
        <f t="shared" si="629"/>
        <v>0</v>
      </c>
      <c r="EM92" s="336">
        <f t="shared" si="630"/>
        <v>0</v>
      </c>
      <c r="EN92" s="336">
        <f t="shared" si="631"/>
        <v>0</v>
      </c>
      <c r="EO92" s="336">
        <f t="shared" si="632"/>
        <v>0</v>
      </c>
      <c r="EP92" s="336">
        <f t="shared" si="633"/>
        <v>0</v>
      </c>
      <c r="EQ92" s="336">
        <f t="shared" si="634"/>
        <v>0</v>
      </c>
      <c r="ER92" s="336">
        <f t="shared" si="635"/>
        <v>0</v>
      </c>
      <c r="ES92" s="336">
        <f t="shared" si="636"/>
        <v>0</v>
      </c>
      <c r="ET92" s="336">
        <f t="shared" si="636"/>
        <v>0</v>
      </c>
      <c r="EU92" s="336">
        <f t="shared" si="637"/>
        <v>0</v>
      </c>
      <c r="EV92" s="336">
        <f t="shared" si="638"/>
        <v>0</v>
      </c>
      <c r="EW92" s="336">
        <f t="shared" si="639"/>
        <v>0</v>
      </c>
      <c r="EX92" s="336">
        <f t="shared" si="640"/>
        <v>0</v>
      </c>
      <c r="EY92" s="336">
        <f t="shared" si="641"/>
        <v>0</v>
      </c>
      <c r="EZ92" s="336">
        <f t="shared" si="642"/>
        <v>0</v>
      </c>
      <c r="FA92" s="336">
        <f t="shared" si="643"/>
        <v>0</v>
      </c>
      <c r="FB92" s="336">
        <f t="shared" si="644"/>
        <v>0</v>
      </c>
      <c r="FC92" s="336">
        <f t="shared" si="645"/>
        <v>0</v>
      </c>
      <c r="FD92" s="336">
        <f t="shared" si="646"/>
        <v>0</v>
      </c>
      <c r="FE92" s="336">
        <f t="shared" si="647"/>
        <v>0</v>
      </c>
      <c r="FF92" s="336">
        <f t="shared" si="648"/>
        <v>0</v>
      </c>
      <c r="FG92" s="336">
        <f t="shared" si="649"/>
        <v>0</v>
      </c>
      <c r="FH92" s="336">
        <f t="shared" si="650"/>
        <v>0</v>
      </c>
      <c r="FI92" s="336">
        <f t="shared" si="651"/>
        <v>0</v>
      </c>
      <c r="FJ92" s="336">
        <f t="shared" si="652"/>
        <v>0</v>
      </c>
      <c r="FK92" s="336">
        <f t="shared" si="653"/>
        <v>0</v>
      </c>
      <c r="FL92" s="336">
        <f t="shared" si="654"/>
        <v>0</v>
      </c>
      <c r="FM92" s="336">
        <f t="shared" si="655"/>
        <v>0</v>
      </c>
      <c r="FN92" s="336">
        <f t="shared" si="656"/>
        <v>0</v>
      </c>
      <c r="FO92" s="336">
        <f t="shared" si="657"/>
        <v>0</v>
      </c>
      <c r="FP92" s="336">
        <f t="shared" si="658"/>
        <v>0</v>
      </c>
      <c r="FQ92" s="336">
        <f t="shared" si="659"/>
        <v>0</v>
      </c>
      <c r="FR92" s="336">
        <f t="shared" si="660"/>
        <v>0</v>
      </c>
      <c r="FS92" s="336">
        <f t="shared" si="661"/>
        <v>0</v>
      </c>
      <c r="FT92" s="336">
        <f t="shared" si="662"/>
        <v>0</v>
      </c>
      <c r="FU92" s="336">
        <f t="shared" si="609"/>
        <v>0</v>
      </c>
      <c r="FV92" s="336">
        <f t="shared" si="610"/>
        <v>0</v>
      </c>
      <c r="FW92" s="336">
        <f t="shared" si="611"/>
        <v>0</v>
      </c>
      <c r="FX92" s="336">
        <f t="shared" si="612"/>
        <v>0</v>
      </c>
      <c r="FY92" s="336">
        <f t="shared" si="663"/>
        <v>0</v>
      </c>
      <c r="FZ92" s="336">
        <f t="shared" si="664"/>
        <v>0</v>
      </c>
      <c r="GA92" s="336">
        <f t="shared" si="665"/>
        <v>0</v>
      </c>
      <c r="GB92" s="336">
        <f t="shared" si="666"/>
        <v>0</v>
      </c>
      <c r="GC92" s="336">
        <f t="shared" si="667"/>
        <v>0</v>
      </c>
      <c r="GD92" s="336">
        <f t="shared" si="668"/>
        <v>0</v>
      </c>
      <c r="GE92" s="336">
        <f t="shared" si="669"/>
        <v>0</v>
      </c>
      <c r="GF92" s="336">
        <f t="shared" si="670"/>
        <v>0</v>
      </c>
      <c r="GG92" s="336">
        <f t="shared" si="671"/>
        <v>0</v>
      </c>
      <c r="GH92" s="336">
        <f t="shared" si="672"/>
        <v>0</v>
      </c>
      <c r="GI92" s="336">
        <f t="shared" si="673"/>
        <v>0</v>
      </c>
      <c r="GJ92" s="336">
        <f t="shared" si="674"/>
        <v>0</v>
      </c>
      <c r="GK92" s="336">
        <f t="shared" si="677"/>
        <v>0</v>
      </c>
      <c r="GL92" s="336">
        <f t="shared" si="613"/>
        <v>0</v>
      </c>
      <c r="GM92" s="336">
        <f t="shared" si="675"/>
        <v>0</v>
      </c>
    </row>
    <row r="93" spans="1:195" s="869" customFormat="1" ht="20.100000000000001" customHeight="1">
      <c r="A93" s="406">
        <f t="shared" si="707"/>
        <v>62</v>
      </c>
      <c r="B93" s="406" t="s">
        <v>1642</v>
      </c>
      <c r="C93" s="406" t="s">
        <v>489</v>
      </c>
      <c r="D93" s="787" t="s">
        <v>1643</v>
      </c>
      <c r="E93" s="580" t="s">
        <v>401</v>
      </c>
      <c r="F93" s="406" t="s">
        <v>28</v>
      </c>
      <c r="G93" s="406" t="s">
        <v>350</v>
      </c>
      <c r="H93" s="583">
        <v>5.25</v>
      </c>
      <c r="I93" s="406" t="s">
        <v>330</v>
      </c>
      <c r="J93" s="406" t="s">
        <v>331</v>
      </c>
      <c r="K93" s="585">
        <v>400</v>
      </c>
      <c r="L93" s="409">
        <v>0.85</v>
      </c>
      <c r="M93" s="583">
        <v>0.95</v>
      </c>
      <c r="N93" s="407">
        <f t="shared" ref="N93" si="714">IF(I93="kVA",IF(J93="3Ph",(H93*1000/(1.732*M93*K93)),(H93*1000/(M93*K93))),IF(I93="kW",IF(J93="3Ph",(H93*1000/(1.732*M93*K93*L93)),(H93*1000/(M93*K93*L93)))))</f>
        <v>9.3844514832795909</v>
      </c>
      <c r="O93" s="407">
        <f t="shared" ref="O93" si="715">IF(G93="MOTOR",(6*N93),IF(G93="VFD",(1*N93),0))</f>
        <v>56.306708899677545</v>
      </c>
      <c r="P93" s="409">
        <f t="shared" ref="P93" si="716">IF(G93="MOTOR",0.2,"0.00")</f>
        <v>0.2</v>
      </c>
      <c r="Q93" s="583">
        <v>65</v>
      </c>
      <c r="R93" s="583">
        <v>0</v>
      </c>
      <c r="S93" s="583">
        <f t="shared" ref="S93" si="717">(Q93*1000*SQRT(R93)/143)</f>
        <v>0</v>
      </c>
      <c r="T93" s="409" t="s">
        <v>131</v>
      </c>
      <c r="U93" s="583" t="s">
        <v>333</v>
      </c>
      <c r="V93" s="409">
        <v>16</v>
      </c>
      <c r="W93" s="409" t="str">
        <f t="shared" ref="W93" si="718">CONCATENATE(U93," X ",V93)</f>
        <v>3C X 16</v>
      </c>
      <c r="X93" s="409" t="str">
        <f t="shared" ref="X93" si="719">(IF(J93="1Ph",W93,IF(J93="3Ph",(IF(G93="MOTOR",(CONCATENATE(W93,"+PE")),W93)))))</f>
        <v>3C X 16+PE</v>
      </c>
      <c r="Y93" s="409" t="s">
        <v>358</v>
      </c>
      <c r="Z93" s="408">
        <f>IF(T93="AIR",VLOOKUP(W93,'Catalogue Aluminium'!$B$9:$G$93,2,FALSE),IF(T93="GROUND",VLOOKUP(W93,'Catalogue Aluminium'!$B$9:$G$93,3,FALSE),IF(T93="DUCT",VLOOKUP(W93,'Catalogue Aluminium'!$B$9:$G$93,4,FALSE),IF(T93="TRENCH",VLOOKUP(W93,'Catalogue Aluminium'!$B$9:$G$93,2,FALSE)))))</f>
        <v>70</v>
      </c>
      <c r="AA93" s="410">
        <f>VLOOKUP(W93,'Catalogue Aluminium'!$B$9:$G$93,5,FALSE)</f>
        <v>2.44</v>
      </c>
      <c r="AB93" s="410">
        <f>VLOOKUP(W93,'Catalogue Aluminium'!$B$9:$G$93,6,FALSE)</f>
        <v>8.1500000000000003E-2</v>
      </c>
      <c r="AC93" s="409">
        <f>26+3</f>
        <v>29</v>
      </c>
      <c r="AD93" s="409">
        <f t="shared" si="713"/>
        <v>142</v>
      </c>
      <c r="AE93" s="409">
        <f t="shared" si="685"/>
        <v>38</v>
      </c>
      <c r="AF93" s="409">
        <v>8</v>
      </c>
      <c r="AG93" s="409">
        <f t="shared" ref="AG93" si="720">ROUNDUP((SUM(AC93:AF93)*0.1),0)</f>
        <v>22</v>
      </c>
      <c r="AH93" s="865">
        <f t="shared" ref="AH93" si="721">SUM(AC93:AG93)</f>
        <v>239</v>
      </c>
      <c r="AI93" s="408">
        <f>IF(T93="AIR",'Catalogue Aluminium'!$K$9,IF(T93="TRENCH",'Catalogue Aluminium'!$K$12,"NA"))</f>
        <v>0.89</v>
      </c>
      <c r="AJ93" s="407">
        <f>IF(T93="Air",(IF(U93="1C",'Catalogue Aluminium'!$L$9,'Catalogue Aluminium'!$M$9)),IF(T93="DUCT",(IF($U93="1C",'Catalogue Aluminium'!$L$10,'Catalogue Aluminium'!$M$10)),IF(T93="GROUND",(IF($U93="1C",'Catalogue Aluminium'!$L$11,'Catalogue Aluminium'!$M$11)),IF(T93="TRENCH",(IF($U93="1C",'Catalogue Aluminium'!$L$12,'Catalogue Aluminium'!$M$12))))))</f>
        <v>0.66</v>
      </c>
      <c r="AK93" s="408" t="str">
        <f>IF(T93="Air",'Catalogue Aluminium'!$N$9,IF(T93="GROUND",'Catalogue Aluminium'!$N$10,IF(T93="DUCT",'Catalogue Aluminium'!$N$11,IF(T93="TRENCH",'Catalogue Aluminium'!$N$12,"NA"))))</f>
        <v>NA</v>
      </c>
      <c r="AL93" s="408" t="str">
        <f>IF(T93="Air",(IF(U93="1C",'Catalogue Aluminium'!$O$9,'Catalogue Aluminium'!$P$9)),IF(T93="DUCT",(IF($U93="1C",'Catalogue Aluminium'!$O$10,'Catalogue Aluminium'!$P$10)),IF(T93="GROUND",(IF($U93="1C",'Catalogue Aluminium'!$O$11,'Catalogue Aluminium'!$P$11)),IF(T93="TRENCH",(IF($U93="1C",'Catalogue Aluminium'!$O$12,'Catalogue Aluminium'!$P$12))))))</f>
        <v>NA</v>
      </c>
      <c r="AM93" s="408" t="str">
        <f>IF(T93="AIR","NA",IF(T93="TRENCH","NA",IF(T93="DUCT",IF(U93="1C",VLOOKUP(V93,'Catalogue Aluminium'!$Q$9:$S$28,2,FALSE),VLOOKUP(V93,'Catalogue Aluminium'!$Q$9:$S$28,3)),IF(T93="GROUND",IF(U93="1C",VLOOKUP(V93,'Catalogue Aluminium'!$Q$9:$S$28,2,FALSE),VLOOKUP(V93,'Catalogue Aluminium'!$Q$9:$S$28,3))))))</f>
        <v>NA</v>
      </c>
      <c r="AN93" s="584">
        <f t="shared" ref="AN93" si="722">IF(T93="AIR",AI93*AJ93,IF(T93="TRENCH",AI93*AJ93,IF(T93="DUCT",AJ93*AK93*AL93*AM93,IF(T93="GROUND",AJ93*AK93*AL93*AM93))))</f>
        <v>0.58740000000000003</v>
      </c>
      <c r="AO93" s="583">
        <f t="shared" ref="AO93" si="723">Z93*AN93</f>
        <v>41.118000000000002</v>
      </c>
      <c r="AP93" s="585">
        <f t="shared" ref="AP93" si="724">CEILING(((N93)/AO93),1)</f>
        <v>1</v>
      </c>
      <c r="AQ93" s="583" t="str">
        <f t="shared" ref="AQ93" si="725">IF(AO93*AP93&gt;=N93,"YES","NO")</f>
        <v>YES</v>
      </c>
      <c r="AR93" s="584">
        <f t="shared" ref="AR93" si="726">SQRT(3)*AH93*N93*((AA93*L93)+(AB93*SIN(ACOS(L93))))*100/(AP93*K93*1000)</f>
        <v>2.0559592386286725</v>
      </c>
      <c r="AS93" s="409" t="str">
        <f t="shared" ref="AS93" si="727">IF(G93="INCOMER",(IF(AR93&lt;=2,"YES","NO")),IF(G93="POWER",(IF(AR93&lt;=2.5,"YES","NO")),IF(G93="MOTOR",(IF(AR93&lt;=3,"YES","NO")))))</f>
        <v>YES</v>
      </c>
      <c r="AT93" s="584">
        <f t="shared" ref="AT93" si="728">IF(G93="MOTOR",(SQRT(3)*AH93*O93*((AA93*P93)+(AB93*SIN(ACOS(P93))))*100/(AP93*K93*1000)),"NA")</f>
        <v>3.3089856586798256</v>
      </c>
      <c r="AU93" s="409" t="str">
        <f t="shared" ref="AU93" si="729">IF(G93="MOTOR",IF(AT93&lt;=15,"YES","NO"),"NA")</f>
        <v>YES</v>
      </c>
      <c r="AV93" s="586" t="str">
        <f t="shared" ref="AV93" si="730">IF(U93="1C",CONCATENATE(AP93,"R x ",Y93,"kV x ",U93," x ",V93," Sqmm/Phase"),CONCATENATE(AP93,"R x ",0.6,"/1kV x ",U93," x ",V93," Sqmm"))</f>
        <v>1R x 0.6/1kV x 3C x 16 Sqmm</v>
      </c>
      <c r="AW93" s="586" t="str">
        <f t="shared" ref="AW93" si="731">IF(U93="1C",CONCATENATE(AP93,"R x ",Y93,"kV x ",U93," x ",V93," Sqmm/Phase"),CONCATENATE(AP93,"R x ",0.6,"/1kV x ",U93," x ",V93,(IF(G93="MOTOR","+PE",""))," Sqmm"))</f>
        <v>1R x 0.6/1kV x 3C x 16+PE Sqmm</v>
      </c>
      <c r="AX93" s="409">
        <f t="shared" ref="AX93" si="732">(IF(K93=400,(IF(U93="1C",(4*AH93*AP93),(AH93*AP93))),IF(K93=230,(AH93*AP93))))</f>
        <v>239</v>
      </c>
      <c r="AY93" s="866"/>
      <c r="AZ93" s="866">
        <f t="shared" ref="AZ93" si="733">IF(U93="1C",(3*AP93*2),(AP93*2))</f>
        <v>2</v>
      </c>
      <c r="BA93" s="867" t="str">
        <f t="shared" ref="BA93" si="734">CONCATENATE(IF(BE93=1,BE$4,""),IF(BF93=1,BF$4,""),IF(BG93=1,BG$4,""),IF(BH93=1,BH$4,""),IF(BI93=1,BI$4,""),IF(BJ93=1,BJ$4,""),IF(BK93=1,BK$4,""),IF(BL93=1,BL$4,""),IF(BM93=1,BM$4,""),IF(BN93=1,BN$4,""),IF(BO93=1,BO$4,""),IF(BP93=1,BP$4,""),IF(BQ93=1,BQ$4,""),IF(BR93=1,BR$4,""),IF(BS93=1,BS$4,""),IF(BT93=1,BT$4,""),IF(BU93=1,BU$4,""),IF(BV93=1,BV$4,""),IF(BW93=1,BW$4,""),IF(BX93=1,BX$4,""),IF(BY93=1,BY$4,""),IF(BZ93=1,BZ$4,""),IF(CA93=1,CA$4,""),IF(CB93=1,CB$4,""),IF(CC93=1,CC$4,""),IF(CD93=1,CD$4,""),IF(CE93=1,CE$4,""),IF(CF93=1,CF$4,""),IF(CG93=1,CG$4,""),IF(CH93=1,CH$4,""),IF(CI93=1,CI$4,""),IF(CJ93=1,CJ$4,""),IF(CK93=1,CK$4,""),IF(CL93=1,CL$4,""),IF(CM93=1,CM$4,""),IF(CN93=1,CN$4,""),IF(CO93=1,CO$4,""),IF(CP93=1,CP$4,""),IF(CQ93=1,CQ$4,""),IF(CR93=1,CR$4,""),IF(CS93=1,CS$4,""),IF(CT93=1,CT$4,""),IF(CU93=1,CU$4,""),IF(CV93=1,CV$4,""),IF(CW93=1,CW$4,""),IF(CX93=1,CX$4,""),IF(CY93=1,CY$4,""),IF(CZ93=1,CZ$4,""),IF(DA93=1,DA$4,""),IF(DB93=1,DB$4,""),IF(DC93=1,DC$4,""),IF(DD93=1,DD$4,""),IF(DE93=1,DE$4,""),IF(DF93=1,DF$4,""),IF(DG93=1,DG$4,""),IF(DH93=1,DH$4,""),IF(DI93=1,DI$4,""),IF(DJ93=1,DJ$4,""),IF(DK93=1,DK$4,""),IF(DL93=1,DL$4,""),IF(DM93=1,DM$4,""),IF(DN93=1,DN$4,""),IF(DO93=1,DO$4,""),IF(DP93=1,DP$4,""),IF(DQ93=1,DQ$4,""),IF(DR93=1,DR$4,""),IF(DS93=1,DS$4,""),IF(DT93=1,DT$4,""),IF(DU93=1,DU$4,""))</f>
        <v>AC</v>
      </c>
      <c r="BB93" s="868">
        <f>VLOOKUP(W93,'Catalogue Aluminium'!$B$9:$H$93,7,FALSE)</f>
        <v>19</v>
      </c>
      <c r="BC93" s="789">
        <f t="shared" ref="BC93" si="735">AP93*BB93</f>
        <v>19</v>
      </c>
      <c r="BE93" s="587"/>
      <c r="BF93" s="587">
        <v>1</v>
      </c>
      <c r="BG93" s="587"/>
      <c r="BH93" s="587"/>
      <c r="BI93" s="587">
        <v>1</v>
      </c>
      <c r="BJ93" s="587"/>
      <c r="BK93" s="587"/>
      <c r="BL93" s="587"/>
      <c r="BM93" s="587"/>
      <c r="BN93" s="587"/>
      <c r="BO93" s="587"/>
      <c r="BP93" s="587"/>
      <c r="BQ93" s="587"/>
      <c r="BR93" s="587"/>
      <c r="BS93" s="587"/>
      <c r="BT93" s="587"/>
      <c r="BU93" s="587"/>
      <c r="BV93" s="587"/>
      <c r="BW93" s="587"/>
      <c r="BX93" s="587"/>
      <c r="BY93" s="587"/>
      <c r="BZ93" s="587"/>
      <c r="CA93" s="587"/>
      <c r="CB93" s="587"/>
      <c r="CC93" s="587"/>
      <c r="CD93" s="587"/>
      <c r="CE93" s="587"/>
      <c r="CF93" s="587"/>
      <c r="CG93" s="587"/>
      <c r="CH93" s="587"/>
      <c r="CI93" s="587"/>
      <c r="CJ93" s="587"/>
      <c r="CK93" s="587"/>
      <c r="CL93" s="587"/>
      <c r="CM93" s="587"/>
      <c r="CN93" s="587"/>
      <c r="CO93" s="587"/>
      <c r="CP93" s="587"/>
      <c r="CQ93" s="587"/>
      <c r="CR93" s="587"/>
      <c r="CS93" s="587"/>
      <c r="CT93" s="587"/>
      <c r="CU93" s="587"/>
      <c r="CV93" s="587"/>
      <c r="CW93" s="587"/>
      <c r="CX93" s="587"/>
      <c r="CY93" s="587"/>
      <c r="CZ93" s="587"/>
      <c r="DA93" s="587"/>
      <c r="DB93" s="587"/>
      <c r="DC93" s="587"/>
      <c r="DD93" s="587"/>
      <c r="DE93" s="587"/>
      <c r="DF93" s="587"/>
      <c r="DG93" s="587"/>
      <c r="DH93" s="587"/>
      <c r="DI93" s="587"/>
      <c r="DJ93" s="587"/>
      <c r="DK93" s="587"/>
      <c r="DL93" s="587"/>
      <c r="DM93" s="587"/>
      <c r="DN93" s="587"/>
      <c r="DO93" s="587"/>
      <c r="DP93" s="587"/>
      <c r="DQ93" s="587"/>
      <c r="DR93" s="587"/>
      <c r="DS93" s="587"/>
      <c r="DT93" s="587"/>
      <c r="DU93" s="587"/>
      <c r="DW93" s="587">
        <f t="shared" ref="DW93" si="736">IF(BE93=1,($BC93*BE93),0)</f>
        <v>0</v>
      </c>
      <c r="DX93" s="587">
        <f t="shared" ref="DX93" si="737">IF(BF93=1,($BC93*BF93),0)</f>
        <v>19</v>
      </c>
      <c r="DY93" s="587">
        <f t="shared" ref="DY93" si="738">IF(BG93=1,($BC93*BG93),0)</f>
        <v>0</v>
      </c>
      <c r="DZ93" s="587">
        <f t="shared" ref="DZ93" si="739">IF(BH93=1,($BC93*BH93),0)</f>
        <v>0</v>
      </c>
      <c r="EA93" s="587">
        <f t="shared" ref="EA93" si="740">IF(BI93=1,($BC93*BI93),0)</f>
        <v>19</v>
      </c>
      <c r="EB93" s="587">
        <f t="shared" ref="EB93" si="741">IF(BJ93=1,($BC93*BJ93),0)</f>
        <v>0</v>
      </c>
      <c r="EC93" s="587">
        <f t="shared" ref="EC93" si="742">IF(BK93=1,($BC93*BK93),0)</f>
        <v>0</v>
      </c>
      <c r="ED93" s="587">
        <f t="shared" ref="ED93" si="743">IF(BL93=1,($BC93*BL93),0)</f>
        <v>0</v>
      </c>
      <c r="EE93" s="587">
        <f t="shared" ref="EE93" si="744">IF(BM93=1,($BC93*BM93),0)</f>
        <v>0</v>
      </c>
      <c r="EF93" s="587">
        <f t="shared" ref="EF93" si="745">IF(BN93=1,($BC93*BN93),0)</f>
        <v>0</v>
      </c>
      <c r="EG93" s="587">
        <f t="shared" ref="EG93" si="746">IF(BO93=1,($BC93*BO93),0)</f>
        <v>0</v>
      </c>
      <c r="EH93" s="587">
        <f t="shared" ref="EH93" si="747">IF(BP93=1,($BC93*BP93),0)</f>
        <v>0</v>
      </c>
      <c r="EI93" s="587">
        <f t="shared" ref="EI93" si="748">IF(BQ93=1,($BC93*BQ93),0)</f>
        <v>0</v>
      </c>
      <c r="EJ93" s="587">
        <f t="shared" ref="EJ93" si="749">IF(BR93=1,($BC93*BR93),0)</f>
        <v>0</v>
      </c>
      <c r="EK93" s="587">
        <f t="shared" ref="EK93" si="750">IF(BS93=1,($BC93*BS93),0)</f>
        <v>0</v>
      </c>
      <c r="EL93" s="587">
        <f t="shared" ref="EL93" si="751">IF(BT93=1,($BC93*BT93),0)</f>
        <v>0</v>
      </c>
      <c r="EM93" s="587">
        <f t="shared" ref="EM93" si="752">IF(BU93=1,($BC93*BU93),0)</f>
        <v>0</v>
      </c>
      <c r="EN93" s="587">
        <f t="shared" ref="EN93" si="753">IF(BV93=1,($BC93*BV93),0)</f>
        <v>0</v>
      </c>
      <c r="EO93" s="587">
        <f t="shared" ref="EO93" si="754">IF(BW93=1,($BC93*BW93),0)</f>
        <v>0</v>
      </c>
      <c r="EP93" s="587">
        <f t="shared" ref="EP93" si="755">IF(BX93=1,($BC93*BX93),0)</f>
        <v>0</v>
      </c>
      <c r="EQ93" s="587">
        <f t="shared" ref="EQ93" si="756">IF(BY93=1,($BC93*BY93),0)</f>
        <v>0</v>
      </c>
      <c r="ER93" s="587">
        <f t="shared" ref="ER93" si="757">IF(BZ93=1,($BC93*BZ93),0)</f>
        <v>0</v>
      </c>
      <c r="ES93" s="587">
        <f t="shared" ref="ES93" si="758">IF(CA93=1,($BC93*CA93),0)</f>
        <v>0</v>
      </c>
      <c r="ET93" s="587">
        <f t="shared" ref="ET93" si="759">IF(CB93=1,($BC93*CB93),0)</f>
        <v>0</v>
      </c>
      <c r="EU93" s="587">
        <f t="shared" ref="EU93" si="760">IF(CC93=1,($BC93*CC93),0)</f>
        <v>0</v>
      </c>
      <c r="EV93" s="587">
        <f t="shared" ref="EV93" si="761">IF(CD93=1,($BC93*CD93),0)</f>
        <v>0</v>
      </c>
      <c r="EW93" s="587">
        <f t="shared" ref="EW93" si="762">IF(CE93=1,($BC93*CE93),0)</f>
        <v>0</v>
      </c>
      <c r="EX93" s="587">
        <f t="shared" ref="EX93" si="763">IF(CF93=1,($BC93*CF93),0)</f>
        <v>0</v>
      </c>
      <c r="EY93" s="587">
        <f t="shared" ref="EY93" si="764">IF(CG93=1,($BC93*CG93),0)</f>
        <v>0</v>
      </c>
      <c r="EZ93" s="587">
        <f t="shared" ref="EZ93" si="765">IF(CH93=1,($BC93*CH93),0)</f>
        <v>0</v>
      </c>
      <c r="FA93" s="587">
        <f t="shared" ref="FA93" si="766">IF(CI93=1,($BC93*CI93),0)</f>
        <v>0</v>
      </c>
      <c r="FB93" s="587">
        <f t="shared" ref="FB93" si="767">IF(CJ93=1,($BC93*CJ93),0)</f>
        <v>0</v>
      </c>
      <c r="FC93" s="587">
        <f t="shared" ref="FC93" si="768">IF(CK93=1,($BC93*CK93),0)</f>
        <v>0</v>
      </c>
      <c r="FD93" s="587">
        <f t="shared" ref="FD93" si="769">IF(CL93=1,($BC93*CL93),0)</f>
        <v>0</v>
      </c>
      <c r="FE93" s="587">
        <f t="shared" ref="FE93" si="770">IF(CM93=1,($BC93*CM93),0)</f>
        <v>0</v>
      </c>
      <c r="FF93" s="587">
        <f t="shared" ref="FF93" si="771">IF(CN93=1,($BC93*CN93),0)</f>
        <v>0</v>
      </c>
      <c r="FG93" s="587">
        <f t="shared" ref="FG93" si="772">IF(CO93=1,($BC93*CO93),0)</f>
        <v>0</v>
      </c>
      <c r="FH93" s="587">
        <f t="shared" ref="FH93" si="773">IF(CP93=1,($BC93*CP93),0)</f>
        <v>0</v>
      </c>
      <c r="FI93" s="587">
        <f t="shared" ref="FI93" si="774">IF(CQ93=1,($BC93*CQ93),0)</f>
        <v>0</v>
      </c>
      <c r="FJ93" s="587">
        <f t="shared" ref="FJ93" si="775">IF(CR93=1,($BC93*CR93),0)</f>
        <v>0</v>
      </c>
      <c r="FK93" s="587">
        <f t="shared" ref="FK93" si="776">IF(CS93=1,($BC93*CS93),0)</f>
        <v>0</v>
      </c>
      <c r="FL93" s="587">
        <f t="shared" ref="FL93" si="777">IF(CT93=1,($BC93*CT93),0)</f>
        <v>0</v>
      </c>
      <c r="FM93" s="587">
        <f t="shared" ref="FM93" si="778">IF(CU93=1,($BC93*CU93),0)</f>
        <v>0</v>
      </c>
      <c r="FN93" s="587">
        <f t="shared" ref="FN93" si="779">IF(CV93=1,($BC93*CV93),0)</f>
        <v>0</v>
      </c>
      <c r="FO93" s="587">
        <f t="shared" ref="FO93" si="780">IF(CW93=1,($BC93*CW93),0)</f>
        <v>0</v>
      </c>
      <c r="FP93" s="587">
        <f t="shared" ref="FP93" si="781">IF(CX93=1,($BC93*CX93),0)</f>
        <v>0</v>
      </c>
      <c r="FQ93" s="587">
        <f t="shared" ref="FQ93" si="782">IF(CY93=1,($BC93*CY93),0)</f>
        <v>0</v>
      </c>
      <c r="FR93" s="587">
        <f t="shared" ref="FR93" si="783">IF(CZ93=1,($BC93*CZ93),0)</f>
        <v>0</v>
      </c>
      <c r="FS93" s="587">
        <f t="shared" ref="FS93" si="784">IF(DA93=1,($BC93*DA93),0)</f>
        <v>0</v>
      </c>
      <c r="FT93" s="587">
        <f t="shared" ref="FT93" si="785">IF(DB93=1,($BC93*DB93),0)</f>
        <v>0</v>
      </c>
      <c r="FU93" s="587">
        <f t="shared" ref="FU93" si="786">IF(DC93=1,($BC93*DC93),0)</f>
        <v>0</v>
      </c>
      <c r="FV93" s="587">
        <f t="shared" ref="FV93" si="787">IF(DD93=1,($BC93*DD93),0)</f>
        <v>0</v>
      </c>
      <c r="FW93" s="587">
        <f t="shared" ref="FW93" si="788">IF(DE93=1,($BC93*DE93),0)</f>
        <v>0</v>
      </c>
      <c r="FX93" s="587">
        <f t="shared" ref="FX93" si="789">IF(DF93=1,($BC93*DF93),0)</f>
        <v>0</v>
      </c>
      <c r="FY93" s="587">
        <f t="shared" ref="FY93" si="790">IF(DG93=1,($BC93*DG93),0)</f>
        <v>0</v>
      </c>
      <c r="FZ93" s="587">
        <f t="shared" ref="FZ93" si="791">IF(DH93=1,($BC93*DH93),0)</f>
        <v>0</v>
      </c>
      <c r="GA93" s="587">
        <f t="shared" ref="GA93" si="792">IF(DI93=1,($BC93*DI93),0)</f>
        <v>0</v>
      </c>
      <c r="GB93" s="587">
        <f t="shared" ref="GB93" si="793">IF(DJ93=1,($BC93*DJ93),0)</f>
        <v>0</v>
      </c>
      <c r="GC93" s="587">
        <f t="shared" ref="GC93" si="794">IF(DK93=1,($BC93*DK93),0)</f>
        <v>0</v>
      </c>
      <c r="GD93" s="587">
        <f t="shared" ref="GD93" si="795">IF(DL93=1,($BC93*DL93),0)</f>
        <v>0</v>
      </c>
      <c r="GE93" s="587">
        <f t="shared" ref="GE93" si="796">IF(DM93=1,($BC93*DM93),0)</f>
        <v>0</v>
      </c>
      <c r="GF93" s="587">
        <f t="shared" ref="GF93" si="797">IF(DN93=1,($BC93*DN93),0)</f>
        <v>0</v>
      </c>
      <c r="GG93" s="587">
        <f t="shared" ref="GG93" si="798">IF(DO93=1,($BC93*DO93),0)</f>
        <v>0</v>
      </c>
      <c r="GH93" s="587">
        <f t="shared" ref="GH93" si="799">IF(DP93=1,($BC93*DP93),0)</f>
        <v>0</v>
      </c>
      <c r="GI93" s="587">
        <f t="shared" ref="GI93" si="800">IF(DQ93=1,($BC93*DQ93),0)</f>
        <v>0</v>
      </c>
      <c r="GJ93" s="587">
        <f t="shared" ref="GJ93" si="801">IF(DR93=1,($BC93*DR93),0)</f>
        <v>0</v>
      </c>
      <c r="GK93" s="587">
        <f t="shared" ref="GK93" si="802">IF(DS93=1,($BC93*DS93),0)</f>
        <v>0</v>
      </c>
      <c r="GL93" s="587">
        <f t="shared" ref="GL93" si="803">IF(DT93=1,($BC93*DT93),0)</f>
        <v>0</v>
      </c>
      <c r="GM93" s="587">
        <f t="shared" ref="GM93" si="804">IF(DU93=1,($BC93*DU93),0)</f>
        <v>0</v>
      </c>
    </row>
    <row r="94" spans="1:195" s="76" customFormat="1" ht="29.25" customHeight="1">
      <c r="A94" s="373"/>
      <c r="B94" s="373"/>
      <c r="C94" s="373"/>
      <c r="D94" s="523" t="s">
        <v>571</v>
      </c>
      <c r="E94" s="509"/>
      <c r="F94" s="510"/>
      <c r="G94" s="373"/>
      <c r="H94" s="382"/>
      <c r="I94" s="373"/>
      <c r="J94" s="373"/>
      <c r="K94" s="381"/>
      <c r="L94" s="376"/>
      <c r="M94" s="382"/>
      <c r="N94" s="375"/>
      <c r="O94" s="375"/>
      <c r="P94" s="376"/>
      <c r="Q94" s="382"/>
      <c r="R94" s="382"/>
      <c r="S94" s="382"/>
      <c r="T94" s="376"/>
      <c r="U94" s="382"/>
      <c r="V94" s="376"/>
      <c r="W94" s="376"/>
      <c r="X94" s="376"/>
      <c r="Y94" s="376"/>
      <c r="Z94" s="377"/>
      <c r="AA94" s="378"/>
      <c r="AB94" s="378"/>
      <c r="AC94" s="378"/>
      <c r="AD94" s="378"/>
      <c r="AE94" s="378"/>
      <c r="AF94" s="378"/>
      <c r="AG94" s="378"/>
      <c r="AH94" s="380"/>
      <c r="AI94" s="377"/>
      <c r="AJ94" s="375"/>
      <c r="AK94" s="377"/>
      <c r="AL94" s="377"/>
      <c r="AM94" s="377"/>
      <c r="AN94" s="383"/>
      <c r="AO94" s="382"/>
      <c r="AP94" s="381"/>
      <c r="AQ94" s="382"/>
      <c r="AR94" s="383"/>
      <c r="AS94" s="376"/>
      <c r="AT94" s="383"/>
      <c r="AU94" s="383"/>
      <c r="AV94" s="384"/>
      <c r="AW94" s="384"/>
      <c r="AX94" s="376"/>
      <c r="AY94" s="385"/>
      <c r="AZ94" s="385"/>
      <c r="BA94" s="513" t="str">
        <f>CONCATENATE(IF(BE94=1,BE$4,""),IF(BF94=1,BF$4,""),IF(BG94=1,BG$4,""),IF(BH94=1,BH$4,""),IF(BI94=1,BI$4,""),IF(BJ94=1,BJ$4,""),IF(BK94=1,BK$4,""),IF(BL94=1,BL$4,""),IF(BM94=1,BM$4,""),IF(BN94=1,BN$4,""),IF(BO94=1,BO$4,""),IF(BP94=1,BP$4,""),IF(BQ94=1,BQ$4,""),IF(BR94=1,BR$4,""),IF(BS94=1,BS$4,""),IF(BT94=1,BT$4,""),IF(BU94=1,BU$4,""),IF(BV94=1,BV$4,""),IF(BW94=1,BW$4,""),IF(BX94=1,BX$4,""),IF(BY94=1,BY$4,""),IF(BZ94=1,BZ$4,""),IF(CA94=1,CA$4,""),IF(CC94=1,CC$4,""),IF(CD94=1,CD$4,""),IF(CE94=1,CE$4,""),IF(CF94=1,CF$4,""),IF(CG94=1,CG$4,""),IF(CH94=1,CH$4,""),IF(CI94=1,CI$4,""),IF(CJ94=1,CJ$4,""),IF(CK94=1,CK$4,""),IF(CL94=1,CL$4,""),IF(CM94=1,CM$4,""),IF(CN94=1,CN$4,""),IF(CO94=1,CO$4,""),IF(CP94=1,CP$4,""),IF(CQ94=1,CQ$4,""),IF(CR94=1,CR$4,""),IF(CS94=1,CS$4,""),IF(CT94=1,CT$4,""),IF(CU94=1,CU$4,""),IF(CV94=1,CV$4,""),IF(CW94=1,CW$4,""),IF(CX94=1,CX$4,""),IF(CY94=1,CY$4,""),IF(CZ94=1,CZ$4,""),IF(DA94=1,DA$4,""),IF(DB94=1,DB$4,""),IF(DC94=1,DC$4,""),IF(DD94=1,DD$4,""),IF(DE94=1,DE$4,""),IF(DF94=1,DF$4,""),IF(DG94=1,DG$4,""),IF(DH94=1,DH$4,""),IF(DI94=1,DI$4,""),IF(DJ94=1,DJ$4,""),IF(DK94=1,DK$4,""),IF(DL94=1,DL$4,""),IF(DM94=1,DM$4,""),IF(DN94=1,DN$4,""),IF(DO94=1,DO$4,""),IF(DP94=1,DP$4,""),IF(DQ94=1,DQ$4,""),IF(DR94=1,DR$4,""),IF(DS94=1,DS$4,""),IF(DT94=1,DT$4,""),IF(DU94=1,DU$4,""))</f>
        <v/>
      </c>
      <c r="BB94" s="513"/>
      <c r="BC94" s="513"/>
      <c r="BE94" s="513"/>
      <c r="BF94" s="513"/>
      <c r="BG94" s="513"/>
      <c r="BH94" s="513"/>
      <c r="BI94" s="513"/>
      <c r="BJ94" s="513"/>
      <c r="BK94" s="513"/>
      <c r="BL94" s="513"/>
      <c r="BM94" s="513"/>
      <c r="BN94" s="513"/>
      <c r="BO94" s="513"/>
      <c r="BP94" s="513"/>
      <c r="BQ94" s="513"/>
      <c r="BR94" s="513"/>
      <c r="BS94" s="513"/>
      <c r="BT94" s="513"/>
      <c r="BU94" s="513"/>
      <c r="BV94" s="513"/>
      <c r="BW94" s="513"/>
      <c r="BX94" s="513"/>
      <c r="BY94" s="513"/>
      <c r="BZ94" s="513"/>
      <c r="CA94" s="513"/>
      <c r="CB94" s="513"/>
      <c r="CC94" s="513"/>
      <c r="CD94" s="513"/>
      <c r="CE94" s="513"/>
      <c r="CF94" s="513"/>
      <c r="CG94" s="513"/>
      <c r="CH94" s="513"/>
      <c r="CI94" s="513"/>
      <c r="CJ94" s="513"/>
      <c r="CK94" s="513"/>
      <c r="CL94" s="513"/>
      <c r="CM94" s="513"/>
      <c r="CN94" s="513"/>
      <c r="CO94" s="513"/>
      <c r="CP94" s="513"/>
      <c r="CQ94" s="513"/>
      <c r="CR94" s="513"/>
      <c r="CS94" s="513"/>
      <c r="CT94" s="513"/>
      <c r="CU94" s="513"/>
      <c r="CV94" s="513"/>
      <c r="CW94" s="513"/>
      <c r="CX94" s="513"/>
      <c r="CY94" s="513"/>
      <c r="CZ94" s="513"/>
      <c r="DA94" s="513"/>
      <c r="DB94" s="513"/>
      <c r="DC94" s="513"/>
      <c r="DD94" s="513"/>
      <c r="DE94" s="513"/>
      <c r="DF94" s="513"/>
      <c r="DG94" s="513"/>
      <c r="DH94" s="513"/>
      <c r="DI94" s="513"/>
      <c r="DJ94" s="513"/>
      <c r="DK94" s="513"/>
      <c r="DL94" s="513"/>
      <c r="DM94" s="513"/>
      <c r="DN94" s="513"/>
      <c r="DO94" s="513"/>
      <c r="DP94" s="513"/>
      <c r="DQ94" s="513"/>
      <c r="DR94" s="513"/>
      <c r="DS94" s="513"/>
      <c r="DT94" s="513"/>
      <c r="DU94" s="513"/>
      <c r="DV94" s="61"/>
      <c r="DW94" s="336">
        <f t="shared" si="709"/>
        <v>0</v>
      </c>
      <c r="DX94" s="336">
        <f t="shared" si="701"/>
        <v>0</v>
      </c>
      <c r="DY94" s="336">
        <f t="shared" si="702"/>
        <v>0</v>
      </c>
      <c r="DZ94" s="336">
        <f t="shared" si="703"/>
        <v>0</v>
      </c>
      <c r="EA94" s="336">
        <f t="shared" si="704"/>
        <v>0</v>
      </c>
      <c r="EB94" s="336">
        <f t="shared" si="705"/>
        <v>0</v>
      </c>
      <c r="EC94" s="336">
        <f t="shared" si="706"/>
        <v>0</v>
      </c>
      <c r="ED94" s="336">
        <f t="shared" si="621"/>
        <v>0</v>
      </c>
      <c r="EE94" s="336">
        <f t="shared" si="622"/>
        <v>0</v>
      </c>
      <c r="EF94" s="336">
        <f t="shared" si="623"/>
        <v>0</v>
      </c>
      <c r="EG94" s="336">
        <f t="shared" si="624"/>
        <v>0</v>
      </c>
      <c r="EH94" s="336">
        <f t="shared" si="625"/>
        <v>0</v>
      </c>
      <c r="EI94" s="336">
        <f t="shared" si="626"/>
        <v>0</v>
      </c>
      <c r="EJ94" s="336">
        <f t="shared" si="627"/>
        <v>0</v>
      </c>
      <c r="EK94" s="336">
        <f t="shared" si="628"/>
        <v>0</v>
      </c>
      <c r="EL94" s="336">
        <f t="shared" si="629"/>
        <v>0</v>
      </c>
      <c r="EM94" s="336">
        <f t="shared" si="630"/>
        <v>0</v>
      </c>
      <c r="EN94" s="336">
        <f t="shared" si="631"/>
        <v>0</v>
      </c>
      <c r="EO94" s="336">
        <f t="shared" si="632"/>
        <v>0</v>
      </c>
      <c r="EP94" s="336">
        <f t="shared" si="633"/>
        <v>0</v>
      </c>
      <c r="EQ94" s="336">
        <f t="shared" si="634"/>
        <v>0</v>
      </c>
      <c r="ER94" s="336">
        <f t="shared" si="635"/>
        <v>0</v>
      </c>
      <c r="ES94" s="336">
        <f t="shared" si="636"/>
        <v>0</v>
      </c>
      <c r="ET94" s="336">
        <f t="shared" si="636"/>
        <v>0</v>
      </c>
      <c r="EU94" s="336">
        <f t="shared" si="637"/>
        <v>0</v>
      </c>
      <c r="EV94" s="336">
        <f t="shared" si="638"/>
        <v>0</v>
      </c>
      <c r="EW94" s="336">
        <f t="shared" si="639"/>
        <v>0</v>
      </c>
      <c r="EX94" s="336">
        <f t="shared" si="640"/>
        <v>0</v>
      </c>
      <c r="EY94" s="336">
        <f t="shared" si="641"/>
        <v>0</v>
      </c>
      <c r="EZ94" s="336">
        <f t="shared" si="642"/>
        <v>0</v>
      </c>
      <c r="FA94" s="336">
        <f t="shared" si="643"/>
        <v>0</v>
      </c>
      <c r="FB94" s="336">
        <f t="shared" si="644"/>
        <v>0</v>
      </c>
      <c r="FC94" s="336">
        <f t="shared" si="645"/>
        <v>0</v>
      </c>
      <c r="FD94" s="336">
        <f t="shared" si="646"/>
        <v>0</v>
      </c>
      <c r="FE94" s="336">
        <f t="shared" si="647"/>
        <v>0</v>
      </c>
      <c r="FF94" s="336">
        <f t="shared" si="648"/>
        <v>0</v>
      </c>
      <c r="FG94" s="336">
        <f t="shared" si="649"/>
        <v>0</v>
      </c>
      <c r="FH94" s="336">
        <f t="shared" si="650"/>
        <v>0</v>
      </c>
      <c r="FI94" s="336">
        <f t="shared" si="651"/>
        <v>0</v>
      </c>
      <c r="FJ94" s="336">
        <f t="shared" si="652"/>
        <v>0</v>
      </c>
      <c r="FK94" s="336">
        <f t="shared" si="653"/>
        <v>0</v>
      </c>
      <c r="FL94" s="336">
        <f t="shared" si="654"/>
        <v>0</v>
      </c>
      <c r="FM94" s="336">
        <f t="shared" si="655"/>
        <v>0</v>
      </c>
      <c r="FN94" s="336">
        <f t="shared" si="656"/>
        <v>0</v>
      </c>
      <c r="FO94" s="492">
        <f t="shared" si="657"/>
        <v>0</v>
      </c>
      <c r="FP94" s="492">
        <f t="shared" si="658"/>
        <v>0</v>
      </c>
      <c r="FQ94" s="492">
        <f t="shared" si="659"/>
        <v>0</v>
      </c>
      <c r="FR94" s="492">
        <f t="shared" si="660"/>
        <v>0</v>
      </c>
      <c r="FS94" s="492">
        <f t="shared" si="661"/>
        <v>0</v>
      </c>
      <c r="FT94" s="492">
        <f t="shared" si="662"/>
        <v>0</v>
      </c>
      <c r="FU94" s="336">
        <f t="shared" si="609"/>
        <v>0</v>
      </c>
      <c r="FV94" s="336">
        <f t="shared" si="610"/>
        <v>0</v>
      </c>
      <c r="FW94" s="336">
        <f t="shared" si="611"/>
        <v>0</v>
      </c>
      <c r="FX94" s="336">
        <f t="shared" si="612"/>
        <v>0</v>
      </c>
      <c r="FY94" s="492">
        <f t="shared" si="663"/>
        <v>0</v>
      </c>
      <c r="FZ94" s="492">
        <f t="shared" si="664"/>
        <v>0</v>
      </c>
      <c r="GA94" s="492">
        <f t="shared" si="665"/>
        <v>0</v>
      </c>
      <c r="GB94" s="492">
        <f t="shared" si="666"/>
        <v>0</v>
      </c>
      <c r="GC94" s="492">
        <f t="shared" si="667"/>
        <v>0</v>
      </c>
      <c r="GD94" s="492">
        <f t="shared" si="668"/>
        <v>0</v>
      </c>
      <c r="GE94" s="492">
        <f t="shared" si="669"/>
        <v>0</v>
      </c>
      <c r="GF94" s="492">
        <f t="shared" si="670"/>
        <v>0</v>
      </c>
      <c r="GG94" s="492">
        <f t="shared" si="671"/>
        <v>0</v>
      </c>
      <c r="GH94" s="492">
        <f t="shared" si="672"/>
        <v>0</v>
      </c>
      <c r="GI94" s="492">
        <f t="shared" si="673"/>
        <v>0</v>
      </c>
      <c r="GJ94" s="492">
        <f t="shared" si="674"/>
        <v>0</v>
      </c>
      <c r="GK94" s="492">
        <f t="shared" si="677"/>
        <v>0</v>
      </c>
      <c r="GL94" s="336">
        <f t="shared" si="613"/>
        <v>0</v>
      </c>
      <c r="GM94" s="492">
        <f t="shared" si="675"/>
        <v>0</v>
      </c>
    </row>
    <row r="95" spans="1:195" ht="20.100000000000001" customHeight="1">
      <c r="A95" s="337">
        <f>1+A92</f>
        <v>62</v>
      </c>
      <c r="B95" s="337" t="s">
        <v>527</v>
      </c>
      <c r="C95" s="337" t="str">
        <f t="shared" ref="C95:C106" si="805">$D$6</f>
        <v>PMCC-1</v>
      </c>
      <c r="D95" s="338" t="s">
        <v>572</v>
      </c>
      <c r="E95" s="500" t="s">
        <v>345</v>
      </c>
      <c r="F95" s="337" t="s">
        <v>28</v>
      </c>
      <c r="G95" s="337" t="s">
        <v>329</v>
      </c>
      <c r="H95" s="350">
        <v>1</v>
      </c>
      <c r="I95" s="337" t="s">
        <v>330</v>
      </c>
      <c r="J95" s="337" t="s">
        <v>357</v>
      </c>
      <c r="K95" s="349">
        <v>230</v>
      </c>
      <c r="L95" s="343">
        <v>0.85</v>
      </c>
      <c r="M95" s="350">
        <v>0.95</v>
      </c>
      <c r="N95" s="342">
        <f t="shared" ref="N95:N106" si="806">IF(I95="kVA",IF(J95="3Ph",(H95*1000/(1.732*M95*K95)),(H95*1000/(M95*K95))),IF(I95="kW",IF(J95="3Ph",(H95*1000/(1.732*M95*K95*L95)),(H95*1000/(M95*K95*L95)))))</f>
        <v>5.3843047516489433</v>
      </c>
      <c r="O95" s="342">
        <f t="shared" si="680"/>
        <v>0</v>
      </c>
      <c r="P95" s="343" t="str">
        <f t="shared" ref="P95:P106" si="807">IF(G95="MOTOR",0.2,"0.00")</f>
        <v>0.00</v>
      </c>
      <c r="Q95" s="350">
        <v>65</v>
      </c>
      <c r="R95" s="350">
        <v>0</v>
      </c>
      <c r="S95" s="350">
        <f t="shared" ref="S95:S106" si="808">(Q95*1000*SQRT(R95)/143)</f>
        <v>0</v>
      </c>
      <c r="T95" s="343" t="s">
        <v>131</v>
      </c>
      <c r="U95" s="350" t="s">
        <v>333</v>
      </c>
      <c r="V95" s="343">
        <v>25</v>
      </c>
      <c r="W95" s="343" t="str">
        <f t="shared" ref="W95:W106" si="809">CONCATENATE(U95," X ",V95)</f>
        <v>3C X 25</v>
      </c>
      <c r="X95" s="343" t="str">
        <f t="shared" ref="X95:X106" si="810">(IF(J95="1Ph",W95,IF(J95="3Ph",(IF(G95="MOTOR",(CONCATENATE(W95,"+PE")),W95)))))</f>
        <v>3C X 25</v>
      </c>
      <c r="Y95" s="343" t="s">
        <v>358</v>
      </c>
      <c r="Z95" s="344">
        <f>IF(T95="AIR",VLOOKUP(W95,'Catalogue Aluminium'!$B$9:$G$93,2,FALSE),IF(T95="GROUND",VLOOKUP(W95,'Catalogue Aluminium'!$B$9:$G$93,3,FALSE),IF(T95="DUCT",VLOOKUP(W95,'Catalogue Aluminium'!$B$9:$G$93,4,FALSE),IF(T95="TRENCH",VLOOKUP(W95,'Catalogue Aluminium'!$B$9:$G$93,2,FALSE)))))</f>
        <v>95</v>
      </c>
      <c r="AA95" s="345">
        <f>VLOOKUP(W95,'Catalogue Aluminium'!$B$9:$G$93,5,FALSE)</f>
        <v>1.54</v>
      </c>
      <c r="AB95" s="345">
        <f>VLOOKUP(W95,'Catalogue Aluminium'!$B$9:$G$93,6,FALSE)</f>
        <v>8.1600000000000006E-2</v>
      </c>
      <c r="AC95" s="401">
        <f>26+3</f>
        <v>29</v>
      </c>
      <c r="AD95" s="401">
        <f>40+50+38+50+17+(27+42+19)</f>
        <v>283</v>
      </c>
      <c r="AE95" s="401">
        <f t="shared" ref="AE95:AE100" si="811">11+8+8+11</f>
        <v>38</v>
      </c>
      <c r="AF95" s="401">
        <v>8</v>
      </c>
      <c r="AG95" s="401">
        <f t="shared" ref="AG95:AG106" si="812">ROUNDUP((SUM(AC95:AF95)*0.1),0)</f>
        <v>36</v>
      </c>
      <c r="AH95" s="347">
        <f t="shared" ref="AH95:AH106" si="813">SUM(AC95:AG95)</f>
        <v>394</v>
      </c>
      <c r="AI95" s="344">
        <f>IF(T95="AIR",'Catalogue Aluminium'!$K$9,IF(T95="TRENCH",'Catalogue Aluminium'!$K$12,"NA"))</f>
        <v>0.89</v>
      </c>
      <c r="AJ95" s="342">
        <f>IF(T95="Air",(IF(U95="1C",'Catalogue Aluminium'!$L$9,'Catalogue Aluminium'!$M$9)),IF(T95="DUCT",(IF($U95="1C",'Catalogue Aluminium'!$L$10,'Catalogue Aluminium'!$M$10)),IF(T95="GROUND",(IF($U95="1C",'Catalogue Aluminium'!$L$11,'Catalogue Aluminium'!$M$11)),IF(T95="TRENCH",(IF($U95="1C",'Catalogue Aluminium'!$L$12,'Catalogue Aluminium'!$M$12))))))</f>
        <v>0.66</v>
      </c>
      <c r="AK95" s="344" t="str">
        <f>IF(T95="Air",'Catalogue Aluminium'!$N$9,IF(T95="GROUND",'Catalogue Aluminium'!$N$10,IF(T95="DUCT",'Catalogue Aluminium'!$N$11,IF(T95="TRENCH",'Catalogue Aluminium'!$N$12,"NA"))))</f>
        <v>NA</v>
      </c>
      <c r="AL95" s="344" t="str">
        <f>IF(T95="Air",(IF(U95="1C",'Catalogue Aluminium'!$O$9,'Catalogue Aluminium'!$P$9)),IF(T95="DUCT",(IF($U95="1C",'Catalogue Aluminium'!$O$10,'Catalogue Aluminium'!$P$10)),IF(T95="GROUND",(IF($U95="1C",'Catalogue Aluminium'!$O$11,'Catalogue Aluminium'!$P$11)),IF(T95="TRENCH",(IF($U95="1C",'Catalogue Aluminium'!$O$12,'Catalogue Aluminium'!$P$12))))))</f>
        <v>NA</v>
      </c>
      <c r="AM95" s="344" t="str">
        <f>IF(T95="AIR","NA",IF(T95="TRENCH","NA",IF(T95="DUCT",IF(U95="1C",VLOOKUP(V95,'Catalogue Aluminium'!$Q$9:$S$28,2,FALSE),VLOOKUP(V95,'Catalogue Aluminium'!$Q$9:$S$28,3)),IF(T95="GROUND",IF(U95="1C",VLOOKUP(V95,'Catalogue Aluminium'!$Q$9:$S$28,2,FALSE),VLOOKUP(V95,'Catalogue Aluminium'!$Q$9:$S$28,3))))))</f>
        <v>NA</v>
      </c>
      <c r="AN95" s="351">
        <f t="shared" ref="AN95:AN106" si="814">IF(T95="AIR",AI95*AJ95,IF(T95="TRENCH",AI95*AJ95,IF(T95="DUCT",AJ95*AK95*AL95*AM95,IF(T95="GROUND",AJ95*AK95*AL95*AM95))))</f>
        <v>0.58740000000000003</v>
      </c>
      <c r="AO95" s="350">
        <f t="shared" ref="AO95:AO106" si="815">Z95*AN95</f>
        <v>55.803000000000004</v>
      </c>
      <c r="AP95" s="349">
        <f t="shared" si="689"/>
        <v>1</v>
      </c>
      <c r="AQ95" s="350" t="str">
        <f t="shared" ref="AQ95:AQ106" si="816">IF(AO95*AP95&gt;=N95,"YES","NO")</f>
        <v>YES</v>
      </c>
      <c r="AR95" s="351">
        <f t="shared" ref="AR95:AR106" si="817">SQRT(3)*AH95*N95*((AA95*L95)+(AB95*SIN(ACOS(L95))))*100/(AP95*K95*1000)</f>
        <v>2.1598852044421291</v>
      </c>
      <c r="AS95" s="343" t="str">
        <f t="shared" ref="AS95:AS106" si="818">IF(G95="INCOMER",(IF(AR95&lt;=2,"YES","NO")),IF(G95="POWER",(IF(AR95&lt;=2.5,"YES","NO")),IF(G95="MOTOR",(IF(AR95&lt;=3,"YES","NO")))))</f>
        <v>YES</v>
      </c>
      <c r="AT95" s="351" t="str">
        <f t="shared" ref="AT95:AT106" si="819">IF(G95="MOTOR",(SQRT(3)*AH95*O95*((AA95*P95)+(AB95*SIN(ACOS(P95))))*100/(AP95*K95*1000)),"NA")</f>
        <v>NA</v>
      </c>
      <c r="AU95" s="343" t="str">
        <f t="shared" ref="AU95:AU106" si="820">IF(G95="MOTOR",IF(AT95&lt;=15,"YES","NO"),"NA")</f>
        <v>NA</v>
      </c>
      <c r="AV95" s="354" t="str">
        <f t="shared" ref="AV95:AV106" si="821">IF(U95="1C",CONCATENATE(AP95,"R x ",Y95,"kV x ",U95," x ",V95," Sqmm/Phase"),CONCATENATE(AP95,"R x ",0.6,"/1kV x ",U95," x ",V95," Sqmm"))</f>
        <v>1R x 0.6/1kV x 3C x 25 Sqmm</v>
      </c>
      <c r="AW95" s="354" t="str">
        <f t="shared" ref="AW95:AW106" si="822">IF(U95="1C",CONCATENATE(AP95,"R x ",Y95,"kV x ",U95," x ",V95," Sqmm/Phase"),CONCATENATE(AP95,"R x ",0.6,"/1kV x ",U95," x ",V95,(IF(G95="MOTOR","+PE",""))," Sqmm"))</f>
        <v>1R x 0.6/1kV x 3C x 25 Sqmm</v>
      </c>
      <c r="AX95" s="343">
        <f t="shared" ref="AX95:AX106" si="823">(IF(K95=400,(IF(U95="1C",(4*AH95*AP95),(AH95*AP95))),IF(K95=230,(AH95*AP95))))</f>
        <v>394</v>
      </c>
      <c r="AY95" s="355"/>
      <c r="AZ95" s="355">
        <f t="shared" ref="AZ95:AZ106" si="824">IF(U95="1C",(3*AP95*2),(AP95*2))</f>
        <v>2</v>
      </c>
      <c r="BA95" s="356" t="str">
        <f t="shared" ref="BA95:BA106" si="825">CONCATENATE(IF(BE95=1,BE$4,""),IF(BF95=1,BF$4,""),IF(BG95=1,BG$4,""),IF(BH95=1,BH$4,""),IF(BI95=1,BI$4,""),IF(BJ95=1,BJ$4,""),IF(BK95=1,BK$4,""),IF(BL95=1,BL$4,""),IF(BM95=1,BM$4,""),IF(BN95=1,BN$4,""),IF(BO95=1,BO$4,""),IF(BP95=1,BP$4,""),IF(BQ95=1,BQ$4,""),IF(BR95=1,BR$4,""),IF(BS95=1,BS$4,""),IF(BT95=1,BT$4,""),IF(BU95=1,BU$4,""),IF(BV95=1,BV$4,""),IF(BW95=1,BW$4,""),IF(BX95=1,BX$4,""),IF(BY95=1,BY$4,""),IF(BZ95=1,BZ$4,""),IF(CA95=1,CA$4,""),IF(CB95=1,CB$4,""),IF(CC95=1,CC$4,""),IF(CD95=1,CD$4,""),IF(CE95=1,CE$4,""),IF(CF95=1,CF$4,""),IF(CG95=1,CG$4,""),IF(CH95=1,CH$4,""),IF(CI95=1,CI$4,""),IF(CJ95=1,CJ$4,""),IF(CK95=1,CK$4,""),IF(CL95=1,CL$4,""),IF(CM95=1,CM$4,""),IF(CN95=1,CN$4,""),IF(CO95=1,CO$4,""),IF(CP95=1,CP$4,""),IF(CQ95=1,CQ$4,""),IF(CR95=1,CR$4,""),IF(CS95=1,CS$4,""),IF(CT95=1,CT$4,""),IF(CU95=1,CU$4,""),IF(CV95=1,CV$4,""),IF(CW95=1,CW$4,""),IF(CX95=1,CX$4,""),IF(CY95=1,CY$4,""),IF(CZ95=1,CZ$4,""),IF(DA95=1,DA$4,""),IF(DB95=1,DB$4,""),IF(DC95=1,DC$4,""),IF(DD95=1,DD$4,""),IF(DE95=1,DE$4,""),IF(DF95=1,DF$4,""),IF(DG95=1,DG$4,""),IF(DH95=1,DH$4,""),IF(DI95=1,DI$4,""),IF(DJ95=1,DJ$4,""),IF(DK95=1,DK$4,""),IF(DL95=1,DL$4,""),IF(DM95=1,DM$4,""),IF(DN95=1,DN$4,""),IF(DO95=1,DO$4,""),IF(DP95=1,DP$4,""),IF(DQ95=1,DQ$4,""),IF(DR95=1,DR$4,""),IF(DS95=1,DS$4,""),IF(DT95=1,DT$4,""),IF(DU95=1,DU$4,""))</f>
        <v>ACDEE1E2E3</v>
      </c>
      <c r="BB95" s="501">
        <f>VLOOKUP(W95,'Catalogue Aluminium'!$B$9:$H$93,7,FALSE)</f>
        <v>21</v>
      </c>
      <c r="BC95" s="328">
        <f t="shared" ref="BC95:BC106" si="826">AP95*BB95</f>
        <v>21</v>
      </c>
      <c r="BE95" s="336"/>
      <c r="BF95" s="336">
        <v>1</v>
      </c>
      <c r="BG95" s="336"/>
      <c r="BH95" s="336"/>
      <c r="BI95" s="336">
        <v>1</v>
      </c>
      <c r="BJ95" s="336">
        <v>1</v>
      </c>
      <c r="BK95" s="336"/>
      <c r="BL95" s="336"/>
      <c r="BM95" s="336"/>
      <c r="BN95" s="336">
        <v>1</v>
      </c>
      <c r="BO95" s="336"/>
      <c r="BP95" s="336">
        <v>1</v>
      </c>
      <c r="BQ95" s="336">
        <v>1</v>
      </c>
      <c r="BR95" s="336">
        <v>1</v>
      </c>
      <c r="BS95" s="336"/>
      <c r="BT95" s="336"/>
      <c r="BU95" s="336"/>
      <c r="BV95" s="336"/>
      <c r="BW95" s="336"/>
      <c r="BX95" s="336"/>
      <c r="BY95" s="336"/>
      <c r="BZ95" s="336"/>
      <c r="CA95" s="336"/>
      <c r="CB95" s="336"/>
      <c r="CC95" s="336"/>
      <c r="CD95" s="336"/>
      <c r="CE95" s="336"/>
      <c r="CF95" s="336"/>
      <c r="CG95" s="336"/>
      <c r="CH95" s="336"/>
      <c r="CI95" s="336"/>
      <c r="CJ95" s="336"/>
      <c r="CK95" s="336"/>
      <c r="CL95" s="336"/>
      <c r="CM95" s="336"/>
      <c r="CN95" s="336"/>
      <c r="CO95" s="336"/>
      <c r="CP95" s="336"/>
      <c r="CQ95" s="336"/>
      <c r="CR95" s="336"/>
      <c r="CS95" s="336"/>
      <c r="CT95" s="336"/>
      <c r="CU95" s="336"/>
      <c r="CV95" s="336"/>
      <c r="CW95" s="336"/>
      <c r="CX95" s="336"/>
      <c r="CY95" s="336"/>
      <c r="CZ95" s="336"/>
      <c r="DA95" s="336"/>
      <c r="DB95" s="336"/>
      <c r="DC95" s="336"/>
      <c r="DD95" s="336"/>
      <c r="DE95" s="336"/>
      <c r="DF95" s="336"/>
      <c r="DG95" s="336"/>
      <c r="DH95" s="336"/>
      <c r="DI95" s="336"/>
      <c r="DJ95" s="336"/>
      <c r="DK95" s="336"/>
      <c r="DL95" s="336"/>
      <c r="DM95" s="336"/>
      <c r="DN95" s="336"/>
      <c r="DO95" s="336"/>
      <c r="DP95" s="336"/>
      <c r="DQ95" s="336"/>
      <c r="DR95" s="336"/>
      <c r="DS95" s="336"/>
      <c r="DT95" s="336"/>
      <c r="DU95" s="336"/>
      <c r="DW95" s="336">
        <f t="shared" si="709"/>
        <v>0</v>
      </c>
      <c r="DX95" s="336">
        <f t="shared" si="701"/>
        <v>21</v>
      </c>
      <c r="DY95" s="336">
        <f t="shared" si="702"/>
        <v>0</v>
      </c>
      <c r="DZ95" s="336">
        <f t="shared" si="703"/>
        <v>0</v>
      </c>
      <c r="EA95" s="336">
        <f t="shared" si="704"/>
        <v>21</v>
      </c>
      <c r="EB95" s="336">
        <f t="shared" si="705"/>
        <v>21</v>
      </c>
      <c r="EC95" s="336">
        <f t="shared" si="706"/>
        <v>0</v>
      </c>
      <c r="ED95" s="336">
        <f t="shared" si="621"/>
        <v>0</v>
      </c>
      <c r="EE95" s="336">
        <f t="shared" si="622"/>
        <v>0</v>
      </c>
      <c r="EF95" s="336">
        <f t="shared" si="623"/>
        <v>21</v>
      </c>
      <c r="EG95" s="336">
        <f t="shared" si="624"/>
        <v>0</v>
      </c>
      <c r="EH95" s="336">
        <f t="shared" si="625"/>
        <v>21</v>
      </c>
      <c r="EI95" s="336">
        <f t="shared" si="626"/>
        <v>21</v>
      </c>
      <c r="EJ95" s="336">
        <f t="shared" si="627"/>
        <v>21</v>
      </c>
      <c r="EK95" s="336">
        <f t="shared" si="628"/>
        <v>0</v>
      </c>
      <c r="EL95" s="336">
        <f t="shared" si="629"/>
        <v>0</v>
      </c>
      <c r="EM95" s="336">
        <f t="shared" si="630"/>
        <v>0</v>
      </c>
      <c r="EN95" s="336">
        <f t="shared" si="631"/>
        <v>0</v>
      </c>
      <c r="EO95" s="336">
        <f t="shared" si="632"/>
        <v>0</v>
      </c>
      <c r="EP95" s="336">
        <f t="shared" si="633"/>
        <v>0</v>
      </c>
      <c r="EQ95" s="336">
        <f t="shared" si="634"/>
        <v>0</v>
      </c>
      <c r="ER95" s="336">
        <f t="shared" si="635"/>
        <v>0</v>
      </c>
      <c r="ES95" s="336">
        <f t="shared" si="636"/>
        <v>0</v>
      </c>
      <c r="ET95" s="336">
        <f t="shared" si="636"/>
        <v>0</v>
      </c>
      <c r="EU95" s="336">
        <f t="shared" si="637"/>
        <v>0</v>
      </c>
      <c r="EV95" s="336">
        <f t="shared" si="638"/>
        <v>0</v>
      </c>
      <c r="EW95" s="336">
        <f t="shared" si="639"/>
        <v>0</v>
      </c>
      <c r="EX95" s="336">
        <f t="shared" si="640"/>
        <v>0</v>
      </c>
      <c r="EY95" s="336">
        <f t="shared" si="641"/>
        <v>0</v>
      </c>
      <c r="EZ95" s="336">
        <f t="shared" si="642"/>
        <v>0</v>
      </c>
      <c r="FA95" s="336">
        <f t="shared" si="643"/>
        <v>0</v>
      </c>
      <c r="FB95" s="336">
        <f t="shared" si="644"/>
        <v>0</v>
      </c>
      <c r="FC95" s="336">
        <f t="shared" si="645"/>
        <v>0</v>
      </c>
      <c r="FD95" s="336">
        <f t="shared" si="646"/>
        <v>0</v>
      </c>
      <c r="FE95" s="336">
        <f t="shared" si="647"/>
        <v>0</v>
      </c>
      <c r="FF95" s="336">
        <f t="shared" si="648"/>
        <v>0</v>
      </c>
      <c r="FG95" s="336">
        <f t="shared" si="649"/>
        <v>0</v>
      </c>
      <c r="FH95" s="336">
        <f t="shared" si="650"/>
        <v>0</v>
      </c>
      <c r="FI95" s="336">
        <f t="shared" si="651"/>
        <v>0</v>
      </c>
      <c r="FJ95" s="336">
        <f t="shared" si="652"/>
        <v>0</v>
      </c>
      <c r="FK95" s="336">
        <f t="shared" si="653"/>
        <v>0</v>
      </c>
      <c r="FL95" s="336">
        <f t="shared" si="654"/>
        <v>0</v>
      </c>
      <c r="FM95" s="336">
        <f t="shared" si="655"/>
        <v>0</v>
      </c>
      <c r="FN95" s="336">
        <f t="shared" si="656"/>
        <v>0</v>
      </c>
      <c r="FO95" s="336">
        <f t="shared" si="657"/>
        <v>0</v>
      </c>
      <c r="FP95" s="336">
        <f t="shared" si="658"/>
        <v>0</v>
      </c>
      <c r="FQ95" s="336">
        <f t="shared" si="659"/>
        <v>0</v>
      </c>
      <c r="FR95" s="336">
        <f t="shared" si="660"/>
        <v>0</v>
      </c>
      <c r="FS95" s="336">
        <f t="shared" si="661"/>
        <v>0</v>
      </c>
      <c r="FT95" s="336">
        <f t="shared" si="662"/>
        <v>0</v>
      </c>
      <c r="FU95" s="336">
        <f t="shared" si="609"/>
        <v>0</v>
      </c>
      <c r="FV95" s="336">
        <f t="shared" si="610"/>
        <v>0</v>
      </c>
      <c r="FW95" s="336">
        <f t="shared" si="611"/>
        <v>0</v>
      </c>
      <c r="FX95" s="336">
        <f t="shared" si="612"/>
        <v>0</v>
      </c>
      <c r="FY95" s="336">
        <f t="shared" si="663"/>
        <v>0</v>
      </c>
      <c r="FZ95" s="336">
        <f t="shared" si="664"/>
        <v>0</v>
      </c>
      <c r="GA95" s="336">
        <f t="shared" si="665"/>
        <v>0</v>
      </c>
      <c r="GB95" s="336">
        <f t="shared" si="666"/>
        <v>0</v>
      </c>
      <c r="GC95" s="336">
        <f t="shared" si="667"/>
        <v>0</v>
      </c>
      <c r="GD95" s="336">
        <f t="shared" si="668"/>
        <v>0</v>
      </c>
      <c r="GE95" s="336">
        <f t="shared" si="669"/>
        <v>0</v>
      </c>
      <c r="GF95" s="336">
        <f t="shared" si="670"/>
        <v>0</v>
      </c>
      <c r="GG95" s="336">
        <f t="shared" si="671"/>
        <v>0</v>
      </c>
      <c r="GH95" s="336">
        <f t="shared" si="672"/>
        <v>0</v>
      </c>
      <c r="GI95" s="336">
        <f t="shared" si="673"/>
        <v>0</v>
      </c>
      <c r="GJ95" s="336">
        <f t="shared" si="674"/>
        <v>0</v>
      </c>
      <c r="GK95" s="336">
        <f t="shared" si="677"/>
        <v>0</v>
      </c>
      <c r="GL95" s="336">
        <f t="shared" si="613"/>
        <v>0</v>
      </c>
      <c r="GM95" s="336">
        <f t="shared" si="675"/>
        <v>0</v>
      </c>
    </row>
    <row r="96" spans="1:195" ht="29.25" customHeight="1">
      <c r="A96" s="388">
        <f t="shared" ref="A96:A106" si="827">1+A95</f>
        <v>63</v>
      </c>
      <c r="B96" s="388" t="s">
        <v>573</v>
      </c>
      <c r="C96" s="388" t="str">
        <f t="shared" si="805"/>
        <v>PMCC-1</v>
      </c>
      <c r="D96" s="338" t="s">
        <v>574</v>
      </c>
      <c r="E96" s="502" t="s">
        <v>345</v>
      </c>
      <c r="F96" s="388" t="s">
        <v>29</v>
      </c>
      <c r="G96" s="388" t="s">
        <v>350</v>
      </c>
      <c r="H96" s="418">
        <v>0.75</v>
      </c>
      <c r="I96" s="388" t="s">
        <v>330</v>
      </c>
      <c r="J96" s="388" t="s">
        <v>331</v>
      </c>
      <c r="K96" s="434">
        <v>400</v>
      </c>
      <c r="L96" s="401">
        <v>0.85</v>
      </c>
      <c r="M96" s="418">
        <v>0.95</v>
      </c>
      <c r="N96" s="392">
        <f t="shared" si="806"/>
        <v>1.3406359261827985</v>
      </c>
      <c r="O96" s="392">
        <f t="shared" si="680"/>
        <v>8.0438155570967904</v>
      </c>
      <c r="P96" s="401">
        <f t="shared" si="807"/>
        <v>0.2</v>
      </c>
      <c r="Q96" s="418">
        <v>65</v>
      </c>
      <c r="R96" s="418">
        <v>0</v>
      </c>
      <c r="S96" s="418">
        <f t="shared" si="808"/>
        <v>0</v>
      </c>
      <c r="T96" s="401" t="s">
        <v>131</v>
      </c>
      <c r="U96" s="418" t="s">
        <v>333</v>
      </c>
      <c r="V96" s="401">
        <v>4</v>
      </c>
      <c r="W96" s="401" t="str">
        <f t="shared" si="809"/>
        <v>3C X 4</v>
      </c>
      <c r="X96" s="401" t="str">
        <f t="shared" si="810"/>
        <v>3C X 4+PE</v>
      </c>
      <c r="Y96" s="401" t="s">
        <v>358</v>
      </c>
      <c r="Z96" s="393">
        <f>IF(T96="AIR",VLOOKUP(W96,'Catalogue Aluminium'!$B$9:$G$93,2,FALSE),IF(T96="GROUND",VLOOKUP(W96,'Catalogue Aluminium'!$B$9:$G$93,3,FALSE),IF(T96="DUCT",VLOOKUP(W96,'Catalogue Aluminium'!$B$9:$G$93,4,FALSE),IF(T96="TRENCH",VLOOKUP(W96,'Catalogue Aluminium'!$B$9:$G$93,2,FALSE)))))</f>
        <v>38</v>
      </c>
      <c r="AA96" s="402">
        <f>VLOOKUP(W96,'Catalogue Aluminium'!$B$9:$G$93,5,FALSE)</f>
        <v>5.9</v>
      </c>
      <c r="AB96" s="402">
        <f>VLOOKUP(W96,'Catalogue Aluminium'!$B$9:$G$93,6,FALSE)</f>
        <v>9.4700000000000006E-2</v>
      </c>
      <c r="AC96" s="401">
        <f t="shared" ref="AC96" si="828">17+3</f>
        <v>20</v>
      </c>
      <c r="AD96" s="401">
        <f>40+50+38+50+17+(27+42+20)</f>
        <v>284</v>
      </c>
      <c r="AE96" s="401">
        <f t="shared" si="811"/>
        <v>38</v>
      </c>
      <c r="AF96" s="401">
        <v>8</v>
      </c>
      <c r="AG96" s="401">
        <f t="shared" si="812"/>
        <v>35</v>
      </c>
      <c r="AH96" s="436">
        <f t="shared" si="813"/>
        <v>385</v>
      </c>
      <c r="AI96" s="393">
        <f>IF(T96="AIR",'Catalogue Aluminium'!$K$9,IF(T96="TRENCH",'Catalogue Aluminium'!$K$12,"NA"))</f>
        <v>0.89</v>
      </c>
      <c r="AJ96" s="392">
        <f>IF(T96="Air",(IF(U96="1C",'Catalogue Aluminium'!$L$9,'Catalogue Aluminium'!$M$9)),IF(T96="DUCT",(IF($U96="1C",'Catalogue Aluminium'!$L$10,'Catalogue Aluminium'!$M$10)),IF(T96="GROUND",(IF($U96="1C",'Catalogue Aluminium'!$L$11,'Catalogue Aluminium'!$M$11)),IF(T96="TRENCH",(IF($U96="1C",'Catalogue Aluminium'!$L$12,'Catalogue Aluminium'!$M$12))))))</f>
        <v>0.66</v>
      </c>
      <c r="AK96" s="393" t="str">
        <f>IF(T96="Air",'Catalogue Aluminium'!$N$9,IF(T96="GROUND",'Catalogue Aluminium'!$N$10,IF(T96="DUCT",'Catalogue Aluminium'!$N$11,IF(T96="TRENCH",'Catalogue Aluminium'!$N$12,"NA"))))</f>
        <v>NA</v>
      </c>
      <c r="AL96" s="393" t="str">
        <f>IF(T96="Air",(IF(U96="1C",'Catalogue Aluminium'!$O$9,'Catalogue Aluminium'!$P$9)),IF(T96="DUCT",(IF($U96="1C",'Catalogue Aluminium'!$O$10,'Catalogue Aluminium'!$P$10)),IF(T96="GROUND",(IF($U96="1C",'Catalogue Aluminium'!$O$11,'Catalogue Aluminium'!$P$11)),IF(T96="TRENCH",(IF($U96="1C",'Catalogue Aluminium'!$O$12,'Catalogue Aluminium'!$P$12))))))</f>
        <v>NA</v>
      </c>
      <c r="AM96" s="393" t="str">
        <f>IF(T96="AIR","NA",IF(T96="TRENCH","NA",IF(T96="DUCT",IF(U96="1C",VLOOKUP(V96,'Catalogue Aluminium'!$Q$9:$S$28,2,FALSE),VLOOKUP(V96,'Catalogue Aluminium'!$Q$9:$S$28,3)),IF(T96="GROUND",IF(U96="1C",VLOOKUP(V96,'Catalogue Aluminium'!$Q$9:$S$28,2,FALSE),VLOOKUP(V96,'Catalogue Aluminium'!$Q$9:$S$28,3))))))</f>
        <v>NA</v>
      </c>
      <c r="AN96" s="437">
        <f t="shared" si="814"/>
        <v>0.58740000000000003</v>
      </c>
      <c r="AO96" s="418">
        <f t="shared" si="815"/>
        <v>22.321200000000001</v>
      </c>
      <c r="AP96" s="434">
        <f t="shared" si="689"/>
        <v>1</v>
      </c>
      <c r="AQ96" s="418" t="str">
        <f t="shared" si="816"/>
        <v>YES</v>
      </c>
      <c r="AR96" s="437">
        <f t="shared" si="817"/>
        <v>1.1319882558242176</v>
      </c>
      <c r="AS96" s="401" t="str">
        <f t="shared" si="818"/>
        <v>YES</v>
      </c>
      <c r="AT96" s="437">
        <f t="shared" si="819"/>
        <v>1.7067860635939951</v>
      </c>
      <c r="AU96" s="401" t="str">
        <f t="shared" si="820"/>
        <v>YES</v>
      </c>
      <c r="AV96" s="503" t="str">
        <f t="shared" si="821"/>
        <v>1R x 0.6/1kV x 3C x 4 Sqmm</v>
      </c>
      <c r="AW96" s="503" t="str">
        <f t="shared" si="822"/>
        <v>1R x 0.6/1kV x 3C x 4+PE Sqmm</v>
      </c>
      <c r="AX96" s="401">
        <f t="shared" si="823"/>
        <v>385</v>
      </c>
      <c r="AY96" s="504"/>
      <c r="AZ96" s="504">
        <f t="shared" si="824"/>
        <v>2</v>
      </c>
      <c r="BA96" s="438" t="str">
        <f t="shared" si="825"/>
        <v>ACDEE1E2E3</v>
      </c>
      <c r="BB96" s="505">
        <f>VLOOKUP(W96,'Catalogue Aluminium'!$B$9:$H$93,7,FALSE)</f>
        <v>15</v>
      </c>
      <c r="BC96" s="439">
        <f t="shared" si="826"/>
        <v>15</v>
      </c>
      <c r="BE96" s="336"/>
      <c r="BF96" s="336">
        <v>1</v>
      </c>
      <c r="BG96" s="336"/>
      <c r="BH96" s="336"/>
      <c r="BI96" s="336">
        <v>1</v>
      </c>
      <c r="BJ96" s="336">
        <v>1</v>
      </c>
      <c r="BK96" s="336"/>
      <c r="BL96" s="336"/>
      <c r="BM96" s="336"/>
      <c r="BN96" s="336">
        <v>1</v>
      </c>
      <c r="BO96" s="336"/>
      <c r="BP96" s="336">
        <v>1</v>
      </c>
      <c r="BQ96" s="336">
        <v>1</v>
      </c>
      <c r="BR96" s="336">
        <v>1</v>
      </c>
      <c r="BS96" s="336"/>
      <c r="BT96" s="336"/>
      <c r="BU96" s="336"/>
      <c r="BV96" s="336"/>
      <c r="BW96" s="336"/>
      <c r="BX96" s="336"/>
      <c r="BY96" s="336"/>
      <c r="BZ96" s="336"/>
      <c r="CA96" s="336"/>
      <c r="CB96" s="336"/>
      <c r="CC96" s="336"/>
      <c r="CD96" s="336"/>
      <c r="CE96" s="336"/>
      <c r="CF96" s="336"/>
      <c r="CG96" s="336"/>
      <c r="CH96" s="336"/>
      <c r="CI96" s="336"/>
      <c r="CJ96" s="336"/>
      <c r="CK96" s="336"/>
      <c r="CL96" s="336"/>
      <c r="CM96" s="336"/>
      <c r="CN96" s="336"/>
      <c r="CO96" s="336"/>
      <c r="CP96" s="336"/>
      <c r="CQ96" s="336"/>
      <c r="CR96" s="336"/>
      <c r="CS96" s="336"/>
      <c r="CT96" s="336"/>
      <c r="CU96" s="336"/>
      <c r="CV96" s="336"/>
      <c r="CW96" s="336"/>
      <c r="CX96" s="336"/>
      <c r="CY96" s="336"/>
      <c r="CZ96" s="336"/>
      <c r="DA96" s="336"/>
      <c r="DB96" s="336"/>
      <c r="DC96" s="336"/>
      <c r="DD96" s="336"/>
      <c r="DE96" s="336"/>
      <c r="DF96" s="336"/>
      <c r="DG96" s="336"/>
      <c r="DH96" s="336"/>
      <c r="DI96" s="336"/>
      <c r="DJ96" s="336"/>
      <c r="DK96" s="336"/>
      <c r="DL96" s="336"/>
      <c r="DM96" s="336"/>
      <c r="DN96" s="336"/>
      <c r="DO96" s="336"/>
      <c r="DP96" s="336"/>
      <c r="DQ96" s="336"/>
      <c r="DR96" s="336"/>
      <c r="DS96" s="336"/>
      <c r="DT96" s="336"/>
      <c r="DU96" s="336"/>
      <c r="DW96" s="336">
        <f t="shared" si="709"/>
        <v>0</v>
      </c>
      <c r="DX96" s="336">
        <f t="shared" si="701"/>
        <v>15</v>
      </c>
      <c r="DY96" s="336">
        <f t="shared" si="702"/>
        <v>0</v>
      </c>
      <c r="DZ96" s="336">
        <f t="shared" si="703"/>
        <v>0</v>
      </c>
      <c r="EA96" s="336">
        <f t="shared" si="704"/>
        <v>15</v>
      </c>
      <c r="EB96" s="336">
        <f t="shared" si="705"/>
        <v>15</v>
      </c>
      <c r="EC96" s="336">
        <f t="shared" si="706"/>
        <v>0</v>
      </c>
      <c r="ED96" s="336">
        <f t="shared" si="621"/>
        <v>0</v>
      </c>
      <c r="EE96" s="336">
        <f t="shared" si="622"/>
        <v>0</v>
      </c>
      <c r="EF96" s="336">
        <f t="shared" si="623"/>
        <v>15</v>
      </c>
      <c r="EG96" s="336">
        <f t="shared" si="624"/>
        <v>0</v>
      </c>
      <c r="EH96" s="336">
        <f t="shared" si="625"/>
        <v>15</v>
      </c>
      <c r="EI96" s="336">
        <f t="shared" si="626"/>
        <v>15</v>
      </c>
      <c r="EJ96" s="336">
        <f t="shared" si="627"/>
        <v>15</v>
      </c>
      <c r="EK96" s="336">
        <f t="shared" si="628"/>
        <v>0</v>
      </c>
      <c r="EL96" s="336">
        <f t="shared" si="629"/>
        <v>0</v>
      </c>
      <c r="EM96" s="336">
        <f t="shared" si="630"/>
        <v>0</v>
      </c>
      <c r="EN96" s="336">
        <f t="shared" si="631"/>
        <v>0</v>
      </c>
      <c r="EO96" s="336">
        <f t="shared" si="632"/>
        <v>0</v>
      </c>
      <c r="EP96" s="336">
        <f t="shared" si="633"/>
        <v>0</v>
      </c>
      <c r="EQ96" s="336">
        <f t="shared" si="634"/>
        <v>0</v>
      </c>
      <c r="ER96" s="336">
        <f t="shared" si="635"/>
        <v>0</v>
      </c>
      <c r="ES96" s="336">
        <f t="shared" si="636"/>
        <v>0</v>
      </c>
      <c r="ET96" s="336">
        <f t="shared" si="636"/>
        <v>0</v>
      </c>
      <c r="EU96" s="336">
        <f t="shared" si="637"/>
        <v>0</v>
      </c>
      <c r="EV96" s="336">
        <f t="shared" si="638"/>
        <v>0</v>
      </c>
      <c r="EW96" s="336">
        <f t="shared" si="639"/>
        <v>0</v>
      </c>
      <c r="EX96" s="336">
        <f t="shared" si="640"/>
        <v>0</v>
      </c>
      <c r="EY96" s="336">
        <f t="shared" si="641"/>
        <v>0</v>
      </c>
      <c r="EZ96" s="336">
        <f t="shared" si="642"/>
        <v>0</v>
      </c>
      <c r="FA96" s="336">
        <f t="shared" si="643"/>
        <v>0</v>
      </c>
      <c r="FB96" s="336">
        <f t="shared" si="644"/>
        <v>0</v>
      </c>
      <c r="FC96" s="336">
        <f t="shared" si="645"/>
        <v>0</v>
      </c>
      <c r="FD96" s="336">
        <f t="shared" si="646"/>
        <v>0</v>
      </c>
      <c r="FE96" s="336">
        <f t="shared" si="647"/>
        <v>0</v>
      </c>
      <c r="FF96" s="336">
        <f t="shared" si="648"/>
        <v>0</v>
      </c>
      <c r="FG96" s="336">
        <f t="shared" si="649"/>
        <v>0</v>
      </c>
      <c r="FH96" s="336">
        <f t="shared" si="650"/>
        <v>0</v>
      </c>
      <c r="FI96" s="336">
        <f t="shared" si="651"/>
        <v>0</v>
      </c>
      <c r="FJ96" s="336">
        <f t="shared" si="652"/>
        <v>0</v>
      </c>
      <c r="FK96" s="336">
        <f t="shared" si="653"/>
        <v>0</v>
      </c>
      <c r="FL96" s="336">
        <f t="shared" si="654"/>
        <v>0</v>
      </c>
      <c r="FM96" s="336">
        <f t="shared" si="655"/>
        <v>0</v>
      </c>
      <c r="FN96" s="336">
        <f t="shared" si="656"/>
        <v>0</v>
      </c>
      <c r="FO96" s="336">
        <f t="shared" si="657"/>
        <v>0</v>
      </c>
      <c r="FP96" s="336">
        <f t="shared" si="658"/>
        <v>0</v>
      </c>
      <c r="FQ96" s="336">
        <f t="shared" si="659"/>
        <v>0</v>
      </c>
      <c r="FR96" s="336">
        <f t="shared" si="660"/>
        <v>0</v>
      </c>
      <c r="FS96" s="336">
        <f t="shared" si="661"/>
        <v>0</v>
      </c>
      <c r="FT96" s="336">
        <f t="shared" si="662"/>
        <v>0</v>
      </c>
      <c r="FU96" s="336">
        <f t="shared" si="609"/>
        <v>0</v>
      </c>
      <c r="FV96" s="336">
        <f t="shared" si="610"/>
        <v>0</v>
      </c>
      <c r="FW96" s="336">
        <f t="shared" si="611"/>
        <v>0</v>
      </c>
      <c r="FX96" s="336">
        <f t="shared" si="612"/>
        <v>0</v>
      </c>
      <c r="FY96" s="336">
        <f t="shared" si="663"/>
        <v>0</v>
      </c>
      <c r="FZ96" s="336">
        <f t="shared" si="664"/>
        <v>0</v>
      </c>
      <c r="GA96" s="336">
        <f t="shared" si="665"/>
        <v>0</v>
      </c>
      <c r="GB96" s="336">
        <f t="shared" si="666"/>
        <v>0</v>
      </c>
      <c r="GC96" s="336">
        <f t="shared" si="667"/>
        <v>0</v>
      </c>
      <c r="GD96" s="336">
        <f t="shared" si="668"/>
        <v>0</v>
      </c>
      <c r="GE96" s="336">
        <f t="shared" si="669"/>
        <v>0</v>
      </c>
      <c r="GF96" s="336">
        <f t="shared" si="670"/>
        <v>0</v>
      </c>
      <c r="GG96" s="336">
        <f t="shared" si="671"/>
        <v>0</v>
      </c>
      <c r="GH96" s="336">
        <f t="shared" si="672"/>
        <v>0</v>
      </c>
      <c r="GI96" s="336">
        <f t="shared" si="673"/>
        <v>0</v>
      </c>
      <c r="GJ96" s="336">
        <f t="shared" si="674"/>
        <v>0</v>
      </c>
      <c r="GK96" s="336">
        <f t="shared" si="677"/>
        <v>0</v>
      </c>
      <c r="GL96" s="336">
        <f t="shared" si="613"/>
        <v>0</v>
      </c>
      <c r="GM96" s="336">
        <f t="shared" si="675"/>
        <v>0</v>
      </c>
    </row>
    <row r="97" spans="1:195" ht="24.75" customHeight="1">
      <c r="A97" s="388">
        <f t="shared" si="827"/>
        <v>64</v>
      </c>
      <c r="B97" s="406" t="s">
        <v>1653</v>
      </c>
      <c r="C97" s="388" t="str">
        <f t="shared" si="805"/>
        <v>PMCC-1</v>
      </c>
      <c r="D97" s="338" t="s">
        <v>575</v>
      </c>
      <c r="E97" s="502" t="s">
        <v>345</v>
      </c>
      <c r="F97" s="388" t="s">
        <v>28</v>
      </c>
      <c r="G97" s="388" t="s">
        <v>350</v>
      </c>
      <c r="H97" s="418">
        <v>1.5</v>
      </c>
      <c r="I97" s="388" t="s">
        <v>330</v>
      </c>
      <c r="J97" s="388" t="s">
        <v>331</v>
      </c>
      <c r="K97" s="434">
        <v>400</v>
      </c>
      <c r="L97" s="401">
        <v>0.85</v>
      </c>
      <c r="M97" s="418">
        <v>0.95</v>
      </c>
      <c r="N97" s="392">
        <f t="shared" si="806"/>
        <v>2.681271852365597</v>
      </c>
      <c r="O97" s="392">
        <f t="shared" si="680"/>
        <v>16.087631114193581</v>
      </c>
      <c r="P97" s="401">
        <f t="shared" si="807"/>
        <v>0.2</v>
      </c>
      <c r="Q97" s="418">
        <v>65</v>
      </c>
      <c r="R97" s="418">
        <v>0</v>
      </c>
      <c r="S97" s="418">
        <f t="shared" si="808"/>
        <v>0</v>
      </c>
      <c r="T97" s="401" t="s">
        <v>131</v>
      </c>
      <c r="U97" s="418" t="s">
        <v>333</v>
      </c>
      <c r="V97" s="401">
        <v>4</v>
      </c>
      <c r="W97" s="401" t="str">
        <f t="shared" si="809"/>
        <v>3C X 4</v>
      </c>
      <c r="X97" s="401" t="str">
        <f t="shared" si="810"/>
        <v>3C X 4+PE</v>
      </c>
      <c r="Y97" s="401" t="s">
        <v>358</v>
      </c>
      <c r="Z97" s="393">
        <f>IF(T97="AIR",VLOOKUP(W97,'Catalogue Aluminium'!$B$9:$G$93,2,FALSE),IF(T97="GROUND",VLOOKUP(W97,'Catalogue Aluminium'!$B$9:$G$93,3,FALSE),IF(T97="DUCT",VLOOKUP(W97,'Catalogue Aluminium'!$B$9:$G$93,4,FALSE),IF(T97="TRENCH",VLOOKUP(W97,'Catalogue Aluminium'!$B$9:$G$93,2,FALSE)))))</f>
        <v>38</v>
      </c>
      <c r="AA97" s="402">
        <f>VLOOKUP(W97,'Catalogue Aluminium'!$B$9:$G$93,5,FALSE)</f>
        <v>5.9</v>
      </c>
      <c r="AB97" s="402">
        <f>VLOOKUP(W97,'Catalogue Aluminium'!$B$9:$G$93,6,FALSE)</f>
        <v>9.4700000000000006E-2</v>
      </c>
      <c r="AC97" s="401">
        <f t="shared" ref="AC97:AC105" si="829">26+3</f>
        <v>29</v>
      </c>
      <c r="AD97" s="401">
        <f>40+50+38+50+17+(27+42+21)</f>
        <v>285</v>
      </c>
      <c r="AE97" s="401">
        <f t="shared" si="811"/>
        <v>38</v>
      </c>
      <c r="AF97" s="401">
        <v>8</v>
      </c>
      <c r="AG97" s="401">
        <f t="shared" si="812"/>
        <v>36</v>
      </c>
      <c r="AH97" s="436">
        <f t="shared" si="813"/>
        <v>396</v>
      </c>
      <c r="AI97" s="393">
        <f>IF(T97="AIR",'Catalogue Aluminium'!$K$9,IF(T97="TRENCH",'Catalogue Aluminium'!$K$12,"NA"))</f>
        <v>0.89</v>
      </c>
      <c r="AJ97" s="392">
        <f>IF(T97="Air",(IF(U97="1C",'Catalogue Aluminium'!$L$9,'Catalogue Aluminium'!$M$9)),IF(T97="DUCT",(IF($U97="1C",'Catalogue Aluminium'!$L$10,'Catalogue Aluminium'!$M$10)),IF(T97="GROUND",(IF($U97="1C",'Catalogue Aluminium'!$L$11,'Catalogue Aluminium'!$M$11)),IF(T97="TRENCH",(IF($U97="1C",'Catalogue Aluminium'!$L$12,'Catalogue Aluminium'!$M$12))))))</f>
        <v>0.66</v>
      </c>
      <c r="AK97" s="393" t="str">
        <f>IF(T97="Air",'Catalogue Aluminium'!$N$9,IF(T97="GROUND",'Catalogue Aluminium'!$N$10,IF(T97="DUCT",'Catalogue Aluminium'!$N$11,IF(T97="TRENCH",'Catalogue Aluminium'!$N$12,"NA"))))</f>
        <v>NA</v>
      </c>
      <c r="AL97" s="393" t="str">
        <f>IF(T97="Air",(IF(U97="1C",'Catalogue Aluminium'!$O$9,'Catalogue Aluminium'!$P$9)),IF(T97="DUCT",(IF($U97="1C",'Catalogue Aluminium'!$O$10,'Catalogue Aluminium'!$P$10)),IF(T97="GROUND",(IF($U97="1C",'Catalogue Aluminium'!$O$11,'Catalogue Aluminium'!$P$11)),IF(T97="TRENCH",(IF($U97="1C",'Catalogue Aluminium'!$O$12,'Catalogue Aluminium'!$P$12))))))</f>
        <v>NA</v>
      </c>
      <c r="AM97" s="393" t="str">
        <f>IF(T97="AIR","NA",IF(T97="TRENCH","NA",IF(T97="DUCT",IF(U97="1C",VLOOKUP(V97,'Catalogue Aluminium'!$Q$9:$S$28,2,FALSE),VLOOKUP(V97,'Catalogue Aluminium'!$Q$9:$S$28,3)),IF(T97="GROUND",IF(U97="1C",VLOOKUP(V97,'Catalogue Aluminium'!$Q$9:$S$28,2,FALSE),VLOOKUP(V97,'Catalogue Aluminium'!$Q$9:$S$28,3))))))</f>
        <v>NA</v>
      </c>
      <c r="AN97" s="437">
        <f t="shared" si="814"/>
        <v>0.58740000000000003</v>
      </c>
      <c r="AO97" s="418">
        <f t="shared" si="815"/>
        <v>22.321200000000001</v>
      </c>
      <c r="AP97" s="434">
        <f t="shared" si="689"/>
        <v>1</v>
      </c>
      <c r="AQ97" s="418" t="str">
        <f t="shared" si="816"/>
        <v>YES</v>
      </c>
      <c r="AR97" s="437">
        <f t="shared" si="817"/>
        <v>2.3286615548383902</v>
      </c>
      <c r="AS97" s="401" t="str">
        <f t="shared" si="818"/>
        <v>YES</v>
      </c>
      <c r="AT97" s="437">
        <f t="shared" si="819"/>
        <v>3.5111027593933613</v>
      </c>
      <c r="AU97" s="401" t="str">
        <f t="shared" si="820"/>
        <v>YES</v>
      </c>
      <c r="AV97" s="503" t="str">
        <f t="shared" si="821"/>
        <v>1R x 0.6/1kV x 3C x 4 Sqmm</v>
      </c>
      <c r="AW97" s="503" t="str">
        <f t="shared" si="822"/>
        <v>1R x 0.6/1kV x 3C x 4+PE Sqmm</v>
      </c>
      <c r="AX97" s="401">
        <f t="shared" si="823"/>
        <v>396</v>
      </c>
      <c r="AY97" s="504"/>
      <c r="AZ97" s="504">
        <f t="shared" si="824"/>
        <v>2</v>
      </c>
      <c r="BA97" s="438" t="str">
        <f t="shared" si="825"/>
        <v>ACDEE1E2E3</v>
      </c>
      <c r="BB97" s="505">
        <f>VLOOKUP(W97,'Catalogue Aluminium'!$B$9:$H$93,7,FALSE)</f>
        <v>15</v>
      </c>
      <c r="BC97" s="439">
        <f t="shared" si="826"/>
        <v>15</v>
      </c>
      <c r="BE97" s="336"/>
      <c r="BF97" s="336">
        <v>1</v>
      </c>
      <c r="BG97" s="336"/>
      <c r="BH97" s="336"/>
      <c r="BI97" s="336">
        <v>1</v>
      </c>
      <c r="BJ97" s="336">
        <v>1</v>
      </c>
      <c r="BK97" s="336"/>
      <c r="BL97" s="336"/>
      <c r="BM97" s="336"/>
      <c r="BN97" s="336">
        <v>1</v>
      </c>
      <c r="BO97" s="336"/>
      <c r="BP97" s="336">
        <v>1</v>
      </c>
      <c r="BQ97" s="336">
        <v>1</v>
      </c>
      <c r="BR97" s="336">
        <v>1</v>
      </c>
      <c r="BS97" s="336"/>
      <c r="BT97" s="336"/>
      <c r="BU97" s="336"/>
      <c r="BV97" s="336"/>
      <c r="BW97" s="336"/>
      <c r="BX97" s="336"/>
      <c r="BY97" s="336"/>
      <c r="BZ97" s="336"/>
      <c r="CA97" s="336"/>
      <c r="CB97" s="336"/>
      <c r="CC97" s="336"/>
      <c r="CD97" s="336"/>
      <c r="CE97" s="336"/>
      <c r="CF97" s="336"/>
      <c r="CG97" s="336"/>
      <c r="CH97" s="336"/>
      <c r="CI97" s="336"/>
      <c r="CJ97" s="336"/>
      <c r="CK97" s="336"/>
      <c r="CL97" s="336"/>
      <c r="CM97" s="336"/>
      <c r="CN97" s="336"/>
      <c r="CO97" s="336"/>
      <c r="CP97" s="336"/>
      <c r="CQ97" s="336"/>
      <c r="CR97" s="336"/>
      <c r="CS97" s="336"/>
      <c r="CT97" s="336"/>
      <c r="CU97" s="336"/>
      <c r="CV97" s="336"/>
      <c r="CW97" s="336"/>
      <c r="CX97" s="336"/>
      <c r="CY97" s="336"/>
      <c r="CZ97" s="336"/>
      <c r="DA97" s="336"/>
      <c r="DB97" s="336"/>
      <c r="DC97" s="336"/>
      <c r="DD97" s="336"/>
      <c r="DE97" s="336"/>
      <c r="DF97" s="336"/>
      <c r="DG97" s="336"/>
      <c r="DH97" s="336"/>
      <c r="DI97" s="336"/>
      <c r="DJ97" s="336"/>
      <c r="DK97" s="336"/>
      <c r="DL97" s="336"/>
      <c r="DM97" s="336"/>
      <c r="DN97" s="336"/>
      <c r="DO97" s="336"/>
      <c r="DP97" s="336"/>
      <c r="DQ97" s="336"/>
      <c r="DR97" s="336"/>
      <c r="DS97" s="336"/>
      <c r="DT97" s="336"/>
      <c r="DU97" s="336"/>
      <c r="DW97" s="336">
        <f t="shared" si="709"/>
        <v>0</v>
      </c>
      <c r="DX97" s="336">
        <f t="shared" si="701"/>
        <v>15</v>
      </c>
      <c r="DY97" s="336">
        <f t="shared" si="702"/>
        <v>0</v>
      </c>
      <c r="DZ97" s="336">
        <f t="shared" si="703"/>
        <v>0</v>
      </c>
      <c r="EA97" s="336">
        <f t="shared" si="704"/>
        <v>15</v>
      </c>
      <c r="EB97" s="336">
        <f t="shared" si="705"/>
        <v>15</v>
      </c>
      <c r="EC97" s="336">
        <f t="shared" si="706"/>
        <v>0</v>
      </c>
      <c r="ED97" s="336">
        <f t="shared" si="621"/>
        <v>0</v>
      </c>
      <c r="EE97" s="336">
        <f t="shared" si="622"/>
        <v>0</v>
      </c>
      <c r="EF97" s="336">
        <f t="shared" si="623"/>
        <v>15</v>
      </c>
      <c r="EG97" s="336">
        <f t="shared" si="624"/>
        <v>0</v>
      </c>
      <c r="EH97" s="336">
        <f t="shared" si="625"/>
        <v>15</v>
      </c>
      <c r="EI97" s="336">
        <f t="shared" si="626"/>
        <v>15</v>
      </c>
      <c r="EJ97" s="336">
        <f t="shared" si="627"/>
        <v>15</v>
      </c>
      <c r="EK97" s="336">
        <f t="shared" si="628"/>
        <v>0</v>
      </c>
      <c r="EL97" s="336">
        <f t="shared" si="629"/>
        <v>0</v>
      </c>
      <c r="EM97" s="336">
        <f t="shared" si="630"/>
        <v>0</v>
      </c>
      <c r="EN97" s="336">
        <f t="shared" si="631"/>
        <v>0</v>
      </c>
      <c r="EO97" s="336">
        <f t="shared" si="632"/>
        <v>0</v>
      </c>
      <c r="EP97" s="336">
        <f t="shared" si="633"/>
        <v>0</v>
      </c>
      <c r="EQ97" s="336">
        <f t="shared" si="634"/>
        <v>0</v>
      </c>
      <c r="ER97" s="336">
        <f t="shared" si="635"/>
        <v>0</v>
      </c>
      <c r="ES97" s="336">
        <f t="shared" si="636"/>
        <v>0</v>
      </c>
      <c r="ET97" s="336">
        <f t="shared" si="636"/>
        <v>0</v>
      </c>
      <c r="EU97" s="336">
        <f t="shared" si="637"/>
        <v>0</v>
      </c>
      <c r="EV97" s="336">
        <f t="shared" si="638"/>
        <v>0</v>
      </c>
      <c r="EW97" s="336">
        <f t="shared" si="639"/>
        <v>0</v>
      </c>
      <c r="EX97" s="336">
        <f t="shared" si="640"/>
        <v>0</v>
      </c>
      <c r="EY97" s="336">
        <f t="shared" si="641"/>
        <v>0</v>
      </c>
      <c r="EZ97" s="336">
        <f t="shared" si="642"/>
        <v>0</v>
      </c>
      <c r="FA97" s="336">
        <f t="shared" si="643"/>
        <v>0</v>
      </c>
      <c r="FB97" s="336">
        <f t="shared" si="644"/>
        <v>0</v>
      </c>
      <c r="FC97" s="336">
        <f t="shared" si="645"/>
        <v>0</v>
      </c>
      <c r="FD97" s="336">
        <f t="shared" si="646"/>
        <v>0</v>
      </c>
      <c r="FE97" s="336">
        <f t="shared" si="647"/>
        <v>0</v>
      </c>
      <c r="FF97" s="336">
        <f t="shared" si="648"/>
        <v>0</v>
      </c>
      <c r="FG97" s="336">
        <f t="shared" si="649"/>
        <v>0</v>
      </c>
      <c r="FH97" s="336">
        <f t="shared" si="650"/>
        <v>0</v>
      </c>
      <c r="FI97" s="336">
        <f t="shared" si="651"/>
        <v>0</v>
      </c>
      <c r="FJ97" s="336">
        <f t="shared" si="652"/>
        <v>0</v>
      </c>
      <c r="FK97" s="336">
        <f t="shared" si="653"/>
        <v>0</v>
      </c>
      <c r="FL97" s="336">
        <f t="shared" si="654"/>
        <v>0</v>
      </c>
      <c r="FM97" s="336">
        <f t="shared" si="655"/>
        <v>0</v>
      </c>
      <c r="FN97" s="336">
        <f t="shared" si="656"/>
        <v>0</v>
      </c>
      <c r="FO97" s="336">
        <f t="shared" si="657"/>
        <v>0</v>
      </c>
      <c r="FP97" s="336">
        <f t="shared" si="658"/>
        <v>0</v>
      </c>
      <c r="FQ97" s="336">
        <f t="shared" si="659"/>
        <v>0</v>
      </c>
      <c r="FR97" s="336">
        <f t="shared" si="660"/>
        <v>0</v>
      </c>
      <c r="FS97" s="336">
        <f t="shared" si="661"/>
        <v>0</v>
      </c>
      <c r="FT97" s="336">
        <f t="shared" si="662"/>
        <v>0</v>
      </c>
      <c r="FU97" s="336">
        <f t="shared" si="609"/>
        <v>0</v>
      </c>
      <c r="FV97" s="336">
        <f t="shared" si="610"/>
        <v>0</v>
      </c>
      <c r="FW97" s="336">
        <f t="shared" si="611"/>
        <v>0</v>
      </c>
      <c r="FX97" s="336">
        <f t="shared" si="612"/>
        <v>0</v>
      </c>
      <c r="FY97" s="336">
        <f t="shared" si="663"/>
        <v>0</v>
      </c>
      <c r="FZ97" s="336">
        <f t="shared" si="664"/>
        <v>0</v>
      </c>
      <c r="GA97" s="336">
        <f t="shared" si="665"/>
        <v>0</v>
      </c>
      <c r="GB97" s="336">
        <f t="shared" si="666"/>
        <v>0</v>
      </c>
      <c r="GC97" s="336">
        <f t="shared" si="667"/>
        <v>0</v>
      </c>
      <c r="GD97" s="336">
        <f t="shared" si="668"/>
        <v>0</v>
      </c>
      <c r="GE97" s="336">
        <f t="shared" si="669"/>
        <v>0</v>
      </c>
      <c r="GF97" s="336">
        <f t="shared" si="670"/>
        <v>0</v>
      </c>
      <c r="GG97" s="336">
        <f t="shared" si="671"/>
        <v>0</v>
      </c>
      <c r="GH97" s="336">
        <f t="shared" si="672"/>
        <v>0</v>
      </c>
      <c r="GI97" s="336">
        <f t="shared" si="673"/>
        <v>0</v>
      </c>
      <c r="GJ97" s="336">
        <f t="shared" si="674"/>
        <v>0</v>
      </c>
      <c r="GK97" s="336">
        <f t="shared" si="677"/>
        <v>0</v>
      </c>
      <c r="GL97" s="336">
        <f t="shared" si="613"/>
        <v>0</v>
      </c>
      <c r="GM97" s="336">
        <f t="shared" si="675"/>
        <v>0</v>
      </c>
    </row>
    <row r="98" spans="1:195" ht="24.75" customHeight="1">
      <c r="A98" s="388">
        <f t="shared" si="827"/>
        <v>65</v>
      </c>
      <c r="B98" s="406" t="s">
        <v>1654</v>
      </c>
      <c r="C98" s="388" t="str">
        <f t="shared" si="805"/>
        <v>PMCC-1</v>
      </c>
      <c r="D98" s="338" t="s">
        <v>575</v>
      </c>
      <c r="E98" s="502" t="s">
        <v>345</v>
      </c>
      <c r="F98" s="388" t="s">
        <v>29</v>
      </c>
      <c r="G98" s="388" t="s">
        <v>350</v>
      </c>
      <c r="H98" s="418">
        <v>1.5</v>
      </c>
      <c r="I98" s="388" t="s">
        <v>330</v>
      </c>
      <c r="J98" s="388" t="s">
        <v>331</v>
      </c>
      <c r="K98" s="434">
        <v>400</v>
      </c>
      <c r="L98" s="401">
        <v>0.85</v>
      </c>
      <c r="M98" s="418">
        <v>0.95</v>
      </c>
      <c r="N98" s="392">
        <f t="shared" si="806"/>
        <v>2.681271852365597</v>
      </c>
      <c r="O98" s="392">
        <f t="shared" si="680"/>
        <v>16.087631114193581</v>
      </c>
      <c r="P98" s="401">
        <f t="shared" si="807"/>
        <v>0.2</v>
      </c>
      <c r="Q98" s="418">
        <v>65</v>
      </c>
      <c r="R98" s="418">
        <v>0</v>
      </c>
      <c r="S98" s="418">
        <f t="shared" si="808"/>
        <v>0</v>
      </c>
      <c r="T98" s="401" t="s">
        <v>131</v>
      </c>
      <c r="U98" s="418" t="s">
        <v>333</v>
      </c>
      <c r="V98" s="401">
        <v>4</v>
      </c>
      <c r="W98" s="401" t="str">
        <f t="shared" si="809"/>
        <v>3C X 4</v>
      </c>
      <c r="X98" s="401" t="str">
        <f t="shared" si="810"/>
        <v>3C X 4+PE</v>
      </c>
      <c r="Y98" s="401" t="s">
        <v>358</v>
      </c>
      <c r="Z98" s="393">
        <f>IF(T98="AIR",VLOOKUP(W98,'Catalogue Aluminium'!$B$9:$G$93,2,FALSE),IF(T98="GROUND",VLOOKUP(W98,'Catalogue Aluminium'!$B$9:$G$93,3,FALSE),IF(T98="DUCT",VLOOKUP(W98,'Catalogue Aluminium'!$B$9:$G$93,4,FALSE),IF(T98="TRENCH",VLOOKUP(W98,'Catalogue Aluminium'!$B$9:$G$93,2,FALSE)))))</f>
        <v>38</v>
      </c>
      <c r="AA98" s="402">
        <f>VLOOKUP(W98,'Catalogue Aluminium'!$B$9:$G$93,5,FALSE)</f>
        <v>5.9</v>
      </c>
      <c r="AB98" s="402">
        <f>VLOOKUP(W98,'Catalogue Aluminium'!$B$9:$G$93,6,FALSE)</f>
        <v>9.4700000000000006E-2</v>
      </c>
      <c r="AC98" s="401">
        <f t="shared" ref="AC98" si="830">17+3</f>
        <v>20</v>
      </c>
      <c r="AD98" s="401">
        <f>40+50+38+50+17+(27+42+21)</f>
        <v>285</v>
      </c>
      <c r="AE98" s="401">
        <f t="shared" si="811"/>
        <v>38</v>
      </c>
      <c r="AF98" s="401">
        <v>8</v>
      </c>
      <c r="AG98" s="401">
        <f t="shared" si="812"/>
        <v>36</v>
      </c>
      <c r="AH98" s="436">
        <f t="shared" si="813"/>
        <v>387</v>
      </c>
      <c r="AI98" s="393">
        <f>IF(T98="AIR",'Catalogue Aluminium'!$K$9,IF(T98="TRENCH",'Catalogue Aluminium'!$K$12,"NA"))</f>
        <v>0.89</v>
      </c>
      <c r="AJ98" s="392">
        <f>IF(T98="Air",(IF(U98="1C",'Catalogue Aluminium'!$L$9,'Catalogue Aluminium'!$M$9)),IF(T98="DUCT",(IF($U98="1C",'Catalogue Aluminium'!$L$10,'Catalogue Aluminium'!$M$10)),IF(T98="GROUND",(IF($U98="1C",'Catalogue Aluminium'!$L$11,'Catalogue Aluminium'!$M$11)),IF(T98="TRENCH",(IF($U98="1C",'Catalogue Aluminium'!$L$12,'Catalogue Aluminium'!$M$12))))))</f>
        <v>0.66</v>
      </c>
      <c r="AK98" s="393" t="str">
        <f>IF(T98="Air",'Catalogue Aluminium'!$N$9,IF(T98="GROUND",'Catalogue Aluminium'!$N$10,IF(T98="DUCT",'Catalogue Aluminium'!$N$11,IF(T98="TRENCH",'Catalogue Aluminium'!$N$12,"NA"))))</f>
        <v>NA</v>
      </c>
      <c r="AL98" s="393" t="str">
        <f>IF(T98="Air",(IF(U98="1C",'Catalogue Aluminium'!$O$9,'Catalogue Aluminium'!$P$9)),IF(T98="DUCT",(IF($U98="1C",'Catalogue Aluminium'!$O$10,'Catalogue Aluminium'!$P$10)),IF(T98="GROUND",(IF($U98="1C",'Catalogue Aluminium'!$O$11,'Catalogue Aluminium'!$P$11)),IF(T98="TRENCH",(IF($U98="1C",'Catalogue Aluminium'!$O$12,'Catalogue Aluminium'!$P$12))))))</f>
        <v>NA</v>
      </c>
      <c r="AM98" s="393" t="str">
        <f>IF(T98="AIR","NA",IF(T98="TRENCH","NA",IF(T98="DUCT",IF(U98="1C",VLOOKUP(V98,'Catalogue Aluminium'!$Q$9:$S$28,2,FALSE),VLOOKUP(V98,'Catalogue Aluminium'!$Q$9:$S$28,3)),IF(T98="GROUND",IF(U98="1C",VLOOKUP(V98,'Catalogue Aluminium'!$Q$9:$S$28,2,FALSE),VLOOKUP(V98,'Catalogue Aluminium'!$Q$9:$S$28,3))))))</f>
        <v>NA</v>
      </c>
      <c r="AN98" s="437">
        <f t="shared" si="814"/>
        <v>0.58740000000000003</v>
      </c>
      <c r="AO98" s="418">
        <f t="shared" si="815"/>
        <v>22.321200000000001</v>
      </c>
      <c r="AP98" s="434">
        <f t="shared" si="689"/>
        <v>1</v>
      </c>
      <c r="AQ98" s="418" t="str">
        <f t="shared" si="816"/>
        <v>YES</v>
      </c>
      <c r="AR98" s="437">
        <f t="shared" si="817"/>
        <v>2.2757374285920626</v>
      </c>
      <c r="AS98" s="401" t="str">
        <f t="shared" si="818"/>
        <v>YES</v>
      </c>
      <c r="AT98" s="437">
        <f t="shared" si="819"/>
        <v>3.4313049694071478</v>
      </c>
      <c r="AU98" s="401" t="str">
        <f t="shared" si="820"/>
        <v>YES</v>
      </c>
      <c r="AV98" s="503" t="str">
        <f t="shared" si="821"/>
        <v>1R x 0.6/1kV x 3C x 4 Sqmm</v>
      </c>
      <c r="AW98" s="503" t="str">
        <f t="shared" si="822"/>
        <v>1R x 0.6/1kV x 3C x 4+PE Sqmm</v>
      </c>
      <c r="AX98" s="401">
        <f t="shared" si="823"/>
        <v>387</v>
      </c>
      <c r="AY98" s="504"/>
      <c r="AZ98" s="504">
        <f t="shared" si="824"/>
        <v>2</v>
      </c>
      <c r="BA98" s="438" t="str">
        <f t="shared" si="825"/>
        <v>ACDEE1E2E3</v>
      </c>
      <c r="BB98" s="505">
        <f>VLOOKUP(W98,'Catalogue Aluminium'!$B$9:$H$93,7,FALSE)</f>
        <v>15</v>
      </c>
      <c r="BC98" s="439">
        <f t="shared" si="826"/>
        <v>15</v>
      </c>
      <c r="BE98" s="336"/>
      <c r="BF98" s="336">
        <v>1</v>
      </c>
      <c r="BG98" s="336"/>
      <c r="BH98" s="336"/>
      <c r="BI98" s="336">
        <v>1</v>
      </c>
      <c r="BJ98" s="336">
        <v>1</v>
      </c>
      <c r="BK98" s="336"/>
      <c r="BL98" s="336"/>
      <c r="BM98" s="336"/>
      <c r="BN98" s="336">
        <v>1</v>
      </c>
      <c r="BO98" s="336"/>
      <c r="BP98" s="336">
        <v>1</v>
      </c>
      <c r="BQ98" s="336">
        <v>1</v>
      </c>
      <c r="BR98" s="336">
        <v>1</v>
      </c>
      <c r="BS98" s="336"/>
      <c r="BT98" s="336"/>
      <c r="BU98" s="336"/>
      <c r="BV98" s="336"/>
      <c r="BW98" s="336"/>
      <c r="BX98" s="336"/>
      <c r="BY98" s="336"/>
      <c r="BZ98" s="336"/>
      <c r="CA98" s="336"/>
      <c r="CB98" s="336"/>
      <c r="CC98" s="336"/>
      <c r="CD98" s="336"/>
      <c r="CE98" s="336"/>
      <c r="CF98" s="336"/>
      <c r="CG98" s="336"/>
      <c r="CH98" s="336"/>
      <c r="CI98" s="336"/>
      <c r="CJ98" s="336"/>
      <c r="CK98" s="336"/>
      <c r="CL98" s="336"/>
      <c r="CM98" s="336"/>
      <c r="CN98" s="336"/>
      <c r="CO98" s="336"/>
      <c r="CP98" s="336"/>
      <c r="CQ98" s="336"/>
      <c r="CR98" s="336"/>
      <c r="CS98" s="336"/>
      <c r="CT98" s="336"/>
      <c r="CU98" s="336"/>
      <c r="CV98" s="336"/>
      <c r="CW98" s="336"/>
      <c r="CX98" s="336"/>
      <c r="CY98" s="336"/>
      <c r="CZ98" s="336"/>
      <c r="DA98" s="336"/>
      <c r="DB98" s="336"/>
      <c r="DC98" s="336"/>
      <c r="DD98" s="336"/>
      <c r="DE98" s="336"/>
      <c r="DF98" s="336"/>
      <c r="DG98" s="336"/>
      <c r="DH98" s="336"/>
      <c r="DI98" s="336"/>
      <c r="DJ98" s="336"/>
      <c r="DK98" s="336"/>
      <c r="DL98" s="336"/>
      <c r="DM98" s="336"/>
      <c r="DN98" s="336"/>
      <c r="DO98" s="336"/>
      <c r="DP98" s="336"/>
      <c r="DQ98" s="336"/>
      <c r="DR98" s="336"/>
      <c r="DS98" s="336"/>
      <c r="DT98" s="336"/>
      <c r="DU98" s="336"/>
      <c r="DW98" s="336">
        <f t="shared" si="709"/>
        <v>0</v>
      </c>
      <c r="DX98" s="336">
        <f t="shared" si="701"/>
        <v>15</v>
      </c>
      <c r="DY98" s="336">
        <f t="shared" si="702"/>
        <v>0</v>
      </c>
      <c r="DZ98" s="336">
        <f t="shared" si="703"/>
        <v>0</v>
      </c>
      <c r="EA98" s="336">
        <f t="shared" si="704"/>
        <v>15</v>
      </c>
      <c r="EB98" s="336">
        <f t="shared" si="705"/>
        <v>15</v>
      </c>
      <c r="EC98" s="336">
        <f t="shared" si="706"/>
        <v>0</v>
      </c>
      <c r="ED98" s="336">
        <f t="shared" si="621"/>
        <v>0</v>
      </c>
      <c r="EE98" s="336">
        <f t="shared" si="622"/>
        <v>0</v>
      </c>
      <c r="EF98" s="336">
        <f t="shared" si="623"/>
        <v>15</v>
      </c>
      <c r="EG98" s="336">
        <f t="shared" si="624"/>
        <v>0</v>
      </c>
      <c r="EH98" s="336">
        <f t="shared" si="625"/>
        <v>15</v>
      </c>
      <c r="EI98" s="336">
        <f t="shared" si="626"/>
        <v>15</v>
      </c>
      <c r="EJ98" s="336">
        <f t="shared" si="627"/>
        <v>15</v>
      </c>
      <c r="EK98" s="336">
        <f t="shared" si="628"/>
        <v>0</v>
      </c>
      <c r="EL98" s="336">
        <f t="shared" si="629"/>
        <v>0</v>
      </c>
      <c r="EM98" s="336">
        <f t="shared" si="630"/>
        <v>0</v>
      </c>
      <c r="EN98" s="336">
        <f t="shared" si="631"/>
        <v>0</v>
      </c>
      <c r="EO98" s="336">
        <f t="shared" si="632"/>
        <v>0</v>
      </c>
      <c r="EP98" s="336">
        <f t="shared" si="633"/>
        <v>0</v>
      </c>
      <c r="EQ98" s="336">
        <f t="shared" si="634"/>
        <v>0</v>
      </c>
      <c r="ER98" s="336">
        <f t="shared" si="635"/>
        <v>0</v>
      </c>
      <c r="ES98" s="336">
        <f t="shared" si="636"/>
        <v>0</v>
      </c>
      <c r="ET98" s="336">
        <f t="shared" si="636"/>
        <v>0</v>
      </c>
      <c r="EU98" s="336">
        <f t="shared" si="637"/>
        <v>0</v>
      </c>
      <c r="EV98" s="336">
        <f t="shared" si="638"/>
        <v>0</v>
      </c>
      <c r="EW98" s="336">
        <f t="shared" si="639"/>
        <v>0</v>
      </c>
      <c r="EX98" s="336">
        <f t="shared" si="640"/>
        <v>0</v>
      </c>
      <c r="EY98" s="336">
        <f t="shared" si="641"/>
        <v>0</v>
      </c>
      <c r="EZ98" s="336">
        <f t="shared" si="642"/>
        <v>0</v>
      </c>
      <c r="FA98" s="336">
        <f t="shared" si="643"/>
        <v>0</v>
      </c>
      <c r="FB98" s="336">
        <f t="shared" si="644"/>
        <v>0</v>
      </c>
      <c r="FC98" s="336">
        <f t="shared" si="645"/>
        <v>0</v>
      </c>
      <c r="FD98" s="336">
        <f t="shared" si="646"/>
        <v>0</v>
      </c>
      <c r="FE98" s="336">
        <f t="shared" si="647"/>
        <v>0</v>
      </c>
      <c r="FF98" s="336">
        <f t="shared" si="648"/>
        <v>0</v>
      </c>
      <c r="FG98" s="336">
        <f t="shared" si="649"/>
        <v>0</v>
      </c>
      <c r="FH98" s="336">
        <f t="shared" si="650"/>
        <v>0</v>
      </c>
      <c r="FI98" s="336">
        <f t="shared" si="651"/>
        <v>0</v>
      </c>
      <c r="FJ98" s="336">
        <f t="shared" si="652"/>
        <v>0</v>
      </c>
      <c r="FK98" s="336">
        <f t="shared" si="653"/>
        <v>0</v>
      </c>
      <c r="FL98" s="336">
        <f t="shared" si="654"/>
        <v>0</v>
      </c>
      <c r="FM98" s="336">
        <f t="shared" si="655"/>
        <v>0</v>
      </c>
      <c r="FN98" s="336">
        <f t="shared" si="656"/>
        <v>0</v>
      </c>
      <c r="FO98" s="336">
        <f t="shared" si="657"/>
        <v>0</v>
      </c>
      <c r="FP98" s="336">
        <f t="shared" si="658"/>
        <v>0</v>
      </c>
      <c r="FQ98" s="336">
        <f t="shared" si="659"/>
        <v>0</v>
      </c>
      <c r="FR98" s="336">
        <f t="shared" si="660"/>
        <v>0</v>
      </c>
      <c r="FS98" s="336">
        <f t="shared" si="661"/>
        <v>0</v>
      </c>
      <c r="FT98" s="336">
        <f t="shared" si="662"/>
        <v>0</v>
      </c>
      <c r="FU98" s="336">
        <f t="shared" si="609"/>
        <v>0</v>
      </c>
      <c r="FV98" s="336">
        <f t="shared" si="610"/>
        <v>0</v>
      </c>
      <c r="FW98" s="336">
        <f t="shared" si="611"/>
        <v>0</v>
      </c>
      <c r="FX98" s="336">
        <f t="shared" si="612"/>
        <v>0</v>
      </c>
      <c r="FY98" s="336">
        <f t="shared" si="663"/>
        <v>0</v>
      </c>
      <c r="FZ98" s="336">
        <f t="shared" si="664"/>
        <v>0</v>
      </c>
      <c r="GA98" s="336">
        <f t="shared" si="665"/>
        <v>0</v>
      </c>
      <c r="GB98" s="336">
        <f t="shared" si="666"/>
        <v>0</v>
      </c>
      <c r="GC98" s="336">
        <f t="shared" si="667"/>
        <v>0</v>
      </c>
      <c r="GD98" s="336">
        <f t="shared" si="668"/>
        <v>0</v>
      </c>
      <c r="GE98" s="336">
        <f t="shared" si="669"/>
        <v>0</v>
      </c>
      <c r="GF98" s="336">
        <f t="shared" si="670"/>
        <v>0</v>
      </c>
      <c r="GG98" s="336">
        <f t="shared" si="671"/>
        <v>0</v>
      </c>
      <c r="GH98" s="336">
        <f t="shared" si="672"/>
        <v>0</v>
      </c>
      <c r="GI98" s="336">
        <f t="shared" si="673"/>
        <v>0</v>
      </c>
      <c r="GJ98" s="336">
        <f t="shared" si="674"/>
        <v>0</v>
      </c>
      <c r="GK98" s="336">
        <f t="shared" si="677"/>
        <v>0</v>
      </c>
      <c r="GL98" s="336">
        <f t="shared" si="613"/>
        <v>0</v>
      </c>
      <c r="GM98" s="336">
        <f t="shared" si="675"/>
        <v>0</v>
      </c>
    </row>
    <row r="99" spans="1:195" ht="20.100000000000001" customHeight="1">
      <c r="A99" s="388">
        <f t="shared" si="827"/>
        <v>66</v>
      </c>
      <c r="B99" s="388" t="s">
        <v>576</v>
      </c>
      <c r="C99" s="388" t="str">
        <f t="shared" si="805"/>
        <v>PMCC-1</v>
      </c>
      <c r="D99" s="338" t="s">
        <v>577</v>
      </c>
      <c r="E99" s="502" t="s">
        <v>345</v>
      </c>
      <c r="F99" s="388" t="s">
        <v>28</v>
      </c>
      <c r="G99" s="388" t="s">
        <v>329</v>
      </c>
      <c r="H99" s="418">
        <v>1</v>
      </c>
      <c r="I99" s="388" t="s">
        <v>330</v>
      </c>
      <c r="J99" s="388" t="s">
        <v>331</v>
      </c>
      <c r="K99" s="434">
        <v>400</v>
      </c>
      <c r="L99" s="401">
        <v>0.85</v>
      </c>
      <c r="M99" s="418">
        <v>0.95</v>
      </c>
      <c r="N99" s="392">
        <f t="shared" si="806"/>
        <v>1.7875145682437314</v>
      </c>
      <c r="O99" s="392">
        <f t="shared" si="680"/>
        <v>0</v>
      </c>
      <c r="P99" s="401" t="str">
        <f t="shared" si="807"/>
        <v>0.00</v>
      </c>
      <c r="Q99" s="418">
        <v>65</v>
      </c>
      <c r="R99" s="418">
        <v>0</v>
      </c>
      <c r="S99" s="418">
        <f t="shared" si="808"/>
        <v>0</v>
      </c>
      <c r="T99" s="401" t="s">
        <v>131</v>
      </c>
      <c r="U99" s="418" t="s">
        <v>522</v>
      </c>
      <c r="V99" s="401">
        <v>4</v>
      </c>
      <c r="W99" s="401" t="str">
        <f t="shared" si="809"/>
        <v>4C X 4</v>
      </c>
      <c r="X99" s="401" t="str">
        <f t="shared" si="810"/>
        <v>4C X 4</v>
      </c>
      <c r="Y99" s="401" t="s">
        <v>358</v>
      </c>
      <c r="Z99" s="393">
        <f>IF(T99="AIR",VLOOKUP(W99,'Catalogue Aluminium'!$B$9:$G$93,2,FALSE),IF(T99="GROUND",VLOOKUP(W99,'Catalogue Aluminium'!$B$9:$G$93,3,FALSE),IF(T99="DUCT",VLOOKUP(W99,'Catalogue Aluminium'!$B$9:$G$93,4,FALSE),IF(T99="TRENCH",VLOOKUP(W99,'Catalogue Aluminium'!$B$9:$G$93,2,FALSE)))))</f>
        <v>38</v>
      </c>
      <c r="AA99" s="402">
        <f>VLOOKUP(W99,'Catalogue Aluminium'!$B$9:$G$93,5,FALSE)</f>
        <v>5.9</v>
      </c>
      <c r="AB99" s="402">
        <f>VLOOKUP(W99,'Catalogue Aluminium'!$B$9:$G$93,6,FALSE)</f>
        <v>9.4700000000000006E-2</v>
      </c>
      <c r="AC99" s="401">
        <f t="shared" si="829"/>
        <v>29</v>
      </c>
      <c r="AD99" s="401">
        <f>40+50+38+50+17+(27+42+23)</f>
        <v>287</v>
      </c>
      <c r="AE99" s="401">
        <f t="shared" si="811"/>
        <v>38</v>
      </c>
      <c r="AF99" s="401">
        <v>8</v>
      </c>
      <c r="AG99" s="401">
        <f t="shared" si="812"/>
        <v>37</v>
      </c>
      <c r="AH99" s="436">
        <f t="shared" si="813"/>
        <v>399</v>
      </c>
      <c r="AI99" s="393">
        <f>IF(T99="AIR",'Catalogue Aluminium'!$K$9,IF(T99="TRENCH",'Catalogue Aluminium'!$K$12,"NA"))</f>
        <v>0.89</v>
      </c>
      <c r="AJ99" s="392">
        <f>IF(T99="Air",(IF(U99="1C",'Catalogue Aluminium'!$L$9,'Catalogue Aluminium'!$M$9)),IF(T99="DUCT",(IF($U99="1C",'Catalogue Aluminium'!$L$10,'Catalogue Aluminium'!$M$10)),IF(T99="GROUND",(IF($U99="1C",'Catalogue Aluminium'!$L$11,'Catalogue Aluminium'!$M$11)),IF(T99="TRENCH",(IF($U99="1C",'Catalogue Aluminium'!$L$12,'Catalogue Aluminium'!$M$12))))))</f>
        <v>0.66</v>
      </c>
      <c r="AK99" s="393" t="str">
        <f>IF(T99="Air",'Catalogue Aluminium'!$N$9,IF(T99="GROUND",'Catalogue Aluminium'!$N$10,IF(T99="DUCT",'Catalogue Aluminium'!$N$11,IF(T99="TRENCH",'Catalogue Aluminium'!$N$12,"NA"))))</f>
        <v>NA</v>
      </c>
      <c r="AL99" s="393" t="str">
        <f>IF(T99="Air",(IF(U99="1C",'Catalogue Aluminium'!$O$9,'Catalogue Aluminium'!$P$9)),IF(T99="DUCT",(IF($U99="1C",'Catalogue Aluminium'!$O$10,'Catalogue Aluminium'!$P$10)),IF(T99="GROUND",(IF($U99="1C",'Catalogue Aluminium'!$O$11,'Catalogue Aluminium'!$P$11)),IF(T99="TRENCH",(IF($U99="1C",'Catalogue Aluminium'!$O$12,'Catalogue Aluminium'!$P$12))))))</f>
        <v>NA</v>
      </c>
      <c r="AM99" s="393" t="str">
        <f>IF(T99="AIR","NA",IF(T99="TRENCH","NA",IF(T99="DUCT",IF(U99="1C",VLOOKUP(V99,'Catalogue Aluminium'!$Q$9:$S$28,2,FALSE),VLOOKUP(V99,'Catalogue Aluminium'!$Q$9:$S$28,3)),IF(T99="GROUND",IF(U99="1C",VLOOKUP(V99,'Catalogue Aluminium'!$Q$9:$S$28,2,FALSE),VLOOKUP(V99,'Catalogue Aluminium'!$Q$9:$S$28,3))))))</f>
        <v>NA</v>
      </c>
      <c r="AN99" s="437">
        <f t="shared" si="814"/>
        <v>0.58740000000000003</v>
      </c>
      <c r="AO99" s="418">
        <f t="shared" si="815"/>
        <v>22.321200000000001</v>
      </c>
      <c r="AP99" s="434">
        <f t="shared" si="689"/>
        <v>1</v>
      </c>
      <c r="AQ99" s="418" t="str">
        <f t="shared" si="816"/>
        <v>YES</v>
      </c>
      <c r="AR99" s="437">
        <f t="shared" si="817"/>
        <v>1.5642019535025549</v>
      </c>
      <c r="AS99" s="401" t="str">
        <f t="shared" si="818"/>
        <v>YES</v>
      </c>
      <c r="AT99" s="437" t="str">
        <f t="shared" si="819"/>
        <v>NA</v>
      </c>
      <c r="AU99" s="401" t="str">
        <f t="shared" si="820"/>
        <v>NA</v>
      </c>
      <c r="AV99" s="503" t="str">
        <f t="shared" si="821"/>
        <v>1R x 0.6/1kV x 4C x 4 Sqmm</v>
      </c>
      <c r="AW99" s="503" t="str">
        <f t="shared" si="822"/>
        <v>1R x 0.6/1kV x 4C x 4 Sqmm</v>
      </c>
      <c r="AX99" s="401">
        <f t="shared" si="823"/>
        <v>399</v>
      </c>
      <c r="AY99" s="504"/>
      <c r="AZ99" s="504">
        <f t="shared" si="824"/>
        <v>2</v>
      </c>
      <c r="BA99" s="438" t="str">
        <f t="shared" si="825"/>
        <v>ACDEE1E2E3</v>
      </c>
      <c r="BB99" s="505">
        <f>VLOOKUP(W99,'Catalogue Aluminium'!$B$9:$H$93,7,FALSE)</f>
        <v>16</v>
      </c>
      <c r="BC99" s="439">
        <f t="shared" si="826"/>
        <v>16</v>
      </c>
      <c r="BE99" s="336"/>
      <c r="BF99" s="336">
        <v>1</v>
      </c>
      <c r="BG99" s="336"/>
      <c r="BH99" s="336"/>
      <c r="BI99" s="336">
        <v>1</v>
      </c>
      <c r="BJ99" s="336">
        <v>1</v>
      </c>
      <c r="BK99" s="336"/>
      <c r="BL99" s="336"/>
      <c r="BM99" s="336"/>
      <c r="BN99" s="336">
        <v>1</v>
      </c>
      <c r="BO99" s="336"/>
      <c r="BP99" s="336">
        <v>1</v>
      </c>
      <c r="BQ99" s="336">
        <v>1</v>
      </c>
      <c r="BR99" s="336">
        <v>1</v>
      </c>
      <c r="BS99" s="336"/>
      <c r="BT99" s="336"/>
      <c r="BU99" s="336"/>
      <c r="BV99" s="336"/>
      <c r="BW99" s="336"/>
      <c r="BX99" s="336"/>
      <c r="BY99" s="336"/>
      <c r="BZ99" s="336"/>
      <c r="CA99" s="336"/>
      <c r="CB99" s="336"/>
      <c r="CC99" s="336"/>
      <c r="CD99" s="336"/>
      <c r="CE99" s="336"/>
      <c r="CF99" s="336"/>
      <c r="CG99" s="336"/>
      <c r="CH99" s="336"/>
      <c r="CI99" s="336"/>
      <c r="CJ99" s="336"/>
      <c r="CK99" s="336"/>
      <c r="CL99" s="336"/>
      <c r="CM99" s="336"/>
      <c r="CN99" s="336"/>
      <c r="CO99" s="336"/>
      <c r="CP99" s="336"/>
      <c r="CQ99" s="336"/>
      <c r="CR99" s="336"/>
      <c r="CS99" s="336"/>
      <c r="CT99" s="336"/>
      <c r="CU99" s="336"/>
      <c r="CV99" s="336"/>
      <c r="CW99" s="336"/>
      <c r="CX99" s="336"/>
      <c r="CY99" s="336"/>
      <c r="CZ99" s="336"/>
      <c r="DA99" s="336"/>
      <c r="DB99" s="336"/>
      <c r="DC99" s="336"/>
      <c r="DD99" s="336"/>
      <c r="DE99" s="336"/>
      <c r="DF99" s="336"/>
      <c r="DG99" s="336"/>
      <c r="DH99" s="336"/>
      <c r="DI99" s="336"/>
      <c r="DJ99" s="336"/>
      <c r="DK99" s="336"/>
      <c r="DL99" s="336"/>
      <c r="DM99" s="336"/>
      <c r="DN99" s="336"/>
      <c r="DO99" s="336"/>
      <c r="DP99" s="336"/>
      <c r="DQ99" s="336"/>
      <c r="DR99" s="336"/>
      <c r="DS99" s="336"/>
      <c r="DT99" s="336"/>
      <c r="DU99" s="336"/>
      <c r="DW99" s="336">
        <f t="shared" si="709"/>
        <v>0</v>
      </c>
      <c r="DX99" s="336">
        <f t="shared" si="701"/>
        <v>16</v>
      </c>
      <c r="DY99" s="336">
        <f t="shared" si="702"/>
        <v>0</v>
      </c>
      <c r="DZ99" s="336">
        <f t="shared" si="703"/>
        <v>0</v>
      </c>
      <c r="EA99" s="336">
        <f t="shared" si="704"/>
        <v>16</v>
      </c>
      <c r="EB99" s="336">
        <f t="shared" si="705"/>
        <v>16</v>
      </c>
      <c r="EC99" s="336">
        <f t="shared" si="706"/>
        <v>0</v>
      </c>
      <c r="ED99" s="336">
        <f t="shared" si="621"/>
        <v>0</v>
      </c>
      <c r="EE99" s="336">
        <f t="shared" si="622"/>
        <v>0</v>
      </c>
      <c r="EF99" s="336">
        <f t="shared" si="623"/>
        <v>16</v>
      </c>
      <c r="EG99" s="336">
        <f t="shared" si="624"/>
        <v>0</v>
      </c>
      <c r="EH99" s="336">
        <f t="shared" si="625"/>
        <v>16</v>
      </c>
      <c r="EI99" s="336">
        <f t="shared" si="626"/>
        <v>16</v>
      </c>
      <c r="EJ99" s="336">
        <f t="shared" si="627"/>
        <v>16</v>
      </c>
      <c r="EK99" s="336">
        <f t="shared" si="628"/>
        <v>0</v>
      </c>
      <c r="EL99" s="336">
        <f t="shared" si="629"/>
        <v>0</v>
      </c>
      <c r="EM99" s="336">
        <f t="shared" si="630"/>
        <v>0</v>
      </c>
      <c r="EN99" s="336">
        <f t="shared" si="631"/>
        <v>0</v>
      </c>
      <c r="EO99" s="336">
        <f t="shared" si="632"/>
        <v>0</v>
      </c>
      <c r="EP99" s="336">
        <f t="shared" si="633"/>
        <v>0</v>
      </c>
      <c r="EQ99" s="336">
        <f t="shared" si="634"/>
        <v>0</v>
      </c>
      <c r="ER99" s="336">
        <f t="shared" si="635"/>
        <v>0</v>
      </c>
      <c r="ES99" s="336">
        <f t="shared" si="636"/>
        <v>0</v>
      </c>
      <c r="ET99" s="336">
        <f t="shared" si="636"/>
        <v>0</v>
      </c>
      <c r="EU99" s="336">
        <f t="shared" si="637"/>
        <v>0</v>
      </c>
      <c r="EV99" s="336">
        <f t="shared" si="638"/>
        <v>0</v>
      </c>
      <c r="EW99" s="336">
        <f t="shared" si="639"/>
        <v>0</v>
      </c>
      <c r="EX99" s="336">
        <f t="shared" si="640"/>
        <v>0</v>
      </c>
      <c r="EY99" s="336">
        <f t="shared" si="641"/>
        <v>0</v>
      </c>
      <c r="EZ99" s="336">
        <f t="shared" si="642"/>
        <v>0</v>
      </c>
      <c r="FA99" s="336">
        <f t="shared" si="643"/>
        <v>0</v>
      </c>
      <c r="FB99" s="336">
        <f t="shared" si="644"/>
        <v>0</v>
      </c>
      <c r="FC99" s="336">
        <f t="shared" si="645"/>
        <v>0</v>
      </c>
      <c r="FD99" s="336">
        <f t="shared" si="646"/>
        <v>0</v>
      </c>
      <c r="FE99" s="336">
        <f t="shared" si="647"/>
        <v>0</v>
      </c>
      <c r="FF99" s="336">
        <f t="shared" si="648"/>
        <v>0</v>
      </c>
      <c r="FG99" s="336">
        <f t="shared" si="649"/>
        <v>0</v>
      </c>
      <c r="FH99" s="336">
        <f t="shared" si="650"/>
        <v>0</v>
      </c>
      <c r="FI99" s="336">
        <f t="shared" si="651"/>
        <v>0</v>
      </c>
      <c r="FJ99" s="336">
        <f t="shared" si="652"/>
        <v>0</v>
      </c>
      <c r="FK99" s="336">
        <f t="shared" si="653"/>
        <v>0</v>
      </c>
      <c r="FL99" s="336">
        <f t="shared" si="654"/>
        <v>0</v>
      </c>
      <c r="FM99" s="336">
        <f t="shared" si="655"/>
        <v>0</v>
      </c>
      <c r="FN99" s="336">
        <f t="shared" si="656"/>
        <v>0</v>
      </c>
      <c r="FO99" s="336">
        <f t="shared" si="657"/>
        <v>0</v>
      </c>
      <c r="FP99" s="336">
        <f t="shared" si="658"/>
        <v>0</v>
      </c>
      <c r="FQ99" s="336">
        <f t="shared" si="659"/>
        <v>0</v>
      </c>
      <c r="FR99" s="336">
        <f t="shared" si="660"/>
        <v>0</v>
      </c>
      <c r="FS99" s="336">
        <f t="shared" si="661"/>
        <v>0</v>
      </c>
      <c r="FT99" s="336">
        <f t="shared" si="662"/>
        <v>0</v>
      </c>
      <c r="FU99" s="336">
        <f t="shared" si="609"/>
        <v>0</v>
      </c>
      <c r="FV99" s="336">
        <f t="shared" si="610"/>
        <v>0</v>
      </c>
      <c r="FW99" s="336">
        <f t="shared" si="611"/>
        <v>0</v>
      </c>
      <c r="FX99" s="336">
        <f t="shared" si="612"/>
        <v>0</v>
      </c>
      <c r="FY99" s="336">
        <f t="shared" si="663"/>
        <v>0</v>
      </c>
      <c r="FZ99" s="336">
        <f t="shared" si="664"/>
        <v>0</v>
      </c>
      <c r="GA99" s="336">
        <f t="shared" si="665"/>
        <v>0</v>
      </c>
      <c r="GB99" s="336">
        <f t="shared" si="666"/>
        <v>0</v>
      </c>
      <c r="GC99" s="336">
        <f t="shared" si="667"/>
        <v>0</v>
      </c>
      <c r="GD99" s="336">
        <f t="shared" si="668"/>
        <v>0</v>
      </c>
      <c r="GE99" s="336">
        <f t="shared" si="669"/>
        <v>0</v>
      </c>
      <c r="GF99" s="336">
        <f t="shared" si="670"/>
        <v>0</v>
      </c>
      <c r="GG99" s="336">
        <f t="shared" si="671"/>
        <v>0</v>
      </c>
      <c r="GH99" s="336">
        <f t="shared" si="672"/>
        <v>0</v>
      </c>
      <c r="GI99" s="336">
        <f t="shared" si="673"/>
        <v>0</v>
      </c>
      <c r="GJ99" s="336">
        <f t="shared" si="674"/>
        <v>0</v>
      </c>
      <c r="GK99" s="336">
        <f t="shared" si="677"/>
        <v>0</v>
      </c>
      <c r="GL99" s="336">
        <f t="shared" si="613"/>
        <v>0</v>
      </c>
      <c r="GM99" s="336">
        <f t="shared" si="675"/>
        <v>0</v>
      </c>
    </row>
    <row r="100" spans="1:195" ht="20.100000000000001" customHeight="1">
      <c r="A100" s="388">
        <f t="shared" si="827"/>
        <v>67</v>
      </c>
      <c r="B100" s="388" t="s">
        <v>578</v>
      </c>
      <c r="C100" s="388" t="str">
        <f t="shared" si="805"/>
        <v>PMCC-1</v>
      </c>
      <c r="D100" s="338" t="s">
        <v>577</v>
      </c>
      <c r="E100" s="502" t="s">
        <v>345</v>
      </c>
      <c r="F100" s="388" t="s">
        <v>29</v>
      </c>
      <c r="G100" s="388" t="s">
        <v>329</v>
      </c>
      <c r="H100" s="418">
        <v>1</v>
      </c>
      <c r="I100" s="388" t="s">
        <v>330</v>
      </c>
      <c r="J100" s="388" t="s">
        <v>331</v>
      </c>
      <c r="K100" s="434">
        <v>400</v>
      </c>
      <c r="L100" s="401">
        <v>0.85</v>
      </c>
      <c r="M100" s="418">
        <v>0.95</v>
      </c>
      <c r="N100" s="392">
        <f t="shared" si="806"/>
        <v>1.7875145682437314</v>
      </c>
      <c r="O100" s="392">
        <f t="shared" si="680"/>
        <v>0</v>
      </c>
      <c r="P100" s="401" t="str">
        <f t="shared" si="807"/>
        <v>0.00</v>
      </c>
      <c r="Q100" s="418">
        <v>65</v>
      </c>
      <c r="R100" s="418">
        <v>0</v>
      </c>
      <c r="S100" s="418">
        <f t="shared" si="808"/>
        <v>0</v>
      </c>
      <c r="T100" s="401" t="s">
        <v>131</v>
      </c>
      <c r="U100" s="418" t="s">
        <v>522</v>
      </c>
      <c r="V100" s="401">
        <v>4</v>
      </c>
      <c r="W100" s="401" t="str">
        <f t="shared" si="809"/>
        <v>4C X 4</v>
      </c>
      <c r="X100" s="401" t="str">
        <f t="shared" si="810"/>
        <v>4C X 4</v>
      </c>
      <c r="Y100" s="401" t="s">
        <v>358</v>
      </c>
      <c r="Z100" s="393">
        <f>IF(T100="AIR",VLOOKUP(W100,'Catalogue Aluminium'!$B$9:$G$93,2,FALSE),IF(T100="GROUND",VLOOKUP(W100,'Catalogue Aluminium'!$B$9:$G$93,3,FALSE),IF(T100="DUCT",VLOOKUP(W100,'Catalogue Aluminium'!$B$9:$G$93,4,FALSE),IF(T100="TRENCH",VLOOKUP(W100,'Catalogue Aluminium'!$B$9:$G$93,2,FALSE)))))</f>
        <v>38</v>
      </c>
      <c r="AA100" s="402">
        <f>VLOOKUP(W100,'Catalogue Aluminium'!$B$9:$G$93,5,FALSE)</f>
        <v>5.9</v>
      </c>
      <c r="AB100" s="402">
        <f>VLOOKUP(W100,'Catalogue Aluminium'!$B$9:$G$93,6,FALSE)</f>
        <v>9.4700000000000006E-2</v>
      </c>
      <c r="AC100" s="401">
        <f t="shared" ref="AC100:AC106" si="831">17+3</f>
        <v>20</v>
      </c>
      <c r="AD100" s="401">
        <f t="shared" ref="AD100" si="832">40+50+38+50+17+(27+42+23)</f>
        <v>287</v>
      </c>
      <c r="AE100" s="401">
        <f t="shared" si="811"/>
        <v>38</v>
      </c>
      <c r="AF100" s="401">
        <v>8</v>
      </c>
      <c r="AG100" s="401">
        <f t="shared" si="812"/>
        <v>36</v>
      </c>
      <c r="AH100" s="436">
        <f t="shared" si="813"/>
        <v>389</v>
      </c>
      <c r="AI100" s="393">
        <f>IF(T100="AIR",'Catalogue Aluminium'!$K$9,IF(T100="TRENCH",'Catalogue Aluminium'!$K$12,"NA"))</f>
        <v>0.89</v>
      </c>
      <c r="AJ100" s="392">
        <f>IF(T100="Air",(IF(U100="1C",'Catalogue Aluminium'!$L$9,'Catalogue Aluminium'!$M$9)),IF(T100="DUCT",(IF($U100="1C",'Catalogue Aluminium'!$L$10,'Catalogue Aluminium'!$M$10)),IF(T100="GROUND",(IF($U100="1C",'Catalogue Aluminium'!$L$11,'Catalogue Aluminium'!$M$11)),IF(T100="TRENCH",(IF($U100="1C",'Catalogue Aluminium'!$L$12,'Catalogue Aluminium'!$M$12))))))</f>
        <v>0.66</v>
      </c>
      <c r="AK100" s="393" t="str">
        <f>IF(T100="Air",'Catalogue Aluminium'!$N$9,IF(T100="GROUND",'Catalogue Aluminium'!$N$10,IF(T100="DUCT",'Catalogue Aluminium'!$N$11,IF(T100="TRENCH",'Catalogue Aluminium'!$N$12,"NA"))))</f>
        <v>NA</v>
      </c>
      <c r="AL100" s="393" t="str">
        <f>IF(T100="Air",(IF(U100="1C",'Catalogue Aluminium'!$O$9,'Catalogue Aluminium'!$P$9)),IF(T100="DUCT",(IF($U100="1C",'Catalogue Aluminium'!$O$10,'Catalogue Aluminium'!$P$10)),IF(T100="GROUND",(IF($U100="1C",'Catalogue Aluminium'!$O$11,'Catalogue Aluminium'!$P$11)),IF(T100="TRENCH",(IF($U100="1C",'Catalogue Aluminium'!$O$12,'Catalogue Aluminium'!$P$12))))))</f>
        <v>NA</v>
      </c>
      <c r="AM100" s="393" t="str">
        <f>IF(T100="AIR","NA",IF(T100="TRENCH","NA",IF(T100="DUCT",IF(U100="1C",VLOOKUP(V100,'Catalogue Aluminium'!$Q$9:$S$28,2,FALSE),VLOOKUP(V100,'Catalogue Aluminium'!$Q$9:$S$28,3)),IF(T100="GROUND",IF(U100="1C",VLOOKUP(V100,'Catalogue Aluminium'!$Q$9:$S$28,2,FALSE),VLOOKUP(V100,'Catalogue Aluminium'!$Q$9:$S$28,3))))))</f>
        <v>NA</v>
      </c>
      <c r="AN100" s="437">
        <f t="shared" si="814"/>
        <v>0.58740000000000003</v>
      </c>
      <c r="AO100" s="418">
        <f t="shared" si="815"/>
        <v>22.321200000000001</v>
      </c>
      <c r="AP100" s="434">
        <f t="shared" si="689"/>
        <v>1</v>
      </c>
      <c r="AQ100" s="418" t="str">
        <f t="shared" si="816"/>
        <v>YES</v>
      </c>
      <c r="AR100" s="437">
        <f t="shared" si="817"/>
        <v>1.5249988970237947</v>
      </c>
      <c r="AS100" s="401" t="str">
        <f t="shared" si="818"/>
        <v>YES</v>
      </c>
      <c r="AT100" s="437" t="str">
        <f t="shared" si="819"/>
        <v>NA</v>
      </c>
      <c r="AU100" s="401" t="str">
        <f t="shared" si="820"/>
        <v>NA</v>
      </c>
      <c r="AV100" s="503" t="str">
        <f t="shared" si="821"/>
        <v>1R x 0.6/1kV x 4C x 4 Sqmm</v>
      </c>
      <c r="AW100" s="503" t="str">
        <f t="shared" si="822"/>
        <v>1R x 0.6/1kV x 4C x 4 Sqmm</v>
      </c>
      <c r="AX100" s="401">
        <f t="shared" si="823"/>
        <v>389</v>
      </c>
      <c r="AY100" s="504"/>
      <c r="AZ100" s="504">
        <f t="shared" si="824"/>
        <v>2</v>
      </c>
      <c r="BA100" s="438" t="str">
        <f t="shared" si="825"/>
        <v>ACDEE1E2E3</v>
      </c>
      <c r="BB100" s="505">
        <f>VLOOKUP(W100,'Catalogue Aluminium'!$B$9:$H$93,7,FALSE)</f>
        <v>16</v>
      </c>
      <c r="BC100" s="439">
        <f t="shared" si="826"/>
        <v>16</v>
      </c>
      <c r="BE100" s="336"/>
      <c r="BF100" s="336">
        <v>1</v>
      </c>
      <c r="BG100" s="336"/>
      <c r="BH100" s="336"/>
      <c r="BI100" s="336">
        <v>1</v>
      </c>
      <c r="BJ100" s="336">
        <v>1</v>
      </c>
      <c r="BK100" s="336"/>
      <c r="BL100" s="336"/>
      <c r="BM100" s="336"/>
      <c r="BN100" s="336">
        <v>1</v>
      </c>
      <c r="BO100" s="336"/>
      <c r="BP100" s="336">
        <v>1</v>
      </c>
      <c r="BQ100" s="336">
        <v>1</v>
      </c>
      <c r="BR100" s="336">
        <v>1</v>
      </c>
      <c r="BS100" s="336"/>
      <c r="BT100" s="336"/>
      <c r="BU100" s="336"/>
      <c r="BV100" s="336"/>
      <c r="BW100" s="336"/>
      <c r="BX100" s="336"/>
      <c r="BY100" s="336"/>
      <c r="BZ100" s="336"/>
      <c r="CA100" s="336"/>
      <c r="CB100" s="336"/>
      <c r="CC100" s="336"/>
      <c r="CD100" s="336"/>
      <c r="CE100" s="336"/>
      <c r="CF100" s="336"/>
      <c r="CG100" s="336"/>
      <c r="CH100" s="336"/>
      <c r="CI100" s="336"/>
      <c r="CJ100" s="336"/>
      <c r="CK100" s="336"/>
      <c r="CL100" s="336"/>
      <c r="CM100" s="336"/>
      <c r="CN100" s="336"/>
      <c r="CO100" s="336"/>
      <c r="CP100" s="336"/>
      <c r="CQ100" s="336"/>
      <c r="CR100" s="336"/>
      <c r="CS100" s="336"/>
      <c r="CT100" s="336"/>
      <c r="CU100" s="336"/>
      <c r="CV100" s="336"/>
      <c r="CW100" s="336"/>
      <c r="CX100" s="336"/>
      <c r="CY100" s="336"/>
      <c r="CZ100" s="336"/>
      <c r="DA100" s="336"/>
      <c r="DB100" s="336"/>
      <c r="DC100" s="336"/>
      <c r="DD100" s="336"/>
      <c r="DE100" s="336"/>
      <c r="DF100" s="336"/>
      <c r="DG100" s="336"/>
      <c r="DH100" s="336"/>
      <c r="DI100" s="336"/>
      <c r="DJ100" s="336"/>
      <c r="DK100" s="336"/>
      <c r="DL100" s="336"/>
      <c r="DM100" s="336"/>
      <c r="DN100" s="336"/>
      <c r="DO100" s="336"/>
      <c r="DP100" s="336"/>
      <c r="DQ100" s="336"/>
      <c r="DR100" s="336"/>
      <c r="DS100" s="336"/>
      <c r="DT100" s="336"/>
      <c r="DU100" s="336"/>
      <c r="DW100" s="336">
        <f t="shared" si="709"/>
        <v>0</v>
      </c>
      <c r="DX100" s="336">
        <f t="shared" si="701"/>
        <v>16</v>
      </c>
      <c r="DY100" s="336">
        <f t="shared" si="702"/>
        <v>0</v>
      </c>
      <c r="DZ100" s="336">
        <f t="shared" si="703"/>
        <v>0</v>
      </c>
      <c r="EA100" s="336">
        <f t="shared" si="704"/>
        <v>16</v>
      </c>
      <c r="EB100" s="336">
        <f t="shared" si="705"/>
        <v>16</v>
      </c>
      <c r="EC100" s="336">
        <f t="shared" si="706"/>
        <v>0</v>
      </c>
      <c r="ED100" s="336">
        <f t="shared" si="621"/>
        <v>0</v>
      </c>
      <c r="EE100" s="336">
        <f t="shared" si="622"/>
        <v>0</v>
      </c>
      <c r="EF100" s="336">
        <f t="shared" si="623"/>
        <v>16</v>
      </c>
      <c r="EG100" s="336">
        <f t="shared" si="624"/>
        <v>0</v>
      </c>
      <c r="EH100" s="336">
        <f t="shared" si="625"/>
        <v>16</v>
      </c>
      <c r="EI100" s="336">
        <f t="shared" si="626"/>
        <v>16</v>
      </c>
      <c r="EJ100" s="336">
        <f t="shared" si="627"/>
        <v>16</v>
      </c>
      <c r="EK100" s="336">
        <f t="shared" si="628"/>
        <v>0</v>
      </c>
      <c r="EL100" s="336">
        <f t="shared" si="629"/>
        <v>0</v>
      </c>
      <c r="EM100" s="336">
        <f t="shared" si="630"/>
        <v>0</v>
      </c>
      <c r="EN100" s="336">
        <f t="shared" si="631"/>
        <v>0</v>
      </c>
      <c r="EO100" s="336">
        <f t="shared" si="632"/>
        <v>0</v>
      </c>
      <c r="EP100" s="336">
        <f t="shared" si="633"/>
        <v>0</v>
      </c>
      <c r="EQ100" s="336">
        <f t="shared" si="634"/>
        <v>0</v>
      </c>
      <c r="ER100" s="336">
        <f t="shared" si="635"/>
        <v>0</v>
      </c>
      <c r="ES100" s="336">
        <f t="shared" si="636"/>
        <v>0</v>
      </c>
      <c r="ET100" s="336">
        <f t="shared" si="636"/>
        <v>0</v>
      </c>
      <c r="EU100" s="336">
        <f t="shared" si="637"/>
        <v>0</v>
      </c>
      <c r="EV100" s="336">
        <f t="shared" si="638"/>
        <v>0</v>
      </c>
      <c r="EW100" s="336">
        <f t="shared" si="639"/>
        <v>0</v>
      </c>
      <c r="EX100" s="336">
        <f t="shared" si="640"/>
        <v>0</v>
      </c>
      <c r="EY100" s="336">
        <f t="shared" si="641"/>
        <v>0</v>
      </c>
      <c r="EZ100" s="336">
        <f t="shared" si="642"/>
        <v>0</v>
      </c>
      <c r="FA100" s="336">
        <f t="shared" si="643"/>
        <v>0</v>
      </c>
      <c r="FB100" s="336">
        <f t="shared" si="644"/>
        <v>0</v>
      </c>
      <c r="FC100" s="336">
        <f t="shared" si="645"/>
        <v>0</v>
      </c>
      <c r="FD100" s="336">
        <f t="shared" si="646"/>
        <v>0</v>
      </c>
      <c r="FE100" s="336">
        <f t="shared" si="647"/>
        <v>0</v>
      </c>
      <c r="FF100" s="336">
        <f t="shared" si="648"/>
        <v>0</v>
      </c>
      <c r="FG100" s="336">
        <f t="shared" si="649"/>
        <v>0</v>
      </c>
      <c r="FH100" s="336">
        <f t="shared" si="650"/>
        <v>0</v>
      </c>
      <c r="FI100" s="336">
        <f t="shared" si="651"/>
        <v>0</v>
      </c>
      <c r="FJ100" s="336">
        <f t="shared" si="652"/>
        <v>0</v>
      </c>
      <c r="FK100" s="336">
        <f t="shared" si="653"/>
        <v>0</v>
      </c>
      <c r="FL100" s="336">
        <f t="shared" si="654"/>
        <v>0</v>
      </c>
      <c r="FM100" s="336">
        <f t="shared" si="655"/>
        <v>0</v>
      </c>
      <c r="FN100" s="336">
        <f t="shared" si="656"/>
        <v>0</v>
      </c>
      <c r="FO100" s="336">
        <f t="shared" si="657"/>
        <v>0</v>
      </c>
      <c r="FP100" s="336">
        <f t="shared" si="658"/>
        <v>0</v>
      </c>
      <c r="FQ100" s="336">
        <f t="shared" si="659"/>
        <v>0</v>
      </c>
      <c r="FR100" s="336">
        <f t="shared" si="660"/>
        <v>0</v>
      </c>
      <c r="FS100" s="336">
        <f t="shared" si="661"/>
        <v>0</v>
      </c>
      <c r="FT100" s="336">
        <f t="shared" si="662"/>
        <v>0</v>
      </c>
      <c r="FU100" s="336">
        <f t="shared" si="609"/>
        <v>0</v>
      </c>
      <c r="FV100" s="336">
        <f t="shared" si="610"/>
        <v>0</v>
      </c>
      <c r="FW100" s="336">
        <f t="shared" si="611"/>
        <v>0</v>
      </c>
      <c r="FX100" s="336">
        <f t="shared" si="612"/>
        <v>0</v>
      </c>
      <c r="FY100" s="336">
        <f t="shared" si="663"/>
        <v>0</v>
      </c>
      <c r="FZ100" s="336">
        <f t="shared" si="664"/>
        <v>0</v>
      </c>
      <c r="GA100" s="336">
        <f t="shared" si="665"/>
        <v>0</v>
      </c>
      <c r="GB100" s="336">
        <f t="shared" si="666"/>
        <v>0</v>
      </c>
      <c r="GC100" s="336">
        <f t="shared" si="667"/>
        <v>0</v>
      </c>
      <c r="GD100" s="336">
        <f t="shared" si="668"/>
        <v>0</v>
      </c>
      <c r="GE100" s="336">
        <f t="shared" si="669"/>
        <v>0</v>
      </c>
      <c r="GF100" s="336">
        <f t="shared" si="670"/>
        <v>0</v>
      </c>
      <c r="GG100" s="336">
        <f t="shared" si="671"/>
        <v>0</v>
      </c>
      <c r="GH100" s="336">
        <f t="shared" si="672"/>
        <v>0</v>
      </c>
      <c r="GI100" s="336">
        <f t="shared" si="673"/>
        <v>0</v>
      </c>
      <c r="GJ100" s="336">
        <f t="shared" si="674"/>
        <v>0</v>
      </c>
      <c r="GK100" s="336">
        <f t="shared" si="677"/>
        <v>0</v>
      </c>
      <c r="GL100" s="336">
        <f t="shared" si="613"/>
        <v>0</v>
      </c>
      <c r="GM100" s="336">
        <f t="shared" si="675"/>
        <v>0</v>
      </c>
    </row>
    <row r="101" spans="1:195" ht="20.100000000000001" customHeight="1">
      <c r="A101" s="388">
        <f t="shared" si="827"/>
        <v>68</v>
      </c>
      <c r="B101" s="388" t="s">
        <v>579</v>
      </c>
      <c r="C101" s="388" t="str">
        <f t="shared" si="805"/>
        <v>PMCC-1</v>
      </c>
      <c r="D101" s="787" t="s">
        <v>1655</v>
      </c>
      <c r="E101" s="502" t="s">
        <v>555</v>
      </c>
      <c r="F101" s="388" t="s">
        <v>29</v>
      </c>
      <c r="G101" s="388" t="s">
        <v>329</v>
      </c>
      <c r="H101" s="418">
        <v>0.6</v>
      </c>
      <c r="I101" s="388" t="s">
        <v>330</v>
      </c>
      <c r="J101" s="388" t="s">
        <v>357</v>
      </c>
      <c r="K101" s="434">
        <v>230</v>
      </c>
      <c r="L101" s="401">
        <v>0.85</v>
      </c>
      <c r="M101" s="418">
        <v>0.95</v>
      </c>
      <c r="N101" s="392">
        <f t="shared" si="806"/>
        <v>3.2305828509893662</v>
      </c>
      <c r="O101" s="392">
        <f t="shared" si="680"/>
        <v>0</v>
      </c>
      <c r="P101" s="401" t="str">
        <f t="shared" si="807"/>
        <v>0.00</v>
      </c>
      <c r="Q101" s="418">
        <v>65</v>
      </c>
      <c r="R101" s="418">
        <v>0</v>
      </c>
      <c r="S101" s="418">
        <f t="shared" si="808"/>
        <v>0</v>
      </c>
      <c r="T101" s="401" t="s">
        <v>131</v>
      </c>
      <c r="U101" s="418" t="s">
        <v>333</v>
      </c>
      <c r="V101" s="401">
        <v>4</v>
      </c>
      <c r="W101" s="401" t="str">
        <f t="shared" si="809"/>
        <v>3C X 4</v>
      </c>
      <c r="X101" s="401" t="str">
        <f t="shared" si="810"/>
        <v>3C X 4</v>
      </c>
      <c r="Y101" s="401" t="s">
        <v>358</v>
      </c>
      <c r="Z101" s="393">
        <f>IF(T101="AIR",VLOOKUP(W101,'Catalogue Aluminium'!$B$9:$G$93,2,FALSE),IF(T101="GROUND",VLOOKUP(W101,'Catalogue Aluminium'!$B$9:$G$93,3,FALSE),IF(T101="DUCT",VLOOKUP(W101,'Catalogue Aluminium'!$B$9:$G$93,4,FALSE),IF(T101="TRENCH",VLOOKUP(W101,'Catalogue Aluminium'!$B$9:$G$93,2,FALSE)))))</f>
        <v>38</v>
      </c>
      <c r="AA101" s="402">
        <f>VLOOKUP(W101,'Catalogue Aluminium'!$B$9:$G$93,5,FALSE)</f>
        <v>5.9</v>
      </c>
      <c r="AB101" s="402">
        <f>VLOOKUP(W101,'Catalogue Aluminium'!$B$9:$G$93,6,FALSE)</f>
        <v>9.4700000000000006E-2</v>
      </c>
      <c r="AC101" s="401">
        <f t="shared" si="831"/>
        <v>20</v>
      </c>
      <c r="AD101" s="401">
        <v>85</v>
      </c>
      <c r="AE101" s="401">
        <f>10</f>
        <v>10</v>
      </c>
      <c r="AF101" s="401">
        <v>8</v>
      </c>
      <c r="AG101" s="401">
        <f t="shared" si="812"/>
        <v>13</v>
      </c>
      <c r="AH101" s="436">
        <f t="shared" si="813"/>
        <v>136</v>
      </c>
      <c r="AI101" s="393">
        <f>IF(T101="AIR",'Catalogue Aluminium'!$K$9,IF(T101="TRENCH",'Catalogue Aluminium'!$K$12,"NA"))</f>
        <v>0.89</v>
      </c>
      <c r="AJ101" s="392">
        <f>IF(T101="Air",(IF(U101="1C",'Catalogue Aluminium'!$L$9,'Catalogue Aluminium'!$M$9)),IF(T101="DUCT",(IF($U101="1C",'Catalogue Aluminium'!$L$10,'Catalogue Aluminium'!$M$10)),IF(T101="GROUND",(IF($U101="1C",'Catalogue Aluminium'!$L$11,'Catalogue Aluminium'!$M$11)),IF(T101="TRENCH",(IF($U101="1C",'Catalogue Aluminium'!$L$12,'Catalogue Aluminium'!$M$12))))))</f>
        <v>0.66</v>
      </c>
      <c r="AK101" s="393" t="str">
        <f>IF(T101="Air",'Catalogue Aluminium'!$N$9,IF(T101="GROUND",'Catalogue Aluminium'!$N$10,IF(T101="DUCT",'Catalogue Aluminium'!$N$11,IF(T101="TRENCH",'Catalogue Aluminium'!$N$12,"NA"))))</f>
        <v>NA</v>
      </c>
      <c r="AL101" s="393" t="str">
        <f>IF(T101="Air",(IF(U101="1C",'Catalogue Aluminium'!$O$9,'Catalogue Aluminium'!$P$9)),IF(T101="DUCT",(IF($U101="1C",'Catalogue Aluminium'!$O$10,'Catalogue Aluminium'!$P$10)),IF(T101="GROUND",(IF($U101="1C",'Catalogue Aluminium'!$O$11,'Catalogue Aluminium'!$P$11)),IF(T101="TRENCH",(IF($U101="1C",'Catalogue Aluminium'!$O$12,'Catalogue Aluminium'!$P$12))))))</f>
        <v>NA</v>
      </c>
      <c r="AM101" s="393" t="str">
        <f>IF(T101="AIR","NA",IF(T101="TRENCH","NA",IF(T101="DUCT",IF(U101="1C",VLOOKUP(V101,'Catalogue Aluminium'!$Q$9:$S$28,2,FALSE),VLOOKUP(V101,'Catalogue Aluminium'!$Q$9:$S$28,3)),IF(T101="GROUND",IF(U101="1C",VLOOKUP(V101,'Catalogue Aluminium'!$Q$9:$S$28,2,FALSE),VLOOKUP(V101,'Catalogue Aluminium'!$Q$9:$S$28,3))))))</f>
        <v>NA</v>
      </c>
      <c r="AN101" s="437">
        <f t="shared" si="814"/>
        <v>0.58740000000000003</v>
      </c>
      <c r="AO101" s="418">
        <f t="shared" si="815"/>
        <v>22.321200000000001</v>
      </c>
      <c r="AP101" s="434">
        <f t="shared" si="689"/>
        <v>1</v>
      </c>
      <c r="AQ101" s="418" t="str">
        <f t="shared" si="816"/>
        <v>YES</v>
      </c>
      <c r="AR101" s="437">
        <f t="shared" si="817"/>
        <v>1.6758003828539993</v>
      </c>
      <c r="AS101" s="401" t="str">
        <f t="shared" si="818"/>
        <v>YES</v>
      </c>
      <c r="AT101" s="437" t="str">
        <f t="shared" si="819"/>
        <v>NA</v>
      </c>
      <c r="AU101" s="401" t="str">
        <f t="shared" si="820"/>
        <v>NA</v>
      </c>
      <c r="AV101" s="503" t="str">
        <f t="shared" si="821"/>
        <v>1R x 0.6/1kV x 3C x 4 Sqmm</v>
      </c>
      <c r="AW101" s="503" t="str">
        <f t="shared" si="822"/>
        <v>1R x 0.6/1kV x 3C x 4 Sqmm</v>
      </c>
      <c r="AX101" s="401">
        <f t="shared" si="823"/>
        <v>136</v>
      </c>
      <c r="AY101" s="504"/>
      <c r="AZ101" s="504">
        <f t="shared" si="824"/>
        <v>2</v>
      </c>
      <c r="BA101" s="438" t="str">
        <f t="shared" si="825"/>
        <v>ACDEE1E2E3</v>
      </c>
      <c r="BB101" s="505">
        <f>VLOOKUP(W101,'Catalogue Aluminium'!$B$9:$H$93,7,FALSE)</f>
        <v>15</v>
      </c>
      <c r="BC101" s="439">
        <f t="shared" si="826"/>
        <v>15</v>
      </c>
      <c r="BE101" s="336"/>
      <c r="BF101" s="336">
        <v>1</v>
      </c>
      <c r="BG101" s="336"/>
      <c r="BH101" s="336"/>
      <c r="BI101" s="336">
        <v>1</v>
      </c>
      <c r="BJ101" s="336">
        <v>1</v>
      </c>
      <c r="BK101" s="336"/>
      <c r="BL101" s="336"/>
      <c r="BM101" s="336"/>
      <c r="BN101" s="336">
        <v>1</v>
      </c>
      <c r="BO101" s="336"/>
      <c r="BP101" s="336">
        <v>1</v>
      </c>
      <c r="BQ101" s="336">
        <v>1</v>
      </c>
      <c r="BR101" s="336">
        <v>1</v>
      </c>
      <c r="BS101" s="336"/>
      <c r="BT101" s="336"/>
      <c r="BU101" s="336"/>
      <c r="BV101" s="336"/>
      <c r="BW101" s="336"/>
      <c r="BX101" s="336"/>
      <c r="BY101" s="336"/>
      <c r="BZ101" s="336"/>
      <c r="CA101" s="336"/>
      <c r="CB101" s="336"/>
      <c r="CC101" s="336"/>
      <c r="CD101" s="336"/>
      <c r="CE101" s="336"/>
      <c r="CF101" s="336"/>
      <c r="CG101" s="336"/>
      <c r="CH101" s="336"/>
      <c r="CI101" s="336"/>
      <c r="CJ101" s="336"/>
      <c r="CK101" s="336"/>
      <c r="CL101" s="336"/>
      <c r="CM101" s="336"/>
      <c r="CN101" s="336"/>
      <c r="CO101" s="336"/>
      <c r="CP101" s="336"/>
      <c r="CQ101" s="336"/>
      <c r="CR101" s="336"/>
      <c r="CS101" s="336"/>
      <c r="CT101" s="336"/>
      <c r="CU101" s="336"/>
      <c r="CV101" s="336"/>
      <c r="CW101" s="336"/>
      <c r="CX101" s="336"/>
      <c r="CY101" s="336"/>
      <c r="CZ101" s="336"/>
      <c r="DA101" s="336"/>
      <c r="DB101" s="336"/>
      <c r="DC101" s="336"/>
      <c r="DD101" s="336"/>
      <c r="DE101" s="336"/>
      <c r="DF101" s="336"/>
      <c r="DG101" s="336"/>
      <c r="DH101" s="336"/>
      <c r="DI101" s="336"/>
      <c r="DJ101" s="336"/>
      <c r="DK101" s="336"/>
      <c r="DL101" s="336"/>
      <c r="DM101" s="336"/>
      <c r="DN101" s="336"/>
      <c r="DO101" s="336"/>
      <c r="DP101" s="336"/>
      <c r="DQ101" s="336"/>
      <c r="DR101" s="336"/>
      <c r="DS101" s="336"/>
      <c r="DT101" s="336"/>
      <c r="DU101" s="336"/>
      <c r="DW101" s="336">
        <f t="shared" si="709"/>
        <v>0</v>
      </c>
      <c r="DX101" s="336">
        <f t="shared" si="701"/>
        <v>15</v>
      </c>
      <c r="DY101" s="336">
        <f t="shared" si="702"/>
        <v>0</v>
      </c>
      <c r="DZ101" s="336">
        <f t="shared" si="703"/>
        <v>0</v>
      </c>
      <c r="EA101" s="336">
        <f t="shared" si="704"/>
        <v>15</v>
      </c>
      <c r="EB101" s="336">
        <f t="shared" si="705"/>
        <v>15</v>
      </c>
      <c r="EC101" s="336">
        <f t="shared" si="706"/>
        <v>0</v>
      </c>
      <c r="ED101" s="336">
        <f t="shared" si="621"/>
        <v>0</v>
      </c>
      <c r="EE101" s="336">
        <f t="shared" si="622"/>
        <v>0</v>
      </c>
      <c r="EF101" s="336">
        <f t="shared" si="623"/>
        <v>15</v>
      </c>
      <c r="EG101" s="336">
        <f t="shared" si="624"/>
        <v>0</v>
      </c>
      <c r="EH101" s="336">
        <f t="shared" si="625"/>
        <v>15</v>
      </c>
      <c r="EI101" s="336">
        <f t="shared" si="626"/>
        <v>15</v>
      </c>
      <c r="EJ101" s="336">
        <f t="shared" si="627"/>
        <v>15</v>
      </c>
      <c r="EK101" s="336">
        <f t="shared" si="628"/>
        <v>0</v>
      </c>
      <c r="EL101" s="336">
        <f t="shared" si="629"/>
        <v>0</v>
      </c>
      <c r="EM101" s="336">
        <f t="shared" si="630"/>
        <v>0</v>
      </c>
      <c r="EN101" s="336">
        <f t="shared" si="631"/>
        <v>0</v>
      </c>
      <c r="EO101" s="336">
        <f t="shared" si="632"/>
        <v>0</v>
      </c>
      <c r="EP101" s="336">
        <f t="shared" si="633"/>
        <v>0</v>
      </c>
      <c r="EQ101" s="336">
        <f t="shared" si="634"/>
        <v>0</v>
      </c>
      <c r="ER101" s="336">
        <f t="shared" si="635"/>
        <v>0</v>
      </c>
      <c r="ES101" s="336">
        <f t="shared" si="636"/>
        <v>0</v>
      </c>
      <c r="ET101" s="336">
        <f t="shared" si="636"/>
        <v>0</v>
      </c>
      <c r="EU101" s="336">
        <f t="shared" si="637"/>
        <v>0</v>
      </c>
      <c r="EV101" s="336">
        <f t="shared" si="638"/>
        <v>0</v>
      </c>
      <c r="EW101" s="336">
        <f t="shared" si="639"/>
        <v>0</v>
      </c>
      <c r="EX101" s="336">
        <f t="shared" si="640"/>
        <v>0</v>
      </c>
      <c r="EY101" s="336">
        <f t="shared" si="641"/>
        <v>0</v>
      </c>
      <c r="EZ101" s="336">
        <f t="shared" si="642"/>
        <v>0</v>
      </c>
      <c r="FA101" s="336">
        <f t="shared" si="643"/>
        <v>0</v>
      </c>
      <c r="FB101" s="336">
        <f t="shared" si="644"/>
        <v>0</v>
      </c>
      <c r="FC101" s="336">
        <f t="shared" si="645"/>
        <v>0</v>
      </c>
      <c r="FD101" s="336">
        <f t="shared" si="646"/>
        <v>0</v>
      </c>
      <c r="FE101" s="336">
        <f t="shared" si="647"/>
        <v>0</v>
      </c>
      <c r="FF101" s="336">
        <f t="shared" si="648"/>
        <v>0</v>
      </c>
      <c r="FG101" s="336">
        <f t="shared" si="649"/>
        <v>0</v>
      </c>
      <c r="FH101" s="336">
        <f t="shared" si="650"/>
        <v>0</v>
      </c>
      <c r="FI101" s="336">
        <f t="shared" si="651"/>
        <v>0</v>
      </c>
      <c r="FJ101" s="336">
        <f t="shared" si="652"/>
        <v>0</v>
      </c>
      <c r="FK101" s="336">
        <f t="shared" si="653"/>
        <v>0</v>
      </c>
      <c r="FL101" s="336">
        <f t="shared" si="654"/>
        <v>0</v>
      </c>
      <c r="FM101" s="336">
        <f t="shared" si="655"/>
        <v>0</v>
      </c>
      <c r="FN101" s="336">
        <f t="shared" si="656"/>
        <v>0</v>
      </c>
      <c r="FO101" s="336">
        <f t="shared" si="657"/>
        <v>0</v>
      </c>
      <c r="FP101" s="336">
        <f t="shared" si="658"/>
        <v>0</v>
      </c>
      <c r="FQ101" s="336">
        <f t="shared" si="659"/>
        <v>0</v>
      </c>
      <c r="FR101" s="336">
        <f t="shared" si="660"/>
        <v>0</v>
      </c>
      <c r="FS101" s="336">
        <f t="shared" si="661"/>
        <v>0</v>
      </c>
      <c r="FT101" s="336">
        <f t="shared" si="662"/>
        <v>0</v>
      </c>
      <c r="FU101" s="336">
        <f t="shared" si="609"/>
        <v>0</v>
      </c>
      <c r="FV101" s="336">
        <f t="shared" si="610"/>
        <v>0</v>
      </c>
      <c r="FW101" s="336">
        <f t="shared" si="611"/>
        <v>0</v>
      </c>
      <c r="FX101" s="336">
        <f t="shared" si="612"/>
        <v>0</v>
      </c>
      <c r="FY101" s="336">
        <f t="shared" si="663"/>
        <v>0</v>
      </c>
      <c r="FZ101" s="336">
        <f t="shared" si="664"/>
        <v>0</v>
      </c>
      <c r="GA101" s="336">
        <f t="shared" si="665"/>
        <v>0</v>
      </c>
      <c r="GB101" s="336">
        <f t="shared" si="666"/>
        <v>0</v>
      </c>
      <c r="GC101" s="336">
        <f t="shared" si="667"/>
        <v>0</v>
      </c>
      <c r="GD101" s="336">
        <f t="shared" si="668"/>
        <v>0</v>
      </c>
      <c r="GE101" s="336">
        <f t="shared" si="669"/>
        <v>0</v>
      </c>
      <c r="GF101" s="336">
        <f t="shared" si="670"/>
        <v>0</v>
      </c>
      <c r="GG101" s="336">
        <f t="shared" si="671"/>
        <v>0</v>
      </c>
      <c r="GH101" s="336">
        <f t="shared" si="672"/>
        <v>0</v>
      </c>
      <c r="GI101" s="336">
        <f t="shared" si="673"/>
        <v>0</v>
      </c>
      <c r="GJ101" s="336">
        <f t="shared" si="674"/>
        <v>0</v>
      </c>
      <c r="GK101" s="336">
        <f t="shared" si="677"/>
        <v>0</v>
      </c>
      <c r="GL101" s="336">
        <f t="shared" si="613"/>
        <v>0</v>
      </c>
      <c r="GM101" s="336">
        <f t="shared" si="675"/>
        <v>0</v>
      </c>
    </row>
    <row r="102" spans="1:195" ht="20.100000000000001" customHeight="1">
      <c r="A102" s="388">
        <f t="shared" si="827"/>
        <v>69</v>
      </c>
      <c r="B102" s="388" t="s">
        <v>580</v>
      </c>
      <c r="C102" s="388" t="str">
        <f t="shared" si="805"/>
        <v>PMCC-1</v>
      </c>
      <c r="D102" s="787" t="s">
        <v>1656</v>
      </c>
      <c r="E102" s="502" t="s">
        <v>555</v>
      </c>
      <c r="F102" s="388" t="s">
        <v>29</v>
      </c>
      <c r="G102" s="388" t="s">
        <v>329</v>
      </c>
      <c r="H102" s="418">
        <v>0.9</v>
      </c>
      <c r="I102" s="388" t="s">
        <v>330</v>
      </c>
      <c r="J102" s="388" t="s">
        <v>357</v>
      </c>
      <c r="K102" s="434">
        <v>230</v>
      </c>
      <c r="L102" s="401">
        <v>0.85</v>
      </c>
      <c r="M102" s="418">
        <v>0.95</v>
      </c>
      <c r="N102" s="392">
        <f t="shared" si="806"/>
        <v>4.8458742764840492</v>
      </c>
      <c r="O102" s="392">
        <f t="shared" si="680"/>
        <v>0</v>
      </c>
      <c r="P102" s="401" t="str">
        <f t="shared" si="807"/>
        <v>0.00</v>
      </c>
      <c r="Q102" s="418">
        <v>65</v>
      </c>
      <c r="R102" s="418">
        <v>0</v>
      </c>
      <c r="S102" s="418">
        <f t="shared" si="808"/>
        <v>0</v>
      </c>
      <c r="T102" s="401" t="s">
        <v>131</v>
      </c>
      <c r="U102" s="418" t="s">
        <v>333</v>
      </c>
      <c r="V102" s="401">
        <v>6</v>
      </c>
      <c r="W102" s="401" t="str">
        <f t="shared" si="809"/>
        <v>3C X 6</v>
      </c>
      <c r="X102" s="401" t="str">
        <f t="shared" si="810"/>
        <v>3C X 6</v>
      </c>
      <c r="Y102" s="401" t="s">
        <v>358</v>
      </c>
      <c r="Z102" s="393">
        <f>IF(T102="AIR",VLOOKUP(W102,'Catalogue Aluminium'!$B$9:$G$93,2,FALSE),IF(T102="GROUND",VLOOKUP(W102,'Catalogue Aluminium'!$B$9:$G$93,3,FALSE),IF(T102="DUCT",VLOOKUP(W102,'Catalogue Aluminium'!$B$9:$G$93,4,FALSE),IF(T102="TRENCH",VLOOKUP(W102,'Catalogue Aluminium'!$B$9:$G$93,2,FALSE)))))</f>
        <v>51</v>
      </c>
      <c r="AA102" s="402">
        <f>VLOOKUP(W102,'Catalogue Aluminium'!$B$9:$G$93,5,FALSE)</f>
        <v>3.94</v>
      </c>
      <c r="AB102" s="402">
        <f>VLOOKUP(W102,'Catalogue Aluminium'!$B$9:$G$93,6,FALSE)</f>
        <v>9.0200000000000002E-2</v>
      </c>
      <c r="AC102" s="401">
        <f t="shared" si="831"/>
        <v>20</v>
      </c>
      <c r="AD102" s="401">
        <v>85</v>
      </c>
      <c r="AE102" s="401">
        <f>10</f>
        <v>10</v>
      </c>
      <c r="AF102" s="401">
        <v>8</v>
      </c>
      <c r="AG102" s="401">
        <f t="shared" si="812"/>
        <v>13</v>
      </c>
      <c r="AH102" s="436">
        <f t="shared" si="813"/>
        <v>136</v>
      </c>
      <c r="AI102" s="393">
        <f>IF(T102="AIR",'Catalogue Aluminium'!$K$9,IF(T102="TRENCH",'Catalogue Aluminium'!$K$12,"NA"))</f>
        <v>0.89</v>
      </c>
      <c r="AJ102" s="392">
        <f>IF(T102="Air",(IF(U102="1C",'Catalogue Aluminium'!$L$9,'Catalogue Aluminium'!$M$9)),IF(T102="DUCT",(IF($U102="1C",'Catalogue Aluminium'!$L$10,'Catalogue Aluminium'!$M$10)),IF(T102="GROUND",(IF($U102="1C",'Catalogue Aluminium'!$L$11,'Catalogue Aluminium'!$M$11)),IF(T102="TRENCH",(IF($U102="1C",'Catalogue Aluminium'!$L$12,'Catalogue Aluminium'!$M$12))))))</f>
        <v>0.66</v>
      </c>
      <c r="AK102" s="393" t="str">
        <f>IF(T102="Air",'Catalogue Aluminium'!$N$9,IF(T102="GROUND",'Catalogue Aluminium'!$N$10,IF(T102="DUCT",'Catalogue Aluminium'!$N$11,IF(T102="TRENCH",'Catalogue Aluminium'!$N$12,"NA"))))</f>
        <v>NA</v>
      </c>
      <c r="AL102" s="393" t="str">
        <f>IF(T102="Air",(IF(U102="1C",'Catalogue Aluminium'!$O$9,'Catalogue Aluminium'!$P$9)),IF(T102="DUCT",(IF($U102="1C",'Catalogue Aluminium'!$O$10,'Catalogue Aluminium'!$P$10)),IF(T102="GROUND",(IF($U102="1C",'Catalogue Aluminium'!$O$11,'Catalogue Aluminium'!$P$11)),IF(T102="TRENCH",(IF($U102="1C",'Catalogue Aluminium'!$O$12,'Catalogue Aluminium'!$P$12))))))</f>
        <v>NA</v>
      </c>
      <c r="AM102" s="393" t="str">
        <f>IF(T102="AIR","NA",IF(T102="TRENCH","NA",IF(T102="DUCT",IF(U102="1C",VLOOKUP(V102,'Catalogue Aluminium'!$Q$9:$S$28,2,FALSE),VLOOKUP(V102,'Catalogue Aluminium'!$Q$9:$S$28,3)),IF(T102="GROUND",IF(U102="1C",VLOOKUP(V102,'Catalogue Aluminium'!$Q$9:$S$28,2,FALSE),VLOOKUP(V102,'Catalogue Aluminium'!$Q$9:$S$28,3))))))</f>
        <v>NA</v>
      </c>
      <c r="AN102" s="437">
        <f t="shared" si="814"/>
        <v>0.58740000000000003</v>
      </c>
      <c r="AO102" s="418">
        <f t="shared" si="815"/>
        <v>29.957400000000003</v>
      </c>
      <c r="AP102" s="434">
        <f t="shared" si="689"/>
        <v>1</v>
      </c>
      <c r="AQ102" s="418" t="str">
        <f t="shared" si="816"/>
        <v>YES</v>
      </c>
      <c r="AR102" s="437">
        <f t="shared" si="817"/>
        <v>1.6856891098357716</v>
      </c>
      <c r="AS102" s="401" t="str">
        <f t="shared" si="818"/>
        <v>YES</v>
      </c>
      <c r="AT102" s="437" t="str">
        <f t="shared" si="819"/>
        <v>NA</v>
      </c>
      <c r="AU102" s="401" t="str">
        <f t="shared" si="820"/>
        <v>NA</v>
      </c>
      <c r="AV102" s="503" t="str">
        <f t="shared" si="821"/>
        <v>1R x 0.6/1kV x 3C x 6 Sqmm</v>
      </c>
      <c r="AW102" s="503" t="str">
        <f t="shared" si="822"/>
        <v>1R x 0.6/1kV x 3C x 6 Sqmm</v>
      </c>
      <c r="AX102" s="401">
        <f t="shared" si="823"/>
        <v>136</v>
      </c>
      <c r="AY102" s="504"/>
      <c r="AZ102" s="504">
        <f t="shared" si="824"/>
        <v>2</v>
      </c>
      <c r="BA102" s="438" t="str">
        <f t="shared" si="825"/>
        <v>AB</v>
      </c>
      <c r="BB102" s="505">
        <f>VLOOKUP(W102,'Catalogue Aluminium'!$B$9:$H$93,7,FALSE)</f>
        <v>16</v>
      </c>
      <c r="BC102" s="439">
        <f t="shared" si="826"/>
        <v>16</v>
      </c>
      <c r="BE102" s="336"/>
      <c r="BF102" s="336">
        <v>1</v>
      </c>
      <c r="BG102" s="336">
        <v>1</v>
      </c>
      <c r="BH102" s="336"/>
      <c r="BI102" s="336"/>
      <c r="BJ102" s="336"/>
      <c r="BK102" s="336"/>
      <c r="BL102" s="336"/>
      <c r="BM102" s="336"/>
      <c r="BN102" s="336"/>
      <c r="BO102" s="336"/>
      <c r="BP102" s="336"/>
      <c r="BQ102" s="336"/>
      <c r="BR102" s="336"/>
      <c r="BS102" s="336"/>
      <c r="BT102" s="336"/>
      <c r="BU102" s="336"/>
      <c r="BV102" s="336"/>
      <c r="BW102" s="336"/>
      <c r="BX102" s="336"/>
      <c r="BY102" s="336"/>
      <c r="BZ102" s="336"/>
      <c r="CA102" s="336"/>
      <c r="CB102" s="336"/>
      <c r="CC102" s="336"/>
      <c r="CD102" s="336"/>
      <c r="CE102" s="336"/>
      <c r="CF102" s="336"/>
      <c r="CG102" s="336"/>
      <c r="CH102" s="336"/>
      <c r="CI102" s="336"/>
      <c r="CJ102" s="336"/>
      <c r="CK102" s="336"/>
      <c r="CL102" s="336"/>
      <c r="CM102" s="336"/>
      <c r="CN102" s="336"/>
      <c r="CO102" s="336"/>
      <c r="CP102" s="336"/>
      <c r="CQ102" s="336"/>
      <c r="CR102" s="336"/>
      <c r="CS102" s="336"/>
      <c r="CT102" s="336"/>
      <c r="CU102" s="336"/>
      <c r="CV102" s="336"/>
      <c r="CW102" s="336"/>
      <c r="CX102" s="336"/>
      <c r="CY102" s="336"/>
      <c r="CZ102" s="336"/>
      <c r="DA102" s="336"/>
      <c r="DB102" s="336"/>
      <c r="DC102" s="336"/>
      <c r="DD102" s="336"/>
      <c r="DE102" s="336"/>
      <c r="DF102" s="336"/>
      <c r="DG102" s="336"/>
      <c r="DH102" s="336"/>
      <c r="DI102" s="336"/>
      <c r="DJ102" s="336"/>
      <c r="DK102" s="336"/>
      <c r="DL102" s="336"/>
      <c r="DM102" s="336"/>
      <c r="DN102" s="336"/>
      <c r="DO102" s="336"/>
      <c r="DP102" s="336"/>
      <c r="DQ102" s="336"/>
      <c r="DR102" s="336"/>
      <c r="DS102" s="336"/>
      <c r="DT102" s="336"/>
      <c r="DU102" s="336"/>
      <c r="DW102" s="336">
        <f t="shared" si="709"/>
        <v>0</v>
      </c>
      <c r="DX102" s="336">
        <f t="shared" si="701"/>
        <v>16</v>
      </c>
      <c r="DY102" s="336">
        <f t="shared" si="702"/>
        <v>16</v>
      </c>
      <c r="DZ102" s="336">
        <f t="shared" si="703"/>
        <v>0</v>
      </c>
      <c r="EA102" s="336">
        <f t="shared" si="704"/>
        <v>0</v>
      </c>
      <c r="EB102" s="336">
        <f t="shared" si="705"/>
        <v>0</v>
      </c>
      <c r="EC102" s="336">
        <f t="shared" si="706"/>
        <v>0</v>
      </c>
      <c r="ED102" s="336">
        <f t="shared" si="621"/>
        <v>0</v>
      </c>
      <c r="EE102" s="336">
        <f t="shared" si="622"/>
        <v>0</v>
      </c>
      <c r="EF102" s="336">
        <f t="shared" si="623"/>
        <v>0</v>
      </c>
      <c r="EG102" s="336">
        <f t="shared" si="624"/>
        <v>0</v>
      </c>
      <c r="EH102" s="336">
        <f t="shared" si="625"/>
        <v>0</v>
      </c>
      <c r="EI102" s="336">
        <f t="shared" si="626"/>
        <v>0</v>
      </c>
      <c r="EJ102" s="336">
        <f t="shared" si="627"/>
        <v>0</v>
      </c>
      <c r="EK102" s="336">
        <f t="shared" si="628"/>
        <v>0</v>
      </c>
      <c r="EL102" s="336">
        <f t="shared" si="629"/>
        <v>0</v>
      </c>
      <c r="EM102" s="336">
        <f t="shared" si="630"/>
        <v>0</v>
      </c>
      <c r="EN102" s="336">
        <f t="shared" si="631"/>
        <v>0</v>
      </c>
      <c r="EO102" s="336">
        <f t="shared" si="632"/>
        <v>0</v>
      </c>
      <c r="EP102" s="336">
        <f t="shared" si="633"/>
        <v>0</v>
      </c>
      <c r="EQ102" s="336">
        <f t="shared" si="634"/>
        <v>0</v>
      </c>
      <c r="ER102" s="336">
        <f t="shared" si="635"/>
        <v>0</v>
      </c>
      <c r="ES102" s="336">
        <f t="shared" si="636"/>
        <v>0</v>
      </c>
      <c r="ET102" s="336">
        <f t="shared" si="636"/>
        <v>0</v>
      </c>
      <c r="EU102" s="336">
        <f t="shared" si="637"/>
        <v>0</v>
      </c>
      <c r="EV102" s="336">
        <f t="shared" si="638"/>
        <v>0</v>
      </c>
      <c r="EW102" s="336">
        <f t="shared" si="639"/>
        <v>0</v>
      </c>
      <c r="EX102" s="336">
        <f t="shared" si="640"/>
        <v>0</v>
      </c>
      <c r="EY102" s="336">
        <f t="shared" si="641"/>
        <v>0</v>
      </c>
      <c r="EZ102" s="336">
        <f t="shared" si="642"/>
        <v>0</v>
      </c>
      <c r="FA102" s="336">
        <f t="shared" si="643"/>
        <v>0</v>
      </c>
      <c r="FB102" s="336">
        <f t="shared" si="644"/>
        <v>0</v>
      </c>
      <c r="FC102" s="336">
        <f t="shared" si="645"/>
        <v>0</v>
      </c>
      <c r="FD102" s="336">
        <f t="shared" si="646"/>
        <v>0</v>
      </c>
      <c r="FE102" s="336">
        <f t="shared" si="647"/>
        <v>0</v>
      </c>
      <c r="FF102" s="336">
        <f t="shared" si="648"/>
        <v>0</v>
      </c>
      <c r="FG102" s="336">
        <f t="shared" si="649"/>
        <v>0</v>
      </c>
      <c r="FH102" s="336">
        <f t="shared" si="650"/>
        <v>0</v>
      </c>
      <c r="FI102" s="336">
        <f t="shared" si="651"/>
        <v>0</v>
      </c>
      <c r="FJ102" s="336">
        <f t="shared" si="652"/>
        <v>0</v>
      </c>
      <c r="FK102" s="336">
        <f t="shared" si="653"/>
        <v>0</v>
      </c>
      <c r="FL102" s="336">
        <f t="shared" si="654"/>
        <v>0</v>
      </c>
      <c r="FM102" s="336">
        <f t="shared" si="655"/>
        <v>0</v>
      </c>
      <c r="FN102" s="336">
        <f t="shared" si="656"/>
        <v>0</v>
      </c>
      <c r="FO102" s="336">
        <f t="shared" si="657"/>
        <v>0</v>
      </c>
      <c r="FP102" s="336">
        <f t="shared" si="658"/>
        <v>0</v>
      </c>
      <c r="FQ102" s="336">
        <f t="shared" si="659"/>
        <v>0</v>
      </c>
      <c r="FR102" s="336">
        <f t="shared" si="660"/>
        <v>0</v>
      </c>
      <c r="FS102" s="336">
        <f t="shared" si="661"/>
        <v>0</v>
      </c>
      <c r="FT102" s="336">
        <f t="shared" si="662"/>
        <v>0</v>
      </c>
      <c r="FU102" s="336">
        <f t="shared" si="609"/>
        <v>0</v>
      </c>
      <c r="FV102" s="336">
        <f t="shared" si="610"/>
        <v>0</v>
      </c>
      <c r="FW102" s="336">
        <f t="shared" si="611"/>
        <v>0</v>
      </c>
      <c r="FX102" s="336">
        <f t="shared" si="612"/>
        <v>0</v>
      </c>
      <c r="FY102" s="336">
        <f t="shared" si="663"/>
        <v>0</v>
      </c>
      <c r="FZ102" s="336">
        <f t="shared" si="664"/>
        <v>0</v>
      </c>
      <c r="GA102" s="336">
        <f t="shared" si="665"/>
        <v>0</v>
      </c>
      <c r="GB102" s="336">
        <f t="shared" si="666"/>
        <v>0</v>
      </c>
      <c r="GC102" s="336">
        <f t="shared" si="667"/>
        <v>0</v>
      </c>
      <c r="GD102" s="336">
        <f t="shared" si="668"/>
        <v>0</v>
      </c>
      <c r="GE102" s="336">
        <f t="shared" si="669"/>
        <v>0</v>
      </c>
      <c r="GF102" s="336">
        <f t="shared" si="670"/>
        <v>0</v>
      </c>
      <c r="GG102" s="336">
        <f t="shared" si="671"/>
        <v>0</v>
      </c>
      <c r="GH102" s="336">
        <f t="shared" si="672"/>
        <v>0</v>
      </c>
      <c r="GI102" s="336">
        <f t="shared" si="673"/>
        <v>0</v>
      </c>
      <c r="GJ102" s="336">
        <f t="shared" si="674"/>
        <v>0</v>
      </c>
      <c r="GK102" s="336">
        <f t="shared" si="677"/>
        <v>0</v>
      </c>
      <c r="GL102" s="336">
        <f t="shared" si="613"/>
        <v>0</v>
      </c>
      <c r="GM102" s="336">
        <f t="shared" si="675"/>
        <v>0</v>
      </c>
    </row>
    <row r="103" spans="1:195" ht="20.100000000000001" customHeight="1">
      <c r="A103" s="388">
        <f t="shared" si="827"/>
        <v>70</v>
      </c>
      <c r="B103" s="388" t="s">
        <v>581</v>
      </c>
      <c r="C103" s="388" t="str">
        <f t="shared" si="805"/>
        <v>PMCC-1</v>
      </c>
      <c r="D103" s="787" t="s">
        <v>1657</v>
      </c>
      <c r="E103" s="502" t="s">
        <v>555</v>
      </c>
      <c r="F103" s="388" t="s">
        <v>28</v>
      </c>
      <c r="G103" s="388" t="s">
        <v>329</v>
      </c>
      <c r="H103" s="418">
        <v>1.1000000000000001</v>
      </c>
      <c r="I103" s="388" t="s">
        <v>330</v>
      </c>
      <c r="J103" s="388" t="s">
        <v>357</v>
      </c>
      <c r="K103" s="434">
        <v>230</v>
      </c>
      <c r="L103" s="401">
        <v>0.85</v>
      </c>
      <c r="M103" s="418">
        <v>0.95</v>
      </c>
      <c r="N103" s="392">
        <f t="shared" si="806"/>
        <v>5.9227352268138382</v>
      </c>
      <c r="O103" s="392">
        <f t="shared" si="680"/>
        <v>0</v>
      </c>
      <c r="P103" s="401" t="str">
        <f t="shared" si="807"/>
        <v>0.00</v>
      </c>
      <c r="Q103" s="418">
        <v>65</v>
      </c>
      <c r="R103" s="418">
        <v>0</v>
      </c>
      <c r="S103" s="418">
        <f t="shared" si="808"/>
        <v>0</v>
      </c>
      <c r="T103" s="401" t="s">
        <v>131</v>
      </c>
      <c r="U103" s="418" t="s">
        <v>333</v>
      </c>
      <c r="V103" s="401">
        <v>6</v>
      </c>
      <c r="W103" s="401" t="str">
        <f t="shared" si="809"/>
        <v>3C X 6</v>
      </c>
      <c r="X103" s="401" t="str">
        <f t="shared" si="810"/>
        <v>3C X 6</v>
      </c>
      <c r="Y103" s="401" t="s">
        <v>358</v>
      </c>
      <c r="Z103" s="393">
        <f>IF(T103="AIR",VLOOKUP(W103,'Catalogue Aluminium'!$B$9:$G$93,2,FALSE),IF(T103="GROUND",VLOOKUP(W103,'Catalogue Aluminium'!$B$9:$G$93,3,FALSE),IF(T103="DUCT",VLOOKUP(W103,'Catalogue Aluminium'!$B$9:$G$93,4,FALSE),IF(T103="TRENCH",VLOOKUP(W103,'Catalogue Aluminium'!$B$9:$G$93,2,FALSE)))))</f>
        <v>51</v>
      </c>
      <c r="AA103" s="402">
        <f>VLOOKUP(W103,'Catalogue Aluminium'!$B$9:$G$93,5,FALSE)</f>
        <v>3.94</v>
      </c>
      <c r="AB103" s="402">
        <f>VLOOKUP(W103,'Catalogue Aluminium'!$B$9:$G$93,6,FALSE)</f>
        <v>9.0200000000000002E-2</v>
      </c>
      <c r="AC103" s="401">
        <f t="shared" si="829"/>
        <v>29</v>
      </c>
      <c r="AD103" s="401">
        <v>85</v>
      </c>
      <c r="AE103" s="401">
        <f>10</f>
        <v>10</v>
      </c>
      <c r="AF103" s="401">
        <v>8</v>
      </c>
      <c r="AG103" s="401">
        <f t="shared" si="812"/>
        <v>14</v>
      </c>
      <c r="AH103" s="436">
        <f t="shared" si="813"/>
        <v>146</v>
      </c>
      <c r="AI103" s="393">
        <f>IF(T103="AIR",'Catalogue Aluminium'!$K$9,IF(T103="TRENCH",'Catalogue Aluminium'!$K$12,"NA"))</f>
        <v>0.89</v>
      </c>
      <c r="AJ103" s="392">
        <f>IF(T103="Air",(IF(U103="1C",'Catalogue Aluminium'!$L$9,'Catalogue Aluminium'!$M$9)),IF(T103="DUCT",(IF($U103="1C",'Catalogue Aluminium'!$L$10,'Catalogue Aluminium'!$M$10)),IF(T103="GROUND",(IF($U103="1C",'Catalogue Aluminium'!$L$11,'Catalogue Aluminium'!$M$11)),IF(T103="TRENCH",(IF($U103="1C",'Catalogue Aluminium'!$L$12,'Catalogue Aluminium'!$M$12))))))</f>
        <v>0.66</v>
      </c>
      <c r="AK103" s="393" t="str">
        <f>IF(T103="Air",'Catalogue Aluminium'!$N$9,IF(T103="GROUND",'Catalogue Aluminium'!$N$10,IF(T103="DUCT",'Catalogue Aluminium'!$N$11,IF(T103="TRENCH",'Catalogue Aluminium'!$N$12,"NA"))))</f>
        <v>NA</v>
      </c>
      <c r="AL103" s="393" t="str">
        <f>IF(T103="Air",(IF(U103="1C",'Catalogue Aluminium'!$O$9,'Catalogue Aluminium'!$P$9)),IF(T103="DUCT",(IF($U103="1C",'Catalogue Aluminium'!$O$10,'Catalogue Aluminium'!$P$10)),IF(T103="GROUND",(IF($U103="1C",'Catalogue Aluminium'!$O$11,'Catalogue Aluminium'!$P$11)),IF(T103="TRENCH",(IF($U103="1C",'Catalogue Aluminium'!$O$12,'Catalogue Aluminium'!$P$12))))))</f>
        <v>NA</v>
      </c>
      <c r="AM103" s="393" t="str">
        <f>IF(T103="AIR","NA",IF(T103="TRENCH","NA",IF(T103="DUCT",IF(U103="1C",VLOOKUP(V103,'Catalogue Aluminium'!$Q$9:$S$28,2,FALSE),VLOOKUP(V103,'Catalogue Aluminium'!$Q$9:$S$28,3)),IF(T103="GROUND",IF(U103="1C",VLOOKUP(V103,'Catalogue Aluminium'!$Q$9:$S$28,2,FALSE),VLOOKUP(V103,'Catalogue Aluminium'!$Q$9:$S$28,3))))))</f>
        <v>NA</v>
      </c>
      <c r="AN103" s="437">
        <f t="shared" si="814"/>
        <v>0.58740000000000003</v>
      </c>
      <c r="AO103" s="418">
        <f t="shared" si="815"/>
        <v>29.957400000000003</v>
      </c>
      <c r="AP103" s="434">
        <f t="shared" si="689"/>
        <v>1</v>
      </c>
      <c r="AQ103" s="418" t="str">
        <f t="shared" si="816"/>
        <v>YES</v>
      </c>
      <c r="AR103" s="437">
        <f t="shared" si="817"/>
        <v>2.2117783581668702</v>
      </c>
      <c r="AS103" s="401" t="str">
        <f t="shared" si="818"/>
        <v>YES</v>
      </c>
      <c r="AT103" s="437" t="str">
        <f t="shared" si="819"/>
        <v>NA</v>
      </c>
      <c r="AU103" s="401" t="str">
        <f t="shared" si="820"/>
        <v>NA</v>
      </c>
      <c r="AV103" s="503" t="str">
        <f t="shared" si="821"/>
        <v>1R x 0.6/1kV x 3C x 6 Sqmm</v>
      </c>
      <c r="AW103" s="503" t="str">
        <f t="shared" si="822"/>
        <v>1R x 0.6/1kV x 3C x 6 Sqmm</v>
      </c>
      <c r="AX103" s="401">
        <f t="shared" si="823"/>
        <v>146</v>
      </c>
      <c r="AY103" s="504"/>
      <c r="AZ103" s="504">
        <f t="shared" si="824"/>
        <v>2</v>
      </c>
      <c r="BA103" s="438" t="str">
        <f t="shared" si="825"/>
        <v>AB</v>
      </c>
      <c r="BB103" s="505">
        <f>VLOOKUP(W103,'Catalogue Aluminium'!$B$9:$H$93,7,FALSE)</f>
        <v>16</v>
      </c>
      <c r="BC103" s="439">
        <f t="shared" si="826"/>
        <v>16</v>
      </c>
      <c r="BE103" s="336"/>
      <c r="BF103" s="336">
        <v>1</v>
      </c>
      <c r="BG103" s="336">
        <v>1</v>
      </c>
      <c r="BH103" s="336"/>
      <c r="BI103" s="336"/>
      <c r="BJ103" s="336"/>
      <c r="BK103" s="336"/>
      <c r="BL103" s="336"/>
      <c r="BM103" s="336"/>
      <c r="BN103" s="336"/>
      <c r="BO103" s="336"/>
      <c r="BP103" s="336"/>
      <c r="BQ103" s="336"/>
      <c r="BR103" s="336"/>
      <c r="BS103" s="336"/>
      <c r="BT103" s="336"/>
      <c r="BU103" s="336"/>
      <c r="BV103" s="336"/>
      <c r="BW103" s="336"/>
      <c r="BX103" s="336"/>
      <c r="BY103" s="336"/>
      <c r="BZ103" s="336"/>
      <c r="CA103" s="336"/>
      <c r="CB103" s="336"/>
      <c r="CC103" s="336"/>
      <c r="CD103" s="336"/>
      <c r="CE103" s="336"/>
      <c r="CF103" s="336"/>
      <c r="CG103" s="336"/>
      <c r="CH103" s="336"/>
      <c r="CI103" s="336"/>
      <c r="CJ103" s="336"/>
      <c r="CK103" s="336"/>
      <c r="CL103" s="336"/>
      <c r="CM103" s="336"/>
      <c r="CN103" s="336"/>
      <c r="CO103" s="336"/>
      <c r="CP103" s="336"/>
      <c r="CQ103" s="336"/>
      <c r="CR103" s="336"/>
      <c r="CS103" s="336"/>
      <c r="CT103" s="336"/>
      <c r="CU103" s="336"/>
      <c r="CV103" s="336"/>
      <c r="CW103" s="336"/>
      <c r="CX103" s="336"/>
      <c r="CY103" s="336"/>
      <c r="CZ103" s="336"/>
      <c r="DA103" s="336"/>
      <c r="DB103" s="336"/>
      <c r="DC103" s="336"/>
      <c r="DD103" s="336"/>
      <c r="DE103" s="336"/>
      <c r="DF103" s="336"/>
      <c r="DG103" s="336"/>
      <c r="DH103" s="336"/>
      <c r="DI103" s="336"/>
      <c r="DJ103" s="336"/>
      <c r="DK103" s="336"/>
      <c r="DL103" s="336"/>
      <c r="DM103" s="336"/>
      <c r="DN103" s="336"/>
      <c r="DO103" s="336"/>
      <c r="DP103" s="336"/>
      <c r="DQ103" s="336"/>
      <c r="DR103" s="336"/>
      <c r="DS103" s="336"/>
      <c r="DT103" s="336"/>
      <c r="DU103" s="336"/>
      <c r="DW103" s="336">
        <f t="shared" si="709"/>
        <v>0</v>
      </c>
      <c r="DX103" s="336">
        <f t="shared" si="701"/>
        <v>16</v>
      </c>
      <c r="DY103" s="336">
        <f t="shared" si="702"/>
        <v>16</v>
      </c>
      <c r="DZ103" s="336">
        <f t="shared" si="703"/>
        <v>0</v>
      </c>
      <c r="EA103" s="336">
        <f t="shared" si="704"/>
        <v>0</v>
      </c>
      <c r="EB103" s="336">
        <f t="shared" si="705"/>
        <v>0</v>
      </c>
      <c r="EC103" s="336">
        <f t="shared" si="706"/>
        <v>0</v>
      </c>
      <c r="ED103" s="336">
        <f t="shared" si="621"/>
        <v>0</v>
      </c>
      <c r="EE103" s="336">
        <f t="shared" si="622"/>
        <v>0</v>
      </c>
      <c r="EF103" s="336">
        <f t="shared" si="623"/>
        <v>0</v>
      </c>
      <c r="EG103" s="336">
        <f t="shared" si="624"/>
        <v>0</v>
      </c>
      <c r="EH103" s="336">
        <f t="shared" si="625"/>
        <v>0</v>
      </c>
      <c r="EI103" s="336">
        <f t="shared" si="626"/>
        <v>0</v>
      </c>
      <c r="EJ103" s="336">
        <f t="shared" si="627"/>
        <v>0</v>
      </c>
      <c r="EK103" s="336">
        <f t="shared" si="628"/>
        <v>0</v>
      </c>
      <c r="EL103" s="336">
        <f t="shared" si="629"/>
        <v>0</v>
      </c>
      <c r="EM103" s="336">
        <f t="shared" si="630"/>
        <v>0</v>
      </c>
      <c r="EN103" s="336">
        <f t="shared" si="631"/>
        <v>0</v>
      </c>
      <c r="EO103" s="336">
        <f t="shared" si="632"/>
        <v>0</v>
      </c>
      <c r="EP103" s="336">
        <f t="shared" si="633"/>
        <v>0</v>
      </c>
      <c r="EQ103" s="336">
        <f t="shared" si="634"/>
        <v>0</v>
      </c>
      <c r="ER103" s="336">
        <f t="shared" si="635"/>
        <v>0</v>
      </c>
      <c r="ES103" s="336">
        <f t="shared" si="636"/>
        <v>0</v>
      </c>
      <c r="ET103" s="336">
        <f t="shared" si="636"/>
        <v>0</v>
      </c>
      <c r="EU103" s="336">
        <f t="shared" si="637"/>
        <v>0</v>
      </c>
      <c r="EV103" s="336">
        <f t="shared" si="638"/>
        <v>0</v>
      </c>
      <c r="EW103" s="336">
        <f t="shared" si="639"/>
        <v>0</v>
      </c>
      <c r="EX103" s="336">
        <f t="shared" si="640"/>
        <v>0</v>
      </c>
      <c r="EY103" s="336">
        <f t="shared" si="641"/>
        <v>0</v>
      </c>
      <c r="EZ103" s="336">
        <f t="shared" si="642"/>
        <v>0</v>
      </c>
      <c r="FA103" s="336">
        <f t="shared" si="643"/>
        <v>0</v>
      </c>
      <c r="FB103" s="336">
        <f t="shared" si="644"/>
        <v>0</v>
      </c>
      <c r="FC103" s="336">
        <f t="shared" si="645"/>
        <v>0</v>
      </c>
      <c r="FD103" s="336">
        <f t="shared" si="646"/>
        <v>0</v>
      </c>
      <c r="FE103" s="336">
        <f t="shared" si="647"/>
        <v>0</v>
      </c>
      <c r="FF103" s="336">
        <f t="shared" si="648"/>
        <v>0</v>
      </c>
      <c r="FG103" s="336">
        <f t="shared" si="649"/>
        <v>0</v>
      </c>
      <c r="FH103" s="336">
        <f t="shared" si="650"/>
        <v>0</v>
      </c>
      <c r="FI103" s="336">
        <f t="shared" si="651"/>
        <v>0</v>
      </c>
      <c r="FJ103" s="336">
        <f t="shared" si="652"/>
        <v>0</v>
      </c>
      <c r="FK103" s="336">
        <f t="shared" si="653"/>
        <v>0</v>
      </c>
      <c r="FL103" s="336">
        <f t="shared" si="654"/>
        <v>0</v>
      </c>
      <c r="FM103" s="336">
        <f t="shared" si="655"/>
        <v>0</v>
      </c>
      <c r="FN103" s="336">
        <f t="shared" si="656"/>
        <v>0</v>
      </c>
      <c r="FO103" s="336">
        <f t="shared" si="657"/>
        <v>0</v>
      </c>
      <c r="FP103" s="336">
        <f t="shared" si="658"/>
        <v>0</v>
      </c>
      <c r="FQ103" s="336">
        <f t="shared" si="659"/>
        <v>0</v>
      </c>
      <c r="FR103" s="336">
        <f t="shared" si="660"/>
        <v>0</v>
      </c>
      <c r="FS103" s="336">
        <f t="shared" si="661"/>
        <v>0</v>
      </c>
      <c r="FT103" s="336">
        <f t="shared" si="662"/>
        <v>0</v>
      </c>
      <c r="FU103" s="336">
        <f t="shared" si="609"/>
        <v>0</v>
      </c>
      <c r="FV103" s="336">
        <f t="shared" si="610"/>
        <v>0</v>
      </c>
      <c r="FW103" s="336">
        <f t="shared" si="611"/>
        <v>0</v>
      </c>
      <c r="FX103" s="336">
        <f t="shared" si="612"/>
        <v>0</v>
      </c>
      <c r="FY103" s="336">
        <f t="shared" si="663"/>
        <v>0</v>
      </c>
      <c r="FZ103" s="336">
        <f t="shared" si="664"/>
        <v>0</v>
      </c>
      <c r="GA103" s="336">
        <f t="shared" si="665"/>
        <v>0</v>
      </c>
      <c r="GB103" s="336">
        <f t="shared" si="666"/>
        <v>0</v>
      </c>
      <c r="GC103" s="336">
        <f t="shared" si="667"/>
        <v>0</v>
      </c>
      <c r="GD103" s="336">
        <f t="shared" si="668"/>
        <v>0</v>
      </c>
      <c r="GE103" s="336">
        <f t="shared" si="669"/>
        <v>0</v>
      </c>
      <c r="GF103" s="336">
        <f t="shared" si="670"/>
        <v>0</v>
      </c>
      <c r="GG103" s="336">
        <f t="shared" si="671"/>
        <v>0</v>
      </c>
      <c r="GH103" s="336">
        <f t="shared" si="672"/>
        <v>0</v>
      </c>
      <c r="GI103" s="336">
        <f t="shared" si="673"/>
        <v>0</v>
      </c>
      <c r="GJ103" s="336">
        <f t="shared" si="674"/>
        <v>0</v>
      </c>
      <c r="GK103" s="336">
        <f t="shared" si="677"/>
        <v>0</v>
      </c>
      <c r="GL103" s="336">
        <f t="shared" si="613"/>
        <v>0</v>
      </c>
      <c r="GM103" s="336">
        <f t="shared" si="675"/>
        <v>0</v>
      </c>
    </row>
    <row r="104" spans="1:195" ht="20.100000000000001" customHeight="1">
      <c r="A104" s="388">
        <f t="shared" si="827"/>
        <v>71</v>
      </c>
      <c r="B104" s="388" t="s">
        <v>580</v>
      </c>
      <c r="C104" s="521" t="str">
        <f t="shared" si="805"/>
        <v>PMCC-1</v>
      </c>
      <c r="D104" s="338" t="s">
        <v>582</v>
      </c>
      <c r="E104" s="502" t="s">
        <v>555</v>
      </c>
      <c r="F104" s="388" t="s">
        <v>29</v>
      </c>
      <c r="G104" s="388" t="s">
        <v>329</v>
      </c>
      <c r="H104" s="518">
        <v>1.8</v>
      </c>
      <c r="I104" s="388" t="s">
        <v>330</v>
      </c>
      <c r="J104" s="388" t="s">
        <v>357</v>
      </c>
      <c r="K104" s="434">
        <v>230</v>
      </c>
      <c r="L104" s="401">
        <v>0.85</v>
      </c>
      <c r="M104" s="418">
        <v>0.95</v>
      </c>
      <c r="N104" s="392">
        <f t="shared" si="806"/>
        <v>9.6917485529680985</v>
      </c>
      <c r="O104" s="392">
        <f t="shared" si="680"/>
        <v>0</v>
      </c>
      <c r="P104" s="401" t="str">
        <f t="shared" si="807"/>
        <v>0.00</v>
      </c>
      <c r="Q104" s="418">
        <v>65</v>
      </c>
      <c r="R104" s="418">
        <v>0</v>
      </c>
      <c r="S104" s="418">
        <f t="shared" si="808"/>
        <v>0</v>
      </c>
      <c r="T104" s="401" t="s">
        <v>131</v>
      </c>
      <c r="U104" s="418" t="s">
        <v>333</v>
      </c>
      <c r="V104" s="401">
        <v>16</v>
      </c>
      <c r="W104" s="401" t="str">
        <f t="shared" si="809"/>
        <v>3C X 16</v>
      </c>
      <c r="X104" s="401" t="str">
        <f t="shared" si="810"/>
        <v>3C X 16</v>
      </c>
      <c r="Y104" s="401" t="s">
        <v>358</v>
      </c>
      <c r="Z104" s="393">
        <f>IF(T104="AIR",VLOOKUP(W104,'Catalogue Aluminium'!$B$9:$G$93,2,FALSE),IF(T104="GROUND",VLOOKUP(W104,'Catalogue Aluminium'!$B$9:$G$93,3,FALSE),IF(T104="DUCT",VLOOKUP(W104,'Catalogue Aluminium'!$B$9:$G$93,4,FALSE),IF(T104="TRENCH",VLOOKUP(W104,'Catalogue Aluminium'!$B$9:$G$93,2,FALSE)))))</f>
        <v>70</v>
      </c>
      <c r="AA104" s="402">
        <f>VLOOKUP(W104,'Catalogue Aluminium'!$B$9:$G$93,5,FALSE)</f>
        <v>2.44</v>
      </c>
      <c r="AB104" s="402">
        <f>VLOOKUP(W104,'Catalogue Aluminium'!$B$9:$G$93,6,FALSE)</f>
        <v>8.1500000000000003E-2</v>
      </c>
      <c r="AC104" s="401">
        <f t="shared" si="831"/>
        <v>20</v>
      </c>
      <c r="AD104" s="401">
        <v>85</v>
      </c>
      <c r="AE104" s="401">
        <f>10</f>
        <v>10</v>
      </c>
      <c r="AF104" s="401">
        <v>8</v>
      </c>
      <c r="AG104" s="401">
        <f t="shared" si="812"/>
        <v>13</v>
      </c>
      <c r="AH104" s="436">
        <f t="shared" si="813"/>
        <v>136</v>
      </c>
      <c r="AI104" s="393">
        <f>IF(T104="AIR",'Catalogue Aluminium'!$K$9,IF(T104="TRENCH",'Catalogue Aluminium'!$K$12,"NA"))</f>
        <v>0.89</v>
      </c>
      <c r="AJ104" s="392">
        <f>IF(T104="Air",(IF(U104="1C",'Catalogue Aluminium'!$L$9,'Catalogue Aluminium'!$M$9)),IF(T104="DUCT",(IF($U104="1C",'Catalogue Aluminium'!$L$10,'Catalogue Aluminium'!$M$10)),IF(T104="GROUND",(IF($U104="1C",'Catalogue Aluminium'!$L$11,'Catalogue Aluminium'!$M$11)),IF(T104="TRENCH",(IF($U104="1C",'Catalogue Aluminium'!$L$12,'Catalogue Aluminium'!$M$12))))))</f>
        <v>0.66</v>
      </c>
      <c r="AK104" s="393" t="str">
        <f>IF(T104="Air",'Catalogue Aluminium'!$N$9,IF(T104="GROUND",'Catalogue Aluminium'!$N$10,IF(T104="DUCT",'Catalogue Aluminium'!$N$11,IF(T104="TRENCH",'Catalogue Aluminium'!$N$12,"NA"))))</f>
        <v>NA</v>
      </c>
      <c r="AL104" s="393" t="str">
        <f>IF(T104="Air",(IF(U104="1C",'Catalogue Aluminium'!$O$9,'Catalogue Aluminium'!$P$9)),IF(T104="DUCT",(IF($U104="1C",'Catalogue Aluminium'!$O$10,'Catalogue Aluminium'!$P$10)),IF(T104="GROUND",(IF($U104="1C",'Catalogue Aluminium'!$O$11,'Catalogue Aluminium'!$P$11)),IF(T104="TRENCH",(IF($U104="1C",'Catalogue Aluminium'!$O$12,'Catalogue Aluminium'!$P$12))))))</f>
        <v>NA</v>
      </c>
      <c r="AM104" s="393" t="str">
        <f>IF(T104="AIR","NA",IF(T104="TRENCH","NA",IF(T104="DUCT",IF(U104="1C",VLOOKUP(V104,'Catalogue Aluminium'!$Q$9:$S$28,2,FALSE),VLOOKUP(V104,'Catalogue Aluminium'!$Q$9:$S$28,3)),IF(T104="GROUND",IF(U104="1C",VLOOKUP(V104,'Catalogue Aluminium'!$Q$9:$S$28,2,FALSE),VLOOKUP(V104,'Catalogue Aluminium'!$Q$9:$S$28,3))))))</f>
        <v>NA</v>
      </c>
      <c r="AN104" s="437">
        <f t="shared" si="814"/>
        <v>0.58740000000000003</v>
      </c>
      <c r="AO104" s="418">
        <f t="shared" si="815"/>
        <v>41.118000000000002</v>
      </c>
      <c r="AP104" s="434">
        <f t="shared" si="689"/>
        <v>1</v>
      </c>
      <c r="AQ104" s="418" t="str">
        <f t="shared" si="816"/>
        <v>YES</v>
      </c>
      <c r="AR104" s="437">
        <f t="shared" si="817"/>
        <v>2.1012653910800023</v>
      </c>
      <c r="AS104" s="401" t="str">
        <f t="shared" si="818"/>
        <v>YES</v>
      </c>
      <c r="AT104" s="437" t="str">
        <f t="shared" si="819"/>
        <v>NA</v>
      </c>
      <c r="AU104" s="401" t="str">
        <f t="shared" si="820"/>
        <v>NA</v>
      </c>
      <c r="AV104" s="503" t="str">
        <f t="shared" si="821"/>
        <v>1R x 0.6/1kV x 3C x 16 Sqmm</v>
      </c>
      <c r="AW104" s="503" t="str">
        <f t="shared" si="822"/>
        <v>1R x 0.6/1kV x 3C x 16 Sqmm</v>
      </c>
      <c r="AX104" s="401">
        <f t="shared" si="823"/>
        <v>136</v>
      </c>
      <c r="AY104" s="504"/>
      <c r="AZ104" s="504">
        <f t="shared" si="824"/>
        <v>2</v>
      </c>
      <c r="BA104" s="438" t="str">
        <f t="shared" si="825"/>
        <v>AB</v>
      </c>
      <c r="BB104" s="505">
        <f>VLOOKUP(W104,'Catalogue Aluminium'!$B$9:$H$93,7,FALSE)</f>
        <v>19</v>
      </c>
      <c r="BC104" s="439">
        <f t="shared" si="826"/>
        <v>19</v>
      </c>
      <c r="BE104" s="336"/>
      <c r="BF104" s="336">
        <v>1</v>
      </c>
      <c r="BG104" s="336">
        <v>1</v>
      </c>
      <c r="BH104" s="336"/>
      <c r="BI104" s="336"/>
      <c r="BJ104" s="336"/>
      <c r="BK104" s="336"/>
      <c r="BL104" s="336"/>
      <c r="BM104" s="336"/>
      <c r="BN104" s="336"/>
      <c r="BO104" s="336"/>
      <c r="BP104" s="336"/>
      <c r="BQ104" s="336"/>
      <c r="BR104" s="336"/>
      <c r="BS104" s="336"/>
      <c r="BT104" s="336"/>
      <c r="BU104" s="336"/>
      <c r="BV104" s="336"/>
      <c r="BW104" s="336"/>
      <c r="BX104" s="336"/>
      <c r="BY104" s="336"/>
      <c r="BZ104" s="336"/>
      <c r="CA104" s="336"/>
      <c r="CB104" s="336"/>
      <c r="CC104" s="336"/>
      <c r="CD104" s="336"/>
      <c r="CE104" s="336"/>
      <c r="CF104" s="336"/>
      <c r="CG104" s="336"/>
      <c r="CH104" s="336"/>
      <c r="CI104" s="336"/>
      <c r="CJ104" s="336"/>
      <c r="CK104" s="336"/>
      <c r="CL104" s="336"/>
      <c r="CM104" s="336"/>
      <c r="CN104" s="336"/>
      <c r="CO104" s="336"/>
      <c r="CP104" s="336"/>
      <c r="CQ104" s="336"/>
      <c r="CR104" s="336"/>
      <c r="CS104" s="336"/>
      <c r="CT104" s="336"/>
      <c r="CU104" s="336"/>
      <c r="CV104" s="336"/>
      <c r="CW104" s="336"/>
      <c r="CX104" s="336"/>
      <c r="CY104" s="336"/>
      <c r="CZ104" s="336"/>
      <c r="DA104" s="336"/>
      <c r="DB104" s="336"/>
      <c r="DC104" s="336"/>
      <c r="DD104" s="336"/>
      <c r="DE104" s="336"/>
      <c r="DF104" s="336"/>
      <c r="DG104" s="336"/>
      <c r="DH104" s="336"/>
      <c r="DI104" s="336"/>
      <c r="DJ104" s="336"/>
      <c r="DK104" s="336"/>
      <c r="DL104" s="336"/>
      <c r="DM104" s="336"/>
      <c r="DN104" s="336"/>
      <c r="DO104" s="336"/>
      <c r="DP104" s="336"/>
      <c r="DQ104" s="336"/>
      <c r="DR104" s="336"/>
      <c r="DS104" s="336"/>
      <c r="DT104" s="336"/>
      <c r="DU104" s="336"/>
      <c r="DW104" s="336">
        <f t="shared" si="709"/>
        <v>0</v>
      </c>
      <c r="DX104" s="336">
        <f t="shared" si="701"/>
        <v>19</v>
      </c>
      <c r="DY104" s="336">
        <f t="shared" si="702"/>
        <v>19</v>
      </c>
      <c r="DZ104" s="336">
        <f t="shared" si="703"/>
        <v>0</v>
      </c>
      <c r="EA104" s="336">
        <f t="shared" si="704"/>
        <v>0</v>
      </c>
      <c r="EB104" s="336">
        <f t="shared" si="705"/>
        <v>0</v>
      </c>
      <c r="EC104" s="336">
        <f t="shared" si="706"/>
        <v>0</v>
      </c>
      <c r="ED104" s="336">
        <f t="shared" si="621"/>
        <v>0</v>
      </c>
      <c r="EE104" s="336">
        <f t="shared" si="622"/>
        <v>0</v>
      </c>
      <c r="EF104" s="336">
        <f t="shared" si="623"/>
        <v>0</v>
      </c>
      <c r="EG104" s="336">
        <f t="shared" si="624"/>
        <v>0</v>
      </c>
      <c r="EH104" s="336">
        <f t="shared" si="625"/>
        <v>0</v>
      </c>
      <c r="EI104" s="336">
        <f t="shared" si="626"/>
        <v>0</v>
      </c>
      <c r="EJ104" s="336">
        <f t="shared" si="627"/>
        <v>0</v>
      </c>
      <c r="EK104" s="336">
        <f t="shared" si="628"/>
        <v>0</v>
      </c>
      <c r="EL104" s="336">
        <f t="shared" si="629"/>
        <v>0</v>
      </c>
      <c r="EM104" s="336">
        <f t="shared" si="630"/>
        <v>0</v>
      </c>
      <c r="EN104" s="336">
        <f t="shared" si="631"/>
        <v>0</v>
      </c>
      <c r="EO104" s="336">
        <f t="shared" si="632"/>
        <v>0</v>
      </c>
      <c r="EP104" s="336">
        <f t="shared" si="633"/>
        <v>0</v>
      </c>
      <c r="EQ104" s="336">
        <f t="shared" si="634"/>
        <v>0</v>
      </c>
      <c r="ER104" s="336">
        <f t="shared" si="635"/>
        <v>0</v>
      </c>
      <c r="ES104" s="336">
        <f t="shared" si="636"/>
        <v>0</v>
      </c>
      <c r="ET104" s="336">
        <f t="shared" si="636"/>
        <v>0</v>
      </c>
      <c r="EU104" s="336">
        <f t="shared" si="637"/>
        <v>0</v>
      </c>
      <c r="EV104" s="336">
        <f t="shared" si="638"/>
        <v>0</v>
      </c>
      <c r="EW104" s="336">
        <f t="shared" si="639"/>
        <v>0</v>
      </c>
      <c r="EX104" s="336">
        <f t="shared" si="640"/>
        <v>0</v>
      </c>
      <c r="EY104" s="336">
        <f t="shared" si="641"/>
        <v>0</v>
      </c>
      <c r="EZ104" s="336">
        <f t="shared" si="642"/>
        <v>0</v>
      </c>
      <c r="FA104" s="336">
        <f t="shared" si="643"/>
        <v>0</v>
      </c>
      <c r="FB104" s="336">
        <f t="shared" si="644"/>
        <v>0</v>
      </c>
      <c r="FC104" s="336">
        <f t="shared" si="645"/>
        <v>0</v>
      </c>
      <c r="FD104" s="336">
        <f t="shared" si="646"/>
        <v>0</v>
      </c>
      <c r="FE104" s="336">
        <f t="shared" si="647"/>
        <v>0</v>
      </c>
      <c r="FF104" s="336">
        <f t="shared" si="648"/>
        <v>0</v>
      </c>
      <c r="FG104" s="336">
        <f t="shared" si="649"/>
        <v>0</v>
      </c>
      <c r="FH104" s="336">
        <f t="shared" si="650"/>
        <v>0</v>
      </c>
      <c r="FI104" s="336">
        <f t="shared" si="651"/>
        <v>0</v>
      </c>
      <c r="FJ104" s="336">
        <f t="shared" si="652"/>
        <v>0</v>
      </c>
      <c r="FK104" s="336">
        <f t="shared" si="653"/>
        <v>0</v>
      </c>
      <c r="FL104" s="336">
        <f t="shared" si="654"/>
        <v>0</v>
      </c>
      <c r="FM104" s="336">
        <f t="shared" si="655"/>
        <v>0</v>
      </c>
      <c r="FN104" s="336">
        <f t="shared" si="656"/>
        <v>0</v>
      </c>
      <c r="FO104" s="336">
        <f t="shared" si="657"/>
        <v>0</v>
      </c>
      <c r="FP104" s="336">
        <f t="shared" si="658"/>
        <v>0</v>
      </c>
      <c r="FQ104" s="336">
        <f t="shared" si="659"/>
        <v>0</v>
      </c>
      <c r="FR104" s="336">
        <f t="shared" si="660"/>
        <v>0</v>
      </c>
      <c r="FS104" s="336">
        <f t="shared" si="661"/>
        <v>0</v>
      </c>
      <c r="FT104" s="336">
        <f t="shared" si="662"/>
        <v>0</v>
      </c>
      <c r="FU104" s="336">
        <f t="shared" si="609"/>
        <v>0</v>
      </c>
      <c r="FV104" s="336">
        <f t="shared" si="610"/>
        <v>0</v>
      </c>
      <c r="FW104" s="336">
        <f t="shared" si="611"/>
        <v>0</v>
      </c>
      <c r="FX104" s="336">
        <f t="shared" si="612"/>
        <v>0</v>
      </c>
      <c r="FY104" s="336">
        <f t="shared" si="663"/>
        <v>0</v>
      </c>
      <c r="FZ104" s="336">
        <f t="shared" si="664"/>
        <v>0</v>
      </c>
      <c r="GA104" s="336">
        <f t="shared" si="665"/>
        <v>0</v>
      </c>
      <c r="GB104" s="336">
        <f t="shared" si="666"/>
        <v>0</v>
      </c>
      <c r="GC104" s="336">
        <f t="shared" si="667"/>
        <v>0</v>
      </c>
      <c r="GD104" s="336">
        <f t="shared" si="668"/>
        <v>0</v>
      </c>
      <c r="GE104" s="336">
        <f t="shared" si="669"/>
        <v>0</v>
      </c>
      <c r="GF104" s="336">
        <f t="shared" si="670"/>
        <v>0</v>
      </c>
      <c r="GG104" s="336">
        <f t="shared" si="671"/>
        <v>0</v>
      </c>
      <c r="GH104" s="336">
        <f t="shared" si="672"/>
        <v>0</v>
      </c>
      <c r="GI104" s="336">
        <f t="shared" si="673"/>
        <v>0</v>
      </c>
      <c r="GJ104" s="336">
        <f t="shared" si="674"/>
        <v>0</v>
      </c>
      <c r="GK104" s="336">
        <f t="shared" si="677"/>
        <v>0</v>
      </c>
      <c r="GL104" s="336">
        <f t="shared" si="613"/>
        <v>0</v>
      </c>
      <c r="GM104" s="336">
        <f t="shared" si="675"/>
        <v>0</v>
      </c>
    </row>
    <row r="105" spans="1:195" ht="19.5" customHeight="1">
      <c r="A105" s="388">
        <f t="shared" si="827"/>
        <v>72</v>
      </c>
      <c r="B105" s="388" t="s">
        <v>581</v>
      </c>
      <c r="C105" s="521" t="str">
        <f t="shared" si="805"/>
        <v>PMCC-1</v>
      </c>
      <c r="D105" s="338" t="s">
        <v>583</v>
      </c>
      <c r="E105" s="502" t="s">
        <v>555</v>
      </c>
      <c r="F105" s="388" t="s">
        <v>28</v>
      </c>
      <c r="G105" s="388" t="s">
        <v>329</v>
      </c>
      <c r="H105" s="518">
        <v>2.2000000000000002</v>
      </c>
      <c r="I105" s="388" t="s">
        <v>330</v>
      </c>
      <c r="J105" s="388" t="s">
        <v>357</v>
      </c>
      <c r="K105" s="434">
        <v>230</v>
      </c>
      <c r="L105" s="401">
        <v>0.85</v>
      </c>
      <c r="M105" s="418">
        <v>0.95</v>
      </c>
      <c r="N105" s="392">
        <f t="shared" si="806"/>
        <v>11.845470453627676</v>
      </c>
      <c r="O105" s="392">
        <f t="shared" si="680"/>
        <v>0</v>
      </c>
      <c r="P105" s="401" t="str">
        <f t="shared" si="807"/>
        <v>0.00</v>
      </c>
      <c r="Q105" s="418">
        <v>65</v>
      </c>
      <c r="R105" s="418">
        <v>0</v>
      </c>
      <c r="S105" s="418">
        <f t="shared" si="808"/>
        <v>0</v>
      </c>
      <c r="T105" s="401" t="s">
        <v>131</v>
      </c>
      <c r="U105" s="418" t="s">
        <v>333</v>
      </c>
      <c r="V105" s="401">
        <v>25</v>
      </c>
      <c r="W105" s="401" t="str">
        <f t="shared" si="809"/>
        <v>3C X 25</v>
      </c>
      <c r="X105" s="401" t="str">
        <f t="shared" si="810"/>
        <v>3C X 25</v>
      </c>
      <c r="Y105" s="401" t="s">
        <v>358</v>
      </c>
      <c r="Z105" s="393">
        <f>IF(T105="AIR",VLOOKUP(W105,'Catalogue Aluminium'!$B$9:$G$93,2,FALSE),IF(T105="GROUND",VLOOKUP(W105,'Catalogue Aluminium'!$B$9:$G$93,3,FALSE),IF(T105="DUCT",VLOOKUP(W105,'Catalogue Aluminium'!$B$9:$G$93,4,FALSE),IF(T105="TRENCH",VLOOKUP(W105,'Catalogue Aluminium'!$B$9:$G$93,2,FALSE)))))</f>
        <v>95</v>
      </c>
      <c r="AA105" s="402">
        <f>VLOOKUP(W105,'Catalogue Aluminium'!$B$9:$G$93,5,FALSE)</f>
        <v>1.54</v>
      </c>
      <c r="AB105" s="402">
        <f>VLOOKUP(W105,'Catalogue Aluminium'!$B$9:$G$93,6,FALSE)</f>
        <v>8.1600000000000006E-2</v>
      </c>
      <c r="AC105" s="401">
        <f t="shared" si="829"/>
        <v>29</v>
      </c>
      <c r="AD105" s="401">
        <v>85</v>
      </c>
      <c r="AE105" s="401">
        <f>10</f>
        <v>10</v>
      </c>
      <c r="AF105" s="401">
        <v>8</v>
      </c>
      <c r="AG105" s="401">
        <f t="shared" si="812"/>
        <v>14</v>
      </c>
      <c r="AH105" s="436">
        <f t="shared" si="813"/>
        <v>146</v>
      </c>
      <c r="AI105" s="393">
        <f>IF(T105="AIR",'Catalogue Aluminium'!$K$9,IF(T105="TRENCH",'Catalogue Aluminium'!$K$12,"NA"))</f>
        <v>0.89</v>
      </c>
      <c r="AJ105" s="392">
        <f>IF(T105="Air",(IF(U105="1C",'Catalogue Aluminium'!$L$9,'Catalogue Aluminium'!$M$9)),IF(T105="DUCT",(IF($U105="1C",'Catalogue Aluminium'!$L$10,'Catalogue Aluminium'!$M$10)),IF(T105="GROUND",(IF($U105="1C",'Catalogue Aluminium'!$L$11,'Catalogue Aluminium'!$M$11)),IF(T105="TRENCH",(IF($U105="1C",'Catalogue Aluminium'!$L$12,'Catalogue Aluminium'!$M$12))))))</f>
        <v>0.66</v>
      </c>
      <c r="AK105" s="393" t="str">
        <f>IF(T105="Air",'Catalogue Aluminium'!$N$9,IF(T105="GROUND",'Catalogue Aluminium'!$N$10,IF(T105="DUCT",'Catalogue Aluminium'!$N$11,IF(T105="TRENCH",'Catalogue Aluminium'!$N$12,"NA"))))</f>
        <v>NA</v>
      </c>
      <c r="AL105" s="393" t="str">
        <f>IF(T105="Air",(IF(U105="1C",'Catalogue Aluminium'!$O$9,'Catalogue Aluminium'!$P$9)),IF(T105="DUCT",(IF($U105="1C",'Catalogue Aluminium'!$O$10,'Catalogue Aluminium'!$P$10)),IF(T105="GROUND",(IF($U105="1C",'Catalogue Aluminium'!$O$11,'Catalogue Aluminium'!$P$11)),IF(T105="TRENCH",(IF($U105="1C",'Catalogue Aluminium'!$O$12,'Catalogue Aluminium'!$P$12))))))</f>
        <v>NA</v>
      </c>
      <c r="AM105" s="393" t="str">
        <f>IF(T105="AIR","NA",IF(T105="TRENCH","NA",IF(T105="DUCT",IF(U105="1C",VLOOKUP(V105,'Catalogue Aluminium'!$Q$9:$S$28,2,FALSE),VLOOKUP(V105,'Catalogue Aluminium'!$Q$9:$S$28,3)),IF(T105="GROUND",IF(U105="1C",VLOOKUP(V105,'Catalogue Aluminium'!$Q$9:$S$28,2,FALSE),VLOOKUP(V105,'Catalogue Aluminium'!$Q$9:$S$28,3))))))</f>
        <v>NA</v>
      </c>
      <c r="AN105" s="437">
        <f t="shared" si="814"/>
        <v>0.58740000000000003</v>
      </c>
      <c r="AO105" s="418">
        <f t="shared" si="815"/>
        <v>55.803000000000004</v>
      </c>
      <c r="AP105" s="434">
        <f t="shared" si="689"/>
        <v>1</v>
      </c>
      <c r="AQ105" s="418" t="str">
        <f t="shared" si="816"/>
        <v>YES</v>
      </c>
      <c r="AR105" s="437">
        <f t="shared" si="817"/>
        <v>1.7607998164132281</v>
      </c>
      <c r="AS105" s="401" t="str">
        <f t="shared" si="818"/>
        <v>YES</v>
      </c>
      <c r="AT105" s="437" t="str">
        <f t="shared" si="819"/>
        <v>NA</v>
      </c>
      <c r="AU105" s="401" t="str">
        <f t="shared" si="820"/>
        <v>NA</v>
      </c>
      <c r="AV105" s="503" t="str">
        <f t="shared" si="821"/>
        <v>1R x 0.6/1kV x 3C x 25 Sqmm</v>
      </c>
      <c r="AW105" s="503" t="str">
        <f t="shared" si="822"/>
        <v>1R x 0.6/1kV x 3C x 25 Sqmm</v>
      </c>
      <c r="AX105" s="401">
        <f t="shared" si="823"/>
        <v>146</v>
      </c>
      <c r="AY105" s="504"/>
      <c r="AZ105" s="504">
        <f t="shared" si="824"/>
        <v>2</v>
      </c>
      <c r="BA105" s="438" t="str">
        <f t="shared" si="825"/>
        <v>AB</v>
      </c>
      <c r="BB105" s="505">
        <f>VLOOKUP(W105,'Catalogue Aluminium'!$B$9:$H$93,7,FALSE)</f>
        <v>21</v>
      </c>
      <c r="BC105" s="439">
        <f t="shared" si="826"/>
        <v>21</v>
      </c>
      <c r="BE105" s="336"/>
      <c r="BF105" s="336">
        <v>1</v>
      </c>
      <c r="BG105" s="336">
        <v>1</v>
      </c>
      <c r="BH105" s="336"/>
      <c r="BI105" s="336"/>
      <c r="BJ105" s="336"/>
      <c r="BK105" s="336"/>
      <c r="BL105" s="336"/>
      <c r="BM105" s="336"/>
      <c r="BN105" s="336"/>
      <c r="BO105" s="336"/>
      <c r="BP105" s="336"/>
      <c r="BQ105" s="336"/>
      <c r="BR105" s="336"/>
      <c r="BS105" s="336"/>
      <c r="BT105" s="336"/>
      <c r="BU105" s="336"/>
      <c r="BV105" s="336"/>
      <c r="BW105" s="336"/>
      <c r="BX105" s="336"/>
      <c r="BY105" s="336"/>
      <c r="BZ105" s="336"/>
      <c r="CA105" s="336"/>
      <c r="CB105" s="336"/>
      <c r="CC105" s="336"/>
      <c r="CD105" s="336"/>
      <c r="CE105" s="336"/>
      <c r="CF105" s="336"/>
      <c r="CG105" s="336"/>
      <c r="CH105" s="336"/>
      <c r="CI105" s="336"/>
      <c r="CJ105" s="336"/>
      <c r="CK105" s="336"/>
      <c r="CL105" s="336"/>
      <c r="CM105" s="336"/>
      <c r="CN105" s="336"/>
      <c r="CO105" s="336"/>
      <c r="CP105" s="336"/>
      <c r="CQ105" s="336"/>
      <c r="CR105" s="336"/>
      <c r="CS105" s="336"/>
      <c r="CT105" s="336"/>
      <c r="CU105" s="336"/>
      <c r="CV105" s="336"/>
      <c r="CW105" s="336"/>
      <c r="CX105" s="336"/>
      <c r="CY105" s="336"/>
      <c r="CZ105" s="336"/>
      <c r="DA105" s="336"/>
      <c r="DB105" s="336"/>
      <c r="DC105" s="336"/>
      <c r="DD105" s="336"/>
      <c r="DE105" s="336"/>
      <c r="DF105" s="336"/>
      <c r="DG105" s="336"/>
      <c r="DH105" s="336"/>
      <c r="DI105" s="336"/>
      <c r="DJ105" s="336"/>
      <c r="DK105" s="336"/>
      <c r="DL105" s="336"/>
      <c r="DM105" s="336"/>
      <c r="DN105" s="336"/>
      <c r="DO105" s="336"/>
      <c r="DP105" s="336"/>
      <c r="DQ105" s="336"/>
      <c r="DR105" s="336"/>
      <c r="DS105" s="336"/>
      <c r="DT105" s="336"/>
      <c r="DU105" s="336"/>
      <c r="DW105" s="336">
        <f t="shared" si="709"/>
        <v>0</v>
      </c>
      <c r="DX105" s="336">
        <f t="shared" si="701"/>
        <v>21</v>
      </c>
      <c r="DY105" s="336">
        <f t="shared" si="702"/>
        <v>21</v>
      </c>
      <c r="DZ105" s="336">
        <f t="shared" si="703"/>
        <v>0</v>
      </c>
      <c r="EA105" s="336">
        <f t="shared" si="704"/>
        <v>0</v>
      </c>
      <c r="EB105" s="336">
        <f t="shared" si="705"/>
        <v>0</v>
      </c>
      <c r="EC105" s="336">
        <f t="shared" si="706"/>
        <v>0</v>
      </c>
      <c r="ED105" s="336">
        <f t="shared" si="621"/>
        <v>0</v>
      </c>
      <c r="EE105" s="336">
        <f t="shared" si="622"/>
        <v>0</v>
      </c>
      <c r="EF105" s="336">
        <f t="shared" si="623"/>
        <v>0</v>
      </c>
      <c r="EG105" s="336">
        <f t="shared" si="624"/>
        <v>0</v>
      </c>
      <c r="EH105" s="336">
        <f t="shared" si="625"/>
        <v>0</v>
      </c>
      <c r="EI105" s="336">
        <f t="shared" si="626"/>
        <v>0</v>
      </c>
      <c r="EJ105" s="336">
        <f t="shared" si="627"/>
        <v>0</v>
      </c>
      <c r="EK105" s="336">
        <f t="shared" si="628"/>
        <v>0</v>
      </c>
      <c r="EL105" s="336">
        <f t="shared" si="629"/>
        <v>0</v>
      </c>
      <c r="EM105" s="336">
        <f t="shared" si="630"/>
        <v>0</v>
      </c>
      <c r="EN105" s="336">
        <f t="shared" si="631"/>
        <v>0</v>
      </c>
      <c r="EO105" s="336">
        <f t="shared" si="632"/>
        <v>0</v>
      </c>
      <c r="EP105" s="336">
        <f t="shared" si="633"/>
        <v>0</v>
      </c>
      <c r="EQ105" s="336">
        <f t="shared" si="634"/>
        <v>0</v>
      </c>
      <c r="ER105" s="336">
        <f t="shared" si="635"/>
        <v>0</v>
      </c>
      <c r="ES105" s="336">
        <f t="shared" si="636"/>
        <v>0</v>
      </c>
      <c r="ET105" s="336">
        <f t="shared" si="636"/>
        <v>0</v>
      </c>
      <c r="EU105" s="336">
        <f t="shared" si="637"/>
        <v>0</v>
      </c>
      <c r="EV105" s="336">
        <f t="shared" si="638"/>
        <v>0</v>
      </c>
      <c r="EW105" s="336">
        <f t="shared" si="639"/>
        <v>0</v>
      </c>
      <c r="EX105" s="336">
        <f t="shared" si="640"/>
        <v>0</v>
      </c>
      <c r="EY105" s="336">
        <f t="shared" si="641"/>
        <v>0</v>
      </c>
      <c r="EZ105" s="336">
        <f t="shared" si="642"/>
        <v>0</v>
      </c>
      <c r="FA105" s="336">
        <f t="shared" si="643"/>
        <v>0</v>
      </c>
      <c r="FB105" s="336">
        <f t="shared" si="644"/>
        <v>0</v>
      </c>
      <c r="FC105" s="336">
        <f t="shared" si="645"/>
        <v>0</v>
      </c>
      <c r="FD105" s="336">
        <f t="shared" si="646"/>
        <v>0</v>
      </c>
      <c r="FE105" s="336">
        <f t="shared" si="647"/>
        <v>0</v>
      </c>
      <c r="FF105" s="336">
        <f t="shared" si="648"/>
        <v>0</v>
      </c>
      <c r="FG105" s="336">
        <f t="shared" si="649"/>
        <v>0</v>
      </c>
      <c r="FH105" s="336">
        <f t="shared" si="650"/>
        <v>0</v>
      </c>
      <c r="FI105" s="336">
        <f t="shared" si="651"/>
        <v>0</v>
      </c>
      <c r="FJ105" s="336">
        <f t="shared" si="652"/>
        <v>0</v>
      </c>
      <c r="FK105" s="336">
        <f t="shared" si="653"/>
        <v>0</v>
      </c>
      <c r="FL105" s="336">
        <f t="shared" si="654"/>
        <v>0</v>
      </c>
      <c r="FM105" s="336">
        <f t="shared" si="655"/>
        <v>0</v>
      </c>
      <c r="FN105" s="336">
        <f t="shared" si="656"/>
        <v>0</v>
      </c>
      <c r="FO105" s="336">
        <f t="shared" si="657"/>
        <v>0</v>
      </c>
      <c r="FP105" s="336">
        <f t="shared" si="658"/>
        <v>0</v>
      </c>
      <c r="FQ105" s="336">
        <f t="shared" si="659"/>
        <v>0</v>
      </c>
      <c r="FR105" s="336">
        <f t="shared" si="660"/>
        <v>0</v>
      </c>
      <c r="FS105" s="336">
        <f t="shared" si="661"/>
        <v>0</v>
      </c>
      <c r="FT105" s="336">
        <f t="shared" si="662"/>
        <v>0</v>
      </c>
      <c r="FU105" s="336">
        <f t="shared" si="609"/>
        <v>0</v>
      </c>
      <c r="FV105" s="336">
        <f t="shared" si="610"/>
        <v>0</v>
      </c>
      <c r="FW105" s="336">
        <f t="shared" si="611"/>
        <v>0</v>
      </c>
      <c r="FX105" s="336">
        <f t="shared" si="612"/>
        <v>0</v>
      </c>
      <c r="FY105" s="336">
        <f t="shared" si="663"/>
        <v>0</v>
      </c>
      <c r="FZ105" s="336">
        <f t="shared" si="664"/>
        <v>0</v>
      </c>
      <c r="GA105" s="336">
        <f t="shared" si="665"/>
        <v>0</v>
      </c>
      <c r="GB105" s="336">
        <f t="shared" si="666"/>
        <v>0</v>
      </c>
      <c r="GC105" s="336">
        <f t="shared" si="667"/>
        <v>0</v>
      </c>
      <c r="GD105" s="336">
        <f t="shared" si="668"/>
        <v>0</v>
      </c>
      <c r="GE105" s="336">
        <f t="shared" si="669"/>
        <v>0</v>
      </c>
      <c r="GF105" s="336">
        <f t="shared" si="670"/>
        <v>0</v>
      </c>
      <c r="GG105" s="336">
        <f t="shared" si="671"/>
        <v>0</v>
      </c>
      <c r="GH105" s="336">
        <f t="shared" si="672"/>
        <v>0</v>
      </c>
      <c r="GI105" s="336">
        <f t="shared" si="673"/>
        <v>0</v>
      </c>
      <c r="GJ105" s="336">
        <f t="shared" si="674"/>
        <v>0</v>
      </c>
      <c r="GK105" s="336">
        <f t="shared" si="677"/>
        <v>0</v>
      </c>
      <c r="GL105" s="336">
        <f t="shared" si="613"/>
        <v>0</v>
      </c>
      <c r="GM105" s="336">
        <f t="shared" si="675"/>
        <v>0</v>
      </c>
    </row>
    <row r="106" spans="1:195" ht="19.5" customHeight="1">
      <c r="A106" s="388">
        <f t="shared" si="827"/>
        <v>73</v>
      </c>
      <c r="B106" s="388" t="s">
        <v>527</v>
      </c>
      <c r="C106" s="521" t="str">
        <f t="shared" si="805"/>
        <v>PMCC-1</v>
      </c>
      <c r="D106" s="338" t="s">
        <v>584</v>
      </c>
      <c r="E106" s="502" t="s">
        <v>555</v>
      </c>
      <c r="F106" s="388" t="s">
        <v>29</v>
      </c>
      <c r="G106" s="388" t="s">
        <v>329</v>
      </c>
      <c r="H106" s="518">
        <v>0.5</v>
      </c>
      <c r="I106" s="388" t="s">
        <v>330</v>
      </c>
      <c r="J106" s="388" t="s">
        <v>357</v>
      </c>
      <c r="K106" s="434">
        <v>230</v>
      </c>
      <c r="L106" s="401">
        <v>0.85</v>
      </c>
      <c r="M106" s="418">
        <v>0.95</v>
      </c>
      <c r="N106" s="392">
        <f t="shared" si="806"/>
        <v>2.6921523758244716</v>
      </c>
      <c r="O106" s="392">
        <f t="shared" si="680"/>
        <v>0</v>
      </c>
      <c r="P106" s="401" t="str">
        <f t="shared" si="807"/>
        <v>0.00</v>
      </c>
      <c r="Q106" s="418">
        <v>65</v>
      </c>
      <c r="R106" s="418">
        <v>0</v>
      </c>
      <c r="S106" s="418">
        <f t="shared" si="808"/>
        <v>0</v>
      </c>
      <c r="T106" s="401" t="s">
        <v>131</v>
      </c>
      <c r="U106" s="418" t="s">
        <v>333</v>
      </c>
      <c r="V106" s="401">
        <v>4</v>
      </c>
      <c r="W106" s="401" t="str">
        <f t="shared" si="809"/>
        <v>3C X 4</v>
      </c>
      <c r="X106" s="401" t="str">
        <f t="shared" si="810"/>
        <v>3C X 4</v>
      </c>
      <c r="Y106" s="401" t="s">
        <v>358</v>
      </c>
      <c r="Z106" s="393">
        <f>IF(T106="AIR",VLOOKUP(W106,'Catalogue Aluminium'!$B$9:$G$93,2,FALSE),IF(T106="GROUND",VLOOKUP(W106,'Catalogue Aluminium'!$B$9:$G$93,3,FALSE),IF(T106="DUCT",VLOOKUP(W106,'Catalogue Aluminium'!$B$9:$G$93,4,FALSE),IF(T106="TRENCH",VLOOKUP(W106,'Catalogue Aluminium'!$B$9:$G$93,2,FALSE)))))</f>
        <v>38</v>
      </c>
      <c r="AA106" s="402">
        <f>VLOOKUP(W106,'Catalogue Aluminium'!$B$9:$G$93,5,FALSE)</f>
        <v>5.9</v>
      </c>
      <c r="AB106" s="402">
        <f>VLOOKUP(W106,'Catalogue Aluminium'!$B$9:$G$93,6,FALSE)</f>
        <v>9.4700000000000006E-2</v>
      </c>
      <c r="AC106" s="401">
        <f t="shared" si="831"/>
        <v>20</v>
      </c>
      <c r="AD106" s="401">
        <v>85</v>
      </c>
      <c r="AE106" s="401">
        <f>10</f>
        <v>10</v>
      </c>
      <c r="AF106" s="401">
        <v>8</v>
      </c>
      <c r="AG106" s="401">
        <f t="shared" si="812"/>
        <v>13</v>
      </c>
      <c r="AH106" s="436">
        <f t="shared" si="813"/>
        <v>136</v>
      </c>
      <c r="AI106" s="393">
        <f>IF(T106="AIR",'Catalogue Aluminium'!$K$9,IF(T106="TRENCH",'Catalogue Aluminium'!$K$12,"NA"))</f>
        <v>0.89</v>
      </c>
      <c r="AJ106" s="392">
        <f>IF(T106="Air",(IF(U106="1C",'Catalogue Aluminium'!$L$9,'Catalogue Aluminium'!$M$9)),IF(T106="DUCT",(IF($U106="1C",'Catalogue Aluminium'!$L$10,'Catalogue Aluminium'!$M$10)),IF(T106="GROUND",(IF($U106="1C",'Catalogue Aluminium'!$L$11,'Catalogue Aluminium'!$M$11)),IF(T106="TRENCH",(IF($U106="1C",'Catalogue Aluminium'!$L$12,'Catalogue Aluminium'!$M$12))))))</f>
        <v>0.66</v>
      </c>
      <c r="AK106" s="393" t="str">
        <f>IF(T106="Air",'Catalogue Aluminium'!$N$9,IF(T106="GROUND",'Catalogue Aluminium'!$N$10,IF(T106="DUCT",'Catalogue Aluminium'!$N$11,IF(T106="TRENCH",'Catalogue Aluminium'!$N$12,"NA"))))</f>
        <v>NA</v>
      </c>
      <c r="AL106" s="393" t="str">
        <f>IF(T106="Air",(IF(U106="1C",'Catalogue Aluminium'!$O$9,'Catalogue Aluminium'!$P$9)),IF(T106="DUCT",(IF($U106="1C",'Catalogue Aluminium'!$O$10,'Catalogue Aluminium'!$P$10)),IF(T106="GROUND",(IF($U106="1C",'Catalogue Aluminium'!$O$11,'Catalogue Aluminium'!$P$11)),IF(T106="TRENCH",(IF($U106="1C",'Catalogue Aluminium'!$O$12,'Catalogue Aluminium'!$P$12))))))</f>
        <v>NA</v>
      </c>
      <c r="AM106" s="393" t="str">
        <f>IF(T106="AIR","NA",IF(T106="TRENCH","NA",IF(T106="DUCT",IF(U106="1C",VLOOKUP(V106,'Catalogue Aluminium'!$Q$9:$S$28,2,FALSE),VLOOKUP(V106,'Catalogue Aluminium'!$Q$9:$S$28,3)),IF(T106="GROUND",IF(U106="1C",VLOOKUP(V106,'Catalogue Aluminium'!$Q$9:$S$28,2,FALSE),VLOOKUP(V106,'Catalogue Aluminium'!$Q$9:$S$28,3))))))</f>
        <v>NA</v>
      </c>
      <c r="AN106" s="437">
        <f t="shared" si="814"/>
        <v>0.58740000000000003</v>
      </c>
      <c r="AO106" s="418">
        <f t="shared" si="815"/>
        <v>22.321200000000001</v>
      </c>
      <c r="AP106" s="434">
        <f t="shared" si="689"/>
        <v>1</v>
      </c>
      <c r="AQ106" s="418" t="str">
        <f t="shared" si="816"/>
        <v>YES</v>
      </c>
      <c r="AR106" s="437">
        <f t="shared" si="817"/>
        <v>1.3965003190449996</v>
      </c>
      <c r="AS106" s="401" t="str">
        <f t="shared" si="818"/>
        <v>YES</v>
      </c>
      <c r="AT106" s="437" t="str">
        <f t="shared" si="819"/>
        <v>NA</v>
      </c>
      <c r="AU106" s="401" t="str">
        <f t="shared" si="820"/>
        <v>NA</v>
      </c>
      <c r="AV106" s="503" t="str">
        <f t="shared" si="821"/>
        <v>1R x 0.6/1kV x 3C x 4 Sqmm</v>
      </c>
      <c r="AW106" s="503" t="str">
        <f t="shared" si="822"/>
        <v>1R x 0.6/1kV x 3C x 4 Sqmm</v>
      </c>
      <c r="AX106" s="401">
        <f t="shared" si="823"/>
        <v>136</v>
      </c>
      <c r="AY106" s="504"/>
      <c r="AZ106" s="504">
        <f t="shared" si="824"/>
        <v>2</v>
      </c>
      <c r="BA106" s="438" t="str">
        <f t="shared" si="825"/>
        <v>AB</v>
      </c>
      <c r="BB106" s="505">
        <f>VLOOKUP(W106,'Catalogue Aluminium'!$B$9:$H$93,7,FALSE)</f>
        <v>15</v>
      </c>
      <c r="BC106" s="439">
        <f t="shared" si="826"/>
        <v>15</v>
      </c>
      <c r="BE106" s="336"/>
      <c r="BF106" s="336">
        <v>1</v>
      </c>
      <c r="BG106" s="336">
        <v>1</v>
      </c>
      <c r="BH106" s="336"/>
      <c r="BI106" s="336"/>
      <c r="BJ106" s="336"/>
      <c r="BK106" s="336"/>
      <c r="BL106" s="336"/>
      <c r="BM106" s="336"/>
      <c r="BN106" s="336"/>
      <c r="BO106" s="336"/>
      <c r="BP106" s="336"/>
      <c r="BQ106" s="336"/>
      <c r="BR106" s="336"/>
      <c r="BS106" s="336"/>
      <c r="BT106" s="336"/>
      <c r="BU106" s="336"/>
      <c r="BV106" s="336"/>
      <c r="BW106" s="336"/>
      <c r="BX106" s="336"/>
      <c r="BY106" s="336"/>
      <c r="BZ106" s="336"/>
      <c r="CA106" s="336"/>
      <c r="CB106" s="336"/>
      <c r="CC106" s="336"/>
      <c r="CD106" s="336"/>
      <c r="CE106" s="336"/>
      <c r="CF106" s="336"/>
      <c r="CG106" s="336"/>
      <c r="CH106" s="336"/>
      <c r="CI106" s="336"/>
      <c r="CJ106" s="336"/>
      <c r="CK106" s="336"/>
      <c r="CL106" s="336"/>
      <c r="CM106" s="336"/>
      <c r="CN106" s="336"/>
      <c r="CO106" s="336"/>
      <c r="CP106" s="336"/>
      <c r="CQ106" s="336"/>
      <c r="CR106" s="336"/>
      <c r="CS106" s="336"/>
      <c r="CT106" s="336"/>
      <c r="CU106" s="336"/>
      <c r="CV106" s="336"/>
      <c r="CW106" s="336"/>
      <c r="CX106" s="336"/>
      <c r="CY106" s="336"/>
      <c r="CZ106" s="336"/>
      <c r="DA106" s="336"/>
      <c r="DB106" s="336"/>
      <c r="DC106" s="336"/>
      <c r="DD106" s="336"/>
      <c r="DE106" s="336"/>
      <c r="DF106" s="336"/>
      <c r="DG106" s="336"/>
      <c r="DH106" s="336"/>
      <c r="DI106" s="336"/>
      <c r="DJ106" s="336"/>
      <c r="DK106" s="336"/>
      <c r="DL106" s="336"/>
      <c r="DM106" s="336"/>
      <c r="DN106" s="336"/>
      <c r="DO106" s="336"/>
      <c r="DP106" s="336"/>
      <c r="DQ106" s="336"/>
      <c r="DR106" s="336"/>
      <c r="DS106" s="336"/>
      <c r="DT106" s="336"/>
      <c r="DU106" s="336"/>
      <c r="DW106" s="336">
        <f t="shared" si="709"/>
        <v>0</v>
      </c>
      <c r="DX106" s="336">
        <f t="shared" si="701"/>
        <v>15</v>
      </c>
      <c r="DY106" s="336">
        <f t="shared" si="702"/>
        <v>15</v>
      </c>
      <c r="DZ106" s="336">
        <f t="shared" si="703"/>
        <v>0</v>
      </c>
      <c r="EA106" s="336">
        <f t="shared" si="704"/>
        <v>0</v>
      </c>
      <c r="EB106" s="336">
        <f t="shared" si="705"/>
        <v>0</v>
      </c>
      <c r="EC106" s="336">
        <f t="shared" si="706"/>
        <v>0</v>
      </c>
      <c r="ED106" s="336">
        <f t="shared" si="621"/>
        <v>0</v>
      </c>
      <c r="EE106" s="336">
        <f t="shared" si="622"/>
        <v>0</v>
      </c>
      <c r="EF106" s="336">
        <f t="shared" si="623"/>
        <v>0</v>
      </c>
      <c r="EG106" s="336">
        <f t="shared" si="624"/>
        <v>0</v>
      </c>
      <c r="EH106" s="336">
        <f t="shared" si="625"/>
        <v>0</v>
      </c>
      <c r="EI106" s="336">
        <f t="shared" si="626"/>
        <v>0</v>
      </c>
      <c r="EJ106" s="336">
        <f t="shared" si="627"/>
        <v>0</v>
      </c>
      <c r="EK106" s="336">
        <f t="shared" si="628"/>
        <v>0</v>
      </c>
      <c r="EL106" s="336">
        <f t="shared" si="629"/>
        <v>0</v>
      </c>
      <c r="EM106" s="336">
        <f t="shared" si="630"/>
        <v>0</v>
      </c>
      <c r="EN106" s="336">
        <f t="shared" si="631"/>
        <v>0</v>
      </c>
      <c r="EO106" s="336">
        <f t="shared" si="632"/>
        <v>0</v>
      </c>
      <c r="EP106" s="336">
        <f t="shared" si="633"/>
        <v>0</v>
      </c>
      <c r="EQ106" s="336">
        <f t="shared" si="634"/>
        <v>0</v>
      </c>
      <c r="ER106" s="336">
        <f t="shared" si="635"/>
        <v>0</v>
      </c>
      <c r="ES106" s="336">
        <f t="shared" si="636"/>
        <v>0</v>
      </c>
      <c r="ET106" s="336">
        <f t="shared" si="636"/>
        <v>0</v>
      </c>
      <c r="EU106" s="336">
        <f t="shared" si="637"/>
        <v>0</v>
      </c>
      <c r="EV106" s="336">
        <f t="shared" si="638"/>
        <v>0</v>
      </c>
      <c r="EW106" s="336">
        <f t="shared" si="639"/>
        <v>0</v>
      </c>
      <c r="EX106" s="336">
        <f t="shared" si="640"/>
        <v>0</v>
      </c>
      <c r="EY106" s="336">
        <f t="shared" si="641"/>
        <v>0</v>
      </c>
      <c r="EZ106" s="336">
        <f t="shared" si="642"/>
        <v>0</v>
      </c>
      <c r="FA106" s="336">
        <f t="shared" si="643"/>
        <v>0</v>
      </c>
      <c r="FB106" s="336">
        <f t="shared" si="644"/>
        <v>0</v>
      </c>
      <c r="FC106" s="336">
        <f t="shared" si="645"/>
        <v>0</v>
      </c>
      <c r="FD106" s="336">
        <f t="shared" si="646"/>
        <v>0</v>
      </c>
      <c r="FE106" s="336">
        <f t="shared" si="647"/>
        <v>0</v>
      </c>
      <c r="FF106" s="336">
        <f t="shared" si="648"/>
        <v>0</v>
      </c>
      <c r="FG106" s="336">
        <f t="shared" si="649"/>
        <v>0</v>
      </c>
      <c r="FH106" s="336">
        <f t="shared" si="650"/>
        <v>0</v>
      </c>
      <c r="FI106" s="336">
        <f t="shared" si="651"/>
        <v>0</v>
      </c>
      <c r="FJ106" s="336">
        <f t="shared" si="652"/>
        <v>0</v>
      </c>
      <c r="FK106" s="336">
        <f t="shared" si="653"/>
        <v>0</v>
      </c>
      <c r="FL106" s="336">
        <f t="shared" si="654"/>
        <v>0</v>
      </c>
      <c r="FM106" s="336">
        <f t="shared" si="655"/>
        <v>0</v>
      </c>
      <c r="FN106" s="336">
        <f t="shared" si="656"/>
        <v>0</v>
      </c>
      <c r="FO106" s="336">
        <f t="shared" si="657"/>
        <v>0</v>
      </c>
      <c r="FP106" s="336">
        <f t="shared" si="658"/>
        <v>0</v>
      </c>
      <c r="FQ106" s="336">
        <f t="shared" si="659"/>
        <v>0</v>
      </c>
      <c r="FR106" s="336">
        <f t="shared" si="660"/>
        <v>0</v>
      </c>
      <c r="FS106" s="336">
        <f t="shared" si="661"/>
        <v>0</v>
      </c>
      <c r="FT106" s="336">
        <f t="shared" si="662"/>
        <v>0</v>
      </c>
      <c r="FU106" s="336">
        <f t="shared" si="609"/>
        <v>0</v>
      </c>
      <c r="FV106" s="336">
        <f t="shared" si="610"/>
        <v>0</v>
      </c>
      <c r="FW106" s="336">
        <f t="shared" si="611"/>
        <v>0</v>
      </c>
      <c r="FX106" s="336">
        <f t="shared" si="612"/>
        <v>0</v>
      </c>
      <c r="FY106" s="336">
        <f t="shared" si="663"/>
        <v>0</v>
      </c>
      <c r="FZ106" s="336">
        <f t="shared" si="664"/>
        <v>0</v>
      </c>
      <c r="GA106" s="336">
        <f t="shared" si="665"/>
        <v>0</v>
      </c>
      <c r="GB106" s="336">
        <f t="shared" si="666"/>
        <v>0</v>
      </c>
      <c r="GC106" s="336">
        <f t="shared" si="667"/>
        <v>0</v>
      </c>
      <c r="GD106" s="336">
        <f t="shared" si="668"/>
        <v>0</v>
      </c>
      <c r="GE106" s="336">
        <f t="shared" si="669"/>
        <v>0</v>
      </c>
      <c r="GF106" s="336">
        <f t="shared" si="670"/>
        <v>0</v>
      </c>
      <c r="GG106" s="336">
        <f t="shared" si="671"/>
        <v>0</v>
      </c>
      <c r="GH106" s="336">
        <f t="shared" si="672"/>
        <v>0</v>
      </c>
      <c r="GI106" s="336">
        <f t="shared" si="673"/>
        <v>0</v>
      </c>
      <c r="GJ106" s="336">
        <f t="shared" si="674"/>
        <v>0</v>
      </c>
      <c r="GK106" s="336">
        <f t="shared" si="677"/>
        <v>0</v>
      </c>
      <c r="GL106" s="336">
        <f t="shared" si="613"/>
        <v>0</v>
      </c>
      <c r="GM106" s="336">
        <f t="shared" si="675"/>
        <v>0</v>
      </c>
    </row>
    <row r="107" spans="1:195" s="76" customFormat="1" ht="19.5" customHeight="1">
      <c r="A107" s="373"/>
      <c r="B107" s="373"/>
      <c r="C107" s="373"/>
      <c r="D107" s="508" t="s">
        <v>585</v>
      </c>
      <c r="E107" s="509"/>
      <c r="F107" s="510"/>
      <c r="G107" s="373"/>
      <c r="H107" s="382"/>
      <c r="I107" s="373"/>
      <c r="J107" s="373"/>
      <c r="K107" s="381"/>
      <c r="L107" s="376"/>
      <c r="M107" s="382"/>
      <c r="N107" s="375"/>
      <c r="O107" s="375"/>
      <c r="P107" s="376"/>
      <c r="Q107" s="382"/>
      <c r="R107" s="382"/>
      <c r="S107" s="382"/>
      <c r="T107" s="376"/>
      <c r="U107" s="382"/>
      <c r="V107" s="376"/>
      <c r="W107" s="376"/>
      <c r="X107" s="376"/>
      <c r="Y107" s="376"/>
      <c r="Z107" s="377"/>
      <c r="AA107" s="378"/>
      <c r="AB107" s="378"/>
      <c r="AC107" s="378"/>
      <c r="AD107" s="378"/>
      <c r="AE107" s="378"/>
      <c r="AF107" s="378"/>
      <c r="AG107" s="378"/>
      <c r="AH107" s="378"/>
      <c r="AI107" s="377"/>
      <c r="AJ107" s="375"/>
      <c r="AK107" s="377"/>
      <c r="AL107" s="377"/>
      <c r="AM107" s="377"/>
      <c r="AN107" s="383"/>
      <c r="AO107" s="382"/>
      <c r="AP107" s="381"/>
      <c r="AQ107" s="382"/>
      <c r="AR107" s="383"/>
      <c r="AS107" s="376"/>
      <c r="AT107" s="383"/>
      <c r="AU107" s="383"/>
      <c r="AV107" s="384"/>
      <c r="AW107" s="384"/>
      <c r="AX107" s="376"/>
      <c r="AY107" s="385"/>
      <c r="AZ107" s="385"/>
      <c r="BA107" s="513" t="str">
        <f t="shared" ref="BA107:BA113" si="833">CONCATENATE(IF(BE107=1,BE$4,""),IF(BF107=1,BF$4,""),IF(BG107=1,BG$4,""),IF(BH107=1,BH$4,""),IF(BI107=1,BI$4,""),IF(BJ107=1,BJ$4,""),IF(BK107=1,BK$4,""),IF(BL107=1,BL$4,""),IF(BM107=1,BM$4,""),IF(BN107=1,BN$4,""),IF(BO107=1,BO$4,""),IF(BP107=1,BP$4,""),IF(BQ107=1,BQ$4,""),IF(BR107=1,BR$4,""),IF(BS107=1,BS$4,""),IF(BT107=1,BT$4,""),IF(BU107=1,BU$4,""),IF(BV107=1,BV$4,""),IF(BW107=1,BW$4,""),IF(BX107=1,BX$4,""),IF(BY107=1,BY$4,""),IF(BZ107=1,BZ$4,""),IF(CA107=1,CA$4,""),IF(CC107=1,CC$4,""),IF(CD107=1,CD$4,""),IF(CE107=1,CE$4,""),IF(CF107=1,CF$4,""),IF(CG107=1,CG$4,""),IF(CH107=1,CH$4,""),IF(CI107=1,CI$4,""),IF(CJ107=1,CJ$4,""),IF(CK107=1,CK$4,""),IF(CL107=1,CL$4,""),IF(CM107=1,CM$4,""),IF(CN107=1,CN$4,""),IF(CO107=1,CO$4,""),IF(CP107=1,CP$4,""),IF(CQ107=1,CQ$4,""),IF(CR107=1,CR$4,""),IF(CS107=1,CS$4,""),IF(CT107=1,CT$4,""),IF(CU107=1,CU$4,""),IF(CV107=1,CV$4,""),IF(CW107=1,CW$4,""),IF(CX107=1,CX$4,""),IF(CY107=1,CY$4,""),IF(CZ107=1,CZ$4,""),IF(DA107=1,DA$4,""),IF(DB107=1,DB$4,""),IF(DC107=1,DC$4,""),IF(DD107=1,DD$4,""),IF(DE107=1,DE$4,""),IF(DF107=1,DF$4,""),IF(DG107=1,DG$4,""),IF(DH107=1,DH$4,""),IF(DI107=1,DI$4,""),IF(DJ107=1,DJ$4,""),IF(DK107=1,DK$4,""),IF(DL107=1,DL$4,""),IF(DM107=1,DM$4,""),IF(DN107=1,DN$4,""),IF(DO107=1,DO$4,""),IF(DP107=1,DP$4,""),IF(DQ107=1,DQ$4,""),IF(DR107=1,DR$4,""),IF(DS107=1,DS$4,""),IF(DT107=1,DT$4,""),IF(DU107=1,DU$4,""))</f>
        <v/>
      </c>
      <c r="BB107" s="513"/>
      <c r="BC107" s="513"/>
      <c r="BE107" s="513"/>
      <c r="BF107" s="513"/>
      <c r="BG107" s="513"/>
      <c r="BH107" s="513"/>
      <c r="BI107" s="513"/>
      <c r="BJ107" s="513"/>
      <c r="BK107" s="513"/>
      <c r="BL107" s="513"/>
      <c r="BM107" s="513"/>
      <c r="BN107" s="513"/>
      <c r="BO107" s="513"/>
      <c r="BP107" s="513"/>
      <c r="BQ107" s="513"/>
      <c r="BR107" s="513"/>
      <c r="BS107" s="513"/>
      <c r="BT107" s="513"/>
      <c r="BU107" s="513"/>
      <c r="BV107" s="513"/>
      <c r="BW107" s="513"/>
      <c r="BX107" s="513"/>
      <c r="BY107" s="513"/>
      <c r="BZ107" s="513"/>
      <c r="CA107" s="513"/>
      <c r="CB107" s="513"/>
      <c r="CC107" s="513"/>
      <c r="CD107" s="513"/>
      <c r="CE107" s="513"/>
      <c r="CF107" s="513"/>
      <c r="CG107" s="513"/>
      <c r="CH107" s="513"/>
      <c r="CI107" s="513"/>
      <c r="CJ107" s="513"/>
      <c r="CK107" s="513"/>
      <c r="CL107" s="513"/>
      <c r="CM107" s="513"/>
      <c r="CN107" s="513"/>
      <c r="CO107" s="513"/>
      <c r="CP107" s="513"/>
      <c r="CQ107" s="513"/>
      <c r="CR107" s="513"/>
      <c r="CS107" s="513"/>
      <c r="CT107" s="513"/>
      <c r="CU107" s="513"/>
      <c r="CV107" s="513"/>
      <c r="CW107" s="513"/>
      <c r="CX107" s="513"/>
      <c r="CY107" s="513"/>
      <c r="CZ107" s="513"/>
      <c r="DA107" s="513"/>
      <c r="DB107" s="513"/>
      <c r="DC107" s="513"/>
      <c r="DD107" s="513"/>
      <c r="DE107" s="513"/>
      <c r="DF107" s="513"/>
      <c r="DG107" s="513"/>
      <c r="DH107" s="513"/>
      <c r="DI107" s="513"/>
      <c r="DJ107" s="513"/>
      <c r="DK107" s="513"/>
      <c r="DL107" s="513"/>
      <c r="DM107" s="513"/>
      <c r="DN107" s="513"/>
      <c r="DO107" s="513"/>
      <c r="DP107" s="513"/>
      <c r="DQ107" s="513"/>
      <c r="DR107" s="513"/>
      <c r="DS107" s="513"/>
      <c r="DT107" s="513"/>
      <c r="DU107" s="513"/>
      <c r="DV107" s="61"/>
      <c r="DW107" s="336">
        <f t="shared" si="709"/>
        <v>0</v>
      </c>
      <c r="DX107" s="336">
        <f t="shared" si="701"/>
        <v>0</v>
      </c>
      <c r="DY107" s="336">
        <f t="shared" si="702"/>
        <v>0</v>
      </c>
      <c r="DZ107" s="336">
        <f t="shared" si="703"/>
        <v>0</v>
      </c>
      <c r="EA107" s="336">
        <f t="shared" si="704"/>
        <v>0</v>
      </c>
      <c r="EB107" s="336">
        <f t="shared" si="705"/>
        <v>0</v>
      </c>
      <c r="EC107" s="336">
        <f t="shared" si="706"/>
        <v>0</v>
      </c>
      <c r="ED107" s="336">
        <f t="shared" si="621"/>
        <v>0</v>
      </c>
      <c r="EE107" s="336">
        <f t="shared" si="622"/>
        <v>0</v>
      </c>
      <c r="EF107" s="336">
        <f t="shared" si="623"/>
        <v>0</v>
      </c>
      <c r="EG107" s="336">
        <f t="shared" si="624"/>
        <v>0</v>
      </c>
      <c r="EH107" s="336">
        <f t="shared" si="625"/>
        <v>0</v>
      </c>
      <c r="EI107" s="336">
        <f t="shared" si="626"/>
        <v>0</v>
      </c>
      <c r="EJ107" s="336">
        <f t="shared" si="627"/>
        <v>0</v>
      </c>
      <c r="EK107" s="336">
        <f t="shared" si="628"/>
        <v>0</v>
      </c>
      <c r="EL107" s="336">
        <f t="shared" si="629"/>
        <v>0</v>
      </c>
      <c r="EM107" s="336">
        <f t="shared" si="630"/>
        <v>0</v>
      </c>
      <c r="EN107" s="336">
        <f t="shared" si="631"/>
        <v>0</v>
      </c>
      <c r="EO107" s="336">
        <f t="shared" si="632"/>
        <v>0</v>
      </c>
      <c r="EP107" s="336">
        <f t="shared" si="633"/>
        <v>0</v>
      </c>
      <c r="EQ107" s="336">
        <f t="shared" si="634"/>
        <v>0</v>
      </c>
      <c r="ER107" s="336">
        <f t="shared" si="635"/>
        <v>0</v>
      </c>
      <c r="ES107" s="336">
        <f t="shared" si="636"/>
        <v>0</v>
      </c>
      <c r="ET107" s="336">
        <f t="shared" si="636"/>
        <v>0</v>
      </c>
      <c r="EU107" s="336">
        <f t="shared" si="637"/>
        <v>0</v>
      </c>
      <c r="EV107" s="336">
        <f t="shared" si="638"/>
        <v>0</v>
      </c>
      <c r="EW107" s="336">
        <f t="shared" si="639"/>
        <v>0</v>
      </c>
      <c r="EX107" s="336">
        <f t="shared" si="640"/>
        <v>0</v>
      </c>
      <c r="EY107" s="336">
        <f t="shared" si="641"/>
        <v>0</v>
      </c>
      <c r="EZ107" s="336">
        <f t="shared" si="642"/>
        <v>0</v>
      </c>
      <c r="FA107" s="336">
        <f t="shared" si="643"/>
        <v>0</v>
      </c>
      <c r="FB107" s="336">
        <f t="shared" si="644"/>
        <v>0</v>
      </c>
      <c r="FC107" s="336">
        <f t="shared" si="645"/>
        <v>0</v>
      </c>
      <c r="FD107" s="336">
        <f t="shared" si="646"/>
        <v>0</v>
      </c>
      <c r="FE107" s="336">
        <f t="shared" si="647"/>
        <v>0</v>
      </c>
      <c r="FF107" s="336">
        <f t="shared" si="648"/>
        <v>0</v>
      </c>
      <c r="FG107" s="336">
        <f t="shared" si="649"/>
        <v>0</v>
      </c>
      <c r="FH107" s="336">
        <f t="shared" si="650"/>
        <v>0</v>
      </c>
      <c r="FI107" s="336">
        <f t="shared" si="651"/>
        <v>0</v>
      </c>
      <c r="FJ107" s="336">
        <f t="shared" si="652"/>
        <v>0</v>
      </c>
      <c r="FK107" s="336">
        <f t="shared" si="653"/>
        <v>0</v>
      </c>
      <c r="FL107" s="336">
        <f t="shared" si="654"/>
        <v>0</v>
      </c>
      <c r="FM107" s="336">
        <f t="shared" si="655"/>
        <v>0</v>
      </c>
      <c r="FN107" s="336">
        <f t="shared" si="656"/>
        <v>0</v>
      </c>
      <c r="FO107" s="492">
        <f t="shared" si="657"/>
        <v>0</v>
      </c>
      <c r="FP107" s="492">
        <f t="shared" si="658"/>
        <v>0</v>
      </c>
      <c r="FQ107" s="492">
        <f t="shared" si="659"/>
        <v>0</v>
      </c>
      <c r="FR107" s="492">
        <f t="shared" si="660"/>
        <v>0</v>
      </c>
      <c r="FS107" s="492">
        <f t="shared" si="661"/>
        <v>0</v>
      </c>
      <c r="FT107" s="492">
        <f t="shared" si="662"/>
        <v>0</v>
      </c>
      <c r="FU107" s="336">
        <f t="shared" si="609"/>
        <v>0</v>
      </c>
      <c r="FV107" s="336">
        <f t="shared" si="610"/>
        <v>0</v>
      </c>
      <c r="FW107" s="336">
        <f t="shared" si="611"/>
        <v>0</v>
      </c>
      <c r="FX107" s="336">
        <f t="shared" si="612"/>
        <v>0</v>
      </c>
      <c r="FY107" s="492">
        <f t="shared" si="663"/>
        <v>0</v>
      </c>
      <c r="FZ107" s="492">
        <f t="shared" si="664"/>
        <v>0</v>
      </c>
      <c r="GA107" s="492">
        <f t="shared" si="665"/>
        <v>0</v>
      </c>
      <c r="GB107" s="492">
        <f t="shared" si="666"/>
        <v>0</v>
      </c>
      <c r="GC107" s="492">
        <f t="shared" si="667"/>
        <v>0</v>
      </c>
      <c r="GD107" s="492">
        <f t="shared" si="668"/>
        <v>0</v>
      </c>
      <c r="GE107" s="492">
        <f t="shared" si="669"/>
        <v>0</v>
      </c>
      <c r="GF107" s="492">
        <f t="shared" si="670"/>
        <v>0</v>
      </c>
      <c r="GG107" s="492">
        <f t="shared" si="671"/>
        <v>0</v>
      </c>
      <c r="GH107" s="492">
        <f t="shared" si="672"/>
        <v>0</v>
      </c>
      <c r="GI107" s="492">
        <f t="shared" si="673"/>
        <v>0</v>
      </c>
      <c r="GJ107" s="492">
        <f t="shared" si="674"/>
        <v>0</v>
      </c>
      <c r="GK107" s="492">
        <f t="shared" si="677"/>
        <v>0</v>
      </c>
      <c r="GL107" s="336">
        <f t="shared" si="613"/>
        <v>0</v>
      </c>
      <c r="GM107" s="492">
        <f t="shared" si="675"/>
        <v>0</v>
      </c>
    </row>
    <row r="108" spans="1:195" s="83" customFormat="1" ht="20.100000000000001" hidden="1" customHeight="1">
      <c r="A108" s="357" t="s">
        <v>334</v>
      </c>
      <c r="B108" s="357" t="s">
        <v>527</v>
      </c>
      <c r="C108" s="357" t="str">
        <f t="shared" ref="C108:C113" si="834">$D$6</f>
        <v>PMCC-1</v>
      </c>
      <c r="D108" s="395" t="s">
        <v>586</v>
      </c>
      <c r="E108" s="493" t="s">
        <v>345</v>
      </c>
      <c r="F108" s="357" t="s">
        <v>29</v>
      </c>
      <c r="G108" s="357" t="s">
        <v>350</v>
      </c>
      <c r="H108" s="352">
        <v>6</v>
      </c>
      <c r="I108" s="357" t="s">
        <v>330</v>
      </c>
      <c r="J108" s="357" t="s">
        <v>331</v>
      </c>
      <c r="K108" s="353">
        <v>400</v>
      </c>
      <c r="L108" s="360">
        <v>0.82</v>
      </c>
      <c r="M108" s="352">
        <v>0.89599999999999991</v>
      </c>
      <c r="N108" s="359">
        <f t="shared" ref="N108:N125" si="835">IF(I108="kVA",IF(J108="3Ph",(H108*1000/(1.732*M108*K108)),(H108*1000/(M108*K108))),IF(I108="kW",IF(J108="3Ph",(H108*1000/(1.732*M108*K108*L108)),(H108*1000/(M108*K108*L108)))))</f>
        <v>11.78749466890908</v>
      </c>
      <c r="O108" s="359">
        <f t="shared" si="680"/>
        <v>70.724968013454486</v>
      </c>
      <c r="P108" s="360">
        <f t="shared" ref="P108:P125" si="836">IF(G108="MOTOR",0.2,"0.00")</f>
        <v>0.2</v>
      </c>
      <c r="Q108" s="352">
        <v>65</v>
      </c>
      <c r="R108" s="352">
        <v>0</v>
      </c>
      <c r="S108" s="352">
        <f t="shared" ref="S108:S125" si="837">(Q108*1000*SQRT(R108)/143)</f>
        <v>0</v>
      </c>
      <c r="T108" s="360" t="s">
        <v>131</v>
      </c>
      <c r="U108" s="352" t="s">
        <v>333</v>
      </c>
      <c r="V108" s="360">
        <v>25</v>
      </c>
      <c r="W108" s="360" t="str">
        <f t="shared" ref="W108:W125" si="838">CONCATENATE(U108," X ",V108)</f>
        <v>3C X 25</v>
      </c>
      <c r="X108" s="360" t="str">
        <f t="shared" ref="X108:X125" si="839">(IF(J108="1Ph",W108,IF(J108="3Ph",(IF(G108="MOTOR",(CONCATENATE(W108,"+PE")),W108)))))</f>
        <v>3C X 25+PE</v>
      </c>
      <c r="Y108" s="360" t="s">
        <v>358</v>
      </c>
      <c r="Z108" s="361">
        <f>IF(T108="AIR",VLOOKUP(W108,'Catalogue Aluminium'!$B$9:$G$93,2,FALSE),IF(T108="GROUND",VLOOKUP(W108,'Catalogue Aluminium'!$B$9:$G$93,3,FALSE),IF(T108="DUCT",VLOOKUP(W108,'Catalogue Aluminium'!$B$9:$G$93,4,FALSE),IF(T108="TRENCH",VLOOKUP(W108,'Catalogue Aluminium'!$B$9:$G$93,2,FALSE)))))</f>
        <v>95</v>
      </c>
      <c r="AA108" s="362">
        <f>VLOOKUP(W108,'Catalogue Aluminium'!$B$9:$G$93,5,FALSE)</f>
        <v>1.54</v>
      </c>
      <c r="AB108" s="362">
        <f>VLOOKUP(W108,'Catalogue Aluminium'!$B$9:$G$93,6,FALSE)</f>
        <v>8.1600000000000006E-2</v>
      </c>
      <c r="AC108" s="360">
        <f>35+3</f>
        <v>38</v>
      </c>
      <c r="AD108" s="360">
        <f>11+34+48+35+30+11+24+(15+3+26)</f>
        <v>237</v>
      </c>
      <c r="AE108" s="456">
        <f t="shared" ref="AE108:AE122" si="840">11+8+8+11</f>
        <v>38</v>
      </c>
      <c r="AF108" s="360">
        <v>8</v>
      </c>
      <c r="AG108" s="360">
        <f t="shared" ref="AG108:AG125" si="841">ROUNDUP((SUM(AC108:AF108)*0.1),0)</f>
        <v>33</v>
      </c>
      <c r="AH108" s="363"/>
      <c r="AI108" s="361">
        <f>IF(T108="AIR",'Catalogue Aluminium'!$K$9,IF(T108="TRENCH",'Catalogue Aluminium'!$K$12,"NA"))</f>
        <v>0.89</v>
      </c>
      <c r="AJ108" s="359">
        <f>IF(T108="Air",(IF(U108="1C",'Catalogue Aluminium'!$L$9,'Catalogue Aluminium'!$M$9)),IF(T108="DUCT",(IF($U108="1C",'Catalogue Aluminium'!$L$10,'Catalogue Aluminium'!$M$10)),IF(T108="GROUND",(IF($U108="1C",'Catalogue Aluminium'!$L$11,'Catalogue Aluminium'!$M$11)),IF(T108="TRENCH",(IF($U108="1C",'Catalogue Aluminium'!$L$12,'Catalogue Aluminium'!$M$12))))))</f>
        <v>0.66</v>
      </c>
      <c r="AK108" s="361" t="str">
        <f>IF(T108="Air",'Catalogue Aluminium'!$N$9,IF(T108="GROUND",'Catalogue Aluminium'!$N$10,IF(T108="DUCT",'Catalogue Aluminium'!$N$11,IF(T108="TRENCH",'Catalogue Aluminium'!$N$12,"NA"))))</f>
        <v>NA</v>
      </c>
      <c r="AL108" s="361" t="str">
        <f>IF(T108="Air",(IF(U108="1C",'Catalogue Aluminium'!$O$9,'Catalogue Aluminium'!$P$9)),IF(T108="DUCT",(IF($U108="1C",'Catalogue Aluminium'!$O$10,'Catalogue Aluminium'!$P$10)),IF(T108="GROUND",(IF($U108="1C",'Catalogue Aluminium'!$O$11,'Catalogue Aluminium'!$P$11)),IF(T108="TRENCH",(IF($U108="1C",'Catalogue Aluminium'!$O$12,'Catalogue Aluminium'!$P$12))))))</f>
        <v>NA</v>
      </c>
      <c r="AM108" s="361" t="str">
        <f>IF(T108="AIR","NA",IF(T108="TRENCH","NA",IF(T108="DUCT",IF(U108="1C",VLOOKUP(V108,'Catalogue Aluminium'!$Q$9:$S$28,2,FALSE),VLOOKUP(V108,'Catalogue Aluminium'!$Q$9:$S$28,3)),IF(T108="GROUND",IF(U108="1C",VLOOKUP(V108,'Catalogue Aluminium'!$Q$9:$S$28,2,FALSE),VLOOKUP(V108,'Catalogue Aluminium'!$Q$9:$S$28,3))))))</f>
        <v>NA</v>
      </c>
      <c r="AN108" s="365">
        <f t="shared" ref="AN108:AN125" si="842">IF(T108="AIR",AI108*AJ108,IF(T108="TRENCH",AI108*AJ108,IF(T108="DUCT",AJ108*AK108*AL108*AM108,IF(T108="GROUND",AJ108*AK108*AL108*AM108))))</f>
        <v>0.58740000000000003</v>
      </c>
      <c r="AO108" s="352">
        <f t="shared" ref="AO108:AO125" si="843">Z108*AN108</f>
        <v>55.803000000000004</v>
      </c>
      <c r="AP108" s="353">
        <f t="shared" si="689"/>
        <v>1</v>
      </c>
      <c r="AQ108" s="352" t="str">
        <f t="shared" ref="AQ108:AQ125" si="844">IF(AO108*AP108&gt;=N108,"YES","NO")</f>
        <v>YES</v>
      </c>
      <c r="AR108" s="365">
        <f t="shared" ref="AR108:AR125" si="845">SQRT(3)*AH108*N108*((AA108*L108)+(AB108*SIN(ACOS(L108))))*100/(AP108*K108*1000)</f>
        <v>0</v>
      </c>
      <c r="AS108" s="496" t="str">
        <f t="shared" ref="AS108:AS125" si="846">IF(G108="INCOMER",(IF(AR108&lt;=2,"YES","NO")),IF(G108="POWER",(IF(AR108&lt;=2.5,"YES","NO")),IF(G108="MOTOR",(IF(AR108&lt;=3,"YES","NO")))))</f>
        <v>YES</v>
      </c>
      <c r="AT108" s="497">
        <f>IF(G108="MOTOR",(SQRT(3)*AH108*O108*((AA108*P108)+(AB108*SIN(ACOS(P108))))*100/(AP108*K108*1000)),"NA")</f>
        <v>0</v>
      </c>
      <c r="AU108" s="360" t="str">
        <f t="shared" ref="AU108:AU125" si="847">IF(G108="MOTOR",IF(AT108&lt;=15,"YES","NO"),"NA")</f>
        <v>YES</v>
      </c>
      <c r="AV108" s="366" t="str">
        <f t="shared" ref="AV108:AV125" si="848">IF(U108="1C",CONCATENATE(AP108,"R x ",Y108,"kV x ",U108," x ",V108," Sqmm/Phase"),CONCATENATE(AP108,"R x ",0.6,"/1kV x ",U108," x ",V108," Sqmm"))</f>
        <v>1R x 0.6/1kV x 3C x 25 Sqmm</v>
      </c>
      <c r="AW108" s="366" t="str">
        <f t="shared" ref="AW108:AW125" si="849">IF(U108="1C",CONCATENATE(AP108,"R x ",Y108,"kV x ",U108," x ",V108," Sqmm/Phase"),CONCATENATE(AP108,"R x ",0.6,"/1kV x ",U108," x ",V108,(IF(G108="MOTOR","+PE",""))," Sqmm"))</f>
        <v>1R x 0.6/1kV x 3C x 25+PE Sqmm</v>
      </c>
      <c r="AX108" s="360"/>
      <c r="AY108" s="367"/>
      <c r="AZ108" s="367"/>
      <c r="BA108" s="520" t="str">
        <f t="shared" si="833"/>
        <v/>
      </c>
      <c r="BB108" s="498"/>
      <c r="BC108" s="426"/>
      <c r="BE108" s="368"/>
      <c r="BF108" s="368"/>
      <c r="BG108" s="368"/>
      <c r="BH108" s="368"/>
      <c r="BI108" s="368"/>
      <c r="BJ108" s="368"/>
      <c r="BK108" s="368"/>
      <c r="BL108" s="368"/>
      <c r="BM108" s="368"/>
      <c r="BN108" s="368"/>
      <c r="BO108" s="368"/>
      <c r="BP108" s="368"/>
      <c r="BQ108" s="368"/>
      <c r="BR108" s="368"/>
      <c r="BS108" s="368"/>
      <c r="BT108" s="368"/>
      <c r="BU108" s="368"/>
      <c r="BV108" s="368"/>
      <c r="BW108" s="368"/>
      <c r="BX108" s="368"/>
      <c r="BY108" s="368"/>
      <c r="BZ108" s="368"/>
      <c r="CA108" s="368"/>
      <c r="CB108" s="368"/>
      <c r="CC108" s="368"/>
      <c r="CD108" s="368"/>
      <c r="CE108" s="368"/>
      <c r="CF108" s="368"/>
      <c r="CG108" s="368"/>
      <c r="CH108" s="368"/>
      <c r="CI108" s="368"/>
      <c r="CJ108" s="368"/>
      <c r="CK108" s="368"/>
      <c r="CL108" s="368"/>
      <c r="CM108" s="368"/>
      <c r="CN108" s="368"/>
      <c r="CO108" s="368"/>
      <c r="CP108" s="368"/>
      <c r="CQ108" s="368"/>
      <c r="CR108" s="368"/>
      <c r="CS108" s="368"/>
      <c r="CT108" s="368"/>
      <c r="CU108" s="368"/>
      <c r="CV108" s="368"/>
      <c r="CW108" s="368"/>
      <c r="CX108" s="368"/>
      <c r="CY108" s="368"/>
      <c r="CZ108" s="368"/>
      <c r="DA108" s="368"/>
      <c r="DB108" s="368"/>
      <c r="DC108" s="368"/>
      <c r="DD108" s="368"/>
      <c r="DE108" s="368"/>
      <c r="DF108" s="368"/>
      <c r="DG108" s="368"/>
      <c r="DH108" s="368"/>
      <c r="DI108" s="368"/>
      <c r="DJ108" s="368"/>
      <c r="DK108" s="368"/>
      <c r="DL108" s="368"/>
      <c r="DM108" s="368"/>
      <c r="DN108" s="368"/>
      <c r="DO108" s="368"/>
      <c r="DP108" s="368"/>
      <c r="DQ108" s="368"/>
      <c r="DR108" s="368"/>
      <c r="DS108" s="368"/>
      <c r="DT108" s="368"/>
      <c r="DU108" s="368"/>
      <c r="DW108" s="368">
        <f t="shared" si="709"/>
        <v>0</v>
      </c>
      <c r="DX108" s="368">
        <f t="shared" si="701"/>
        <v>0</v>
      </c>
      <c r="DY108" s="368">
        <f t="shared" si="702"/>
        <v>0</v>
      </c>
      <c r="DZ108" s="368">
        <f t="shared" si="703"/>
        <v>0</v>
      </c>
      <c r="EA108" s="368">
        <f t="shared" si="704"/>
        <v>0</v>
      </c>
      <c r="EB108" s="368">
        <f t="shared" si="705"/>
        <v>0</v>
      </c>
      <c r="EC108" s="368">
        <f t="shared" si="706"/>
        <v>0</v>
      </c>
      <c r="ED108" s="368">
        <f t="shared" si="621"/>
        <v>0</v>
      </c>
      <c r="EE108" s="368">
        <f t="shared" si="622"/>
        <v>0</v>
      </c>
      <c r="EF108" s="368">
        <f t="shared" si="623"/>
        <v>0</v>
      </c>
      <c r="EG108" s="368">
        <f t="shared" si="624"/>
        <v>0</v>
      </c>
      <c r="EH108" s="368">
        <f t="shared" si="625"/>
        <v>0</v>
      </c>
      <c r="EI108" s="368">
        <f t="shared" si="626"/>
        <v>0</v>
      </c>
      <c r="EJ108" s="368">
        <f t="shared" si="627"/>
        <v>0</v>
      </c>
      <c r="EK108" s="368">
        <f t="shared" si="628"/>
        <v>0</v>
      </c>
      <c r="EL108" s="368">
        <f t="shared" si="629"/>
        <v>0</v>
      </c>
      <c r="EM108" s="368">
        <f t="shared" si="630"/>
        <v>0</v>
      </c>
      <c r="EN108" s="368">
        <f t="shared" si="631"/>
        <v>0</v>
      </c>
      <c r="EO108" s="368">
        <f t="shared" si="632"/>
        <v>0</v>
      </c>
      <c r="EP108" s="368">
        <f t="shared" si="633"/>
        <v>0</v>
      </c>
      <c r="EQ108" s="368">
        <f t="shared" si="634"/>
        <v>0</v>
      </c>
      <c r="ER108" s="368">
        <f t="shared" si="635"/>
        <v>0</v>
      </c>
      <c r="ES108" s="368">
        <f t="shared" si="636"/>
        <v>0</v>
      </c>
      <c r="ET108" s="368">
        <f t="shared" si="636"/>
        <v>0</v>
      </c>
      <c r="EU108" s="368">
        <f t="shared" si="637"/>
        <v>0</v>
      </c>
      <c r="EV108" s="368">
        <f t="shared" si="638"/>
        <v>0</v>
      </c>
      <c r="EW108" s="368">
        <f t="shared" si="639"/>
        <v>0</v>
      </c>
      <c r="EX108" s="368">
        <f t="shared" si="640"/>
        <v>0</v>
      </c>
      <c r="EY108" s="368">
        <f t="shared" si="641"/>
        <v>0</v>
      </c>
      <c r="EZ108" s="368">
        <f t="shared" si="642"/>
        <v>0</v>
      </c>
      <c r="FA108" s="368">
        <f t="shared" si="643"/>
        <v>0</v>
      </c>
      <c r="FB108" s="368">
        <f t="shared" si="644"/>
        <v>0</v>
      </c>
      <c r="FC108" s="368">
        <f t="shared" si="645"/>
        <v>0</v>
      </c>
      <c r="FD108" s="368">
        <f t="shared" si="646"/>
        <v>0</v>
      </c>
      <c r="FE108" s="368">
        <f t="shared" si="647"/>
        <v>0</v>
      </c>
      <c r="FF108" s="368">
        <f t="shared" si="648"/>
        <v>0</v>
      </c>
      <c r="FG108" s="368">
        <f t="shared" si="649"/>
        <v>0</v>
      </c>
      <c r="FH108" s="368">
        <f t="shared" si="650"/>
        <v>0</v>
      </c>
      <c r="FI108" s="368">
        <f t="shared" si="651"/>
        <v>0</v>
      </c>
      <c r="FJ108" s="368">
        <f t="shared" si="652"/>
        <v>0</v>
      </c>
      <c r="FK108" s="368">
        <f t="shared" si="653"/>
        <v>0</v>
      </c>
      <c r="FL108" s="368">
        <f t="shared" si="654"/>
        <v>0</v>
      </c>
      <c r="FM108" s="368">
        <f t="shared" si="655"/>
        <v>0</v>
      </c>
      <c r="FN108" s="368">
        <f t="shared" si="656"/>
        <v>0</v>
      </c>
      <c r="FO108" s="368">
        <f t="shared" si="657"/>
        <v>0</v>
      </c>
      <c r="FP108" s="368">
        <f t="shared" si="658"/>
        <v>0</v>
      </c>
      <c r="FQ108" s="368">
        <f t="shared" si="659"/>
        <v>0</v>
      </c>
      <c r="FR108" s="368">
        <f t="shared" si="660"/>
        <v>0</v>
      </c>
      <c r="FS108" s="368">
        <f t="shared" si="661"/>
        <v>0</v>
      </c>
      <c r="FT108" s="368">
        <f t="shared" si="662"/>
        <v>0</v>
      </c>
      <c r="FU108" s="368"/>
      <c r="FV108" s="368"/>
      <c r="FW108" s="368"/>
      <c r="FX108" s="368"/>
      <c r="FY108" s="368">
        <f t="shared" si="663"/>
        <v>0</v>
      </c>
      <c r="FZ108" s="368">
        <f t="shared" si="664"/>
        <v>0</v>
      </c>
      <c r="GA108" s="368">
        <f t="shared" si="665"/>
        <v>0</v>
      </c>
      <c r="GB108" s="368">
        <f t="shared" si="666"/>
        <v>0</v>
      </c>
      <c r="GC108" s="368">
        <f t="shared" si="667"/>
        <v>0</v>
      </c>
      <c r="GD108" s="368">
        <f t="shared" si="668"/>
        <v>0</v>
      </c>
      <c r="GE108" s="368">
        <f t="shared" si="669"/>
        <v>0</v>
      </c>
      <c r="GF108" s="368">
        <f t="shared" si="670"/>
        <v>0</v>
      </c>
      <c r="GG108" s="368">
        <f t="shared" si="671"/>
        <v>0</v>
      </c>
      <c r="GH108" s="368">
        <f t="shared" si="672"/>
        <v>0</v>
      </c>
      <c r="GI108" s="368">
        <f t="shared" si="673"/>
        <v>0</v>
      </c>
      <c r="GJ108" s="368">
        <f t="shared" si="674"/>
        <v>0</v>
      </c>
      <c r="GK108" s="368">
        <f t="shared" si="677"/>
        <v>0</v>
      </c>
      <c r="GL108" s="368"/>
      <c r="GM108" s="368">
        <f t="shared" si="675"/>
        <v>0</v>
      </c>
    </row>
    <row r="109" spans="1:195" s="83" customFormat="1" ht="20.100000000000001" hidden="1" customHeight="1">
      <c r="A109" s="357" t="s">
        <v>334</v>
      </c>
      <c r="B109" s="357" t="s">
        <v>527</v>
      </c>
      <c r="C109" s="357" t="str">
        <f t="shared" si="834"/>
        <v>PMCC-1</v>
      </c>
      <c r="D109" s="395" t="s">
        <v>587</v>
      </c>
      <c r="E109" s="493" t="s">
        <v>345</v>
      </c>
      <c r="F109" s="357" t="s">
        <v>28</v>
      </c>
      <c r="G109" s="357" t="s">
        <v>350</v>
      </c>
      <c r="H109" s="352">
        <v>4</v>
      </c>
      <c r="I109" s="357" t="s">
        <v>330</v>
      </c>
      <c r="J109" s="357" t="s">
        <v>331</v>
      </c>
      <c r="K109" s="353">
        <v>400</v>
      </c>
      <c r="L109" s="360">
        <v>0.79</v>
      </c>
      <c r="M109" s="352">
        <v>0.8859999999999999</v>
      </c>
      <c r="N109" s="359">
        <f t="shared" si="835"/>
        <v>8.2488099771798318</v>
      </c>
      <c r="O109" s="359">
        <f t="shared" si="680"/>
        <v>49.492859863078991</v>
      </c>
      <c r="P109" s="360">
        <f t="shared" si="836"/>
        <v>0.2</v>
      </c>
      <c r="Q109" s="352">
        <v>65</v>
      </c>
      <c r="R109" s="352">
        <v>0</v>
      </c>
      <c r="S109" s="352">
        <f t="shared" si="837"/>
        <v>0</v>
      </c>
      <c r="T109" s="360" t="s">
        <v>131</v>
      </c>
      <c r="U109" s="352" t="s">
        <v>333</v>
      </c>
      <c r="V109" s="360">
        <v>16</v>
      </c>
      <c r="W109" s="360" t="str">
        <f t="shared" si="838"/>
        <v>3C X 16</v>
      </c>
      <c r="X109" s="360" t="str">
        <f t="shared" si="839"/>
        <v>3C X 16+PE</v>
      </c>
      <c r="Y109" s="360" t="s">
        <v>358</v>
      </c>
      <c r="Z109" s="361">
        <f>IF(T109="AIR",VLOOKUP(W109,'Catalogue Aluminium'!$B$9:$G$93,2,FALSE),IF(T109="GROUND",VLOOKUP(W109,'Catalogue Aluminium'!$B$9:$G$93,3,FALSE),IF(T109="DUCT",VLOOKUP(W109,'Catalogue Aluminium'!$B$9:$G$93,4,FALSE),IF(T109="TRENCH",VLOOKUP(W109,'Catalogue Aluminium'!$B$9:$G$93,2,FALSE)))))</f>
        <v>70</v>
      </c>
      <c r="AA109" s="362">
        <f>VLOOKUP(W109,'Catalogue Aluminium'!$B$9:$G$93,5,FALSE)</f>
        <v>2.44</v>
      </c>
      <c r="AB109" s="362">
        <f>VLOOKUP(W109,'Catalogue Aluminium'!$B$9:$G$93,6,FALSE)</f>
        <v>8.1500000000000003E-2</v>
      </c>
      <c r="AC109" s="360">
        <f>26+3</f>
        <v>29</v>
      </c>
      <c r="AD109" s="360">
        <f t="shared" ref="AD109:AD110" si="850">11+34+48+35+30+11+24+(15+3+26)</f>
        <v>237</v>
      </c>
      <c r="AE109" s="456">
        <f t="shared" si="840"/>
        <v>38</v>
      </c>
      <c r="AF109" s="360">
        <v>8</v>
      </c>
      <c r="AG109" s="360">
        <f t="shared" si="841"/>
        <v>32</v>
      </c>
      <c r="AH109" s="363"/>
      <c r="AI109" s="361">
        <f>IF(T109="AIR",'Catalogue Aluminium'!$K$9,IF(T109="TRENCH",'Catalogue Aluminium'!$K$12,"NA"))</f>
        <v>0.89</v>
      </c>
      <c r="AJ109" s="359">
        <f>IF(T109="Air",(IF(U109="1C",'Catalogue Aluminium'!$L$9,'Catalogue Aluminium'!$M$9)),IF(T109="DUCT",(IF($U109="1C",'Catalogue Aluminium'!$L$10,'Catalogue Aluminium'!$M$10)),IF(T109="GROUND",(IF($U109="1C",'Catalogue Aluminium'!$L$11,'Catalogue Aluminium'!$M$11)),IF(T109="TRENCH",(IF($U109="1C",'Catalogue Aluminium'!$L$12,'Catalogue Aluminium'!$M$12))))))</f>
        <v>0.66</v>
      </c>
      <c r="AK109" s="361" t="str">
        <f>IF(T109="Air",'Catalogue Aluminium'!$N$9,IF(T109="GROUND",'Catalogue Aluminium'!$N$10,IF(T109="DUCT",'Catalogue Aluminium'!$N$11,IF(T109="TRENCH",'Catalogue Aluminium'!$N$12,"NA"))))</f>
        <v>NA</v>
      </c>
      <c r="AL109" s="361" t="str">
        <f>IF(T109="Air",(IF(U109="1C",'Catalogue Aluminium'!$O$9,'Catalogue Aluminium'!$P$9)),IF(T109="DUCT",(IF($U109="1C",'Catalogue Aluminium'!$O$10,'Catalogue Aluminium'!$P$10)),IF(T109="GROUND",(IF($U109="1C",'Catalogue Aluminium'!$O$11,'Catalogue Aluminium'!$P$11)),IF(T109="TRENCH",(IF($U109="1C",'Catalogue Aluminium'!$O$12,'Catalogue Aluminium'!$P$12))))))</f>
        <v>NA</v>
      </c>
      <c r="AM109" s="361" t="str">
        <f>IF(T109="AIR","NA",IF(T109="TRENCH","NA",IF(T109="DUCT",IF(U109="1C",VLOOKUP(V109,'Catalogue Aluminium'!$Q$9:$S$28,2,FALSE),VLOOKUP(V109,'Catalogue Aluminium'!$Q$9:$S$28,3)),IF(T109="GROUND",IF(U109="1C",VLOOKUP(V109,'Catalogue Aluminium'!$Q$9:$S$28,2,FALSE),VLOOKUP(V109,'Catalogue Aluminium'!$Q$9:$S$28,3))))))</f>
        <v>NA</v>
      </c>
      <c r="AN109" s="365">
        <f t="shared" si="842"/>
        <v>0.58740000000000003</v>
      </c>
      <c r="AO109" s="352">
        <f t="shared" si="843"/>
        <v>41.118000000000002</v>
      </c>
      <c r="AP109" s="353">
        <f t="shared" si="689"/>
        <v>1</v>
      </c>
      <c r="AQ109" s="352" t="str">
        <f t="shared" si="844"/>
        <v>YES</v>
      </c>
      <c r="AR109" s="365">
        <f t="shared" si="845"/>
        <v>0</v>
      </c>
      <c r="AS109" s="496" t="str">
        <f t="shared" si="846"/>
        <v>YES</v>
      </c>
      <c r="AT109" s="497">
        <f>IF(G109="MOTOR",(SQRT(3)*AH109*O109*((AA109*P109)+(AB109*SIN(ACOS(P109))))*100/(AP109*K109*1000)),"NA")</f>
        <v>0</v>
      </c>
      <c r="AU109" s="360" t="str">
        <f t="shared" si="847"/>
        <v>YES</v>
      </c>
      <c r="AV109" s="366" t="str">
        <f t="shared" si="848"/>
        <v>1R x 0.6/1kV x 3C x 16 Sqmm</v>
      </c>
      <c r="AW109" s="366" t="str">
        <f t="shared" si="849"/>
        <v>1R x 0.6/1kV x 3C x 16+PE Sqmm</v>
      </c>
      <c r="AX109" s="360"/>
      <c r="AY109" s="367"/>
      <c r="AZ109" s="367"/>
      <c r="BA109" s="520" t="str">
        <f t="shared" si="833"/>
        <v/>
      </c>
      <c r="BB109" s="498"/>
      <c r="BC109" s="426"/>
      <c r="BE109" s="368"/>
      <c r="BF109" s="368"/>
      <c r="BG109" s="368"/>
      <c r="BH109" s="368"/>
      <c r="BI109" s="368"/>
      <c r="BJ109" s="368"/>
      <c r="BK109" s="368"/>
      <c r="BL109" s="368"/>
      <c r="BM109" s="368"/>
      <c r="BN109" s="368"/>
      <c r="BO109" s="368"/>
      <c r="BP109" s="368"/>
      <c r="BQ109" s="368"/>
      <c r="BR109" s="368"/>
      <c r="BS109" s="368"/>
      <c r="BT109" s="368"/>
      <c r="BU109" s="368"/>
      <c r="BV109" s="368"/>
      <c r="BW109" s="368"/>
      <c r="BX109" s="368"/>
      <c r="BY109" s="368"/>
      <c r="BZ109" s="368"/>
      <c r="CA109" s="368"/>
      <c r="CB109" s="368"/>
      <c r="CC109" s="368"/>
      <c r="CD109" s="368"/>
      <c r="CE109" s="368"/>
      <c r="CF109" s="368"/>
      <c r="CG109" s="368"/>
      <c r="CH109" s="368"/>
      <c r="CI109" s="368"/>
      <c r="CJ109" s="368"/>
      <c r="CK109" s="368"/>
      <c r="CL109" s="368"/>
      <c r="CM109" s="368"/>
      <c r="CN109" s="368"/>
      <c r="CO109" s="368"/>
      <c r="CP109" s="368"/>
      <c r="CQ109" s="368"/>
      <c r="CR109" s="368"/>
      <c r="CS109" s="368"/>
      <c r="CT109" s="368"/>
      <c r="CU109" s="368"/>
      <c r="CV109" s="368"/>
      <c r="CW109" s="368"/>
      <c r="CX109" s="368"/>
      <c r="CY109" s="368"/>
      <c r="CZ109" s="368"/>
      <c r="DA109" s="368"/>
      <c r="DB109" s="368"/>
      <c r="DC109" s="368"/>
      <c r="DD109" s="368"/>
      <c r="DE109" s="368"/>
      <c r="DF109" s="368"/>
      <c r="DG109" s="368"/>
      <c r="DH109" s="368"/>
      <c r="DI109" s="368"/>
      <c r="DJ109" s="368"/>
      <c r="DK109" s="368"/>
      <c r="DL109" s="368"/>
      <c r="DM109" s="368"/>
      <c r="DN109" s="368"/>
      <c r="DO109" s="368"/>
      <c r="DP109" s="368"/>
      <c r="DQ109" s="368"/>
      <c r="DR109" s="368"/>
      <c r="DS109" s="368"/>
      <c r="DT109" s="368"/>
      <c r="DU109" s="368"/>
      <c r="DW109" s="368">
        <f t="shared" si="709"/>
        <v>0</v>
      </c>
      <c r="DX109" s="368">
        <f t="shared" si="701"/>
        <v>0</v>
      </c>
      <c r="DY109" s="368">
        <f t="shared" si="702"/>
        <v>0</v>
      </c>
      <c r="DZ109" s="368">
        <f t="shared" si="703"/>
        <v>0</v>
      </c>
      <c r="EA109" s="368">
        <f t="shared" si="704"/>
        <v>0</v>
      </c>
      <c r="EB109" s="368">
        <f t="shared" si="705"/>
        <v>0</v>
      </c>
      <c r="EC109" s="368">
        <f t="shared" si="706"/>
        <v>0</v>
      </c>
      <c r="ED109" s="368">
        <f t="shared" si="621"/>
        <v>0</v>
      </c>
      <c r="EE109" s="368">
        <f t="shared" si="622"/>
        <v>0</v>
      </c>
      <c r="EF109" s="368">
        <f t="shared" si="623"/>
        <v>0</v>
      </c>
      <c r="EG109" s="368">
        <f t="shared" si="624"/>
        <v>0</v>
      </c>
      <c r="EH109" s="368">
        <f t="shared" si="625"/>
        <v>0</v>
      </c>
      <c r="EI109" s="368">
        <f t="shared" si="626"/>
        <v>0</v>
      </c>
      <c r="EJ109" s="368">
        <f t="shared" si="627"/>
        <v>0</v>
      </c>
      <c r="EK109" s="368">
        <f t="shared" si="628"/>
        <v>0</v>
      </c>
      <c r="EL109" s="368">
        <f t="shared" si="629"/>
        <v>0</v>
      </c>
      <c r="EM109" s="368">
        <f t="shared" si="630"/>
        <v>0</v>
      </c>
      <c r="EN109" s="368">
        <f t="shared" si="631"/>
        <v>0</v>
      </c>
      <c r="EO109" s="368">
        <f t="shared" si="632"/>
        <v>0</v>
      </c>
      <c r="EP109" s="368">
        <f t="shared" si="633"/>
        <v>0</v>
      </c>
      <c r="EQ109" s="368">
        <f t="shared" si="634"/>
        <v>0</v>
      </c>
      <c r="ER109" s="368">
        <f t="shared" si="635"/>
        <v>0</v>
      </c>
      <c r="ES109" s="368">
        <f t="shared" si="636"/>
        <v>0</v>
      </c>
      <c r="ET109" s="368">
        <f t="shared" si="636"/>
        <v>0</v>
      </c>
      <c r="EU109" s="368">
        <f t="shared" si="637"/>
        <v>0</v>
      </c>
      <c r="EV109" s="368">
        <f t="shared" si="638"/>
        <v>0</v>
      </c>
      <c r="EW109" s="368">
        <f t="shared" si="639"/>
        <v>0</v>
      </c>
      <c r="EX109" s="368">
        <f t="shared" si="640"/>
        <v>0</v>
      </c>
      <c r="EY109" s="368">
        <f t="shared" si="641"/>
        <v>0</v>
      </c>
      <c r="EZ109" s="368">
        <f t="shared" si="642"/>
        <v>0</v>
      </c>
      <c r="FA109" s="368">
        <f t="shared" si="643"/>
        <v>0</v>
      </c>
      <c r="FB109" s="368">
        <f t="shared" si="644"/>
        <v>0</v>
      </c>
      <c r="FC109" s="368">
        <f t="shared" si="645"/>
        <v>0</v>
      </c>
      <c r="FD109" s="368">
        <f t="shared" si="646"/>
        <v>0</v>
      </c>
      <c r="FE109" s="368">
        <f t="shared" si="647"/>
        <v>0</v>
      </c>
      <c r="FF109" s="368">
        <f t="shared" si="648"/>
        <v>0</v>
      </c>
      <c r="FG109" s="368">
        <f t="shared" si="649"/>
        <v>0</v>
      </c>
      <c r="FH109" s="368">
        <f t="shared" si="650"/>
        <v>0</v>
      </c>
      <c r="FI109" s="368">
        <f t="shared" si="651"/>
        <v>0</v>
      </c>
      <c r="FJ109" s="368">
        <f t="shared" si="652"/>
        <v>0</v>
      </c>
      <c r="FK109" s="368">
        <f t="shared" si="653"/>
        <v>0</v>
      </c>
      <c r="FL109" s="368">
        <f t="shared" si="654"/>
        <v>0</v>
      </c>
      <c r="FM109" s="368">
        <f t="shared" si="655"/>
        <v>0</v>
      </c>
      <c r="FN109" s="368">
        <f t="shared" si="656"/>
        <v>0</v>
      </c>
      <c r="FO109" s="368">
        <f t="shared" si="657"/>
        <v>0</v>
      </c>
      <c r="FP109" s="368">
        <f t="shared" si="658"/>
        <v>0</v>
      </c>
      <c r="FQ109" s="368">
        <f t="shared" si="659"/>
        <v>0</v>
      </c>
      <c r="FR109" s="368">
        <f t="shared" si="660"/>
        <v>0</v>
      </c>
      <c r="FS109" s="368">
        <f t="shared" si="661"/>
        <v>0</v>
      </c>
      <c r="FT109" s="368">
        <f t="shared" si="662"/>
        <v>0</v>
      </c>
      <c r="FU109" s="368"/>
      <c r="FV109" s="368"/>
      <c r="FW109" s="368"/>
      <c r="FX109" s="368"/>
      <c r="FY109" s="368">
        <f t="shared" si="663"/>
        <v>0</v>
      </c>
      <c r="FZ109" s="368">
        <f t="shared" si="664"/>
        <v>0</v>
      </c>
      <c r="GA109" s="368">
        <f t="shared" si="665"/>
        <v>0</v>
      </c>
      <c r="GB109" s="368">
        <f t="shared" si="666"/>
        <v>0</v>
      </c>
      <c r="GC109" s="368">
        <f t="shared" si="667"/>
        <v>0</v>
      </c>
      <c r="GD109" s="368">
        <f t="shared" si="668"/>
        <v>0</v>
      </c>
      <c r="GE109" s="368">
        <f t="shared" si="669"/>
        <v>0</v>
      </c>
      <c r="GF109" s="368">
        <f t="shared" si="670"/>
        <v>0</v>
      </c>
      <c r="GG109" s="368">
        <f t="shared" si="671"/>
        <v>0</v>
      </c>
      <c r="GH109" s="368">
        <f t="shared" si="672"/>
        <v>0</v>
      </c>
      <c r="GI109" s="368">
        <f t="shared" si="673"/>
        <v>0</v>
      </c>
      <c r="GJ109" s="368">
        <f t="shared" si="674"/>
        <v>0</v>
      </c>
      <c r="GK109" s="368">
        <f t="shared" si="677"/>
        <v>0</v>
      </c>
      <c r="GL109" s="368"/>
      <c r="GM109" s="368">
        <f t="shared" si="675"/>
        <v>0</v>
      </c>
    </row>
    <row r="110" spans="1:195" s="83" customFormat="1" ht="20.100000000000001" hidden="1" customHeight="1">
      <c r="A110" s="357" t="s">
        <v>334</v>
      </c>
      <c r="B110" s="357" t="s">
        <v>527</v>
      </c>
      <c r="C110" s="357" t="str">
        <f t="shared" si="834"/>
        <v>PMCC-1</v>
      </c>
      <c r="D110" s="395" t="s">
        <v>588</v>
      </c>
      <c r="E110" s="493" t="s">
        <v>345</v>
      </c>
      <c r="F110" s="357" t="s">
        <v>28</v>
      </c>
      <c r="G110" s="357" t="s">
        <v>329</v>
      </c>
      <c r="H110" s="352">
        <v>2</v>
      </c>
      <c r="I110" s="357" t="s">
        <v>330</v>
      </c>
      <c r="J110" s="357" t="s">
        <v>331</v>
      </c>
      <c r="K110" s="353">
        <v>400</v>
      </c>
      <c r="L110" s="360">
        <v>0.75</v>
      </c>
      <c r="M110" s="352">
        <v>0.85299999999999998</v>
      </c>
      <c r="N110" s="359">
        <f t="shared" si="835"/>
        <v>4.5124439667270435</v>
      </c>
      <c r="O110" s="359">
        <f t="shared" si="680"/>
        <v>0</v>
      </c>
      <c r="P110" s="360" t="str">
        <f t="shared" si="836"/>
        <v>0.00</v>
      </c>
      <c r="Q110" s="352">
        <v>65</v>
      </c>
      <c r="R110" s="352">
        <v>0</v>
      </c>
      <c r="S110" s="352">
        <f t="shared" si="837"/>
        <v>0</v>
      </c>
      <c r="T110" s="360" t="s">
        <v>131</v>
      </c>
      <c r="U110" s="352" t="s">
        <v>522</v>
      </c>
      <c r="V110" s="524">
        <v>6</v>
      </c>
      <c r="W110" s="360" t="str">
        <f t="shared" si="838"/>
        <v>4C X 6</v>
      </c>
      <c r="X110" s="360" t="str">
        <f t="shared" si="839"/>
        <v>4C X 6</v>
      </c>
      <c r="Y110" s="360" t="s">
        <v>358</v>
      </c>
      <c r="Z110" s="361">
        <f>IF(T110="AIR",VLOOKUP(W110,'Catalogue Aluminium'!$B$9:$G$93,2,FALSE),IF(T110="GROUND",VLOOKUP(W110,'Catalogue Aluminium'!$B$9:$G$93,3,FALSE),IF(T110="DUCT",VLOOKUP(W110,'Catalogue Aluminium'!$B$9:$G$93,4,FALSE),IF(T110="TRENCH",VLOOKUP(W110,'Catalogue Aluminium'!$B$9:$G$93,2,FALSE)))))</f>
        <v>51</v>
      </c>
      <c r="AA110" s="362">
        <f>VLOOKUP(W110,'Catalogue Aluminium'!$B$9:$G$93,5,FALSE)</f>
        <v>3.94</v>
      </c>
      <c r="AB110" s="362">
        <f>VLOOKUP(W110,'Catalogue Aluminium'!$B$9:$G$93,6,FALSE)</f>
        <v>9.0200000000000002E-2</v>
      </c>
      <c r="AC110" s="360">
        <f>26+3</f>
        <v>29</v>
      </c>
      <c r="AD110" s="360">
        <f t="shared" si="850"/>
        <v>237</v>
      </c>
      <c r="AE110" s="456">
        <f t="shared" si="840"/>
        <v>38</v>
      </c>
      <c r="AF110" s="360">
        <v>8</v>
      </c>
      <c r="AG110" s="360">
        <f t="shared" si="841"/>
        <v>32</v>
      </c>
      <c r="AH110" s="363"/>
      <c r="AI110" s="361">
        <f>IF(T110="AIR",'Catalogue Aluminium'!$K$9,IF(T110="TRENCH",'Catalogue Aluminium'!$K$12,"NA"))</f>
        <v>0.89</v>
      </c>
      <c r="AJ110" s="359">
        <f>IF(T110="Air",(IF(U110="1C",'Catalogue Aluminium'!$L$9,'Catalogue Aluminium'!$M$9)),IF(T110="DUCT",(IF($U110="1C",'Catalogue Aluminium'!$L$10,'Catalogue Aluminium'!$M$10)),IF(T110="GROUND",(IF($U110="1C",'Catalogue Aluminium'!$L$11,'Catalogue Aluminium'!$M$11)),IF(T110="TRENCH",(IF($U110="1C",'Catalogue Aluminium'!$L$12,'Catalogue Aluminium'!$M$12))))))</f>
        <v>0.66</v>
      </c>
      <c r="AK110" s="361" t="str">
        <f>IF(T110="Air",'Catalogue Aluminium'!$N$9,IF(T110="GROUND",'Catalogue Aluminium'!$N$10,IF(T110="DUCT",'Catalogue Aluminium'!$N$11,IF(T110="TRENCH",'Catalogue Aluminium'!$N$12,"NA"))))</f>
        <v>NA</v>
      </c>
      <c r="AL110" s="361" t="str">
        <f>IF(T110="Air",(IF(U110="1C",'Catalogue Aluminium'!$O$9,'Catalogue Aluminium'!$P$9)),IF(T110="DUCT",(IF($U110="1C",'Catalogue Aluminium'!$O$10,'Catalogue Aluminium'!$P$10)),IF(T110="GROUND",(IF($U110="1C",'Catalogue Aluminium'!$O$11,'Catalogue Aluminium'!$P$11)),IF(T110="TRENCH",(IF($U110="1C",'Catalogue Aluminium'!$O$12,'Catalogue Aluminium'!$P$12))))))</f>
        <v>NA</v>
      </c>
      <c r="AM110" s="361" t="str">
        <f>IF(T110="AIR","NA",IF(T110="TRENCH","NA",IF(T110="DUCT",IF(U110="1C",VLOOKUP(V110,'Catalogue Aluminium'!$Q$9:$S$28,2,FALSE),VLOOKUP(V110,'Catalogue Aluminium'!$Q$9:$S$28,3)),IF(T110="GROUND",IF(U110="1C",VLOOKUP(V110,'Catalogue Aluminium'!$Q$9:$S$28,2,FALSE),VLOOKUP(V110,'Catalogue Aluminium'!$Q$9:$S$28,3))))))</f>
        <v>NA</v>
      </c>
      <c r="AN110" s="365">
        <f t="shared" si="842"/>
        <v>0.58740000000000003</v>
      </c>
      <c r="AO110" s="352">
        <f t="shared" si="843"/>
        <v>29.957400000000003</v>
      </c>
      <c r="AP110" s="353">
        <f t="shared" si="689"/>
        <v>1</v>
      </c>
      <c r="AQ110" s="352" t="str">
        <f t="shared" si="844"/>
        <v>YES</v>
      </c>
      <c r="AR110" s="365">
        <f t="shared" si="845"/>
        <v>0</v>
      </c>
      <c r="AS110" s="496" t="str">
        <f t="shared" si="846"/>
        <v>YES</v>
      </c>
      <c r="AT110" s="365" t="str">
        <f>IF(G110="MOTOR",(SQRT(3)*AH110*O110*((AA110*L110)+(AB110*SIN(ACOS(L110))))*100/(AP110*K110*1000)),"NA")</f>
        <v>NA</v>
      </c>
      <c r="AU110" s="360" t="str">
        <f t="shared" si="847"/>
        <v>NA</v>
      </c>
      <c r="AV110" s="366" t="str">
        <f t="shared" si="848"/>
        <v>1R x 0.6/1kV x 4C x 6 Sqmm</v>
      </c>
      <c r="AW110" s="366" t="str">
        <f t="shared" si="849"/>
        <v>1R x 0.6/1kV x 4C x 6 Sqmm</v>
      </c>
      <c r="AX110" s="360"/>
      <c r="AY110" s="367"/>
      <c r="AZ110" s="367"/>
      <c r="BA110" s="520" t="str">
        <f t="shared" si="833"/>
        <v/>
      </c>
      <c r="BB110" s="498"/>
      <c r="BC110" s="426"/>
      <c r="BE110" s="368"/>
      <c r="BF110" s="368"/>
      <c r="BG110" s="368"/>
      <c r="BH110" s="368"/>
      <c r="BI110" s="368"/>
      <c r="BJ110" s="368"/>
      <c r="BK110" s="368"/>
      <c r="BL110" s="368"/>
      <c r="BM110" s="368"/>
      <c r="BN110" s="368"/>
      <c r="BO110" s="368"/>
      <c r="BP110" s="368"/>
      <c r="BQ110" s="368"/>
      <c r="BR110" s="368"/>
      <c r="BS110" s="368"/>
      <c r="BT110" s="368"/>
      <c r="BU110" s="368"/>
      <c r="BV110" s="368"/>
      <c r="BW110" s="368"/>
      <c r="BX110" s="368"/>
      <c r="BY110" s="368"/>
      <c r="BZ110" s="368"/>
      <c r="CA110" s="368"/>
      <c r="CB110" s="368"/>
      <c r="CC110" s="368"/>
      <c r="CD110" s="368"/>
      <c r="CE110" s="368"/>
      <c r="CF110" s="368"/>
      <c r="CG110" s="368"/>
      <c r="CH110" s="368"/>
      <c r="CI110" s="368"/>
      <c r="CJ110" s="368"/>
      <c r="CK110" s="368"/>
      <c r="CL110" s="368"/>
      <c r="CM110" s="368"/>
      <c r="CN110" s="368"/>
      <c r="CO110" s="368"/>
      <c r="CP110" s="368"/>
      <c r="CQ110" s="368"/>
      <c r="CR110" s="368"/>
      <c r="CS110" s="368"/>
      <c r="CT110" s="368"/>
      <c r="CU110" s="368"/>
      <c r="CV110" s="368"/>
      <c r="CW110" s="368"/>
      <c r="CX110" s="368"/>
      <c r="CY110" s="368"/>
      <c r="CZ110" s="368"/>
      <c r="DA110" s="368"/>
      <c r="DB110" s="368"/>
      <c r="DC110" s="368"/>
      <c r="DD110" s="368"/>
      <c r="DE110" s="368"/>
      <c r="DF110" s="368"/>
      <c r="DG110" s="368"/>
      <c r="DH110" s="368"/>
      <c r="DI110" s="368"/>
      <c r="DJ110" s="368"/>
      <c r="DK110" s="368"/>
      <c r="DL110" s="368"/>
      <c r="DM110" s="368"/>
      <c r="DN110" s="368"/>
      <c r="DO110" s="368"/>
      <c r="DP110" s="368"/>
      <c r="DQ110" s="368"/>
      <c r="DR110" s="368"/>
      <c r="DS110" s="368"/>
      <c r="DT110" s="368"/>
      <c r="DU110" s="368"/>
      <c r="DW110" s="368">
        <f t="shared" si="709"/>
        <v>0</v>
      </c>
      <c r="DX110" s="368">
        <f t="shared" si="701"/>
        <v>0</v>
      </c>
      <c r="DY110" s="368">
        <f t="shared" si="702"/>
        <v>0</v>
      </c>
      <c r="DZ110" s="368">
        <f t="shared" si="703"/>
        <v>0</v>
      </c>
      <c r="EA110" s="368">
        <f t="shared" si="704"/>
        <v>0</v>
      </c>
      <c r="EB110" s="368">
        <f t="shared" si="705"/>
        <v>0</v>
      </c>
      <c r="EC110" s="368">
        <f t="shared" si="706"/>
        <v>0</v>
      </c>
      <c r="ED110" s="368">
        <f t="shared" si="621"/>
        <v>0</v>
      </c>
      <c r="EE110" s="368">
        <f t="shared" si="622"/>
        <v>0</v>
      </c>
      <c r="EF110" s="368">
        <f t="shared" si="623"/>
        <v>0</v>
      </c>
      <c r="EG110" s="368">
        <f t="shared" si="624"/>
        <v>0</v>
      </c>
      <c r="EH110" s="368">
        <f t="shared" si="625"/>
        <v>0</v>
      </c>
      <c r="EI110" s="368">
        <f t="shared" si="626"/>
        <v>0</v>
      </c>
      <c r="EJ110" s="368">
        <f t="shared" si="627"/>
        <v>0</v>
      </c>
      <c r="EK110" s="368">
        <f t="shared" si="628"/>
        <v>0</v>
      </c>
      <c r="EL110" s="368">
        <f t="shared" si="629"/>
        <v>0</v>
      </c>
      <c r="EM110" s="368">
        <f t="shared" si="630"/>
        <v>0</v>
      </c>
      <c r="EN110" s="368">
        <f t="shared" si="631"/>
        <v>0</v>
      </c>
      <c r="EO110" s="368">
        <f t="shared" si="632"/>
        <v>0</v>
      </c>
      <c r="EP110" s="368">
        <f t="shared" si="633"/>
        <v>0</v>
      </c>
      <c r="EQ110" s="368">
        <f t="shared" si="634"/>
        <v>0</v>
      </c>
      <c r="ER110" s="368">
        <f t="shared" si="635"/>
        <v>0</v>
      </c>
      <c r="ES110" s="368">
        <f t="shared" si="636"/>
        <v>0</v>
      </c>
      <c r="ET110" s="368">
        <f t="shared" si="636"/>
        <v>0</v>
      </c>
      <c r="EU110" s="368">
        <f t="shared" si="637"/>
        <v>0</v>
      </c>
      <c r="EV110" s="368">
        <f t="shared" si="638"/>
        <v>0</v>
      </c>
      <c r="EW110" s="368">
        <f t="shared" si="639"/>
        <v>0</v>
      </c>
      <c r="EX110" s="368">
        <f t="shared" si="640"/>
        <v>0</v>
      </c>
      <c r="EY110" s="368">
        <f t="shared" si="641"/>
        <v>0</v>
      </c>
      <c r="EZ110" s="368">
        <f t="shared" si="642"/>
        <v>0</v>
      </c>
      <c r="FA110" s="368">
        <f t="shared" si="643"/>
        <v>0</v>
      </c>
      <c r="FB110" s="368">
        <f t="shared" si="644"/>
        <v>0</v>
      </c>
      <c r="FC110" s="368">
        <f t="shared" si="645"/>
        <v>0</v>
      </c>
      <c r="FD110" s="368">
        <f t="shared" si="646"/>
        <v>0</v>
      </c>
      <c r="FE110" s="368">
        <f t="shared" si="647"/>
        <v>0</v>
      </c>
      <c r="FF110" s="368">
        <f t="shared" si="648"/>
        <v>0</v>
      </c>
      <c r="FG110" s="368">
        <f t="shared" si="649"/>
        <v>0</v>
      </c>
      <c r="FH110" s="368">
        <f t="shared" si="650"/>
        <v>0</v>
      </c>
      <c r="FI110" s="368">
        <f t="shared" si="651"/>
        <v>0</v>
      </c>
      <c r="FJ110" s="368">
        <f t="shared" si="652"/>
        <v>0</v>
      </c>
      <c r="FK110" s="368">
        <f t="shared" si="653"/>
        <v>0</v>
      </c>
      <c r="FL110" s="368">
        <f t="shared" si="654"/>
        <v>0</v>
      </c>
      <c r="FM110" s="368">
        <f t="shared" si="655"/>
        <v>0</v>
      </c>
      <c r="FN110" s="368">
        <f t="shared" si="656"/>
        <v>0</v>
      </c>
      <c r="FO110" s="368">
        <f t="shared" si="657"/>
        <v>0</v>
      </c>
      <c r="FP110" s="368">
        <f t="shared" si="658"/>
        <v>0</v>
      </c>
      <c r="FQ110" s="368">
        <f t="shared" si="659"/>
        <v>0</v>
      </c>
      <c r="FR110" s="368">
        <f t="shared" si="660"/>
        <v>0</v>
      </c>
      <c r="FS110" s="368">
        <f t="shared" si="661"/>
        <v>0</v>
      </c>
      <c r="FT110" s="368">
        <f t="shared" si="662"/>
        <v>0</v>
      </c>
      <c r="FU110" s="368"/>
      <c r="FV110" s="368"/>
      <c r="FW110" s="368"/>
      <c r="FX110" s="368"/>
      <c r="FY110" s="368">
        <f t="shared" si="663"/>
        <v>0</v>
      </c>
      <c r="FZ110" s="368">
        <f t="shared" si="664"/>
        <v>0</v>
      </c>
      <c r="GA110" s="368">
        <f t="shared" si="665"/>
        <v>0</v>
      </c>
      <c r="GB110" s="368">
        <f t="shared" si="666"/>
        <v>0</v>
      </c>
      <c r="GC110" s="368">
        <f t="shared" si="667"/>
        <v>0</v>
      </c>
      <c r="GD110" s="368">
        <f t="shared" si="668"/>
        <v>0</v>
      </c>
      <c r="GE110" s="368">
        <f t="shared" si="669"/>
        <v>0</v>
      </c>
      <c r="GF110" s="368">
        <f t="shared" si="670"/>
        <v>0</v>
      </c>
      <c r="GG110" s="368">
        <f t="shared" si="671"/>
        <v>0</v>
      </c>
      <c r="GH110" s="368">
        <f t="shared" si="672"/>
        <v>0</v>
      </c>
      <c r="GI110" s="368">
        <f t="shared" si="673"/>
        <v>0</v>
      </c>
      <c r="GJ110" s="368">
        <f t="shared" si="674"/>
        <v>0</v>
      </c>
      <c r="GK110" s="368">
        <f t="shared" si="677"/>
        <v>0</v>
      </c>
      <c r="GL110" s="368"/>
      <c r="GM110" s="368">
        <f t="shared" si="675"/>
        <v>0</v>
      </c>
    </row>
    <row r="111" spans="1:195" s="83" customFormat="1" ht="20.100000000000001" hidden="1" customHeight="1">
      <c r="A111" s="357" t="s">
        <v>334</v>
      </c>
      <c r="B111" s="357" t="s">
        <v>527</v>
      </c>
      <c r="C111" s="357" t="str">
        <f t="shared" si="834"/>
        <v>PMCC-1</v>
      </c>
      <c r="D111" s="395" t="s">
        <v>589</v>
      </c>
      <c r="E111" s="493" t="s">
        <v>345</v>
      </c>
      <c r="F111" s="357" t="s">
        <v>29</v>
      </c>
      <c r="G111" s="357" t="s">
        <v>329</v>
      </c>
      <c r="H111" s="352">
        <v>6</v>
      </c>
      <c r="I111" s="357" t="s">
        <v>330</v>
      </c>
      <c r="J111" s="357" t="s">
        <v>331</v>
      </c>
      <c r="K111" s="353">
        <v>400</v>
      </c>
      <c r="L111" s="360">
        <v>0.85</v>
      </c>
      <c r="M111" s="352">
        <v>0.95</v>
      </c>
      <c r="N111" s="359">
        <f t="shared" si="835"/>
        <v>10.725087409462388</v>
      </c>
      <c r="O111" s="359">
        <f t="shared" si="680"/>
        <v>0</v>
      </c>
      <c r="P111" s="360" t="str">
        <f t="shared" si="836"/>
        <v>0.00</v>
      </c>
      <c r="Q111" s="352">
        <v>65</v>
      </c>
      <c r="R111" s="352">
        <v>0</v>
      </c>
      <c r="S111" s="352">
        <f t="shared" si="837"/>
        <v>0</v>
      </c>
      <c r="T111" s="360" t="s">
        <v>131</v>
      </c>
      <c r="U111" s="352" t="s">
        <v>535</v>
      </c>
      <c r="V111" s="360">
        <v>25</v>
      </c>
      <c r="W111" s="360" t="str">
        <f t="shared" si="838"/>
        <v>3.5C X 25</v>
      </c>
      <c r="X111" s="360" t="str">
        <f t="shared" si="839"/>
        <v>3.5C X 25</v>
      </c>
      <c r="Y111" s="360" t="s">
        <v>358</v>
      </c>
      <c r="Z111" s="361">
        <f>IF(T111="AIR",VLOOKUP(W111,'Catalogue Aluminium'!$B$9:$G$93,2,FALSE),IF(T111="GROUND",VLOOKUP(W111,'Catalogue Aluminium'!$B$9:$G$93,3,FALSE),IF(T111="DUCT",VLOOKUP(W111,'Catalogue Aluminium'!$B$9:$G$93,4,FALSE),IF(T111="TRENCH",VLOOKUP(W111,'Catalogue Aluminium'!$B$9:$G$93,2,FALSE)))))</f>
        <v>95</v>
      </c>
      <c r="AA111" s="362">
        <f>VLOOKUP(W111,'Catalogue Aluminium'!$B$9:$G$93,5,FALSE)</f>
        <v>1.54</v>
      </c>
      <c r="AB111" s="362">
        <f>VLOOKUP(W111,'Catalogue Aluminium'!$B$9:$G$93,6,FALSE)</f>
        <v>8.1600000000000006E-2</v>
      </c>
      <c r="AC111" s="360">
        <f>35+3</f>
        <v>38</v>
      </c>
      <c r="AD111" s="360">
        <f>11+34+48+35+30+11+24+(15+18+3+26)</f>
        <v>255</v>
      </c>
      <c r="AE111" s="456">
        <f t="shared" si="840"/>
        <v>38</v>
      </c>
      <c r="AF111" s="360">
        <v>8</v>
      </c>
      <c r="AG111" s="360">
        <f t="shared" si="841"/>
        <v>34</v>
      </c>
      <c r="AH111" s="363"/>
      <c r="AI111" s="361">
        <f>IF(T111="AIR",'Catalogue Aluminium'!$K$9,IF(T111="TRENCH",'Catalogue Aluminium'!$K$12,"NA"))</f>
        <v>0.89</v>
      </c>
      <c r="AJ111" s="359">
        <f>IF(T111="Air",(IF(U111="1C",'Catalogue Aluminium'!$L$9,'Catalogue Aluminium'!$M$9)),IF(T111="DUCT",(IF($U111="1C",'Catalogue Aluminium'!$L$10,'Catalogue Aluminium'!$M$10)),IF(T111="GROUND",(IF($U111="1C",'Catalogue Aluminium'!$L$11,'Catalogue Aluminium'!$M$11)),IF(T111="TRENCH",(IF($U111="1C",'Catalogue Aluminium'!$L$12,'Catalogue Aluminium'!$M$12))))))</f>
        <v>0.66</v>
      </c>
      <c r="AK111" s="361" t="str">
        <f>IF(T111="Air",'Catalogue Aluminium'!$N$9,IF(T111="GROUND",'Catalogue Aluminium'!$N$10,IF(T111="DUCT",'Catalogue Aluminium'!$N$11,IF(T111="TRENCH",'Catalogue Aluminium'!$N$12,"NA"))))</f>
        <v>NA</v>
      </c>
      <c r="AL111" s="361" t="str">
        <f>IF(T111="Air",(IF(U111="1C",'Catalogue Aluminium'!$O$9,'Catalogue Aluminium'!$P$9)),IF(T111="DUCT",(IF($U111="1C",'Catalogue Aluminium'!$O$10,'Catalogue Aluminium'!$P$10)),IF(T111="GROUND",(IF($U111="1C",'Catalogue Aluminium'!$O$11,'Catalogue Aluminium'!$P$11)),IF(T111="TRENCH",(IF($U111="1C",'Catalogue Aluminium'!$O$12,'Catalogue Aluminium'!$P$12))))))</f>
        <v>NA</v>
      </c>
      <c r="AM111" s="361" t="str">
        <f>IF(T111="AIR","NA",IF(T111="TRENCH","NA",IF(T111="DUCT",IF(U111="1C",VLOOKUP(V111,'Catalogue Aluminium'!$Q$9:$S$28,2,FALSE),VLOOKUP(V111,'Catalogue Aluminium'!$Q$9:$S$28,3)),IF(T111="GROUND",IF(U111="1C",VLOOKUP(V111,'Catalogue Aluminium'!$Q$9:$S$28,2,FALSE),VLOOKUP(V111,'Catalogue Aluminium'!$Q$9:$S$28,3))))))</f>
        <v>NA</v>
      </c>
      <c r="AN111" s="365">
        <f t="shared" si="842"/>
        <v>0.58740000000000003</v>
      </c>
      <c r="AO111" s="352">
        <f t="shared" si="843"/>
        <v>55.803000000000004</v>
      </c>
      <c r="AP111" s="353">
        <f t="shared" si="689"/>
        <v>1</v>
      </c>
      <c r="AQ111" s="352" t="str">
        <f t="shared" si="844"/>
        <v>YES</v>
      </c>
      <c r="AR111" s="365">
        <f t="shared" si="845"/>
        <v>0</v>
      </c>
      <c r="AS111" s="496" t="str">
        <f t="shared" si="846"/>
        <v>YES</v>
      </c>
      <c r="AT111" s="365" t="str">
        <f>IF(G111="MOTOR",(SQRT(3)*AH111*O111*((AA111*L111)+(AB111*SIN(ACOS(L111))))*100/(AP111*K111*1000)),"NA")</f>
        <v>NA</v>
      </c>
      <c r="AU111" s="360" t="str">
        <f t="shared" si="847"/>
        <v>NA</v>
      </c>
      <c r="AV111" s="366" t="str">
        <f t="shared" si="848"/>
        <v>1R x 0.6/1kV x 3.5C x 25 Sqmm</v>
      </c>
      <c r="AW111" s="366" t="str">
        <f t="shared" si="849"/>
        <v>1R x 0.6/1kV x 3.5C x 25 Sqmm</v>
      </c>
      <c r="AX111" s="360"/>
      <c r="AY111" s="367"/>
      <c r="AZ111" s="367"/>
      <c r="BA111" s="520" t="str">
        <f t="shared" si="833"/>
        <v/>
      </c>
      <c r="BB111" s="498"/>
      <c r="BC111" s="426"/>
      <c r="BE111" s="368"/>
      <c r="BF111" s="368"/>
      <c r="BG111" s="368"/>
      <c r="BH111" s="368"/>
      <c r="BI111" s="368"/>
      <c r="BJ111" s="368"/>
      <c r="BK111" s="368"/>
      <c r="BL111" s="368"/>
      <c r="BM111" s="368"/>
      <c r="BN111" s="368"/>
      <c r="BO111" s="368"/>
      <c r="BP111" s="368"/>
      <c r="BQ111" s="368"/>
      <c r="BR111" s="368"/>
      <c r="BS111" s="368"/>
      <c r="BT111" s="368"/>
      <c r="BU111" s="368"/>
      <c r="BV111" s="368"/>
      <c r="BW111" s="368"/>
      <c r="BX111" s="368"/>
      <c r="BY111" s="368"/>
      <c r="BZ111" s="368"/>
      <c r="CA111" s="368"/>
      <c r="CB111" s="368"/>
      <c r="CC111" s="368"/>
      <c r="CD111" s="368"/>
      <c r="CE111" s="368"/>
      <c r="CF111" s="368"/>
      <c r="CG111" s="368"/>
      <c r="CH111" s="368"/>
      <c r="CI111" s="368"/>
      <c r="CJ111" s="368"/>
      <c r="CK111" s="368"/>
      <c r="CL111" s="368"/>
      <c r="CM111" s="368"/>
      <c r="CN111" s="368"/>
      <c r="CO111" s="368"/>
      <c r="CP111" s="368"/>
      <c r="CQ111" s="368"/>
      <c r="CR111" s="368"/>
      <c r="CS111" s="368"/>
      <c r="CT111" s="368"/>
      <c r="CU111" s="368"/>
      <c r="CV111" s="368"/>
      <c r="CW111" s="368"/>
      <c r="CX111" s="368"/>
      <c r="CY111" s="368"/>
      <c r="CZ111" s="368"/>
      <c r="DA111" s="368"/>
      <c r="DB111" s="368"/>
      <c r="DC111" s="368"/>
      <c r="DD111" s="368"/>
      <c r="DE111" s="368"/>
      <c r="DF111" s="368"/>
      <c r="DG111" s="368"/>
      <c r="DH111" s="368"/>
      <c r="DI111" s="368"/>
      <c r="DJ111" s="368"/>
      <c r="DK111" s="368"/>
      <c r="DL111" s="368"/>
      <c r="DM111" s="368"/>
      <c r="DN111" s="368"/>
      <c r="DO111" s="368"/>
      <c r="DP111" s="368"/>
      <c r="DQ111" s="368"/>
      <c r="DR111" s="368"/>
      <c r="DS111" s="368"/>
      <c r="DT111" s="368"/>
      <c r="DU111" s="368"/>
      <c r="DW111" s="368">
        <f t="shared" si="709"/>
        <v>0</v>
      </c>
      <c r="DX111" s="368">
        <f t="shared" si="701"/>
        <v>0</v>
      </c>
      <c r="DY111" s="368">
        <f t="shared" si="702"/>
        <v>0</v>
      </c>
      <c r="DZ111" s="368">
        <f t="shared" si="703"/>
        <v>0</v>
      </c>
      <c r="EA111" s="368">
        <f t="shared" si="704"/>
        <v>0</v>
      </c>
      <c r="EB111" s="368">
        <f t="shared" si="705"/>
        <v>0</v>
      </c>
      <c r="EC111" s="368">
        <f t="shared" si="706"/>
        <v>0</v>
      </c>
      <c r="ED111" s="368">
        <f t="shared" si="621"/>
        <v>0</v>
      </c>
      <c r="EE111" s="368">
        <f t="shared" si="622"/>
        <v>0</v>
      </c>
      <c r="EF111" s="368">
        <f t="shared" si="623"/>
        <v>0</v>
      </c>
      <c r="EG111" s="368">
        <f t="shared" si="624"/>
        <v>0</v>
      </c>
      <c r="EH111" s="368">
        <f t="shared" si="625"/>
        <v>0</v>
      </c>
      <c r="EI111" s="368">
        <f t="shared" si="626"/>
        <v>0</v>
      </c>
      <c r="EJ111" s="368">
        <f t="shared" si="627"/>
        <v>0</v>
      </c>
      <c r="EK111" s="368">
        <f t="shared" si="628"/>
        <v>0</v>
      </c>
      <c r="EL111" s="368">
        <f t="shared" si="629"/>
        <v>0</v>
      </c>
      <c r="EM111" s="368">
        <f t="shared" si="630"/>
        <v>0</v>
      </c>
      <c r="EN111" s="368">
        <f t="shared" si="631"/>
        <v>0</v>
      </c>
      <c r="EO111" s="368">
        <f t="shared" si="632"/>
        <v>0</v>
      </c>
      <c r="EP111" s="368">
        <f t="shared" si="633"/>
        <v>0</v>
      </c>
      <c r="EQ111" s="368">
        <f t="shared" si="634"/>
        <v>0</v>
      </c>
      <c r="ER111" s="368">
        <f t="shared" si="635"/>
        <v>0</v>
      </c>
      <c r="ES111" s="368">
        <f t="shared" si="636"/>
        <v>0</v>
      </c>
      <c r="ET111" s="368">
        <f t="shared" si="636"/>
        <v>0</v>
      </c>
      <c r="EU111" s="368">
        <f t="shared" si="637"/>
        <v>0</v>
      </c>
      <c r="EV111" s="368">
        <f t="shared" si="638"/>
        <v>0</v>
      </c>
      <c r="EW111" s="368">
        <f t="shared" si="639"/>
        <v>0</v>
      </c>
      <c r="EX111" s="368">
        <f t="shared" si="640"/>
        <v>0</v>
      </c>
      <c r="EY111" s="368">
        <f t="shared" si="641"/>
        <v>0</v>
      </c>
      <c r="EZ111" s="368">
        <f t="shared" si="642"/>
        <v>0</v>
      </c>
      <c r="FA111" s="368">
        <f t="shared" si="643"/>
        <v>0</v>
      </c>
      <c r="FB111" s="368">
        <f t="shared" si="644"/>
        <v>0</v>
      </c>
      <c r="FC111" s="368">
        <f t="shared" si="645"/>
        <v>0</v>
      </c>
      <c r="FD111" s="368">
        <f t="shared" si="646"/>
        <v>0</v>
      </c>
      <c r="FE111" s="368">
        <f t="shared" si="647"/>
        <v>0</v>
      </c>
      <c r="FF111" s="368">
        <f t="shared" si="648"/>
        <v>0</v>
      </c>
      <c r="FG111" s="368">
        <f t="shared" si="649"/>
        <v>0</v>
      </c>
      <c r="FH111" s="368">
        <f t="shared" si="650"/>
        <v>0</v>
      </c>
      <c r="FI111" s="368">
        <f t="shared" si="651"/>
        <v>0</v>
      </c>
      <c r="FJ111" s="368">
        <f t="shared" si="652"/>
        <v>0</v>
      </c>
      <c r="FK111" s="368">
        <f t="shared" si="653"/>
        <v>0</v>
      </c>
      <c r="FL111" s="368">
        <f t="shared" si="654"/>
        <v>0</v>
      </c>
      <c r="FM111" s="368">
        <f t="shared" si="655"/>
        <v>0</v>
      </c>
      <c r="FN111" s="368">
        <f t="shared" si="656"/>
        <v>0</v>
      </c>
      <c r="FO111" s="368">
        <f t="shared" si="657"/>
        <v>0</v>
      </c>
      <c r="FP111" s="368">
        <f t="shared" si="658"/>
        <v>0</v>
      </c>
      <c r="FQ111" s="368">
        <f t="shared" si="659"/>
        <v>0</v>
      </c>
      <c r="FR111" s="368">
        <f t="shared" si="660"/>
        <v>0</v>
      </c>
      <c r="FS111" s="368">
        <f t="shared" si="661"/>
        <v>0</v>
      </c>
      <c r="FT111" s="368">
        <f t="shared" si="662"/>
        <v>0</v>
      </c>
      <c r="FU111" s="368"/>
      <c r="FV111" s="368"/>
      <c r="FW111" s="368"/>
      <c r="FX111" s="368"/>
      <c r="FY111" s="368">
        <f t="shared" si="663"/>
        <v>0</v>
      </c>
      <c r="FZ111" s="368">
        <f t="shared" si="664"/>
        <v>0</v>
      </c>
      <c r="GA111" s="368">
        <f t="shared" si="665"/>
        <v>0</v>
      </c>
      <c r="GB111" s="368">
        <f t="shared" si="666"/>
        <v>0</v>
      </c>
      <c r="GC111" s="368">
        <f t="shared" si="667"/>
        <v>0</v>
      </c>
      <c r="GD111" s="368">
        <f t="shared" si="668"/>
        <v>0</v>
      </c>
      <c r="GE111" s="368">
        <f t="shared" si="669"/>
        <v>0</v>
      </c>
      <c r="GF111" s="368">
        <f t="shared" si="670"/>
        <v>0</v>
      </c>
      <c r="GG111" s="368">
        <f t="shared" si="671"/>
        <v>0</v>
      </c>
      <c r="GH111" s="368">
        <f t="shared" si="672"/>
        <v>0</v>
      </c>
      <c r="GI111" s="368">
        <f t="shared" si="673"/>
        <v>0</v>
      </c>
      <c r="GJ111" s="368">
        <f t="shared" si="674"/>
        <v>0</v>
      </c>
      <c r="GK111" s="368">
        <f t="shared" si="677"/>
        <v>0</v>
      </c>
      <c r="GL111" s="368"/>
      <c r="GM111" s="368">
        <f t="shared" si="675"/>
        <v>0</v>
      </c>
    </row>
    <row r="112" spans="1:195" s="83" customFormat="1" ht="20.100000000000001" hidden="1" customHeight="1">
      <c r="A112" s="357" t="s">
        <v>334</v>
      </c>
      <c r="B112" s="357" t="s">
        <v>527</v>
      </c>
      <c r="C112" s="357" t="str">
        <f t="shared" si="834"/>
        <v>PMCC-1</v>
      </c>
      <c r="D112" s="395" t="s">
        <v>590</v>
      </c>
      <c r="E112" s="493" t="s">
        <v>345</v>
      </c>
      <c r="F112" s="357" t="s">
        <v>29</v>
      </c>
      <c r="G112" s="357" t="s">
        <v>350</v>
      </c>
      <c r="H112" s="352">
        <v>4</v>
      </c>
      <c r="I112" s="357" t="s">
        <v>330</v>
      </c>
      <c r="J112" s="357" t="s">
        <v>331</v>
      </c>
      <c r="K112" s="353">
        <v>400</v>
      </c>
      <c r="L112" s="360">
        <v>0.85</v>
      </c>
      <c r="M112" s="352">
        <v>0.95</v>
      </c>
      <c r="N112" s="359">
        <f t="shared" si="835"/>
        <v>7.1500582729749258</v>
      </c>
      <c r="O112" s="359">
        <f t="shared" si="680"/>
        <v>42.900349637849558</v>
      </c>
      <c r="P112" s="360">
        <f t="shared" si="836"/>
        <v>0.2</v>
      </c>
      <c r="Q112" s="352">
        <v>65</v>
      </c>
      <c r="R112" s="352">
        <v>0</v>
      </c>
      <c r="S112" s="352">
        <f t="shared" si="837"/>
        <v>0</v>
      </c>
      <c r="T112" s="360" t="s">
        <v>131</v>
      </c>
      <c r="U112" s="352" t="s">
        <v>333</v>
      </c>
      <c r="V112" s="360">
        <v>16</v>
      </c>
      <c r="W112" s="360" t="str">
        <f t="shared" si="838"/>
        <v>3C X 16</v>
      </c>
      <c r="X112" s="360" t="str">
        <f t="shared" si="839"/>
        <v>3C X 16+PE</v>
      </c>
      <c r="Y112" s="360" t="s">
        <v>358</v>
      </c>
      <c r="Z112" s="361">
        <f>IF(T112="AIR",VLOOKUP(W112,'Catalogue Aluminium'!$B$9:$G$93,2,FALSE),IF(T112="GROUND",VLOOKUP(W112,'Catalogue Aluminium'!$B$9:$G$93,3,FALSE),IF(T112="DUCT",VLOOKUP(W112,'Catalogue Aluminium'!$B$9:$G$93,4,FALSE),IF(T112="TRENCH",VLOOKUP(W112,'Catalogue Aluminium'!$B$9:$G$93,2,FALSE)))))</f>
        <v>70</v>
      </c>
      <c r="AA112" s="362">
        <f>VLOOKUP(W112,'Catalogue Aluminium'!$B$9:$G$93,5,FALSE)</f>
        <v>2.44</v>
      </c>
      <c r="AB112" s="362">
        <f>VLOOKUP(W112,'Catalogue Aluminium'!$B$9:$G$93,6,FALSE)</f>
        <v>8.1500000000000003E-2</v>
      </c>
      <c r="AC112" s="360">
        <f>35+3</f>
        <v>38</v>
      </c>
      <c r="AD112" s="360">
        <f t="shared" ref="AD112:AD113" si="851">11+34+48+35+30+11+24+(15+18+3+26)</f>
        <v>255</v>
      </c>
      <c r="AE112" s="456">
        <f t="shared" si="840"/>
        <v>38</v>
      </c>
      <c r="AF112" s="360">
        <v>8</v>
      </c>
      <c r="AG112" s="360">
        <f t="shared" si="841"/>
        <v>34</v>
      </c>
      <c r="AH112" s="363"/>
      <c r="AI112" s="361">
        <f>IF(T112="AIR",'Catalogue Aluminium'!$K$9,IF(T112="TRENCH",'Catalogue Aluminium'!$K$12,"NA"))</f>
        <v>0.89</v>
      </c>
      <c r="AJ112" s="359">
        <f>IF(T112="Air",(IF(U112="1C",'Catalogue Aluminium'!$L$9,'Catalogue Aluminium'!$M$9)),IF(T112="DUCT",(IF($U112="1C",'Catalogue Aluminium'!$L$10,'Catalogue Aluminium'!$M$10)),IF(T112="GROUND",(IF($U112="1C",'Catalogue Aluminium'!$L$11,'Catalogue Aluminium'!$M$11)),IF(T112="TRENCH",(IF($U112="1C",'Catalogue Aluminium'!$L$12,'Catalogue Aluminium'!$M$12))))))</f>
        <v>0.66</v>
      </c>
      <c r="AK112" s="361" t="str">
        <f>IF(T112="Air",'Catalogue Aluminium'!$N$9,IF(T112="GROUND",'Catalogue Aluminium'!$N$10,IF(T112="DUCT",'Catalogue Aluminium'!$N$11,IF(T112="TRENCH",'Catalogue Aluminium'!$N$12,"NA"))))</f>
        <v>NA</v>
      </c>
      <c r="AL112" s="361" t="str">
        <f>IF(T112="Air",(IF(U112="1C",'Catalogue Aluminium'!$O$9,'Catalogue Aluminium'!$P$9)),IF(T112="DUCT",(IF($U112="1C",'Catalogue Aluminium'!$O$10,'Catalogue Aluminium'!$P$10)),IF(T112="GROUND",(IF($U112="1C",'Catalogue Aluminium'!$O$11,'Catalogue Aluminium'!$P$11)),IF(T112="TRENCH",(IF($U112="1C",'Catalogue Aluminium'!$O$12,'Catalogue Aluminium'!$P$12))))))</f>
        <v>NA</v>
      </c>
      <c r="AM112" s="361" t="str">
        <f>IF(T112="AIR","NA",IF(T112="TRENCH","NA",IF(T112="DUCT",IF(U112="1C",VLOOKUP(V112,'Catalogue Aluminium'!$Q$9:$S$28,2,FALSE),VLOOKUP(V112,'Catalogue Aluminium'!$Q$9:$S$28,3)),IF(T112="GROUND",IF(U112="1C",VLOOKUP(V112,'Catalogue Aluminium'!$Q$9:$S$28,2,FALSE),VLOOKUP(V112,'Catalogue Aluminium'!$Q$9:$S$28,3))))))</f>
        <v>NA</v>
      </c>
      <c r="AN112" s="365">
        <f t="shared" si="842"/>
        <v>0.58740000000000003</v>
      </c>
      <c r="AO112" s="352">
        <f t="shared" si="843"/>
        <v>41.118000000000002</v>
      </c>
      <c r="AP112" s="353">
        <f t="shared" si="689"/>
        <v>1</v>
      </c>
      <c r="AQ112" s="352" t="str">
        <f t="shared" si="844"/>
        <v>YES</v>
      </c>
      <c r="AR112" s="365">
        <f t="shared" si="845"/>
        <v>0</v>
      </c>
      <c r="AS112" s="496" t="str">
        <f t="shared" si="846"/>
        <v>YES</v>
      </c>
      <c r="AT112" s="497">
        <f>IF(G112="MOTOR",(SQRT(3)*AH112*O112*((AA112*P112)+(AB112*SIN(ACOS(P112))))*100/(AP112*K112*1000)),"NA")</f>
        <v>0</v>
      </c>
      <c r="AU112" s="360" t="str">
        <f t="shared" si="847"/>
        <v>YES</v>
      </c>
      <c r="AV112" s="366" t="str">
        <f t="shared" si="848"/>
        <v>1R x 0.6/1kV x 3C x 16 Sqmm</v>
      </c>
      <c r="AW112" s="366" t="str">
        <f t="shared" si="849"/>
        <v>1R x 0.6/1kV x 3C x 16+PE Sqmm</v>
      </c>
      <c r="AX112" s="360"/>
      <c r="AY112" s="367"/>
      <c r="AZ112" s="367"/>
      <c r="BA112" s="520" t="str">
        <f t="shared" si="833"/>
        <v/>
      </c>
      <c r="BB112" s="498"/>
      <c r="BC112" s="426"/>
      <c r="BE112" s="368"/>
      <c r="BF112" s="368"/>
      <c r="BG112" s="368"/>
      <c r="BH112" s="368"/>
      <c r="BI112" s="368"/>
      <c r="BJ112" s="368"/>
      <c r="BK112" s="368"/>
      <c r="BL112" s="368"/>
      <c r="BM112" s="368"/>
      <c r="BN112" s="368"/>
      <c r="BO112" s="368"/>
      <c r="BP112" s="368"/>
      <c r="BQ112" s="368"/>
      <c r="BR112" s="368"/>
      <c r="BS112" s="368"/>
      <c r="BT112" s="368"/>
      <c r="BU112" s="368"/>
      <c r="BV112" s="368"/>
      <c r="BW112" s="368"/>
      <c r="BX112" s="368"/>
      <c r="BY112" s="368"/>
      <c r="BZ112" s="368"/>
      <c r="CA112" s="368"/>
      <c r="CB112" s="368"/>
      <c r="CC112" s="368"/>
      <c r="CD112" s="368"/>
      <c r="CE112" s="368"/>
      <c r="CF112" s="368"/>
      <c r="CG112" s="368"/>
      <c r="CH112" s="368"/>
      <c r="CI112" s="368"/>
      <c r="CJ112" s="368"/>
      <c r="CK112" s="368"/>
      <c r="CL112" s="368"/>
      <c r="CM112" s="368"/>
      <c r="CN112" s="368"/>
      <c r="CO112" s="368"/>
      <c r="CP112" s="368"/>
      <c r="CQ112" s="368"/>
      <c r="CR112" s="368"/>
      <c r="CS112" s="368"/>
      <c r="CT112" s="368"/>
      <c r="CU112" s="368"/>
      <c r="CV112" s="368"/>
      <c r="CW112" s="368"/>
      <c r="CX112" s="368"/>
      <c r="CY112" s="368"/>
      <c r="CZ112" s="368"/>
      <c r="DA112" s="368"/>
      <c r="DB112" s="368"/>
      <c r="DC112" s="368"/>
      <c r="DD112" s="368"/>
      <c r="DE112" s="368"/>
      <c r="DF112" s="368"/>
      <c r="DG112" s="368"/>
      <c r="DH112" s="368"/>
      <c r="DI112" s="368"/>
      <c r="DJ112" s="368"/>
      <c r="DK112" s="368"/>
      <c r="DL112" s="368"/>
      <c r="DM112" s="368"/>
      <c r="DN112" s="368"/>
      <c r="DO112" s="368"/>
      <c r="DP112" s="368"/>
      <c r="DQ112" s="368"/>
      <c r="DR112" s="368"/>
      <c r="DS112" s="368"/>
      <c r="DT112" s="368"/>
      <c r="DU112" s="368"/>
      <c r="DW112" s="368">
        <f t="shared" si="709"/>
        <v>0</v>
      </c>
      <c r="DX112" s="368">
        <f t="shared" si="701"/>
        <v>0</v>
      </c>
      <c r="DY112" s="368">
        <f t="shared" si="702"/>
        <v>0</v>
      </c>
      <c r="DZ112" s="368">
        <f t="shared" si="703"/>
        <v>0</v>
      </c>
      <c r="EA112" s="368">
        <f t="shared" si="704"/>
        <v>0</v>
      </c>
      <c r="EB112" s="368">
        <f t="shared" si="705"/>
        <v>0</v>
      </c>
      <c r="EC112" s="368">
        <f t="shared" si="706"/>
        <v>0</v>
      </c>
      <c r="ED112" s="368">
        <f t="shared" si="621"/>
        <v>0</v>
      </c>
      <c r="EE112" s="368">
        <f t="shared" si="622"/>
        <v>0</v>
      </c>
      <c r="EF112" s="368">
        <f t="shared" si="623"/>
        <v>0</v>
      </c>
      <c r="EG112" s="368">
        <f t="shared" si="624"/>
        <v>0</v>
      </c>
      <c r="EH112" s="368">
        <f t="shared" si="625"/>
        <v>0</v>
      </c>
      <c r="EI112" s="368">
        <f t="shared" si="626"/>
        <v>0</v>
      </c>
      <c r="EJ112" s="368">
        <f t="shared" si="627"/>
        <v>0</v>
      </c>
      <c r="EK112" s="368">
        <f t="shared" si="628"/>
        <v>0</v>
      </c>
      <c r="EL112" s="368">
        <f t="shared" si="629"/>
        <v>0</v>
      </c>
      <c r="EM112" s="368">
        <f t="shared" si="630"/>
        <v>0</v>
      </c>
      <c r="EN112" s="368">
        <f t="shared" si="631"/>
        <v>0</v>
      </c>
      <c r="EO112" s="368">
        <f t="shared" si="632"/>
        <v>0</v>
      </c>
      <c r="EP112" s="368">
        <f t="shared" si="633"/>
        <v>0</v>
      </c>
      <c r="EQ112" s="368">
        <f t="shared" si="634"/>
        <v>0</v>
      </c>
      <c r="ER112" s="368">
        <f t="shared" si="635"/>
        <v>0</v>
      </c>
      <c r="ES112" s="368">
        <f t="shared" si="636"/>
        <v>0</v>
      </c>
      <c r="ET112" s="368">
        <f t="shared" si="636"/>
        <v>0</v>
      </c>
      <c r="EU112" s="368">
        <f t="shared" si="637"/>
        <v>0</v>
      </c>
      <c r="EV112" s="368">
        <f t="shared" si="638"/>
        <v>0</v>
      </c>
      <c r="EW112" s="368">
        <f t="shared" si="639"/>
        <v>0</v>
      </c>
      <c r="EX112" s="368">
        <f t="shared" si="640"/>
        <v>0</v>
      </c>
      <c r="EY112" s="368">
        <f t="shared" si="641"/>
        <v>0</v>
      </c>
      <c r="EZ112" s="368">
        <f t="shared" si="642"/>
        <v>0</v>
      </c>
      <c r="FA112" s="368">
        <f t="shared" si="643"/>
        <v>0</v>
      </c>
      <c r="FB112" s="368">
        <f t="shared" si="644"/>
        <v>0</v>
      </c>
      <c r="FC112" s="368">
        <f t="shared" si="645"/>
        <v>0</v>
      </c>
      <c r="FD112" s="368">
        <f t="shared" si="646"/>
        <v>0</v>
      </c>
      <c r="FE112" s="368">
        <f t="shared" si="647"/>
        <v>0</v>
      </c>
      <c r="FF112" s="368">
        <f t="shared" si="648"/>
        <v>0</v>
      </c>
      <c r="FG112" s="368">
        <f t="shared" si="649"/>
        <v>0</v>
      </c>
      <c r="FH112" s="368">
        <f t="shared" si="650"/>
        <v>0</v>
      </c>
      <c r="FI112" s="368">
        <f t="shared" si="651"/>
        <v>0</v>
      </c>
      <c r="FJ112" s="368">
        <f t="shared" si="652"/>
        <v>0</v>
      </c>
      <c r="FK112" s="368">
        <f t="shared" si="653"/>
        <v>0</v>
      </c>
      <c r="FL112" s="368">
        <f t="shared" si="654"/>
        <v>0</v>
      </c>
      <c r="FM112" s="368">
        <f t="shared" si="655"/>
        <v>0</v>
      </c>
      <c r="FN112" s="368">
        <f t="shared" si="656"/>
        <v>0</v>
      </c>
      <c r="FO112" s="368">
        <f t="shared" si="657"/>
        <v>0</v>
      </c>
      <c r="FP112" s="368">
        <f t="shared" si="658"/>
        <v>0</v>
      </c>
      <c r="FQ112" s="368">
        <f t="shared" si="659"/>
        <v>0</v>
      </c>
      <c r="FR112" s="368">
        <f t="shared" si="660"/>
        <v>0</v>
      </c>
      <c r="FS112" s="368">
        <f t="shared" si="661"/>
        <v>0</v>
      </c>
      <c r="FT112" s="368">
        <f t="shared" si="662"/>
        <v>0</v>
      </c>
      <c r="FU112" s="368"/>
      <c r="FV112" s="368"/>
      <c r="FW112" s="368"/>
      <c r="FX112" s="368"/>
      <c r="FY112" s="368">
        <f t="shared" si="663"/>
        <v>0</v>
      </c>
      <c r="FZ112" s="368">
        <f t="shared" si="664"/>
        <v>0</v>
      </c>
      <c r="GA112" s="368">
        <f t="shared" si="665"/>
        <v>0</v>
      </c>
      <c r="GB112" s="368">
        <f t="shared" si="666"/>
        <v>0</v>
      </c>
      <c r="GC112" s="368">
        <f t="shared" si="667"/>
        <v>0</v>
      </c>
      <c r="GD112" s="368">
        <f t="shared" si="668"/>
        <v>0</v>
      </c>
      <c r="GE112" s="368">
        <f t="shared" si="669"/>
        <v>0</v>
      </c>
      <c r="GF112" s="368">
        <f t="shared" si="670"/>
        <v>0</v>
      </c>
      <c r="GG112" s="368">
        <f t="shared" si="671"/>
        <v>0</v>
      </c>
      <c r="GH112" s="368">
        <f t="shared" si="672"/>
        <v>0</v>
      </c>
      <c r="GI112" s="368">
        <f t="shared" si="673"/>
        <v>0</v>
      </c>
      <c r="GJ112" s="368">
        <f t="shared" si="674"/>
        <v>0</v>
      </c>
      <c r="GK112" s="368">
        <f t="shared" si="677"/>
        <v>0</v>
      </c>
      <c r="GL112" s="368"/>
      <c r="GM112" s="368">
        <f t="shared" si="675"/>
        <v>0</v>
      </c>
    </row>
    <row r="113" spans="1:195" s="83" customFormat="1" ht="20.100000000000001" hidden="1" customHeight="1">
      <c r="A113" s="357" t="s">
        <v>334</v>
      </c>
      <c r="B113" s="357" t="s">
        <v>527</v>
      </c>
      <c r="C113" s="357" t="str">
        <f t="shared" si="834"/>
        <v>PMCC-1</v>
      </c>
      <c r="D113" s="395" t="s">
        <v>591</v>
      </c>
      <c r="E113" s="493" t="s">
        <v>345</v>
      </c>
      <c r="F113" s="357" t="s">
        <v>29</v>
      </c>
      <c r="G113" s="357" t="s">
        <v>329</v>
      </c>
      <c r="H113" s="352">
        <v>1.6</v>
      </c>
      <c r="I113" s="357" t="s">
        <v>330</v>
      </c>
      <c r="J113" s="357" t="s">
        <v>331</v>
      </c>
      <c r="K113" s="353">
        <v>400</v>
      </c>
      <c r="L113" s="360">
        <v>0.85</v>
      </c>
      <c r="M113" s="352">
        <v>0.95</v>
      </c>
      <c r="N113" s="359">
        <f t="shared" si="835"/>
        <v>2.8600233091899705</v>
      </c>
      <c r="O113" s="359">
        <f t="shared" si="680"/>
        <v>0</v>
      </c>
      <c r="P113" s="360" t="str">
        <f t="shared" si="836"/>
        <v>0.00</v>
      </c>
      <c r="Q113" s="352">
        <v>65</v>
      </c>
      <c r="R113" s="352">
        <v>0</v>
      </c>
      <c r="S113" s="352">
        <f t="shared" si="837"/>
        <v>0</v>
      </c>
      <c r="T113" s="360" t="s">
        <v>131</v>
      </c>
      <c r="U113" s="352" t="s">
        <v>522</v>
      </c>
      <c r="V113" s="360">
        <v>4</v>
      </c>
      <c r="W113" s="360" t="str">
        <f t="shared" si="838"/>
        <v>4C X 4</v>
      </c>
      <c r="X113" s="360" t="str">
        <f t="shared" si="839"/>
        <v>4C X 4</v>
      </c>
      <c r="Y113" s="360" t="s">
        <v>358</v>
      </c>
      <c r="Z113" s="361">
        <f>IF(T113="AIR",VLOOKUP(W113,'Catalogue Aluminium'!$B$9:$G$93,2,FALSE),IF(T113="GROUND",VLOOKUP(W113,'Catalogue Aluminium'!$B$9:$G$93,3,FALSE),IF(T113="DUCT",VLOOKUP(W113,'Catalogue Aluminium'!$B$9:$G$93,4,FALSE),IF(T113="TRENCH",VLOOKUP(W113,'Catalogue Aluminium'!$B$9:$G$93,2,FALSE)))))</f>
        <v>38</v>
      </c>
      <c r="AA113" s="362">
        <f>VLOOKUP(W113,'Catalogue Aluminium'!$B$9:$G$93,5,FALSE)</f>
        <v>5.9</v>
      </c>
      <c r="AB113" s="362">
        <f>VLOOKUP(W113,'Catalogue Aluminium'!$B$9:$G$93,6,FALSE)</f>
        <v>9.4700000000000006E-2</v>
      </c>
      <c r="AC113" s="360">
        <f>35+3</f>
        <v>38</v>
      </c>
      <c r="AD113" s="360">
        <f t="shared" si="851"/>
        <v>255</v>
      </c>
      <c r="AE113" s="456">
        <f t="shared" si="840"/>
        <v>38</v>
      </c>
      <c r="AF113" s="360">
        <v>8</v>
      </c>
      <c r="AG113" s="360">
        <f t="shared" si="841"/>
        <v>34</v>
      </c>
      <c r="AH113" s="363"/>
      <c r="AI113" s="361">
        <f>IF(T113="AIR",'Catalogue Aluminium'!$K$9,IF(T113="TRENCH",'Catalogue Aluminium'!$K$12,"NA"))</f>
        <v>0.89</v>
      </c>
      <c r="AJ113" s="359">
        <f>IF(T113="Air",(IF(U113="1C",'Catalogue Aluminium'!$L$9,'Catalogue Aluminium'!$M$9)),IF(T113="DUCT",(IF($U113="1C",'Catalogue Aluminium'!$L$10,'Catalogue Aluminium'!$M$10)),IF(T113="GROUND",(IF($U113="1C",'Catalogue Aluminium'!$L$11,'Catalogue Aluminium'!$M$11)),IF(T113="TRENCH",(IF($U113="1C",'Catalogue Aluminium'!$L$12,'Catalogue Aluminium'!$M$12))))))</f>
        <v>0.66</v>
      </c>
      <c r="AK113" s="361" t="str">
        <f>IF(T113="Air",'Catalogue Aluminium'!$N$9,IF(T113="GROUND",'Catalogue Aluminium'!$N$10,IF(T113="DUCT",'Catalogue Aluminium'!$N$11,IF(T113="TRENCH",'Catalogue Aluminium'!$N$12,"NA"))))</f>
        <v>NA</v>
      </c>
      <c r="AL113" s="361" t="str">
        <f>IF(T113="Air",(IF(U113="1C",'Catalogue Aluminium'!$O$9,'Catalogue Aluminium'!$P$9)),IF(T113="DUCT",(IF($U113="1C",'Catalogue Aluminium'!$O$10,'Catalogue Aluminium'!$P$10)),IF(T113="GROUND",(IF($U113="1C",'Catalogue Aluminium'!$O$11,'Catalogue Aluminium'!$P$11)),IF(T113="TRENCH",(IF($U113="1C",'Catalogue Aluminium'!$O$12,'Catalogue Aluminium'!$P$12))))))</f>
        <v>NA</v>
      </c>
      <c r="AM113" s="361" t="str">
        <f>IF(T113="AIR","NA",IF(T113="TRENCH","NA",IF(T113="DUCT",IF(U113="1C",VLOOKUP(V113,'Catalogue Aluminium'!$Q$9:$S$28,2,FALSE),VLOOKUP(V113,'Catalogue Aluminium'!$Q$9:$S$28,3)),IF(T113="GROUND",IF(U113="1C",VLOOKUP(V113,'Catalogue Aluminium'!$Q$9:$S$28,2,FALSE),VLOOKUP(V113,'Catalogue Aluminium'!$Q$9:$S$28,3))))))</f>
        <v>NA</v>
      </c>
      <c r="AN113" s="365">
        <f t="shared" si="842"/>
        <v>0.58740000000000003</v>
      </c>
      <c r="AO113" s="352">
        <f t="shared" si="843"/>
        <v>22.321200000000001</v>
      </c>
      <c r="AP113" s="353">
        <f t="shared" si="689"/>
        <v>1</v>
      </c>
      <c r="AQ113" s="352" t="str">
        <f t="shared" si="844"/>
        <v>YES</v>
      </c>
      <c r="AR113" s="365">
        <f t="shared" si="845"/>
        <v>0</v>
      </c>
      <c r="AS113" s="496" t="str">
        <f t="shared" si="846"/>
        <v>YES</v>
      </c>
      <c r="AT113" s="365" t="str">
        <f>IF(G113="MOTOR",(SQRT(3)*AH113*O113*((AA113*L113)+(AB113*SIN(ACOS(L113))))*100/(AP113*K113*1000)),"NA")</f>
        <v>NA</v>
      </c>
      <c r="AU113" s="360" t="str">
        <f t="shared" si="847"/>
        <v>NA</v>
      </c>
      <c r="AV113" s="366" t="str">
        <f t="shared" si="848"/>
        <v>1R x 0.6/1kV x 4C x 4 Sqmm</v>
      </c>
      <c r="AW113" s="366" t="str">
        <f t="shared" si="849"/>
        <v>1R x 0.6/1kV x 4C x 4 Sqmm</v>
      </c>
      <c r="AX113" s="360"/>
      <c r="AY113" s="367"/>
      <c r="AZ113" s="367"/>
      <c r="BA113" s="520" t="str">
        <f t="shared" si="833"/>
        <v/>
      </c>
      <c r="BB113" s="498"/>
      <c r="BC113" s="426"/>
      <c r="BE113" s="368"/>
      <c r="BF113" s="368"/>
      <c r="BG113" s="368"/>
      <c r="BH113" s="368"/>
      <c r="BI113" s="368"/>
      <c r="BJ113" s="368"/>
      <c r="BK113" s="368"/>
      <c r="BL113" s="368"/>
      <c r="BM113" s="368"/>
      <c r="BN113" s="368"/>
      <c r="BO113" s="368"/>
      <c r="BP113" s="368"/>
      <c r="BQ113" s="368"/>
      <c r="BR113" s="368"/>
      <c r="BS113" s="368"/>
      <c r="BT113" s="368"/>
      <c r="BU113" s="368"/>
      <c r="BV113" s="368"/>
      <c r="BW113" s="368"/>
      <c r="BX113" s="368"/>
      <c r="BY113" s="368"/>
      <c r="BZ113" s="368"/>
      <c r="CA113" s="368"/>
      <c r="CB113" s="368"/>
      <c r="CC113" s="368"/>
      <c r="CD113" s="368"/>
      <c r="CE113" s="368"/>
      <c r="CF113" s="368"/>
      <c r="CG113" s="368"/>
      <c r="CH113" s="368"/>
      <c r="CI113" s="368"/>
      <c r="CJ113" s="368"/>
      <c r="CK113" s="368"/>
      <c r="CL113" s="368"/>
      <c r="CM113" s="368"/>
      <c r="CN113" s="368"/>
      <c r="CO113" s="368"/>
      <c r="CP113" s="368"/>
      <c r="CQ113" s="368"/>
      <c r="CR113" s="368"/>
      <c r="CS113" s="368"/>
      <c r="CT113" s="368"/>
      <c r="CU113" s="368"/>
      <c r="CV113" s="368"/>
      <c r="CW113" s="368"/>
      <c r="CX113" s="368"/>
      <c r="CY113" s="368"/>
      <c r="CZ113" s="368"/>
      <c r="DA113" s="368"/>
      <c r="DB113" s="368"/>
      <c r="DC113" s="368"/>
      <c r="DD113" s="368"/>
      <c r="DE113" s="368"/>
      <c r="DF113" s="368"/>
      <c r="DG113" s="368"/>
      <c r="DH113" s="368"/>
      <c r="DI113" s="368"/>
      <c r="DJ113" s="368"/>
      <c r="DK113" s="368"/>
      <c r="DL113" s="368"/>
      <c r="DM113" s="368"/>
      <c r="DN113" s="368"/>
      <c r="DO113" s="368"/>
      <c r="DP113" s="368"/>
      <c r="DQ113" s="368"/>
      <c r="DR113" s="368"/>
      <c r="DS113" s="368"/>
      <c r="DT113" s="368"/>
      <c r="DU113" s="368"/>
      <c r="DW113" s="368">
        <f t="shared" si="709"/>
        <v>0</v>
      </c>
      <c r="DX113" s="368">
        <f t="shared" si="701"/>
        <v>0</v>
      </c>
      <c r="DY113" s="368">
        <f t="shared" si="702"/>
        <v>0</v>
      </c>
      <c r="DZ113" s="368">
        <f t="shared" si="703"/>
        <v>0</v>
      </c>
      <c r="EA113" s="368">
        <f t="shared" si="704"/>
        <v>0</v>
      </c>
      <c r="EB113" s="368">
        <f t="shared" si="705"/>
        <v>0</v>
      </c>
      <c r="EC113" s="368">
        <f t="shared" si="706"/>
        <v>0</v>
      </c>
      <c r="ED113" s="368">
        <f t="shared" si="621"/>
        <v>0</v>
      </c>
      <c r="EE113" s="368">
        <f t="shared" si="622"/>
        <v>0</v>
      </c>
      <c r="EF113" s="368">
        <f t="shared" si="623"/>
        <v>0</v>
      </c>
      <c r="EG113" s="368">
        <f t="shared" si="624"/>
        <v>0</v>
      </c>
      <c r="EH113" s="368">
        <f t="shared" si="625"/>
        <v>0</v>
      </c>
      <c r="EI113" s="368">
        <f t="shared" si="626"/>
        <v>0</v>
      </c>
      <c r="EJ113" s="368">
        <f t="shared" si="627"/>
        <v>0</v>
      </c>
      <c r="EK113" s="368">
        <f t="shared" si="628"/>
        <v>0</v>
      </c>
      <c r="EL113" s="368">
        <f t="shared" si="629"/>
        <v>0</v>
      </c>
      <c r="EM113" s="368">
        <f t="shared" si="630"/>
        <v>0</v>
      </c>
      <c r="EN113" s="368">
        <f t="shared" si="631"/>
        <v>0</v>
      </c>
      <c r="EO113" s="368">
        <f t="shared" si="632"/>
        <v>0</v>
      </c>
      <c r="EP113" s="368">
        <f t="shared" si="633"/>
        <v>0</v>
      </c>
      <c r="EQ113" s="368">
        <f t="shared" si="634"/>
        <v>0</v>
      </c>
      <c r="ER113" s="368">
        <f t="shared" si="635"/>
        <v>0</v>
      </c>
      <c r="ES113" s="368">
        <f t="shared" si="636"/>
        <v>0</v>
      </c>
      <c r="ET113" s="368">
        <f t="shared" si="636"/>
        <v>0</v>
      </c>
      <c r="EU113" s="368">
        <f t="shared" si="637"/>
        <v>0</v>
      </c>
      <c r="EV113" s="368">
        <f t="shared" si="638"/>
        <v>0</v>
      </c>
      <c r="EW113" s="368">
        <f t="shared" si="639"/>
        <v>0</v>
      </c>
      <c r="EX113" s="368">
        <f t="shared" si="640"/>
        <v>0</v>
      </c>
      <c r="EY113" s="368">
        <f t="shared" si="641"/>
        <v>0</v>
      </c>
      <c r="EZ113" s="368">
        <f t="shared" si="642"/>
        <v>0</v>
      </c>
      <c r="FA113" s="368">
        <f t="shared" si="643"/>
        <v>0</v>
      </c>
      <c r="FB113" s="368">
        <f t="shared" si="644"/>
        <v>0</v>
      </c>
      <c r="FC113" s="368">
        <f t="shared" si="645"/>
        <v>0</v>
      </c>
      <c r="FD113" s="368">
        <f t="shared" si="646"/>
        <v>0</v>
      </c>
      <c r="FE113" s="368">
        <f t="shared" si="647"/>
        <v>0</v>
      </c>
      <c r="FF113" s="368">
        <f t="shared" si="648"/>
        <v>0</v>
      </c>
      <c r="FG113" s="368">
        <f t="shared" si="649"/>
        <v>0</v>
      </c>
      <c r="FH113" s="368">
        <f t="shared" si="650"/>
        <v>0</v>
      </c>
      <c r="FI113" s="368">
        <f t="shared" si="651"/>
        <v>0</v>
      </c>
      <c r="FJ113" s="368">
        <f t="shared" si="652"/>
        <v>0</v>
      </c>
      <c r="FK113" s="368">
        <f t="shared" si="653"/>
        <v>0</v>
      </c>
      <c r="FL113" s="368">
        <f t="shared" si="654"/>
        <v>0</v>
      </c>
      <c r="FM113" s="368">
        <f t="shared" si="655"/>
        <v>0</v>
      </c>
      <c r="FN113" s="368">
        <f t="shared" si="656"/>
        <v>0</v>
      </c>
      <c r="FO113" s="368">
        <f t="shared" si="657"/>
        <v>0</v>
      </c>
      <c r="FP113" s="368">
        <f t="shared" si="658"/>
        <v>0</v>
      </c>
      <c r="FQ113" s="368">
        <f t="shared" si="659"/>
        <v>0</v>
      </c>
      <c r="FR113" s="368">
        <f t="shared" si="660"/>
        <v>0</v>
      </c>
      <c r="FS113" s="368">
        <f t="shared" si="661"/>
        <v>0</v>
      </c>
      <c r="FT113" s="368">
        <f t="shared" si="662"/>
        <v>0</v>
      </c>
      <c r="FU113" s="368"/>
      <c r="FV113" s="368"/>
      <c r="FW113" s="368"/>
      <c r="FX113" s="368"/>
      <c r="FY113" s="368">
        <f t="shared" si="663"/>
        <v>0</v>
      </c>
      <c r="FZ113" s="368">
        <f t="shared" si="664"/>
        <v>0</v>
      </c>
      <c r="GA113" s="368">
        <f t="shared" si="665"/>
        <v>0</v>
      </c>
      <c r="GB113" s="368">
        <f t="shared" si="666"/>
        <v>0</v>
      </c>
      <c r="GC113" s="368">
        <f t="shared" si="667"/>
        <v>0</v>
      </c>
      <c r="GD113" s="368">
        <f t="shared" si="668"/>
        <v>0</v>
      </c>
      <c r="GE113" s="368">
        <f t="shared" si="669"/>
        <v>0</v>
      </c>
      <c r="GF113" s="368">
        <f t="shared" si="670"/>
        <v>0</v>
      </c>
      <c r="GG113" s="368">
        <f t="shared" si="671"/>
        <v>0</v>
      </c>
      <c r="GH113" s="368">
        <f t="shared" si="672"/>
        <v>0</v>
      </c>
      <c r="GI113" s="368">
        <f t="shared" si="673"/>
        <v>0</v>
      </c>
      <c r="GJ113" s="368">
        <f t="shared" si="674"/>
        <v>0</v>
      </c>
      <c r="GK113" s="368">
        <f t="shared" ref="GK113:GK144" si="852">IF(DS113=1,($BC113*DS113),0)</f>
        <v>0</v>
      </c>
      <c r="GL113" s="368"/>
      <c r="GM113" s="368">
        <f t="shared" si="675"/>
        <v>0</v>
      </c>
    </row>
    <row r="114" spans="1:195" ht="20.100000000000001" customHeight="1">
      <c r="A114" s="388">
        <f>1+A106</f>
        <v>74</v>
      </c>
      <c r="B114" s="406" t="s">
        <v>1658</v>
      </c>
      <c r="C114" s="388" t="s">
        <v>489</v>
      </c>
      <c r="D114" s="338" t="s">
        <v>592</v>
      </c>
      <c r="E114" s="502" t="s">
        <v>345</v>
      </c>
      <c r="F114" s="388" t="s">
        <v>28</v>
      </c>
      <c r="G114" s="388" t="s">
        <v>329</v>
      </c>
      <c r="H114" s="418">
        <v>7.5</v>
      </c>
      <c r="I114" s="388" t="s">
        <v>330</v>
      </c>
      <c r="J114" s="388" t="s">
        <v>331</v>
      </c>
      <c r="K114" s="434">
        <v>400</v>
      </c>
      <c r="L114" s="401">
        <v>0.85</v>
      </c>
      <c r="M114" s="418">
        <v>0.95</v>
      </c>
      <c r="N114" s="392">
        <f t="shared" si="835"/>
        <v>13.406359261827985</v>
      </c>
      <c r="O114" s="392">
        <f t="shared" si="680"/>
        <v>0</v>
      </c>
      <c r="P114" s="401" t="str">
        <f t="shared" si="836"/>
        <v>0.00</v>
      </c>
      <c r="Q114" s="418">
        <v>65</v>
      </c>
      <c r="R114" s="418">
        <v>0</v>
      </c>
      <c r="S114" s="418">
        <f t="shared" si="837"/>
        <v>0</v>
      </c>
      <c r="T114" s="401" t="s">
        <v>131</v>
      </c>
      <c r="U114" s="418" t="s">
        <v>535</v>
      </c>
      <c r="V114" s="401">
        <v>35</v>
      </c>
      <c r="W114" s="401" t="str">
        <f t="shared" si="838"/>
        <v>3.5C X 35</v>
      </c>
      <c r="X114" s="401" t="str">
        <f t="shared" si="839"/>
        <v>3.5C X 35</v>
      </c>
      <c r="Y114" s="401" t="s">
        <v>358</v>
      </c>
      <c r="Z114" s="393">
        <f>IF(T114="AIR",VLOOKUP(W114,'Catalogue Aluminium'!$B$9:$G$93,2,FALSE),IF(T114="GROUND",VLOOKUP(W114,'Catalogue Aluminium'!$B$9:$G$93,3,FALSE),IF(T114="DUCT",VLOOKUP(W114,'Catalogue Aluminium'!$B$9:$G$93,4,FALSE),IF(T114="TRENCH",VLOOKUP(W114,'Catalogue Aluminium'!$B$9:$G$93,2,FALSE)))))</f>
        <v>117</v>
      </c>
      <c r="AA114" s="402">
        <f>VLOOKUP(W114,'Catalogue Aluminium'!$B$9:$G$93,5,FALSE)</f>
        <v>1.1100000000000001</v>
      </c>
      <c r="AB114" s="402">
        <f>VLOOKUP(W114,'Catalogue Aluminium'!$B$9:$G$93,6,FALSE)</f>
        <v>7.9399999999999998E-2</v>
      </c>
      <c r="AC114" s="401">
        <f t="shared" ref="AC114:AC125" si="853">26+3</f>
        <v>29</v>
      </c>
      <c r="AD114" s="401">
        <f>40+50+38+50+17+(27+15)</f>
        <v>237</v>
      </c>
      <c r="AE114" s="401">
        <f t="shared" si="840"/>
        <v>38</v>
      </c>
      <c r="AF114" s="401">
        <v>8</v>
      </c>
      <c r="AG114" s="401">
        <f t="shared" si="841"/>
        <v>32</v>
      </c>
      <c r="AH114" s="436">
        <f t="shared" ref="AH114:AH120" si="854">SUM(AC114:AG114)</f>
        <v>344</v>
      </c>
      <c r="AI114" s="393">
        <f>IF(T114="AIR",'Catalogue Aluminium'!$K$9,IF(T114="TRENCH",'Catalogue Aluminium'!$K$12,"NA"))</f>
        <v>0.89</v>
      </c>
      <c r="AJ114" s="392">
        <f>IF(T114="Air",(IF(U114="1C",'Catalogue Aluminium'!$L$9,'Catalogue Aluminium'!$M$9)),IF(T114="DUCT",(IF($U114="1C",'Catalogue Aluminium'!$L$10,'Catalogue Aluminium'!$M$10)),IF(T114="GROUND",(IF($U114="1C",'Catalogue Aluminium'!$L$11,'Catalogue Aluminium'!$M$11)),IF(T114="TRENCH",(IF($U114="1C",'Catalogue Aluminium'!$L$12,'Catalogue Aluminium'!$M$12))))))</f>
        <v>0.66</v>
      </c>
      <c r="AK114" s="393" t="str">
        <f>IF(T114="Air",'Catalogue Aluminium'!$N$9,IF(T114="GROUND",'Catalogue Aluminium'!$N$10,IF(T114="DUCT",'Catalogue Aluminium'!$N$11,IF(T114="TRENCH",'Catalogue Aluminium'!$N$12,"NA"))))</f>
        <v>NA</v>
      </c>
      <c r="AL114" s="393" t="str">
        <f>IF(T114="Air",(IF(U114="1C",'Catalogue Aluminium'!$O$9,'Catalogue Aluminium'!$P$9)),IF(T114="DUCT",(IF($U114="1C",'Catalogue Aluminium'!$O$10,'Catalogue Aluminium'!$P$10)),IF(T114="GROUND",(IF($U114="1C",'Catalogue Aluminium'!$O$11,'Catalogue Aluminium'!$P$11)),IF(T114="TRENCH",(IF($U114="1C",'Catalogue Aluminium'!$O$12,'Catalogue Aluminium'!$P$12))))))</f>
        <v>NA</v>
      </c>
      <c r="AM114" s="393" t="str">
        <f>IF(T114="AIR","NA",IF(T114="TRENCH","NA",IF(T114="DUCT",IF(U114="1C",VLOOKUP(V114,'Catalogue Aluminium'!$Q$9:$S$28,2,FALSE),VLOOKUP(V114,'Catalogue Aluminium'!$Q$9:$S$28,3)),IF(T114="GROUND",IF(U114="1C",VLOOKUP(V114,'Catalogue Aluminium'!$Q$9:$S$28,2,FALSE),VLOOKUP(V114,'Catalogue Aluminium'!$Q$9:$S$28,3))))))</f>
        <v>NA</v>
      </c>
      <c r="AN114" s="437">
        <f t="shared" si="842"/>
        <v>0.58740000000000003</v>
      </c>
      <c r="AO114" s="418">
        <f t="shared" si="843"/>
        <v>68.725800000000007</v>
      </c>
      <c r="AP114" s="434">
        <f t="shared" si="689"/>
        <v>1</v>
      </c>
      <c r="AQ114" s="418" t="str">
        <f t="shared" si="844"/>
        <v>YES</v>
      </c>
      <c r="AR114" s="437">
        <f t="shared" si="845"/>
        <v>1.967660263098409</v>
      </c>
      <c r="AS114" s="401" t="str">
        <f t="shared" si="846"/>
        <v>YES</v>
      </c>
      <c r="AT114" s="437" t="str">
        <f t="shared" ref="AT114:AT125" si="855">IF(G114="MOTOR",(SQRT(3)*AH114*O114*((AA114*P114)+(AB114*SIN(ACOS(P114))))*100/(AP114*K114*1000)),"NA")</f>
        <v>NA</v>
      </c>
      <c r="AU114" s="401" t="str">
        <f t="shared" si="847"/>
        <v>NA</v>
      </c>
      <c r="AV114" s="503" t="str">
        <f t="shared" si="848"/>
        <v>1R x 0.6/1kV x 3.5C x 35 Sqmm</v>
      </c>
      <c r="AW114" s="503" t="str">
        <f t="shared" si="849"/>
        <v>1R x 0.6/1kV x 3.5C x 35 Sqmm</v>
      </c>
      <c r="AX114" s="401">
        <f t="shared" ref="AX114:AX125" si="856">(IF(K114=400,(IF(U114="1C",(4*AH114*AP114),(AH114*AP114))),IF(K114=230,(AH114*AP114))))</f>
        <v>344</v>
      </c>
      <c r="AY114" s="504"/>
      <c r="AZ114" s="504">
        <f t="shared" ref="AZ114:AZ125" si="857">IF(U114="1C",(3*AP114*2),(AP114*2))</f>
        <v>2</v>
      </c>
      <c r="BA114" s="438" t="str">
        <f t="shared" ref="BA114:BA125" si="858">CONCATENATE(IF(BE114=1,BE$4,""),IF(BF114=1,BF$4,""),IF(BG114=1,BG$4,""),IF(BH114=1,BH$4,""),IF(BI114=1,BI$4,""),IF(BJ114=1,BJ$4,""),IF(BK114=1,BK$4,""),IF(BL114=1,BL$4,""),IF(BM114=1,BM$4,""),IF(BN114=1,BN$4,""),IF(BO114=1,BO$4,""),IF(BP114=1,BP$4,""),IF(BQ114=1,BQ$4,""),IF(BR114=1,BR$4,""),IF(BS114=1,BS$4,""),IF(BT114=1,BT$4,""),IF(BU114=1,BU$4,""),IF(BV114=1,BV$4,""),IF(BW114=1,BW$4,""),IF(BX114=1,BX$4,""),IF(BY114=1,BY$4,""),IF(BZ114=1,BZ$4,""),IF(CA114=1,CA$4,""),IF(CB114=1,CB$4,""),IF(CC114=1,CC$4,""),IF(CD114=1,CD$4,""),IF(CE114=1,CE$4,""),IF(CF114=1,CF$4,""),IF(CG114=1,CG$4,""),IF(CH114=1,CH$4,""),IF(CI114=1,CI$4,""),IF(CJ114=1,CJ$4,""),IF(CK114=1,CK$4,""),IF(CL114=1,CL$4,""),IF(CM114=1,CM$4,""),IF(CN114=1,CN$4,""),IF(CO114=1,CO$4,""),IF(CP114=1,CP$4,""),IF(CQ114=1,CQ$4,""),IF(CR114=1,CR$4,""),IF(CS114=1,CS$4,""),IF(CT114=1,CT$4,""),IF(CU114=1,CU$4,""),IF(CV114=1,CV$4,""),IF(CW114=1,CW$4,""),IF(CX114=1,CX$4,""),IF(CY114=1,CY$4,""),IF(CZ114=1,CZ$4,""),IF(DA114=1,DA$4,""),IF(DB114=1,DB$4,""),IF(DC114=1,DC$4,""),IF(DD114=1,DD$4,""),IF(DE114=1,DE$4,""),IF(DF114=1,DF$4,""),IF(DG114=1,DG$4,""),IF(DH114=1,DH$4,""),IF(DI114=1,DI$4,""),IF(DJ114=1,DJ$4,""),IF(DK114=1,DK$4,""),IF(DL114=1,DL$4,""),IF(DM114=1,DM$4,""),IF(DN114=1,DN$4,""),IF(DO114=1,DO$4,""),IF(DP114=1,DP$4,""),IF(DQ114=1,DQ$4,""),IF(DR114=1,DR$4,""),IF(DS114=1,DS$4,""),IF(DT114=1,DT$4,""),IF(DU114=1,DU$4,""))</f>
        <v>ACDEE1E2</v>
      </c>
      <c r="BB114" s="505">
        <f>VLOOKUP(W114,'Catalogue Aluminium'!$B$9:$H$93,7,FALSE)</f>
        <v>27</v>
      </c>
      <c r="BC114" s="439">
        <f t="shared" ref="BC114:BC125" si="859">AP114*BB114</f>
        <v>27</v>
      </c>
      <c r="BE114" s="336"/>
      <c r="BF114" s="336">
        <v>1</v>
      </c>
      <c r="BG114" s="336"/>
      <c r="BH114" s="336"/>
      <c r="BI114" s="336">
        <v>1</v>
      </c>
      <c r="BJ114" s="336">
        <v>1</v>
      </c>
      <c r="BK114" s="336"/>
      <c r="BL114" s="336"/>
      <c r="BM114" s="336"/>
      <c r="BN114" s="336">
        <v>1</v>
      </c>
      <c r="BO114" s="336"/>
      <c r="BP114" s="336">
        <v>1</v>
      </c>
      <c r="BQ114" s="336">
        <v>1</v>
      </c>
      <c r="BR114" s="336"/>
      <c r="BS114" s="336"/>
      <c r="BT114" s="336"/>
      <c r="BU114" s="336"/>
      <c r="BV114" s="336"/>
      <c r="BW114" s="336"/>
      <c r="BX114" s="336"/>
      <c r="BY114" s="336"/>
      <c r="BZ114" s="336"/>
      <c r="CA114" s="336"/>
      <c r="CB114" s="336"/>
      <c r="CC114" s="336"/>
      <c r="CD114" s="336"/>
      <c r="CE114" s="336"/>
      <c r="CF114" s="336"/>
      <c r="CG114" s="336"/>
      <c r="CH114" s="336"/>
      <c r="CI114" s="336"/>
      <c r="CJ114" s="336"/>
      <c r="CK114" s="336"/>
      <c r="CL114" s="336"/>
      <c r="CM114" s="336"/>
      <c r="CN114" s="336"/>
      <c r="CO114" s="336"/>
      <c r="CP114" s="336"/>
      <c r="CQ114" s="336"/>
      <c r="CR114" s="336"/>
      <c r="CS114" s="336"/>
      <c r="CT114" s="336"/>
      <c r="CU114" s="336"/>
      <c r="CV114" s="336"/>
      <c r="CW114" s="336"/>
      <c r="CX114" s="336"/>
      <c r="CY114" s="336"/>
      <c r="CZ114" s="336"/>
      <c r="DA114" s="336"/>
      <c r="DB114" s="336"/>
      <c r="DC114" s="336"/>
      <c r="DD114" s="336"/>
      <c r="DE114" s="336"/>
      <c r="DF114" s="336"/>
      <c r="DG114" s="336"/>
      <c r="DH114" s="336"/>
      <c r="DI114" s="336"/>
      <c r="DJ114" s="336"/>
      <c r="DK114" s="336"/>
      <c r="DL114" s="336"/>
      <c r="DM114" s="336"/>
      <c r="DN114" s="336"/>
      <c r="DO114" s="336"/>
      <c r="DP114" s="336"/>
      <c r="DQ114" s="336"/>
      <c r="DR114" s="336"/>
      <c r="DS114" s="336"/>
      <c r="DT114" s="336"/>
      <c r="DU114" s="336"/>
      <c r="DW114" s="336">
        <f t="shared" si="709"/>
        <v>0</v>
      </c>
      <c r="DX114" s="336">
        <f t="shared" si="701"/>
        <v>27</v>
      </c>
      <c r="DY114" s="336">
        <f t="shared" si="702"/>
        <v>0</v>
      </c>
      <c r="DZ114" s="336">
        <f t="shared" si="703"/>
        <v>0</v>
      </c>
      <c r="EA114" s="336">
        <f t="shared" si="704"/>
        <v>27</v>
      </c>
      <c r="EB114" s="336">
        <f t="shared" si="705"/>
        <v>27</v>
      </c>
      <c r="EC114" s="336">
        <f t="shared" si="706"/>
        <v>0</v>
      </c>
      <c r="ED114" s="336">
        <f t="shared" si="621"/>
        <v>0</v>
      </c>
      <c r="EE114" s="336">
        <f t="shared" si="622"/>
        <v>0</v>
      </c>
      <c r="EF114" s="336">
        <f t="shared" si="623"/>
        <v>27</v>
      </c>
      <c r="EG114" s="336">
        <f t="shared" si="624"/>
        <v>0</v>
      </c>
      <c r="EH114" s="336">
        <f t="shared" si="625"/>
        <v>27</v>
      </c>
      <c r="EI114" s="336">
        <f t="shared" si="626"/>
        <v>27</v>
      </c>
      <c r="EJ114" s="336">
        <f t="shared" si="627"/>
        <v>0</v>
      </c>
      <c r="EK114" s="336">
        <f t="shared" si="628"/>
        <v>0</v>
      </c>
      <c r="EL114" s="336">
        <f t="shared" si="629"/>
        <v>0</v>
      </c>
      <c r="EM114" s="336">
        <f t="shared" si="630"/>
        <v>0</v>
      </c>
      <c r="EN114" s="336">
        <f t="shared" si="631"/>
        <v>0</v>
      </c>
      <c r="EO114" s="336">
        <f t="shared" si="632"/>
        <v>0</v>
      </c>
      <c r="EP114" s="336">
        <f t="shared" si="633"/>
        <v>0</v>
      </c>
      <c r="EQ114" s="336">
        <f t="shared" si="634"/>
        <v>0</v>
      </c>
      <c r="ER114" s="336">
        <f t="shared" si="635"/>
        <v>0</v>
      </c>
      <c r="ES114" s="336">
        <f t="shared" si="636"/>
        <v>0</v>
      </c>
      <c r="ET114" s="336">
        <f t="shared" si="636"/>
        <v>0</v>
      </c>
      <c r="EU114" s="336">
        <f t="shared" si="637"/>
        <v>0</v>
      </c>
      <c r="EV114" s="336">
        <f t="shared" si="638"/>
        <v>0</v>
      </c>
      <c r="EW114" s="336">
        <f t="shared" si="639"/>
        <v>0</v>
      </c>
      <c r="EX114" s="336">
        <f t="shared" si="640"/>
        <v>0</v>
      </c>
      <c r="EY114" s="336">
        <f t="shared" si="641"/>
        <v>0</v>
      </c>
      <c r="EZ114" s="336">
        <f t="shared" si="642"/>
        <v>0</v>
      </c>
      <c r="FA114" s="336">
        <f t="shared" si="643"/>
        <v>0</v>
      </c>
      <c r="FB114" s="336">
        <f t="shared" si="644"/>
        <v>0</v>
      </c>
      <c r="FC114" s="336">
        <f t="shared" si="645"/>
        <v>0</v>
      </c>
      <c r="FD114" s="336">
        <f t="shared" si="646"/>
        <v>0</v>
      </c>
      <c r="FE114" s="336">
        <f t="shared" si="647"/>
        <v>0</v>
      </c>
      <c r="FF114" s="336">
        <f t="shared" si="648"/>
        <v>0</v>
      </c>
      <c r="FG114" s="336">
        <f t="shared" si="649"/>
        <v>0</v>
      </c>
      <c r="FH114" s="336">
        <f t="shared" si="650"/>
        <v>0</v>
      </c>
      <c r="FI114" s="336">
        <f t="shared" si="651"/>
        <v>0</v>
      </c>
      <c r="FJ114" s="336">
        <f t="shared" si="652"/>
        <v>0</v>
      </c>
      <c r="FK114" s="336">
        <f t="shared" si="653"/>
        <v>0</v>
      </c>
      <c r="FL114" s="336">
        <f t="shared" si="654"/>
        <v>0</v>
      </c>
      <c r="FM114" s="336">
        <f t="shared" si="655"/>
        <v>0</v>
      </c>
      <c r="FN114" s="336">
        <f t="shared" si="656"/>
        <v>0</v>
      </c>
      <c r="FO114" s="336">
        <f t="shared" si="657"/>
        <v>0</v>
      </c>
      <c r="FP114" s="336">
        <f t="shared" si="658"/>
        <v>0</v>
      </c>
      <c r="FQ114" s="336">
        <f t="shared" si="659"/>
        <v>0</v>
      </c>
      <c r="FR114" s="336">
        <f t="shared" si="660"/>
        <v>0</v>
      </c>
      <c r="FS114" s="336">
        <f t="shared" si="661"/>
        <v>0</v>
      </c>
      <c r="FT114" s="336">
        <f t="shared" si="662"/>
        <v>0</v>
      </c>
      <c r="FU114" s="336">
        <f t="shared" ref="FU114:FU178" si="860">IF(DC114=1,($BC114*DC114),0)</f>
        <v>0</v>
      </c>
      <c r="FV114" s="336">
        <f t="shared" ref="FV114:FV178" si="861">IF(DD114=1,($BC114*DD114),0)</f>
        <v>0</v>
      </c>
      <c r="FW114" s="336">
        <f t="shared" ref="FW114:FW178" si="862">IF(DE114=1,($BC114*DE114),0)</f>
        <v>0</v>
      </c>
      <c r="FX114" s="336">
        <f t="shared" ref="FX114:FX178" si="863">IF(DF114=1,($BC114*DF114),0)</f>
        <v>0</v>
      </c>
      <c r="FY114" s="336">
        <f t="shared" si="663"/>
        <v>0</v>
      </c>
      <c r="FZ114" s="336">
        <f t="shared" si="664"/>
        <v>0</v>
      </c>
      <c r="GA114" s="336">
        <f t="shared" si="665"/>
        <v>0</v>
      </c>
      <c r="GB114" s="336">
        <f t="shared" si="666"/>
        <v>0</v>
      </c>
      <c r="GC114" s="336">
        <f t="shared" si="667"/>
        <v>0</v>
      </c>
      <c r="GD114" s="336">
        <f t="shared" si="668"/>
        <v>0</v>
      </c>
      <c r="GE114" s="336">
        <f t="shared" si="669"/>
        <v>0</v>
      </c>
      <c r="GF114" s="336">
        <f t="shared" si="670"/>
        <v>0</v>
      </c>
      <c r="GG114" s="336">
        <f t="shared" si="671"/>
        <v>0</v>
      </c>
      <c r="GH114" s="336">
        <f t="shared" si="672"/>
        <v>0</v>
      </c>
      <c r="GI114" s="336">
        <f t="shared" si="673"/>
        <v>0</v>
      </c>
      <c r="GJ114" s="336">
        <f t="shared" si="674"/>
        <v>0</v>
      </c>
      <c r="GK114" s="336">
        <f t="shared" si="852"/>
        <v>0</v>
      </c>
      <c r="GL114" s="336">
        <f t="shared" ref="GL114:GL145" si="864">IF(DT114=1,($BC114*DT114),0)</f>
        <v>0</v>
      </c>
      <c r="GM114" s="336">
        <f t="shared" si="675"/>
        <v>0</v>
      </c>
    </row>
    <row r="115" spans="1:195" ht="29.25" customHeight="1">
      <c r="A115" s="388">
        <f t="shared" ref="A115:A139" si="865">1+A114</f>
        <v>75</v>
      </c>
      <c r="B115" s="388" t="s">
        <v>527</v>
      </c>
      <c r="C115" s="388" t="s">
        <v>489</v>
      </c>
      <c r="D115" s="338" t="s">
        <v>593</v>
      </c>
      <c r="E115" s="502" t="s">
        <v>345</v>
      </c>
      <c r="F115" s="388" t="s">
        <v>29</v>
      </c>
      <c r="G115" s="388" t="s">
        <v>329</v>
      </c>
      <c r="H115" s="418">
        <v>1</v>
      </c>
      <c r="I115" s="388" t="s">
        <v>330</v>
      </c>
      <c r="J115" s="388" t="s">
        <v>357</v>
      </c>
      <c r="K115" s="434">
        <v>230</v>
      </c>
      <c r="L115" s="401">
        <v>0.85</v>
      </c>
      <c r="M115" s="418">
        <v>0.95</v>
      </c>
      <c r="N115" s="392">
        <f t="shared" si="835"/>
        <v>5.3843047516489433</v>
      </c>
      <c r="O115" s="392">
        <f t="shared" si="680"/>
        <v>0</v>
      </c>
      <c r="P115" s="401" t="str">
        <f t="shared" si="836"/>
        <v>0.00</v>
      </c>
      <c r="Q115" s="418">
        <v>65</v>
      </c>
      <c r="R115" s="418">
        <v>0</v>
      </c>
      <c r="S115" s="418">
        <f t="shared" si="837"/>
        <v>0</v>
      </c>
      <c r="T115" s="401" t="s">
        <v>131</v>
      </c>
      <c r="U115" s="418" t="s">
        <v>333</v>
      </c>
      <c r="V115" s="401">
        <v>25</v>
      </c>
      <c r="W115" s="401" t="str">
        <f t="shared" si="838"/>
        <v>3C X 25</v>
      </c>
      <c r="X115" s="401" t="str">
        <f t="shared" si="839"/>
        <v>3C X 25</v>
      </c>
      <c r="Y115" s="401" t="s">
        <v>358</v>
      </c>
      <c r="Z115" s="393">
        <f>IF(T115="AIR",VLOOKUP(W115,'Catalogue Aluminium'!$B$9:$G$93,2,FALSE),IF(T115="GROUND",VLOOKUP(W115,'Catalogue Aluminium'!$B$9:$G$93,3,FALSE),IF(T115="DUCT",VLOOKUP(W115,'Catalogue Aluminium'!$B$9:$G$93,4,FALSE),IF(T115="TRENCH",VLOOKUP(W115,'Catalogue Aluminium'!$B$9:$G$93,2,FALSE)))))</f>
        <v>95</v>
      </c>
      <c r="AA115" s="402">
        <f>VLOOKUP(W115,'Catalogue Aluminium'!$B$9:$G$93,5,FALSE)</f>
        <v>1.54</v>
      </c>
      <c r="AB115" s="402">
        <f>VLOOKUP(W115,'Catalogue Aluminium'!$B$9:$G$93,6,FALSE)</f>
        <v>8.1600000000000006E-2</v>
      </c>
      <c r="AC115" s="401">
        <f t="shared" ref="AC115" si="866">17+3</f>
        <v>20</v>
      </c>
      <c r="AD115" s="401">
        <f>40+50+38+50+17+(27+45)</f>
        <v>267</v>
      </c>
      <c r="AE115" s="401">
        <f t="shared" si="840"/>
        <v>38</v>
      </c>
      <c r="AF115" s="401">
        <v>8</v>
      </c>
      <c r="AG115" s="401">
        <f t="shared" si="841"/>
        <v>34</v>
      </c>
      <c r="AH115" s="436">
        <f t="shared" si="854"/>
        <v>367</v>
      </c>
      <c r="AI115" s="393">
        <f>IF(T115="AIR",'Catalogue Aluminium'!$K$9,IF(T115="TRENCH",'Catalogue Aluminium'!$K$12,"NA"))</f>
        <v>0.89</v>
      </c>
      <c r="AJ115" s="392">
        <f>IF(T115="Air",(IF(U115="1C",'Catalogue Aluminium'!$L$9,'Catalogue Aluminium'!$M$9)),IF(T115="DUCT",(IF($U115="1C",'Catalogue Aluminium'!$L$10,'Catalogue Aluminium'!$M$10)),IF(T115="GROUND",(IF($U115="1C",'Catalogue Aluminium'!$L$11,'Catalogue Aluminium'!$M$11)),IF(T115="TRENCH",(IF($U115="1C",'Catalogue Aluminium'!$L$12,'Catalogue Aluminium'!$M$12))))))</f>
        <v>0.66</v>
      </c>
      <c r="AK115" s="393" t="str">
        <f>IF(T115="Air",'Catalogue Aluminium'!$N$9,IF(T115="GROUND",'Catalogue Aluminium'!$N$10,IF(T115="DUCT",'Catalogue Aluminium'!$N$11,IF(T115="TRENCH",'Catalogue Aluminium'!$N$12,"NA"))))</f>
        <v>NA</v>
      </c>
      <c r="AL115" s="393" t="str">
        <f>IF(T115="Air",(IF(U115="1C",'Catalogue Aluminium'!$O$9,'Catalogue Aluminium'!$P$9)),IF(T115="DUCT",(IF($U115="1C",'Catalogue Aluminium'!$O$10,'Catalogue Aluminium'!$P$10)),IF(T115="GROUND",(IF($U115="1C",'Catalogue Aluminium'!$O$11,'Catalogue Aluminium'!$P$11)),IF(T115="TRENCH",(IF($U115="1C",'Catalogue Aluminium'!$O$12,'Catalogue Aluminium'!$P$12))))))</f>
        <v>NA</v>
      </c>
      <c r="AM115" s="393" t="str">
        <f>IF(T115="AIR","NA",IF(T115="TRENCH","NA",IF(T115="DUCT",IF(U115="1C",VLOOKUP(V115,'Catalogue Aluminium'!$Q$9:$S$28,2,FALSE),VLOOKUP(V115,'Catalogue Aluminium'!$Q$9:$S$28,3)),IF(T115="GROUND",IF(U115="1C",VLOOKUP(V115,'Catalogue Aluminium'!$Q$9:$S$28,2,FALSE),VLOOKUP(V115,'Catalogue Aluminium'!$Q$9:$S$28,3))))))</f>
        <v>NA</v>
      </c>
      <c r="AN115" s="437">
        <f t="shared" si="842"/>
        <v>0.58740000000000003</v>
      </c>
      <c r="AO115" s="418">
        <f t="shared" si="843"/>
        <v>55.803000000000004</v>
      </c>
      <c r="AP115" s="434">
        <f t="shared" si="689"/>
        <v>1</v>
      </c>
      <c r="AQ115" s="418" t="str">
        <f t="shared" si="844"/>
        <v>YES</v>
      </c>
      <c r="AR115" s="437">
        <f t="shared" si="845"/>
        <v>2.0118727665742675</v>
      </c>
      <c r="AS115" s="401" t="str">
        <f t="shared" si="846"/>
        <v>YES</v>
      </c>
      <c r="AT115" s="437" t="str">
        <f t="shared" si="855"/>
        <v>NA</v>
      </c>
      <c r="AU115" s="401" t="str">
        <f t="shared" si="847"/>
        <v>NA</v>
      </c>
      <c r="AV115" s="503" t="str">
        <f t="shared" si="848"/>
        <v>1R x 0.6/1kV x 3C x 25 Sqmm</v>
      </c>
      <c r="AW115" s="503" t="str">
        <f t="shared" si="849"/>
        <v>1R x 0.6/1kV x 3C x 25 Sqmm</v>
      </c>
      <c r="AX115" s="401">
        <f t="shared" si="856"/>
        <v>367</v>
      </c>
      <c r="AY115" s="504"/>
      <c r="AZ115" s="504">
        <f t="shared" si="857"/>
        <v>2</v>
      </c>
      <c r="BA115" s="438" t="str">
        <f t="shared" si="858"/>
        <v>ACDEE1E2</v>
      </c>
      <c r="BB115" s="505">
        <f>VLOOKUP(W115,'Catalogue Aluminium'!$B$9:$H$93,7,FALSE)</f>
        <v>21</v>
      </c>
      <c r="BC115" s="439">
        <f t="shared" si="859"/>
        <v>21</v>
      </c>
      <c r="BE115" s="336"/>
      <c r="BF115" s="336">
        <v>1</v>
      </c>
      <c r="BG115" s="336"/>
      <c r="BH115" s="336"/>
      <c r="BI115" s="336">
        <v>1</v>
      </c>
      <c r="BJ115" s="336">
        <v>1</v>
      </c>
      <c r="BK115" s="336"/>
      <c r="BL115" s="336"/>
      <c r="BM115" s="336"/>
      <c r="BN115" s="336">
        <v>1</v>
      </c>
      <c r="BO115" s="336"/>
      <c r="BP115" s="336">
        <v>1</v>
      </c>
      <c r="BQ115" s="336">
        <v>1</v>
      </c>
      <c r="BR115" s="336"/>
      <c r="BS115" s="336"/>
      <c r="BT115" s="336"/>
      <c r="BU115" s="336"/>
      <c r="BV115" s="336"/>
      <c r="BW115" s="336"/>
      <c r="BX115" s="336"/>
      <c r="BY115" s="336"/>
      <c r="BZ115" s="336"/>
      <c r="CA115" s="336"/>
      <c r="CB115" s="336"/>
      <c r="CC115" s="336"/>
      <c r="CD115" s="336"/>
      <c r="CE115" s="336"/>
      <c r="CF115" s="336"/>
      <c r="CG115" s="336"/>
      <c r="CH115" s="336"/>
      <c r="CI115" s="336"/>
      <c r="CJ115" s="336"/>
      <c r="CK115" s="336"/>
      <c r="CL115" s="336"/>
      <c r="CM115" s="336"/>
      <c r="CN115" s="336"/>
      <c r="CO115" s="336"/>
      <c r="CP115" s="336"/>
      <c r="CQ115" s="336"/>
      <c r="CR115" s="336"/>
      <c r="CS115" s="336"/>
      <c r="CT115" s="336"/>
      <c r="CU115" s="336"/>
      <c r="CV115" s="336"/>
      <c r="CW115" s="336"/>
      <c r="CX115" s="336"/>
      <c r="CY115" s="336"/>
      <c r="CZ115" s="336"/>
      <c r="DA115" s="336"/>
      <c r="DB115" s="336"/>
      <c r="DC115" s="336"/>
      <c r="DD115" s="336"/>
      <c r="DE115" s="336"/>
      <c r="DF115" s="336"/>
      <c r="DG115" s="336"/>
      <c r="DH115" s="336"/>
      <c r="DI115" s="336"/>
      <c r="DJ115" s="336"/>
      <c r="DK115" s="336"/>
      <c r="DL115" s="336"/>
      <c r="DM115" s="336"/>
      <c r="DN115" s="336"/>
      <c r="DO115" s="336"/>
      <c r="DP115" s="336"/>
      <c r="DQ115" s="336"/>
      <c r="DR115" s="336"/>
      <c r="DS115" s="336"/>
      <c r="DT115" s="336"/>
      <c r="DU115" s="336"/>
      <c r="DW115" s="336">
        <f t="shared" si="709"/>
        <v>0</v>
      </c>
      <c r="DX115" s="336">
        <f t="shared" si="701"/>
        <v>21</v>
      </c>
      <c r="DY115" s="336">
        <f t="shared" si="702"/>
        <v>0</v>
      </c>
      <c r="DZ115" s="336">
        <f t="shared" si="703"/>
        <v>0</v>
      </c>
      <c r="EA115" s="336">
        <f t="shared" si="704"/>
        <v>21</v>
      </c>
      <c r="EB115" s="336">
        <f t="shared" si="705"/>
        <v>21</v>
      </c>
      <c r="EC115" s="336">
        <f t="shared" si="706"/>
        <v>0</v>
      </c>
      <c r="ED115" s="336">
        <f t="shared" si="621"/>
        <v>0</v>
      </c>
      <c r="EE115" s="336">
        <f t="shared" si="622"/>
        <v>0</v>
      </c>
      <c r="EF115" s="336">
        <f t="shared" si="623"/>
        <v>21</v>
      </c>
      <c r="EG115" s="336">
        <f t="shared" si="624"/>
        <v>0</v>
      </c>
      <c r="EH115" s="336">
        <f t="shared" si="625"/>
        <v>21</v>
      </c>
      <c r="EI115" s="336">
        <f t="shared" si="626"/>
        <v>21</v>
      </c>
      <c r="EJ115" s="336">
        <f t="shared" si="627"/>
        <v>0</v>
      </c>
      <c r="EK115" s="336">
        <f t="shared" si="628"/>
        <v>0</v>
      </c>
      <c r="EL115" s="336">
        <f t="shared" si="629"/>
        <v>0</v>
      </c>
      <c r="EM115" s="336">
        <f t="shared" si="630"/>
        <v>0</v>
      </c>
      <c r="EN115" s="336">
        <f t="shared" si="631"/>
        <v>0</v>
      </c>
      <c r="EO115" s="336">
        <f t="shared" si="632"/>
        <v>0</v>
      </c>
      <c r="EP115" s="336">
        <f t="shared" si="633"/>
        <v>0</v>
      </c>
      <c r="EQ115" s="336">
        <f t="shared" si="634"/>
        <v>0</v>
      </c>
      <c r="ER115" s="336">
        <f t="shared" si="635"/>
        <v>0</v>
      </c>
      <c r="ES115" s="336">
        <f t="shared" si="636"/>
        <v>0</v>
      </c>
      <c r="ET115" s="336">
        <f t="shared" si="636"/>
        <v>0</v>
      </c>
      <c r="EU115" s="336">
        <f t="shared" si="637"/>
        <v>0</v>
      </c>
      <c r="EV115" s="336">
        <f t="shared" si="638"/>
        <v>0</v>
      </c>
      <c r="EW115" s="336">
        <f t="shared" si="639"/>
        <v>0</v>
      </c>
      <c r="EX115" s="336">
        <f t="shared" si="640"/>
        <v>0</v>
      </c>
      <c r="EY115" s="336">
        <f t="shared" si="641"/>
        <v>0</v>
      </c>
      <c r="EZ115" s="336">
        <f t="shared" si="642"/>
        <v>0</v>
      </c>
      <c r="FA115" s="336">
        <f t="shared" si="643"/>
        <v>0</v>
      </c>
      <c r="FB115" s="336">
        <f t="shared" si="644"/>
        <v>0</v>
      </c>
      <c r="FC115" s="336">
        <f t="shared" si="645"/>
        <v>0</v>
      </c>
      <c r="FD115" s="336">
        <f t="shared" si="646"/>
        <v>0</v>
      </c>
      <c r="FE115" s="336">
        <f t="shared" si="647"/>
        <v>0</v>
      </c>
      <c r="FF115" s="336">
        <f t="shared" si="648"/>
        <v>0</v>
      </c>
      <c r="FG115" s="336">
        <f t="shared" si="649"/>
        <v>0</v>
      </c>
      <c r="FH115" s="336">
        <f t="shared" si="650"/>
        <v>0</v>
      </c>
      <c r="FI115" s="336">
        <f t="shared" si="651"/>
        <v>0</v>
      </c>
      <c r="FJ115" s="336">
        <f t="shared" si="652"/>
        <v>0</v>
      </c>
      <c r="FK115" s="336">
        <f t="shared" si="653"/>
        <v>0</v>
      </c>
      <c r="FL115" s="336">
        <f t="shared" si="654"/>
        <v>0</v>
      </c>
      <c r="FM115" s="336">
        <f t="shared" si="655"/>
        <v>0</v>
      </c>
      <c r="FN115" s="336">
        <f t="shared" si="656"/>
        <v>0</v>
      </c>
      <c r="FO115" s="336">
        <f t="shared" si="657"/>
        <v>0</v>
      </c>
      <c r="FP115" s="336">
        <f t="shared" si="658"/>
        <v>0</v>
      </c>
      <c r="FQ115" s="336">
        <f t="shared" si="659"/>
        <v>0</v>
      </c>
      <c r="FR115" s="336">
        <f t="shared" si="660"/>
        <v>0</v>
      </c>
      <c r="FS115" s="336">
        <f t="shared" si="661"/>
        <v>0</v>
      </c>
      <c r="FT115" s="336">
        <f t="shared" si="662"/>
        <v>0</v>
      </c>
      <c r="FU115" s="336">
        <f t="shared" si="860"/>
        <v>0</v>
      </c>
      <c r="FV115" s="336">
        <f t="shared" si="861"/>
        <v>0</v>
      </c>
      <c r="FW115" s="336">
        <f t="shared" si="862"/>
        <v>0</v>
      </c>
      <c r="FX115" s="336">
        <f t="shared" si="863"/>
        <v>0</v>
      </c>
      <c r="FY115" s="336">
        <f t="shared" si="663"/>
        <v>0</v>
      </c>
      <c r="FZ115" s="336">
        <f t="shared" si="664"/>
        <v>0</v>
      </c>
      <c r="GA115" s="336">
        <f t="shared" si="665"/>
        <v>0</v>
      </c>
      <c r="GB115" s="336">
        <f t="shared" si="666"/>
        <v>0</v>
      </c>
      <c r="GC115" s="336">
        <f t="shared" si="667"/>
        <v>0</v>
      </c>
      <c r="GD115" s="336">
        <f t="shared" si="668"/>
        <v>0</v>
      </c>
      <c r="GE115" s="336">
        <f t="shared" si="669"/>
        <v>0</v>
      </c>
      <c r="GF115" s="336">
        <f t="shared" si="670"/>
        <v>0</v>
      </c>
      <c r="GG115" s="336">
        <f t="shared" si="671"/>
        <v>0</v>
      </c>
      <c r="GH115" s="336">
        <f t="shared" si="672"/>
        <v>0</v>
      </c>
      <c r="GI115" s="336">
        <f t="shared" si="673"/>
        <v>0</v>
      </c>
      <c r="GJ115" s="336">
        <f t="shared" si="674"/>
        <v>0</v>
      </c>
      <c r="GK115" s="336">
        <f t="shared" si="852"/>
        <v>0</v>
      </c>
      <c r="GL115" s="336">
        <f t="shared" si="864"/>
        <v>0</v>
      </c>
      <c r="GM115" s="336">
        <f t="shared" si="675"/>
        <v>0</v>
      </c>
    </row>
    <row r="116" spans="1:195" ht="20.100000000000001" customHeight="1">
      <c r="A116" s="388">
        <f t="shared" si="865"/>
        <v>76</v>
      </c>
      <c r="B116" s="388" t="s">
        <v>527</v>
      </c>
      <c r="C116" s="388" t="s">
        <v>489</v>
      </c>
      <c r="D116" s="338" t="s">
        <v>594</v>
      </c>
      <c r="E116" s="502" t="s">
        <v>345</v>
      </c>
      <c r="F116" s="388" t="s">
        <v>28</v>
      </c>
      <c r="G116" s="388" t="s">
        <v>329</v>
      </c>
      <c r="H116" s="418">
        <v>2</v>
      </c>
      <c r="I116" s="388" t="s">
        <v>330</v>
      </c>
      <c r="J116" s="388" t="s">
        <v>331</v>
      </c>
      <c r="K116" s="434">
        <v>400</v>
      </c>
      <c r="L116" s="401">
        <v>0.85</v>
      </c>
      <c r="M116" s="418">
        <v>0.95</v>
      </c>
      <c r="N116" s="392">
        <f t="shared" si="835"/>
        <v>3.5750291364874629</v>
      </c>
      <c r="O116" s="392">
        <f t="shared" ref="O116:O150" si="867">IF(G116="MOTOR",(6*N116),IF(G116="VFD",(1*N116),0))</f>
        <v>0</v>
      </c>
      <c r="P116" s="401" t="str">
        <f t="shared" si="836"/>
        <v>0.00</v>
      </c>
      <c r="Q116" s="418">
        <v>65</v>
      </c>
      <c r="R116" s="418">
        <v>0</v>
      </c>
      <c r="S116" s="418">
        <f t="shared" si="837"/>
        <v>0</v>
      </c>
      <c r="T116" s="401" t="s">
        <v>131</v>
      </c>
      <c r="U116" s="418" t="s">
        <v>522</v>
      </c>
      <c r="V116" s="401">
        <v>6</v>
      </c>
      <c r="W116" s="401" t="str">
        <f t="shared" si="838"/>
        <v>4C X 6</v>
      </c>
      <c r="X116" s="401" t="str">
        <f t="shared" si="839"/>
        <v>4C X 6</v>
      </c>
      <c r="Y116" s="401" t="s">
        <v>358</v>
      </c>
      <c r="Z116" s="393">
        <f>IF(T116="AIR",VLOOKUP(W116,'Catalogue Aluminium'!$B$9:$G$93,2,FALSE),IF(T116="GROUND",VLOOKUP(W116,'Catalogue Aluminium'!$B$9:$G$93,3,FALSE),IF(T116="DUCT",VLOOKUP(W116,'Catalogue Aluminium'!$B$9:$G$93,4,FALSE),IF(T116="TRENCH",VLOOKUP(W116,'Catalogue Aluminium'!$B$9:$G$93,2,FALSE)))))</f>
        <v>51</v>
      </c>
      <c r="AA116" s="402">
        <f>VLOOKUP(W116,'Catalogue Aluminium'!$B$9:$G$93,5,FALSE)</f>
        <v>3.94</v>
      </c>
      <c r="AB116" s="402">
        <f>VLOOKUP(W116,'Catalogue Aluminium'!$B$9:$G$93,6,FALSE)</f>
        <v>9.0200000000000002E-2</v>
      </c>
      <c r="AC116" s="401">
        <f t="shared" si="853"/>
        <v>29</v>
      </c>
      <c r="AD116" s="401">
        <f>40+50+38+50+17+(27+47)</f>
        <v>269</v>
      </c>
      <c r="AE116" s="401">
        <f t="shared" si="840"/>
        <v>38</v>
      </c>
      <c r="AF116" s="401">
        <v>8</v>
      </c>
      <c r="AG116" s="401">
        <f t="shared" si="841"/>
        <v>35</v>
      </c>
      <c r="AH116" s="436">
        <f t="shared" si="854"/>
        <v>379</v>
      </c>
      <c r="AI116" s="393">
        <f>IF(T116="AIR",'Catalogue Aluminium'!$K$9,IF(T116="TRENCH",'Catalogue Aluminium'!$K$12,"NA"))</f>
        <v>0.89</v>
      </c>
      <c r="AJ116" s="392">
        <f>IF(T116="Air",(IF(U116="1C",'Catalogue Aluminium'!$L$9,'Catalogue Aluminium'!$M$9)),IF(T116="DUCT",(IF($U116="1C",'Catalogue Aluminium'!$L$10,'Catalogue Aluminium'!$M$10)),IF(T116="GROUND",(IF($U116="1C",'Catalogue Aluminium'!$L$11,'Catalogue Aluminium'!$M$11)),IF(T116="TRENCH",(IF($U116="1C",'Catalogue Aluminium'!$L$12,'Catalogue Aluminium'!$M$12))))))</f>
        <v>0.66</v>
      </c>
      <c r="AK116" s="393" t="str">
        <f>IF(T116="Air",'Catalogue Aluminium'!$N$9,IF(T116="GROUND",'Catalogue Aluminium'!$N$10,IF(T116="DUCT",'Catalogue Aluminium'!$N$11,IF(T116="TRENCH",'Catalogue Aluminium'!$N$12,"NA"))))</f>
        <v>NA</v>
      </c>
      <c r="AL116" s="393" t="str">
        <f>IF(T116="Air",(IF(U116="1C",'Catalogue Aluminium'!$O$9,'Catalogue Aluminium'!$P$9)),IF(T116="DUCT",(IF($U116="1C",'Catalogue Aluminium'!$O$10,'Catalogue Aluminium'!$P$10)),IF(T116="GROUND",(IF($U116="1C",'Catalogue Aluminium'!$O$11,'Catalogue Aluminium'!$P$11)),IF(T116="TRENCH",(IF($U116="1C",'Catalogue Aluminium'!$O$12,'Catalogue Aluminium'!$P$12))))))</f>
        <v>NA</v>
      </c>
      <c r="AM116" s="393" t="str">
        <f>IF(T116="AIR","NA",IF(T116="TRENCH","NA",IF(T116="DUCT",IF(U116="1C",VLOOKUP(V116,'Catalogue Aluminium'!$Q$9:$S$28,2,FALSE),VLOOKUP(V116,'Catalogue Aluminium'!$Q$9:$S$28,3)),IF(T116="GROUND",IF(U116="1C",VLOOKUP(V116,'Catalogue Aluminium'!$Q$9:$S$28,2,FALSE),VLOOKUP(V116,'Catalogue Aluminium'!$Q$9:$S$28,3))))))</f>
        <v>NA</v>
      </c>
      <c r="AN116" s="437">
        <f t="shared" si="842"/>
        <v>0.58740000000000003</v>
      </c>
      <c r="AO116" s="418">
        <f t="shared" si="843"/>
        <v>29.957400000000003</v>
      </c>
      <c r="AP116" s="434">
        <f t="shared" si="689"/>
        <v>1</v>
      </c>
      <c r="AQ116" s="418" t="str">
        <f t="shared" si="844"/>
        <v>YES</v>
      </c>
      <c r="AR116" s="437">
        <f t="shared" si="845"/>
        <v>1.9927511601595154</v>
      </c>
      <c r="AS116" s="401" t="str">
        <f t="shared" si="846"/>
        <v>YES</v>
      </c>
      <c r="AT116" s="437" t="str">
        <f t="shared" si="855"/>
        <v>NA</v>
      </c>
      <c r="AU116" s="401" t="str">
        <f t="shared" si="847"/>
        <v>NA</v>
      </c>
      <c r="AV116" s="503" t="str">
        <f t="shared" si="848"/>
        <v>1R x 0.6/1kV x 4C x 6 Sqmm</v>
      </c>
      <c r="AW116" s="503" t="str">
        <f t="shared" si="849"/>
        <v>1R x 0.6/1kV x 4C x 6 Sqmm</v>
      </c>
      <c r="AX116" s="401">
        <f t="shared" si="856"/>
        <v>379</v>
      </c>
      <c r="AY116" s="504"/>
      <c r="AZ116" s="504">
        <f t="shared" si="857"/>
        <v>2</v>
      </c>
      <c r="BA116" s="438" t="str">
        <f t="shared" si="858"/>
        <v>ACDEE1E2</v>
      </c>
      <c r="BB116" s="505">
        <f>VLOOKUP(W116,'Catalogue Aluminium'!$B$9:$H$93,7,FALSE)</f>
        <v>18</v>
      </c>
      <c r="BC116" s="439">
        <f t="shared" si="859"/>
        <v>18</v>
      </c>
      <c r="BE116" s="336"/>
      <c r="BF116" s="336">
        <v>1</v>
      </c>
      <c r="BG116" s="336"/>
      <c r="BH116" s="336"/>
      <c r="BI116" s="336">
        <v>1</v>
      </c>
      <c r="BJ116" s="336">
        <v>1</v>
      </c>
      <c r="BK116" s="336"/>
      <c r="BL116" s="336"/>
      <c r="BM116" s="336"/>
      <c r="BN116" s="336">
        <v>1</v>
      </c>
      <c r="BO116" s="336"/>
      <c r="BP116" s="336">
        <v>1</v>
      </c>
      <c r="BQ116" s="336">
        <v>1</v>
      </c>
      <c r="BR116" s="336"/>
      <c r="BS116" s="336"/>
      <c r="BT116" s="336"/>
      <c r="BU116" s="336"/>
      <c r="BV116" s="336"/>
      <c r="BW116" s="336"/>
      <c r="BX116" s="336"/>
      <c r="BY116" s="336"/>
      <c r="BZ116" s="336"/>
      <c r="CA116" s="336"/>
      <c r="CB116" s="336"/>
      <c r="CC116" s="336"/>
      <c r="CD116" s="336"/>
      <c r="CE116" s="336"/>
      <c r="CF116" s="336"/>
      <c r="CG116" s="336"/>
      <c r="CH116" s="336"/>
      <c r="CI116" s="336"/>
      <c r="CJ116" s="336"/>
      <c r="CK116" s="336"/>
      <c r="CL116" s="336"/>
      <c r="CM116" s="336"/>
      <c r="CN116" s="336"/>
      <c r="CO116" s="336"/>
      <c r="CP116" s="336"/>
      <c r="CQ116" s="336"/>
      <c r="CR116" s="336"/>
      <c r="CS116" s="336"/>
      <c r="CT116" s="336"/>
      <c r="CU116" s="336"/>
      <c r="CV116" s="336"/>
      <c r="CW116" s="336"/>
      <c r="CX116" s="336"/>
      <c r="CY116" s="336"/>
      <c r="CZ116" s="336"/>
      <c r="DA116" s="336"/>
      <c r="DB116" s="336"/>
      <c r="DC116" s="336"/>
      <c r="DD116" s="336"/>
      <c r="DE116" s="336"/>
      <c r="DF116" s="336"/>
      <c r="DG116" s="336"/>
      <c r="DH116" s="336"/>
      <c r="DI116" s="336"/>
      <c r="DJ116" s="336"/>
      <c r="DK116" s="336"/>
      <c r="DL116" s="336"/>
      <c r="DM116" s="336"/>
      <c r="DN116" s="336"/>
      <c r="DO116" s="336"/>
      <c r="DP116" s="336"/>
      <c r="DQ116" s="336"/>
      <c r="DR116" s="336"/>
      <c r="DS116" s="336"/>
      <c r="DT116" s="336"/>
      <c r="DU116" s="336"/>
      <c r="DW116" s="336">
        <f t="shared" si="709"/>
        <v>0</v>
      </c>
      <c r="DX116" s="336">
        <f t="shared" si="701"/>
        <v>18</v>
      </c>
      <c r="DY116" s="336">
        <f t="shared" si="702"/>
        <v>0</v>
      </c>
      <c r="DZ116" s="336">
        <f t="shared" si="703"/>
        <v>0</v>
      </c>
      <c r="EA116" s="336">
        <f t="shared" si="704"/>
        <v>18</v>
      </c>
      <c r="EB116" s="336">
        <f t="shared" si="705"/>
        <v>18</v>
      </c>
      <c r="EC116" s="336">
        <f t="shared" si="706"/>
        <v>0</v>
      </c>
      <c r="ED116" s="336">
        <f t="shared" si="621"/>
        <v>0</v>
      </c>
      <c r="EE116" s="336">
        <f t="shared" si="622"/>
        <v>0</v>
      </c>
      <c r="EF116" s="336">
        <f t="shared" si="623"/>
        <v>18</v>
      </c>
      <c r="EG116" s="336">
        <f t="shared" si="624"/>
        <v>0</v>
      </c>
      <c r="EH116" s="336">
        <f t="shared" si="625"/>
        <v>18</v>
      </c>
      <c r="EI116" s="336">
        <f t="shared" si="626"/>
        <v>18</v>
      </c>
      <c r="EJ116" s="336">
        <f t="shared" si="627"/>
        <v>0</v>
      </c>
      <c r="EK116" s="336">
        <f t="shared" si="628"/>
        <v>0</v>
      </c>
      <c r="EL116" s="336">
        <f t="shared" si="629"/>
        <v>0</v>
      </c>
      <c r="EM116" s="336">
        <f t="shared" si="630"/>
        <v>0</v>
      </c>
      <c r="EN116" s="336">
        <f t="shared" si="631"/>
        <v>0</v>
      </c>
      <c r="EO116" s="336">
        <f t="shared" si="632"/>
        <v>0</v>
      </c>
      <c r="EP116" s="336">
        <f t="shared" si="633"/>
        <v>0</v>
      </c>
      <c r="EQ116" s="336">
        <f t="shared" si="634"/>
        <v>0</v>
      </c>
      <c r="ER116" s="336">
        <f t="shared" si="635"/>
        <v>0</v>
      </c>
      <c r="ES116" s="336">
        <f t="shared" si="636"/>
        <v>0</v>
      </c>
      <c r="ET116" s="336">
        <f t="shared" si="636"/>
        <v>0</v>
      </c>
      <c r="EU116" s="336">
        <f t="shared" si="637"/>
        <v>0</v>
      </c>
      <c r="EV116" s="336">
        <f t="shared" si="638"/>
        <v>0</v>
      </c>
      <c r="EW116" s="336">
        <f t="shared" si="639"/>
        <v>0</v>
      </c>
      <c r="EX116" s="336">
        <f t="shared" si="640"/>
        <v>0</v>
      </c>
      <c r="EY116" s="336">
        <f t="shared" si="641"/>
        <v>0</v>
      </c>
      <c r="EZ116" s="336">
        <f t="shared" si="642"/>
        <v>0</v>
      </c>
      <c r="FA116" s="336">
        <f t="shared" si="643"/>
        <v>0</v>
      </c>
      <c r="FB116" s="336">
        <f t="shared" si="644"/>
        <v>0</v>
      </c>
      <c r="FC116" s="336">
        <f t="shared" si="645"/>
        <v>0</v>
      </c>
      <c r="FD116" s="336">
        <f t="shared" si="646"/>
        <v>0</v>
      </c>
      <c r="FE116" s="336">
        <f t="shared" si="647"/>
        <v>0</v>
      </c>
      <c r="FF116" s="336">
        <f t="shared" si="648"/>
        <v>0</v>
      </c>
      <c r="FG116" s="336">
        <f t="shared" si="649"/>
        <v>0</v>
      </c>
      <c r="FH116" s="336">
        <f t="shared" si="650"/>
        <v>0</v>
      </c>
      <c r="FI116" s="336">
        <f t="shared" si="651"/>
        <v>0</v>
      </c>
      <c r="FJ116" s="336">
        <f t="shared" si="652"/>
        <v>0</v>
      </c>
      <c r="FK116" s="336">
        <f t="shared" si="653"/>
        <v>0</v>
      </c>
      <c r="FL116" s="336">
        <f t="shared" si="654"/>
        <v>0</v>
      </c>
      <c r="FM116" s="336">
        <f t="shared" si="655"/>
        <v>0</v>
      </c>
      <c r="FN116" s="336">
        <f t="shared" si="656"/>
        <v>0</v>
      </c>
      <c r="FO116" s="336">
        <f t="shared" si="657"/>
        <v>0</v>
      </c>
      <c r="FP116" s="336">
        <f t="shared" si="658"/>
        <v>0</v>
      </c>
      <c r="FQ116" s="336">
        <f t="shared" si="659"/>
        <v>0</v>
      </c>
      <c r="FR116" s="336">
        <f t="shared" si="660"/>
        <v>0</v>
      </c>
      <c r="FS116" s="336">
        <f t="shared" si="661"/>
        <v>0</v>
      </c>
      <c r="FT116" s="336">
        <f t="shared" si="662"/>
        <v>0</v>
      </c>
      <c r="FU116" s="336">
        <f t="shared" si="860"/>
        <v>0</v>
      </c>
      <c r="FV116" s="336">
        <f t="shared" si="861"/>
        <v>0</v>
      </c>
      <c r="FW116" s="336">
        <f t="shared" si="862"/>
        <v>0</v>
      </c>
      <c r="FX116" s="336">
        <f t="shared" si="863"/>
        <v>0</v>
      </c>
      <c r="FY116" s="336">
        <f t="shared" si="663"/>
        <v>0</v>
      </c>
      <c r="FZ116" s="336">
        <f t="shared" si="664"/>
        <v>0</v>
      </c>
      <c r="GA116" s="336">
        <f t="shared" si="665"/>
        <v>0</v>
      </c>
      <c r="GB116" s="336">
        <f t="shared" si="666"/>
        <v>0</v>
      </c>
      <c r="GC116" s="336">
        <f t="shared" si="667"/>
        <v>0</v>
      </c>
      <c r="GD116" s="336">
        <f t="shared" si="668"/>
        <v>0</v>
      </c>
      <c r="GE116" s="336">
        <f t="shared" si="669"/>
        <v>0</v>
      </c>
      <c r="GF116" s="336">
        <f t="shared" si="670"/>
        <v>0</v>
      </c>
      <c r="GG116" s="336">
        <f t="shared" si="671"/>
        <v>0</v>
      </c>
      <c r="GH116" s="336">
        <f t="shared" si="672"/>
        <v>0</v>
      </c>
      <c r="GI116" s="336">
        <f t="shared" si="673"/>
        <v>0</v>
      </c>
      <c r="GJ116" s="336">
        <f t="shared" si="674"/>
        <v>0</v>
      </c>
      <c r="GK116" s="336">
        <f t="shared" si="852"/>
        <v>0</v>
      </c>
      <c r="GL116" s="336">
        <f t="shared" si="864"/>
        <v>0</v>
      </c>
      <c r="GM116" s="336">
        <f t="shared" si="675"/>
        <v>0</v>
      </c>
    </row>
    <row r="117" spans="1:195" ht="20.100000000000001" customHeight="1">
      <c r="A117" s="388">
        <f t="shared" si="865"/>
        <v>77</v>
      </c>
      <c r="B117" s="388" t="s">
        <v>527</v>
      </c>
      <c r="C117" s="388" t="s">
        <v>489</v>
      </c>
      <c r="D117" s="338" t="s">
        <v>595</v>
      </c>
      <c r="E117" s="502" t="s">
        <v>555</v>
      </c>
      <c r="F117" s="522" t="s">
        <v>28</v>
      </c>
      <c r="G117" s="388" t="s">
        <v>329</v>
      </c>
      <c r="H117" s="418">
        <v>2</v>
      </c>
      <c r="I117" s="388" t="s">
        <v>330</v>
      </c>
      <c r="J117" s="388" t="s">
        <v>357</v>
      </c>
      <c r="K117" s="434">
        <v>230</v>
      </c>
      <c r="L117" s="401">
        <v>0.85</v>
      </c>
      <c r="M117" s="418">
        <v>0.95</v>
      </c>
      <c r="N117" s="392">
        <f t="shared" si="835"/>
        <v>10.768609503297887</v>
      </c>
      <c r="O117" s="392">
        <f t="shared" si="867"/>
        <v>0</v>
      </c>
      <c r="P117" s="401" t="str">
        <f t="shared" si="836"/>
        <v>0.00</v>
      </c>
      <c r="Q117" s="418">
        <v>65</v>
      </c>
      <c r="R117" s="418">
        <v>0</v>
      </c>
      <c r="S117" s="418">
        <f t="shared" si="837"/>
        <v>0</v>
      </c>
      <c r="T117" s="401" t="s">
        <v>131</v>
      </c>
      <c r="U117" s="418" t="s">
        <v>333</v>
      </c>
      <c r="V117" s="401">
        <v>16</v>
      </c>
      <c r="W117" s="401" t="str">
        <f t="shared" si="838"/>
        <v>3C X 16</v>
      </c>
      <c r="X117" s="401" t="str">
        <f t="shared" si="839"/>
        <v>3C X 16</v>
      </c>
      <c r="Y117" s="401" t="s">
        <v>358</v>
      </c>
      <c r="Z117" s="393">
        <f>IF(T117="AIR",VLOOKUP(W117,'Catalogue Aluminium'!$B$9:$G$93,2,FALSE),IF(T117="GROUND",VLOOKUP(W117,'Catalogue Aluminium'!$B$9:$G$93,3,FALSE),IF(T117="DUCT",VLOOKUP(W117,'Catalogue Aluminium'!$B$9:$G$93,4,FALSE),IF(T117="TRENCH",VLOOKUP(W117,'Catalogue Aluminium'!$B$9:$G$93,2,FALSE)))))</f>
        <v>70</v>
      </c>
      <c r="AA117" s="402">
        <f>VLOOKUP(W117,'Catalogue Aluminium'!$B$9:$G$93,5,FALSE)</f>
        <v>2.44</v>
      </c>
      <c r="AB117" s="402">
        <f>VLOOKUP(W117,'Catalogue Aluminium'!$B$9:$G$93,6,FALSE)</f>
        <v>8.1500000000000003E-2</v>
      </c>
      <c r="AC117" s="401">
        <f t="shared" si="853"/>
        <v>29</v>
      </c>
      <c r="AD117" s="401">
        <v>80</v>
      </c>
      <c r="AE117" s="401">
        <v>5</v>
      </c>
      <c r="AF117" s="401">
        <v>8</v>
      </c>
      <c r="AG117" s="401">
        <f t="shared" si="841"/>
        <v>13</v>
      </c>
      <c r="AH117" s="436">
        <f t="shared" si="854"/>
        <v>135</v>
      </c>
      <c r="AI117" s="393">
        <f>IF(T117="AIR",'Catalogue Aluminium'!$K$9,IF(T117="TRENCH",'Catalogue Aluminium'!$K$12,"NA"))</f>
        <v>0.89</v>
      </c>
      <c r="AJ117" s="392">
        <f>IF(T117="Air",(IF(U117="1C",'Catalogue Aluminium'!$L$9,'Catalogue Aluminium'!$M$9)),IF(T117="DUCT",(IF($U117="1C",'Catalogue Aluminium'!$L$10,'Catalogue Aluminium'!$M$10)),IF(T117="GROUND",(IF($U117="1C",'Catalogue Aluminium'!$L$11,'Catalogue Aluminium'!$M$11)),IF(T117="TRENCH",(IF($U117="1C",'Catalogue Aluminium'!$L$12,'Catalogue Aluminium'!$M$12))))))</f>
        <v>0.66</v>
      </c>
      <c r="AK117" s="393" t="str">
        <f>IF(T117="Air",'Catalogue Aluminium'!$N$9,IF(T117="GROUND",'Catalogue Aluminium'!$N$10,IF(T117="DUCT",'Catalogue Aluminium'!$N$11,IF(T117="TRENCH",'Catalogue Aluminium'!$N$12,"NA"))))</f>
        <v>NA</v>
      </c>
      <c r="AL117" s="393" t="str">
        <f>IF(T117="Air",(IF(U117="1C",'Catalogue Aluminium'!$O$9,'Catalogue Aluminium'!$P$9)),IF(T117="DUCT",(IF($U117="1C",'Catalogue Aluminium'!$O$10,'Catalogue Aluminium'!$P$10)),IF(T117="GROUND",(IF($U117="1C",'Catalogue Aluminium'!$O$11,'Catalogue Aluminium'!$P$11)),IF(T117="TRENCH",(IF($U117="1C",'Catalogue Aluminium'!$O$12,'Catalogue Aluminium'!$P$12))))))</f>
        <v>NA</v>
      </c>
      <c r="AM117" s="393" t="str">
        <f>IF(T117="AIR","NA",IF(T117="TRENCH","NA",IF(T117="DUCT",IF(U117="1C",VLOOKUP(V117,'Catalogue Aluminium'!$Q$9:$S$28,2,FALSE),VLOOKUP(V117,'Catalogue Aluminium'!$Q$9:$S$28,3)),IF(T117="GROUND",IF(U117="1C",VLOOKUP(V117,'Catalogue Aluminium'!$Q$9:$S$28,2,FALSE),VLOOKUP(V117,'Catalogue Aluminium'!$Q$9:$S$28,3))))))</f>
        <v>NA</v>
      </c>
      <c r="AN117" s="437">
        <f t="shared" si="842"/>
        <v>0.58740000000000003</v>
      </c>
      <c r="AO117" s="418">
        <f t="shared" si="843"/>
        <v>41.118000000000002</v>
      </c>
      <c r="AP117" s="434">
        <f t="shared" si="689"/>
        <v>1</v>
      </c>
      <c r="AQ117" s="418" t="str">
        <f t="shared" si="844"/>
        <v>YES</v>
      </c>
      <c r="AR117" s="437">
        <f t="shared" si="845"/>
        <v>2.3175721225147079</v>
      </c>
      <c r="AS117" s="401" t="str">
        <f t="shared" si="846"/>
        <v>YES</v>
      </c>
      <c r="AT117" s="437" t="str">
        <f t="shared" si="855"/>
        <v>NA</v>
      </c>
      <c r="AU117" s="401" t="str">
        <f t="shared" si="847"/>
        <v>NA</v>
      </c>
      <c r="AV117" s="503" t="str">
        <f t="shared" si="848"/>
        <v>1R x 0.6/1kV x 3C x 16 Sqmm</v>
      </c>
      <c r="AW117" s="503" t="str">
        <f t="shared" si="849"/>
        <v>1R x 0.6/1kV x 3C x 16 Sqmm</v>
      </c>
      <c r="AX117" s="401">
        <f t="shared" si="856"/>
        <v>135</v>
      </c>
      <c r="AY117" s="504"/>
      <c r="AZ117" s="504">
        <f t="shared" si="857"/>
        <v>2</v>
      </c>
      <c r="BA117" s="438" t="str">
        <f t="shared" si="858"/>
        <v>AB</v>
      </c>
      <c r="BB117" s="505">
        <f>VLOOKUP(W117,'Catalogue Aluminium'!$B$9:$H$93,7,FALSE)</f>
        <v>19</v>
      </c>
      <c r="BC117" s="439">
        <f t="shared" si="859"/>
        <v>19</v>
      </c>
      <c r="BE117" s="336"/>
      <c r="BF117" s="336">
        <v>1</v>
      </c>
      <c r="BG117" s="336">
        <v>1</v>
      </c>
      <c r="BH117" s="336"/>
      <c r="BI117" s="336"/>
      <c r="BJ117" s="336"/>
      <c r="BK117" s="336"/>
      <c r="BL117" s="336"/>
      <c r="BM117" s="336"/>
      <c r="BN117" s="336"/>
      <c r="BO117" s="336"/>
      <c r="BP117" s="336"/>
      <c r="BQ117" s="336"/>
      <c r="BR117" s="336"/>
      <c r="BS117" s="336"/>
      <c r="BT117" s="336"/>
      <c r="BU117" s="336"/>
      <c r="BV117" s="336"/>
      <c r="BW117" s="336"/>
      <c r="BX117" s="336"/>
      <c r="BY117" s="336"/>
      <c r="BZ117" s="336"/>
      <c r="CA117" s="336"/>
      <c r="CB117" s="336"/>
      <c r="CC117" s="336"/>
      <c r="CD117" s="336"/>
      <c r="CE117" s="336"/>
      <c r="CF117" s="336"/>
      <c r="CG117" s="336"/>
      <c r="CH117" s="336"/>
      <c r="CI117" s="336"/>
      <c r="CJ117" s="336"/>
      <c r="CK117" s="336"/>
      <c r="CL117" s="336"/>
      <c r="CM117" s="336"/>
      <c r="CN117" s="336"/>
      <c r="CO117" s="336"/>
      <c r="CP117" s="336"/>
      <c r="CQ117" s="336"/>
      <c r="CR117" s="336"/>
      <c r="CS117" s="336"/>
      <c r="CT117" s="336"/>
      <c r="CU117" s="336"/>
      <c r="CV117" s="336"/>
      <c r="CW117" s="336"/>
      <c r="CX117" s="336"/>
      <c r="CY117" s="336"/>
      <c r="CZ117" s="336"/>
      <c r="DA117" s="336"/>
      <c r="DB117" s="336"/>
      <c r="DC117" s="336"/>
      <c r="DD117" s="336"/>
      <c r="DE117" s="336"/>
      <c r="DF117" s="336"/>
      <c r="DG117" s="336"/>
      <c r="DH117" s="336"/>
      <c r="DI117" s="336"/>
      <c r="DJ117" s="336"/>
      <c r="DK117" s="336"/>
      <c r="DL117" s="336"/>
      <c r="DM117" s="336"/>
      <c r="DN117" s="336"/>
      <c r="DO117" s="336"/>
      <c r="DP117" s="336"/>
      <c r="DQ117" s="336"/>
      <c r="DR117" s="336"/>
      <c r="DS117" s="336"/>
      <c r="DT117" s="336"/>
      <c r="DU117" s="336"/>
      <c r="DW117" s="336">
        <f t="shared" si="709"/>
        <v>0</v>
      </c>
      <c r="DX117" s="336">
        <f t="shared" si="701"/>
        <v>19</v>
      </c>
      <c r="DY117" s="336">
        <f t="shared" si="702"/>
        <v>19</v>
      </c>
      <c r="DZ117" s="336">
        <f t="shared" si="703"/>
        <v>0</v>
      </c>
      <c r="EA117" s="336">
        <f t="shared" si="704"/>
        <v>0</v>
      </c>
      <c r="EB117" s="336">
        <f t="shared" si="705"/>
        <v>0</v>
      </c>
      <c r="EC117" s="336">
        <f t="shared" si="706"/>
        <v>0</v>
      </c>
      <c r="ED117" s="336">
        <f t="shared" si="621"/>
        <v>0</v>
      </c>
      <c r="EE117" s="336">
        <f t="shared" si="622"/>
        <v>0</v>
      </c>
      <c r="EF117" s="336">
        <f t="shared" si="623"/>
        <v>0</v>
      </c>
      <c r="EG117" s="336">
        <f t="shared" si="624"/>
        <v>0</v>
      </c>
      <c r="EH117" s="336">
        <f t="shared" si="625"/>
        <v>0</v>
      </c>
      <c r="EI117" s="336">
        <f t="shared" si="626"/>
        <v>0</v>
      </c>
      <c r="EJ117" s="336">
        <f t="shared" si="627"/>
        <v>0</v>
      </c>
      <c r="EK117" s="336">
        <f t="shared" si="628"/>
        <v>0</v>
      </c>
      <c r="EL117" s="336">
        <f t="shared" si="629"/>
        <v>0</v>
      </c>
      <c r="EM117" s="336">
        <f t="shared" si="630"/>
        <v>0</v>
      </c>
      <c r="EN117" s="336">
        <f t="shared" si="631"/>
        <v>0</v>
      </c>
      <c r="EO117" s="336">
        <f t="shared" si="632"/>
        <v>0</v>
      </c>
      <c r="EP117" s="336">
        <f t="shared" si="633"/>
        <v>0</v>
      </c>
      <c r="EQ117" s="336">
        <f t="shared" si="634"/>
        <v>0</v>
      </c>
      <c r="ER117" s="336">
        <f t="shared" si="635"/>
        <v>0</v>
      </c>
      <c r="ES117" s="336">
        <f t="shared" si="636"/>
        <v>0</v>
      </c>
      <c r="ET117" s="336">
        <f t="shared" si="636"/>
        <v>0</v>
      </c>
      <c r="EU117" s="336">
        <f t="shared" si="637"/>
        <v>0</v>
      </c>
      <c r="EV117" s="336">
        <f t="shared" si="638"/>
        <v>0</v>
      </c>
      <c r="EW117" s="336">
        <f t="shared" si="639"/>
        <v>0</v>
      </c>
      <c r="EX117" s="336">
        <f t="shared" si="640"/>
        <v>0</v>
      </c>
      <c r="EY117" s="336">
        <f t="shared" si="641"/>
        <v>0</v>
      </c>
      <c r="EZ117" s="336">
        <f t="shared" si="642"/>
        <v>0</v>
      </c>
      <c r="FA117" s="336">
        <f t="shared" si="643"/>
        <v>0</v>
      </c>
      <c r="FB117" s="336">
        <f t="shared" si="644"/>
        <v>0</v>
      </c>
      <c r="FC117" s="336">
        <f t="shared" si="645"/>
        <v>0</v>
      </c>
      <c r="FD117" s="336">
        <f t="shared" si="646"/>
        <v>0</v>
      </c>
      <c r="FE117" s="336">
        <f t="shared" si="647"/>
        <v>0</v>
      </c>
      <c r="FF117" s="336">
        <f t="shared" si="648"/>
        <v>0</v>
      </c>
      <c r="FG117" s="336">
        <f t="shared" si="649"/>
        <v>0</v>
      </c>
      <c r="FH117" s="336">
        <f t="shared" si="650"/>
        <v>0</v>
      </c>
      <c r="FI117" s="336">
        <f t="shared" si="651"/>
        <v>0</v>
      </c>
      <c r="FJ117" s="336">
        <f t="shared" si="652"/>
        <v>0</v>
      </c>
      <c r="FK117" s="336">
        <f t="shared" si="653"/>
        <v>0</v>
      </c>
      <c r="FL117" s="336">
        <f t="shared" si="654"/>
        <v>0</v>
      </c>
      <c r="FM117" s="336">
        <f t="shared" si="655"/>
        <v>0</v>
      </c>
      <c r="FN117" s="336">
        <f t="shared" si="656"/>
        <v>0</v>
      </c>
      <c r="FO117" s="336">
        <f t="shared" si="657"/>
        <v>0</v>
      </c>
      <c r="FP117" s="336">
        <f t="shared" si="658"/>
        <v>0</v>
      </c>
      <c r="FQ117" s="336">
        <f t="shared" si="659"/>
        <v>0</v>
      </c>
      <c r="FR117" s="336">
        <f t="shared" si="660"/>
        <v>0</v>
      </c>
      <c r="FS117" s="336">
        <f t="shared" si="661"/>
        <v>0</v>
      </c>
      <c r="FT117" s="336">
        <f t="shared" si="662"/>
        <v>0</v>
      </c>
      <c r="FU117" s="336">
        <f t="shared" si="860"/>
        <v>0</v>
      </c>
      <c r="FV117" s="336">
        <f t="shared" si="861"/>
        <v>0</v>
      </c>
      <c r="FW117" s="336">
        <f t="shared" si="862"/>
        <v>0</v>
      </c>
      <c r="FX117" s="336">
        <f t="shared" si="863"/>
        <v>0</v>
      </c>
      <c r="FY117" s="336">
        <f t="shared" si="663"/>
        <v>0</v>
      </c>
      <c r="FZ117" s="336">
        <f t="shared" si="664"/>
        <v>0</v>
      </c>
      <c r="GA117" s="336">
        <f t="shared" si="665"/>
        <v>0</v>
      </c>
      <c r="GB117" s="336">
        <f t="shared" si="666"/>
        <v>0</v>
      </c>
      <c r="GC117" s="336">
        <f t="shared" si="667"/>
        <v>0</v>
      </c>
      <c r="GD117" s="336">
        <f t="shared" si="668"/>
        <v>0</v>
      </c>
      <c r="GE117" s="336">
        <f t="shared" si="669"/>
        <v>0</v>
      </c>
      <c r="GF117" s="336">
        <f t="shared" si="670"/>
        <v>0</v>
      </c>
      <c r="GG117" s="336">
        <f t="shared" si="671"/>
        <v>0</v>
      </c>
      <c r="GH117" s="336">
        <f t="shared" si="672"/>
        <v>0</v>
      </c>
      <c r="GI117" s="336">
        <f t="shared" si="673"/>
        <v>0</v>
      </c>
      <c r="GJ117" s="336">
        <f t="shared" si="674"/>
        <v>0</v>
      </c>
      <c r="GK117" s="336">
        <f t="shared" si="852"/>
        <v>0</v>
      </c>
      <c r="GL117" s="336">
        <f t="shared" si="864"/>
        <v>0</v>
      </c>
      <c r="GM117" s="336">
        <f t="shared" si="675"/>
        <v>0</v>
      </c>
    </row>
    <row r="118" spans="1:195" s="75" customFormat="1" ht="20.100000000000001" customHeight="1">
      <c r="A118" s="388">
        <f t="shared" si="865"/>
        <v>78</v>
      </c>
      <c r="B118" s="388" t="s">
        <v>527</v>
      </c>
      <c r="C118" s="521" t="s">
        <v>489</v>
      </c>
      <c r="D118" s="338" t="s">
        <v>596</v>
      </c>
      <c r="E118" s="502" t="s">
        <v>555</v>
      </c>
      <c r="F118" s="522" t="s">
        <v>28</v>
      </c>
      <c r="G118" s="388" t="s">
        <v>329</v>
      </c>
      <c r="H118" s="518">
        <v>2</v>
      </c>
      <c r="I118" s="388" t="s">
        <v>330</v>
      </c>
      <c r="J118" s="388" t="s">
        <v>357</v>
      </c>
      <c r="K118" s="434">
        <v>230</v>
      </c>
      <c r="L118" s="401">
        <v>0.85</v>
      </c>
      <c r="M118" s="418">
        <v>0.95</v>
      </c>
      <c r="N118" s="392">
        <f t="shared" si="835"/>
        <v>10.768609503297887</v>
      </c>
      <c r="O118" s="392">
        <f t="shared" si="867"/>
        <v>0</v>
      </c>
      <c r="P118" s="401" t="str">
        <f t="shared" si="836"/>
        <v>0.00</v>
      </c>
      <c r="Q118" s="418">
        <v>65</v>
      </c>
      <c r="R118" s="418">
        <v>0</v>
      </c>
      <c r="S118" s="418">
        <f t="shared" si="837"/>
        <v>0</v>
      </c>
      <c r="T118" s="401" t="s">
        <v>131</v>
      </c>
      <c r="U118" s="418" t="s">
        <v>333</v>
      </c>
      <c r="V118" s="401">
        <v>16</v>
      </c>
      <c r="W118" s="401" t="str">
        <f t="shared" si="838"/>
        <v>3C X 16</v>
      </c>
      <c r="X118" s="401" t="str">
        <f t="shared" si="839"/>
        <v>3C X 16</v>
      </c>
      <c r="Y118" s="401" t="s">
        <v>358</v>
      </c>
      <c r="Z118" s="393">
        <f>IF(T118="AIR",VLOOKUP(W118,'Catalogue Aluminium'!$B$9:$G$93,2,FALSE),IF(T118="GROUND",VLOOKUP(W118,'Catalogue Aluminium'!$B$9:$G$93,3,FALSE),IF(T118="DUCT",VLOOKUP(W118,'Catalogue Aluminium'!$B$9:$G$93,4,FALSE),IF(T118="TRENCH",VLOOKUP(W118,'Catalogue Aluminium'!$B$9:$G$93,2,FALSE)))))</f>
        <v>70</v>
      </c>
      <c r="AA118" s="402">
        <f>VLOOKUP(W118,'Catalogue Aluminium'!$B$9:$G$93,5,FALSE)</f>
        <v>2.44</v>
      </c>
      <c r="AB118" s="402">
        <f>VLOOKUP(W118,'Catalogue Aluminium'!$B$9:$G$93,6,FALSE)</f>
        <v>8.1500000000000003E-2</v>
      </c>
      <c r="AC118" s="401">
        <f t="shared" si="853"/>
        <v>29</v>
      </c>
      <c r="AD118" s="401">
        <v>80</v>
      </c>
      <c r="AE118" s="401">
        <v>5</v>
      </c>
      <c r="AF118" s="401">
        <v>8</v>
      </c>
      <c r="AG118" s="401">
        <f t="shared" si="841"/>
        <v>13</v>
      </c>
      <c r="AH118" s="436">
        <f t="shared" si="854"/>
        <v>135</v>
      </c>
      <c r="AI118" s="393">
        <f>IF(T118="AIR",'Catalogue Aluminium'!$K$9,IF(T118="TRENCH",'Catalogue Aluminium'!$K$12,"NA"))</f>
        <v>0.89</v>
      </c>
      <c r="AJ118" s="392">
        <f>IF(T118="Air",(IF(U118="1C",'Catalogue Aluminium'!$L$9,'Catalogue Aluminium'!$M$9)),IF(T118="DUCT",(IF($U118="1C",'Catalogue Aluminium'!$L$10,'Catalogue Aluminium'!$M$10)),IF(T118="GROUND",(IF($U118="1C",'Catalogue Aluminium'!$L$11,'Catalogue Aluminium'!$M$11)),IF(T118="TRENCH",(IF($U118="1C",'Catalogue Aluminium'!$L$12,'Catalogue Aluminium'!$M$12))))))</f>
        <v>0.66</v>
      </c>
      <c r="AK118" s="393" t="str">
        <f>IF(T118="Air",'Catalogue Aluminium'!$N$9,IF(T118="GROUND",'Catalogue Aluminium'!$N$10,IF(T118="DUCT",'Catalogue Aluminium'!$N$11,IF(T118="TRENCH",'Catalogue Aluminium'!$N$12,"NA"))))</f>
        <v>NA</v>
      </c>
      <c r="AL118" s="393" t="str">
        <f>IF(T118="Air",(IF(U118="1C",'Catalogue Aluminium'!$O$9,'Catalogue Aluminium'!$P$9)),IF(T118="DUCT",(IF($U118="1C",'Catalogue Aluminium'!$O$10,'Catalogue Aluminium'!$P$10)),IF(T118="GROUND",(IF($U118="1C",'Catalogue Aluminium'!$O$11,'Catalogue Aluminium'!$P$11)),IF(T118="TRENCH",(IF($U118="1C",'Catalogue Aluminium'!$O$12,'Catalogue Aluminium'!$P$12))))))</f>
        <v>NA</v>
      </c>
      <c r="AM118" s="393" t="str">
        <f>IF(T118="AIR","NA",IF(T118="TRENCH","NA",IF(T118="DUCT",IF(U118="1C",VLOOKUP(V118,'Catalogue Aluminium'!$Q$9:$S$28,2,FALSE),VLOOKUP(V118,'Catalogue Aluminium'!$Q$9:$S$28,3)),IF(T118="GROUND",IF(U118="1C",VLOOKUP(V118,'Catalogue Aluminium'!$Q$9:$S$28,2,FALSE),VLOOKUP(V118,'Catalogue Aluminium'!$Q$9:$S$28,3))))))</f>
        <v>NA</v>
      </c>
      <c r="AN118" s="437">
        <f t="shared" si="842"/>
        <v>0.58740000000000003</v>
      </c>
      <c r="AO118" s="418">
        <f t="shared" si="843"/>
        <v>41.118000000000002</v>
      </c>
      <c r="AP118" s="434">
        <f t="shared" si="689"/>
        <v>1</v>
      </c>
      <c r="AQ118" s="418" t="str">
        <f t="shared" si="844"/>
        <v>YES</v>
      </c>
      <c r="AR118" s="437">
        <f t="shared" si="845"/>
        <v>2.3175721225147079</v>
      </c>
      <c r="AS118" s="401" t="str">
        <f t="shared" si="846"/>
        <v>YES</v>
      </c>
      <c r="AT118" s="437" t="str">
        <f t="shared" si="855"/>
        <v>NA</v>
      </c>
      <c r="AU118" s="401" t="str">
        <f t="shared" si="847"/>
        <v>NA</v>
      </c>
      <c r="AV118" s="503" t="str">
        <f t="shared" si="848"/>
        <v>1R x 0.6/1kV x 3C x 16 Sqmm</v>
      </c>
      <c r="AW118" s="503" t="str">
        <f t="shared" si="849"/>
        <v>1R x 0.6/1kV x 3C x 16 Sqmm</v>
      </c>
      <c r="AX118" s="401">
        <f t="shared" si="856"/>
        <v>135</v>
      </c>
      <c r="AY118" s="504"/>
      <c r="AZ118" s="504">
        <f t="shared" si="857"/>
        <v>2</v>
      </c>
      <c r="BA118" s="438" t="str">
        <f t="shared" si="858"/>
        <v>AB</v>
      </c>
      <c r="BB118" s="505">
        <f>VLOOKUP(W118,'Catalogue Aluminium'!$B$9:$H$93,7,FALSE)</f>
        <v>19</v>
      </c>
      <c r="BC118" s="439">
        <f t="shared" si="859"/>
        <v>19</v>
      </c>
      <c r="BE118" s="579"/>
      <c r="BF118" s="579">
        <v>1</v>
      </c>
      <c r="BG118" s="579">
        <v>1</v>
      </c>
      <c r="BH118" s="579"/>
      <c r="BI118" s="579"/>
      <c r="BJ118" s="579"/>
      <c r="BK118" s="579"/>
      <c r="BL118" s="579"/>
      <c r="BM118" s="579"/>
      <c r="BN118" s="579"/>
      <c r="BO118" s="579"/>
      <c r="BP118" s="579"/>
      <c r="BQ118" s="579"/>
      <c r="BR118" s="579"/>
      <c r="BS118" s="579"/>
      <c r="BT118" s="579"/>
      <c r="BU118" s="579"/>
      <c r="BV118" s="579"/>
      <c r="BW118" s="579"/>
      <c r="BX118" s="579"/>
      <c r="BY118" s="579"/>
      <c r="BZ118" s="579"/>
      <c r="CA118" s="579"/>
      <c r="CB118" s="579"/>
      <c r="CC118" s="579"/>
      <c r="CD118" s="579"/>
      <c r="CE118" s="579"/>
      <c r="CF118" s="579"/>
      <c r="CG118" s="579"/>
      <c r="CH118" s="579"/>
      <c r="CI118" s="579"/>
      <c r="CJ118" s="579"/>
      <c r="CK118" s="579"/>
      <c r="CL118" s="579"/>
      <c r="CM118" s="579"/>
      <c r="CN118" s="579"/>
      <c r="CO118" s="579"/>
      <c r="CP118" s="579"/>
      <c r="CQ118" s="579"/>
      <c r="CR118" s="579"/>
      <c r="CS118" s="579"/>
      <c r="CT118" s="579"/>
      <c r="CU118" s="579"/>
      <c r="CV118" s="579"/>
      <c r="CW118" s="579"/>
      <c r="CX118" s="579"/>
      <c r="CY118" s="579"/>
      <c r="CZ118" s="579"/>
      <c r="DA118" s="579"/>
      <c r="DB118" s="579"/>
      <c r="DC118" s="579"/>
      <c r="DD118" s="579"/>
      <c r="DE118" s="579"/>
      <c r="DF118" s="579"/>
      <c r="DG118" s="579"/>
      <c r="DH118" s="579"/>
      <c r="DI118" s="579"/>
      <c r="DJ118" s="579"/>
      <c r="DK118" s="579"/>
      <c r="DL118" s="579"/>
      <c r="DM118" s="579"/>
      <c r="DN118" s="579"/>
      <c r="DO118" s="579"/>
      <c r="DP118" s="579"/>
      <c r="DQ118" s="579"/>
      <c r="DR118" s="579"/>
      <c r="DS118" s="579"/>
      <c r="DT118" s="579"/>
      <c r="DU118" s="579"/>
      <c r="DW118" s="579">
        <f t="shared" si="709"/>
        <v>0</v>
      </c>
      <c r="DX118" s="579">
        <f t="shared" si="701"/>
        <v>19</v>
      </c>
      <c r="DY118" s="579">
        <f t="shared" si="702"/>
        <v>19</v>
      </c>
      <c r="DZ118" s="579">
        <f t="shared" si="703"/>
        <v>0</v>
      </c>
      <c r="EA118" s="579">
        <f t="shared" si="704"/>
        <v>0</v>
      </c>
      <c r="EB118" s="579">
        <f t="shared" si="705"/>
        <v>0</v>
      </c>
      <c r="EC118" s="579">
        <f t="shared" si="706"/>
        <v>0</v>
      </c>
      <c r="ED118" s="579">
        <f t="shared" si="621"/>
        <v>0</v>
      </c>
      <c r="EE118" s="579">
        <f t="shared" si="622"/>
        <v>0</v>
      </c>
      <c r="EF118" s="579">
        <f t="shared" si="623"/>
        <v>0</v>
      </c>
      <c r="EG118" s="579">
        <f t="shared" si="624"/>
        <v>0</v>
      </c>
      <c r="EH118" s="579">
        <f t="shared" si="625"/>
        <v>0</v>
      </c>
      <c r="EI118" s="579">
        <f t="shared" si="626"/>
        <v>0</v>
      </c>
      <c r="EJ118" s="579">
        <f t="shared" si="627"/>
        <v>0</v>
      </c>
      <c r="EK118" s="579">
        <f t="shared" si="628"/>
        <v>0</v>
      </c>
      <c r="EL118" s="579">
        <f t="shared" si="629"/>
        <v>0</v>
      </c>
      <c r="EM118" s="579">
        <f t="shared" si="630"/>
        <v>0</v>
      </c>
      <c r="EN118" s="579">
        <f t="shared" si="631"/>
        <v>0</v>
      </c>
      <c r="EO118" s="579">
        <f t="shared" si="632"/>
        <v>0</v>
      </c>
      <c r="EP118" s="579">
        <f t="shared" si="633"/>
        <v>0</v>
      </c>
      <c r="EQ118" s="579">
        <f t="shared" si="634"/>
        <v>0</v>
      </c>
      <c r="ER118" s="579">
        <f t="shared" si="635"/>
        <v>0</v>
      </c>
      <c r="ES118" s="579">
        <f t="shared" si="636"/>
        <v>0</v>
      </c>
      <c r="ET118" s="579">
        <f t="shared" si="636"/>
        <v>0</v>
      </c>
      <c r="EU118" s="579">
        <f t="shared" si="637"/>
        <v>0</v>
      </c>
      <c r="EV118" s="579">
        <f t="shared" si="638"/>
        <v>0</v>
      </c>
      <c r="EW118" s="579">
        <f t="shared" si="639"/>
        <v>0</v>
      </c>
      <c r="EX118" s="579">
        <f t="shared" si="640"/>
        <v>0</v>
      </c>
      <c r="EY118" s="579">
        <f t="shared" si="641"/>
        <v>0</v>
      </c>
      <c r="EZ118" s="579">
        <f t="shared" si="642"/>
        <v>0</v>
      </c>
      <c r="FA118" s="579">
        <f t="shared" si="643"/>
        <v>0</v>
      </c>
      <c r="FB118" s="579">
        <f t="shared" si="644"/>
        <v>0</v>
      </c>
      <c r="FC118" s="579">
        <f t="shared" si="645"/>
        <v>0</v>
      </c>
      <c r="FD118" s="579">
        <f t="shared" si="646"/>
        <v>0</v>
      </c>
      <c r="FE118" s="579">
        <f t="shared" si="647"/>
        <v>0</v>
      </c>
      <c r="FF118" s="579">
        <f t="shared" si="648"/>
        <v>0</v>
      </c>
      <c r="FG118" s="579">
        <f t="shared" si="649"/>
        <v>0</v>
      </c>
      <c r="FH118" s="579">
        <f t="shared" si="650"/>
        <v>0</v>
      </c>
      <c r="FI118" s="579">
        <f t="shared" si="651"/>
        <v>0</v>
      </c>
      <c r="FJ118" s="579">
        <f t="shared" si="652"/>
        <v>0</v>
      </c>
      <c r="FK118" s="579">
        <f t="shared" si="653"/>
        <v>0</v>
      </c>
      <c r="FL118" s="579">
        <f t="shared" si="654"/>
        <v>0</v>
      </c>
      <c r="FM118" s="579">
        <f t="shared" si="655"/>
        <v>0</v>
      </c>
      <c r="FN118" s="579">
        <f t="shared" si="656"/>
        <v>0</v>
      </c>
      <c r="FO118" s="579">
        <f t="shared" si="657"/>
        <v>0</v>
      </c>
      <c r="FP118" s="579">
        <f t="shared" si="658"/>
        <v>0</v>
      </c>
      <c r="FQ118" s="579">
        <f t="shared" si="659"/>
        <v>0</v>
      </c>
      <c r="FR118" s="579">
        <f t="shared" si="660"/>
        <v>0</v>
      </c>
      <c r="FS118" s="579">
        <f t="shared" si="661"/>
        <v>0</v>
      </c>
      <c r="FT118" s="579">
        <f t="shared" si="662"/>
        <v>0</v>
      </c>
      <c r="FU118" s="579">
        <f t="shared" si="860"/>
        <v>0</v>
      </c>
      <c r="FV118" s="579">
        <f t="shared" si="861"/>
        <v>0</v>
      </c>
      <c r="FW118" s="579">
        <f t="shared" si="862"/>
        <v>0</v>
      </c>
      <c r="FX118" s="579">
        <f t="shared" si="863"/>
        <v>0</v>
      </c>
      <c r="FY118" s="579">
        <f t="shared" si="663"/>
        <v>0</v>
      </c>
      <c r="FZ118" s="579">
        <f t="shared" si="664"/>
        <v>0</v>
      </c>
      <c r="GA118" s="579">
        <f t="shared" si="665"/>
        <v>0</v>
      </c>
      <c r="GB118" s="579">
        <f t="shared" si="666"/>
        <v>0</v>
      </c>
      <c r="GC118" s="579">
        <f t="shared" si="667"/>
        <v>0</v>
      </c>
      <c r="GD118" s="579">
        <f t="shared" si="668"/>
        <v>0</v>
      </c>
      <c r="GE118" s="579">
        <f t="shared" si="669"/>
        <v>0</v>
      </c>
      <c r="GF118" s="579">
        <f t="shared" si="670"/>
        <v>0</v>
      </c>
      <c r="GG118" s="579">
        <f t="shared" si="671"/>
        <v>0</v>
      </c>
      <c r="GH118" s="579">
        <f t="shared" si="672"/>
        <v>0</v>
      </c>
      <c r="GI118" s="579">
        <f t="shared" si="673"/>
        <v>0</v>
      </c>
      <c r="GJ118" s="579">
        <f t="shared" si="674"/>
        <v>0</v>
      </c>
      <c r="GK118" s="579">
        <f t="shared" si="852"/>
        <v>0</v>
      </c>
      <c r="GL118" s="579">
        <f t="shared" si="864"/>
        <v>0</v>
      </c>
      <c r="GM118" s="579">
        <f t="shared" si="675"/>
        <v>0</v>
      </c>
    </row>
    <row r="119" spans="1:195" ht="20.100000000000001" customHeight="1">
      <c r="A119" s="388">
        <f t="shared" si="865"/>
        <v>79</v>
      </c>
      <c r="B119" s="388" t="s">
        <v>527</v>
      </c>
      <c r="C119" s="388" t="s">
        <v>489</v>
      </c>
      <c r="D119" s="338" t="s">
        <v>597</v>
      </c>
      <c r="E119" s="502" t="s">
        <v>555</v>
      </c>
      <c r="F119" s="522" t="s">
        <v>28</v>
      </c>
      <c r="G119" s="388" t="s">
        <v>329</v>
      </c>
      <c r="H119" s="418">
        <v>2</v>
      </c>
      <c r="I119" s="388" t="s">
        <v>330</v>
      </c>
      <c r="J119" s="388" t="s">
        <v>357</v>
      </c>
      <c r="K119" s="434">
        <v>230</v>
      </c>
      <c r="L119" s="401">
        <v>0.85</v>
      </c>
      <c r="M119" s="418">
        <v>0.95</v>
      </c>
      <c r="N119" s="392">
        <f t="shared" si="835"/>
        <v>10.768609503297887</v>
      </c>
      <c r="O119" s="392">
        <f t="shared" si="867"/>
        <v>0</v>
      </c>
      <c r="P119" s="401" t="str">
        <f t="shared" si="836"/>
        <v>0.00</v>
      </c>
      <c r="Q119" s="418">
        <v>65</v>
      </c>
      <c r="R119" s="418">
        <v>0</v>
      </c>
      <c r="S119" s="418">
        <f t="shared" si="837"/>
        <v>0</v>
      </c>
      <c r="T119" s="401" t="s">
        <v>131</v>
      </c>
      <c r="U119" s="418" t="s">
        <v>333</v>
      </c>
      <c r="V119" s="401">
        <v>16</v>
      </c>
      <c r="W119" s="401" t="str">
        <f t="shared" si="838"/>
        <v>3C X 16</v>
      </c>
      <c r="X119" s="401" t="str">
        <f t="shared" si="839"/>
        <v>3C X 16</v>
      </c>
      <c r="Y119" s="401" t="s">
        <v>358</v>
      </c>
      <c r="Z119" s="393">
        <f>IF(T119="AIR",VLOOKUP(W119,'Catalogue Aluminium'!$B$9:$G$93,2,FALSE),IF(T119="GROUND",VLOOKUP(W119,'Catalogue Aluminium'!$B$9:$G$93,3,FALSE),IF(T119="DUCT",VLOOKUP(W119,'Catalogue Aluminium'!$B$9:$G$93,4,FALSE),IF(T119="TRENCH",VLOOKUP(W119,'Catalogue Aluminium'!$B$9:$G$93,2,FALSE)))))</f>
        <v>70</v>
      </c>
      <c r="AA119" s="402">
        <f>VLOOKUP(W119,'Catalogue Aluminium'!$B$9:$G$93,5,FALSE)</f>
        <v>2.44</v>
      </c>
      <c r="AB119" s="402">
        <f>VLOOKUP(W119,'Catalogue Aluminium'!$B$9:$G$93,6,FALSE)</f>
        <v>8.1500000000000003E-2</v>
      </c>
      <c r="AC119" s="401">
        <f t="shared" si="853"/>
        <v>29</v>
      </c>
      <c r="AD119" s="401">
        <v>80</v>
      </c>
      <c r="AE119" s="401">
        <v>5</v>
      </c>
      <c r="AF119" s="401">
        <v>8</v>
      </c>
      <c r="AG119" s="401">
        <f t="shared" si="841"/>
        <v>13</v>
      </c>
      <c r="AH119" s="436">
        <f t="shared" si="854"/>
        <v>135</v>
      </c>
      <c r="AI119" s="393">
        <f>IF(T119="AIR",'Catalogue Aluminium'!$K$9,IF(T119="TRENCH",'Catalogue Aluminium'!$K$12,"NA"))</f>
        <v>0.89</v>
      </c>
      <c r="AJ119" s="392">
        <f>IF(T119="Air",(IF(U119="1C",'Catalogue Aluminium'!$L$9,'Catalogue Aluminium'!$M$9)),IF(T119="DUCT",(IF($U119="1C",'Catalogue Aluminium'!$L$10,'Catalogue Aluminium'!$M$10)),IF(T119="GROUND",(IF($U119="1C",'Catalogue Aluminium'!$L$11,'Catalogue Aluminium'!$M$11)),IF(T119="TRENCH",(IF($U119="1C",'Catalogue Aluminium'!$L$12,'Catalogue Aluminium'!$M$12))))))</f>
        <v>0.66</v>
      </c>
      <c r="AK119" s="393" t="str">
        <f>IF(T119="Air",'Catalogue Aluminium'!$N$9,IF(T119="GROUND",'Catalogue Aluminium'!$N$10,IF(T119="DUCT",'Catalogue Aluminium'!$N$11,IF(T119="TRENCH",'Catalogue Aluminium'!$N$12,"NA"))))</f>
        <v>NA</v>
      </c>
      <c r="AL119" s="393" t="str">
        <f>IF(T119="Air",(IF(U119="1C",'Catalogue Aluminium'!$O$9,'Catalogue Aluminium'!$P$9)),IF(T119="DUCT",(IF($U119="1C",'Catalogue Aluminium'!$O$10,'Catalogue Aluminium'!$P$10)),IF(T119="GROUND",(IF($U119="1C",'Catalogue Aluminium'!$O$11,'Catalogue Aluminium'!$P$11)),IF(T119="TRENCH",(IF($U119="1C",'Catalogue Aluminium'!$O$12,'Catalogue Aluminium'!$P$12))))))</f>
        <v>NA</v>
      </c>
      <c r="AM119" s="393" t="str">
        <f>IF(T119="AIR","NA",IF(T119="TRENCH","NA",IF(T119="DUCT",IF(U119="1C",VLOOKUP(V119,'Catalogue Aluminium'!$Q$9:$S$28,2,FALSE),VLOOKUP(V119,'Catalogue Aluminium'!$Q$9:$S$28,3)),IF(T119="GROUND",IF(U119="1C",VLOOKUP(V119,'Catalogue Aluminium'!$Q$9:$S$28,2,FALSE),VLOOKUP(V119,'Catalogue Aluminium'!$Q$9:$S$28,3))))))</f>
        <v>NA</v>
      </c>
      <c r="AN119" s="437">
        <f t="shared" si="842"/>
        <v>0.58740000000000003</v>
      </c>
      <c r="AO119" s="418">
        <f t="shared" si="843"/>
        <v>41.118000000000002</v>
      </c>
      <c r="AP119" s="434">
        <f t="shared" si="689"/>
        <v>1</v>
      </c>
      <c r="AQ119" s="418" t="str">
        <f t="shared" si="844"/>
        <v>YES</v>
      </c>
      <c r="AR119" s="437">
        <f t="shared" si="845"/>
        <v>2.3175721225147079</v>
      </c>
      <c r="AS119" s="401" t="str">
        <f t="shared" si="846"/>
        <v>YES</v>
      </c>
      <c r="AT119" s="437" t="str">
        <f t="shared" si="855"/>
        <v>NA</v>
      </c>
      <c r="AU119" s="401" t="str">
        <f t="shared" si="847"/>
        <v>NA</v>
      </c>
      <c r="AV119" s="503" t="str">
        <f t="shared" si="848"/>
        <v>1R x 0.6/1kV x 3C x 16 Sqmm</v>
      </c>
      <c r="AW119" s="503" t="str">
        <f t="shared" si="849"/>
        <v>1R x 0.6/1kV x 3C x 16 Sqmm</v>
      </c>
      <c r="AX119" s="401">
        <f t="shared" si="856"/>
        <v>135</v>
      </c>
      <c r="AY119" s="504"/>
      <c r="AZ119" s="504">
        <f t="shared" si="857"/>
        <v>2</v>
      </c>
      <c r="BA119" s="438" t="str">
        <f t="shared" si="858"/>
        <v>AB</v>
      </c>
      <c r="BB119" s="505">
        <f>VLOOKUP(W119,'Catalogue Aluminium'!$B$9:$H$93,7,FALSE)</f>
        <v>19</v>
      </c>
      <c r="BC119" s="439">
        <f t="shared" si="859"/>
        <v>19</v>
      </c>
      <c r="BE119" s="336"/>
      <c r="BF119" s="336">
        <v>1</v>
      </c>
      <c r="BG119" s="336">
        <v>1</v>
      </c>
      <c r="BH119" s="336"/>
      <c r="BI119" s="336"/>
      <c r="BJ119" s="336"/>
      <c r="BK119" s="336"/>
      <c r="BL119" s="336"/>
      <c r="BM119" s="336"/>
      <c r="BN119" s="336"/>
      <c r="BO119" s="336"/>
      <c r="BP119" s="336"/>
      <c r="BQ119" s="336"/>
      <c r="BR119" s="336"/>
      <c r="BS119" s="336"/>
      <c r="BT119" s="336"/>
      <c r="BU119" s="336"/>
      <c r="BV119" s="336"/>
      <c r="BW119" s="336"/>
      <c r="BX119" s="336"/>
      <c r="BY119" s="336"/>
      <c r="BZ119" s="336"/>
      <c r="CA119" s="336"/>
      <c r="CB119" s="336"/>
      <c r="CC119" s="336"/>
      <c r="CD119" s="336"/>
      <c r="CE119" s="336"/>
      <c r="CF119" s="336"/>
      <c r="CG119" s="336"/>
      <c r="CH119" s="336"/>
      <c r="CI119" s="336"/>
      <c r="CJ119" s="336"/>
      <c r="CK119" s="336"/>
      <c r="CL119" s="336"/>
      <c r="CM119" s="336"/>
      <c r="CN119" s="336"/>
      <c r="CO119" s="336"/>
      <c r="CP119" s="336"/>
      <c r="CQ119" s="336"/>
      <c r="CR119" s="336"/>
      <c r="CS119" s="336"/>
      <c r="CT119" s="336"/>
      <c r="CU119" s="336"/>
      <c r="CV119" s="336"/>
      <c r="CW119" s="336"/>
      <c r="CX119" s="336"/>
      <c r="CY119" s="336"/>
      <c r="CZ119" s="336"/>
      <c r="DA119" s="336"/>
      <c r="DB119" s="336"/>
      <c r="DC119" s="336"/>
      <c r="DD119" s="336"/>
      <c r="DE119" s="336"/>
      <c r="DF119" s="336"/>
      <c r="DG119" s="336"/>
      <c r="DH119" s="336"/>
      <c r="DI119" s="336"/>
      <c r="DJ119" s="336"/>
      <c r="DK119" s="336"/>
      <c r="DL119" s="336"/>
      <c r="DM119" s="336"/>
      <c r="DN119" s="336"/>
      <c r="DO119" s="336"/>
      <c r="DP119" s="336"/>
      <c r="DQ119" s="336"/>
      <c r="DR119" s="336"/>
      <c r="DS119" s="336"/>
      <c r="DT119" s="336"/>
      <c r="DU119" s="336"/>
      <c r="DW119" s="336">
        <f t="shared" si="709"/>
        <v>0</v>
      </c>
      <c r="DX119" s="336">
        <f t="shared" si="701"/>
        <v>19</v>
      </c>
      <c r="DY119" s="336">
        <f t="shared" si="702"/>
        <v>19</v>
      </c>
      <c r="DZ119" s="336">
        <f t="shared" si="703"/>
        <v>0</v>
      </c>
      <c r="EA119" s="336">
        <f t="shared" si="704"/>
        <v>0</v>
      </c>
      <c r="EB119" s="336">
        <f t="shared" si="705"/>
        <v>0</v>
      </c>
      <c r="EC119" s="336">
        <f t="shared" si="706"/>
        <v>0</v>
      </c>
      <c r="ED119" s="336">
        <f t="shared" si="621"/>
        <v>0</v>
      </c>
      <c r="EE119" s="336">
        <f t="shared" si="622"/>
        <v>0</v>
      </c>
      <c r="EF119" s="336">
        <f t="shared" si="623"/>
        <v>0</v>
      </c>
      <c r="EG119" s="336">
        <f t="shared" si="624"/>
        <v>0</v>
      </c>
      <c r="EH119" s="336">
        <f t="shared" si="625"/>
        <v>0</v>
      </c>
      <c r="EI119" s="336">
        <f t="shared" si="626"/>
        <v>0</v>
      </c>
      <c r="EJ119" s="336">
        <f t="shared" si="627"/>
        <v>0</v>
      </c>
      <c r="EK119" s="336">
        <f t="shared" si="628"/>
        <v>0</v>
      </c>
      <c r="EL119" s="336">
        <f t="shared" si="629"/>
        <v>0</v>
      </c>
      <c r="EM119" s="336">
        <f t="shared" si="630"/>
        <v>0</v>
      </c>
      <c r="EN119" s="336">
        <f t="shared" si="631"/>
        <v>0</v>
      </c>
      <c r="EO119" s="336">
        <f t="shared" si="632"/>
        <v>0</v>
      </c>
      <c r="EP119" s="336">
        <f t="shared" si="633"/>
        <v>0</v>
      </c>
      <c r="EQ119" s="336">
        <f t="shared" si="634"/>
        <v>0</v>
      </c>
      <c r="ER119" s="336">
        <f t="shared" si="635"/>
        <v>0</v>
      </c>
      <c r="ES119" s="336">
        <f t="shared" si="636"/>
        <v>0</v>
      </c>
      <c r="ET119" s="336">
        <f t="shared" si="636"/>
        <v>0</v>
      </c>
      <c r="EU119" s="336">
        <f t="shared" si="637"/>
        <v>0</v>
      </c>
      <c r="EV119" s="336">
        <f t="shared" si="638"/>
        <v>0</v>
      </c>
      <c r="EW119" s="336">
        <f t="shared" si="639"/>
        <v>0</v>
      </c>
      <c r="EX119" s="336">
        <f t="shared" si="640"/>
        <v>0</v>
      </c>
      <c r="EY119" s="336">
        <f t="shared" si="641"/>
        <v>0</v>
      </c>
      <c r="EZ119" s="336">
        <f t="shared" si="642"/>
        <v>0</v>
      </c>
      <c r="FA119" s="336">
        <f t="shared" si="643"/>
        <v>0</v>
      </c>
      <c r="FB119" s="336">
        <f t="shared" si="644"/>
        <v>0</v>
      </c>
      <c r="FC119" s="336">
        <f t="shared" si="645"/>
        <v>0</v>
      </c>
      <c r="FD119" s="336">
        <f t="shared" si="646"/>
        <v>0</v>
      </c>
      <c r="FE119" s="336">
        <f t="shared" si="647"/>
        <v>0</v>
      </c>
      <c r="FF119" s="336">
        <f t="shared" si="648"/>
        <v>0</v>
      </c>
      <c r="FG119" s="336">
        <f t="shared" si="649"/>
        <v>0</v>
      </c>
      <c r="FH119" s="336">
        <f t="shared" si="650"/>
        <v>0</v>
      </c>
      <c r="FI119" s="336">
        <f t="shared" si="651"/>
        <v>0</v>
      </c>
      <c r="FJ119" s="336">
        <f t="shared" si="652"/>
        <v>0</v>
      </c>
      <c r="FK119" s="336">
        <f t="shared" si="653"/>
        <v>0</v>
      </c>
      <c r="FL119" s="336">
        <f t="shared" si="654"/>
        <v>0</v>
      </c>
      <c r="FM119" s="336">
        <f t="shared" si="655"/>
        <v>0</v>
      </c>
      <c r="FN119" s="336">
        <f t="shared" si="656"/>
        <v>0</v>
      </c>
      <c r="FO119" s="336">
        <f t="shared" si="657"/>
        <v>0</v>
      </c>
      <c r="FP119" s="336">
        <f t="shared" si="658"/>
        <v>0</v>
      </c>
      <c r="FQ119" s="336">
        <f t="shared" si="659"/>
        <v>0</v>
      </c>
      <c r="FR119" s="336">
        <f t="shared" si="660"/>
        <v>0</v>
      </c>
      <c r="FS119" s="336">
        <f t="shared" si="661"/>
        <v>0</v>
      </c>
      <c r="FT119" s="336">
        <f t="shared" si="662"/>
        <v>0</v>
      </c>
      <c r="FU119" s="336">
        <f t="shared" si="860"/>
        <v>0</v>
      </c>
      <c r="FV119" s="336">
        <f t="shared" si="861"/>
        <v>0</v>
      </c>
      <c r="FW119" s="336">
        <f t="shared" si="862"/>
        <v>0</v>
      </c>
      <c r="FX119" s="336">
        <f t="shared" si="863"/>
        <v>0</v>
      </c>
      <c r="FY119" s="336">
        <f t="shared" si="663"/>
        <v>0</v>
      </c>
      <c r="FZ119" s="336">
        <f t="shared" si="664"/>
        <v>0</v>
      </c>
      <c r="GA119" s="336">
        <f t="shared" si="665"/>
        <v>0</v>
      </c>
      <c r="GB119" s="336">
        <f t="shared" si="666"/>
        <v>0</v>
      </c>
      <c r="GC119" s="336">
        <f t="shared" si="667"/>
        <v>0</v>
      </c>
      <c r="GD119" s="336">
        <f t="shared" si="668"/>
        <v>0</v>
      </c>
      <c r="GE119" s="336">
        <f t="shared" si="669"/>
        <v>0</v>
      </c>
      <c r="GF119" s="336">
        <f t="shared" si="670"/>
        <v>0</v>
      </c>
      <c r="GG119" s="336">
        <f t="shared" si="671"/>
        <v>0</v>
      </c>
      <c r="GH119" s="336">
        <f t="shared" si="672"/>
        <v>0</v>
      </c>
      <c r="GI119" s="336">
        <f t="shared" si="673"/>
        <v>0</v>
      </c>
      <c r="GJ119" s="336">
        <f t="shared" si="674"/>
        <v>0</v>
      </c>
      <c r="GK119" s="336">
        <f t="shared" si="852"/>
        <v>0</v>
      </c>
      <c r="GL119" s="336">
        <f t="shared" si="864"/>
        <v>0</v>
      </c>
      <c r="GM119" s="336">
        <f t="shared" si="675"/>
        <v>0</v>
      </c>
    </row>
    <row r="120" spans="1:195" ht="20.100000000000001" customHeight="1">
      <c r="A120" s="388">
        <f t="shared" si="865"/>
        <v>80</v>
      </c>
      <c r="B120" s="406" t="s">
        <v>1659</v>
      </c>
      <c r="C120" s="388" t="s">
        <v>489</v>
      </c>
      <c r="D120" s="338" t="s">
        <v>598</v>
      </c>
      <c r="E120" s="502" t="s">
        <v>345</v>
      </c>
      <c r="F120" s="388" t="s">
        <v>28</v>
      </c>
      <c r="G120" s="388" t="s">
        <v>329</v>
      </c>
      <c r="H120" s="418">
        <v>7.5</v>
      </c>
      <c r="I120" s="388" t="s">
        <v>330</v>
      </c>
      <c r="J120" s="388" t="s">
        <v>331</v>
      </c>
      <c r="K120" s="434">
        <v>400</v>
      </c>
      <c r="L120" s="401">
        <v>0.85</v>
      </c>
      <c r="M120" s="418">
        <v>0.95</v>
      </c>
      <c r="N120" s="392">
        <f t="shared" si="835"/>
        <v>13.406359261827985</v>
      </c>
      <c r="O120" s="392">
        <f t="shared" si="867"/>
        <v>0</v>
      </c>
      <c r="P120" s="401" t="str">
        <f t="shared" si="836"/>
        <v>0.00</v>
      </c>
      <c r="Q120" s="418">
        <v>65</v>
      </c>
      <c r="R120" s="418">
        <v>0</v>
      </c>
      <c r="S120" s="418">
        <f t="shared" si="837"/>
        <v>0</v>
      </c>
      <c r="T120" s="401" t="s">
        <v>131</v>
      </c>
      <c r="U120" s="418" t="s">
        <v>535</v>
      </c>
      <c r="V120" s="401">
        <v>35</v>
      </c>
      <c r="W120" s="401" t="str">
        <f t="shared" si="838"/>
        <v>3.5C X 35</v>
      </c>
      <c r="X120" s="401" t="str">
        <f t="shared" si="839"/>
        <v>3.5C X 35</v>
      </c>
      <c r="Y120" s="401" t="s">
        <v>358</v>
      </c>
      <c r="Z120" s="393">
        <f>IF(T120="AIR",VLOOKUP(W120,'Catalogue Aluminium'!$B$9:$G$93,2,FALSE),IF(T120="GROUND",VLOOKUP(W120,'Catalogue Aluminium'!$B$9:$G$93,3,FALSE),IF(T120="DUCT",VLOOKUP(W120,'Catalogue Aluminium'!$B$9:$G$93,4,FALSE),IF(T120="TRENCH",VLOOKUP(W120,'Catalogue Aluminium'!$B$9:$G$93,2,FALSE)))))</f>
        <v>117</v>
      </c>
      <c r="AA120" s="402">
        <f>VLOOKUP(W120,'Catalogue Aluminium'!$B$9:$G$93,5,FALSE)</f>
        <v>1.1100000000000001</v>
      </c>
      <c r="AB120" s="402">
        <f>VLOOKUP(W120,'Catalogue Aluminium'!$B$9:$G$93,6,FALSE)</f>
        <v>7.9399999999999998E-2</v>
      </c>
      <c r="AC120" s="401">
        <f t="shared" si="853"/>
        <v>29</v>
      </c>
      <c r="AD120" s="401">
        <f t="shared" ref="AD120" si="868">40+50+38+50+17+(27+47)</f>
        <v>269</v>
      </c>
      <c r="AE120" s="401">
        <f t="shared" si="840"/>
        <v>38</v>
      </c>
      <c r="AF120" s="401">
        <v>8</v>
      </c>
      <c r="AG120" s="401">
        <f t="shared" si="841"/>
        <v>35</v>
      </c>
      <c r="AH120" s="436">
        <f t="shared" si="854"/>
        <v>379</v>
      </c>
      <c r="AI120" s="393">
        <f>IF(T120="AIR",'Catalogue Aluminium'!$K$9,IF(T120="TRENCH",'Catalogue Aluminium'!$K$12,"NA"))</f>
        <v>0.89</v>
      </c>
      <c r="AJ120" s="392">
        <f>IF(T120="Air",(IF(U120="1C",'Catalogue Aluminium'!$L$9,'Catalogue Aluminium'!$M$9)),IF(T120="DUCT",(IF($U120="1C",'Catalogue Aluminium'!$L$10,'Catalogue Aluminium'!$M$10)),IF(T120="GROUND",(IF($U120="1C",'Catalogue Aluminium'!$L$11,'Catalogue Aluminium'!$M$11)),IF(T120="TRENCH",(IF($U120="1C",'Catalogue Aluminium'!$L$12,'Catalogue Aluminium'!$M$12))))))</f>
        <v>0.66</v>
      </c>
      <c r="AK120" s="393" t="str">
        <f>IF(T120="Air",'Catalogue Aluminium'!$N$9,IF(T120="GROUND",'Catalogue Aluminium'!$N$10,IF(T120="DUCT",'Catalogue Aluminium'!$N$11,IF(T120="TRENCH",'Catalogue Aluminium'!$N$12,"NA"))))</f>
        <v>NA</v>
      </c>
      <c r="AL120" s="393" t="str">
        <f>IF(T120="Air",(IF(U120="1C",'Catalogue Aluminium'!$O$9,'Catalogue Aluminium'!$P$9)),IF(T120="DUCT",(IF($U120="1C",'Catalogue Aluminium'!$O$10,'Catalogue Aluminium'!$P$10)),IF(T120="GROUND",(IF($U120="1C",'Catalogue Aluminium'!$O$11,'Catalogue Aluminium'!$P$11)),IF(T120="TRENCH",(IF($U120="1C",'Catalogue Aluminium'!$O$12,'Catalogue Aluminium'!$P$12))))))</f>
        <v>NA</v>
      </c>
      <c r="AM120" s="393" t="str">
        <f>IF(T120="AIR","NA",IF(T120="TRENCH","NA",IF(T120="DUCT",IF(U120="1C",VLOOKUP(V120,'Catalogue Aluminium'!$Q$9:$S$28,2,FALSE),VLOOKUP(V120,'Catalogue Aluminium'!$Q$9:$S$28,3)),IF(T120="GROUND",IF(U120="1C",VLOOKUP(V120,'Catalogue Aluminium'!$Q$9:$S$28,2,FALSE),VLOOKUP(V120,'Catalogue Aluminium'!$Q$9:$S$28,3))))))</f>
        <v>NA</v>
      </c>
      <c r="AN120" s="437">
        <f t="shared" si="842"/>
        <v>0.58740000000000003</v>
      </c>
      <c r="AO120" s="418">
        <f t="shared" si="843"/>
        <v>68.725800000000007</v>
      </c>
      <c r="AP120" s="434">
        <f t="shared" si="689"/>
        <v>1</v>
      </c>
      <c r="AQ120" s="418" t="str">
        <f t="shared" si="844"/>
        <v>YES</v>
      </c>
      <c r="AR120" s="437">
        <f t="shared" si="845"/>
        <v>2.1678582549834218</v>
      </c>
      <c r="AS120" s="401" t="str">
        <f t="shared" si="846"/>
        <v>YES</v>
      </c>
      <c r="AT120" s="437" t="str">
        <f t="shared" si="855"/>
        <v>NA</v>
      </c>
      <c r="AU120" s="401" t="str">
        <f t="shared" si="847"/>
        <v>NA</v>
      </c>
      <c r="AV120" s="503" t="str">
        <f t="shared" si="848"/>
        <v>1R x 0.6/1kV x 3.5C x 35 Sqmm</v>
      </c>
      <c r="AW120" s="503" t="str">
        <f t="shared" si="849"/>
        <v>1R x 0.6/1kV x 3.5C x 35 Sqmm</v>
      </c>
      <c r="AX120" s="401">
        <f t="shared" si="856"/>
        <v>379</v>
      </c>
      <c r="AY120" s="504"/>
      <c r="AZ120" s="504">
        <f t="shared" si="857"/>
        <v>2</v>
      </c>
      <c r="BA120" s="438" t="str">
        <f t="shared" si="858"/>
        <v>ACDEE1E2</v>
      </c>
      <c r="BB120" s="505">
        <f>VLOOKUP(W120,'Catalogue Aluminium'!$B$9:$H$93,7,FALSE)</f>
        <v>27</v>
      </c>
      <c r="BC120" s="439">
        <f t="shared" si="859"/>
        <v>27</v>
      </c>
      <c r="BE120" s="336"/>
      <c r="BF120" s="336">
        <v>1</v>
      </c>
      <c r="BG120" s="336"/>
      <c r="BH120" s="336"/>
      <c r="BI120" s="336">
        <v>1</v>
      </c>
      <c r="BJ120" s="336">
        <v>1</v>
      </c>
      <c r="BK120" s="336"/>
      <c r="BL120" s="336"/>
      <c r="BM120" s="336"/>
      <c r="BN120" s="336">
        <v>1</v>
      </c>
      <c r="BO120" s="336"/>
      <c r="BP120" s="336">
        <v>1</v>
      </c>
      <c r="BQ120" s="336">
        <v>1</v>
      </c>
      <c r="BR120" s="336"/>
      <c r="BS120" s="336"/>
      <c r="BT120" s="336"/>
      <c r="BU120" s="336"/>
      <c r="BV120" s="336"/>
      <c r="BW120" s="336"/>
      <c r="BX120" s="336"/>
      <c r="BY120" s="336"/>
      <c r="BZ120" s="336"/>
      <c r="CA120" s="336"/>
      <c r="CB120" s="336"/>
      <c r="CC120" s="336"/>
      <c r="CD120" s="336"/>
      <c r="CE120" s="336"/>
      <c r="CF120" s="336"/>
      <c r="CG120" s="336"/>
      <c r="CH120" s="336"/>
      <c r="CI120" s="336"/>
      <c r="CJ120" s="336"/>
      <c r="CK120" s="336"/>
      <c r="CL120" s="336"/>
      <c r="CM120" s="336"/>
      <c r="CN120" s="336"/>
      <c r="CO120" s="336"/>
      <c r="CP120" s="336"/>
      <c r="CQ120" s="336"/>
      <c r="CR120" s="336"/>
      <c r="CS120" s="336"/>
      <c r="CT120" s="336"/>
      <c r="CU120" s="336"/>
      <c r="CV120" s="336"/>
      <c r="CW120" s="336"/>
      <c r="CX120" s="336"/>
      <c r="CY120" s="336"/>
      <c r="CZ120" s="336"/>
      <c r="DA120" s="336"/>
      <c r="DB120" s="336"/>
      <c r="DC120" s="336"/>
      <c r="DD120" s="336"/>
      <c r="DE120" s="336"/>
      <c r="DF120" s="336"/>
      <c r="DG120" s="336"/>
      <c r="DH120" s="336"/>
      <c r="DI120" s="336"/>
      <c r="DJ120" s="336"/>
      <c r="DK120" s="336"/>
      <c r="DL120" s="336"/>
      <c r="DM120" s="336"/>
      <c r="DN120" s="336"/>
      <c r="DO120" s="336"/>
      <c r="DP120" s="336"/>
      <c r="DQ120" s="336"/>
      <c r="DR120" s="336"/>
      <c r="DS120" s="336"/>
      <c r="DT120" s="336"/>
      <c r="DU120" s="336"/>
      <c r="DW120" s="336">
        <f t="shared" si="709"/>
        <v>0</v>
      </c>
      <c r="DX120" s="336">
        <f t="shared" si="701"/>
        <v>27</v>
      </c>
      <c r="DY120" s="336">
        <f t="shared" si="702"/>
        <v>0</v>
      </c>
      <c r="DZ120" s="336">
        <f t="shared" si="703"/>
        <v>0</v>
      </c>
      <c r="EA120" s="336">
        <f t="shared" si="704"/>
        <v>27</v>
      </c>
      <c r="EB120" s="336">
        <f t="shared" si="705"/>
        <v>27</v>
      </c>
      <c r="EC120" s="336">
        <f t="shared" si="706"/>
        <v>0</v>
      </c>
      <c r="ED120" s="336">
        <f t="shared" si="621"/>
        <v>0</v>
      </c>
      <c r="EE120" s="336">
        <f t="shared" si="622"/>
        <v>0</v>
      </c>
      <c r="EF120" s="336">
        <f t="shared" si="623"/>
        <v>27</v>
      </c>
      <c r="EG120" s="336">
        <f t="shared" si="624"/>
        <v>0</v>
      </c>
      <c r="EH120" s="336">
        <f t="shared" si="625"/>
        <v>27</v>
      </c>
      <c r="EI120" s="336">
        <f t="shared" si="626"/>
        <v>27</v>
      </c>
      <c r="EJ120" s="336">
        <f t="shared" si="627"/>
        <v>0</v>
      </c>
      <c r="EK120" s="336">
        <f t="shared" si="628"/>
        <v>0</v>
      </c>
      <c r="EL120" s="336">
        <f t="shared" si="629"/>
        <v>0</v>
      </c>
      <c r="EM120" s="336">
        <f t="shared" si="630"/>
        <v>0</v>
      </c>
      <c r="EN120" s="336">
        <f t="shared" si="631"/>
        <v>0</v>
      </c>
      <c r="EO120" s="336">
        <f t="shared" si="632"/>
        <v>0</v>
      </c>
      <c r="EP120" s="336">
        <f t="shared" si="633"/>
        <v>0</v>
      </c>
      <c r="EQ120" s="336">
        <f t="shared" si="634"/>
        <v>0</v>
      </c>
      <c r="ER120" s="336">
        <f t="shared" si="635"/>
        <v>0</v>
      </c>
      <c r="ES120" s="336">
        <f t="shared" si="636"/>
        <v>0</v>
      </c>
      <c r="ET120" s="336">
        <f t="shared" si="636"/>
        <v>0</v>
      </c>
      <c r="EU120" s="336">
        <f t="shared" si="637"/>
        <v>0</v>
      </c>
      <c r="EV120" s="336">
        <f t="shared" si="638"/>
        <v>0</v>
      </c>
      <c r="EW120" s="336">
        <f t="shared" si="639"/>
        <v>0</v>
      </c>
      <c r="EX120" s="336">
        <f t="shared" si="640"/>
        <v>0</v>
      </c>
      <c r="EY120" s="336">
        <f t="shared" si="641"/>
        <v>0</v>
      </c>
      <c r="EZ120" s="336">
        <f t="shared" si="642"/>
        <v>0</v>
      </c>
      <c r="FA120" s="336">
        <f t="shared" si="643"/>
        <v>0</v>
      </c>
      <c r="FB120" s="336">
        <f t="shared" si="644"/>
        <v>0</v>
      </c>
      <c r="FC120" s="336">
        <f t="shared" si="645"/>
        <v>0</v>
      </c>
      <c r="FD120" s="336">
        <f t="shared" si="646"/>
        <v>0</v>
      </c>
      <c r="FE120" s="336">
        <f t="shared" si="647"/>
        <v>0</v>
      </c>
      <c r="FF120" s="336">
        <f t="shared" si="648"/>
        <v>0</v>
      </c>
      <c r="FG120" s="336">
        <f t="shared" si="649"/>
        <v>0</v>
      </c>
      <c r="FH120" s="336">
        <f t="shared" si="650"/>
        <v>0</v>
      </c>
      <c r="FI120" s="336">
        <f t="shared" si="651"/>
        <v>0</v>
      </c>
      <c r="FJ120" s="336">
        <f t="shared" si="652"/>
        <v>0</v>
      </c>
      <c r="FK120" s="336">
        <f t="shared" si="653"/>
        <v>0</v>
      </c>
      <c r="FL120" s="336">
        <f t="shared" si="654"/>
        <v>0</v>
      </c>
      <c r="FM120" s="336">
        <f t="shared" si="655"/>
        <v>0</v>
      </c>
      <c r="FN120" s="336">
        <f t="shared" si="656"/>
        <v>0</v>
      </c>
      <c r="FO120" s="336">
        <f t="shared" si="657"/>
        <v>0</v>
      </c>
      <c r="FP120" s="336">
        <f t="shared" si="658"/>
        <v>0</v>
      </c>
      <c r="FQ120" s="336">
        <f t="shared" si="659"/>
        <v>0</v>
      </c>
      <c r="FR120" s="336">
        <f t="shared" si="660"/>
        <v>0</v>
      </c>
      <c r="FS120" s="336">
        <f t="shared" si="661"/>
        <v>0</v>
      </c>
      <c r="FT120" s="336">
        <f t="shared" si="662"/>
        <v>0</v>
      </c>
      <c r="FU120" s="336">
        <f t="shared" si="860"/>
        <v>0</v>
      </c>
      <c r="FV120" s="336">
        <f t="shared" si="861"/>
        <v>0</v>
      </c>
      <c r="FW120" s="336">
        <f t="shared" si="862"/>
        <v>0</v>
      </c>
      <c r="FX120" s="336">
        <f t="shared" si="863"/>
        <v>0</v>
      </c>
      <c r="FY120" s="336">
        <f t="shared" si="663"/>
        <v>0</v>
      </c>
      <c r="FZ120" s="336">
        <f t="shared" si="664"/>
        <v>0</v>
      </c>
      <c r="GA120" s="336">
        <f t="shared" si="665"/>
        <v>0</v>
      </c>
      <c r="GB120" s="336">
        <f t="shared" si="666"/>
        <v>0</v>
      </c>
      <c r="GC120" s="336">
        <f t="shared" si="667"/>
        <v>0</v>
      </c>
      <c r="GD120" s="336">
        <f t="shared" si="668"/>
        <v>0</v>
      </c>
      <c r="GE120" s="336">
        <f t="shared" si="669"/>
        <v>0</v>
      </c>
      <c r="GF120" s="336">
        <f t="shared" si="670"/>
        <v>0</v>
      </c>
      <c r="GG120" s="336">
        <f t="shared" si="671"/>
        <v>0</v>
      </c>
      <c r="GH120" s="336">
        <f t="shared" si="672"/>
        <v>0</v>
      </c>
      <c r="GI120" s="336">
        <f t="shared" si="673"/>
        <v>0</v>
      </c>
      <c r="GJ120" s="336">
        <f t="shared" si="674"/>
        <v>0</v>
      </c>
      <c r="GK120" s="336">
        <f t="shared" si="852"/>
        <v>0</v>
      </c>
      <c r="GL120" s="336">
        <f t="shared" si="864"/>
        <v>0</v>
      </c>
      <c r="GM120" s="336">
        <f t="shared" si="675"/>
        <v>0</v>
      </c>
    </row>
    <row r="121" spans="1:195" ht="30.75" customHeight="1">
      <c r="A121" s="388">
        <f t="shared" si="865"/>
        <v>81</v>
      </c>
      <c r="B121" s="388" t="s">
        <v>527</v>
      </c>
      <c r="C121" s="388" t="s">
        <v>489</v>
      </c>
      <c r="D121" s="338" t="s">
        <v>599</v>
      </c>
      <c r="E121" s="502" t="s">
        <v>345</v>
      </c>
      <c r="F121" s="388" t="s">
        <v>29</v>
      </c>
      <c r="G121" s="388" t="s">
        <v>329</v>
      </c>
      <c r="H121" s="418">
        <v>1</v>
      </c>
      <c r="I121" s="388" t="s">
        <v>330</v>
      </c>
      <c r="J121" s="388" t="s">
        <v>357</v>
      </c>
      <c r="K121" s="434">
        <v>230</v>
      </c>
      <c r="L121" s="401">
        <v>0.85</v>
      </c>
      <c r="M121" s="418">
        <v>0.95</v>
      </c>
      <c r="N121" s="392">
        <f t="shared" si="835"/>
        <v>5.3843047516489433</v>
      </c>
      <c r="O121" s="392">
        <f t="shared" si="867"/>
        <v>0</v>
      </c>
      <c r="P121" s="401" t="str">
        <f t="shared" si="836"/>
        <v>0.00</v>
      </c>
      <c r="Q121" s="418">
        <v>65</v>
      </c>
      <c r="R121" s="418">
        <v>0</v>
      </c>
      <c r="S121" s="418">
        <f t="shared" si="837"/>
        <v>0</v>
      </c>
      <c r="T121" s="401" t="s">
        <v>131</v>
      </c>
      <c r="U121" s="418" t="s">
        <v>333</v>
      </c>
      <c r="V121" s="401">
        <v>25</v>
      </c>
      <c r="W121" s="401" t="str">
        <f t="shared" si="838"/>
        <v>3C X 25</v>
      </c>
      <c r="X121" s="401" t="str">
        <f t="shared" si="839"/>
        <v>3C X 25</v>
      </c>
      <c r="Y121" s="401" t="s">
        <v>358</v>
      </c>
      <c r="Z121" s="393">
        <f>IF(T121="AIR",VLOOKUP(W121,'Catalogue Aluminium'!$B$9:$G$93,2,FALSE),IF(T121="GROUND",VLOOKUP(W121,'Catalogue Aluminium'!$B$9:$G$93,3,FALSE),IF(T121="DUCT",VLOOKUP(W121,'Catalogue Aluminium'!$B$9:$G$93,4,FALSE),IF(T121="TRENCH",VLOOKUP(W121,'Catalogue Aluminium'!$B$9:$G$93,2,FALSE)))))</f>
        <v>95</v>
      </c>
      <c r="AA121" s="402">
        <f>VLOOKUP(W121,'Catalogue Aluminium'!$B$9:$G$93,5,FALSE)</f>
        <v>1.54</v>
      </c>
      <c r="AB121" s="402">
        <f>VLOOKUP(W121,'Catalogue Aluminium'!$B$9:$G$93,6,FALSE)</f>
        <v>8.1600000000000006E-2</v>
      </c>
      <c r="AC121" s="401">
        <f t="shared" ref="AC121" si="869">17+3</f>
        <v>20</v>
      </c>
      <c r="AD121" s="401">
        <f>40+50+38+50+17+(27+48)</f>
        <v>270</v>
      </c>
      <c r="AE121" s="401">
        <f t="shared" si="840"/>
        <v>38</v>
      </c>
      <c r="AF121" s="401">
        <v>8</v>
      </c>
      <c r="AG121" s="401">
        <f t="shared" si="841"/>
        <v>34</v>
      </c>
      <c r="AH121" s="436">
        <f t="shared" ref="AH121:AH125" si="870">SUM(AC121:AG121)</f>
        <v>370</v>
      </c>
      <c r="AI121" s="393">
        <f>IF(T121="AIR",'Catalogue Aluminium'!$K$9,IF(T121="TRENCH",'Catalogue Aluminium'!$K$12,"NA"))</f>
        <v>0.89</v>
      </c>
      <c r="AJ121" s="392">
        <f>IF(T121="Air",(IF(U121="1C",'Catalogue Aluminium'!$L$9,'Catalogue Aluminium'!$M$9)),IF(T121="DUCT",(IF($U121="1C",'Catalogue Aluminium'!$L$10,'Catalogue Aluminium'!$M$10)),IF(T121="GROUND",(IF($U121="1C",'Catalogue Aluminium'!$L$11,'Catalogue Aluminium'!$M$11)),IF(T121="TRENCH",(IF($U121="1C",'Catalogue Aluminium'!$L$12,'Catalogue Aluminium'!$M$12))))))</f>
        <v>0.66</v>
      </c>
      <c r="AK121" s="393" t="str">
        <f>IF(T121="Air",'Catalogue Aluminium'!$N$9,IF(T121="GROUND",'Catalogue Aluminium'!$N$10,IF(T121="DUCT",'Catalogue Aluminium'!$N$11,IF(T121="TRENCH",'Catalogue Aluminium'!$N$12,"NA"))))</f>
        <v>NA</v>
      </c>
      <c r="AL121" s="393" t="str">
        <f>IF(T121="Air",(IF(U121="1C",'Catalogue Aluminium'!$O$9,'Catalogue Aluminium'!$P$9)),IF(T121="DUCT",(IF($U121="1C",'Catalogue Aluminium'!$O$10,'Catalogue Aluminium'!$P$10)),IF(T121="GROUND",(IF($U121="1C",'Catalogue Aluminium'!$O$11,'Catalogue Aluminium'!$P$11)),IF(T121="TRENCH",(IF($U121="1C",'Catalogue Aluminium'!$O$12,'Catalogue Aluminium'!$P$12))))))</f>
        <v>NA</v>
      </c>
      <c r="AM121" s="393" t="str">
        <f>IF(T121="AIR","NA",IF(T121="TRENCH","NA",IF(T121="DUCT",IF(U121="1C",VLOOKUP(V121,'Catalogue Aluminium'!$Q$9:$S$28,2,FALSE),VLOOKUP(V121,'Catalogue Aluminium'!$Q$9:$S$28,3)),IF(T121="GROUND",IF(U121="1C",VLOOKUP(V121,'Catalogue Aluminium'!$Q$9:$S$28,2,FALSE),VLOOKUP(V121,'Catalogue Aluminium'!$Q$9:$S$28,3))))))</f>
        <v>NA</v>
      </c>
      <c r="AN121" s="437">
        <f t="shared" si="842"/>
        <v>0.58740000000000003</v>
      </c>
      <c r="AO121" s="418">
        <f t="shared" si="843"/>
        <v>55.803000000000004</v>
      </c>
      <c r="AP121" s="434">
        <f t="shared" si="689"/>
        <v>1</v>
      </c>
      <c r="AQ121" s="418" t="str">
        <f t="shared" si="844"/>
        <v>YES</v>
      </c>
      <c r="AR121" s="437">
        <f t="shared" si="845"/>
        <v>2.0283185930040295</v>
      </c>
      <c r="AS121" s="401" t="str">
        <f t="shared" si="846"/>
        <v>YES</v>
      </c>
      <c r="AT121" s="437" t="str">
        <f t="shared" si="855"/>
        <v>NA</v>
      </c>
      <c r="AU121" s="401" t="str">
        <f t="shared" si="847"/>
        <v>NA</v>
      </c>
      <c r="AV121" s="503" t="str">
        <f t="shared" si="848"/>
        <v>1R x 0.6/1kV x 3C x 25 Sqmm</v>
      </c>
      <c r="AW121" s="503" t="str">
        <f t="shared" si="849"/>
        <v>1R x 0.6/1kV x 3C x 25 Sqmm</v>
      </c>
      <c r="AX121" s="401">
        <f t="shared" si="856"/>
        <v>370</v>
      </c>
      <c r="AY121" s="504"/>
      <c r="AZ121" s="504">
        <f t="shared" si="857"/>
        <v>2</v>
      </c>
      <c r="BA121" s="438" t="str">
        <f t="shared" si="858"/>
        <v>ACDEE1E2</v>
      </c>
      <c r="BB121" s="505">
        <f>VLOOKUP(W121,'Catalogue Aluminium'!$B$9:$H$93,7,FALSE)</f>
        <v>21</v>
      </c>
      <c r="BC121" s="439">
        <f t="shared" si="859"/>
        <v>21</v>
      </c>
      <c r="BE121" s="336"/>
      <c r="BF121" s="336">
        <v>1</v>
      </c>
      <c r="BG121" s="336"/>
      <c r="BH121" s="336"/>
      <c r="BI121" s="336">
        <v>1</v>
      </c>
      <c r="BJ121" s="336">
        <v>1</v>
      </c>
      <c r="BK121" s="336"/>
      <c r="BL121" s="336"/>
      <c r="BM121" s="336"/>
      <c r="BN121" s="336">
        <v>1</v>
      </c>
      <c r="BO121" s="336"/>
      <c r="BP121" s="336">
        <v>1</v>
      </c>
      <c r="BQ121" s="336">
        <v>1</v>
      </c>
      <c r="BR121" s="336"/>
      <c r="BS121" s="336"/>
      <c r="BT121" s="336"/>
      <c r="BU121" s="336"/>
      <c r="BV121" s="336"/>
      <c r="BW121" s="336"/>
      <c r="BX121" s="336"/>
      <c r="BY121" s="336"/>
      <c r="BZ121" s="336"/>
      <c r="CA121" s="336"/>
      <c r="CB121" s="336"/>
      <c r="CC121" s="336"/>
      <c r="CD121" s="336"/>
      <c r="CE121" s="336"/>
      <c r="CF121" s="336"/>
      <c r="CG121" s="336"/>
      <c r="CH121" s="336"/>
      <c r="CI121" s="336"/>
      <c r="CJ121" s="336"/>
      <c r="CK121" s="336"/>
      <c r="CL121" s="336"/>
      <c r="CM121" s="336"/>
      <c r="CN121" s="336"/>
      <c r="CO121" s="336"/>
      <c r="CP121" s="336"/>
      <c r="CQ121" s="336"/>
      <c r="CR121" s="336"/>
      <c r="CS121" s="336"/>
      <c r="CT121" s="336"/>
      <c r="CU121" s="336"/>
      <c r="CV121" s="336"/>
      <c r="CW121" s="336"/>
      <c r="CX121" s="336"/>
      <c r="CY121" s="336"/>
      <c r="CZ121" s="336"/>
      <c r="DA121" s="336"/>
      <c r="DB121" s="336"/>
      <c r="DC121" s="336"/>
      <c r="DD121" s="336"/>
      <c r="DE121" s="336"/>
      <c r="DF121" s="336"/>
      <c r="DG121" s="336"/>
      <c r="DH121" s="336"/>
      <c r="DI121" s="336"/>
      <c r="DJ121" s="336"/>
      <c r="DK121" s="336"/>
      <c r="DL121" s="336"/>
      <c r="DM121" s="336"/>
      <c r="DN121" s="336"/>
      <c r="DO121" s="336"/>
      <c r="DP121" s="336"/>
      <c r="DQ121" s="336"/>
      <c r="DR121" s="336"/>
      <c r="DS121" s="336"/>
      <c r="DT121" s="336"/>
      <c r="DU121" s="336"/>
      <c r="DW121" s="336">
        <f t="shared" si="709"/>
        <v>0</v>
      </c>
      <c r="DX121" s="336">
        <f t="shared" si="701"/>
        <v>21</v>
      </c>
      <c r="DY121" s="336">
        <f t="shared" si="702"/>
        <v>0</v>
      </c>
      <c r="DZ121" s="336">
        <f t="shared" si="703"/>
        <v>0</v>
      </c>
      <c r="EA121" s="336">
        <f t="shared" si="704"/>
        <v>21</v>
      </c>
      <c r="EB121" s="336">
        <f t="shared" si="705"/>
        <v>21</v>
      </c>
      <c r="EC121" s="336">
        <f t="shared" si="706"/>
        <v>0</v>
      </c>
      <c r="ED121" s="336">
        <f t="shared" si="621"/>
        <v>0</v>
      </c>
      <c r="EE121" s="336">
        <f t="shared" si="622"/>
        <v>0</v>
      </c>
      <c r="EF121" s="336">
        <f t="shared" si="623"/>
        <v>21</v>
      </c>
      <c r="EG121" s="336">
        <f t="shared" si="624"/>
        <v>0</v>
      </c>
      <c r="EH121" s="336">
        <f t="shared" si="625"/>
        <v>21</v>
      </c>
      <c r="EI121" s="336">
        <f t="shared" si="626"/>
        <v>21</v>
      </c>
      <c r="EJ121" s="336">
        <f t="shared" si="627"/>
        <v>0</v>
      </c>
      <c r="EK121" s="336">
        <f t="shared" si="628"/>
        <v>0</v>
      </c>
      <c r="EL121" s="336">
        <f t="shared" si="629"/>
        <v>0</v>
      </c>
      <c r="EM121" s="336">
        <f t="shared" si="630"/>
        <v>0</v>
      </c>
      <c r="EN121" s="336">
        <f t="shared" si="631"/>
        <v>0</v>
      </c>
      <c r="EO121" s="336">
        <f t="shared" si="632"/>
        <v>0</v>
      </c>
      <c r="EP121" s="336">
        <f t="shared" si="633"/>
        <v>0</v>
      </c>
      <c r="EQ121" s="336">
        <f t="shared" si="634"/>
        <v>0</v>
      </c>
      <c r="ER121" s="336">
        <f t="shared" si="635"/>
        <v>0</v>
      </c>
      <c r="ES121" s="336">
        <f t="shared" si="636"/>
        <v>0</v>
      </c>
      <c r="ET121" s="336">
        <f t="shared" si="636"/>
        <v>0</v>
      </c>
      <c r="EU121" s="336">
        <f t="shared" si="637"/>
        <v>0</v>
      </c>
      <c r="EV121" s="336">
        <f t="shared" si="638"/>
        <v>0</v>
      </c>
      <c r="EW121" s="336">
        <f t="shared" si="639"/>
        <v>0</v>
      </c>
      <c r="EX121" s="336">
        <f t="shared" si="640"/>
        <v>0</v>
      </c>
      <c r="EY121" s="336">
        <f t="shared" si="641"/>
        <v>0</v>
      </c>
      <c r="EZ121" s="336">
        <f t="shared" si="642"/>
        <v>0</v>
      </c>
      <c r="FA121" s="336">
        <f t="shared" si="643"/>
        <v>0</v>
      </c>
      <c r="FB121" s="336">
        <f t="shared" si="644"/>
        <v>0</v>
      </c>
      <c r="FC121" s="336">
        <f t="shared" si="645"/>
        <v>0</v>
      </c>
      <c r="FD121" s="336">
        <f t="shared" si="646"/>
        <v>0</v>
      </c>
      <c r="FE121" s="336">
        <f t="shared" si="647"/>
        <v>0</v>
      </c>
      <c r="FF121" s="336">
        <f t="shared" si="648"/>
        <v>0</v>
      </c>
      <c r="FG121" s="336">
        <f t="shared" si="649"/>
        <v>0</v>
      </c>
      <c r="FH121" s="336">
        <f t="shared" si="650"/>
        <v>0</v>
      </c>
      <c r="FI121" s="336">
        <f t="shared" si="651"/>
        <v>0</v>
      </c>
      <c r="FJ121" s="336">
        <f t="shared" si="652"/>
        <v>0</v>
      </c>
      <c r="FK121" s="336">
        <f t="shared" si="653"/>
        <v>0</v>
      </c>
      <c r="FL121" s="336">
        <f t="shared" si="654"/>
        <v>0</v>
      </c>
      <c r="FM121" s="336">
        <f t="shared" si="655"/>
        <v>0</v>
      </c>
      <c r="FN121" s="336">
        <f t="shared" si="656"/>
        <v>0</v>
      </c>
      <c r="FO121" s="336">
        <f t="shared" si="657"/>
        <v>0</v>
      </c>
      <c r="FP121" s="336">
        <f t="shared" si="658"/>
        <v>0</v>
      </c>
      <c r="FQ121" s="336">
        <f t="shared" si="659"/>
        <v>0</v>
      </c>
      <c r="FR121" s="336">
        <f t="shared" si="660"/>
        <v>0</v>
      </c>
      <c r="FS121" s="336">
        <f t="shared" si="661"/>
        <v>0</v>
      </c>
      <c r="FT121" s="336">
        <f t="shared" si="662"/>
        <v>0</v>
      </c>
      <c r="FU121" s="336">
        <f t="shared" si="860"/>
        <v>0</v>
      </c>
      <c r="FV121" s="336">
        <f t="shared" si="861"/>
        <v>0</v>
      </c>
      <c r="FW121" s="336">
        <f t="shared" si="862"/>
        <v>0</v>
      </c>
      <c r="FX121" s="336">
        <f t="shared" si="863"/>
        <v>0</v>
      </c>
      <c r="FY121" s="336">
        <f t="shared" si="663"/>
        <v>0</v>
      </c>
      <c r="FZ121" s="336">
        <f t="shared" si="664"/>
        <v>0</v>
      </c>
      <c r="GA121" s="336">
        <f t="shared" si="665"/>
        <v>0</v>
      </c>
      <c r="GB121" s="336">
        <f t="shared" si="666"/>
        <v>0</v>
      </c>
      <c r="GC121" s="336">
        <f t="shared" si="667"/>
        <v>0</v>
      </c>
      <c r="GD121" s="336">
        <f t="shared" si="668"/>
        <v>0</v>
      </c>
      <c r="GE121" s="336">
        <f t="shared" si="669"/>
        <v>0</v>
      </c>
      <c r="GF121" s="336">
        <f t="shared" si="670"/>
        <v>0</v>
      </c>
      <c r="GG121" s="336">
        <f t="shared" si="671"/>
        <v>0</v>
      </c>
      <c r="GH121" s="336">
        <f t="shared" si="672"/>
        <v>0</v>
      </c>
      <c r="GI121" s="336">
        <f t="shared" si="673"/>
        <v>0</v>
      </c>
      <c r="GJ121" s="336">
        <f t="shared" si="674"/>
        <v>0</v>
      </c>
      <c r="GK121" s="336">
        <f t="shared" si="852"/>
        <v>0</v>
      </c>
      <c r="GL121" s="336">
        <f t="shared" si="864"/>
        <v>0</v>
      </c>
      <c r="GM121" s="336">
        <f t="shared" si="675"/>
        <v>0</v>
      </c>
    </row>
    <row r="122" spans="1:195" ht="20.100000000000001" customHeight="1">
      <c r="A122" s="388">
        <f t="shared" si="865"/>
        <v>82</v>
      </c>
      <c r="B122" s="388" t="s">
        <v>527</v>
      </c>
      <c r="C122" s="388" t="s">
        <v>489</v>
      </c>
      <c r="D122" s="338" t="s">
        <v>594</v>
      </c>
      <c r="E122" s="502" t="s">
        <v>345</v>
      </c>
      <c r="F122" s="388" t="s">
        <v>28</v>
      </c>
      <c r="G122" s="388" t="s">
        <v>329</v>
      </c>
      <c r="H122" s="418">
        <v>2</v>
      </c>
      <c r="I122" s="388" t="s">
        <v>330</v>
      </c>
      <c r="J122" s="388" t="s">
        <v>331</v>
      </c>
      <c r="K122" s="434">
        <v>400</v>
      </c>
      <c r="L122" s="401">
        <v>0.85</v>
      </c>
      <c r="M122" s="418">
        <v>0.95</v>
      </c>
      <c r="N122" s="392">
        <f t="shared" si="835"/>
        <v>3.5750291364874629</v>
      </c>
      <c r="O122" s="392">
        <f t="shared" si="867"/>
        <v>0</v>
      </c>
      <c r="P122" s="401" t="str">
        <f t="shared" si="836"/>
        <v>0.00</v>
      </c>
      <c r="Q122" s="418">
        <v>65</v>
      </c>
      <c r="R122" s="418">
        <v>0</v>
      </c>
      <c r="S122" s="418">
        <f t="shared" si="837"/>
        <v>0</v>
      </c>
      <c r="T122" s="401" t="s">
        <v>131</v>
      </c>
      <c r="U122" s="418" t="s">
        <v>522</v>
      </c>
      <c r="V122" s="401">
        <v>6</v>
      </c>
      <c r="W122" s="401" t="str">
        <f t="shared" si="838"/>
        <v>4C X 6</v>
      </c>
      <c r="X122" s="401" t="str">
        <f t="shared" si="839"/>
        <v>4C X 6</v>
      </c>
      <c r="Y122" s="401" t="s">
        <v>358</v>
      </c>
      <c r="Z122" s="393">
        <f>IF(T122="AIR",VLOOKUP(W122,'Catalogue Aluminium'!$B$9:$G$93,2,FALSE),IF(T122="GROUND",VLOOKUP(W122,'Catalogue Aluminium'!$B$9:$G$93,3,FALSE),IF(T122="DUCT",VLOOKUP(W122,'Catalogue Aluminium'!$B$9:$G$93,4,FALSE),IF(T122="TRENCH",VLOOKUP(W122,'Catalogue Aluminium'!$B$9:$G$93,2,FALSE)))))</f>
        <v>51</v>
      </c>
      <c r="AA122" s="402">
        <f>VLOOKUP(W122,'Catalogue Aluminium'!$B$9:$G$93,5,FALSE)</f>
        <v>3.94</v>
      </c>
      <c r="AB122" s="402">
        <f>VLOOKUP(W122,'Catalogue Aluminium'!$B$9:$G$93,6,FALSE)</f>
        <v>9.0200000000000002E-2</v>
      </c>
      <c r="AC122" s="401">
        <f t="shared" si="853"/>
        <v>29</v>
      </c>
      <c r="AD122" s="401">
        <f>40+50+38+50+17+(27+47)</f>
        <v>269</v>
      </c>
      <c r="AE122" s="401">
        <f t="shared" si="840"/>
        <v>38</v>
      </c>
      <c r="AF122" s="401">
        <v>8</v>
      </c>
      <c r="AG122" s="401">
        <f t="shared" si="841"/>
        <v>35</v>
      </c>
      <c r="AH122" s="436">
        <f t="shared" si="870"/>
        <v>379</v>
      </c>
      <c r="AI122" s="393">
        <f>IF(T122="AIR",'Catalogue Aluminium'!$K$9,IF(T122="TRENCH",'Catalogue Aluminium'!$K$12,"NA"))</f>
        <v>0.89</v>
      </c>
      <c r="AJ122" s="392">
        <f>IF(T122="Air",(IF(U122="1C",'Catalogue Aluminium'!$L$9,'Catalogue Aluminium'!$M$9)),IF(T122="DUCT",(IF($U122="1C",'Catalogue Aluminium'!$L$10,'Catalogue Aluminium'!$M$10)),IF(T122="GROUND",(IF($U122="1C",'Catalogue Aluminium'!$L$11,'Catalogue Aluminium'!$M$11)),IF(T122="TRENCH",(IF($U122="1C",'Catalogue Aluminium'!$L$12,'Catalogue Aluminium'!$M$12))))))</f>
        <v>0.66</v>
      </c>
      <c r="AK122" s="393" t="str">
        <f>IF(T122="Air",'Catalogue Aluminium'!$N$9,IF(T122="GROUND",'Catalogue Aluminium'!$N$10,IF(T122="DUCT",'Catalogue Aluminium'!$N$11,IF(T122="TRENCH",'Catalogue Aluminium'!$N$12,"NA"))))</f>
        <v>NA</v>
      </c>
      <c r="AL122" s="393" t="str">
        <f>IF(T122="Air",(IF(U122="1C",'Catalogue Aluminium'!$O$9,'Catalogue Aluminium'!$P$9)),IF(T122="DUCT",(IF($U122="1C",'Catalogue Aluminium'!$O$10,'Catalogue Aluminium'!$P$10)),IF(T122="GROUND",(IF($U122="1C",'Catalogue Aluminium'!$O$11,'Catalogue Aluminium'!$P$11)),IF(T122="TRENCH",(IF($U122="1C",'Catalogue Aluminium'!$O$12,'Catalogue Aluminium'!$P$12))))))</f>
        <v>NA</v>
      </c>
      <c r="AM122" s="393" t="str">
        <f>IF(T122="AIR","NA",IF(T122="TRENCH","NA",IF(T122="DUCT",IF(U122="1C",VLOOKUP(V122,'Catalogue Aluminium'!$Q$9:$S$28,2,FALSE),VLOOKUP(V122,'Catalogue Aluminium'!$Q$9:$S$28,3)),IF(T122="GROUND",IF(U122="1C",VLOOKUP(V122,'Catalogue Aluminium'!$Q$9:$S$28,2,FALSE),VLOOKUP(V122,'Catalogue Aluminium'!$Q$9:$S$28,3))))))</f>
        <v>NA</v>
      </c>
      <c r="AN122" s="437">
        <f t="shared" si="842"/>
        <v>0.58740000000000003</v>
      </c>
      <c r="AO122" s="418">
        <f t="shared" si="843"/>
        <v>29.957400000000003</v>
      </c>
      <c r="AP122" s="434">
        <f t="shared" si="689"/>
        <v>1</v>
      </c>
      <c r="AQ122" s="418" t="str">
        <f t="shared" si="844"/>
        <v>YES</v>
      </c>
      <c r="AR122" s="437">
        <f t="shared" si="845"/>
        <v>1.9927511601595154</v>
      </c>
      <c r="AS122" s="401" t="str">
        <f t="shared" si="846"/>
        <v>YES</v>
      </c>
      <c r="AT122" s="437" t="str">
        <f t="shared" si="855"/>
        <v>NA</v>
      </c>
      <c r="AU122" s="401" t="str">
        <f t="shared" si="847"/>
        <v>NA</v>
      </c>
      <c r="AV122" s="503" t="str">
        <f t="shared" si="848"/>
        <v>1R x 0.6/1kV x 4C x 6 Sqmm</v>
      </c>
      <c r="AW122" s="503" t="str">
        <f t="shared" si="849"/>
        <v>1R x 0.6/1kV x 4C x 6 Sqmm</v>
      </c>
      <c r="AX122" s="401">
        <f t="shared" si="856"/>
        <v>379</v>
      </c>
      <c r="AY122" s="504"/>
      <c r="AZ122" s="504">
        <f t="shared" si="857"/>
        <v>2</v>
      </c>
      <c r="BA122" s="438" t="str">
        <f t="shared" si="858"/>
        <v>ACDEE1E2</v>
      </c>
      <c r="BB122" s="505">
        <f>VLOOKUP(W122,'Catalogue Aluminium'!$B$9:$H$93,7,FALSE)</f>
        <v>18</v>
      </c>
      <c r="BC122" s="439">
        <f t="shared" si="859"/>
        <v>18</v>
      </c>
      <c r="BE122" s="336"/>
      <c r="BF122" s="336">
        <v>1</v>
      </c>
      <c r="BG122" s="336"/>
      <c r="BH122" s="336"/>
      <c r="BI122" s="336">
        <v>1</v>
      </c>
      <c r="BJ122" s="336">
        <v>1</v>
      </c>
      <c r="BK122" s="336"/>
      <c r="BL122" s="336"/>
      <c r="BM122" s="336"/>
      <c r="BN122" s="336">
        <v>1</v>
      </c>
      <c r="BO122" s="336"/>
      <c r="BP122" s="336">
        <v>1</v>
      </c>
      <c r="BQ122" s="336">
        <v>1</v>
      </c>
      <c r="BR122" s="336"/>
      <c r="BS122" s="336"/>
      <c r="BT122" s="336"/>
      <c r="BU122" s="336"/>
      <c r="BV122" s="336"/>
      <c r="BW122" s="336"/>
      <c r="BX122" s="336"/>
      <c r="BY122" s="336"/>
      <c r="BZ122" s="336"/>
      <c r="CA122" s="336"/>
      <c r="CB122" s="336"/>
      <c r="CC122" s="336"/>
      <c r="CD122" s="336"/>
      <c r="CE122" s="336"/>
      <c r="CF122" s="336"/>
      <c r="CG122" s="336"/>
      <c r="CH122" s="336"/>
      <c r="CI122" s="336"/>
      <c r="CJ122" s="336"/>
      <c r="CK122" s="336"/>
      <c r="CL122" s="336"/>
      <c r="CM122" s="336"/>
      <c r="CN122" s="336"/>
      <c r="CO122" s="336"/>
      <c r="CP122" s="336"/>
      <c r="CQ122" s="336"/>
      <c r="CR122" s="336"/>
      <c r="CS122" s="336"/>
      <c r="CT122" s="336"/>
      <c r="CU122" s="336"/>
      <c r="CV122" s="336"/>
      <c r="CW122" s="336"/>
      <c r="CX122" s="336"/>
      <c r="CY122" s="336"/>
      <c r="CZ122" s="336"/>
      <c r="DA122" s="336"/>
      <c r="DB122" s="336"/>
      <c r="DC122" s="336"/>
      <c r="DD122" s="336"/>
      <c r="DE122" s="336"/>
      <c r="DF122" s="336"/>
      <c r="DG122" s="336"/>
      <c r="DH122" s="336"/>
      <c r="DI122" s="336"/>
      <c r="DJ122" s="336"/>
      <c r="DK122" s="336"/>
      <c r="DL122" s="336"/>
      <c r="DM122" s="336"/>
      <c r="DN122" s="336"/>
      <c r="DO122" s="336"/>
      <c r="DP122" s="336"/>
      <c r="DQ122" s="336"/>
      <c r="DR122" s="336"/>
      <c r="DS122" s="336"/>
      <c r="DT122" s="336"/>
      <c r="DU122" s="336"/>
      <c r="DW122" s="336">
        <f t="shared" si="709"/>
        <v>0</v>
      </c>
      <c r="DX122" s="336">
        <f t="shared" si="701"/>
        <v>18</v>
      </c>
      <c r="DY122" s="336">
        <f t="shared" si="702"/>
        <v>0</v>
      </c>
      <c r="DZ122" s="336">
        <f t="shared" si="703"/>
        <v>0</v>
      </c>
      <c r="EA122" s="336">
        <f t="shared" si="704"/>
        <v>18</v>
      </c>
      <c r="EB122" s="336">
        <f t="shared" si="705"/>
        <v>18</v>
      </c>
      <c r="EC122" s="336">
        <f t="shared" si="706"/>
        <v>0</v>
      </c>
      <c r="ED122" s="336">
        <f t="shared" si="621"/>
        <v>0</v>
      </c>
      <c r="EE122" s="336">
        <f t="shared" si="622"/>
        <v>0</v>
      </c>
      <c r="EF122" s="336">
        <f t="shared" si="623"/>
        <v>18</v>
      </c>
      <c r="EG122" s="336">
        <f t="shared" si="624"/>
        <v>0</v>
      </c>
      <c r="EH122" s="336">
        <f t="shared" si="625"/>
        <v>18</v>
      </c>
      <c r="EI122" s="336">
        <f t="shared" si="626"/>
        <v>18</v>
      </c>
      <c r="EJ122" s="336">
        <f t="shared" si="627"/>
        <v>0</v>
      </c>
      <c r="EK122" s="336">
        <f t="shared" si="628"/>
        <v>0</v>
      </c>
      <c r="EL122" s="336">
        <f t="shared" si="629"/>
        <v>0</v>
      </c>
      <c r="EM122" s="336">
        <f t="shared" si="630"/>
        <v>0</v>
      </c>
      <c r="EN122" s="336">
        <f t="shared" si="631"/>
        <v>0</v>
      </c>
      <c r="EO122" s="336">
        <f t="shared" si="632"/>
        <v>0</v>
      </c>
      <c r="EP122" s="336">
        <f t="shared" si="633"/>
        <v>0</v>
      </c>
      <c r="EQ122" s="336">
        <f t="shared" si="634"/>
        <v>0</v>
      </c>
      <c r="ER122" s="336">
        <f t="shared" si="635"/>
        <v>0</v>
      </c>
      <c r="ES122" s="336">
        <f t="shared" si="636"/>
        <v>0</v>
      </c>
      <c r="ET122" s="336">
        <f t="shared" si="636"/>
        <v>0</v>
      </c>
      <c r="EU122" s="336">
        <f t="shared" si="637"/>
        <v>0</v>
      </c>
      <c r="EV122" s="336">
        <f t="shared" si="638"/>
        <v>0</v>
      </c>
      <c r="EW122" s="336">
        <f t="shared" si="639"/>
        <v>0</v>
      </c>
      <c r="EX122" s="336">
        <f t="shared" si="640"/>
        <v>0</v>
      </c>
      <c r="EY122" s="336">
        <f t="shared" si="641"/>
        <v>0</v>
      </c>
      <c r="EZ122" s="336">
        <f t="shared" si="642"/>
        <v>0</v>
      </c>
      <c r="FA122" s="336">
        <f t="shared" si="643"/>
        <v>0</v>
      </c>
      <c r="FB122" s="336">
        <f t="shared" si="644"/>
        <v>0</v>
      </c>
      <c r="FC122" s="336">
        <f t="shared" si="645"/>
        <v>0</v>
      </c>
      <c r="FD122" s="336">
        <f t="shared" si="646"/>
        <v>0</v>
      </c>
      <c r="FE122" s="336">
        <f t="shared" si="647"/>
        <v>0</v>
      </c>
      <c r="FF122" s="336">
        <f t="shared" si="648"/>
        <v>0</v>
      </c>
      <c r="FG122" s="336">
        <f t="shared" si="649"/>
        <v>0</v>
      </c>
      <c r="FH122" s="336">
        <f t="shared" si="650"/>
        <v>0</v>
      </c>
      <c r="FI122" s="336">
        <f t="shared" si="651"/>
        <v>0</v>
      </c>
      <c r="FJ122" s="336">
        <f t="shared" si="652"/>
        <v>0</v>
      </c>
      <c r="FK122" s="336">
        <f t="shared" si="653"/>
        <v>0</v>
      </c>
      <c r="FL122" s="336">
        <f t="shared" si="654"/>
        <v>0</v>
      </c>
      <c r="FM122" s="336">
        <f t="shared" si="655"/>
        <v>0</v>
      </c>
      <c r="FN122" s="336">
        <f t="shared" si="656"/>
        <v>0</v>
      </c>
      <c r="FO122" s="336">
        <f t="shared" si="657"/>
        <v>0</v>
      </c>
      <c r="FP122" s="336">
        <f t="shared" si="658"/>
        <v>0</v>
      </c>
      <c r="FQ122" s="336">
        <f t="shared" si="659"/>
        <v>0</v>
      </c>
      <c r="FR122" s="336">
        <f t="shared" si="660"/>
        <v>0</v>
      </c>
      <c r="FS122" s="336">
        <f t="shared" si="661"/>
        <v>0</v>
      </c>
      <c r="FT122" s="336">
        <f t="shared" si="662"/>
        <v>0</v>
      </c>
      <c r="FU122" s="336">
        <f t="shared" si="860"/>
        <v>0</v>
      </c>
      <c r="FV122" s="336">
        <f t="shared" si="861"/>
        <v>0</v>
      </c>
      <c r="FW122" s="336">
        <f t="shared" si="862"/>
        <v>0</v>
      </c>
      <c r="FX122" s="336">
        <f t="shared" si="863"/>
        <v>0</v>
      </c>
      <c r="FY122" s="336">
        <f t="shared" si="663"/>
        <v>0</v>
      </c>
      <c r="FZ122" s="336">
        <f t="shared" si="664"/>
        <v>0</v>
      </c>
      <c r="GA122" s="336">
        <f t="shared" si="665"/>
        <v>0</v>
      </c>
      <c r="GB122" s="336">
        <f t="shared" si="666"/>
        <v>0</v>
      </c>
      <c r="GC122" s="336">
        <f t="shared" si="667"/>
        <v>0</v>
      </c>
      <c r="GD122" s="336">
        <f t="shared" si="668"/>
        <v>0</v>
      </c>
      <c r="GE122" s="336">
        <f t="shared" si="669"/>
        <v>0</v>
      </c>
      <c r="GF122" s="336">
        <f t="shared" si="670"/>
        <v>0</v>
      </c>
      <c r="GG122" s="336">
        <f t="shared" si="671"/>
        <v>0</v>
      </c>
      <c r="GH122" s="336">
        <f t="shared" si="672"/>
        <v>0</v>
      </c>
      <c r="GI122" s="336">
        <f t="shared" si="673"/>
        <v>0</v>
      </c>
      <c r="GJ122" s="336">
        <f t="shared" si="674"/>
        <v>0</v>
      </c>
      <c r="GK122" s="336">
        <f t="shared" si="852"/>
        <v>0</v>
      </c>
      <c r="GL122" s="336">
        <f t="shared" si="864"/>
        <v>0</v>
      </c>
      <c r="GM122" s="336">
        <f t="shared" si="675"/>
        <v>0</v>
      </c>
    </row>
    <row r="123" spans="1:195" ht="20.100000000000001" customHeight="1">
      <c r="A123" s="388">
        <f t="shared" si="865"/>
        <v>83</v>
      </c>
      <c r="B123" s="388" t="s">
        <v>527</v>
      </c>
      <c r="C123" s="388" t="s">
        <v>489</v>
      </c>
      <c r="D123" s="338" t="s">
        <v>595</v>
      </c>
      <c r="E123" s="502" t="s">
        <v>555</v>
      </c>
      <c r="F123" s="522" t="s">
        <v>28</v>
      </c>
      <c r="G123" s="388" t="s">
        <v>329</v>
      </c>
      <c r="H123" s="418">
        <v>2</v>
      </c>
      <c r="I123" s="388" t="s">
        <v>330</v>
      </c>
      <c r="J123" s="388" t="s">
        <v>357</v>
      </c>
      <c r="K123" s="434">
        <v>230</v>
      </c>
      <c r="L123" s="401">
        <v>0.85</v>
      </c>
      <c r="M123" s="418">
        <v>0.95</v>
      </c>
      <c r="N123" s="392">
        <f t="shared" si="835"/>
        <v>10.768609503297887</v>
      </c>
      <c r="O123" s="392">
        <f t="shared" si="867"/>
        <v>0</v>
      </c>
      <c r="P123" s="401" t="str">
        <f t="shared" si="836"/>
        <v>0.00</v>
      </c>
      <c r="Q123" s="418">
        <v>65</v>
      </c>
      <c r="R123" s="418">
        <v>0</v>
      </c>
      <c r="S123" s="418">
        <f t="shared" si="837"/>
        <v>0</v>
      </c>
      <c r="T123" s="401" t="s">
        <v>131</v>
      </c>
      <c r="U123" s="418" t="s">
        <v>333</v>
      </c>
      <c r="V123" s="401">
        <v>16</v>
      </c>
      <c r="W123" s="401" t="str">
        <f t="shared" si="838"/>
        <v>3C X 16</v>
      </c>
      <c r="X123" s="401" t="str">
        <f t="shared" si="839"/>
        <v>3C X 16</v>
      </c>
      <c r="Y123" s="401" t="s">
        <v>358</v>
      </c>
      <c r="Z123" s="393">
        <f>IF(T123="AIR",VLOOKUP(W123,'Catalogue Aluminium'!$B$9:$G$93,2,FALSE),IF(T123="GROUND",VLOOKUP(W123,'Catalogue Aluminium'!$B$9:$G$93,3,FALSE),IF(T123="DUCT",VLOOKUP(W123,'Catalogue Aluminium'!$B$9:$G$93,4,FALSE),IF(T123="TRENCH",VLOOKUP(W123,'Catalogue Aluminium'!$B$9:$G$93,2,FALSE)))))</f>
        <v>70</v>
      </c>
      <c r="AA123" s="402">
        <f>VLOOKUP(W123,'Catalogue Aluminium'!$B$9:$G$93,5,FALSE)</f>
        <v>2.44</v>
      </c>
      <c r="AB123" s="402">
        <f>VLOOKUP(W123,'Catalogue Aluminium'!$B$9:$G$93,6,FALSE)</f>
        <v>8.1500000000000003E-2</v>
      </c>
      <c r="AC123" s="401">
        <f t="shared" si="853"/>
        <v>29</v>
      </c>
      <c r="AD123" s="401">
        <v>80</v>
      </c>
      <c r="AE123" s="401">
        <v>5</v>
      </c>
      <c r="AF123" s="401">
        <v>8</v>
      </c>
      <c r="AG123" s="401">
        <f t="shared" si="841"/>
        <v>13</v>
      </c>
      <c r="AH123" s="436">
        <f t="shared" si="870"/>
        <v>135</v>
      </c>
      <c r="AI123" s="393">
        <f>IF(T123="AIR",'Catalogue Aluminium'!$K$9,IF(T123="TRENCH",'Catalogue Aluminium'!$K$12,"NA"))</f>
        <v>0.89</v>
      </c>
      <c r="AJ123" s="392">
        <f>IF(T123="Air",(IF(U123="1C",'Catalogue Aluminium'!$L$9,'Catalogue Aluminium'!$M$9)),IF(T123="DUCT",(IF($U123="1C",'Catalogue Aluminium'!$L$10,'Catalogue Aluminium'!$M$10)),IF(T123="GROUND",(IF($U123="1C",'Catalogue Aluminium'!$L$11,'Catalogue Aluminium'!$M$11)),IF(T123="TRENCH",(IF($U123="1C",'Catalogue Aluminium'!$L$12,'Catalogue Aluminium'!$M$12))))))</f>
        <v>0.66</v>
      </c>
      <c r="AK123" s="393" t="str">
        <f>IF(T123="Air",'Catalogue Aluminium'!$N$9,IF(T123="GROUND",'Catalogue Aluminium'!$N$10,IF(T123="DUCT",'Catalogue Aluminium'!$N$11,IF(T123="TRENCH",'Catalogue Aluminium'!$N$12,"NA"))))</f>
        <v>NA</v>
      </c>
      <c r="AL123" s="393" t="str">
        <f>IF(T123="Air",(IF(U123="1C",'Catalogue Aluminium'!$O$9,'Catalogue Aluminium'!$P$9)),IF(T123="DUCT",(IF($U123="1C",'Catalogue Aluminium'!$O$10,'Catalogue Aluminium'!$P$10)),IF(T123="GROUND",(IF($U123="1C",'Catalogue Aluminium'!$O$11,'Catalogue Aluminium'!$P$11)),IF(T123="TRENCH",(IF($U123="1C",'Catalogue Aluminium'!$O$12,'Catalogue Aluminium'!$P$12))))))</f>
        <v>NA</v>
      </c>
      <c r="AM123" s="393" t="str">
        <f>IF(T123="AIR","NA",IF(T123="TRENCH","NA",IF(T123="DUCT",IF(U123="1C",VLOOKUP(V123,'Catalogue Aluminium'!$Q$9:$S$28,2,FALSE),VLOOKUP(V123,'Catalogue Aluminium'!$Q$9:$S$28,3)),IF(T123="GROUND",IF(U123="1C",VLOOKUP(V123,'Catalogue Aluminium'!$Q$9:$S$28,2,FALSE),VLOOKUP(V123,'Catalogue Aluminium'!$Q$9:$S$28,3))))))</f>
        <v>NA</v>
      </c>
      <c r="AN123" s="437">
        <f t="shared" si="842"/>
        <v>0.58740000000000003</v>
      </c>
      <c r="AO123" s="418">
        <f t="shared" si="843"/>
        <v>41.118000000000002</v>
      </c>
      <c r="AP123" s="434">
        <f t="shared" si="689"/>
        <v>1</v>
      </c>
      <c r="AQ123" s="418" t="str">
        <f t="shared" si="844"/>
        <v>YES</v>
      </c>
      <c r="AR123" s="437">
        <f t="shared" si="845"/>
        <v>2.3175721225147079</v>
      </c>
      <c r="AS123" s="401" t="str">
        <f t="shared" si="846"/>
        <v>YES</v>
      </c>
      <c r="AT123" s="437" t="str">
        <f t="shared" si="855"/>
        <v>NA</v>
      </c>
      <c r="AU123" s="401" t="str">
        <f t="shared" si="847"/>
        <v>NA</v>
      </c>
      <c r="AV123" s="503" t="str">
        <f t="shared" si="848"/>
        <v>1R x 0.6/1kV x 3C x 16 Sqmm</v>
      </c>
      <c r="AW123" s="503" t="str">
        <f t="shared" si="849"/>
        <v>1R x 0.6/1kV x 3C x 16 Sqmm</v>
      </c>
      <c r="AX123" s="401">
        <f t="shared" si="856"/>
        <v>135</v>
      </c>
      <c r="AY123" s="504"/>
      <c r="AZ123" s="504">
        <f t="shared" si="857"/>
        <v>2</v>
      </c>
      <c r="BA123" s="438" t="str">
        <f t="shared" si="858"/>
        <v>AB</v>
      </c>
      <c r="BB123" s="505">
        <f>VLOOKUP(W123,'Catalogue Aluminium'!$B$9:$H$93,7,FALSE)</f>
        <v>19</v>
      </c>
      <c r="BC123" s="439">
        <f t="shared" si="859"/>
        <v>19</v>
      </c>
      <c r="BE123" s="336"/>
      <c r="BF123" s="336">
        <v>1</v>
      </c>
      <c r="BG123" s="336">
        <v>1</v>
      </c>
      <c r="BH123" s="336"/>
      <c r="BI123" s="336"/>
      <c r="BJ123" s="336"/>
      <c r="BK123" s="336"/>
      <c r="BL123" s="336"/>
      <c r="BM123" s="336"/>
      <c r="BN123" s="336"/>
      <c r="BO123" s="336"/>
      <c r="BP123" s="336"/>
      <c r="BQ123" s="336"/>
      <c r="BR123" s="336"/>
      <c r="BS123" s="336"/>
      <c r="BT123" s="336"/>
      <c r="BU123" s="336"/>
      <c r="BV123" s="336"/>
      <c r="BW123" s="336"/>
      <c r="BX123" s="336"/>
      <c r="BY123" s="336"/>
      <c r="BZ123" s="336"/>
      <c r="CA123" s="336"/>
      <c r="CB123" s="336"/>
      <c r="CC123" s="336"/>
      <c r="CD123" s="336"/>
      <c r="CE123" s="336"/>
      <c r="CF123" s="336"/>
      <c r="CG123" s="336"/>
      <c r="CH123" s="336"/>
      <c r="CI123" s="336"/>
      <c r="CJ123" s="336"/>
      <c r="CK123" s="336"/>
      <c r="CL123" s="336"/>
      <c r="CM123" s="336"/>
      <c r="CN123" s="336"/>
      <c r="CO123" s="336"/>
      <c r="CP123" s="336"/>
      <c r="CQ123" s="336"/>
      <c r="CR123" s="336"/>
      <c r="CS123" s="336"/>
      <c r="CT123" s="336"/>
      <c r="CU123" s="336"/>
      <c r="CV123" s="336"/>
      <c r="CW123" s="336"/>
      <c r="CX123" s="336"/>
      <c r="CY123" s="336"/>
      <c r="CZ123" s="336"/>
      <c r="DA123" s="336"/>
      <c r="DB123" s="336"/>
      <c r="DC123" s="336"/>
      <c r="DD123" s="336"/>
      <c r="DE123" s="336"/>
      <c r="DF123" s="336"/>
      <c r="DG123" s="336"/>
      <c r="DH123" s="336"/>
      <c r="DI123" s="336"/>
      <c r="DJ123" s="336"/>
      <c r="DK123" s="336"/>
      <c r="DL123" s="336"/>
      <c r="DM123" s="336"/>
      <c r="DN123" s="336"/>
      <c r="DO123" s="336"/>
      <c r="DP123" s="336"/>
      <c r="DQ123" s="336"/>
      <c r="DR123" s="336"/>
      <c r="DS123" s="336"/>
      <c r="DT123" s="336"/>
      <c r="DU123" s="336"/>
      <c r="DW123" s="336">
        <f t="shared" si="709"/>
        <v>0</v>
      </c>
      <c r="DX123" s="336">
        <f t="shared" si="701"/>
        <v>19</v>
      </c>
      <c r="DY123" s="336">
        <f t="shared" si="702"/>
        <v>19</v>
      </c>
      <c r="DZ123" s="336">
        <f t="shared" si="703"/>
        <v>0</v>
      </c>
      <c r="EA123" s="336">
        <f t="shared" si="704"/>
        <v>0</v>
      </c>
      <c r="EB123" s="336">
        <f t="shared" si="705"/>
        <v>0</v>
      </c>
      <c r="EC123" s="336">
        <f t="shared" si="706"/>
        <v>0</v>
      </c>
      <c r="ED123" s="336">
        <f t="shared" si="621"/>
        <v>0</v>
      </c>
      <c r="EE123" s="336">
        <f t="shared" si="622"/>
        <v>0</v>
      </c>
      <c r="EF123" s="336">
        <f t="shared" si="623"/>
        <v>0</v>
      </c>
      <c r="EG123" s="336">
        <f t="shared" si="624"/>
        <v>0</v>
      </c>
      <c r="EH123" s="336">
        <f t="shared" si="625"/>
        <v>0</v>
      </c>
      <c r="EI123" s="336">
        <f t="shared" si="626"/>
        <v>0</v>
      </c>
      <c r="EJ123" s="336">
        <f t="shared" si="627"/>
        <v>0</v>
      </c>
      <c r="EK123" s="336">
        <f t="shared" si="628"/>
        <v>0</v>
      </c>
      <c r="EL123" s="336">
        <f t="shared" si="629"/>
        <v>0</v>
      </c>
      <c r="EM123" s="336">
        <f t="shared" si="630"/>
        <v>0</v>
      </c>
      <c r="EN123" s="336">
        <f t="shared" si="631"/>
        <v>0</v>
      </c>
      <c r="EO123" s="336">
        <f t="shared" si="632"/>
        <v>0</v>
      </c>
      <c r="EP123" s="336">
        <f t="shared" si="633"/>
        <v>0</v>
      </c>
      <c r="EQ123" s="336">
        <f t="shared" si="634"/>
        <v>0</v>
      </c>
      <c r="ER123" s="336">
        <f t="shared" si="635"/>
        <v>0</v>
      </c>
      <c r="ES123" s="336">
        <f t="shared" si="636"/>
        <v>0</v>
      </c>
      <c r="ET123" s="336">
        <f t="shared" si="636"/>
        <v>0</v>
      </c>
      <c r="EU123" s="336">
        <f t="shared" si="637"/>
        <v>0</v>
      </c>
      <c r="EV123" s="336">
        <f t="shared" si="638"/>
        <v>0</v>
      </c>
      <c r="EW123" s="336">
        <f t="shared" si="639"/>
        <v>0</v>
      </c>
      <c r="EX123" s="336">
        <f t="shared" si="640"/>
        <v>0</v>
      </c>
      <c r="EY123" s="336">
        <f t="shared" si="641"/>
        <v>0</v>
      </c>
      <c r="EZ123" s="336">
        <f t="shared" si="642"/>
        <v>0</v>
      </c>
      <c r="FA123" s="336">
        <f t="shared" si="643"/>
        <v>0</v>
      </c>
      <c r="FB123" s="336">
        <f t="shared" si="644"/>
        <v>0</v>
      </c>
      <c r="FC123" s="336">
        <f t="shared" si="645"/>
        <v>0</v>
      </c>
      <c r="FD123" s="336">
        <f t="shared" si="646"/>
        <v>0</v>
      </c>
      <c r="FE123" s="336">
        <f t="shared" si="647"/>
        <v>0</v>
      </c>
      <c r="FF123" s="336">
        <f t="shared" si="648"/>
        <v>0</v>
      </c>
      <c r="FG123" s="336">
        <f t="shared" si="649"/>
        <v>0</v>
      </c>
      <c r="FH123" s="336">
        <f t="shared" si="650"/>
        <v>0</v>
      </c>
      <c r="FI123" s="336">
        <f t="shared" si="651"/>
        <v>0</v>
      </c>
      <c r="FJ123" s="336">
        <f t="shared" si="652"/>
        <v>0</v>
      </c>
      <c r="FK123" s="336">
        <f t="shared" si="653"/>
        <v>0</v>
      </c>
      <c r="FL123" s="336">
        <f t="shared" si="654"/>
        <v>0</v>
      </c>
      <c r="FM123" s="336">
        <f t="shared" si="655"/>
        <v>0</v>
      </c>
      <c r="FN123" s="336">
        <f t="shared" si="656"/>
        <v>0</v>
      </c>
      <c r="FO123" s="336">
        <f t="shared" si="657"/>
        <v>0</v>
      </c>
      <c r="FP123" s="336">
        <f t="shared" si="658"/>
        <v>0</v>
      </c>
      <c r="FQ123" s="336">
        <f t="shared" si="659"/>
        <v>0</v>
      </c>
      <c r="FR123" s="336">
        <f t="shared" si="660"/>
        <v>0</v>
      </c>
      <c r="FS123" s="336">
        <f t="shared" si="661"/>
        <v>0</v>
      </c>
      <c r="FT123" s="336">
        <f t="shared" si="662"/>
        <v>0</v>
      </c>
      <c r="FU123" s="336">
        <f t="shared" si="860"/>
        <v>0</v>
      </c>
      <c r="FV123" s="336">
        <f t="shared" si="861"/>
        <v>0</v>
      </c>
      <c r="FW123" s="336">
        <f t="shared" si="862"/>
        <v>0</v>
      </c>
      <c r="FX123" s="336">
        <f t="shared" si="863"/>
        <v>0</v>
      </c>
      <c r="FY123" s="336">
        <f t="shared" si="663"/>
        <v>0</v>
      </c>
      <c r="FZ123" s="336">
        <f t="shared" si="664"/>
        <v>0</v>
      </c>
      <c r="GA123" s="336">
        <f t="shared" si="665"/>
        <v>0</v>
      </c>
      <c r="GB123" s="336">
        <f t="shared" si="666"/>
        <v>0</v>
      </c>
      <c r="GC123" s="336">
        <f t="shared" si="667"/>
        <v>0</v>
      </c>
      <c r="GD123" s="336">
        <f t="shared" si="668"/>
        <v>0</v>
      </c>
      <c r="GE123" s="336">
        <f t="shared" si="669"/>
        <v>0</v>
      </c>
      <c r="GF123" s="336">
        <f t="shared" si="670"/>
        <v>0</v>
      </c>
      <c r="GG123" s="336">
        <f t="shared" si="671"/>
        <v>0</v>
      </c>
      <c r="GH123" s="336">
        <f t="shared" si="672"/>
        <v>0</v>
      </c>
      <c r="GI123" s="336">
        <f t="shared" si="673"/>
        <v>0</v>
      </c>
      <c r="GJ123" s="336">
        <f t="shared" si="674"/>
        <v>0</v>
      </c>
      <c r="GK123" s="336">
        <f t="shared" si="852"/>
        <v>0</v>
      </c>
      <c r="GL123" s="336">
        <f t="shared" si="864"/>
        <v>0</v>
      </c>
      <c r="GM123" s="336">
        <f t="shared" si="675"/>
        <v>0</v>
      </c>
    </row>
    <row r="124" spans="1:195" ht="20.100000000000001" customHeight="1">
      <c r="A124" s="388">
        <f t="shared" si="865"/>
        <v>84</v>
      </c>
      <c r="B124" s="388" t="s">
        <v>527</v>
      </c>
      <c r="C124" s="521" t="s">
        <v>489</v>
      </c>
      <c r="D124" s="338" t="s">
        <v>596</v>
      </c>
      <c r="E124" s="502" t="s">
        <v>555</v>
      </c>
      <c r="F124" s="522" t="s">
        <v>28</v>
      </c>
      <c r="G124" s="388" t="s">
        <v>329</v>
      </c>
      <c r="H124" s="518">
        <v>2</v>
      </c>
      <c r="I124" s="388" t="s">
        <v>330</v>
      </c>
      <c r="J124" s="388" t="s">
        <v>357</v>
      </c>
      <c r="K124" s="434">
        <v>230</v>
      </c>
      <c r="L124" s="401">
        <v>0.85</v>
      </c>
      <c r="M124" s="418">
        <v>0.95</v>
      </c>
      <c r="N124" s="392">
        <f t="shared" si="835"/>
        <v>10.768609503297887</v>
      </c>
      <c r="O124" s="392">
        <f t="shared" si="867"/>
        <v>0</v>
      </c>
      <c r="P124" s="401" t="str">
        <f t="shared" si="836"/>
        <v>0.00</v>
      </c>
      <c r="Q124" s="418">
        <v>65</v>
      </c>
      <c r="R124" s="418">
        <v>0</v>
      </c>
      <c r="S124" s="418">
        <f t="shared" si="837"/>
        <v>0</v>
      </c>
      <c r="T124" s="401" t="s">
        <v>131</v>
      </c>
      <c r="U124" s="418" t="s">
        <v>333</v>
      </c>
      <c r="V124" s="401">
        <v>16</v>
      </c>
      <c r="W124" s="401" t="str">
        <f t="shared" si="838"/>
        <v>3C X 16</v>
      </c>
      <c r="X124" s="401" t="str">
        <f t="shared" si="839"/>
        <v>3C X 16</v>
      </c>
      <c r="Y124" s="401" t="s">
        <v>358</v>
      </c>
      <c r="Z124" s="393">
        <f>IF(T124="AIR",VLOOKUP(W124,'Catalogue Aluminium'!$B$9:$G$93,2,FALSE),IF(T124="GROUND",VLOOKUP(W124,'Catalogue Aluminium'!$B$9:$G$93,3,FALSE),IF(T124="DUCT",VLOOKUP(W124,'Catalogue Aluminium'!$B$9:$G$93,4,FALSE),IF(T124="TRENCH",VLOOKUP(W124,'Catalogue Aluminium'!$B$9:$G$93,2,FALSE)))))</f>
        <v>70</v>
      </c>
      <c r="AA124" s="402">
        <f>VLOOKUP(W124,'Catalogue Aluminium'!$B$9:$G$93,5,FALSE)</f>
        <v>2.44</v>
      </c>
      <c r="AB124" s="402">
        <f>VLOOKUP(W124,'Catalogue Aluminium'!$B$9:$G$93,6,FALSE)</f>
        <v>8.1500000000000003E-2</v>
      </c>
      <c r="AC124" s="401">
        <f t="shared" si="853"/>
        <v>29</v>
      </c>
      <c r="AD124" s="401">
        <v>80</v>
      </c>
      <c r="AE124" s="401">
        <v>5</v>
      </c>
      <c r="AF124" s="401">
        <v>8</v>
      </c>
      <c r="AG124" s="401">
        <f t="shared" si="841"/>
        <v>13</v>
      </c>
      <c r="AH124" s="436">
        <f t="shared" si="870"/>
        <v>135</v>
      </c>
      <c r="AI124" s="393">
        <f>IF(T124="AIR",'Catalogue Aluminium'!$K$9,IF(T124="TRENCH",'Catalogue Aluminium'!$K$12,"NA"))</f>
        <v>0.89</v>
      </c>
      <c r="AJ124" s="392">
        <f>IF(T124="Air",(IF(U124="1C",'Catalogue Aluminium'!$L$9,'Catalogue Aluminium'!$M$9)),IF(T124="DUCT",(IF($U124="1C",'Catalogue Aluminium'!$L$10,'Catalogue Aluminium'!$M$10)),IF(T124="GROUND",(IF($U124="1C",'Catalogue Aluminium'!$L$11,'Catalogue Aluminium'!$M$11)),IF(T124="TRENCH",(IF($U124="1C",'Catalogue Aluminium'!$L$12,'Catalogue Aluminium'!$M$12))))))</f>
        <v>0.66</v>
      </c>
      <c r="AK124" s="393" t="str">
        <f>IF(T124="Air",'Catalogue Aluminium'!$N$9,IF(T124="GROUND",'Catalogue Aluminium'!$N$10,IF(T124="DUCT",'Catalogue Aluminium'!$N$11,IF(T124="TRENCH",'Catalogue Aluminium'!$N$12,"NA"))))</f>
        <v>NA</v>
      </c>
      <c r="AL124" s="393" t="str">
        <f>IF(T124="Air",(IF(U124="1C",'Catalogue Aluminium'!$O$9,'Catalogue Aluminium'!$P$9)),IF(T124="DUCT",(IF($U124="1C",'Catalogue Aluminium'!$O$10,'Catalogue Aluminium'!$P$10)),IF(T124="GROUND",(IF($U124="1C",'Catalogue Aluminium'!$O$11,'Catalogue Aluminium'!$P$11)),IF(T124="TRENCH",(IF($U124="1C",'Catalogue Aluminium'!$O$12,'Catalogue Aluminium'!$P$12))))))</f>
        <v>NA</v>
      </c>
      <c r="AM124" s="393" t="str">
        <f>IF(T124="AIR","NA",IF(T124="TRENCH","NA",IF(T124="DUCT",IF(U124="1C",VLOOKUP(V124,'Catalogue Aluminium'!$Q$9:$S$28,2,FALSE),VLOOKUP(V124,'Catalogue Aluminium'!$Q$9:$S$28,3)),IF(T124="GROUND",IF(U124="1C",VLOOKUP(V124,'Catalogue Aluminium'!$Q$9:$S$28,2,FALSE),VLOOKUP(V124,'Catalogue Aluminium'!$Q$9:$S$28,3))))))</f>
        <v>NA</v>
      </c>
      <c r="AN124" s="437">
        <f t="shared" si="842"/>
        <v>0.58740000000000003</v>
      </c>
      <c r="AO124" s="418">
        <f t="shared" si="843"/>
        <v>41.118000000000002</v>
      </c>
      <c r="AP124" s="434">
        <f t="shared" si="689"/>
        <v>1</v>
      </c>
      <c r="AQ124" s="418" t="str">
        <f t="shared" si="844"/>
        <v>YES</v>
      </c>
      <c r="AR124" s="437">
        <f t="shared" si="845"/>
        <v>2.3175721225147079</v>
      </c>
      <c r="AS124" s="401" t="str">
        <f t="shared" si="846"/>
        <v>YES</v>
      </c>
      <c r="AT124" s="437" t="str">
        <f t="shared" si="855"/>
        <v>NA</v>
      </c>
      <c r="AU124" s="401" t="str">
        <f t="shared" si="847"/>
        <v>NA</v>
      </c>
      <c r="AV124" s="503" t="str">
        <f t="shared" si="848"/>
        <v>1R x 0.6/1kV x 3C x 16 Sqmm</v>
      </c>
      <c r="AW124" s="503" t="str">
        <f t="shared" si="849"/>
        <v>1R x 0.6/1kV x 3C x 16 Sqmm</v>
      </c>
      <c r="AX124" s="401">
        <f t="shared" si="856"/>
        <v>135</v>
      </c>
      <c r="AY124" s="504"/>
      <c r="AZ124" s="504">
        <f t="shared" si="857"/>
        <v>2</v>
      </c>
      <c r="BA124" s="438" t="str">
        <f t="shared" si="858"/>
        <v>AB</v>
      </c>
      <c r="BB124" s="505">
        <f>VLOOKUP(W124,'Catalogue Aluminium'!$B$9:$H$93,7,FALSE)</f>
        <v>19</v>
      </c>
      <c r="BC124" s="439">
        <f t="shared" si="859"/>
        <v>19</v>
      </c>
      <c r="BE124" s="336"/>
      <c r="BF124" s="336">
        <v>1</v>
      </c>
      <c r="BG124" s="336">
        <v>1</v>
      </c>
      <c r="BH124" s="336"/>
      <c r="BI124" s="336"/>
      <c r="BJ124" s="336"/>
      <c r="BK124" s="336"/>
      <c r="BL124" s="336"/>
      <c r="BM124" s="336"/>
      <c r="BN124" s="336"/>
      <c r="BO124" s="336"/>
      <c r="BP124" s="336"/>
      <c r="BQ124" s="336"/>
      <c r="BR124" s="336"/>
      <c r="BS124" s="336"/>
      <c r="BT124" s="336"/>
      <c r="BU124" s="336"/>
      <c r="BV124" s="336"/>
      <c r="BW124" s="336"/>
      <c r="BX124" s="336"/>
      <c r="BY124" s="336"/>
      <c r="BZ124" s="336"/>
      <c r="CA124" s="336"/>
      <c r="CB124" s="336"/>
      <c r="CC124" s="336"/>
      <c r="CD124" s="336"/>
      <c r="CE124" s="336"/>
      <c r="CF124" s="336"/>
      <c r="CG124" s="336"/>
      <c r="CH124" s="336"/>
      <c r="CI124" s="336"/>
      <c r="CJ124" s="336"/>
      <c r="CK124" s="336"/>
      <c r="CL124" s="336"/>
      <c r="CM124" s="336"/>
      <c r="CN124" s="336"/>
      <c r="CO124" s="336"/>
      <c r="CP124" s="336"/>
      <c r="CQ124" s="336"/>
      <c r="CR124" s="336"/>
      <c r="CS124" s="336"/>
      <c r="CT124" s="336"/>
      <c r="CU124" s="336"/>
      <c r="CV124" s="336"/>
      <c r="CW124" s="336"/>
      <c r="CX124" s="336"/>
      <c r="CY124" s="336"/>
      <c r="CZ124" s="336"/>
      <c r="DA124" s="336"/>
      <c r="DB124" s="336"/>
      <c r="DC124" s="336"/>
      <c r="DD124" s="336"/>
      <c r="DE124" s="336"/>
      <c r="DF124" s="336"/>
      <c r="DG124" s="336"/>
      <c r="DH124" s="336"/>
      <c r="DI124" s="336"/>
      <c r="DJ124" s="336"/>
      <c r="DK124" s="336"/>
      <c r="DL124" s="336"/>
      <c r="DM124" s="336"/>
      <c r="DN124" s="336"/>
      <c r="DO124" s="336"/>
      <c r="DP124" s="336"/>
      <c r="DQ124" s="336"/>
      <c r="DR124" s="336"/>
      <c r="DS124" s="336"/>
      <c r="DT124" s="336"/>
      <c r="DU124" s="336"/>
      <c r="DW124" s="336">
        <f t="shared" si="709"/>
        <v>0</v>
      </c>
      <c r="DX124" s="336">
        <f t="shared" si="701"/>
        <v>19</v>
      </c>
      <c r="DY124" s="336">
        <f t="shared" si="702"/>
        <v>19</v>
      </c>
      <c r="DZ124" s="336">
        <f t="shared" si="703"/>
        <v>0</v>
      </c>
      <c r="EA124" s="336">
        <f t="shared" si="704"/>
        <v>0</v>
      </c>
      <c r="EB124" s="336">
        <f t="shared" si="705"/>
        <v>0</v>
      </c>
      <c r="EC124" s="336">
        <f t="shared" si="706"/>
        <v>0</v>
      </c>
      <c r="ED124" s="336">
        <f t="shared" si="621"/>
        <v>0</v>
      </c>
      <c r="EE124" s="336">
        <f t="shared" si="622"/>
        <v>0</v>
      </c>
      <c r="EF124" s="336">
        <f t="shared" si="623"/>
        <v>0</v>
      </c>
      <c r="EG124" s="336">
        <f t="shared" si="624"/>
        <v>0</v>
      </c>
      <c r="EH124" s="336">
        <f t="shared" si="625"/>
        <v>0</v>
      </c>
      <c r="EI124" s="336">
        <f t="shared" si="626"/>
        <v>0</v>
      </c>
      <c r="EJ124" s="336">
        <f t="shared" si="627"/>
        <v>0</v>
      </c>
      <c r="EK124" s="336">
        <f t="shared" si="628"/>
        <v>0</v>
      </c>
      <c r="EL124" s="336">
        <f t="shared" si="629"/>
        <v>0</v>
      </c>
      <c r="EM124" s="336">
        <f t="shared" si="630"/>
        <v>0</v>
      </c>
      <c r="EN124" s="336">
        <f t="shared" si="631"/>
        <v>0</v>
      </c>
      <c r="EO124" s="336">
        <f t="shared" si="632"/>
        <v>0</v>
      </c>
      <c r="EP124" s="336">
        <f t="shared" si="633"/>
        <v>0</v>
      </c>
      <c r="EQ124" s="336">
        <f t="shared" si="634"/>
        <v>0</v>
      </c>
      <c r="ER124" s="336">
        <f t="shared" si="635"/>
        <v>0</v>
      </c>
      <c r="ES124" s="336">
        <f t="shared" si="636"/>
        <v>0</v>
      </c>
      <c r="ET124" s="336">
        <f t="shared" si="636"/>
        <v>0</v>
      </c>
      <c r="EU124" s="336">
        <f t="shared" si="637"/>
        <v>0</v>
      </c>
      <c r="EV124" s="336">
        <f t="shared" si="638"/>
        <v>0</v>
      </c>
      <c r="EW124" s="336">
        <f t="shared" si="639"/>
        <v>0</v>
      </c>
      <c r="EX124" s="336">
        <f t="shared" si="640"/>
        <v>0</v>
      </c>
      <c r="EY124" s="336">
        <f t="shared" si="641"/>
        <v>0</v>
      </c>
      <c r="EZ124" s="336">
        <f t="shared" si="642"/>
        <v>0</v>
      </c>
      <c r="FA124" s="336">
        <f t="shared" si="643"/>
        <v>0</v>
      </c>
      <c r="FB124" s="336">
        <f t="shared" si="644"/>
        <v>0</v>
      </c>
      <c r="FC124" s="336">
        <f t="shared" si="645"/>
        <v>0</v>
      </c>
      <c r="FD124" s="336">
        <f t="shared" si="646"/>
        <v>0</v>
      </c>
      <c r="FE124" s="336">
        <f t="shared" si="647"/>
        <v>0</v>
      </c>
      <c r="FF124" s="336">
        <f t="shared" si="648"/>
        <v>0</v>
      </c>
      <c r="FG124" s="336">
        <f t="shared" si="649"/>
        <v>0</v>
      </c>
      <c r="FH124" s="336">
        <f t="shared" si="650"/>
        <v>0</v>
      </c>
      <c r="FI124" s="336">
        <f t="shared" si="651"/>
        <v>0</v>
      </c>
      <c r="FJ124" s="336">
        <f t="shared" si="652"/>
        <v>0</v>
      </c>
      <c r="FK124" s="336">
        <f t="shared" si="653"/>
        <v>0</v>
      </c>
      <c r="FL124" s="336">
        <f t="shared" si="654"/>
        <v>0</v>
      </c>
      <c r="FM124" s="336">
        <f t="shared" si="655"/>
        <v>0</v>
      </c>
      <c r="FN124" s="336">
        <f t="shared" si="656"/>
        <v>0</v>
      </c>
      <c r="FO124" s="336">
        <f t="shared" si="657"/>
        <v>0</v>
      </c>
      <c r="FP124" s="336">
        <f t="shared" si="658"/>
        <v>0</v>
      </c>
      <c r="FQ124" s="336">
        <f t="shared" si="659"/>
        <v>0</v>
      </c>
      <c r="FR124" s="336">
        <f t="shared" si="660"/>
        <v>0</v>
      </c>
      <c r="FS124" s="336">
        <f t="shared" si="661"/>
        <v>0</v>
      </c>
      <c r="FT124" s="336">
        <f t="shared" si="662"/>
        <v>0</v>
      </c>
      <c r="FU124" s="336">
        <f t="shared" si="860"/>
        <v>0</v>
      </c>
      <c r="FV124" s="336">
        <f t="shared" si="861"/>
        <v>0</v>
      </c>
      <c r="FW124" s="336">
        <f t="shared" si="862"/>
        <v>0</v>
      </c>
      <c r="FX124" s="336">
        <f t="shared" si="863"/>
        <v>0</v>
      </c>
      <c r="FY124" s="336">
        <f t="shared" si="663"/>
        <v>0</v>
      </c>
      <c r="FZ124" s="336">
        <f t="shared" si="664"/>
        <v>0</v>
      </c>
      <c r="GA124" s="336">
        <f t="shared" si="665"/>
        <v>0</v>
      </c>
      <c r="GB124" s="336">
        <f t="shared" si="666"/>
        <v>0</v>
      </c>
      <c r="GC124" s="336">
        <f t="shared" si="667"/>
        <v>0</v>
      </c>
      <c r="GD124" s="336">
        <f t="shared" si="668"/>
        <v>0</v>
      </c>
      <c r="GE124" s="336">
        <f t="shared" si="669"/>
        <v>0</v>
      </c>
      <c r="GF124" s="336">
        <f t="shared" si="670"/>
        <v>0</v>
      </c>
      <c r="GG124" s="336">
        <f t="shared" si="671"/>
        <v>0</v>
      </c>
      <c r="GH124" s="336">
        <f t="shared" si="672"/>
        <v>0</v>
      </c>
      <c r="GI124" s="336">
        <f t="shared" si="673"/>
        <v>0</v>
      </c>
      <c r="GJ124" s="336">
        <f t="shared" si="674"/>
        <v>0</v>
      </c>
      <c r="GK124" s="336">
        <f t="shared" si="852"/>
        <v>0</v>
      </c>
      <c r="GL124" s="336">
        <f t="shared" si="864"/>
        <v>0</v>
      </c>
      <c r="GM124" s="336">
        <f t="shared" si="675"/>
        <v>0</v>
      </c>
    </row>
    <row r="125" spans="1:195" ht="27" customHeight="1">
      <c r="A125" s="388">
        <f t="shared" si="865"/>
        <v>85</v>
      </c>
      <c r="B125" s="388" t="s">
        <v>527</v>
      </c>
      <c r="C125" s="388" t="s">
        <v>489</v>
      </c>
      <c r="D125" s="338" t="s">
        <v>597</v>
      </c>
      <c r="E125" s="502" t="s">
        <v>555</v>
      </c>
      <c r="F125" s="388" t="s">
        <v>28</v>
      </c>
      <c r="G125" s="388" t="s">
        <v>329</v>
      </c>
      <c r="H125" s="418">
        <v>2</v>
      </c>
      <c r="I125" s="388" t="s">
        <v>330</v>
      </c>
      <c r="J125" s="388" t="s">
        <v>357</v>
      </c>
      <c r="K125" s="434">
        <v>230</v>
      </c>
      <c r="L125" s="401">
        <v>0.85</v>
      </c>
      <c r="M125" s="418">
        <v>0.95</v>
      </c>
      <c r="N125" s="392">
        <f t="shared" si="835"/>
        <v>10.768609503297887</v>
      </c>
      <c r="O125" s="392">
        <f t="shared" si="867"/>
        <v>0</v>
      </c>
      <c r="P125" s="401" t="str">
        <f t="shared" si="836"/>
        <v>0.00</v>
      </c>
      <c r="Q125" s="418">
        <v>65</v>
      </c>
      <c r="R125" s="418">
        <v>0</v>
      </c>
      <c r="S125" s="418">
        <f t="shared" si="837"/>
        <v>0</v>
      </c>
      <c r="T125" s="401" t="s">
        <v>131</v>
      </c>
      <c r="U125" s="418" t="s">
        <v>333</v>
      </c>
      <c r="V125" s="401">
        <v>16</v>
      </c>
      <c r="W125" s="401" t="str">
        <f t="shared" si="838"/>
        <v>3C X 16</v>
      </c>
      <c r="X125" s="401" t="str">
        <f t="shared" si="839"/>
        <v>3C X 16</v>
      </c>
      <c r="Y125" s="401" t="s">
        <v>358</v>
      </c>
      <c r="Z125" s="393">
        <f>IF(T125="AIR",VLOOKUP(W125,'Catalogue Aluminium'!$B$9:$G$93,2,FALSE),IF(T125="GROUND",VLOOKUP(W125,'Catalogue Aluminium'!$B$9:$G$93,3,FALSE),IF(T125="DUCT",VLOOKUP(W125,'Catalogue Aluminium'!$B$9:$G$93,4,FALSE),IF(T125="TRENCH",VLOOKUP(W125,'Catalogue Aluminium'!$B$9:$G$93,2,FALSE)))))</f>
        <v>70</v>
      </c>
      <c r="AA125" s="402">
        <f>VLOOKUP(W125,'Catalogue Aluminium'!$B$9:$G$93,5,FALSE)</f>
        <v>2.44</v>
      </c>
      <c r="AB125" s="402">
        <f>VLOOKUP(W125,'Catalogue Aluminium'!$B$9:$G$93,6,FALSE)</f>
        <v>8.1500000000000003E-2</v>
      </c>
      <c r="AC125" s="401">
        <f t="shared" si="853"/>
        <v>29</v>
      </c>
      <c r="AD125" s="401">
        <v>80</v>
      </c>
      <c r="AE125" s="401">
        <v>5</v>
      </c>
      <c r="AF125" s="401">
        <v>8</v>
      </c>
      <c r="AG125" s="401">
        <f t="shared" si="841"/>
        <v>13</v>
      </c>
      <c r="AH125" s="436">
        <f t="shared" si="870"/>
        <v>135</v>
      </c>
      <c r="AI125" s="393">
        <f>IF(T125="AIR",'Catalogue Aluminium'!$K$9,IF(T125="TRENCH",'Catalogue Aluminium'!$K$12,"NA"))</f>
        <v>0.89</v>
      </c>
      <c r="AJ125" s="392">
        <f>IF(T125="Air",(IF(U125="1C",'Catalogue Aluminium'!$L$9,'Catalogue Aluminium'!$M$9)),IF(T125="DUCT",(IF($U125="1C",'Catalogue Aluminium'!$L$10,'Catalogue Aluminium'!$M$10)),IF(T125="GROUND",(IF($U125="1C",'Catalogue Aluminium'!$L$11,'Catalogue Aluminium'!$M$11)),IF(T125="TRENCH",(IF($U125="1C",'Catalogue Aluminium'!$L$12,'Catalogue Aluminium'!$M$12))))))</f>
        <v>0.66</v>
      </c>
      <c r="AK125" s="393" t="str">
        <f>IF(T125="Air",'Catalogue Aluminium'!$N$9,IF(T125="GROUND",'Catalogue Aluminium'!$N$10,IF(T125="DUCT",'Catalogue Aluminium'!$N$11,IF(T125="TRENCH",'Catalogue Aluminium'!$N$12,"NA"))))</f>
        <v>NA</v>
      </c>
      <c r="AL125" s="393" t="str">
        <f>IF(T125="Air",(IF(U125="1C",'Catalogue Aluminium'!$O$9,'Catalogue Aluminium'!$P$9)),IF(T125="DUCT",(IF($U125="1C",'Catalogue Aluminium'!$O$10,'Catalogue Aluminium'!$P$10)),IF(T125="GROUND",(IF($U125="1C",'Catalogue Aluminium'!$O$11,'Catalogue Aluminium'!$P$11)),IF(T125="TRENCH",(IF($U125="1C",'Catalogue Aluminium'!$O$12,'Catalogue Aluminium'!$P$12))))))</f>
        <v>NA</v>
      </c>
      <c r="AM125" s="393" t="str">
        <f>IF(T125="AIR","NA",IF(T125="TRENCH","NA",IF(T125="DUCT",IF(U125="1C",VLOOKUP(V125,'Catalogue Aluminium'!$Q$9:$S$28,2,FALSE),VLOOKUP(V125,'Catalogue Aluminium'!$Q$9:$S$28,3)),IF(T125="GROUND",IF(U125="1C",VLOOKUP(V125,'Catalogue Aluminium'!$Q$9:$S$28,2,FALSE),VLOOKUP(V125,'Catalogue Aluminium'!$Q$9:$S$28,3))))))</f>
        <v>NA</v>
      </c>
      <c r="AN125" s="437">
        <f t="shared" si="842"/>
        <v>0.58740000000000003</v>
      </c>
      <c r="AO125" s="418">
        <f t="shared" si="843"/>
        <v>41.118000000000002</v>
      </c>
      <c r="AP125" s="434">
        <f t="shared" si="689"/>
        <v>1</v>
      </c>
      <c r="AQ125" s="418" t="str">
        <f t="shared" si="844"/>
        <v>YES</v>
      </c>
      <c r="AR125" s="437">
        <f t="shared" si="845"/>
        <v>2.3175721225147079</v>
      </c>
      <c r="AS125" s="401" t="str">
        <f t="shared" si="846"/>
        <v>YES</v>
      </c>
      <c r="AT125" s="437" t="str">
        <f t="shared" si="855"/>
        <v>NA</v>
      </c>
      <c r="AU125" s="401" t="str">
        <f t="shared" si="847"/>
        <v>NA</v>
      </c>
      <c r="AV125" s="503" t="str">
        <f t="shared" si="848"/>
        <v>1R x 0.6/1kV x 3C x 16 Sqmm</v>
      </c>
      <c r="AW125" s="503" t="str">
        <f t="shared" si="849"/>
        <v>1R x 0.6/1kV x 3C x 16 Sqmm</v>
      </c>
      <c r="AX125" s="401">
        <f t="shared" si="856"/>
        <v>135</v>
      </c>
      <c r="AY125" s="504"/>
      <c r="AZ125" s="504">
        <f t="shared" si="857"/>
        <v>2</v>
      </c>
      <c r="BA125" s="438" t="str">
        <f t="shared" si="858"/>
        <v>AB</v>
      </c>
      <c r="BB125" s="505">
        <f>VLOOKUP(W125,'Catalogue Aluminium'!$B$9:$H$93,7,FALSE)</f>
        <v>19</v>
      </c>
      <c r="BC125" s="439">
        <f t="shared" si="859"/>
        <v>19</v>
      </c>
      <c r="BE125" s="336"/>
      <c r="BF125" s="336">
        <v>1</v>
      </c>
      <c r="BG125" s="336">
        <v>1</v>
      </c>
      <c r="BH125" s="336"/>
      <c r="BI125" s="336"/>
      <c r="BJ125" s="336"/>
      <c r="BK125" s="336"/>
      <c r="BL125" s="336"/>
      <c r="BM125" s="336"/>
      <c r="BN125" s="336"/>
      <c r="BO125" s="336"/>
      <c r="BP125" s="336"/>
      <c r="BQ125" s="336"/>
      <c r="BR125" s="336"/>
      <c r="BS125" s="336"/>
      <c r="BT125" s="336"/>
      <c r="BU125" s="336"/>
      <c r="BV125" s="336"/>
      <c r="BW125" s="336"/>
      <c r="BX125" s="336"/>
      <c r="BY125" s="336"/>
      <c r="BZ125" s="336"/>
      <c r="CA125" s="336"/>
      <c r="CB125" s="336"/>
      <c r="CC125" s="336"/>
      <c r="CD125" s="336"/>
      <c r="CE125" s="336"/>
      <c r="CF125" s="336"/>
      <c r="CG125" s="336"/>
      <c r="CH125" s="336"/>
      <c r="CI125" s="336"/>
      <c r="CJ125" s="336"/>
      <c r="CK125" s="336"/>
      <c r="CL125" s="336"/>
      <c r="CM125" s="336"/>
      <c r="CN125" s="336"/>
      <c r="CO125" s="336"/>
      <c r="CP125" s="336"/>
      <c r="CQ125" s="336"/>
      <c r="CR125" s="336"/>
      <c r="CS125" s="336"/>
      <c r="CT125" s="336"/>
      <c r="CU125" s="336"/>
      <c r="CV125" s="336"/>
      <c r="CW125" s="336"/>
      <c r="CX125" s="336"/>
      <c r="CY125" s="336"/>
      <c r="CZ125" s="336"/>
      <c r="DA125" s="336"/>
      <c r="DB125" s="336"/>
      <c r="DC125" s="336"/>
      <c r="DD125" s="336"/>
      <c r="DE125" s="336"/>
      <c r="DF125" s="336"/>
      <c r="DG125" s="336"/>
      <c r="DH125" s="336"/>
      <c r="DI125" s="336"/>
      <c r="DJ125" s="336"/>
      <c r="DK125" s="336"/>
      <c r="DL125" s="336"/>
      <c r="DM125" s="336"/>
      <c r="DN125" s="336"/>
      <c r="DO125" s="336"/>
      <c r="DP125" s="336"/>
      <c r="DQ125" s="336"/>
      <c r="DR125" s="336"/>
      <c r="DS125" s="336"/>
      <c r="DT125" s="336"/>
      <c r="DU125" s="336"/>
      <c r="DW125" s="336">
        <f t="shared" si="709"/>
        <v>0</v>
      </c>
      <c r="DX125" s="336">
        <f t="shared" si="701"/>
        <v>19</v>
      </c>
      <c r="DY125" s="336">
        <f t="shared" si="702"/>
        <v>19</v>
      </c>
      <c r="DZ125" s="336">
        <f t="shared" si="703"/>
        <v>0</v>
      </c>
      <c r="EA125" s="336">
        <f t="shared" si="704"/>
        <v>0</v>
      </c>
      <c r="EB125" s="336">
        <f t="shared" si="705"/>
        <v>0</v>
      </c>
      <c r="EC125" s="336">
        <f t="shared" si="706"/>
        <v>0</v>
      </c>
      <c r="ED125" s="336">
        <f t="shared" si="621"/>
        <v>0</v>
      </c>
      <c r="EE125" s="336">
        <f t="shared" si="622"/>
        <v>0</v>
      </c>
      <c r="EF125" s="336">
        <f t="shared" si="623"/>
        <v>0</v>
      </c>
      <c r="EG125" s="336">
        <f t="shared" si="624"/>
        <v>0</v>
      </c>
      <c r="EH125" s="336">
        <f t="shared" si="625"/>
        <v>0</v>
      </c>
      <c r="EI125" s="336">
        <f t="shared" si="626"/>
        <v>0</v>
      </c>
      <c r="EJ125" s="336">
        <f t="shared" si="627"/>
        <v>0</v>
      </c>
      <c r="EK125" s="336">
        <f t="shared" si="628"/>
        <v>0</v>
      </c>
      <c r="EL125" s="336">
        <f t="shared" si="629"/>
        <v>0</v>
      </c>
      <c r="EM125" s="336">
        <f t="shared" si="630"/>
        <v>0</v>
      </c>
      <c r="EN125" s="336">
        <f t="shared" si="631"/>
        <v>0</v>
      </c>
      <c r="EO125" s="336">
        <f t="shared" si="632"/>
        <v>0</v>
      </c>
      <c r="EP125" s="336">
        <f t="shared" si="633"/>
        <v>0</v>
      </c>
      <c r="EQ125" s="336">
        <f t="shared" si="634"/>
        <v>0</v>
      </c>
      <c r="ER125" s="336">
        <f t="shared" si="635"/>
        <v>0</v>
      </c>
      <c r="ES125" s="336">
        <f t="shared" si="636"/>
        <v>0</v>
      </c>
      <c r="ET125" s="336">
        <f t="shared" si="636"/>
        <v>0</v>
      </c>
      <c r="EU125" s="336">
        <f t="shared" si="637"/>
        <v>0</v>
      </c>
      <c r="EV125" s="336">
        <f t="shared" si="638"/>
        <v>0</v>
      </c>
      <c r="EW125" s="336">
        <f t="shared" si="639"/>
        <v>0</v>
      </c>
      <c r="EX125" s="336">
        <f t="shared" si="640"/>
        <v>0</v>
      </c>
      <c r="EY125" s="336">
        <f t="shared" si="641"/>
        <v>0</v>
      </c>
      <c r="EZ125" s="336">
        <f t="shared" si="642"/>
        <v>0</v>
      </c>
      <c r="FA125" s="336">
        <f t="shared" si="643"/>
        <v>0</v>
      </c>
      <c r="FB125" s="336">
        <f t="shared" si="644"/>
        <v>0</v>
      </c>
      <c r="FC125" s="336">
        <f t="shared" si="645"/>
        <v>0</v>
      </c>
      <c r="FD125" s="336">
        <f t="shared" si="646"/>
        <v>0</v>
      </c>
      <c r="FE125" s="336">
        <f t="shared" si="647"/>
        <v>0</v>
      </c>
      <c r="FF125" s="336">
        <f t="shared" si="648"/>
        <v>0</v>
      </c>
      <c r="FG125" s="336">
        <f t="shared" si="649"/>
        <v>0</v>
      </c>
      <c r="FH125" s="336">
        <f t="shared" si="650"/>
        <v>0</v>
      </c>
      <c r="FI125" s="336">
        <f t="shared" si="651"/>
        <v>0</v>
      </c>
      <c r="FJ125" s="336">
        <f t="shared" si="652"/>
        <v>0</v>
      </c>
      <c r="FK125" s="336">
        <f t="shared" si="653"/>
        <v>0</v>
      </c>
      <c r="FL125" s="336">
        <f t="shared" si="654"/>
        <v>0</v>
      </c>
      <c r="FM125" s="336">
        <f t="shared" si="655"/>
        <v>0</v>
      </c>
      <c r="FN125" s="336">
        <f t="shared" si="656"/>
        <v>0</v>
      </c>
      <c r="FO125" s="336">
        <f t="shared" si="657"/>
        <v>0</v>
      </c>
      <c r="FP125" s="336">
        <f t="shared" si="658"/>
        <v>0</v>
      </c>
      <c r="FQ125" s="336">
        <f t="shared" si="659"/>
        <v>0</v>
      </c>
      <c r="FR125" s="336">
        <f t="shared" si="660"/>
        <v>0</v>
      </c>
      <c r="FS125" s="336">
        <f t="shared" si="661"/>
        <v>0</v>
      </c>
      <c r="FT125" s="336">
        <f t="shared" si="662"/>
        <v>0</v>
      </c>
      <c r="FU125" s="336">
        <f t="shared" si="860"/>
        <v>0</v>
      </c>
      <c r="FV125" s="336">
        <f t="shared" si="861"/>
        <v>0</v>
      </c>
      <c r="FW125" s="336">
        <f t="shared" si="862"/>
        <v>0</v>
      </c>
      <c r="FX125" s="336">
        <f t="shared" si="863"/>
        <v>0</v>
      </c>
      <c r="FY125" s="336">
        <f t="shared" si="663"/>
        <v>0</v>
      </c>
      <c r="FZ125" s="336">
        <f t="shared" si="664"/>
        <v>0</v>
      </c>
      <c r="GA125" s="336">
        <f t="shared" si="665"/>
        <v>0</v>
      </c>
      <c r="GB125" s="336">
        <f t="shared" si="666"/>
        <v>0</v>
      </c>
      <c r="GC125" s="336">
        <f t="shared" si="667"/>
        <v>0</v>
      </c>
      <c r="GD125" s="336">
        <f t="shared" si="668"/>
        <v>0</v>
      </c>
      <c r="GE125" s="336">
        <f t="shared" si="669"/>
        <v>0</v>
      </c>
      <c r="GF125" s="336">
        <f t="shared" si="670"/>
        <v>0</v>
      </c>
      <c r="GG125" s="336">
        <f t="shared" si="671"/>
        <v>0</v>
      </c>
      <c r="GH125" s="336">
        <f t="shared" si="672"/>
        <v>0</v>
      </c>
      <c r="GI125" s="336">
        <f t="shared" si="673"/>
        <v>0</v>
      </c>
      <c r="GJ125" s="336">
        <f t="shared" si="674"/>
        <v>0</v>
      </c>
      <c r="GK125" s="336">
        <f t="shared" si="852"/>
        <v>0</v>
      </c>
      <c r="GL125" s="336">
        <f t="shared" si="864"/>
        <v>0</v>
      </c>
      <c r="GM125" s="336">
        <f t="shared" si="675"/>
        <v>0</v>
      </c>
    </row>
    <row r="126" spans="1:195" s="76" customFormat="1" ht="33" customHeight="1">
      <c r="A126" s="373"/>
      <c r="B126" s="373"/>
      <c r="C126" s="373"/>
      <c r="D126" s="508" t="s">
        <v>600</v>
      </c>
      <c r="E126" s="509"/>
      <c r="F126" s="510"/>
      <c r="G126" s="373"/>
      <c r="H126" s="382"/>
      <c r="I126" s="373"/>
      <c r="J126" s="373"/>
      <c r="K126" s="381"/>
      <c r="L126" s="376"/>
      <c r="M126" s="382"/>
      <c r="N126" s="375"/>
      <c r="O126" s="375"/>
      <c r="P126" s="376"/>
      <c r="Q126" s="382"/>
      <c r="R126" s="382"/>
      <c r="S126" s="382"/>
      <c r="T126" s="376"/>
      <c r="U126" s="382" t="s">
        <v>333</v>
      </c>
      <c r="V126" s="376"/>
      <c r="W126" s="376"/>
      <c r="X126" s="376"/>
      <c r="Y126" s="376"/>
      <c r="Z126" s="377"/>
      <c r="AA126" s="378"/>
      <c r="AB126" s="378"/>
      <c r="AC126" s="378"/>
      <c r="AD126" s="378"/>
      <c r="AE126" s="378"/>
      <c r="AF126" s="378"/>
      <c r="AG126" s="378"/>
      <c r="AH126" s="378"/>
      <c r="AI126" s="377"/>
      <c r="AJ126" s="375"/>
      <c r="AK126" s="377"/>
      <c r="AL126" s="377"/>
      <c r="AM126" s="377"/>
      <c r="AN126" s="383"/>
      <c r="AO126" s="382"/>
      <c r="AP126" s="381"/>
      <c r="AQ126" s="382"/>
      <c r="AR126" s="383"/>
      <c r="AS126" s="376"/>
      <c r="AT126" s="383"/>
      <c r="AU126" s="383"/>
      <c r="AV126" s="384"/>
      <c r="AW126" s="384"/>
      <c r="AX126" s="376"/>
      <c r="AY126" s="385"/>
      <c r="AZ126" s="385"/>
      <c r="BA126" s="513" t="str">
        <f>CONCATENATE(IF(BE126=1,BE$4,""),IF(BF126=1,BF$4,""),IF(BG126=1,BG$4,""),IF(BH126=1,BH$4,""),IF(BI126=1,BI$4,""),IF(BJ126=1,BJ$4,""),IF(BK126=1,BK$4,""),IF(BL126=1,BL$4,""),IF(BM126=1,BM$4,""),IF(BN126=1,BN$4,""),IF(BO126=1,BO$4,""),IF(BP126=1,BP$4,""),IF(BQ126=1,BQ$4,""),IF(BR126=1,BR$4,""),IF(BS126=1,BS$4,""),IF(BT126=1,BT$4,""),IF(BU126=1,BU$4,""),IF(BV126=1,BV$4,""),IF(BW126=1,BW$4,""),IF(BX126=1,BX$4,""),IF(BY126=1,BY$4,""),IF(BZ126=1,BZ$4,""),IF(CA126=1,CA$4,""),IF(CC126=1,CC$4,""),IF(CD126=1,CD$4,""),IF(CE126=1,CE$4,""),IF(CF126=1,CF$4,""),IF(CG126=1,CG$4,""),IF(CH126=1,CH$4,""),IF(CI126=1,CI$4,""),IF(CJ126=1,CJ$4,""),IF(CK126=1,CK$4,""),IF(CL126=1,CL$4,""),IF(CM126=1,CM$4,""),IF(CN126=1,CN$4,""),IF(CO126=1,CO$4,""),IF(CP126=1,CP$4,""),IF(CQ126=1,CQ$4,""),IF(CR126=1,CR$4,""),IF(CS126=1,CS$4,""),IF(CT126=1,CT$4,""),IF(CU126=1,CU$4,""),IF(CV126=1,CV$4,""),IF(CW126=1,CW$4,""),IF(CX126=1,CX$4,""),IF(CY126=1,CY$4,""),IF(CZ126=1,CZ$4,""),IF(DA126=1,DA$4,""),IF(DB126=1,DB$4,""),IF(DC126=1,DC$4,""),IF(DD126=1,DD$4,""),IF(DE126=1,DE$4,""),IF(DF126=1,DF$4,""),IF(DG126=1,DG$4,""),IF(DH126=1,DH$4,""),IF(DI126=1,DI$4,""),IF(DJ126=1,DJ$4,""),IF(DK126=1,DK$4,""),IF(DL126=1,DL$4,""),IF(DM126=1,DM$4,""),IF(DN126=1,DN$4,""),IF(DO126=1,DO$4,""),IF(DP126=1,DP$4,""),IF(DQ126=1,DQ$4,""),IF(DR126=1,DR$4,""),IF(DS126=1,DS$4,""),IF(DT126=1,DT$4,""),IF(DU126=1,DU$4,""))</f>
        <v/>
      </c>
      <c r="BB126" s="513"/>
      <c r="BC126" s="513"/>
      <c r="BE126" s="513"/>
      <c r="BF126" s="513"/>
      <c r="BG126" s="513"/>
      <c r="BH126" s="513"/>
      <c r="BI126" s="513"/>
      <c r="BJ126" s="513"/>
      <c r="BK126" s="513"/>
      <c r="BL126" s="513"/>
      <c r="BM126" s="513"/>
      <c r="BN126" s="513"/>
      <c r="BO126" s="513"/>
      <c r="BP126" s="513"/>
      <c r="BQ126" s="513"/>
      <c r="BR126" s="513"/>
      <c r="BS126" s="513"/>
      <c r="BT126" s="513"/>
      <c r="BU126" s="513"/>
      <c r="BV126" s="513"/>
      <c r="BW126" s="513"/>
      <c r="BX126" s="513"/>
      <c r="BY126" s="513"/>
      <c r="BZ126" s="513"/>
      <c r="CA126" s="513"/>
      <c r="CB126" s="513"/>
      <c r="CC126" s="513"/>
      <c r="CD126" s="513"/>
      <c r="CE126" s="513"/>
      <c r="CF126" s="513"/>
      <c r="CG126" s="513"/>
      <c r="CH126" s="513"/>
      <c r="CI126" s="513"/>
      <c r="CJ126" s="513"/>
      <c r="CK126" s="513"/>
      <c r="CL126" s="513"/>
      <c r="CM126" s="513"/>
      <c r="CN126" s="513"/>
      <c r="CO126" s="513"/>
      <c r="CP126" s="513"/>
      <c r="CQ126" s="513"/>
      <c r="CR126" s="513"/>
      <c r="CS126" s="513"/>
      <c r="CT126" s="513"/>
      <c r="CU126" s="513"/>
      <c r="CV126" s="513"/>
      <c r="CW126" s="513"/>
      <c r="CX126" s="513"/>
      <c r="CY126" s="513"/>
      <c r="CZ126" s="513"/>
      <c r="DA126" s="513"/>
      <c r="DB126" s="513"/>
      <c r="DC126" s="513"/>
      <c r="DD126" s="513"/>
      <c r="DE126" s="513"/>
      <c r="DF126" s="513"/>
      <c r="DG126" s="513"/>
      <c r="DH126" s="513"/>
      <c r="DI126" s="513"/>
      <c r="DJ126" s="513"/>
      <c r="DK126" s="513"/>
      <c r="DL126" s="513"/>
      <c r="DM126" s="513"/>
      <c r="DN126" s="513"/>
      <c r="DO126" s="513"/>
      <c r="DP126" s="513"/>
      <c r="DQ126" s="513"/>
      <c r="DR126" s="513"/>
      <c r="DS126" s="513"/>
      <c r="DT126" s="513"/>
      <c r="DU126" s="513"/>
      <c r="DV126" s="61"/>
      <c r="DW126" s="336">
        <f t="shared" si="709"/>
        <v>0</v>
      </c>
      <c r="DX126" s="336">
        <f t="shared" si="701"/>
        <v>0</v>
      </c>
      <c r="DY126" s="336">
        <f t="shared" si="702"/>
        <v>0</v>
      </c>
      <c r="DZ126" s="336">
        <f t="shared" si="703"/>
        <v>0</v>
      </c>
      <c r="EA126" s="336">
        <f t="shared" si="704"/>
        <v>0</v>
      </c>
      <c r="EB126" s="336">
        <f t="shared" si="705"/>
        <v>0</v>
      </c>
      <c r="EC126" s="336">
        <f t="shared" si="706"/>
        <v>0</v>
      </c>
      <c r="ED126" s="336">
        <f t="shared" si="621"/>
        <v>0</v>
      </c>
      <c r="EE126" s="336">
        <f t="shared" si="622"/>
        <v>0</v>
      </c>
      <c r="EF126" s="336">
        <f t="shared" si="623"/>
        <v>0</v>
      </c>
      <c r="EG126" s="336">
        <f t="shared" si="624"/>
        <v>0</v>
      </c>
      <c r="EH126" s="336">
        <f t="shared" si="625"/>
        <v>0</v>
      </c>
      <c r="EI126" s="336">
        <f t="shared" si="626"/>
        <v>0</v>
      </c>
      <c r="EJ126" s="336">
        <f t="shared" si="627"/>
        <v>0</v>
      </c>
      <c r="EK126" s="336">
        <f t="shared" si="628"/>
        <v>0</v>
      </c>
      <c r="EL126" s="336">
        <f t="shared" si="629"/>
        <v>0</v>
      </c>
      <c r="EM126" s="336">
        <f t="shared" si="630"/>
        <v>0</v>
      </c>
      <c r="EN126" s="336">
        <f t="shared" si="631"/>
        <v>0</v>
      </c>
      <c r="EO126" s="336">
        <f t="shared" si="632"/>
        <v>0</v>
      </c>
      <c r="EP126" s="336">
        <f t="shared" si="633"/>
        <v>0</v>
      </c>
      <c r="EQ126" s="336">
        <f t="shared" si="634"/>
        <v>0</v>
      </c>
      <c r="ER126" s="336">
        <f t="shared" si="635"/>
        <v>0</v>
      </c>
      <c r="ES126" s="336">
        <f t="shared" si="636"/>
        <v>0</v>
      </c>
      <c r="ET126" s="336">
        <f t="shared" si="636"/>
        <v>0</v>
      </c>
      <c r="EU126" s="336">
        <f t="shared" si="637"/>
        <v>0</v>
      </c>
      <c r="EV126" s="336">
        <f t="shared" si="638"/>
        <v>0</v>
      </c>
      <c r="EW126" s="336">
        <f t="shared" si="639"/>
        <v>0</v>
      </c>
      <c r="EX126" s="336">
        <f t="shared" si="640"/>
        <v>0</v>
      </c>
      <c r="EY126" s="336">
        <f t="shared" si="641"/>
        <v>0</v>
      </c>
      <c r="EZ126" s="336">
        <f t="shared" si="642"/>
        <v>0</v>
      </c>
      <c r="FA126" s="336">
        <f t="shared" si="643"/>
        <v>0</v>
      </c>
      <c r="FB126" s="336">
        <f t="shared" si="644"/>
        <v>0</v>
      </c>
      <c r="FC126" s="336">
        <f t="shared" si="645"/>
        <v>0</v>
      </c>
      <c r="FD126" s="336">
        <f t="shared" si="646"/>
        <v>0</v>
      </c>
      <c r="FE126" s="336">
        <f t="shared" si="647"/>
        <v>0</v>
      </c>
      <c r="FF126" s="336">
        <f t="shared" si="648"/>
        <v>0</v>
      </c>
      <c r="FG126" s="336">
        <f t="shared" si="649"/>
        <v>0</v>
      </c>
      <c r="FH126" s="336">
        <f t="shared" si="650"/>
        <v>0</v>
      </c>
      <c r="FI126" s="336">
        <f t="shared" si="651"/>
        <v>0</v>
      </c>
      <c r="FJ126" s="336">
        <f t="shared" si="652"/>
        <v>0</v>
      </c>
      <c r="FK126" s="336">
        <f t="shared" si="653"/>
        <v>0</v>
      </c>
      <c r="FL126" s="336">
        <f t="shared" si="654"/>
        <v>0</v>
      </c>
      <c r="FM126" s="336">
        <f t="shared" si="655"/>
        <v>0</v>
      </c>
      <c r="FN126" s="336">
        <f t="shared" si="656"/>
        <v>0</v>
      </c>
      <c r="FO126" s="492">
        <f t="shared" si="657"/>
        <v>0</v>
      </c>
      <c r="FP126" s="492">
        <f t="shared" si="658"/>
        <v>0</v>
      </c>
      <c r="FQ126" s="492">
        <f t="shared" si="659"/>
        <v>0</v>
      </c>
      <c r="FR126" s="492">
        <f t="shared" si="660"/>
        <v>0</v>
      </c>
      <c r="FS126" s="492">
        <f t="shared" si="661"/>
        <v>0</v>
      </c>
      <c r="FT126" s="492">
        <f t="shared" si="662"/>
        <v>0</v>
      </c>
      <c r="FU126" s="336">
        <f t="shared" si="860"/>
        <v>0</v>
      </c>
      <c r="FV126" s="336">
        <f t="shared" si="861"/>
        <v>0</v>
      </c>
      <c r="FW126" s="336">
        <f t="shared" si="862"/>
        <v>0</v>
      </c>
      <c r="FX126" s="336">
        <f t="shared" si="863"/>
        <v>0</v>
      </c>
      <c r="FY126" s="492">
        <f t="shared" si="663"/>
        <v>0</v>
      </c>
      <c r="FZ126" s="492">
        <f t="shared" si="664"/>
        <v>0</v>
      </c>
      <c r="GA126" s="492">
        <f t="shared" si="665"/>
        <v>0</v>
      </c>
      <c r="GB126" s="492">
        <f t="shared" si="666"/>
        <v>0</v>
      </c>
      <c r="GC126" s="492">
        <f t="shared" si="667"/>
        <v>0</v>
      </c>
      <c r="GD126" s="492">
        <f t="shared" si="668"/>
        <v>0</v>
      </c>
      <c r="GE126" s="492">
        <f t="shared" si="669"/>
        <v>0</v>
      </c>
      <c r="GF126" s="492">
        <f t="shared" si="670"/>
        <v>0</v>
      </c>
      <c r="GG126" s="492">
        <f t="shared" si="671"/>
        <v>0</v>
      </c>
      <c r="GH126" s="492">
        <f t="shared" si="672"/>
        <v>0</v>
      </c>
      <c r="GI126" s="492">
        <f t="shared" si="673"/>
        <v>0</v>
      </c>
      <c r="GJ126" s="492">
        <f t="shared" si="674"/>
        <v>0</v>
      </c>
      <c r="GK126" s="492">
        <f t="shared" si="852"/>
        <v>0</v>
      </c>
      <c r="GL126" s="336">
        <f t="shared" si="864"/>
        <v>0</v>
      </c>
      <c r="GM126" s="492">
        <f t="shared" si="675"/>
        <v>0</v>
      </c>
    </row>
    <row r="127" spans="1:195" ht="20.100000000000001" customHeight="1">
      <c r="A127" s="388">
        <f>1+A125</f>
        <v>86</v>
      </c>
      <c r="B127" s="406" t="s">
        <v>1660</v>
      </c>
      <c r="C127" s="388" t="s">
        <v>489</v>
      </c>
      <c r="D127" s="338" t="s">
        <v>601</v>
      </c>
      <c r="E127" s="502" t="s">
        <v>345</v>
      </c>
      <c r="F127" s="388" t="s">
        <v>28</v>
      </c>
      <c r="G127" s="388" t="s">
        <v>329</v>
      </c>
      <c r="H127" s="418">
        <v>7.5</v>
      </c>
      <c r="I127" s="388" t="s">
        <v>330</v>
      </c>
      <c r="J127" s="388" t="s">
        <v>331</v>
      </c>
      <c r="K127" s="434">
        <v>400</v>
      </c>
      <c r="L127" s="401">
        <v>0.85</v>
      </c>
      <c r="M127" s="418">
        <v>0.95</v>
      </c>
      <c r="N127" s="392">
        <f t="shared" ref="N127:N139" si="871">IF(I127="kVA",IF(J127="3Ph",(H127*1000/(1.732*M127*K127)),(H127*1000/(M127*K127))),IF(I127="kW",IF(J127="3Ph",(H127*1000/(1.732*M127*K127*L127)),(H127*1000/(M127*K127*L127)))))</f>
        <v>13.406359261827985</v>
      </c>
      <c r="O127" s="392">
        <f t="shared" si="867"/>
        <v>0</v>
      </c>
      <c r="P127" s="401" t="str">
        <f t="shared" ref="P127:P139" si="872">IF(G127="MOTOR",0.2,"0.00")</f>
        <v>0.00</v>
      </c>
      <c r="Q127" s="418">
        <v>65</v>
      </c>
      <c r="R127" s="418">
        <v>0</v>
      </c>
      <c r="S127" s="418">
        <f t="shared" ref="S127:S139" si="873">(Q127*1000*SQRT(R127)/143)</f>
        <v>0</v>
      </c>
      <c r="T127" s="401" t="s">
        <v>131</v>
      </c>
      <c r="U127" s="418" t="s">
        <v>535</v>
      </c>
      <c r="V127" s="401">
        <v>35</v>
      </c>
      <c r="W127" s="401" t="str">
        <f t="shared" ref="W127:W139" si="874">CONCATENATE(U127," X ",V127)</f>
        <v>3.5C X 35</v>
      </c>
      <c r="X127" s="401" t="str">
        <f t="shared" ref="X127:X139" si="875">(IF(J127="1Ph",W127,IF(J127="3Ph",(IF(G127="MOTOR",(CONCATENATE(W127,"+PE")),W127)))))</f>
        <v>3.5C X 35</v>
      </c>
      <c r="Y127" s="401" t="s">
        <v>358</v>
      </c>
      <c r="Z127" s="393">
        <f>IF(T127="AIR",VLOOKUP(W127,'Catalogue Aluminium'!$B$9:$G$93,2,FALSE),IF(T127="GROUND",VLOOKUP(W127,'Catalogue Aluminium'!$B$9:$G$93,3,FALSE),IF(T127="DUCT",VLOOKUP(W127,'Catalogue Aluminium'!$B$9:$G$93,4,FALSE),IF(T127="TRENCH",VLOOKUP(W127,'Catalogue Aluminium'!$B$9:$G$93,2,FALSE)))))</f>
        <v>117</v>
      </c>
      <c r="AA127" s="402">
        <f>VLOOKUP(W127,'Catalogue Aluminium'!$B$9:$G$93,5,FALSE)</f>
        <v>1.1100000000000001</v>
      </c>
      <c r="AB127" s="402">
        <f>VLOOKUP(W127,'Catalogue Aluminium'!$B$9:$G$93,6,FALSE)</f>
        <v>7.9399999999999998E-2</v>
      </c>
      <c r="AC127" s="401">
        <f t="shared" ref="AC127:AC139" si="876">26+3</f>
        <v>29</v>
      </c>
      <c r="AD127" s="401">
        <f>40+50+38+50+17+(27+25)</f>
        <v>247</v>
      </c>
      <c r="AE127" s="401">
        <f t="shared" ref="AE127:AE136" si="877">11+8+8+11</f>
        <v>38</v>
      </c>
      <c r="AF127" s="401">
        <v>8</v>
      </c>
      <c r="AG127" s="401">
        <f t="shared" ref="AG127:AG139" si="878">ROUNDUP((SUM(AC127:AF127)*0.1),0)</f>
        <v>33</v>
      </c>
      <c r="AH127" s="436">
        <f t="shared" ref="AH127:AH139" si="879">SUM(AC127:AG127)</f>
        <v>355</v>
      </c>
      <c r="AI127" s="393">
        <f>IF(T127="AIR",'Catalogue Aluminium'!$K$9,IF(T127="TRENCH",'Catalogue Aluminium'!$K$12,"NA"))</f>
        <v>0.89</v>
      </c>
      <c r="AJ127" s="392">
        <f>IF(T127="Air",(IF(U127="1C",'Catalogue Aluminium'!$L$9,'Catalogue Aluminium'!$M$9)),IF(T127="DUCT",(IF($U127="1C",'Catalogue Aluminium'!$L$10,'Catalogue Aluminium'!$M$10)),IF(T127="GROUND",(IF($U127="1C",'Catalogue Aluminium'!$L$11,'Catalogue Aluminium'!$M$11)),IF(T127="TRENCH",(IF($U127="1C",'Catalogue Aluminium'!$L$12,'Catalogue Aluminium'!$M$12))))))</f>
        <v>0.66</v>
      </c>
      <c r="AK127" s="393" t="str">
        <f>IF(T127="Air",'Catalogue Aluminium'!$N$9,IF(T127="GROUND",'Catalogue Aluminium'!$N$10,IF(T127="DUCT",'Catalogue Aluminium'!$N$11,IF(T127="TRENCH",'Catalogue Aluminium'!$N$12,"NA"))))</f>
        <v>NA</v>
      </c>
      <c r="AL127" s="393" t="str">
        <f>IF(T127="Air",(IF(U127="1C",'Catalogue Aluminium'!$O$9,'Catalogue Aluminium'!$P$9)),IF(T127="DUCT",(IF($U127="1C",'Catalogue Aluminium'!$O$10,'Catalogue Aluminium'!$P$10)),IF(T127="GROUND",(IF($U127="1C",'Catalogue Aluminium'!$O$11,'Catalogue Aluminium'!$P$11)),IF(T127="TRENCH",(IF($U127="1C",'Catalogue Aluminium'!$O$12,'Catalogue Aluminium'!$P$12))))))</f>
        <v>NA</v>
      </c>
      <c r="AM127" s="393" t="str">
        <f>IF(T127="AIR","NA",IF(T127="TRENCH","NA",IF(T127="DUCT",IF(U127="1C",VLOOKUP(V127,'Catalogue Aluminium'!$Q$9:$S$28,2,FALSE),VLOOKUP(V127,'Catalogue Aluminium'!$Q$9:$S$28,3)),IF(T127="GROUND",IF(U127="1C",VLOOKUP(V127,'Catalogue Aluminium'!$Q$9:$S$28,2,FALSE),VLOOKUP(V127,'Catalogue Aluminium'!$Q$9:$S$28,3))))))</f>
        <v>NA</v>
      </c>
      <c r="AN127" s="437">
        <f t="shared" ref="AN127:AN139" si="880">IF(T127="AIR",AI127*AJ127,IF(T127="TRENCH",AI127*AJ127,IF(T127="DUCT",AJ127*AK127*AL127*AM127,IF(T127="GROUND",AJ127*AK127*AL127*AM127))))</f>
        <v>0.58740000000000003</v>
      </c>
      <c r="AO127" s="418">
        <f t="shared" ref="AO127:AO139" si="881">Z127*AN127</f>
        <v>68.725800000000007</v>
      </c>
      <c r="AP127" s="434">
        <f t="shared" si="689"/>
        <v>1</v>
      </c>
      <c r="AQ127" s="418" t="str">
        <f t="shared" ref="AQ127:AQ139" si="882">IF(AO127*AP127&gt;=N127,"YES","NO")</f>
        <v>YES</v>
      </c>
      <c r="AR127" s="437">
        <f t="shared" ref="AR127:AR139" si="883">SQRT(3)*AH127*N127*((AA127*L127)+(AB127*SIN(ACOS(L127))))*100/(AP127*K127*1000)</f>
        <v>2.0305796319765559</v>
      </c>
      <c r="AS127" s="401" t="str">
        <f t="shared" ref="AS127:AS139" si="884">IF(G127="INCOMER",(IF(AR127&lt;=2,"YES","NO")),IF(G127="POWER",(IF(AR127&lt;=2.5,"YES","NO")),IF(G127="MOTOR",(IF(AR127&lt;=3,"YES","NO")))))</f>
        <v>YES</v>
      </c>
      <c r="AT127" s="437" t="str">
        <f t="shared" ref="AT127:AT139" si="885">IF(G127="MOTOR",(SQRT(3)*AH127*O127*((AA127*P127)+(AB127*SIN(ACOS(P127))))*100/(AP127*K127*1000)),"NA")</f>
        <v>NA</v>
      </c>
      <c r="AU127" s="401" t="str">
        <f t="shared" ref="AU127:AU139" si="886">IF(G127="MOTOR",IF(AT127&lt;=15,"YES","NO"),"NA")</f>
        <v>NA</v>
      </c>
      <c r="AV127" s="503" t="str">
        <f t="shared" ref="AV127:AV139" si="887">IF(U127="1C",CONCATENATE(AP127,"R x ",Y127,"kV x ",U127," x ",V127," Sqmm/Phase"),CONCATENATE(AP127,"R x ",0.6,"/1kV x ",U127," x ",V127," Sqmm"))</f>
        <v>1R x 0.6/1kV x 3.5C x 35 Sqmm</v>
      </c>
      <c r="AW127" s="503" t="str">
        <f t="shared" ref="AW127:AW139" si="888">IF(U127="1C",CONCATENATE(AP127,"R x ",Y127,"kV x ",U127," x ",V127," Sqmm/Phase"),CONCATENATE(AP127,"R x ",0.6,"/1kV x ",U127," x ",V127,(IF(G127="MOTOR","+PE",""))," Sqmm"))</f>
        <v>1R x 0.6/1kV x 3.5C x 35 Sqmm</v>
      </c>
      <c r="AX127" s="401">
        <f t="shared" ref="AX127:AX139" si="889">(IF(K127=400,(IF(U127="1C",(4*AH127*AP127),(AH127*AP127))),IF(K127=230,(AH127*AP127))))</f>
        <v>355</v>
      </c>
      <c r="AY127" s="504"/>
      <c r="AZ127" s="504">
        <f t="shared" ref="AZ127:AZ139" si="890">IF(U127="1C",(3*AP127*2),(AP127*2))</f>
        <v>2</v>
      </c>
      <c r="BA127" s="438" t="str">
        <f t="shared" ref="BA127:BA139" si="891">CONCATENATE(IF(BE127=1,BE$4,""),IF(BF127=1,BF$4,""),IF(BG127=1,BG$4,""),IF(BH127=1,BH$4,""),IF(BI127=1,BI$4,""),IF(BJ127=1,BJ$4,""),IF(BK127=1,BK$4,""),IF(BL127=1,BL$4,""),IF(BM127=1,BM$4,""),IF(BN127=1,BN$4,""),IF(BO127=1,BO$4,""),IF(BP127=1,BP$4,""),IF(BQ127=1,BQ$4,""),IF(BR127=1,BR$4,""),IF(BS127=1,BS$4,""),IF(BT127=1,BT$4,""),IF(BU127=1,BU$4,""),IF(BV127=1,BV$4,""),IF(BW127=1,BW$4,""),IF(BX127=1,BX$4,""),IF(BY127=1,BY$4,""),IF(BZ127=1,BZ$4,""),IF(CA127=1,CA$4,""),IF(CB127=1,CB$4,""),IF(CC127=1,CC$4,""),IF(CD127=1,CD$4,""),IF(CE127=1,CE$4,""),IF(CF127=1,CF$4,""),IF(CG127=1,CG$4,""),IF(CH127=1,CH$4,""),IF(CI127=1,CI$4,""),IF(CJ127=1,CJ$4,""),IF(CK127=1,CK$4,""),IF(CL127=1,CL$4,""),IF(CM127=1,CM$4,""),IF(CN127=1,CN$4,""),IF(CO127=1,CO$4,""),IF(CP127=1,CP$4,""),IF(CQ127=1,CQ$4,""),IF(CR127=1,CR$4,""),IF(CS127=1,CS$4,""),IF(CT127=1,CT$4,""),IF(CU127=1,CU$4,""),IF(CV127=1,CV$4,""),IF(CW127=1,CW$4,""),IF(CX127=1,CX$4,""),IF(CY127=1,CY$4,""),IF(CZ127=1,CZ$4,""),IF(DA127=1,DA$4,""),IF(DB127=1,DB$4,""),IF(DC127=1,DC$4,""),IF(DD127=1,DD$4,""),IF(DE127=1,DE$4,""),IF(DF127=1,DF$4,""),IF(DG127=1,DG$4,""),IF(DH127=1,DH$4,""),IF(DI127=1,DI$4,""),IF(DJ127=1,DJ$4,""),IF(DK127=1,DK$4,""),IF(DL127=1,DL$4,""),IF(DM127=1,DM$4,""),IF(DN127=1,DN$4,""),IF(DO127=1,DO$4,""),IF(DP127=1,DP$4,""),IF(DQ127=1,DQ$4,""),IF(DR127=1,DR$4,""),IF(DS127=1,DS$4,""),IF(DT127=1,DT$4,""),IF(DU127=1,DU$4,""))</f>
        <v>ACDEE1E2</v>
      </c>
      <c r="BB127" s="505">
        <f>VLOOKUP(W127,'Catalogue Aluminium'!$B$9:$H$93,7,FALSE)</f>
        <v>27</v>
      </c>
      <c r="BC127" s="439">
        <f t="shared" ref="BC127:BC139" si="892">AP127*BB127</f>
        <v>27</v>
      </c>
      <c r="BE127" s="336"/>
      <c r="BF127" s="336">
        <v>1</v>
      </c>
      <c r="BG127" s="336"/>
      <c r="BH127" s="336"/>
      <c r="BI127" s="336">
        <v>1</v>
      </c>
      <c r="BJ127" s="336">
        <v>1</v>
      </c>
      <c r="BK127" s="336"/>
      <c r="BL127" s="336"/>
      <c r="BM127" s="336"/>
      <c r="BN127" s="336">
        <v>1</v>
      </c>
      <c r="BO127" s="336"/>
      <c r="BP127" s="336">
        <v>1</v>
      </c>
      <c r="BQ127" s="336">
        <v>1</v>
      </c>
      <c r="BR127" s="336"/>
      <c r="BS127" s="336"/>
      <c r="BT127" s="336"/>
      <c r="BU127" s="336"/>
      <c r="BV127" s="336"/>
      <c r="BW127" s="336"/>
      <c r="BX127" s="336"/>
      <c r="BY127" s="336"/>
      <c r="BZ127" s="336"/>
      <c r="CA127" s="336"/>
      <c r="CB127" s="336"/>
      <c r="CC127" s="336"/>
      <c r="CD127" s="336"/>
      <c r="CE127" s="336"/>
      <c r="CF127" s="336"/>
      <c r="CG127" s="336"/>
      <c r="CH127" s="336"/>
      <c r="CI127" s="336"/>
      <c r="CJ127" s="336"/>
      <c r="CK127" s="336"/>
      <c r="CL127" s="336"/>
      <c r="CM127" s="336"/>
      <c r="CN127" s="336"/>
      <c r="CO127" s="336"/>
      <c r="CP127" s="336"/>
      <c r="CQ127" s="336"/>
      <c r="CR127" s="336"/>
      <c r="CS127" s="336"/>
      <c r="CT127" s="336"/>
      <c r="CU127" s="336"/>
      <c r="CV127" s="336"/>
      <c r="CW127" s="336"/>
      <c r="CX127" s="336"/>
      <c r="CY127" s="336"/>
      <c r="CZ127" s="336"/>
      <c r="DA127" s="336"/>
      <c r="DB127" s="336"/>
      <c r="DC127" s="336"/>
      <c r="DD127" s="336"/>
      <c r="DE127" s="336"/>
      <c r="DF127" s="336"/>
      <c r="DG127" s="336"/>
      <c r="DH127" s="336"/>
      <c r="DI127" s="336"/>
      <c r="DJ127" s="336"/>
      <c r="DK127" s="336"/>
      <c r="DL127" s="336"/>
      <c r="DM127" s="336"/>
      <c r="DN127" s="336"/>
      <c r="DO127" s="336"/>
      <c r="DP127" s="336"/>
      <c r="DQ127" s="336"/>
      <c r="DR127" s="336"/>
      <c r="DS127" s="336"/>
      <c r="DT127" s="336"/>
      <c r="DU127" s="336"/>
      <c r="DW127" s="336">
        <f t="shared" si="709"/>
        <v>0</v>
      </c>
      <c r="DX127" s="336">
        <f t="shared" si="701"/>
        <v>27</v>
      </c>
      <c r="DY127" s="336">
        <f t="shared" si="702"/>
        <v>0</v>
      </c>
      <c r="DZ127" s="336">
        <f t="shared" si="703"/>
        <v>0</v>
      </c>
      <c r="EA127" s="336">
        <f t="shared" si="704"/>
        <v>27</v>
      </c>
      <c r="EB127" s="336">
        <f t="shared" si="705"/>
        <v>27</v>
      </c>
      <c r="EC127" s="336">
        <f t="shared" si="706"/>
        <v>0</v>
      </c>
      <c r="ED127" s="336">
        <f t="shared" si="621"/>
        <v>0</v>
      </c>
      <c r="EE127" s="336">
        <f t="shared" si="622"/>
        <v>0</v>
      </c>
      <c r="EF127" s="336">
        <f t="shared" si="623"/>
        <v>27</v>
      </c>
      <c r="EG127" s="336">
        <f t="shared" si="624"/>
        <v>0</v>
      </c>
      <c r="EH127" s="336">
        <f t="shared" si="625"/>
        <v>27</v>
      </c>
      <c r="EI127" s="336">
        <f t="shared" si="626"/>
        <v>27</v>
      </c>
      <c r="EJ127" s="336">
        <f t="shared" si="627"/>
        <v>0</v>
      </c>
      <c r="EK127" s="336">
        <f t="shared" si="628"/>
        <v>0</v>
      </c>
      <c r="EL127" s="336">
        <f t="shared" si="629"/>
        <v>0</v>
      </c>
      <c r="EM127" s="336">
        <f t="shared" si="630"/>
        <v>0</v>
      </c>
      <c r="EN127" s="336">
        <f t="shared" si="631"/>
        <v>0</v>
      </c>
      <c r="EO127" s="336">
        <f t="shared" si="632"/>
        <v>0</v>
      </c>
      <c r="EP127" s="336">
        <f t="shared" si="633"/>
        <v>0</v>
      </c>
      <c r="EQ127" s="336">
        <f t="shared" si="634"/>
        <v>0</v>
      </c>
      <c r="ER127" s="336">
        <f t="shared" si="635"/>
        <v>0</v>
      </c>
      <c r="ES127" s="336">
        <f t="shared" si="636"/>
        <v>0</v>
      </c>
      <c r="ET127" s="336">
        <f t="shared" si="636"/>
        <v>0</v>
      </c>
      <c r="EU127" s="336">
        <f t="shared" si="637"/>
        <v>0</v>
      </c>
      <c r="EV127" s="336">
        <f t="shared" si="638"/>
        <v>0</v>
      </c>
      <c r="EW127" s="336">
        <f t="shared" si="639"/>
        <v>0</v>
      </c>
      <c r="EX127" s="336">
        <f t="shared" si="640"/>
        <v>0</v>
      </c>
      <c r="EY127" s="336">
        <f t="shared" si="641"/>
        <v>0</v>
      </c>
      <c r="EZ127" s="336">
        <f t="shared" si="642"/>
        <v>0</v>
      </c>
      <c r="FA127" s="336">
        <f t="shared" si="643"/>
        <v>0</v>
      </c>
      <c r="FB127" s="336">
        <f t="shared" si="644"/>
        <v>0</v>
      </c>
      <c r="FC127" s="336">
        <f t="shared" si="645"/>
        <v>0</v>
      </c>
      <c r="FD127" s="336">
        <f t="shared" si="646"/>
        <v>0</v>
      </c>
      <c r="FE127" s="336">
        <f t="shared" si="647"/>
        <v>0</v>
      </c>
      <c r="FF127" s="336">
        <f t="shared" si="648"/>
        <v>0</v>
      </c>
      <c r="FG127" s="336">
        <f t="shared" si="649"/>
        <v>0</v>
      </c>
      <c r="FH127" s="336">
        <f t="shared" si="650"/>
        <v>0</v>
      </c>
      <c r="FI127" s="336">
        <f t="shared" si="651"/>
        <v>0</v>
      </c>
      <c r="FJ127" s="336">
        <f t="shared" si="652"/>
        <v>0</v>
      </c>
      <c r="FK127" s="336">
        <f t="shared" si="653"/>
        <v>0</v>
      </c>
      <c r="FL127" s="336">
        <f t="shared" si="654"/>
        <v>0</v>
      </c>
      <c r="FM127" s="336">
        <f t="shared" si="655"/>
        <v>0</v>
      </c>
      <c r="FN127" s="336">
        <f t="shared" si="656"/>
        <v>0</v>
      </c>
      <c r="FO127" s="336">
        <f t="shared" si="657"/>
        <v>0</v>
      </c>
      <c r="FP127" s="336">
        <f t="shared" si="658"/>
        <v>0</v>
      </c>
      <c r="FQ127" s="336">
        <f t="shared" si="659"/>
        <v>0</v>
      </c>
      <c r="FR127" s="336">
        <f t="shared" si="660"/>
        <v>0</v>
      </c>
      <c r="FS127" s="336">
        <f t="shared" si="661"/>
        <v>0</v>
      </c>
      <c r="FT127" s="336">
        <f t="shared" si="662"/>
        <v>0</v>
      </c>
      <c r="FU127" s="336">
        <f t="shared" si="860"/>
        <v>0</v>
      </c>
      <c r="FV127" s="336">
        <f t="shared" si="861"/>
        <v>0</v>
      </c>
      <c r="FW127" s="336">
        <f t="shared" si="862"/>
        <v>0</v>
      </c>
      <c r="FX127" s="336">
        <f t="shared" si="863"/>
        <v>0</v>
      </c>
      <c r="FY127" s="336">
        <f t="shared" si="663"/>
        <v>0</v>
      </c>
      <c r="FZ127" s="336">
        <f t="shared" si="664"/>
        <v>0</v>
      </c>
      <c r="GA127" s="336">
        <f t="shared" si="665"/>
        <v>0</v>
      </c>
      <c r="GB127" s="336">
        <f t="shared" si="666"/>
        <v>0</v>
      </c>
      <c r="GC127" s="336">
        <f t="shared" si="667"/>
        <v>0</v>
      </c>
      <c r="GD127" s="336">
        <f t="shared" si="668"/>
        <v>0</v>
      </c>
      <c r="GE127" s="336">
        <f t="shared" si="669"/>
        <v>0</v>
      </c>
      <c r="GF127" s="336">
        <f t="shared" si="670"/>
        <v>0</v>
      </c>
      <c r="GG127" s="336">
        <f t="shared" si="671"/>
        <v>0</v>
      </c>
      <c r="GH127" s="336">
        <f t="shared" si="672"/>
        <v>0</v>
      </c>
      <c r="GI127" s="336">
        <f t="shared" si="673"/>
        <v>0</v>
      </c>
      <c r="GJ127" s="336">
        <f t="shared" si="674"/>
        <v>0</v>
      </c>
      <c r="GK127" s="336">
        <f t="shared" si="852"/>
        <v>0</v>
      </c>
      <c r="GL127" s="336">
        <f t="shared" si="864"/>
        <v>0</v>
      </c>
      <c r="GM127" s="336">
        <f t="shared" si="675"/>
        <v>0</v>
      </c>
    </row>
    <row r="128" spans="1:195" ht="29.25" customHeight="1">
      <c r="A128" s="388">
        <f t="shared" si="865"/>
        <v>87</v>
      </c>
      <c r="B128" s="388" t="s">
        <v>527</v>
      </c>
      <c r="C128" s="388" t="s">
        <v>489</v>
      </c>
      <c r="D128" s="338" t="s">
        <v>602</v>
      </c>
      <c r="E128" s="502" t="s">
        <v>345</v>
      </c>
      <c r="F128" s="388" t="s">
        <v>29</v>
      </c>
      <c r="G128" s="388" t="s">
        <v>329</v>
      </c>
      <c r="H128" s="418">
        <v>1</v>
      </c>
      <c r="I128" s="388" t="s">
        <v>330</v>
      </c>
      <c r="J128" s="388" t="s">
        <v>357</v>
      </c>
      <c r="K128" s="434">
        <v>230</v>
      </c>
      <c r="L128" s="401">
        <v>0.85</v>
      </c>
      <c r="M128" s="418">
        <v>0.95</v>
      </c>
      <c r="N128" s="392">
        <f t="shared" si="871"/>
        <v>5.3843047516489433</v>
      </c>
      <c r="O128" s="392">
        <f t="shared" si="867"/>
        <v>0</v>
      </c>
      <c r="P128" s="401" t="str">
        <f t="shared" si="872"/>
        <v>0.00</v>
      </c>
      <c r="Q128" s="418">
        <v>65</v>
      </c>
      <c r="R128" s="418">
        <v>0</v>
      </c>
      <c r="S128" s="418">
        <f t="shared" si="873"/>
        <v>0</v>
      </c>
      <c r="T128" s="401" t="s">
        <v>131</v>
      </c>
      <c r="U128" s="418" t="s">
        <v>333</v>
      </c>
      <c r="V128" s="401">
        <v>25</v>
      </c>
      <c r="W128" s="401" t="str">
        <f t="shared" si="874"/>
        <v>3C X 25</v>
      </c>
      <c r="X128" s="401" t="str">
        <f t="shared" si="875"/>
        <v>3C X 25</v>
      </c>
      <c r="Y128" s="401" t="s">
        <v>358</v>
      </c>
      <c r="Z128" s="393">
        <f>IF(T128="AIR",VLOOKUP(W128,'Catalogue Aluminium'!$B$9:$G$93,2,FALSE),IF(T128="GROUND",VLOOKUP(W128,'Catalogue Aluminium'!$B$9:$G$93,3,FALSE),IF(T128="DUCT",VLOOKUP(W128,'Catalogue Aluminium'!$B$9:$G$93,4,FALSE),IF(T128="TRENCH",VLOOKUP(W128,'Catalogue Aluminium'!$B$9:$G$93,2,FALSE)))))</f>
        <v>95</v>
      </c>
      <c r="AA128" s="402">
        <f>VLOOKUP(W128,'Catalogue Aluminium'!$B$9:$G$93,5,FALSE)</f>
        <v>1.54</v>
      </c>
      <c r="AB128" s="402">
        <f>VLOOKUP(W128,'Catalogue Aluminium'!$B$9:$G$93,6,FALSE)</f>
        <v>8.1600000000000006E-2</v>
      </c>
      <c r="AC128" s="401">
        <f t="shared" ref="AC128" si="893">17+3</f>
        <v>20</v>
      </c>
      <c r="AD128" s="401">
        <f>40+50+38+50+17+(27+34)</f>
        <v>256</v>
      </c>
      <c r="AE128" s="401">
        <f t="shared" si="877"/>
        <v>38</v>
      </c>
      <c r="AF128" s="401">
        <v>8</v>
      </c>
      <c r="AG128" s="401">
        <f t="shared" si="878"/>
        <v>33</v>
      </c>
      <c r="AH128" s="436">
        <f t="shared" si="879"/>
        <v>355</v>
      </c>
      <c r="AI128" s="393">
        <f>IF(T128="AIR",'Catalogue Aluminium'!$K$9,IF(T128="TRENCH",'Catalogue Aluminium'!$K$12,"NA"))</f>
        <v>0.89</v>
      </c>
      <c r="AJ128" s="392">
        <f>IF(T128="Air",(IF(U128="1C",'Catalogue Aluminium'!$L$9,'Catalogue Aluminium'!$M$9)),IF(T128="DUCT",(IF($U128="1C",'Catalogue Aluminium'!$L$10,'Catalogue Aluminium'!$M$10)),IF(T128="GROUND",(IF($U128="1C",'Catalogue Aluminium'!$L$11,'Catalogue Aluminium'!$M$11)),IF(T128="TRENCH",(IF($U128="1C",'Catalogue Aluminium'!$L$12,'Catalogue Aluminium'!$M$12))))))</f>
        <v>0.66</v>
      </c>
      <c r="AK128" s="393" t="str">
        <f>IF(T128="Air",'Catalogue Aluminium'!$N$9,IF(T128="GROUND",'Catalogue Aluminium'!$N$10,IF(T128="DUCT",'Catalogue Aluminium'!$N$11,IF(T128="TRENCH",'Catalogue Aluminium'!$N$12,"NA"))))</f>
        <v>NA</v>
      </c>
      <c r="AL128" s="393" t="str">
        <f>IF(T128="Air",(IF(U128="1C",'Catalogue Aluminium'!$O$9,'Catalogue Aluminium'!$P$9)),IF(T128="DUCT",(IF($U128="1C",'Catalogue Aluminium'!$O$10,'Catalogue Aluminium'!$P$10)),IF(T128="GROUND",(IF($U128="1C",'Catalogue Aluminium'!$O$11,'Catalogue Aluminium'!$P$11)),IF(T128="TRENCH",(IF($U128="1C",'Catalogue Aluminium'!$O$12,'Catalogue Aluminium'!$P$12))))))</f>
        <v>NA</v>
      </c>
      <c r="AM128" s="393" t="str">
        <f>IF(T128="AIR","NA",IF(T128="TRENCH","NA",IF(T128="DUCT",IF(U128="1C",VLOOKUP(V128,'Catalogue Aluminium'!$Q$9:$S$28,2,FALSE),VLOOKUP(V128,'Catalogue Aluminium'!$Q$9:$S$28,3)),IF(T128="GROUND",IF(U128="1C",VLOOKUP(V128,'Catalogue Aluminium'!$Q$9:$S$28,2,FALSE),VLOOKUP(V128,'Catalogue Aluminium'!$Q$9:$S$28,3))))))</f>
        <v>NA</v>
      </c>
      <c r="AN128" s="437">
        <f t="shared" si="880"/>
        <v>0.58740000000000003</v>
      </c>
      <c r="AO128" s="418">
        <f t="shared" si="881"/>
        <v>55.803000000000004</v>
      </c>
      <c r="AP128" s="434">
        <f t="shared" si="689"/>
        <v>1</v>
      </c>
      <c r="AQ128" s="418" t="str">
        <f t="shared" si="882"/>
        <v>YES</v>
      </c>
      <c r="AR128" s="437">
        <f t="shared" si="883"/>
        <v>1.9460894608552177</v>
      </c>
      <c r="AS128" s="401" t="str">
        <f t="shared" si="884"/>
        <v>YES</v>
      </c>
      <c r="AT128" s="437" t="str">
        <f t="shared" si="885"/>
        <v>NA</v>
      </c>
      <c r="AU128" s="401" t="str">
        <f t="shared" si="886"/>
        <v>NA</v>
      </c>
      <c r="AV128" s="503" t="str">
        <f t="shared" si="887"/>
        <v>1R x 0.6/1kV x 3C x 25 Sqmm</v>
      </c>
      <c r="AW128" s="503" t="str">
        <f t="shared" si="888"/>
        <v>1R x 0.6/1kV x 3C x 25 Sqmm</v>
      </c>
      <c r="AX128" s="401">
        <f t="shared" si="889"/>
        <v>355</v>
      </c>
      <c r="AY128" s="504"/>
      <c r="AZ128" s="504">
        <f t="shared" si="890"/>
        <v>2</v>
      </c>
      <c r="BA128" s="438" t="str">
        <f t="shared" si="891"/>
        <v>ACDEE1E2</v>
      </c>
      <c r="BB128" s="505">
        <f>VLOOKUP(W128,'Catalogue Aluminium'!$B$9:$H$93,7,FALSE)</f>
        <v>21</v>
      </c>
      <c r="BC128" s="439">
        <f t="shared" si="892"/>
        <v>21</v>
      </c>
      <c r="BE128" s="336"/>
      <c r="BF128" s="336">
        <v>1</v>
      </c>
      <c r="BG128" s="336"/>
      <c r="BH128" s="336"/>
      <c r="BI128" s="336">
        <v>1</v>
      </c>
      <c r="BJ128" s="336">
        <v>1</v>
      </c>
      <c r="BK128" s="336"/>
      <c r="BL128" s="336"/>
      <c r="BM128" s="336"/>
      <c r="BN128" s="336">
        <v>1</v>
      </c>
      <c r="BO128" s="336"/>
      <c r="BP128" s="336">
        <v>1</v>
      </c>
      <c r="BQ128" s="336">
        <v>1</v>
      </c>
      <c r="BR128" s="336"/>
      <c r="BS128" s="336"/>
      <c r="BT128" s="336"/>
      <c r="BU128" s="336"/>
      <c r="BV128" s="336"/>
      <c r="BW128" s="336"/>
      <c r="BX128" s="336"/>
      <c r="BY128" s="336"/>
      <c r="BZ128" s="336"/>
      <c r="CA128" s="336"/>
      <c r="CB128" s="336"/>
      <c r="CC128" s="336"/>
      <c r="CD128" s="336"/>
      <c r="CE128" s="336"/>
      <c r="CF128" s="336"/>
      <c r="CG128" s="336"/>
      <c r="CH128" s="336"/>
      <c r="CI128" s="336"/>
      <c r="CJ128" s="336"/>
      <c r="CK128" s="336"/>
      <c r="CL128" s="336"/>
      <c r="CM128" s="336"/>
      <c r="CN128" s="336"/>
      <c r="CO128" s="336"/>
      <c r="CP128" s="336"/>
      <c r="CQ128" s="336"/>
      <c r="CR128" s="336"/>
      <c r="CS128" s="336"/>
      <c r="CT128" s="336"/>
      <c r="CU128" s="336"/>
      <c r="CV128" s="336"/>
      <c r="CW128" s="336"/>
      <c r="CX128" s="336"/>
      <c r="CY128" s="336"/>
      <c r="CZ128" s="336"/>
      <c r="DA128" s="336"/>
      <c r="DB128" s="336"/>
      <c r="DC128" s="336"/>
      <c r="DD128" s="336"/>
      <c r="DE128" s="336"/>
      <c r="DF128" s="336"/>
      <c r="DG128" s="336"/>
      <c r="DH128" s="336"/>
      <c r="DI128" s="336"/>
      <c r="DJ128" s="336"/>
      <c r="DK128" s="336"/>
      <c r="DL128" s="336"/>
      <c r="DM128" s="336"/>
      <c r="DN128" s="336"/>
      <c r="DO128" s="336"/>
      <c r="DP128" s="336"/>
      <c r="DQ128" s="336"/>
      <c r="DR128" s="336"/>
      <c r="DS128" s="336"/>
      <c r="DT128" s="336"/>
      <c r="DU128" s="336"/>
      <c r="DW128" s="336">
        <f t="shared" si="709"/>
        <v>0</v>
      </c>
      <c r="DX128" s="336">
        <f t="shared" si="701"/>
        <v>21</v>
      </c>
      <c r="DY128" s="336">
        <f t="shared" si="702"/>
        <v>0</v>
      </c>
      <c r="DZ128" s="336">
        <f t="shared" si="703"/>
        <v>0</v>
      </c>
      <c r="EA128" s="336">
        <f t="shared" si="704"/>
        <v>21</v>
      </c>
      <c r="EB128" s="336">
        <f t="shared" si="705"/>
        <v>21</v>
      </c>
      <c r="EC128" s="336">
        <f t="shared" si="706"/>
        <v>0</v>
      </c>
      <c r="ED128" s="336">
        <f t="shared" si="621"/>
        <v>0</v>
      </c>
      <c r="EE128" s="336">
        <f t="shared" si="622"/>
        <v>0</v>
      </c>
      <c r="EF128" s="336">
        <f t="shared" si="623"/>
        <v>21</v>
      </c>
      <c r="EG128" s="336">
        <f t="shared" si="624"/>
        <v>0</v>
      </c>
      <c r="EH128" s="336">
        <f t="shared" si="625"/>
        <v>21</v>
      </c>
      <c r="EI128" s="336">
        <f t="shared" si="626"/>
        <v>21</v>
      </c>
      <c r="EJ128" s="336">
        <f t="shared" si="627"/>
        <v>0</v>
      </c>
      <c r="EK128" s="336">
        <f t="shared" si="628"/>
        <v>0</v>
      </c>
      <c r="EL128" s="336">
        <f t="shared" si="629"/>
        <v>0</v>
      </c>
      <c r="EM128" s="336">
        <f t="shared" si="630"/>
        <v>0</v>
      </c>
      <c r="EN128" s="336">
        <f t="shared" si="631"/>
        <v>0</v>
      </c>
      <c r="EO128" s="336">
        <f t="shared" si="632"/>
        <v>0</v>
      </c>
      <c r="EP128" s="336">
        <f t="shared" si="633"/>
        <v>0</v>
      </c>
      <c r="EQ128" s="336">
        <f t="shared" si="634"/>
        <v>0</v>
      </c>
      <c r="ER128" s="336">
        <f t="shared" si="635"/>
        <v>0</v>
      </c>
      <c r="ES128" s="336">
        <f t="shared" si="636"/>
        <v>0</v>
      </c>
      <c r="ET128" s="336">
        <f t="shared" si="636"/>
        <v>0</v>
      </c>
      <c r="EU128" s="336">
        <f t="shared" si="637"/>
        <v>0</v>
      </c>
      <c r="EV128" s="336">
        <f t="shared" si="638"/>
        <v>0</v>
      </c>
      <c r="EW128" s="336">
        <f t="shared" si="639"/>
        <v>0</v>
      </c>
      <c r="EX128" s="336">
        <f t="shared" si="640"/>
        <v>0</v>
      </c>
      <c r="EY128" s="336">
        <f t="shared" si="641"/>
        <v>0</v>
      </c>
      <c r="EZ128" s="336">
        <f t="shared" si="642"/>
        <v>0</v>
      </c>
      <c r="FA128" s="336">
        <f t="shared" si="643"/>
        <v>0</v>
      </c>
      <c r="FB128" s="336">
        <f t="shared" si="644"/>
        <v>0</v>
      </c>
      <c r="FC128" s="336">
        <f t="shared" si="645"/>
        <v>0</v>
      </c>
      <c r="FD128" s="336">
        <f t="shared" si="646"/>
        <v>0</v>
      </c>
      <c r="FE128" s="336">
        <f t="shared" si="647"/>
        <v>0</v>
      </c>
      <c r="FF128" s="336">
        <f t="shared" si="648"/>
        <v>0</v>
      </c>
      <c r="FG128" s="336">
        <f t="shared" si="649"/>
        <v>0</v>
      </c>
      <c r="FH128" s="336">
        <f t="shared" si="650"/>
        <v>0</v>
      </c>
      <c r="FI128" s="336">
        <f t="shared" si="651"/>
        <v>0</v>
      </c>
      <c r="FJ128" s="336">
        <f t="shared" si="652"/>
        <v>0</v>
      </c>
      <c r="FK128" s="336">
        <f t="shared" si="653"/>
        <v>0</v>
      </c>
      <c r="FL128" s="336">
        <f t="shared" si="654"/>
        <v>0</v>
      </c>
      <c r="FM128" s="336">
        <f t="shared" si="655"/>
        <v>0</v>
      </c>
      <c r="FN128" s="336">
        <f t="shared" si="656"/>
        <v>0</v>
      </c>
      <c r="FO128" s="336">
        <f t="shared" si="657"/>
        <v>0</v>
      </c>
      <c r="FP128" s="336">
        <f t="shared" si="658"/>
        <v>0</v>
      </c>
      <c r="FQ128" s="336">
        <f t="shared" si="659"/>
        <v>0</v>
      </c>
      <c r="FR128" s="336">
        <f t="shared" si="660"/>
        <v>0</v>
      </c>
      <c r="FS128" s="336">
        <f t="shared" si="661"/>
        <v>0</v>
      </c>
      <c r="FT128" s="336">
        <f t="shared" si="662"/>
        <v>0</v>
      </c>
      <c r="FU128" s="336">
        <f t="shared" si="860"/>
        <v>0</v>
      </c>
      <c r="FV128" s="336">
        <f t="shared" si="861"/>
        <v>0</v>
      </c>
      <c r="FW128" s="336">
        <f t="shared" si="862"/>
        <v>0</v>
      </c>
      <c r="FX128" s="336">
        <f t="shared" si="863"/>
        <v>0</v>
      </c>
      <c r="FY128" s="336">
        <f t="shared" si="663"/>
        <v>0</v>
      </c>
      <c r="FZ128" s="336">
        <f t="shared" si="664"/>
        <v>0</v>
      </c>
      <c r="GA128" s="336">
        <f t="shared" si="665"/>
        <v>0</v>
      </c>
      <c r="GB128" s="336">
        <f t="shared" si="666"/>
        <v>0</v>
      </c>
      <c r="GC128" s="336">
        <f t="shared" si="667"/>
        <v>0</v>
      </c>
      <c r="GD128" s="336">
        <f t="shared" si="668"/>
        <v>0</v>
      </c>
      <c r="GE128" s="336">
        <f t="shared" si="669"/>
        <v>0</v>
      </c>
      <c r="GF128" s="336">
        <f t="shared" si="670"/>
        <v>0</v>
      </c>
      <c r="GG128" s="336">
        <f t="shared" si="671"/>
        <v>0</v>
      </c>
      <c r="GH128" s="336">
        <f t="shared" si="672"/>
        <v>0</v>
      </c>
      <c r="GI128" s="336">
        <f t="shared" si="673"/>
        <v>0</v>
      </c>
      <c r="GJ128" s="336">
        <f t="shared" si="674"/>
        <v>0</v>
      </c>
      <c r="GK128" s="336">
        <f t="shared" si="852"/>
        <v>0</v>
      </c>
      <c r="GL128" s="336">
        <f t="shared" si="864"/>
        <v>0</v>
      </c>
      <c r="GM128" s="336">
        <f t="shared" si="675"/>
        <v>0</v>
      </c>
    </row>
    <row r="129" spans="1:195" ht="20.100000000000001" customHeight="1">
      <c r="A129" s="388">
        <f t="shared" si="865"/>
        <v>88</v>
      </c>
      <c r="B129" s="388" t="s">
        <v>527</v>
      </c>
      <c r="C129" s="388" t="s">
        <v>489</v>
      </c>
      <c r="D129" s="338" t="s">
        <v>594</v>
      </c>
      <c r="E129" s="502" t="s">
        <v>345</v>
      </c>
      <c r="F129" s="388" t="s">
        <v>28</v>
      </c>
      <c r="G129" s="388" t="s">
        <v>329</v>
      </c>
      <c r="H129" s="418">
        <v>2</v>
      </c>
      <c r="I129" s="388" t="s">
        <v>330</v>
      </c>
      <c r="J129" s="388" t="s">
        <v>331</v>
      </c>
      <c r="K129" s="434">
        <v>400</v>
      </c>
      <c r="L129" s="401">
        <v>0.85</v>
      </c>
      <c r="M129" s="418">
        <v>0.95</v>
      </c>
      <c r="N129" s="392">
        <f t="shared" si="871"/>
        <v>3.5750291364874629</v>
      </c>
      <c r="O129" s="392">
        <f t="shared" si="867"/>
        <v>0</v>
      </c>
      <c r="P129" s="401" t="str">
        <f t="shared" si="872"/>
        <v>0.00</v>
      </c>
      <c r="Q129" s="418">
        <v>65</v>
      </c>
      <c r="R129" s="418">
        <v>0</v>
      </c>
      <c r="S129" s="418">
        <f t="shared" si="873"/>
        <v>0</v>
      </c>
      <c r="T129" s="401" t="s">
        <v>131</v>
      </c>
      <c r="U129" s="418" t="s">
        <v>522</v>
      </c>
      <c r="V129" s="401">
        <v>6</v>
      </c>
      <c r="W129" s="401" t="str">
        <f t="shared" si="874"/>
        <v>4C X 6</v>
      </c>
      <c r="X129" s="401" t="str">
        <f t="shared" si="875"/>
        <v>4C X 6</v>
      </c>
      <c r="Y129" s="401" t="s">
        <v>358</v>
      </c>
      <c r="Z129" s="393">
        <f>IF(T129="AIR",VLOOKUP(W129,'Catalogue Aluminium'!$B$9:$G$93,2,FALSE),IF(T129="GROUND",VLOOKUP(W129,'Catalogue Aluminium'!$B$9:$G$93,3,FALSE),IF(T129="DUCT",VLOOKUP(W129,'Catalogue Aluminium'!$B$9:$G$93,4,FALSE),IF(T129="TRENCH",VLOOKUP(W129,'Catalogue Aluminium'!$B$9:$G$93,2,FALSE)))))</f>
        <v>51</v>
      </c>
      <c r="AA129" s="402">
        <f>VLOOKUP(W129,'Catalogue Aluminium'!$B$9:$G$93,5,FALSE)</f>
        <v>3.94</v>
      </c>
      <c r="AB129" s="402">
        <f>VLOOKUP(W129,'Catalogue Aluminium'!$B$9:$G$93,6,FALSE)</f>
        <v>9.0200000000000002E-2</v>
      </c>
      <c r="AC129" s="401">
        <f t="shared" si="876"/>
        <v>29</v>
      </c>
      <c r="AD129" s="401">
        <f>40+50+38+50+17+(27+35)</f>
        <v>257</v>
      </c>
      <c r="AE129" s="401">
        <f t="shared" si="877"/>
        <v>38</v>
      </c>
      <c r="AF129" s="401">
        <v>8</v>
      </c>
      <c r="AG129" s="401">
        <f t="shared" si="878"/>
        <v>34</v>
      </c>
      <c r="AH129" s="436">
        <f t="shared" si="879"/>
        <v>366</v>
      </c>
      <c r="AI129" s="393">
        <f>IF(T129="AIR",'Catalogue Aluminium'!$K$9,IF(T129="TRENCH",'Catalogue Aluminium'!$K$12,"NA"))</f>
        <v>0.89</v>
      </c>
      <c r="AJ129" s="392">
        <f>IF(T129="Air",(IF(U129="1C",'Catalogue Aluminium'!$L$9,'Catalogue Aluminium'!$M$9)),IF(T129="DUCT",(IF($U129="1C",'Catalogue Aluminium'!$L$10,'Catalogue Aluminium'!$M$10)),IF(T129="GROUND",(IF($U129="1C",'Catalogue Aluminium'!$L$11,'Catalogue Aluminium'!$M$11)),IF(T129="TRENCH",(IF($U129="1C",'Catalogue Aluminium'!$L$12,'Catalogue Aluminium'!$M$12))))))</f>
        <v>0.66</v>
      </c>
      <c r="AK129" s="393" t="str">
        <f>IF(T129="Air",'Catalogue Aluminium'!$N$9,IF(T129="GROUND",'Catalogue Aluminium'!$N$10,IF(T129="DUCT",'Catalogue Aluminium'!$N$11,IF(T129="TRENCH",'Catalogue Aluminium'!$N$12,"NA"))))</f>
        <v>NA</v>
      </c>
      <c r="AL129" s="393" t="str">
        <f>IF(T129="Air",(IF(U129="1C",'Catalogue Aluminium'!$O$9,'Catalogue Aluminium'!$P$9)),IF(T129="DUCT",(IF($U129="1C",'Catalogue Aluminium'!$O$10,'Catalogue Aluminium'!$P$10)),IF(T129="GROUND",(IF($U129="1C",'Catalogue Aluminium'!$O$11,'Catalogue Aluminium'!$P$11)),IF(T129="TRENCH",(IF($U129="1C",'Catalogue Aluminium'!$O$12,'Catalogue Aluminium'!$P$12))))))</f>
        <v>NA</v>
      </c>
      <c r="AM129" s="393" t="str">
        <f>IF(T129="AIR","NA",IF(T129="TRENCH","NA",IF(T129="DUCT",IF(U129="1C",VLOOKUP(V129,'Catalogue Aluminium'!$Q$9:$S$28,2,FALSE),VLOOKUP(V129,'Catalogue Aluminium'!$Q$9:$S$28,3)),IF(T129="GROUND",IF(U129="1C",VLOOKUP(V129,'Catalogue Aluminium'!$Q$9:$S$28,2,FALSE),VLOOKUP(V129,'Catalogue Aluminium'!$Q$9:$S$28,3))))))</f>
        <v>NA</v>
      </c>
      <c r="AN129" s="437">
        <f t="shared" si="880"/>
        <v>0.58740000000000003</v>
      </c>
      <c r="AO129" s="418">
        <f t="shared" si="881"/>
        <v>29.957400000000003</v>
      </c>
      <c r="AP129" s="434">
        <f t="shared" si="689"/>
        <v>1</v>
      </c>
      <c r="AQ129" s="418" t="str">
        <f t="shared" si="882"/>
        <v>YES</v>
      </c>
      <c r="AR129" s="437">
        <f t="shared" si="883"/>
        <v>1.9243982179904555</v>
      </c>
      <c r="AS129" s="401" t="str">
        <f t="shared" si="884"/>
        <v>YES</v>
      </c>
      <c r="AT129" s="437" t="str">
        <f t="shared" si="885"/>
        <v>NA</v>
      </c>
      <c r="AU129" s="401" t="str">
        <f t="shared" si="886"/>
        <v>NA</v>
      </c>
      <c r="AV129" s="503" t="str">
        <f t="shared" si="887"/>
        <v>1R x 0.6/1kV x 4C x 6 Sqmm</v>
      </c>
      <c r="AW129" s="503" t="str">
        <f t="shared" si="888"/>
        <v>1R x 0.6/1kV x 4C x 6 Sqmm</v>
      </c>
      <c r="AX129" s="401">
        <f t="shared" si="889"/>
        <v>366</v>
      </c>
      <c r="AY129" s="504"/>
      <c r="AZ129" s="504">
        <f t="shared" si="890"/>
        <v>2</v>
      </c>
      <c r="BA129" s="438" t="str">
        <f t="shared" si="891"/>
        <v>ACDEE1E2</v>
      </c>
      <c r="BB129" s="505">
        <f>VLOOKUP(W129,'Catalogue Aluminium'!$B$9:$H$93,7,FALSE)</f>
        <v>18</v>
      </c>
      <c r="BC129" s="439">
        <f t="shared" si="892"/>
        <v>18</v>
      </c>
      <c r="BE129" s="336"/>
      <c r="BF129" s="336">
        <v>1</v>
      </c>
      <c r="BG129" s="336"/>
      <c r="BH129" s="336"/>
      <c r="BI129" s="336">
        <v>1</v>
      </c>
      <c r="BJ129" s="336">
        <v>1</v>
      </c>
      <c r="BK129" s="336"/>
      <c r="BL129" s="336"/>
      <c r="BM129" s="336"/>
      <c r="BN129" s="336">
        <v>1</v>
      </c>
      <c r="BO129" s="336"/>
      <c r="BP129" s="336">
        <v>1</v>
      </c>
      <c r="BQ129" s="336">
        <v>1</v>
      </c>
      <c r="BR129" s="336"/>
      <c r="BS129" s="336"/>
      <c r="BT129" s="336"/>
      <c r="BU129" s="336"/>
      <c r="BV129" s="336"/>
      <c r="BW129" s="336"/>
      <c r="BX129" s="336"/>
      <c r="BY129" s="336"/>
      <c r="BZ129" s="336"/>
      <c r="CA129" s="336"/>
      <c r="CB129" s="336"/>
      <c r="CC129" s="336"/>
      <c r="CD129" s="336"/>
      <c r="CE129" s="336"/>
      <c r="CF129" s="336"/>
      <c r="CG129" s="336"/>
      <c r="CH129" s="336"/>
      <c r="CI129" s="336"/>
      <c r="CJ129" s="336"/>
      <c r="CK129" s="336"/>
      <c r="CL129" s="336"/>
      <c r="CM129" s="336"/>
      <c r="CN129" s="336"/>
      <c r="CO129" s="336"/>
      <c r="CP129" s="336"/>
      <c r="CQ129" s="336"/>
      <c r="CR129" s="336"/>
      <c r="CS129" s="336"/>
      <c r="CT129" s="336"/>
      <c r="CU129" s="336"/>
      <c r="CV129" s="336"/>
      <c r="CW129" s="336"/>
      <c r="CX129" s="336"/>
      <c r="CY129" s="336"/>
      <c r="CZ129" s="336"/>
      <c r="DA129" s="336"/>
      <c r="DB129" s="336"/>
      <c r="DC129" s="336"/>
      <c r="DD129" s="336"/>
      <c r="DE129" s="336"/>
      <c r="DF129" s="336"/>
      <c r="DG129" s="336"/>
      <c r="DH129" s="336"/>
      <c r="DI129" s="336"/>
      <c r="DJ129" s="336"/>
      <c r="DK129" s="336"/>
      <c r="DL129" s="336"/>
      <c r="DM129" s="336"/>
      <c r="DN129" s="336"/>
      <c r="DO129" s="336"/>
      <c r="DP129" s="336"/>
      <c r="DQ129" s="336"/>
      <c r="DR129" s="336"/>
      <c r="DS129" s="336"/>
      <c r="DT129" s="336"/>
      <c r="DU129" s="336"/>
      <c r="DW129" s="336">
        <f t="shared" si="709"/>
        <v>0</v>
      </c>
      <c r="DX129" s="336">
        <f t="shared" si="701"/>
        <v>18</v>
      </c>
      <c r="DY129" s="336">
        <f t="shared" si="702"/>
        <v>0</v>
      </c>
      <c r="DZ129" s="336">
        <f t="shared" si="703"/>
        <v>0</v>
      </c>
      <c r="EA129" s="336">
        <f t="shared" si="704"/>
        <v>18</v>
      </c>
      <c r="EB129" s="336">
        <f t="shared" si="705"/>
        <v>18</v>
      </c>
      <c r="EC129" s="336">
        <f t="shared" si="706"/>
        <v>0</v>
      </c>
      <c r="ED129" s="336">
        <f t="shared" si="621"/>
        <v>0</v>
      </c>
      <c r="EE129" s="336">
        <f t="shared" si="622"/>
        <v>0</v>
      </c>
      <c r="EF129" s="336">
        <f t="shared" si="623"/>
        <v>18</v>
      </c>
      <c r="EG129" s="336">
        <f t="shared" si="624"/>
        <v>0</v>
      </c>
      <c r="EH129" s="336">
        <f t="shared" si="625"/>
        <v>18</v>
      </c>
      <c r="EI129" s="336">
        <f t="shared" si="626"/>
        <v>18</v>
      </c>
      <c r="EJ129" s="336">
        <f t="shared" si="627"/>
        <v>0</v>
      </c>
      <c r="EK129" s="336">
        <f t="shared" si="628"/>
        <v>0</v>
      </c>
      <c r="EL129" s="336">
        <f t="shared" si="629"/>
        <v>0</v>
      </c>
      <c r="EM129" s="336">
        <f t="shared" si="630"/>
        <v>0</v>
      </c>
      <c r="EN129" s="336">
        <f t="shared" si="631"/>
        <v>0</v>
      </c>
      <c r="EO129" s="336">
        <f t="shared" si="632"/>
        <v>0</v>
      </c>
      <c r="EP129" s="336">
        <f t="shared" si="633"/>
        <v>0</v>
      </c>
      <c r="EQ129" s="336">
        <f t="shared" si="634"/>
        <v>0</v>
      </c>
      <c r="ER129" s="336">
        <f t="shared" si="635"/>
        <v>0</v>
      </c>
      <c r="ES129" s="336">
        <f t="shared" si="636"/>
        <v>0</v>
      </c>
      <c r="ET129" s="336">
        <f t="shared" si="636"/>
        <v>0</v>
      </c>
      <c r="EU129" s="336">
        <f t="shared" si="637"/>
        <v>0</v>
      </c>
      <c r="EV129" s="336">
        <f t="shared" si="638"/>
        <v>0</v>
      </c>
      <c r="EW129" s="336">
        <f t="shared" si="639"/>
        <v>0</v>
      </c>
      <c r="EX129" s="336">
        <f t="shared" si="640"/>
        <v>0</v>
      </c>
      <c r="EY129" s="336">
        <f t="shared" si="641"/>
        <v>0</v>
      </c>
      <c r="EZ129" s="336">
        <f t="shared" si="642"/>
        <v>0</v>
      </c>
      <c r="FA129" s="336">
        <f t="shared" si="643"/>
        <v>0</v>
      </c>
      <c r="FB129" s="336">
        <f t="shared" si="644"/>
        <v>0</v>
      </c>
      <c r="FC129" s="336">
        <f t="shared" si="645"/>
        <v>0</v>
      </c>
      <c r="FD129" s="336">
        <f t="shared" si="646"/>
        <v>0</v>
      </c>
      <c r="FE129" s="336">
        <f t="shared" si="647"/>
        <v>0</v>
      </c>
      <c r="FF129" s="336">
        <f t="shared" si="648"/>
        <v>0</v>
      </c>
      <c r="FG129" s="336">
        <f t="shared" si="649"/>
        <v>0</v>
      </c>
      <c r="FH129" s="336">
        <f t="shared" si="650"/>
        <v>0</v>
      </c>
      <c r="FI129" s="336">
        <f t="shared" si="651"/>
        <v>0</v>
      </c>
      <c r="FJ129" s="336">
        <f t="shared" si="652"/>
        <v>0</v>
      </c>
      <c r="FK129" s="336">
        <f t="shared" si="653"/>
        <v>0</v>
      </c>
      <c r="FL129" s="336">
        <f t="shared" si="654"/>
        <v>0</v>
      </c>
      <c r="FM129" s="336">
        <f t="shared" si="655"/>
        <v>0</v>
      </c>
      <c r="FN129" s="336">
        <f t="shared" si="656"/>
        <v>0</v>
      </c>
      <c r="FO129" s="336">
        <f t="shared" si="657"/>
        <v>0</v>
      </c>
      <c r="FP129" s="336">
        <f t="shared" si="658"/>
        <v>0</v>
      </c>
      <c r="FQ129" s="336">
        <f t="shared" si="659"/>
        <v>0</v>
      </c>
      <c r="FR129" s="336">
        <f t="shared" si="660"/>
        <v>0</v>
      </c>
      <c r="FS129" s="336">
        <f t="shared" si="661"/>
        <v>0</v>
      </c>
      <c r="FT129" s="336">
        <f t="shared" si="662"/>
        <v>0</v>
      </c>
      <c r="FU129" s="336">
        <f t="shared" si="860"/>
        <v>0</v>
      </c>
      <c r="FV129" s="336">
        <f t="shared" si="861"/>
        <v>0</v>
      </c>
      <c r="FW129" s="336">
        <f t="shared" si="862"/>
        <v>0</v>
      </c>
      <c r="FX129" s="336">
        <f t="shared" si="863"/>
        <v>0</v>
      </c>
      <c r="FY129" s="336">
        <f t="shared" si="663"/>
        <v>0</v>
      </c>
      <c r="FZ129" s="336">
        <f t="shared" si="664"/>
        <v>0</v>
      </c>
      <c r="GA129" s="336">
        <f t="shared" si="665"/>
        <v>0</v>
      </c>
      <c r="GB129" s="336">
        <f t="shared" si="666"/>
        <v>0</v>
      </c>
      <c r="GC129" s="336">
        <f t="shared" si="667"/>
        <v>0</v>
      </c>
      <c r="GD129" s="336">
        <f t="shared" si="668"/>
        <v>0</v>
      </c>
      <c r="GE129" s="336">
        <f t="shared" si="669"/>
        <v>0</v>
      </c>
      <c r="GF129" s="336">
        <f t="shared" si="670"/>
        <v>0</v>
      </c>
      <c r="GG129" s="336">
        <f t="shared" si="671"/>
        <v>0</v>
      </c>
      <c r="GH129" s="336">
        <f t="shared" si="672"/>
        <v>0</v>
      </c>
      <c r="GI129" s="336">
        <f t="shared" si="673"/>
        <v>0</v>
      </c>
      <c r="GJ129" s="336">
        <f t="shared" si="674"/>
        <v>0</v>
      </c>
      <c r="GK129" s="336">
        <f t="shared" si="852"/>
        <v>0</v>
      </c>
      <c r="GL129" s="336">
        <f t="shared" si="864"/>
        <v>0</v>
      </c>
      <c r="GM129" s="336">
        <f t="shared" si="675"/>
        <v>0</v>
      </c>
    </row>
    <row r="130" spans="1:195" ht="20.100000000000001" customHeight="1">
      <c r="A130" s="388">
        <f t="shared" si="865"/>
        <v>89</v>
      </c>
      <c r="B130" s="388" t="s">
        <v>527</v>
      </c>
      <c r="C130" s="388" t="s">
        <v>489</v>
      </c>
      <c r="D130" s="338" t="s">
        <v>595</v>
      </c>
      <c r="E130" s="502" t="s">
        <v>555</v>
      </c>
      <c r="F130" s="522" t="s">
        <v>29</v>
      </c>
      <c r="G130" s="388" t="s">
        <v>329</v>
      </c>
      <c r="H130" s="418">
        <v>2</v>
      </c>
      <c r="I130" s="388" t="s">
        <v>330</v>
      </c>
      <c r="J130" s="388" t="s">
        <v>357</v>
      </c>
      <c r="K130" s="434">
        <v>230</v>
      </c>
      <c r="L130" s="401">
        <v>0.85</v>
      </c>
      <c r="M130" s="418">
        <v>0.95</v>
      </c>
      <c r="N130" s="392">
        <f t="shared" si="871"/>
        <v>10.768609503297887</v>
      </c>
      <c r="O130" s="392">
        <f t="shared" si="867"/>
        <v>0</v>
      </c>
      <c r="P130" s="401" t="str">
        <f t="shared" si="872"/>
        <v>0.00</v>
      </c>
      <c r="Q130" s="418">
        <v>65</v>
      </c>
      <c r="R130" s="418">
        <v>0</v>
      </c>
      <c r="S130" s="418">
        <f t="shared" si="873"/>
        <v>0</v>
      </c>
      <c r="T130" s="401" t="s">
        <v>131</v>
      </c>
      <c r="U130" s="418" t="s">
        <v>333</v>
      </c>
      <c r="V130" s="401">
        <v>16</v>
      </c>
      <c r="W130" s="401" t="str">
        <f t="shared" si="874"/>
        <v>3C X 16</v>
      </c>
      <c r="X130" s="401" t="str">
        <f t="shared" si="875"/>
        <v>3C X 16</v>
      </c>
      <c r="Y130" s="401" t="s">
        <v>358</v>
      </c>
      <c r="Z130" s="393">
        <f>IF(T130="AIR",VLOOKUP(W130,'Catalogue Aluminium'!$B$9:$G$93,2,FALSE),IF(T130="GROUND",VLOOKUP(W130,'Catalogue Aluminium'!$B$9:$G$93,3,FALSE),IF(T130="DUCT",VLOOKUP(W130,'Catalogue Aluminium'!$B$9:$G$93,4,FALSE),IF(T130="TRENCH",VLOOKUP(W130,'Catalogue Aluminium'!$B$9:$G$93,2,FALSE)))))</f>
        <v>70</v>
      </c>
      <c r="AA130" s="402">
        <f>VLOOKUP(W130,'Catalogue Aluminium'!$B$9:$G$93,5,FALSE)</f>
        <v>2.44</v>
      </c>
      <c r="AB130" s="402">
        <f>VLOOKUP(W130,'Catalogue Aluminium'!$B$9:$G$93,6,FALSE)</f>
        <v>8.1500000000000003E-2</v>
      </c>
      <c r="AC130" s="401">
        <f t="shared" ref="AC130" si="894">17+3</f>
        <v>20</v>
      </c>
      <c r="AD130" s="401">
        <v>80</v>
      </c>
      <c r="AE130" s="401">
        <v>5</v>
      </c>
      <c r="AF130" s="401">
        <v>8</v>
      </c>
      <c r="AG130" s="401">
        <f t="shared" si="878"/>
        <v>12</v>
      </c>
      <c r="AH130" s="436">
        <f t="shared" si="879"/>
        <v>125</v>
      </c>
      <c r="AI130" s="393">
        <f>IF(T130="AIR",'Catalogue Aluminium'!$K$9,IF(T130="TRENCH",'Catalogue Aluminium'!$K$12,"NA"))</f>
        <v>0.89</v>
      </c>
      <c r="AJ130" s="392">
        <f>IF(T130="Air",(IF(U130="1C",'Catalogue Aluminium'!$L$9,'Catalogue Aluminium'!$M$9)),IF(T130="DUCT",(IF($U130="1C",'Catalogue Aluminium'!$L$10,'Catalogue Aluminium'!$M$10)),IF(T130="GROUND",(IF($U130="1C",'Catalogue Aluminium'!$L$11,'Catalogue Aluminium'!$M$11)),IF(T130="TRENCH",(IF($U130="1C",'Catalogue Aluminium'!$L$12,'Catalogue Aluminium'!$M$12))))))</f>
        <v>0.66</v>
      </c>
      <c r="AK130" s="393" t="str">
        <f>IF(T130="Air",'Catalogue Aluminium'!$N$9,IF(T130="GROUND",'Catalogue Aluminium'!$N$10,IF(T130="DUCT",'Catalogue Aluminium'!$N$11,IF(T130="TRENCH",'Catalogue Aluminium'!$N$12,"NA"))))</f>
        <v>NA</v>
      </c>
      <c r="AL130" s="393" t="str">
        <f>IF(T130="Air",(IF(U130="1C",'Catalogue Aluminium'!$O$9,'Catalogue Aluminium'!$P$9)),IF(T130="DUCT",(IF($U130="1C",'Catalogue Aluminium'!$O$10,'Catalogue Aluminium'!$P$10)),IF(T130="GROUND",(IF($U130="1C",'Catalogue Aluminium'!$O$11,'Catalogue Aluminium'!$P$11)),IF(T130="TRENCH",(IF($U130="1C",'Catalogue Aluminium'!$O$12,'Catalogue Aluminium'!$P$12))))))</f>
        <v>NA</v>
      </c>
      <c r="AM130" s="393" t="str">
        <f>IF(T130="AIR","NA",IF(T130="TRENCH","NA",IF(T130="DUCT",IF(U130="1C",VLOOKUP(V130,'Catalogue Aluminium'!$Q$9:$S$28,2,FALSE),VLOOKUP(V130,'Catalogue Aluminium'!$Q$9:$S$28,3)),IF(T130="GROUND",IF(U130="1C",VLOOKUP(V130,'Catalogue Aluminium'!$Q$9:$S$28,2,FALSE),VLOOKUP(V130,'Catalogue Aluminium'!$Q$9:$S$28,3))))))</f>
        <v>NA</v>
      </c>
      <c r="AN130" s="437">
        <f t="shared" si="880"/>
        <v>0.58740000000000003</v>
      </c>
      <c r="AO130" s="418">
        <f t="shared" si="881"/>
        <v>41.118000000000002</v>
      </c>
      <c r="AP130" s="434">
        <f t="shared" si="689"/>
        <v>1</v>
      </c>
      <c r="AQ130" s="418" t="str">
        <f t="shared" si="882"/>
        <v>YES</v>
      </c>
      <c r="AR130" s="437">
        <f t="shared" si="883"/>
        <v>2.1459001134395446</v>
      </c>
      <c r="AS130" s="401" t="str">
        <f t="shared" si="884"/>
        <v>YES</v>
      </c>
      <c r="AT130" s="437" t="str">
        <f t="shared" si="885"/>
        <v>NA</v>
      </c>
      <c r="AU130" s="401" t="str">
        <f t="shared" si="886"/>
        <v>NA</v>
      </c>
      <c r="AV130" s="503" t="str">
        <f t="shared" si="887"/>
        <v>1R x 0.6/1kV x 3C x 16 Sqmm</v>
      </c>
      <c r="AW130" s="503" t="str">
        <f t="shared" si="888"/>
        <v>1R x 0.6/1kV x 3C x 16 Sqmm</v>
      </c>
      <c r="AX130" s="401">
        <f t="shared" si="889"/>
        <v>125</v>
      </c>
      <c r="AY130" s="504"/>
      <c r="AZ130" s="504">
        <f t="shared" si="890"/>
        <v>2</v>
      </c>
      <c r="BA130" s="438" t="str">
        <f t="shared" si="891"/>
        <v>AB</v>
      </c>
      <c r="BB130" s="505">
        <f>VLOOKUP(W130,'Catalogue Aluminium'!$B$9:$H$93,7,FALSE)</f>
        <v>19</v>
      </c>
      <c r="BC130" s="439">
        <f t="shared" si="892"/>
        <v>19</v>
      </c>
      <c r="BE130" s="336"/>
      <c r="BF130" s="336">
        <v>1</v>
      </c>
      <c r="BG130" s="336">
        <v>1</v>
      </c>
      <c r="BH130" s="336"/>
      <c r="BI130" s="336"/>
      <c r="BJ130" s="336"/>
      <c r="BK130" s="336"/>
      <c r="BL130" s="336"/>
      <c r="BM130" s="336"/>
      <c r="BN130" s="336"/>
      <c r="BO130" s="336"/>
      <c r="BP130" s="336"/>
      <c r="BQ130" s="336"/>
      <c r="BR130" s="336"/>
      <c r="BS130" s="336"/>
      <c r="BT130" s="336"/>
      <c r="BU130" s="336"/>
      <c r="BV130" s="336"/>
      <c r="BW130" s="336"/>
      <c r="BX130" s="336"/>
      <c r="BY130" s="336"/>
      <c r="BZ130" s="336"/>
      <c r="CA130" s="336"/>
      <c r="CB130" s="336"/>
      <c r="CC130" s="336"/>
      <c r="CD130" s="336"/>
      <c r="CE130" s="336"/>
      <c r="CF130" s="336"/>
      <c r="CG130" s="336"/>
      <c r="CH130" s="336"/>
      <c r="CI130" s="336"/>
      <c r="CJ130" s="336"/>
      <c r="CK130" s="336"/>
      <c r="CL130" s="336"/>
      <c r="CM130" s="336"/>
      <c r="CN130" s="336"/>
      <c r="CO130" s="336"/>
      <c r="CP130" s="336"/>
      <c r="CQ130" s="336"/>
      <c r="CR130" s="336"/>
      <c r="CS130" s="336"/>
      <c r="CT130" s="336"/>
      <c r="CU130" s="336"/>
      <c r="CV130" s="336"/>
      <c r="CW130" s="336"/>
      <c r="CX130" s="336"/>
      <c r="CY130" s="336"/>
      <c r="CZ130" s="336"/>
      <c r="DA130" s="336"/>
      <c r="DB130" s="336"/>
      <c r="DC130" s="336"/>
      <c r="DD130" s="336"/>
      <c r="DE130" s="336"/>
      <c r="DF130" s="336"/>
      <c r="DG130" s="336"/>
      <c r="DH130" s="336"/>
      <c r="DI130" s="336"/>
      <c r="DJ130" s="336"/>
      <c r="DK130" s="336"/>
      <c r="DL130" s="336"/>
      <c r="DM130" s="336"/>
      <c r="DN130" s="336"/>
      <c r="DO130" s="336"/>
      <c r="DP130" s="336"/>
      <c r="DQ130" s="336"/>
      <c r="DR130" s="336"/>
      <c r="DS130" s="336"/>
      <c r="DT130" s="336"/>
      <c r="DU130" s="336"/>
      <c r="DW130" s="336">
        <f t="shared" si="709"/>
        <v>0</v>
      </c>
      <c r="DX130" s="336">
        <f t="shared" si="701"/>
        <v>19</v>
      </c>
      <c r="DY130" s="336">
        <f t="shared" si="702"/>
        <v>19</v>
      </c>
      <c r="DZ130" s="336">
        <f t="shared" si="703"/>
        <v>0</v>
      </c>
      <c r="EA130" s="336">
        <f t="shared" si="704"/>
        <v>0</v>
      </c>
      <c r="EB130" s="336">
        <f t="shared" si="705"/>
        <v>0</v>
      </c>
      <c r="EC130" s="336">
        <f t="shared" si="706"/>
        <v>0</v>
      </c>
      <c r="ED130" s="336">
        <f t="shared" si="621"/>
        <v>0</v>
      </c>
      <c r="EE130" s="336">
        <f t="shared" si="622"/>
        <v>0</v>
      </c>
      <c r="EF130" s="336">
        <f t="shared" si="623"/>
        <v>0</v>
      </c>
      <c r="EG130" s="336">
        <f t="shared" si="624"/>
        <v>0</v>
      </c>
      <c r="EH130" s="336">
        <f t="shared" si="625"/>
        <v>0</v>
      </c>
      <c r="EI130" s="336">
        <f t="shared" si="626"/>
        <v>0</v>
      </c>
      <c r="EJ130" s="336">
        <f t="shared" si="627"/>
        <v>0</v>
      </c>
      <c r="EK130" s="336">
        <f t="shared" si="628"/>
        <v>0</v>
      </c>
      <c r="EL130" s="336">
        <f t="shared" si="629"/>
        <v>0</v>
      </c>
      <c r="EM130" s="336">
        <f t="shared" si="630"/>
        <v>0</v>
      </c>
      <c r="EN130" s="336">
        <f t="shared" si="631"/>
        <v>0</v>
      </c>
      <c r="EO130" s="336">
        <f t="shared" si="632"/>
        <v>0</v>
      </c>
      <c r="EP130" s="336">
        <f t="shared" si="633"/>
        <v>0</v>
      </c>
      <c r="EQ130" s="336">
        <f t="shared" si="634"/>
        <v>0</v>
      </c>
      <c r="ER130" s="336">
        <f t="shared" si="635"/>
        <v>0</v>
      </c>
      <c r="ES130" s="336">
        <f t="shared" si="636"/>
        <v>0</v>
      </c>
      <c r="ET130" s="336">
        <f t="shared" si="636"/>
        <v>0</v>
      </c>
      <c r="EU130" s="336">
        <f t="shared" si="637"/>
        <v>0</v>
      </c>
      <c r="EV130" s="336">
        <f t="shared" si="638"/>
        <v>0</v>
      </c>
      <c r="EW130" s="336">
        <f t="shared" si="639"/>
        <v>0</v>
      </c>
      <c r="EX130" s="336">
        <f t="shared" si="640"/>
        <v>0</v>
      </c>
      <c r="EY130" s="336">
        <f t="shared" si="641"/>
        <v>0</v>
      </c>
      <c r="EZ130" s="336">
        <f t="shared" si="642"/>
        <v>0</v>
      </c>
      <c r="FA130" s="336">
        <f t="shared" si="643"/>
        <v>0</v>
      </c>
      <c r="FB130" s="336">
        <f t="shared" si="644"/>
        <v>0</v>
      </c>
      <c r="FC130" s="336">
        <f t="shared" si="645"/>
        <v>0</v>
      </c>
      <c r="FD130" s="336">
        <f t="shared" si="646"/>
        <v>0</v>
      </c>
      <c r="FE130" s="336">
        <f t="shared" si="647"/>
        <v>0</v>
      </c>
      <c r="FF130" s="336">
        <f t="shared" si="648"/>
        <v>0</v>
      </c>
      <c r="FG130" s="336">
        <f t="shared" si="649"/>
        <v>0</v>
      </c>
      <c r="FH130" s="336">
        <f t="shared" si="650"/>
        <v>0</v>
      </c>
      <c r="FI130" s="336">
        <f t="shared" si="651"/>
        <v>0</v>
      </c>
      <c r="FJ130" s="336">
        <f t="shared" si="652"/>
        <v>0</v>
      </c>
      <c r="FK130" s="336">
        <f t="shared" si="653"/>
        <v>0</v>
      </c>
      <c r="FL130" s="336">
        <f t="shared" si="654"/>
        <v>0</v>
      </c>
      <c r="FM130" s="336">
        <f t="shared" si="655"/>
        <v>0</v>
      </c>
      <c r="FN130" s="336">
        <f t="shared" si="656"/>
        <v>0</v>
      </c>
      <c r="FO130" s="336">
        <f t="shared" si="657"/>
        <v>0</v>
      </c>
      <c r="FP130" s="336">
        <f t="shared" si="658"/>
        <v>0</v>
      </c>
      <c r="FQ130" s="336">
        <f t="shared" si="659"/>
        <v>0</v>
      </c>
      <c r="FR130" s="336">
        <f t="shared" si="660"/>
        <v>0</v>
      </c>
      <c r="FS130" s="336">
        <f t="shared" si="661"/>
        <v>0</v>
      </c>
      <c r="FT130" s="336">
        <f t="shared" si="662"/>
        <v>0</v>
      </c>
      <c r="FU130" s="336">
        <f t="shared" si="860"/>
        <v>0</v>
      </c>
      <c r="FV130" s="336">
        <f t="shared" si="861"/>
        <v>0</v>
      </c>
      <c r="FW130" s="336">
        <f t="shared" si="862"/>
        <v>0</v>
      </c>
      <c r="FX130" s="336">
        <f t="shared" si="863"/>
        <v>0</v>
      </c>
      <c r="FY130" s="336">
        <f t="shared" si="663"/>
        <v>0</v>
      </c>
      <c r="FZ130" s="336">
        <f t="shared" si="664"/>
        <v>0</v>
      </c>
      <c r="GA130" s="336">
        <f t="shared" si="665"/>
        <v>0</v>
      </c>
      <c r="GB130" s="336">
        <f t="shared" si="666"/>
        <v>0</v>
      </c>
      <c r="GC130" s="336">
        <f t="shared" si="667"/>
        <v>0</v>
      </c>
      <c r="GD130" s="336">
        <f t="shared" si="668"/>
        <v>0</v>
      </c>
      <c r="GE130" s="336">
        <f t="shared" si="669"/>
        <v>0</v>
      </c>
      <c r="GF130" s="336">
        <f t="shared" si="670"/>
        <v>0</v>
      </c>
      <c r="GG130" s="336">
        <f t="shared" si="671"/>
        <v>0</v>
      </c>
      <c r="GH130" s="336">
        <f t="shared" si="672"/>
        <v>0</v>
      </c>
      <c r="GI130" s="336">
        <f t="shared" si="673"/>
        <v>0</v>
      </c>
      <c r="GJ130" s="336">
        <f t="shared" si="674"/>
        <v>0</v>
      </c>
      <c r="GK130" s="336">
        <f t="shared" si="852"/>
        <v>0</v>
      </c>
      <c r="GL130" s="336">
        <f t="shared" si="864"/>
        <v>0</v>
      </c>
      <c r="GM130" s="336">
        <f t="shared" si="675"/>
        <v>0</v>
      </c>
    </row>
    <row r="131" spans="1:195" ht="20.100000000000001" customHeight="1">
      <c r="A131" s="388">
        <f t="shared" si="865"/>
        <v>90</v>
      </c>
      <c r="B131" s="388" t="s">
        <v>527</v>
      </c>
      <c r="C131" s="521" t="s">
        <v>489</v>
      </c>
      <c r="D131" s="338" t="s">
        <v>596</v>
      </c>
      <c r="E131" s="502" t="s">
        <v>555</v>
      </c>
      <c r="F131" s="522" t="s">
        <v>28</v>
      </c>
      <c r="G131" s="388" t="s">
        <v>329</v>
      </c>
      <c r="H131" s="518">
        <v>2</v>
      </c>
      <c r="I131" s="388" t="s">
        <v>330</v>
      </c>
      <c r="J131" s="388" t="s">
        <v>357</v>
      </c>
      <c r="K131" s="434">
        <v>230</v>
      </c>
      <c r="L131" s="401">
        <v>0.85</v>
      </c>
      <c r="M131" s="418">
        <v>0.95</v>
      </c>
      <c r="N131" s="392">
        <f t="shared" si="871"/>
        <v>10.768609503297887</v>
      </c>
      <c r="O131" s="392">
        <f t="shared" si="867"/>
        <v>0</v>
      </c>
      <c r="P131" s="401" t="str">
        <f t="shared" si="872"/>
        <v>0.00</v>
      </c>
      <c r="Q131" s="418">
        <v>65</v>
      </c>
      <c r="R131" s="418">
        <v>0</v>
      </c>
      <c r="S131" s="418">
        <f t="shared" si="873"/>
        <v>0</v>
      </c>
      <c r="T131" s="401" t="s">
        <v>131</v>
      </c>
      <c r="U131" s="418" t="s">
        <v>333</v>
      </c>
      <c r="V131" s="401">
        <v>16</v>
      </c>
      <c r="W131" s="401" t="str">
        <f t="shared" si="874"/>
        <v>3C X 16</v>
      </c>
      <c r="X131" s="401" t="str">
        <f t="shared" si="875"/>
        <v>3C X 16</v>
      </c>
      <c r="Y131" s="401" t="s">
        <v>358</v>
      </c>
      <c r="Z131" s="393">
        <f>IF(T131="AIR",VLOOKUP(W131,'Catalogue Aluminium'!$B$9:$G$93,2,FALSE),IF(T131="GROUND",VLOOKUP(W131,'Catalogue Aluminium'!$B$9:$G$93,3,FALSE),IF(T131="DUCT",VLOOKUP(W131,'Catalogue Aluminium'!$B$9:$G$93,4,FALSE),IF(T131="TRENCH",VLOOKUP(W131,'Catalogue Aluminium'!$B$9:$G$93,2,FALSE)))))</f>
        <v>70</v>
      </c>
      <c r="AA131" s="402">
        <f>VLOOKUP(W131,'Catalogue Aluminium'!$B$9:$G$93,5,FALSE)</f>
        <v>2.44</v>
      </c>
      <c r="AB131" s="402">
        <f>VLOOKUP(W131,'Catalogue Aluminium'!$B$9:$G$93,6,FALSE)</f>
        <v>8.1500000000000003E-2</v>
      </c>
      <c r="AC131" s="401">
        <f t="shared" si="876"/>
        <v>29</v>
      </c>
      <c r="AD131" s="401">
        <v>80</v>
      </c>
      <c r="AE131" s="401">
        <v>5</v>
      </c>
      <c r="AF131" s="401">
        <v>8</v>
      </c>
      <c r="AG131" s="401">
        <f t="shared" si="878"/>
        <v>13</v>
      </c>
      <c r="AH131" s="436">
        <f t="shared" si="879"/>
        <v>135</v>
      </c>
      <c r="AI131" s="393">
        <f>IF(T131="AIR",'Catalogue Aluminium'!$K$9,IF(T131="TRENCH",'Catalogue Aluminium'!$K$12,"NA"))</f>
        <v>0.89</v>
      </c>
      <c r="AJ131" s="392">
        <f>IF(T131="Air",(IF(U131="1C",'Catalogue Aluminium'!$L$9,'Catalogue Aluminium'!$M$9)),IF(T131="DUCT",(IF($U131="1C",'Catalogue Aluminium'!$L$10,'Catalogue Aluminium'!$M$10)),IF(T131="GROUND",(IF($U131="1C",'Catalogue Aluminium'!$L$11,'Catalogue Aluminium'!$M$11)),IF(T131="TRENCH",(IF($U131="1C",'Catalogue Aluminium'!$L$12,'Catalogue Aluminium'!$M$12))))))</f>
        <v>0.66</v>
      </c>
      <c r="AK131" s="393" t="str">
        <f>IF(T131="Air",'Catalogue Aluminium'!$N$9,IF(T131="GROUND",'Catalogue Aluminium'!$N$10,IF(T131="DUCT",'Catalogue Aluminium'!$N$11,IF(T131="TRENCH",'Catalogue Aluminium'!$N$12,"NA"))))</f>
        <v>NA</v>
      </c>
      <c r="AL131" s="393" t="str">
        <f>IF(T131="Air",(IF(U131="1C",'Catalogue Aluminium'!$O$9,'Catalogue Aluminium'!$P$9)),IF(T131="DUCT",(IF($U131="1C",'Catalogue Aluminium'!$O$10,'Catalogue Aluminium'!$P$10)),IF(T131="GROUND",(IF($U131="1C",'Catalogue Aluminium'!$O$11,'Catalogue Aluminium'!$P$11)),IF(T131="TRENCH",(IF($U131="1C",'Catalogue Aluminium'!$O$12,'Catalogue Aluminium'!$P$12))))))</f>
        <v>NA</v>
      </c>
      <c r="AM131" s="393" t="str">
        <f>IF(T131="AIR","NA",IF(T131="TRENCH","NA",IF(T131="DUCT",IF(U131="1C",VLOOKUP(V131,'Catalogue Aluminium'!$Q$9:$S$28,2,FALSE),VLOOKUP(V131,'Catalogue Aluminium'!$Q$9:$S$28,3)),IF(T131="GROUND",IF(U131="1C",VLOOKUP(V131,'Catalogue Aluminium'!$Q$9:$S$28,2,FALSE),VLOOKUP(V131,'Catalogue Aluminium'!$Q$9:$S$28,3))))))</f>
        <v>NA</v>
      </c>
      <c r="AN131" s="437">
        <f t="shared" si="880"/>
        <v>0.58740000000000003</v>
      </c>
      <c r="AO131" s="418">
        <f t="shared" si="881"/>
        <v>41.118000000000002</v>
      </c>
      <c r="AP131" s="434">
        <f t="shared" si="689"/>
        <v>1</v>
      </c>
      <c r="AQ131" s="418" t="str">
        <f t="shared" si="882"/>
        <v>YES</v>
      </c>
      <c r="AR131" s="437">
        <f t="shared" si="883"/>
        <v>2.3175721225147079</v>
      </c>
      <c r="AS131" s="401" t="str">
        <f t="shared" si="884"/>
        <v>YES</v>
      </c>
      <c r="AT131" s="437" t="str">
        <f t="shared" si="885"/>
        <v>NA</v>
      </c>
      <c r="AU131" s="401" t="str">
        <f t="shared" si="886"/>
        <v>NA</v>
      </c>
      <c r="AV131" s="503" t="str">
        <f t="shared" si="887"/>
        <v>1R x 0.6/1kV x 3C x 16 Sqmm</v>
      </c>
      <c r="AW131" s="503" t="str">
        <f t="shared" si="888"/>
        <v>1R x 0.6/1kV x 3C x 16 Sqmm</v>
      </c>
      <c r="AX131" s="401">
        <f t="shared" si="889"/>
        <v>135</v>
      </c>
      <c r="AY131" s="504"/>
      <c r="AZ131" s="504">
        <f t="shared" si="890"/>
        <v>2</v>
      </c>
      <c r="BA131" s="438" t="str">
        <f t="shared" si="891"/>
        <v>AB</v>
      </c>
      <c r="BB131" s="505">
        <f>VLOOKUP(W131,'Catalogue Aluminium'!$B$9:$H$93,7,FALSE)</f>
        <v>19</v>
      </c>
      <c r="BC131" s="439">
        <f t="shared" si="892"/>
        <v>19</v>
      </c>
      <c r="BE131" s="336"/>
      <c r="BF131" s="336">
        <v>1</v>
      </c>
      <c r="BG131" s="336">
        <v>1</v>
      </c>
      <c r="BH131" s="336"/>
      <c r="BI131" s="336"/>
      <c r="BJ131" s="336"/>
      <c r="BK131" s="336"/>
      <c r="BL131" s="336"/>
      <c r="BM131" s="336"/>
      <c r="BN131" s="336"/>
      <c r="BO131" s="336"/>
      <c r="BP131" s="336"/>
      <c r="BQ131" s="336"/>
      <c r="BR131" s="336"/>
      <c r="BS131" s="336"/>
      <c r="BT131" s="336"/>
      <c r="BU131" s="336"/>
      <c r="BV131" s="336"/>
      <c r="BW131" s="336"/>
      <c r="BX131" s="336"/>
      <c r="BY131" s="336"/>
      <c r="BZ131" s="336"/>
      <c r="CA131" s="336"/>
      <c r="CB131" s="336"/>
      <c r="CC131" s="336"/>
      <c r="CD131" s="336"/>
      <c r="CE131" s="336"/>
      <c r="CF131" s="336"/>
      <c r="CG131" s="336"/>
      <c r="CH131" s="336"/>
      <c r="CI131" s="336"/>
      <c r="CJ131" s="336"/>
      <c r="CK131" s="336"/>
      <c r="CL131" s="336"/>
      <c r="CM131" s="336"/>
      <c r="CN131" s="336"/>
      <c r="CO131" s="336"/>
      <c r="CP131" s="336"/>
      <c r="CQ131" s="336"/>
      <c r="CR131" s="336"/>
      <c r="CS131" s="336"/>
      <c r="CT131" s="336"/>
      <c r="CU131" s="336"/>
      <c r="CV131" s="336"/>
      <c r="CW131" s="336"/>
      <c r="CX131" s="336"/>
      <c r="CY131" s="336"/>
      <c r="CZ131" s="336"/>
      <c r="DA131" s="336"/>
      <c r="DB131" s="336"/>
      <c r="DC131" s="336"/>
      <c r="DD131" s="336"/>
      <c r="DE131" s="336"/>
      <c r="DF131" s="336"/>
      <c r="DG131" s="336"/>
      <c r="DH131" s="336"/>
      <c r="DI131" s="336"/>
      <c r="DJ131" s="336"/>
      <c r="DK131" s="336"/>
      <c r="DL131" s="336"/>
      <c r="DM131" s="336"/>
      <c r="DN131" s="336"/>
      <c r="DO131" s="336"/>
      <c r="DP131" s="336"/>
      <c r="DQ131" s="336"/>
      <c r="DR131" s="336"/>
      <c r="DS131" s="336"/>
      <c r="DT131" s="336"/>
      <c r="DU131" s="336"/>
      <c r="DW131" s="336">
        <f t="shared" si="709"/>
        <v>0</v>
      </c>
      <c r="DX131" s="336">
        <f t="shared" si="701"/>
        <v>19</v>
      </c>
      <c r="DY131" s="336">
        <f t="shared" si="702"/>
        <v>19</v>
      </c>
      <c r="DZ131" s="336">
        <f t="shared" si="703"/>
        <v>0</v>
      </c>
      <c r="EA131" s="336">
        <f t="shared" si="704"/>
        <v>0</v>
      </c>
      <c r="EB131" s="336">
        <f t="shared" si="705"/>
        <v>0</v>
      </c>
      <c r="EC131" s="336">
        <f t="shared" si="706"/>
        <v>0</v>
      </c>
      <c r="ED131" s="336">
        <f t="shared" si="621"/>
        <v>0</v>
      </c>
      <c r="EE131" s="336">
        <f t="shared" si="622"/>
        <v>0</v>
      </c>
      <c r="EF131" s="336">
        <f t="shared" si="623"/>
        <v>0</v>
      </c>
      <c r="EG131" s="336">
        <f t="shared" si="624"/>
        <v>0</v>
      </c>
      <c r="EH131" s="336">
        <f t="shared" si="625"/>
        <v>0</v>
      </c>
      <c r="EI131" s="336">
        <f t="shared" si="626"/>
        <v>0</v>
      </c>
      <c r="EJ131" s="336">
        <f t="shared" si="627"/>
        <v>0</v>
      </c>
      <c r="EK131" s="336">
        <f t="shared" si="628"/>
        <v>0</v>
      </c>
      <c r="EL131" s="336">
        <f t="shared" si="629"/>
        <v>0</v>
      </c>
      <c r="EM131" s="336">
        <f t="shared" si="630"/>
        <v>0</v>
      </c>
      <c r="EN131" s="336">
        <f t="shared" si="631"/>
        <v>0</v>
      </c>
      <c r="EO131" s="336">
        <f t="shared" si="632"/>
        <v>0</v>
      </c>
      <c r="EP131" s="336">
        <f t="shared" si="633"/>
        <v>0</v>
      </c>
      <c r="EQ131" s="336">
        <f t="shared" si="634"/>
        <v>0</v>
      </c>
      <c r="ER131" s="336">
        <f t="shared" si="635"/>
        <v>0</v>
      </c>
      <c r="ES131" s="336">
        <f t="shared" si="636"/>
        <v>0</v>
      </c>
      <c r="ET131" s="336">
        <f t="shared" si="636"/>
        <v>0</v>
      </c>
      <c r="EU131" s="336">
        <f t="shared" si="637"/>
        <v>0</v>
      </c>
      <c r="EV131" s="336">
        <f t="shared" si="638"/>
        <v>0</v>
      </c>
      <c r="EW131" s="336">
        <f t="shared" si="639"/>
        <v>0</v>
      </c>
      <c r="EX131" s="336">
        <f t="shared" si="640"/>
        <v>0</v>
      </c>
      <c r="EY131" s="336">
        <f t="shared" si="641"/>
        <v>0</v>
      </c>
      <c r="EZ131" s="336">
        <f t="shared" si="642"/>
        <v>0</v>
      </c>
      <c r="FA131" s="336">
        <f t="shared" si="643"/>
        <v>0</v>
      </c>
      <c r="FB131" s="336">
        <f t="shared" si="644"/>
        <v>0</v>
      </c>
      <c r="FC131" s="336">
        <f t="shared" si="645"/>
        <v>0</v>
      </c>
      <c r="FD131" s="336">
        <f t="shared" si="646"/>
        <v>0</v>
      </c>
      <c r="FE131" s="336">
        <f t="shared" si="647"/>
        <v>0</v>
      </c>
      <c r="FF131" s="336">
        <f t="shared" si="648"/>
        <v>0</v>
      </c>
      <c r="FG131" s="336">
        <f t="shared" si="649"/>
        <v>0</v>
      </c>
      <c r="FH131" s="336">
        <f t="shared" si="650"/>
        <v>0</v>
      </c>
      <c r="FI131" s="336">
        <f t="shared" si="651"/>
        <v>0</v>
      </c>
      <c r="FJ131" s="336">
        <f t="shared" si="652"/>
        <v>0</v>
      </c>
      <c r="FK131" s="336">
        <f t="shared" si="653"/>
        <v>0</v>
      </c>
      <c r="FL131" s="336">
        <f t="shared" si="654"/>
        <v>0</v>
      </c>
      <c r="FM131" s="336">
        <f t="shared" si="655"/>
        <v>0</v>
      </c>
      <c r="FN131" s="336">
        <f t="shared" si="656"/>
        <v>0</v>
      </c>
      <c r="FO131" s="336">
        <f t="shared" si="657"/>
        <v>0</v>
      </c>
      <c r="FP131" s="336">
        <f t="shared" si="658"/>
        <v>0</v>
      </c>
      <c r="FQ131" s="336">
        <f t="shared" si="659"/>
        <v>0</v>
      </c>
      <c r="FR131" s="336">
        <f t="shared" si="660"/>
        <v>0</v>
      </c>
      <c r="FS131" s="336">
        <f t="shared" si="661"/>
        <v>0</v>
      </c>
      <c r="FT131" s="336">
        <f t="shared" si="662"/>
        <v>0</v>
      </c>
      <c r="FU131" s="336">
        <f t="shared" si="860"/>
        <v>0</v>
      </c>
      <c r="FV131" s="336">
        <f t="shared" si="861"/>
        <v>0</v>
      </c>
      <c r="FW131" s="336">
        <f t="shared" si="862"/>
        <v>0</v>
      </c>
      <c r="FX131" s="336">
        <f t="shared" si="863"/>
        <v>0</v>
      </c>
      <c r="FY131" s="336">
        <f t="shared" si="663"/>
        <v>0</v>
      </c>
      <c r="FZ131" s="336">
        <f t="shared" si="664"/>
        <v>0</v>
      </c>
      <c r="GA131" s="336">
        <f t="shared" si="665"/>
        <v>0</v>
      </c>
      <c r="GB131" s="336">
        <f t="shared" si="666"/>
        <v>0</v>
      </c>
      <c r="GC131" s="336">
        <f t="shared" si="667"/>
        <v>0</v>
      </c>
      <c r="GD131" s="336">
        <f t="shared" si="668"/>
        <v>0</v>
      </c>
      <c r="GE131" s="336">
        <f t="shared" si="669"/>
        <v>0</v>
      </c>
      <c r="GF131" s="336">
        <f t="shared" si="670"/>
        <v>0</v>
      </c>
      <c r="GG131" s="336">
        <f t="shared" si="671"/>
        <v>0</v>
      </c>
      <c r="GH131" s="336">
        <f t="shared" si="672"/>
        <v>0</v>
      </c>
      <c r="GI131" s="336">
        <f t="shared" si="673"/>
        <v>0</v>
      </c>
      <c r="GJ131" s="336">
        <f t="shared" si="674"/>
        <v>0</v>
      </c>
      <c r="GK131" s="336">
        <f t="shared" si="852"/>
        <v>0</v>
      </c>
      <c r="GL131" s="336">
        <f t="shared" si="864"/>
        <v>0</v>
      </c>
      <c r="GM131" s="336">
        <f t="shared" si="675"/>
        <v>0</v>
      </c>
    </row>
    <row r="132" spans="1:195" ht="20.100000000000001" customHeight="1">
      <c r="A132" s="388">
        <f t="shared" si="865"/>
        <v>91</v>
      </c>
      <c r="B132" s="388" t="s">
        <v>527</v>
      </c>
      <c r="C132" s="388" t="s">
        <v>489</v>
      </c>
      <c r="D132" s="338" t="s">
        <v>597</v>
      </c>
      <c r="E132" s="502" t="s">
        <v>555</v>
      </c>
      <c r="F132" s="522" t="s">
        <v>29</v>
      </c>
      <c r="G132" s="388" t="s">
        <v>329</v>
      </c>
      <c r="H132" s="418">
        <v>2</v>
      </c>
      <c r="I132" s="388" t="s">
        <v>330</v>
      </c>
      <c r="J132" s="388" t="s">
        <v>357</v>
      </c>
      <c r="K132" s="434">
        <v>230</v>
      </c>
      <c r="L132" s="401">
        <v>0.85</v>
      </c>
      <c r="M132" s="418">
        <v>0.95</v>
      </c>
      <c r="N132" s="392">
        <f t="shared" si="871"/>
        <v>10.768609503297887</v>
      </c>
      <c r="O132" s="392">
        <f t="shared" si="867"/>
        <v>0</v>
      </c>
      <c r="P132" s="401" t="str">
        <f t="shared" si="872"/>
        <v>0.00</v>
      </c>
      <c r="Q132" s="418">
        <v>65</v>
      </c>
      <c r="R132" s="418">
        <v>0</v>
      </c>
      <c r="S132" s="418">
        <f t="shared" si="873"/>
        <v>0</v>
      </c>
      <c r="T132" s="401" t="s">
        <v>131</v>
      </c>
      <c r="U132" s="418" t="s">
        <v>333</v>
      </c>
      <c r="V132" s="401">
        <v>16</v>
      </c>
      <c r="W132" s="401" t="str">
        <f t="shared" si="874"/>
        <v>3C X 16</v>
      </c>
      <c r="X132" s="401" t="str">
        <f t="shared" si="875"/>
        <v>3C X 16</v>
      </c>
      <c r="Y132" s="401" t="s">
        <v>358</v>
      </c>
      <c r="Z132" s="393">
        <f>IF(T132="AIR",VLOOKUP(W132,'Catalogue Aluminium'!$B$9:$G$93,2,FALSE),IF(T132="GROUND",VLOOKUP(W132,'Catalogue Aluminium'!$B$9:$G$93,3,FALSE),IF(T132="DUCT",VLOOKUP(W132,'Catalogue Aluminium'!$B$9:$G$93,4,FALSE),IF(T132="TRENCH",VLOOKUP(W132,'Catalogue Aluminium'!$B$9:$G$93,2,FALSE)))))</f>
        <v>70</v>
      </c>
      <c r="AA132" s="402">
        <f>VLOOKUP(W132,'Catalogue Aluminium'!$B$9:$G$93,5,FALSE)</f>
        <v>2.44</v>
      </c>
      <c r="AB132" s="402">
        <f>VLOOKUP(W132,'Catalogue Aluminium'!$B$9:$G$93,6,FALSE)</f>
        <v>8.1500000000000003E-2</v>
      </c>
      <c r="AC132" s="401">
        <f t="shared" ref="AC132" si="895">17+3</f>
        <v>20</v>
      </c>
      <c r="AD132" s="401">
        <v>80</v>
      </c>
      <c r="AE132" s="401">
        <v>5</v>
      </c>
      <c r="AF132" s="401">
        <v>8</v>
      </c>
      <c r="AG132" s="401">
        <f t="shared" si="878"/>
        <v>12</v>
      </c>
      <c r="AH132" s="436">
        <f t="shared" si="879"/>
        <v>125</v>
      </c>
      <c r="AI132" s="393">
        <f>IF(T132="AIR",'Catalogue Aluminium'!$K$9,IF(T132="TRENCH",'Catalogue Aluminium'!$K$12,"NA"))</f>
        <v>0.89</v>
      </c>
      <c r="AJ132" s="392">
        <f>IF(T132="Air",(IF(U132="1C",'Catalogue Aluminium'!$L$9,'Catalogue Aluminium'!$M$9)),IF(T132="DUCT",(IF($U132="1C",'Catalogue Aluminium'!$L$10,'Catalogue Aluminium'!$M$10)),IF(T132="GROUND",(IF($U132="1C",'Catalogue Aluminium'!$L$11,'Catalogue Aluminium'!$M$11)),IF(T132="TRENCH",(IF($U132="1C",'Catalogue Aluminium'!$L$12,'Catalogue Aluminium'!$M$12))))))</f>
        <v>0.66</v>
      </c>
      <c r="AK132" s="393" t="str">
        <f>IF(T132="Air",'Catalogue Aluminium'!$N$9,IF(T132="GROUND",'Catalogue Aluminium'!$N$10,IF(T132="DUCT",'Catalogue Aluminium'!$N$11,IF(T132="TRENCH",'Catalogue Aluminium'!$N$12,"NA"))))</f>
        <v>NA</v>
      </c>
      <c r="AL132" s="393" t="str">
        <f>IF(T132="Air",(IF(U132="1C",'Catalogue Aluminium'!$O$9,'Catalogue Aluminium'!$P$9)),IF(T132="DUCT",(IF($U132="1C",'Catalogue Aluminium'!$O$10,'Catalogue Aluminium'!$P$10)),IF(T132="GROUND",(IF($U132="1C",'Catalogue Aluminium'!$O$11,'Catalogue Aluminium'!$P$11)),IF(T132="TRENCH",(IF($U132="1C",'Catalogue Aluminium'!$O$12,'Catalogue Aluminium'!$P$12))))))</f>
        <v>NA</v>
      </c>
      <c r="AM132" s="393" t="str">
        <f>IF(T132="AIR","NA",IF(T132="TRENCH","NA",IF(T132="DUCT",IF(U132="1C",VLOOKUP(V132,'Catalogue Aluminium'!$Q$9:$S$28,2,FALSE),VLOOKUP(V132,'Catalogue Aluminium'!$Q$9:$S$28,3)),IF(T132="GROUND",IF(U132="1C",VLOOKUP(V132,'Catalogue Aluminium'!$Q$9:$S$28,2,FALSE),VLOOKUP(V132,'Catalogue Aluminium'!$Q$9:$S$28,3))))))</f>
        <v>NA</v>
      </c>
      <c r="AN132" s="437">
        <f t="shared" si="880"/>
        <v>0.58740000000000003</v>
      </c>
      <c r="AO132" s="418">
        <f t="shared" si="881"/>
        <v>41.118000000000002</v>
      </c>
      <c r="AP132" s="434">
        <f t="shared" si="689"/>
        <v>1</v>
      </c>
      <c r="AQ132" s="418" t="str">
        <f t="shared" si="882"/>
        <v>YES</v>
      </c>
      <c r="AR132" s="437">
        <f t="shared" si="883"/>
        <v>2.1459001134395446</v>
      </c>
      <c r="AS132" s="401" t="str">
        <f t="shared" si="884"/>
        <v>YES</v>
      </c>
      <c r="AT132" s="437" t="str">
        <f t="shared" si="885"/>
        <v>NA</v>
      </c>
      <c r="AU132" s="401" t="str">
        <f t="shared" si="886"/>
        <v>NA</v>
      </c>
      <c r="AV132" s="503" t="str">
        <f t="shared" si="887"/>
        <v>1R x 0.6/1kV x 3C x 16 Sqmm</v>
      </c>
      <c r="AW132" s="503" t="str">
        <f t="shared" si="888"/>
        <v>1R x 0.6/1kV x 3C x 16 Sqmm</v>
      </c>
      <c r="AX132" s="401">
        <f t="shared" si="889"/>
        <v>125</v>
      </c>
      <c r="AY132" s="504"/>
      <c r="AZ132" s="504">
        <f t="shared" si="890"/>
        <v>2</v>
      </c>
      <c r="BA132" s="438" t="str">
        <f t="shared" si="891"/>
        <v>AB</v>
      </c>
      <c r="BB132" s="505">
        <f>VLOOKUP(W132,'Catalogue Aluminium'!$B$9:$H$93,7,FALSE)</f>
        <v>19</v>
      </c>
      <c r="BC132" s="439">
        <f t="shared" si="892"/>
        <v>19</v>
      </c>
      <c r="BE132" s="336"/>
      <c r="BF132" s="336">
        <v>1</v>
      </c>
      <c r="BG132" s="336">
        <v>1</v>
      </c>
      <c r="BH132" s="336"/>
      <c r="BI132" s="336"/>
      <c r="BJ132" s="336"/>
      <c r="BK132" s="336"/>
      <c r="BL132" s="336"/>
      <c r="BM132" s="336"/>
      <c r="BN132" s="336"/>
      <c r="BO132" s="336"/>
      <c r="BP132" s="336"/>
      <c r="BQ132" s="336"/>
      <c r="BR132" s="336"/>
      <c r="BS132" s="336"/>
      <c r="BT132" s="336"/>
      <c r="BU132" s="336"/>
      <c r="BV132" s="336"/>
      <c r="BW132" s="336"/>
      <c r="BX132" s="336"/>
      <c r="BY132" s="336"/>
      <c r="BZ132" s="336"/>
      <c r="CA132" s="336"/>
      <c r="CB132" s="336"/>
      <c r="CC132" s="336"/>
      <c r="CD132" s="336"/>
      <c r="CE132" s="336"/>
      <c r="CF132" s="336"/>
      <c r="CG132" s="336"/>
      <c r="CH132" s="336"/>
      <c r="CI132" s="336"/>
      <c r="CJ132" s="336"/>
      <c r="CK132" s="336"/>
      <c r="CL132" s="336"/>
      <c r="CM132" s="336"/>
      <c r="CN132" s="336"/>
      <c r="CO132" s="336"/>
      <c r="CP132" s="336"/>
      <c r="CQ132" s="336"/>
      <c r="CR132" s="336"/>
      <c r="CS132" s="336"/>
      <c r="CT132" s="336"/>
      <c r="CU132" s="336"/>
      <c r="CV132" s="336"/>
      <c r="CW132" s="336"/>
      <c r="CX132" s="336"/>
      <c r="CY132" s="336"/>
      <c r="CZ132" s="336"/>
      <c r="DA132" s="336"/>
      <c r="DB132" s="336"/>
      <c r="DC132" s="336"/>
      <c r="DD132" s="336"/>
      <c r="DE132" s="336"/>
      <c r="DF132" s="336"/>
      <c r="DG132" s="336"/>
      <c r="DH132" s="336"/>
      <c r="DI132" s="336"/>
      <c r="DJ132" s="336"/>
      <c r="DK132" s="336"/>
      <c r="DL132" s="336"/>
      <c r="DM132" s="336"/>
      <c r="DN132" s="336"/>
      <c r="DO132" s="336"/>
      <c r="DP132" s="336"/>
      <c r="DQ132" s="336"/>
      <c r="DR132" s="336"/>
      <c r="DS132" s="336"/>
      <c r="DT132" s="336"/>
      <c r="DU132" s="336"/>
      <c r="DW132" s="336">
        <f t="shared" si="709"/>
        <v>0</v>
      </c>
      <c r="DX132" s="336">
        <f t="shared" si="701"/>
        <v>19</v>
      </c>
      <c r="DY132" s="336">
        <f t="shared" si="702"/>
        <v>19</v>
      </c>
      <c r="DZ132" s="336">
        <f t="shared" si="703"/>
        <v>0</v>
      </c>
      <c r="EA132" s="336">
        <f t="shared" si="704"/>
        <v>0</v>
      </c>
      <c r="EB132" s="336">
        <f t="shared" si="705"/>
        <v>0</v>
      </c>
      <c r="EC132" s="336">
        <f t="shared" si="706"/>
        <v>0</v>
      </c>
      <c r="ED132" s="336">
        <f t="shared" si="621"/>
        <v>0</v>
      </c>
      <c r="EE132" s="336">
        <f t="shared" si="622"/>
        <v>0</v>
      </c>
      <c r="EF132" s="336">
        <f t="shared" si="623"/>
        <v>0</v>
      </c>
      <c r="EG132" s="336">
        <f t="shared" si="624"/>
        <v>0</v>
      </c>
      <c r="EH132" s="336">
        <f t="shared" si="625"/>
        <v>0</v>
      </c>
      <c r="EI132" s="336">
        <f t="shared" si="626"/>
        <v>0</v>
      </c>
      <c r="EJ132" s="336">
        <f t="shared" si="627"/>
        <v>0</v>
      </c>
      <c r="EK132" s="336">
        <f t="shared" si="628"/>
        <v>0</v>
      </c>
      <c r="EL132" s="336">
        <f t="shared" si="629"/>
        <v>0</v>
      </c>
      <c r="EM132" s="336">
        <f t="shared" si="630"/>
        <v>0</v>
      </c>
      <c r="EN132" s="336">
        <f t="shared" si="631"/>
        <v>0</v>
      </c>
      <c r="EO132" s="336">
        <f t="shared" si="632"/>
        <v>0</v>
      </c>
      <c r="EP132" s="336">
        <f t="shared" si="633"/>
        <v>0</v>
      </c>
      <c r="EQ132" s="336">
        <f t="shared" si="634"/>
        <v>0</v>
      </c>
      <c r="ER132" s="336">
        <f t="shared" si="635"/>
        <v>0</v>
      </c>
      <c r="ES132" s="336">
        <f t="shared" si="636"/>
        <v>0</v>
      </c>
      <c r="ET132" s="336">
        <f t="shared" si="636"/>
        <v>0</v>
      </c>
      <c r="EU132" s="336">
        <f t="shared" si="637"/>
        <v>0</v>
      </c>
      <c r="EV132" s="336">
        <f t="shared" si="638"/>
        <v>0</v>
      </c>
      <c r="EW132" s="336">
        <f t="shared" si="639"/>
        <v>0</v>
      </c>
      <c r="EX132" s="336">
        <f t="shared" si="640"/>
        <v>0</v>
      </c>
      <c r="EY132" s="336">
        <f t="shared" si="641"/>
        <v>0</v>
      </c>
      <c r="EZ132" s="336">
        <f t="shared" si="642"/>
        <v>0</v>
      </c>
      <c r="FA132" s="336">
        <f t="shared" si="643"/>
        <v>0</v>
      </c>
      <c r="FB132" s="336">
        <f t="shared" si="644"/>
        <v>0</v>
      </c>
      <c r="FC132" s="336">
        <f t="shared" si="645"/>
        <v>0</v>
      </c>
      <c r="FD132" s="336">
        <f t="shared" si="646"/>
        <v>0</v>
      </c>
      <c r="FE132" s="336">
        <f t="shared" si="647"/>
        <v>0</v>
      </c>
      <c r="FF132" s="336">
        <f t="shared" si="648"/>
        <v>0</v>
      </c>
      <c r="FG132" s="336">
        <f t="shared" si="649"/>
        <v>0</v>
      </c>
      <c r="FH132" s="336">
        <f t="shared" si="650"/>
        <v>0</v>
      </c>
      <c r="FI132" s="336">
        <f t="shared" si="651"/>
        <v>0</v>
      </c>
      <c r="FJ132" s="336">
        <f t="shared" si="652"/>
        <v>0</v>
      </c>
      <c r="FK132" s="336">
        <f t="shared" si="653"/>
        <v>0</v>
      </c>
      <c r="FL132" s="336">
        <f t="shared" si="654"/>
        <v>0</v>
      </c>
      <c r="FM132" s="336">
        <f t="shared" si="655"/>
        <v>0</v>
      </c>
      <c r="FN132" s="336">
        <f t="shared" si="656"/>
        <v>0</v>
      </c>
      <c r="FO132" s="336">
        <f t="shared" si="657"/>
        <v>0</v>
      </c>
      <c r="FP132" s="336">
        <f t="shared" si="658"/>
        <v>0</v>
      </c>
      <c r="FQ132" s="336">
        <f t="shared" si="659"/>
        <v>0</v>
      </c>
      <c r="FR132" s="336">
        <f t="shared" si="660"/>
        <v>0</v>
      </c>
      <c r="FS132" s="336">
        <f t="shared" si="661"/>
        <v>0</v>
      </c>
      <c r="FT132" s="336">
        <f t="shared" si="662"/>
        <v>0</v>
      </c>
      <c r="FU132" s="336">
        <f t="shared" si="860"/>
        <v>0</v>
      </c>
      <c r="FV132" s="336">
        <f t="shared" si="861"/>
        <v>0</v>
      </c>
      <c r="FW132" s="336">
        <f t="shared" si="862"/>
        <v>0</v>
      </c>
      <c r="FX132" s="336">
        <f t="shared" si="863"/>
        <v>0</v>
      </c>
      <c r="FY132" s="336">
        <f t="shared" si="663"/>
        <v>0</v>
      </c>
      <c r="FZ132" s="336">
        <f t="shared" si="664"/>
        <v>0</v>
      </c>
      <c r="GA132" s="336">
        <f t="shared" si="665"/>
        <v>0</v>
      </c>
      <c r="GB132" s="336">
        <f t="shared" si="666"/>
        <v>0</v>
      </c>
      <c r="GC132" s="336">
        <f t="shared" si="667"/>
        <v>0</v>
      </c>
      <c r="GD132" s="336">
        <f t="shared" si="668"/>
        <v>0</v>
      </c>
      <c r="GE132" s="336">
        <f t="shared" si="669"/>
        <v>0</v>
      </c>
      <c r="GF132" s="336">
        <f t="shared" si="670"/>
        <v>0</v>
      </c>
      <c r="GG132" s="336">
        <f t="shared" si="671"/>
        <v>0</v>
      </c>
      <c r="GH132" s="336">
        <f t="shared" si="672"/>
        <v>0</v>
      </c>
      <c r="GI132" s="336">
        <f t="shared" si="673"/>
        <v>0</v>
      </c>
      <c r="GJ132" s="336">
        <f t="shared" si="674"/>
        <v>0</v>
      </c>
      <c r="GK132" s="336">
        <f t="shared" si="852"/>
        <v>0</v>
      </c>
      <c r="GL132" s="336">
        <f t="shared" si="864"/>
        <v>0</v>
      </c>
      <c r="GM132" s="336">
        <f t="shared" si="675"/>
        <v>0</v>
      </c>
    </row>
    <row r="133" spans="1:195" ht="33" customHeight="1">
      <c r="A133" s="388">
        <f t="shared" si="865"/>
        <v>92</v>
      </c>
      <c r="B133" s="406" t="s">
        <v>1661</v>
      </c>
      <c r="C133" s="388" t="s">
        <v>489</v>
      </c>
      <c r="D133" s="338" t="s">
        <v>603</v>
      </c>
      <c r="E133" s="502" t="s">
        <v>345</v>
      </c>
      <c r="F133" s="388" t="s">
        <v>28</v>
      </c>
      <c r="G133" s="388" t="s">
        <v>329</v>
      </c>
      <c r="H133" s="418">
        <v>70</v>
      </c>
      <c r="I133" s="388" t="s">
        <v>330</v>
      </c>
      <c r="J133" s="388" t="s">
        <v>331</v>
      </c>
      <c r="K133" s="434">
        <v>400</v>
      </c>
      <c r="L133" s="401">
        <v>0.85</v>
      </c>
      <c r="M133" s="418">
        <v>0.95</v>
      </c>
      <c r="N133" s="392">
        <f t="shared" si="871"/>
        <v>125.1260197770612</v>
      </c>
      <c r="O133" s="392">
        <f t="shared" si="867"/>
        <v>0</v>
      </c>
      <c r="P133" s="401" t="str">
        <f t="shared" si="872"/>
        <v>0.00</v>
      </c>
      <c r="Q133" s="418">
        <v>65</v>
      </c>
      <c r="R133" s="418">
        <v>0</v>
      </c>
      <c r="S133" s="418">
        <f t="shared" si="873"/>
        <v>0</v>
      </c>
      <c r="T133" s="401" t="s">
        <v>131</v>
      </c>
      <c r="U133" s="418" t="s">
        <v>535</v>
      </c>
      <c r="V133" s="401">
        <v>150</v>
      </c>
      <c r="W133" s="401" t="str">
        <f t="shared" si="874"/>
        <v>3.5C X 150</v>
      </c>
      <c r="X133" s="401" t="str">
        <f t="shared" si="875"/>
        <v>3.5C X 150</v>
      </c>
      <c r="Y133" s="401" t="s">
        <v>358</v>
      </c>
      <c r="Z133" s="393">
        <f>IF(T133="AIR",VLOOKUP(W133,'Catalogue Aluminium'!$B$9:$G$93,2,FALSE),IF(T133="GROUND",VLOOKUP(W133,'Catalogue Aluminium'!$B$9:$G$93,3,FALSE),IF(T133="DUCT",VLOOKUP(W133,'Catalogue Aluminium'!$B$9:$G$93,4,FALSE),IF(T133="TRENCH",VLOOKUP(W133,'Catalogue Aluminium'!$B$9:$G$93,2,FALSE)))))</f>
        <v>293</v>
      </c>
      <c r="AA133" s="402">
        <f>VLOOKUP(W133,'Catalogue Aluminium'!$B$9:$G$93,5,FALSE)</f>
        <v>0.26400000000000001</v>
      </c>
      <c r="AB133" s="402">
        <f>VLOOKUP(W133,'Catalogue Aluminium'!$B$9:$G$93,6,FALSE)</f>
        <v>7.3200000000000001E-2</v>
      </c>
      <c r="AC133" s="401">
        <f t="shared" si="876"/>
        <v>29</v>
      </c>
      <c r="AD133" s="401">
        <f t="shared" ref="AD133" si="896">40+50+38+50+17+(27+25)</f>
        <v>247</v>
      </c>
      <c r="AE133" s="401">
        <f t="shared" si="877"/>
        <v>38</v>
      </c>
      <c r="AF133" s="401">
        <v>8</v>
      </c>
      <c r="AG133" s="401">
        <f t="shared" si="878"/>
        <v>33</v>
      </c>
      <c r="AH133" s="436">
        <v>350</v>
      </c>
      <c r="AI133" s="393">
        <f>IF(T133="AIR",'Catalogue Aluminium'!$K$9,IF(T133="TRENCH",'Catalogue Aluminium'!$K$12,"NA"))</f>
        <v>0.89</v>
      </c>
      <c r="AJ133" s="392">
        <f>IF(T133="Air",(IF(U133="1C",'Catalogue Aluminium'!$L$9,'Catalogue Aluminium'!$M$9)),IF(T133="DUCT",(IF($U133="1C",'Catalogue Aluminium'!$L$10,'Catalogue Aluminium'!$M$10)),IF(T133="GROUND",(IF($U133="1C",'Catalogue Aluminium'!$L$11,'Catalogue Aluminium'!$M$11)),IF(T133="TRENCH",(IF($U133="1C",'Catalogue Aluminium'!$L$12,'Catalogue Aluminium'!$M$12))))))</f>
        <v>0.66</v>
      </c>
      <c r="AK133" s="393" t="str">
        <f>IF(T133="Air",'Catalogue Aluminium'!$N$9,IF(T133="GROUND",'Catalogue Aluminium'!$N$10,IF(T133="DUCT",'Catalogue Aluminium'!$N$11,IF(T133="TRENCH",'Catalogue Aluminium'!$N$12,"NA"))))</f>
        <v>NA</v>
      </c>
      <c r="AL133" s="393" t="str">
        <f>IF(T133="Air",(IF(U133="1C",'Catalogue Aluminium'!$O$9,'Catalogue Aluminium'!$P$9)),IF(T133="DUCT",(IF($U133="1C",'Catalogue Aluminium'!$O$10,'Catalogue Aluminium'!$P$10)),IF(T133="GROUND",(IF($U133="1C",'Catalogue Aluminium'!$O$11,'Catalogue Aluminium'!$P$11)),IF(T133="TRENCH",(IF($U133="1C",'Catalogue Aluminium'!$O$12,'Catalogue Aluminium'!$P$12))))))</f>
        <v>NA</v>
      </c>
      <c r="AM133" s="393" t="str">
        <f>IF(T133="AIR","NA",IF(T133="TRENCH","NA",IF(T133="DUCT",IF(U133="1C",VLOOKUP(V133,'Catalogue Aluminium'!$Q$9:$S$28,2,FALSE),VLOOKUP(V133,'Catalogue Aluminium'!$Q$9:$S$28,3)),IF(T133="GROUND",IF(U133="1C",VLOOKUP(V133,'Catalogue Aluminium'!$Q$9:$S$28,2,FALSE),VLOOKUP(V133,'Catalogue Aluminium'!$Q$9:$S$28,3))))))</f>
        <v>NA</v>
      </c>
      <c r="AN133" s="437">
        <f t="shared" si="880"/>
        <v>0.58740000000000003</v>
      </c>
      <c r="AO133" s="418">
        <f t="shared" si="881"/>
        <v>172.10820000000001</v>
      </c>
      <c r="AP133" s="434">
        <v>2</v>
      </c>
      <c r="AQ133" s="418" t="str">
        <f t="shared" si="882"/>
        <v>YES</v>
      </c>
      <c r="AR133" s="437">
        <f t="shared" si="883"/>
        <v>2.4933131042084571</v>
      </c>
      <c r="AS133" s="401" t="str">
        <f t="shared" si="884"/>
        <v>YES</v>
      </c>
      <c r="AT133" s="437" t="str">
        <f t="shared" si="885"/>
        <v>NA</v>
      </c>
      <c r="AU133" s="401" t="str">
        <f t="shared" si="886"/>
        <v>NA</v>
      </c>
      <c r="AV133" s="503" t="str">
        <f t="shared" si="887"/>
        <v>2R x 0.6/1kV x 3.5C x 150 Sqmm</v>
      </c>
      <c r="AW133" s="503" t="str">
        <f t="shared" si="888"/>
        <v>2R x 0.6/1kV x 3.5C x 150 Sqmm</v>
      </c>
      <c r="AX133" s="401">
        <f t="shared" si="889"/>
        <v>700</v>
      </c>
      <c r="AY133" s="504"/>
      <c r="AZ133" s="504">
        <f t="shared" si="890"/>
        <v>4</v>
      </c>
      <c r="BA133" s="438" t="str">
        <f t="shared" si="891"/>
        <v>ACDEE1E2</v>
      </c>
      <c r="BB133" s="505">
        <f>VLOOKUP(W133,'Catalogue Aluminium'!$B$9:$H$93,7,FALSE)</f>
        <v>48</v>
      </c>
      <c r="BC133" s="439">
        <f t="shared" si="892"/>
        <v>96</v>
      </c>
      <c r="BE133" s="336"/>
      <c r="BF133" s="336">
        <v>1</v>
      </c>
      <c r="BG133" s="336"/>
      <c r="BH133" s="336"/>
      <c r="BI133" s="336">
        <v>1</v>
      </c>
      <c r="BJ133" s="336">
        <v>1</v>
      </c>
      <c r="BK133" s="336"/>
      <c r="BL133" s="336"/>
      <c r="BM133" s="336"/>
      <c r="BN133" s="336">
        <v>1</v>
      </c>
      <c r="BO133" s="336"/>
      <c r="BP133" s="336">
        <v>1</v>
      </c>
      <c r="BQ133" s="336">
        <v>1</v>
      </c>
      <c r="BR133" s="336"/>
      <c r="BS133" s="336"/>
      <c r="BT133" s="336"/>
      <c r="BU133" s="336"/>
      <c r="BV133" s="336"/>
      <c r="BW133" s="336"/>
      <c r="BX133" s="336"/>
      <c r="BY133" s="336"/>
      <c r="BZ133" s="336"/>
      <c r="CA133" s="336"/>
      <c r="CB133" s="336"/>
      <c r="CC133" s="336"/>
      <c r="CD133" s="336"/>
      <c r="CE133" s="336"/>
      <c r="CF133" s="336"/>
      <c r="CG133" s="336"/>
      <c r="CH133" s="336"/>
      <c r="CI133" s="336"/>
      <c r="CJ133" s="336"/>
      <c r="CK133" s="336"/>
      <c r="CL133" s="336"/>
      <c r="CM133" s="336"/>
      <c r="CN133" s="336"/>
      <c r="CO133" s="336"/>
      <c r="CP133" s="336"/>
      <c r="CQ133" s="336"/>
      <c r="CR133" s="336"/>
      <c r="CS133" s="336"/>
      <c r="CT133" s="336"/>
      <c r="CU133" s="336"/>
      <c r="CV133" s="336"/>
      <c r="CW133" s="336"/>
      <c r="CX133" s="336"/>
      <c r="CY133" s="336"/>
      <c r="CZ133" s="336"/>
      <c r="DA133" s="336"/>
      <c r="DB133" s="336"/>
      <c r="DC133" s="336"/>
      <c r="DD133" s="336"/>
      <c r="DE133" s="336"/>
      <c r="DF133" s="336"/>
      <c r="DG133" s="336"/>
      <c r="DH133" s="336"/>
      <c r="DI133" s="336"/>
      <c r="DJ133" s="336"/>
      <c r="DK133" s="336"/>
      <c r="DL133" s="336"/>
      <c r="DM133" s="336"/>
      <c r="DN133" s="336"/>
      <c r="DO133" s="336"/>
      <c r="DP133" s="336"/>
      <c r="DQ133" s="336"/>
      <c r="DR133" s="336"/>
      <c r="DS133" s="336"/>
      <c r="DT133" s="336"/>
      <c r="DU133" s="336"/>
      <c r="DW133" s="336">
        <f t="shared" si="709"/>
        <v>0</v>
      </c>
      <c r="DX133" s="336">
        <f t="shared" si="701"/>
        <v>96</v>
      </c>
      <c r="DY133" s="336">
        <f t="shared" si="702"/>
        <v>0</v>
      </c>
      <c r="DZ133" s="336">
        <f t="shared" si="703"/>
        <v>0</v>
      </c>
      <c r="EA133" s="336">
        <f t="shared" si="704"/>
        <v>96</v>
      </c>
      <c r="EB133" s="336">
        <f t="shared" si="705"/>
        <v>96</v>
      </c>
      <c r="EC133" s="336">
        <f t="shared" si="706"/>
        <v>0</v>
      </c>
      <c r="ED133" s="336">
        <f t="shared" si="621"/>
        <v>0</v>
      </c>
      <c r="EE133" s="336">
        <f t="shared" si="622"/>
        <v>0</v>
      </c>
      <c r="EF133" s="336">
        <f t="shared" si="623"/>
        <v>96</v>
      </c>
      <c r="EG133" s="336">
        <f t="shared" si="624"/>
        <v>0</v>
      </c>
      <c r="EH133" s="336">
        <f t="shared" si="625"/>
        <v>96</v>
      </c>
      <c r="EI133" s="336">
        <f t="shared" si="626"/>
        <v>96</v>
      </c>
      <c r="EJ133" s="336">
        <f t="shared" si="627"/>
        <v>0</v>
      </c>
      <c r="EK133" s="336">
        <f t="shared" si="628"/>
        <v>0</v>
      </c>
      <c r="EL133" s="336">
        <f t="shared" si="629"/>
        <v>0</v>
      </c>
      <c r="EM133" s="336">
        <f t="shared" si="630"/>
        <v>0</v>
      </c>
      <c r="EN133" s="336">
        <f t="shared" si="631"/>
        <v>0</v>
      </c>
      <c r="EO133" s="336">
        <f t="shared" si="632"/>
        <v>0</v>
      </c>
      <c r="EP133" s="336">
        <f t="shared" si="633"/>
        <v>0</v>
      </c>
      <c r="EQ133" s="336">
        <f t="shared" si="634"/>
        <v>0</v>
      </c>
      <c r="ER133" s="336">
        <f t="shared" si="635"/>
        <v>0</v>
      </c>
      <c r="ES133" s="336">
        <f t="shared" si="636"/>
        <v>0</v>
      </c>
      <c r="ET133" s="336">
        <f t="shared" si="636"/>
        <v>0</v>
      </c>
      <c r="EU133" s="336">
        <f t="shared" si="637"/>
        <v>0</v>
      </c>
      <c r="EV133" s="336">
        <f t="shared" si="638"/>
        <v>0</v>
      </c>
      <c r="EW133" s="336">
        <f t="shared" si="639"/>
        <v>0</v>
      </c>
      <c r="EX133" s="336">
        <f t="shared" si="640"/>
        <v>0</v>
      </c>
      <c r="EY133" s="336">
        <f t="shared" si="641"/>
        <v>0</v>
      </c>
      <c r="EZ133" s="336">
        <f t="shared" si="642"/>
        <v>0</v>
      </c>
      <c r="FA133" s="336">
        <f t="shared" si="643"/>
        <v>0</v>
      </c>
      <c r="FB133" s="336">
        <f t="shared" si="644"/>
        <v>0</v>
      </c>
      <c r="FC133" s="336">
        <f t="shared" si="645"/>
        <v>0</v>
      </c>
      <c r="FD133" s="336">
        <f t="shared" si="646"/>
        <v>0</v>
      </c>
      <c r="FE133" s="336">
        <f t="shared" si="647"/>
        <v>0</v>
      </c>
      <c r="FF133" s="336">
        <f t="shared" si="648"/>
        <v>0</v>
      </c>
      <c r="FG133" s="336">
        <f t="shared" si="649"/>
        <v>0</v>
      </c>
      <c r="FH133" s="336">
        <f t="shared" si="650"/>
        <v>0</v>
      </c>
      <c r="FI133" s="336">
        <f t="shared" si="651"/>
        <v>0</v>
      </c>
      <c r="FJ133" s="336">
        <f t="shared" si="652"/>
        <v>0</v>
      </c>
      <c r="FK133" s="336">
        <f t="shared" si="653"/>
        <v>0</v>
      </c>
      <c r="FL133" s="336">
        <f t="shared" si="654"/>
        <v>0</v>
      </c>
      <c r="FM133" s="336">
        <f t="shared" si="655"/>
        <v>0</v>
      </c>
      <c r="FN133" s="336">
        <f t="shared" si="656"/>
        <v>0</v>
      </c>
      <c r="FO133" s="336">
        <f t="shared" si="657"/>
        <v>0</v>
      </c>
      <c r="FP133" s="336">
        <f t="shared" si="658"/>
        <v>0</v>
      </c>
      <c r="FQ133" s="336">
        <f t="shared" si="659"/>
        <v>0</v>
      </c>
      <c r="FR133" s="336">
        <f t="shared" si="660"/>
        <v>0</v>
      </c>
      <c r="FS133" s="336">
        <f t="shared" si="661"/>
        <v>0</v>
      </c>
      <c r="FT133" s="336">
        <f t="shared" si="662"/>
        <v>0</v>
      </c>
      <c r="FU133" s="336">
        <f t="shared" si="860"/>
        <v>0</v>
      </c>
      <c r="FV133" s="336">
        <f t="shared" si="861"/>
        <v>0</v>
      </c>
      <c r="FW133" s="336">
        <f t="shared" si="862"/>
        <v>0</v>
      </c>
      <c r="FX133" s="336">
        <f t="shared" si="863"/>
        <v>0</v>
      </c>
      <c r="FY133" s="336">
        <f t="shared" si="663"/>
        <v>0</v>
      </c>
      <c r="FZ133" s="336">
        <f t="shared" si="664"/>
        <v>0</v>
      </c>
      <c r="GA133" s="336">
        <f t="shared" si="665"/>
        <v>0</v>
      </c>
      <c r="GB133" s="336">
        <f t="shared" si="666"/>
        <v>0</v>
      </c>
      <c r="GC133" s="336">
        <f t="shared" si="667"/>
        <v>0</v>
      </c>
      <c r="GD133" s="336">
        <f t="shared" si="668"/>
        <v>0</v>
      </c>
      <c r="GE133" s="336">
        <f t="shared" si="669"/>
        <v>0</v>
      </c>
      <c r="GF133" s="336">
        <f t="shared" si="670"/>
        <v>0</v>
      </c>
      <c r="GG133" s="336">
        <f t="shared" si="671"/>
        <v>0</v>
      </c>
      <c r="GH133" s="336">
        <f t="shared" si="672"/>
        <v>0</v>
      </c>
      <c r="GI133" s="336">
        <f t="shared" si="673"/>
        <v>0</v>
      </c>
      <c r="GJ133" s="336">
        <f t="shared" si="674"/>
        <v>0</v>
      </c>
      <c r="GK133" s="336">
        <f t="shared" si="852"/>
        <v>0</v>
      </c>
      <c r="GL133" s="336">
        <f t="shared" si="864"/>
        <v>0</v>
      </c>
      <c r="GM133" s="336">
        <f t="shared" si="675"/>
        <v>0</v>
      </c>
    </row>
    <row r="134" spans="1:195" ht="36.75" customHeight="1">
      <c r="A134" s="388">
        <f t="shared" si="865"/>
        <v>93</v>
      </c>
      <c r="B134" s="406" t="s">
        <v>1662</v>
      </c>
      <c r="C134" s="388" t="s">
        <v>489</v>
      </c>
      <c r="D134" s="338" t="s">
        <v>601</v>
      </c>
      <c r="E134" s="502" t="s">
        <v>345</v>
      </c>
      <c r="F134" s="388" t="s">
        <v>29</v>
      </c>
      <c r="G134" s="388" t="s">
        <v>329</v>
      </c>
      <c r="H134" s="418">
        <v>7.5</v>
      </c>
      <c r="I134" s="388" t="s">
        <v>330</v>
      </c>
      <c r="J134" s="388" t="s">
        <v>331</v>
      </c>
      <c r="K134" s="434">
        <v>400</v>
      </c>
      <c r="L134" s="401">
        <v>0.85</v>
      </c>
      <c r="M134" s="418">
        <v>0.95</v>
      </c>
      <c r="N134" s="392">
        <f t="shared" si="871"/>
        <v>13.406359261827985</v>
      </c>
      <c r="O134" s="392">
        <f t="shared" si="867"/>
        <v>0</v>
      </c>
      <c r="P134" s="401" t="str">
        <f t="shared" si="872"/>
        <v>0.00</v>
      </c>
      <c r="Q134" s="418">
        <v>65</v>
      </c>
      <c r="R134" s="418">
        <v>0</v>
      </c>
      <c r="S134" s="418">
        <f t="shared" si="873"/>
        <v>0</v>
      </c>
      <c r="T134" s="401" t="s">
        <v>131</v>
      </c>
      <c r="U134" s="418" t="s">
        <v>535</v>
      </c>
      <c r="V134" s="401">
        <v>35</v>
      </c>
      <c r="W134" s="401" t="str">
        <f t="shared" si="874"/>
        <v>3.5C X 35</v>
      </c>
      <c r="X134" s="401" t="str">
        <f t="shared" si="875"/>
        <v>3.5C X 35</v>
      </c>
      <c r="Y134" s="401" t="s">
        <v>358</v>
      </c>
      <c r="Z134" s="393">
        <f>IF(T134="AIR",VLOOKUP(W134,'Catalogue Aluminium'!$B$9:$G$93,2,FALSE),IF(T134="GROUND",VLOOKUP(W134,'Catalogue Aluminium'!$B$9:$G$93,3,FALSE),IF(T134="DUCT",VLOOKUP(W134,'Catalogue Aluminium'!$B$9:$G$93,4,FALSE),IF(T134="TRENCH",VLOOKUP(W134,'Catalogue Aluminium'!$B$9:$G$93,2,FALSE)))))</f>
        <v>117</v>
      </c>
      <c r="AA134" s="402">
        <f>VLOOKUP(W134,'Catalogue Aluminium'!$B$9:$G$93,5,FALSE)</f>
        <v>1.1100000000000001</v>
      </c>
      <c r="AB134" s="402">
        <f>VLOOKUP(W134,'Catalogue Aluminium'!$B$9:$G$93,6,FALSE)</f>
        <v>7.9399999999999998E-2</v>
      </c>
      <c r="AC134" s="401">
        <f t="shared" ref="AC134" si="897">17+3</f>
        <v>20</v>
      </c>
      <c r="AD134" s="401">
        <f>40+50+38+50+17+(27+26)</f>
        <v>248</v>
      </c>
      <c r="AE134" s="401">
        <f t="shared" si="877"/>
        <v>38</v>
      </c>
      <c r="AF134" s="401">
        <v>8</v>
      </c>
      <c r="AG134" s="401">
        <f t="shared" si="878"/>
        <v>32</v>
      </c>
      <c r="AH134" s="436">
        <f t="shared" si="879"/>
        <v>346</v>
      </c>
      <c r="AI134" s="393">
        <f>IF(T134="AIR",'Catalogue Aluminium'!$K$9,IF(T134="TRENCH",'Catalogue Aluminium'!$K$12,"NA"))</f>
        <v>0.89</v>
      </c>
      <c r="AJ134" s="392">
        <f>IF(T134="Air",(IF(U134="1C",'Catalogue Aluminium'!$L$9,'Catalogue Aluminium'!$M$9)),IF(T134="DUCT",(IF($U134="1C",'Catalogue Aluminium'!$L$10,'Catalogue Aluminium'!$M$10)),IF(T134="GROUND",(IF($U134="1C",'Catalogue Aluminium'!$L$11,'Catalogue Aluminium'!$M$11)),IF(T134="TRENCH",(IF($U134="1C",'Catalogue Aluminium'!$L$12,'Catalogue Aluminium'!$M$12))))))</f>
        <v>0.66</v>
      </c>
      <c r="AK134" s="393" t="str">
        <f>IF(T134="Air",'Catalogue Aluminium'!$N$9,IF(T134="GROUND",'Catalogue Aluminium'!$N$10,IF(T134="DUCT",'Catalogue Aluminium'!$N$11,IF(T134="TRENCH",'Catalogue Aluminium'!$N$12,"NA"))))</f>
        <v>NA</v>
      </c>
      <c r="AL134" s="393" t="str">
        <f>IF(T134="Air",(IF(U134="1C",'Catalogue Aluminium'!$O$9,'Catalogue Aluminium'!$P$9)),IF(T134="DUCT",(IF($U134="1C",'Catalogue Aluminium'!$O$10,'Catalogue Aluminium'!$P$10)),IF(T134="GROUND",(IF($U134="1C",'Catalogue Aluminium'!$O$11,'Catalogue Aluminium'!$P$11)),IF(T134="TRENCH",(IF($U134="1C",'Catalogue Aluminium'!$O$12,'Catalogue Aluminium'!$P$12))))))</f>
        <v>NA</v>
      </c>
      <c r="AM134" s="393" t="str">
        <f>IF(T134="AIR","NA",IF(T134="TRENCH","NA",IF(T134="DUCT",IF(U134="1C",VLOOKUP(V134,'Catalogue Aluminium'!$Q$9:$S$28,2,FALSE),VLOOKUP(V134,'Catalogue Aluminium'!$Q$9:$S$28,3)),IF(T134="GROUND",IF(U134="1C",VLOOKUP(V134,'Catalogue Aluminium'!$Q$9:$S$28,2,FALSE),VLOOKUP(V134,'Catalogue Aluminium'!$Q$9:$S$28,3))))))</f>
        <v>NA</v>
      </c>
      <c r="AN134" s="437">
        <f t="shared" si="880"/>
        <v>0.58740000000000003</v>
      </c>
      <c r="AO134" s="418">
        <f t="shared" si="881"/>
        <v>68.725800000000007</v>
      </c>
      <c r="AP134" s="434">
        <f t="shared" si="689"/>
        <v>1</v>
      </c>
      <c r="AQ134" s="418" t="str">
        <f t="shared" si="882"/>
        <v>YES</v>
      </c>
      <c r="AR134" s="437">
        <f t="shared" si="883"/>
        <v>1.9791001483489812</v>
      </c>
      <c r="AS134" s="401" t="str">
        <f t="shared" si="884"/>
        <v>YES</v>
      </c>
      <c r="AT134" s="437" t="str">
        <f t="shared" si="885"/>
        <v>NA</v>
      </c>
      <c r="AU134" s="401" t="str">
        <f t="shared" si="886"/>
        <v>NA</v>
      </c>
      <c r="AV134" s="503" t="str">
        <f t="shared" si="887"/>
        <v>1R x 0.6/1kV x 3.5C x 35 Sqmm</v>
      </c>
      <c r="AW134" s="503" t="str">
        <f t="shared" si="888"/>
        <v>1R x 0.6/1kV x 3.5C x 35 Sqmm</v>
      </c>
      <c r="AX134" s="401">
        <f t="shared" si="889"/>
        <v>346</v>
      </c>
      <c r="AY134" s="504"/>
      <c r="AZ134" s="504">
        <f t="shared" si="890"/>
        <v>2</v>
      </c>
      <c r="BA134" s="438" t="str">
        <f t="shared" si="891"/>
        <v>ACDEE1E2</v>
      </c>
      <c r="BB134" s="505">
        <f>VLOOKUP(W134,'Catalogue Aluminium'!$B$9:$H$93,7,FALSE)</f>
        <v>27</v>
      </c>
      <c r="BC134" s="439">
        <f t="shared" si="892"/>
        <v>27</v>
      </c>
      <c r="BE134" s="336"/>
      <c r="BF134" s="336">
        <v>1</v>
      </c>
      <c r="BG134" s="336"/>
      <c r="BH134" s="336"/>
      <c r="BI134" s="336">
        <v>1</v>
      </c>
      <c r="BJ134" s="336">
        <v>1</v>
      </c>
      <c r="BK134" s="336"/>
      <c r="BL134" s="336"/>
      <c r="BM134" s="336"/>
      <c r="BN134" s="336">
        <v>1</v>
      </c>
      <c r="BO134" s="336"/>
      <c r="BP134" s="336">
        <v>1</v>
      </c>
      <c r="BQ134" s="336">
        <v>1</v>
      </c>
      <c r="BR134" s="336"/>
      <c r="BS134" s="336"/>
      <c r="BT134" s="336"/>
      <c r="BU134" s="336"/>
      <c r="BV134" s="336"/>
      <c r="BW134" s="336"/>
      <c r="BX134" s="336"/>
      <c r="BY134" s="336"/>
      <c r="BZ134" s="336"/>
      <c r="CA134" s="336"/>
      <c r="CB134" s="336"/>
      <c r="CC134" s="336"/>
      <c r="CD134" s="336"/>
      <c r="CE134" s="336"/>
      <c r="CF134" s="336"/>
      <c r="CG134" s="336"/>
      <c r="CH134" s="336"/>
      <c r="CI134" s="336"/>
      <c r="CJ134" s="336"/>
      <c r="CK134" s="336"/>
      <c r="CL134" s="336"/>
      <c r="CM134" s="336"/>
      <c r="CN134" s="336"/>
      <c r="CO134" s="336"/>
      <c r="CP134" s="336"/>
      <c r="CQ134" s="336"/>
      <c r="CR134" s="336"/>
      <c r="CS134" s="336"/>
      <c r="CT134" s="336"/>
      <c r="CU134" s="336"/>
      <c r="CV134" s="336"/>
      <c r="CW134" s="336"/>
      <c r="CX134" s="336"/>
      <c r="CY134" s="336"/>
      <c r="CZ134" s="336"/>
      <c r="DA134" s="336"/>
      <c r="DB134" s="336"/>
      <c r="DC134" s="336"/>
      <c r="DD134" s="336"/>
      <c r="DE134" s="336"/>
      <c r="DF134" s="336"/>
      <c r="DG134" s="336"/>
      <c r="DH134" s="336"/>
      <c r="DI134" s="336"/>
      <c r="DJ134" s="336"/>
      <c r="DK134" s="336"/>
      <c r="DL134" s="336"/>
      <c r="DM134" s="336"/>
      <c r="DN134" s="336"/>
      <c r="DO134" s="336"/>
      <c r="DP134" s="336"/>
      <c r="DQ134" s="336"/>
      <c r="DR134" s="336"/>
      <c r="DS134" s="336"/>
      <c r="DT134" s="336"/>
      <c r="DU134" s="336"/>
      <c r="DW134" s="336">
        <f t="shared" si="709"/>
        <v>0</v>
      </c>
      <c r="DX134" s="336">
        <f t="shared" si="701"/>
        <v>27</v>
      </c>
      <c r="DY134" s="336">
        <f t="shared" si="702"/>
        <v>0</v>
      </c>
      <c r="DZ134" s="336">
        <f t="shared" si="703"/>
        <v>0</v>
      </c>
      <c r="EA134" s="336">
        <f t="shared" si="704"/>
        <v>27</v>
      </c>
      <c r="EB134" s="336">
        <f t="shared" si="705"/>
        <v>27</v>
      </c>
      <c r="EC134" s="336">
        <f t="shared" si="706"/>
        <v>0</v>
      </c>
      <c r="ED134" s="336">
        <f t="shared" si="621"/>
        <v>0</v>
      </c>
      <c r="EE134" s="336">
        <f t="shared" si="622"/>
        <v>0</v>
      </c>
      <c r="EF134" s="336">
        <f t="shared" si="623"/>
        <v>27</v>
      </c>
      <c r="EG134" s="336">
        <f t="shared" si="624"/>
        <v>0</v>
      </c>
      <c r="EH134" s="336">
        <f t="shared" si="625"/>
        <v>27</v>
      </c>
      <c r="EI134" s="336">
        <f t="shared" si="626"/>
        <v>27</v>
      </c>
      <c r="EJ134" s="336">
        <f t="shared" si="627"/>
        <v>0</v>
      </c>
      <c r="EK134" s="336">
        <f t="shared" si="628"/>
        <v>0</v>
      </c>
      <c r="EL134" s="336">
        <f t="shared" si="629"/>
        <v>0</v>
      </c>
      <c r="EM134" s="336">
        <f t="shared" si="630"/>
        <v>0</v>
      </c>
      <c r="EN134" s="336">
        <f t="shared" si="631"/>
        <v>0</v>
      </c>
      <c r="EO134" s="336">
        <f t="shared" si="632"/>
        <v>0</v>
      </c>
      <c r="EP134" s="336">
        <f t="shared" si="633"/>
        <v>0</v>
      </c>
      <c r="EQ134" s="336">
        <f t="shared" si="634"/>
        <v>0</v>
      </c>
      <c r="ER134" s="336">
        <f t="shared" si="635"/>
        <v>0</v>
      </c>
      <c r="ES134" s="336">
        <f t="shared" si="636"/>
        <v>0</v>
      </c>
      <c r="ET134" s="336">
        <f t="shared" si="636"/>
        <v>0</v>
      </c>
      <c r="EU134" s="336">
        <f t="shared" si="637"/>
        <v>0</v>
      </c>
      <c r="EV134" s="336">
        <f t="shared" si="638"/>
        <v>0</v>
      </c>
      <c r="EW134" s="336">
        <f t="shared" si="639"/>
        <v>0</v>
      </c>
      <c r="EX134" s="336">
        <f t="shared" si="640"/>
        <v>0</v>
      </c>
      <c r="EY134" s="336">
        <f t="shared" si="641"/>
        <v>0</v>
      </c>
      <c r="EZ134" s="336">
        <f t="shared" si="642"/>
        <v>0</v>
      </c>
      <c r="FA134" s="336">
        <f t="shared" si="643"/>
        <v>0</v>
      </c>
      <c r="FB134" s="336">
        <f t="shared" si="644"/>
        <v>0</v>
      </c>
      <c r="FC134" s="336">
        <f t="shared" si="645"/>
        <v>0</v>
      </c>
      <c r="FD134" s="336">
        <f t="shared" si="646"/>
        <v>0</v>
      </c>
      <c r="FE134" s="336">
        <f t="shared" si="647"/>
        <v>0</v>
      </c>
      <c r="FF134" s="336">
        <f t="shared" si="648"/>
        <v>0</v>
      </c>
      <c r="FG134" s="336">
        <f t="shared" si="649"/>
        <v>0</v>
      </c>
      <c r="FH134" s="336">
        <f t="shared" si="650"/>
        <v>0</v>
      </c>
      <c r="FI134" s="336">
        <f t="shared" si="651"/>
        <v>0</v>
      </c>
      <c r="FJ134" s="336">
        <f t="shared" si="652"/>
        <v>0</v>
      </c>
      <c r="FK134" s="336">
        <f t="shared" si="653"/>
        <v>0</v>
      </c>
      <c r="FL134" s="336">
        <f t="shared" si="654"/>
        <v>0</v>
      </c>
      <c r="FM134" s="336">
        <f t="shared" si="655"/>
        <v>0</v>
      </c>
      <c r="FN134" s="336">
        <f t="shared" si="656"/>
        <v>0</v>
      </c>
      <c r="FO134" s="336">
        <f t="shared" si="657"/>
        <v>0</v>
      </c>
      <c r="FP134" s="336">
        <f t="shared" si="658"/>
        <v>0</v>
      </c>
      <c r="FQ134" s="336">
        <f t="shared" si="659"/>
        <v>0</v>
      </c>
      <c r="FR134" s="336">
        <f t="shared" si="660"/>
        <v>0</v>
      </c>
      <c r="FS134" s="336">
        <f t="shared" si="661"/>
        <v>0</v>
      </c>
      <c r="FT134" s="336">
        <f t="shared" si="662"/>
        <v>0</v>
      </c>
      <c r="FU134" s="336">
        <f t="shared" si="860"/>
        <v>0</v>
      </c>
      <c r="FV134" s="336">
        <f t="shared" si="861"/>
        <v>0</v>
      </c>
      <c r="FW134" s="336">
        <f t="shared" si="862"/>
        <v>0</v>
      </c>
      <c r="FX134" s="336">
        <f t="shared" si="863"/>
        <v>0</v>
      </c>
      <c r="FY134" s="336">
        <f t="shared" si="663"/>
        <v>0</v>
      </c>
      <c r="FZ134" s="336">
        <f t="shared" si="664"/>
        <v>0</v>
      </c>
      <c r="GA134" s="336">
        <f t="shared" si="665"/>
        <v>0</v>
      </c>
      <c r="GB134" s="336">
        <f t="shared" si="666"/>
        <v>0</v>
      </c>
      <c r="GC134" s="336">
        <f t="shared" si="667"/>
        <v>0</v>
      </c>
      <c r="GD134" s="336">
        <f t="shared" si="668"/>
        <v>0</v>
      </c>
      <c r="GE134" s="336">
        <f t="shared" si="669"/>
        <v>0</v>
      </c>
      <c r="GF134" s="336">
        <f t="shared" si="670"/>
        <v>0</v>
      </c>
      <c r="GG134" s="336">
        <f t="shared" si="671"/>
        <v>0</v>
      </c>
      <c r="GH134" s="336">
        <f t="shared" si="672"/>
        <v>0</v>
      </c>
      <c r="GI134" s="336">
        <f t="shared" si="673"/>
        <v>0</v>
      </c>
      <c r="GJ134" s="336">
        <f t="shared" si="674"/>
        <v>0</v>
      </c>
      <c r="GK134" s="336">
        <f t="shared" si="852"/>
        <v>0</v>
      </c>
      <c r="GL134" s="336">
        <f t="shared" si="864"/>
        <v>0</v>
      </c>
      <c r="GM134" s="336">
        <f t="shared" si="675"/>
        <v>0</v>
      </c>
    </row>
    <row r="135" spans="1:195" ht="27" customHeight="1">
      <c r="A135" s="388">
        <f t="shared" si="865"/>
        <v>94</v>
      </c>
      <c r="B135" s="388" t="s">
        <v>527</v>
      </c>
      <c r="C135" s="388" t="s">
        <v>489</v>
      </c>
      <c r="D135" s="338" t="s">
        <v>604</v>
      </c>
      <c r="E135" s="502" t="s">
        <v>345</v>
      </c>
      <c r="F135" s="388" t="s">
        <v>28</v>
      </c>
      <c r="G135" s="388" t="s">
        <v>329</v>
      </c>
      <c r="H135" s="418">
        <v>1</v>
      </c>
      <c r="I135" s="388" t="s">
        <v>330</v>
      </c>
      <c r="J135" s="388" t="s">
        <v>357</v>
      </c>
      <c r="K135" s="434">
        <v>230</v>
      </c>
      <c r="L135" s="401">
        <v>0.85</v>
      </c>
      <c r="M135" s="418">
        <v>0.95</v>
      </c>
      <c r="N135" s="392">
        <f t="shared" si="871"/>
        <v>5.3843047516489433</v>
      </c>
      <c r="O135" s="392">
        <f t="shared" si="867"/>
        <v>0</v>
      </c>
      <c r="P135" s="401" t="str">
        <f t="shared" si="872"/>
        <v>0.00</v>
      </c>
      <c r="Q135" s="418">
        <v>65</v>
      </c>
      <c r="R135" s="418">
        <v>0</v>
      </c>
      <c r="S135" s="418">
        <f t="shared" si="873"/>
        <v>0</v>
      </c>
      <c r="T135" s="401" t="s">
        <v>131</v>
      </c>
      <c r="U135" s="418" t="s">
        <v>333</v>
      </c>
      <c r="V135" s="401">
        <v>25</v>
      </c>
      <c r="W135" s="401" t="str">
        <f t="shared" si="874"/>
        <v>3C X 25</v>
      </c>
      <c r="X135" s="401" t="str">
        <f t="shared" si="875"/>
        <v>3C X 25</v>
      </c>
      <c r="Y135" s="401" t="s">
        <v>358</v>
      </c>
      <c r="Z135" s="393">
        <f>IF(T135="AIR",VLOOKUP(W135,'Catalogue Aluminium'!$B$9:$G$93,2,FALSE),IF(T135="GROUND",VLOOKUP(W135,'Catalogue Aluminium'!$B$9:$G$93,3,FALSE),IF(T135="DUCT",VLOOKUP(W135,'Catalogue Aluminium'!$B$9:$G$93,4,FALSE),IF(T135="TRENCH",VLOOKUP(W135,'Catalogue Aluminium'!$B$9:$G$93,2,FALSE)))))</f>
        <v>95</v>
      </c>
      <c r="AA135" s="402">
        <f>VLOOKUP(W135,'Catalogue Aluminium'!$B$9:$G$93,5,FALSE)</f>
        <v>1.54</v>
      </c>
      <c r="AB135" s="402">
        <f>VLOOKUP(W135,'Catalogue Aluminium'!$B$9:$G$93,6,FALSE)</f>
        <v>8.1600000000000006E-2</v>
      </c>
      <c r="AC135" s="401">
        <f t="shared" si="876"/>
        <v>29</v>
      </c>
      <c r="AD135" s="401">
        <f>40+50+38+50+17+(27+40)</f>
        <v>262</v>
      </c>
      <c r="AE135" s="401">
        <f t="shared" si="877"/>
        <v>38</v>
      </c>
      <c r="AF135" s="401">
        <v>8</v>
      </c>
      <c r="AG135" s="401">
        <f t="shared" si="878"/>
        <v>34</v>
      </c>
      <c r="AH135" s="436">
        <f t="shared" si="879"/>
        <v>371</v>
      </c>
      <c r="AI135" s="393">
        <f>IF(T135="AIR",'Catalogue Aluminium'!$K$9,IF(T135="TRENCH",'Catalogue Aluminium'!$K$12,"NA"))</f>
        <v>0.89</v>
      </c>
      <c r="AJ135" s="392">
        <f>IF(T135="Air",(IF(U135="1C",'Catalogue Aluminium'!$L$9,'Catalogue Aluminium'!$M$9)),IF(T135="DUCT",(IF($U135="1C",'Catalogue Aluminium'!$L$10,'Catalogue Aluminium'!$M$10)),IF(T135="GROUND",(IF($U135="1C",'Catalogue Aluminium'!$L$11,'Catalogue Aluminium'!$M$11)),IF(T135="TRENCH",(IF($U135="1C",'Catalogue Aluminium'!$L$12,'Catalogue Aluminium'!$M$12))))))</f>
        <v>0.66</v>
      </c>
      <c r="AK135" s="393" t="str">
        <f>IF(T135="Air",'Catalogue Aluminium'!$N$9,IF(T135="GROUND",'Catalogue Aluminium'!$N$10,IF(T135="DUCT",'Catalogue Aluminium'!$N$11,IF(T135="TRENCH",'Catalogue Aluminium'!$N$12,"NA"))))</f>
        <v>NA</v>
      </c>
      <c r="AL135" s="393" t="str">
        <f>IF(T135="Air",(IF(U135="1C",'Catalogue Aluminium'!$O$9,'Catalogue Aluminium'!$P$9)),IF(T135="DUCT",(IF($U135="1C",'Catalogue Aluminium'!$O$10,'Catalogue Aluminium'!$P$10)),IF(T135="GROUND",(IF($U135="1C",'Catalogue Aluminium'!$O$11,'Catalogue Aluminium'!$P$11)),IF(T135="TRENCH",(IF($U135="1C",'Catalogue Aluminium'!$O$12,'Catalogue Aluminium'!$P$12))))))</f>
        <v>NA</v>
      </c>
      <c r="AM135" s="393" t="str">
        <f>IF(T135="AIR","NA",IF(T135="TRENCH","NA",IF(T135="DUCT",IF(U135="1C",VLOOKUP(V135,'Catalogue Aluminium'!$Q$9:$S$28,2,FALSE),VLOOKUP(V135,'Catalogue Aluminium'!$Q$9:$S$28,3)),IF(T135="GROUND",IF(U135="1C",VLOOKUP(V135,'Catalogue Aluminium'!$Q$9:$S$28,2,FALSE),VLOOKUP(V135,'Catalogue Aluminium'!$Q$9:$S$28,3))))))</f>
        <v>NA</v>
      </c>
      <c r="AN135" s="437">
        <f t="shared" si="880"/>
        <v>0.58740000000000003</v>
      </c>
      <c r="AO135" s="418">
        <f t="shared" si="881"/>
        <v>55.803000000000004</v>
      </c>
      <c r="AP135" s="434">
        <f t="shared" si="689"/>
        <v>1</v>
      </c>
      <c r="AQ135" s="418" t="str">
        <f t="shared" si="882"/>
        <v>YES</v>
      </c>
      <c r="AR135" s="437">
        <f t="shared" si="883"/>
        <v>2.0338005351472837</v>
      </c>
      <c r="AS135" s="401" t="str">
        <f t="shared" si="884"/>
        <v>YES</v>
      </c>
      <c r="AT135" s="437" t="str">
        <f t="shared" si="885"/>
        <v>NA</v>
      </c>
      <c r="AU135" s="401" t="str">
        <f t="shared" si="886"/>
        <v>NA</v>
      </c>
      <c r="AV135" s="503" t="str">
        <f t="shared" si="887"/>
        <v>1R x 0.6/1kV x 3C x 25 Sqmm</v>
      </c>
      <c r="AW135" s="503" t="str">
        <f t="shared" si="888"/>
        <v>1R x 0.6/1kV x 3C x 25 Sqmm</v>
      </c>
      <c r="AX135" s="401">
        <f t="shared" si="889"/>
        <v>371</v>
      </c>
      <c r="AY135" s="504"/>
      <c r="AZ135" s="504">
        <f t="shared" si="890"/>
        <v>2</v>
      </c>
      <c r="BA135" s="438" t="str">
        <f t="shared" si="891"/>
        <v>ACDEE1E2</v>
      </c>
      <c r="BB135" s="505">
        <f>VLOOKUP(W135,'Catalogue Aluminium'!$B$9:$H$93,7,FALSE)</f>
        <v>21</v>
      </c>
      <c r="BC135" s="439">
        <f t="shared" si="892"/>
        <v>21</v>
      </c>
      <c r="BE135" s="336"/>
      <c r="BF135" s="336">
        <v>1</v>
      </c>
      <c r="BG135" s="336"/>
      <c r="BH135" s="336"/>
      <c r="BI135" s="336">
        <v>1</v>
      </c>
      <c r="BJ135" s="336">
        <v>1</v>
      </c>
      <c r="BK135" s="336"/>
      <c r="BL135" s="336"/>
      <c r="BM135" s="336"/>
      <c r="BN135" s="336">
        <v>1</v>
      </c>
      <c r="BO135" s="336"/>
      <c r="BP135" s="336">
        <v>1</v>
      </c>
      <c r="BQ135" s="336">
        <v>1</v>
      </c>
      <c r="BR135" s="336"/>
      <c r="BS135" s="336"/>
      <c r="BT135" s="336"/>
      <c r="BU135" s="336"/>
      <c r="BV135" s="336"/>
      <c r="BW135" s="336"/>
      <c r="BX135" s="336"/>
      <c r="BY135" s="336"/>
      <c r="BZ135" s="336"/>
      <c r="CA135" s="336"/>
      <c r="CB135" s="336"/>
      <c r="CC135" s="336"/>
      <c r="CD135" s="336"/>
      <c r="CE135" s="336"/>
      <c r="CF135" s="336"/>
      <c r="CG135" s="336"/>
      <c r="CH135" s="336"/>
      <c r="CI135" s="336"/>
      <c r="CJ135" s="336"/>
      <c r="CK135" s="336"/>
      <c r="CL135" s="336"/>
      <c r="CM135" s="336"/>
      <c r="CN135" s="336"/>
      <c r="CO135" s="336"/>
      <c r="CP135" s="336"/>
      <c r="CQ135" s="336"/>
      <c r="CR135" s="336"/>
      <c r="CS135" s="336"/>
      <c r="CT135" s="336"/>
      <c r="CU135" s="336"/>
      <c r="CV135" s="336"/>
      <c r="CW135" s="336"/>
      <c r="CX135" s="336"/>
      <c r="CY135" s="336"/>
      <c r="CZ135" s="336"/>
      <c r="DA135" s="336"/>
      <c r="DB135" s="336"/>
      <c r="DC135" s="336"/>
      <c r="DD135" s="336"/>
      <c r="DE135" s="336"/>
      <c r="DF135" s="336"/>
      <c r="DG135" s="336"/>
      <c r="DH135" s="336"/>
      <c r="DI135" s="336"/>
      <c r="DJ135" s="336"/>
      <c r="DK135" s="336"/>
      <c r="DL135" s="336"/>
      <c r="DM135" s="336"/>
      <c r="DN135" s="336"/>
      <c r="DO135" s="336"/>
      <c r="DP135" s="336"/>
      <c r="DQ135" s="336"/>
      <c r="DR135" s="336"/>
      <c r="DS135" s="336"/>
      <c r="DT135" s="336"/>
      <c r="DU135" s="336"/>
      <c r="DW135" s="336">
        <f t="shared" si="709"/>
        <v>0</v>
      </c>
      <c r="DX135" s="336">
        <f t="shared" si="701"/>
        <v>21</v>
      </c>
      <c r="DY135" s="336">
        <f t="shared" si="702"/>
        <v>0</v>
      </c>
      <c r="DZ135" s="336">
        <f t="shared" si="703"/>
        <v>0</v>
      </c>
      <c r="EA135" s="336">
        <f t="shared" si="704"/>
        <v>21</v>
      </c>
      <c r="EB135" s="336">
        <f t="shared" si="705"/>
        <v>21</v>
      </c>
      <c r="EC135" s="336">
        <f t="shared" si="706"/>
        <v>0</v>
      </c>
      <c r="ED135" s="336">
        <f t="shared" si="621"/>
        <v>0</v>
      </c>
      <c r="EE135" s="336">
        <f t="shared" si="622"/>
        <v>0</v>
      </c>
      <c r="EF135" s="336">
        <f t="shared" si="623"/>
        <v>21</v>
      </c>
      <c r="EG135" s="336">
        <f t="shared" si="624"/>
        <v>0</v>
      </c>
      <c r="EH135" s="336">
        <f t="shared" si="625"/>
        <v>21</v>
      </c>
      <c r="EI135" s="336">
        <f t="shared" si="626"/>
        <v>21</v>
      </c>
      <c r="EJ135" s="336">
        <f t="shared" si="627"/>
        <v>0</v>
      </c>
      <c r="EK135" s="336">
        <f t="shared" si="628"/>
        <v>0</v>
      </c>
      <c r="EL135" s="336">
        <f t="shared" si="629"/>
        <v>0</v>
      </c>
      <c r="EM135" s="336">
        <f t="shared" si="630"/>
        <v>0</v>
      </c>
      <c r="EN135" s="336">
        <f t="shared" si="631"/>
        <v>0</v>
      </c>
      <c r="EO135" s="336">
        <f t="shared" si="632"/>
        <v>0</v>
      </c>
      <c r="EP135" s="336">
        <f t="shared" si="633"/>
        <v>0</v>
      </c>
      <c r="EQ135" s="336">
        <f t="shared" si="634"/>
        <v>0</v>
      </c>
      <c r="ER135" s="336">
        <f t="shared" si="635"/>
        <v>0</v>
      </c>
      <c r="ES135" s="336">
        <f t="shared" si="636"/>
        <v>0</v>
      </c>
      <c r="ET135" s="336">
        <f t="shared" si="636"/>
        <v>0</v>
      </c>
      <c r="EU135" s="336">
        <f t="shared" si="637"/>
        <v>0</v>
      </c>
      <c r="EV135" s="336">
        <f t="shared" si="638"/>
        <v>0</v>
      </c>
      <c r="EW135" s="336">
        <f t="shared" si="639"/>
        <v>0</v>
      </c>
      <c r="EX135" s="336">
        <f t="shared" si="640"/>
        <v>0</v>
      </c>
      <c r="EY135" s="336">
        <f t="shared" si="641"/>
        <v>0</v>
      </c>
      <c r="EZ135" s="336">
        <f t="shared" si="642"/>
        <v>0</v>
      </c>
      <c r="FA135" s="336">
        <f t="shared" si="643"/>
        <v>0</v>
      </c>
      <c r="FB135" s="336">
        <f t="shared" si="644"/>
        <v>0</v>
      </c>
      <c r="FC135" s="336">
        <f t="shared" si="645"/>
        <v>0</v>
      </c>
      <c r="FD135" s="336">
        <f t="shared" si="646"/>
        <v>0</v>
      </c>
      <c r="FE135" s="336">
        <f t="shared" si="647"/>
        <v>0</v>
      </c>
      <c r="FF135" s="336">
        <f t="shared" si="648"/>
        <v>0</v>
      </c>
      <c r="FG135" s="336">
        <f t="shared" si="649"/>
        <v>0</v>
      </c>
      <c r="FH135" s="336">
        <f t="shared" si="650"/>
        <v>0</v>
      </c>
      <c r="FI135" s="336">
        <f t="shared" si="651"/>
        <v>0</v>
      </c>
      <c r="FJ135" s="336">
        <f t="shared" si="652"/>
        <v>0</v>
      </c>
      <c r="FK135" s="336">
        <f t="shared" si="653"/>
        <v>0</v>
      </c>
      <c r="FL135" s="336">
        <f t="shared" si="654"/>
        <v>0</v>
      </c>
      <c r="FM135" s="336">
        <f t="shared" si="655"/>
        <v>0</v>
      </c>
      <c r="FN135" s="336">
        <f t="shared" si="656"/>
        <v>0</v>
      </c>
      <c r="FO135" s="336">
        <f t="shared" si="657"/>
        <v>0</v>
      </c>
      <c r="FP135" s="336">
        <f t="shared" si="658"/>
        <v>0</v>
      </c>
      <c r="FQ135" s="336">
        <f t="shared" si="659"/>
        <v>0</v>
      </c>
      <c r="FR135" s="336">
        <f t="shared" si="660"/>
        <v>0</v>
      </c>
      <c r="FS135" s="336">
        <f t="shared" si="661"/>
        <v>0</v>
      </c>
      <c r="FT135" s="336">
        <f t="shared" si="662"/>
        <v>0</v>
      </c>
      <c r="FU135" s="336">
        <f t="shared" si="860"/>
        <v>0</v>
      </c>
      <c r="FV135" s="336">
        <f t="shared" si="861"/>
        <v>0</v>
      </c>
      <c r="FW135" s="336">
        <f t="shared" si="862"/>
        <v>0</v>
      </c>
      <c r="FX135" s="336">
        <f t="shared" si="863"/>
        <v>0</v>
      </c>
      <c r="FY135" s="336">
        <f t="shared" si="663"/>
        <v>0</v>
      </c>
      <c r="FZ135" s="336">
        <f t="shared" si="664"/>
        <v>0</v>
      </c>
      <c r="GA135" s="336">
        <f t="shared" si="665"/>
        <v>0</v>
      </c>
      <c r="GB135" s="336">
        <f t="shared" si="666"/>
        <v>0</v>
      </c>
      <c r="GC135" s="336">
        <f t="shared" si="667"/>
        <v>0</v>
      </c>
      <c r="GD135" s="336">
        <f t="shared" si="668"/>
        <v>0</v>
      </c>
      <c r="GE135" s="336">
        <f t="shared" si="669"/>
        <v>0</v>
      </c>
      <c r="GF135" s="336">
        <f t="shared" si="670"/>
        <v>0</v>
      </c>
      <c r="GG135" s="336">
        <f t="shared" si="671"/>
        <v>0</v>
      </c>
      <c r="GH135" s="336">
        <f t="shared" si="672"/>
        <v>0</v>
      </c>
      <c r="GI135" s="336">
        <f t="shared" si="673"/>
        <v>0</v>
      </c>
      <c r="GJ135" s="336">
        <f t="shared" si="674"/>
        <v>0</v>
      </c>
      <c r="GK135" s="336">
        <f t="shared" si="852"/>
        <v>0</v>
      </c>
      <c r="GL135" s="336">
        <f t="shared" si="864"/>
        <v>0</v>
      </c>
      <c r="GM135" s="336">
        <f t="shared" si="675"/>
        <v>0</v>
      </c>
    </row>
    <row r="136" spans="1:195" ht="20.100000000000001" customHeight="1">
      <c r="A136" s="388">
        <f t="shared" si="865"/>
        <v>95</v>
      </c>
      <c r="B136" s="388" t="s">
        <v>527</v>
      </c>
      <c r="C136" s="388" t="s">
        <v>489</v>
      </c>
      <c r="D136" s="338" t="s">
        <v>594</v>
      </c>
      <c r="E136" s="502" t="s">
        <v>345</v>
      </c>
      <c r="F136" s="388" t="s">
        <v>29</v>
      </c>
      <c r="G136" s="388" t="s">
        <v>329</v>
      </c>
      <c r="H136" s="418">
        <v>2</v>
      </c>
      <c r="I136" s="388" t="s">
        <v>330</v>
      </c>
      <c r="J136" s="388" t="s">
        <v>331</v>
      </c>
      <c r="K136" s="434">
        <v>400</v>
      </c>
      <c r="L136" s="401">
        <v>0.85</v>
      </c>
      <c r="M136" s="418">
        <v>0.95</v>
      </c>
      <c r="N136" s="392">
        <f t="shared" si="871"/>
        <v>3.5750291364874629</v>
      </c>
      <c r="O136" s="392">
        <f t="shared" si="867"/>
        <v>0</v>
      </c>
      <c r="P136" s="401" t="str">
        <f t="shared" si="872"/>
        <v>0.00</v>
      </c>
      <c r="Q136" s="418">
        <v>65</v>
      </c>
      <c r="R136" s="418">
        <v>0</v>
      </c>
      <c r="S136" s="418">
        <f t="shared" si="873"/>
        <v>0</v>
      </c>
      <c r="T136" s="401" t="s">
        <v>131</v>
      </c>
      <c r="U136" s="418" t="s">
        <v>522</v>
      </c>
      <c r="V136" s="401">
        <v>16</v>
      </c>
      <c r="W136" s="401" t="str">
        <f t="shared" si="874"/>
        <v>4C X 16</v>
      </c>
      <c r="X136" s="401" t="str">
        <f t="shared" si="875"/>
        <v>4C X 16</v>
      </c>
      <c r="Y136" s="401" t="s">
        <v>358</v>
      </c>
      <c r="Z136" s="393">
        <f>IF(T136="AIR",VLOOKUP(W136,'Catalogue Aluminium'!$B$9:$G$93,2,FALSE),IF(T136="GROUND",VLOOKUP(W136,'Catalogue Aluminium'!$B$9:$G$93,3,FALSE),IF(T136="DUCT",VLOOKUP(W136,'Catalogue Aluminium'!$B$9:$G$93,4,FALSE),IF(T136="TRENCH",VLOOKUP(W136,'Catalogue Aluminium'!$B$9:$G$93,2,FALSE)))))</f>
        <v>70</v>
      </c>
      <c r="AA136" s="402">
        <f>VLOOKUP(W136,'Catalogue Aluminium'!$B$9:$G$93,5,FALSE)</f>
        <v>2.44</v>
      </c>
      <c r="AB136" s="402">
        <f>VLOOKUP(W136,'Catalogue Aluminium'!$B$9:$G$93,6,FALSE)</f>
        <v>8.1500000000000003E-2</v>
      </c>
      <c r="AC136" s="401">
        <f t="shared" ref="AC136" si="898">17+3</f>
        <v>20</v>
      </c>
      <c r="AD136" s="401">
        <f>40+50+38+50+17+(27+41)</f>
        <v>263</v>
      </c>
      <c r="AE136" s="401">
        <f t="shared" si="877"/>
        <v>38</v>
      </c>
      <c r="AF136" s="401">
        <v>8</v>
      </c>
      <c r="AG136" s="401">
        <f t="shared" si="878"/>
        <v>33</v>
      </c>
      <c r="AH136" s="436">
        <f t="shared" si="879"/>
        <v>362</v>
      </c>
      <c r="AI136" s="393">
        <f>IF(T136="AIR",'Catalogue Aluminium'!$K$9,IF(T136="TRENCH",'Catalogue Aluminium'!$K$12,"NA"))</f>
        <v>0.89</v>
      </c>
      <c r="AJ136" s="392">
        <f>IF(T136="Air",(IF(U136="1C",'Catalogue Aluminium'!$L$9,'Catalogue Aluminium'!$M$9)),IF(T136="DUCT",(IF($U136="1C",'Catalogue Aluminium'!$L$10,'Catalogue Aluminium'!$M$10)),IF(T136="GROUND",(IF($U136="1C",'Catalogue Aluminium'!$L$11,'Catalogue Aluminium'!$M$11)),IF(T136="TRENCH",(IF($U136="1C",'Catalogue Aluminium'!$L$12,'Catalogue Aluminium'!$M$12))))))</f>
        <v>0.66</v>
      </c>
      <c r="AK136" s="393" t="str">
        <f>IF(T136="Air",'Catalogue Aluminium'!$N$9,IF(T136="GROUND",'Catalogue Aluminium'!$N$10,IF(T136="DUCT",'Catalogue Aluminium'!$N$11,IF(T136="TRENCH",'Catalogue Aluminium'!$N$12,"NA"))))</f>
        <v>NA</v>
      </c>
      <c r="AL136" s="393" t="str">
        <f>IF(T136="Air",(IF(U136="1C",'Catalogue Aluminium'!$O$9,'Catalogue Aluminium'!$P$9)),IF(T136="DUCT",(IF($U136="1C",'Catalogue Aluminium'!$O$10,'Catalogue Aluminium'!$P$10)),IF(T136="GROUND",(IF($U136="1C",'Catalogue Aluminium'!$O$11,'Catalogue Aluminium'!$P$11)),IF(T136="TRENCH",(IF($U136="1C",'Catalogue Aluminium'!$O$12,'Catalogue Aluminium'!$P$12))))))</f>
        <v>NA</v>
      </c>
      <c r="AM136" s="393" t="str">
        <f>IF(T136="AIR","NA",IF(T136="TRENCH","NA",IF(T136="DUCT",IF(U136="1C",VLOOKUP(V136,'Catalogue Aluminium'!$Q$9:$S$28,2,FALSE),VLOOKUP(V136,'Catalogue Aluminium'!$Q$9:$S$28,3)),IF(T136="GROUND",IF(U136="1C",VLOOKUP(V136,'Catalogue Aluminium'!$Q$9:$S$28,2,FALSE),VLOOKUP(V136,'Catalogue Aluminium'!$Q$9:$S$28,3))))))</f>
        <v>NA</v>
      </c>
      <c r="AN136" s="437">
        <f t="shared" si="880"/>
        <v>0.58740000000000003</v>
      </c>
      <c r="AO136" s="418">
        <f t="shared" si="881"/>
        <v>41.118000000000002</v>
      </c>
      <c r="AP136" s="434">
        <f t="shared" si="689"/>
        <v>1</v>
      </c>
      <c r="AQ136" s="418" t="str">
        <f t="shared" si="882"/>
        <v>YES</v>
      </c>
      <c r="AR136" s="437">
        <f t="shared" si="883"/>
        <v>1.1863036371923961</v>
      </c>
      <c r="AS136" s="401" t="str">
        <f t="shared" si="884"/>
        <v>YES</v>
      </c>
      <c r="AT136" s="437" t="str">
        <f t="shared" si="885"/>
        <v>NA</v>
      </c>
      <c r="AU136" s="401" t="str">
        <f t="shared" si="886"/>
        <v>NA</v>
      </c>
      <c r="AV136" s="503" t="str">
        <f t="shared" si="887"/>
        <v>1R x 0.6/1kV x 4C x 16 Sqmm</v>
      </c>
      <c r="AW136" s="503" t="str">
        <f t="shared" si="888"/>
        <v>1R x 0.6/1kV x 4C x 16 Sqmm</v>
      </c>
      <c r="AX136" s="401">
        <f t="shared" si="889"/>
        <v>362</v>
      </c>
      <c r="AY136" s="504"/>
      <c r="AZ136" s="504">
        <f t="shared" si="890"/>
        <v>2</v>
      </c>
      <c r="BA136" s="438" t="str">
        <f t="shared" si="891"/>
        <v>ACDEE1E2</v>
      </c>
      <c r="BB136" s="505">
        <f>VLOOKUP(W136,'Catalogue Aluminium'!$B$9:$H$93,7,FALSE)</f>
        <v>21</v>
      </c>
      <c r="BC136" s="439">
        <f t="shared" si="892"/>
        <v>21</v>
      </c>
      <c r="BE136" s="336"/>
      <c r="BF136" s="336">
        <v>1</v>
      </c>
      <c r="BG136" s="336"/>
      <c r="BH136" s="336"/>
      <c r="BI136" s="336">
        <v>1</v>
      </c>
      <c r="BJ136" s="336">
        <v>1</v>
      </c>
      <c r="BK136" s="336"/>
      <c r="BL136" s="336"/>
      <c r="BM136" s="336"/>
      <c r="BN136" s="336">
        <v>1</v>
      </c>
      <c r="BO136" s="336"/>
      <c r="BP136" s="336">
        <v>1</v>
      </c>
      <c r="BQ136" s="336">
        <v>1</v>
      </c>
      <c r="BR136" s="336"/>
      <c r="BS136" s="336"/>
      <c r="BT136" s="336"/>
      <c r="BU136" s="336"/>
      <c r="BV136" s="336"/>
      <c r="BW136" s="336"/>
      <c r="BX136" s="336"/>
      <c r="BY136" s="336"/>
      <c r="BZ136" s="336"/>
      <c r="CA136" s="336"/>
      <c r="CB136" s="336"/>
      <c r="CC136" s="336"/>
      <c r="CD136" s="336"/>
      <c r="CE136" s="336"/>
      <c r="CF136" s="336"/>
      <c r="CG136" s="336"/>
      <c r="CH136" s="336"/>
      <c r="CI136" s="336"/>
      <c r="CJ136" s="336"/>
      <c r="CK136" s="336"/>
      <c r="CL136" s="336"/>
      <c r="CM136" s="336"/>
      <c r="CN136" s="336"/>
      <c r="CO136" s="336"/>
      <c r="CP136" s="336"/>
      <c r="CQ136" s="336"/>
      <c r="CR136" s="336"/>
      <c r="CS136" s="336"/>
      <c r="CT136" s="336"/>
      <c r="CU136" s="336"/>
      <c r="CV136" s="336"/>
      <c r="CW136" s="336"/>
      <c r="CX136" s="336"/>
      <c r="CY136" s="336"/>
      <c r="CZ136" s="336"/>
      <c r="DA136" s="336"/>
      <c r="DB136" s="336"/>
      <c r="DC136" s="336"/>
      <c r="DD136" s="336"/>
      <c r="DE136" s="336"/>
      <c r="DF136" s="336"/>
      <c r="DG136" s="336"/>
      <c r="DH136" s="336"/>
      <c r="DI136" s="336"/>
      <c r="DJ136" s="336"/>
      <c r="DK136" s="336"/>
      <c r="DL136" s="336"/>
      <c r="DM136" s="336"/>
      <c r="DN136" s="336"/>
      <c r="DO136" s="336"/>
      <c r="DP136" s="336"/>
      <c r="DQ136" s="336"/>
      <c r="DR136" s="336"/>
      <c r="DS136" s="336"/>
      <c r="DT136" s="336"/>
      <c r="DU136" s="336"/>
      <c r="DW136" s="336">
        <f t="shared" si="709"/>
        <v>0</v>
      </c>
      <c r="DX136" s="336">
        <f t="shared" si="701"/>
        <v>21</v>
      </c>
      <c r="DY136" s="336">
        <f t="shared" si="702"/>
        <v>0</v>
      </c>
      <c r="DZ136" s="336">
        <f t="shared" si="703"/>
        <v>0</v>
      </c>
      <c r="EA136" s="336">
        <f t="shared" si="704"/>
        <v>21</v>
      </c>
      <c r="EB136" s="336">
        <f t="shared" si="705"/>
        <v>21</v>
      </c>
      <c r="EC136" s="336">
        <f t="shared" si="706"/>
        <v>0</v>
      </c>
      <c r="ED136" s="336">
        <f t="shared" si="621"/>
        <v>0</v>
      </c>
      <c r="EE136" s="336">
        <f t="shared" si="622"/>
        <v>0</v>
      </c>
      <c r="EF136" s="336">
        <f t="shared" si="623"/>
        <v>21</v>
      </c>
      <c r="EG136" s="336">
        <f t="shared" si="624"/>
        <v>0</v>
      </c>
      <c r="EH136" s="336">
        <f t="shared" si="625"/>
        <v>21</v>
      </c>
      <c r="EI136" s="336">
        <f t="shared" si="626"/>
        <v>21</v>
      </c>
      <c r="EJ136" s="336">
        <f t="shared" si="627"/>
        <v>0</v>
      </c>
      <c r="EK136" s="336">
        <f t="shared" si="628"/>
        <v>0</v>
      </c>
      <c r="EL136" s="336">
        <f t="shared" si="629"/>
        <v>0</v>
      </c>
      <c r="EM136" s="336">
        <f t="shared" si="630"/>
        <v>0</v>
      </c>
      <c r="EN136" s="336">
        <f t="shared" si="631"/>
        <v>0</v>
      </c>
      <c r="EO136" s="336">
        <f t="shared" si="632"/>
        <v>0</v>
      </c>
      <c r="EP136" s="336">
        <f t="shared" si="633"/>
        <v>0</v>
      </c>
      <c r="EQ136" s="336">
        <f t="shared" si="634"/>
        <v>0</v>
      </c>
      <c r="ER136" s="336">
        <f t="shared" si="635"/>
        <v>0</v>
      </c>
      <c r="ES136" s="336">
        <f t="shared" si="636"/>
        <v>0</v>
      </c>
      <c r="ET136" s="336">
        <f t="shared" si="636"/>
        <v>0</v>
      </c>
      <c r="EU136" s="336">
        <f t="shared" si="637"/>
        <v>0</v>
      </c>
      <c r="EV136" s="336">
        <f t="shared" si="638"/>
        <v>0</v>
      </c>
      <c r="EW136" s="336">
        <f t="shared" si="639"/>
        <v>0</v>
      </c>
      <c r="EX136" s="336">
        <f t="shared" si="640"/>
        <v>0</v>
      </c>
      <c r="EY136" s="336">
        <f t="shared" si="641"/>
        <v>0</v>
      </c>
      <c r="EZ136" s="336">
        <f t="shared" si="642"/>
        <v>0</v>
      </c>
      <c r="FA136" s="336">
        <f t="shared" si="643"/>
        <v>0</v>
      </c>
      <c r="FB136" s="336">
        <f t="shared" si="644"/>
        <v>0</v>
      </c>
      <c r="FC136" s="336">
        <f t="shared" si="645"/>
        <v>0</v>
      </c>
      <c r="FD136" s="336">
        <f t="shared" si="646"/>
        <v>0</v>
      </c>
      <c r="FE136" s="336">
        <f t="shared" si="647"/>
        <v>0</v>
      </c>
      <c r="FF136" s="336">
        <f t="shared" si="648"/>
        <v>0</v>
      </c>
      <c r="FG136" s="336">
        <f t="shared" si="649"/>
        <v>0</v>
      </c>
      <c r="FH136" s="336">
        <f t="shared" si="650"/>
        <v>0</v>
      </c>
      <c r="FI136" s="336">
        <f t="shared" si="651"/>
        <v>0</v>
      </c>
      <c r="FJ136" s="336">
        <f t="shared" si="652"/>
        <v>0</v>
      </c>
      <c r="FK136" s="336">
        <f t="shared" si="653"/>
        <v>0</v>
      </c>
      <c r="FL136" s="336">
        <f t="shared" si="654"/>
        <v>0</v>
      </c>
      <c r="FM136" s="336">
        <f t="shared" si="655"/>
        <v>0</v>
      </c>
      <c r="FN136" s="336">
        <f t="shared" si="656"/>
        <v>0</v>
      </c>
      <c r="FO136" s="336">
        <f t="shared" si="657"/>
        <v>0</v>
      </c>
      <c r="FP136" s="336">
        <f t="shared" si="658"/>
        <v>0</v>
      </c>
      <c r="FQ136" s="336">
        <f t="shared" si="659"/>
        <v>0</v>
      </c>
      <c r="FR136" s="336">
        <f t="shared" si="660"/>
        <v>0</v>
      </c>
      <c r="FS136" s="336">
        <f t="shared" si="661"/>
        <v>0</v>
      </c>
      <c r="FT136" s="336">
        <f t="shared" si="662"/>
        <v>0</v>
      </c>
      <c r="FU136" s="336">
        <f t="shared" si="860"/>
        <v>0</v>
      </c>
      <c r="FV136" s="336">
        <f t="shared" si="861"/>
        <v>0</v>
      </c>
      <c r="FW136" s="336">
        <f t="shared" si="862"/>
        <v>0</v>
      </c>
      <c r="FX136" s="336">
        <f t="shared" si="863"/>
        <v>0</v>
      </c>
      <c r="FY136" s="336">
        <f t="shared" si="663"/>
        <v>0</v>
      </c>
      <c r="FZ136" s="336">
        <f t="shared" si="664"/>
        <v>0</v>
      </c>
      <c r="GA136" s="336">
        <f t="shared" si="665"/>
        <v>0</v>
      </c>
      <c r="GB136" s="336">
        <f t="shared" si="666"/>
        <v>0</v>
      </c>
      <c r="GC136" s="336">
        <f t="shared" si="667"/>
        <v>0</v>
      </c>
      <c r="GD136" s="336">
        <f t="shared" si="668"/>
        <v>0</v>
      </c>
      <c r="GE136" s="336">
        <f t="shared" si="669"/>
        <v>0</v>
      </c>
      <c r="GF136" s="336">
        <f t="shared" si="670"/>
        <v>0</v>
      </c>
      <c r="GG136" s="336">
        <f t="shared" si="671"/>
        <v>0</v>
      </c>
      <c r="GH136" s="336">
        <f t="shared" si="672"/>
        <v>0</v>
      </c>
      <c r="GI136" s="336">
        <f t="shared" si="673"/>
        <v>0</v>
      </c>
      <c r="GJ136" s="336">
        <f t="shared" si="674"/>
        <v>0</v>
      </c>
      <c r="GK136" s="336">
        <f t="shared" si="852"/>
        <v>0</v>
      </c>
      <c r="GL136" s="336">
        <f t="shared" si="864"/>
        <v>0</v>
      </c>
      <c r="GM136" s="336">
        <f t="shared" si="675"/>
        <v>0</v>
      </c>
    </row>
    <row r="137" spans="1:195" ht="24" customHeight="1">
      <c r="A137" s="388">
        <f t="shared" si="865"/>
        <v>96</v>
      </c>
      <c r="B137" s="388" t="s">
        <v>527</v>
      </c>
      <c r="C137" s="388" t="s">
        <v>489</v>
      </c>
      <c r="D137" s="338" t="s">
        <v>595</v>
      </c>
      <c r="E137" s="502" t="s">
        <v>555</v>
      </c>
      <c r="F137" s="522" t="s">
        <v>28</v>
      </c>
      <c r="G137" s="388" t="s">
        <v>329</v>
      </c>
      <c r="H137" s="418">
        <v>2</v>
      </c>
      <c r="I137" s="388" t="s">
        <v>330</v>
      </c>
      <c r="J137" s="388" t="s">
        <v>357</v>
      </c>
      <c r="K137" s="434">
        <v>230</v>
      </c>
      <c r="L137" s="401">
        <v>0.85</v>
      </c>
      <c r="M137" s="418">
        <v>0.95</v>
      </c>
      <c r="N137" s="392">
        <f t="shared" si="871"/>
        <v>10.768609503297887</v>
      </c>
      <c r="O137" s="392">
        <f t="shared" si="867"/>
        <v>0</v>
      </c>
      <c r="P137" s="401" t="str">
        <f t="shared" si="872"/>
        <v>0.00</v>
      </c>
      <c r="Q137" s="418">
        <v>65</v>
      </c>
      <c r="R137" s="418">
        <v>0</v>
      </c>
      <c r="S137" s="418">
        <f t="shared" si="873"/>
        <v>0</v>
      </c>
      <c r="T137" s="401" t="s">
        <v>131</v>
      </c>
      <c r="U137" s="418" t="s">
        <v>333</v>
      </c>
      <c r="V137" s="401">
        <v>16</v>
      </c>
      <c r="W137" s="401" t="str">
        <f t="shared" si="874"/>
        <v>3C X 16</v>
      </c>
      <c r="X137" s="401" t="str">
        <f t="shared" si="875"/>
        <v>3C X 16</v>
      </c>
      <c r="Y137" s="401" t="s">
        <v>358</v>
      </c>
      <c r="Z137" s="393">
        <f>IF(T137="AIR",VLOOKUP(W137,'Catalogue Aluminium'!$B$9:$G$93,2,FALSE),IF(T137="GROUND",VLOOKUP(W137,'Catalogue Aluminium'!$B$9:$G$93,3,FALSE),IF(T137="DUCT",VLOOKUP(W137,'Catalogue Aluminium'!$B$9:$G$93,4,FALSE),IF(T137="TRENCH",VLOOKUP(W137,'Catalogue Aluminium'!$B$9:$G$93,2,FALSE)))))</f>
        <v>70</v>
      </c>
      <c r="AA137" s="402">
        <f>VLOOKUP(W137,'Catalogue Aluminium'!$B$9:$G$93,5,FALSE)</f>
        <v>2.44</v>
      </c>
      <c r="AB137" s="402">
        <f>VLOOKUP(W137,'Catalogue Aluminium'!$B$9:$G$93,6,FALSE)</f>
        <v>8.1500000000000003E-2</v>
      </c>
      <c r="AC137" s="401">
        <f t="shared" si="876"/>
        <v>29</v>
      </c>
      <c r="AD137" s="401">
        <v>80</v>
      </c>
      <c r="AE137" s="401">
        <v>5</v>
      </c>
      <c r="AF137" s="401">
        <v>8</v>
      </c>
      <c r="AG137" s="401">
        <f t="shared" si="878"/>
        <v>13</v>
      </c>
      <c r="AH137" s="436">
        <f t="shared" si="879"/>
        <v>135</v>
      </c>
      <c r="AI137" s="393">
        <f>IF(T137="AIR",'Catalogue Aluminium'!$K$9,IF(T137="TRENCH",'Catalogue Aluminium'!$K$12,"NA"))</f>
        <v>0.89</v>
      </c>
      <c r="AJ137" s="392">
        <f>IF(T137="Air",(IF(U137="1C",'Catalogue Aluminium'!$L$9,'Catalogue Aluminium'!$M$9)),IF(T137="DUCT",(IF($U137="1C",'Catalogue Aluminium'!$L$10,'Catalogue Aluminium'!$M$10)),IF(T137="GROUND",(IF($U137="1C",'Catalogue Aluminium'!$L$11,'Catalogue Aluminium'!$M$11)),IF(T137="TRENCH",(IF($U137="1C",'Catalogue Aluminium'!$L$12,'Catalogue Aluminium'!$M$12))))))</f>
        <v>0.66</v>
      </c>
      <c r="AK137" s="393" t="str">
        <f>IF(T137="Air",'Catalogue Aluminium'!$N$9,IF(T137="GROUND",'Catalogue Aluminium'!$N$10,IF(T137="DUCT",'Catalogue Aluminium'!$N$11,IF(T137="TRENCH",'Catalogue Aluminium'!$N$12,"NA"))))</f>
        <v>NA</v>
      </c>
      <c r="AL137" s="393" t="str">
        <f>IF(T137="Air",(IF(U137="1C",'Catalogue Aluminium'!$O$9,'Catalogue Aluminium'!$P$9)),IF(T137="DUCT",(IF($U137="1C",'Catalogue Aluminium'!$O$10,'Catalogue Aluminium'!$P$10)),IF(T137="GROUND",(IF($U137="1C",'Catalogue Aluminium'!$O$11,'Catalogue Aluminium'!$P$11)),IF(T137="TRENCH",(IF($U137="1C",'Catalogue Aluminium'!$O$12,'Catalogue Aluminium'!$P$12))))))</f>
        <v>NA</v>
      </c>
      <c r="AM137" s="393" t="str">
        <f>IF(T137="AIR","NA",IF(T137="TRENCH","NA",IF(T137="DUCT",IF(U137="1C",VLOOKUP(V137,'Catalogue Aluminium'!$Q$9:$S$28,2,FALSE),VLOOKUP(V137,'Catalogue Aluminium'!$Q$9:$S$28,3)),IF(T137="GROUND",IF(U137="1C",VLOOKUP(V137,'Catalogue Aluminium'!$Q$9:$S$28,2,FALSE),VLOOKUP(V137,'Catalogue Aluminium'!$Q$9:$S$28,3))))))</f>
        <v>NA</v>
      </c>
      <c r="AN137" s="437">
        <f t="shared" si="880"/>
        <v>0.58740000000000003</v>
      </c>
      <c r="AO137" s="418">
        <f t="shared" si="881"/>
        <v>41.118000000000002</v>
      </c>
      <c r="AP137" s="434">
        <f t="shared" si="689"/>
        <v>1</v>
      </c>
      <c r="AQ137" s="418" t="str">
        <f t="shared" si="882"/>
        <v>YES</v>
      </c>
      <c r="AR137" s="437">
        <f t="shared" si="883"/>
        <v>2.3175721225147079</v>
      </c>
      <c r="AS137" s="401" t="str">
        <f t="shared" si="884"/>
        <v>YES</v>
      </c>
      <c r="AT137" s="437" t="str">
        <f t="shared" si="885"/>
        <v>NA</v>
      </c>
      <c r="AU137" s="401" t="str">
        <f t="shared" si="886"/>
        <v>NA</v>
      </c>
      <c r="AV137" s="503" t="str">
        <f t="shared" si="887"/>
        <v>1R x 0.6/1kV x 3C x 16 Sqmm</v>
      </c>
      <c r="AW137" s="503" t="str">
        <f t="shared" si="888"/>
        <v>1R x 0.6/1kV x 3C x 16 Sqmm</v>
      </c>
      <c r="AX137" s="401">
        <f t="shared" si="889"/>
        <v>135</v>
      </c>
      <c r="AY137" s="504"/>
      <c r="AZ137" s="504">
        <f t="shared" si="890"/>
        <v>2</v>
      </c>
      <c r="BA137" s="438" t="str">
        <f t="shared" si="891"/>
        <v>AB</v>
      </c>
      <c r="BB137" s="505">
        <f>VLOOKUP(W137,'Catalogue Aluminium'!$B$9:$H$93,7,FALSE)</f>
        <v>19</v>
      </c>
      <c r="BC137" s="439">
        <f t="shared" si="892"/>
        <v>19</v>
      </c>
      <c r="BE137" s="336"/>
      <c r="BF137" s="336">
        <v>1</v>
      </c>
      <c r="BG137" s="336">
        <v>1</v>
      </c>
      <c r="BH137" s="336"/>
      <c r="BI137" s="336"/>
      <c r="BJ137" s="336"/>
      <c r="BK137" s="336"/>
      <c r="BL137" s="336"/>
      <c r="BM137" s="336"/>
      <c r="BN137" s="336"/>
      <c r="BO137" s="336"/>
      <c r="BP137" s="336"/>
      <c r="BQ137" s="336"/>
      <c r="BR137" s="336"/>
      <c r="BS137" s="336"/>
      <c r="BT137" s="336"/>
      <c r="BU137" s="336"/>
      <c r="BV137" s="336"/>
      <c r="BW137" s="336"/>
      <c r="BX137" s="336"/>
      <c r="BY137" s="336"/>
      <c r="BZ137" s="336"/>
      <c r="CA137" s="336"/>
      <c r="CB137" s="336"/>
      <c r="CC137" s="336"/>
      <c r="CD137" s="336"/>
      <c r="CE137" s="336"/>
      <c r="CF137" s="336"/>
      <c r="CG137" s="336"/>
      <c r="CH137" s="336"/>
      <c r="CI137" s="336"/>
      <c r="CJ137" s="336"/>
      <c r="CK137" s="336"/>
      <c r="CL137" s="336"/>
      <c r="CM137" s="336"/>
      <c r="CN137" s="336"/>
      <c r="CO137" s="336"/>
      <c r="CP137" s="336"/>
      <c r="CQ137" s="336"/>
      <c r="CR137" s="336"/>
      <c r="CS137" s="336"/>
      <c r="CT137" s="336"/>
      <c r="CU137" s="336"/>
      <c r="CV137" s="336"/>
      <c r="CW137" s="336"/>
      <c r="CX137" s="336"/>
      <c r="CY137" s="336"/>
      <c r="CZ137" s="336"/>
      <c r="DA137" s="336"/>
      <c r="DB137" s="336"/>
      <c r="DC137" s="336"/>
      <c r="DD137" s="336"/>
      <c r="DE137" s="336"/>
      <c r="DF137" s="336"/>
      <c r="DG137" s="336"/>
      <c r="DH137" s="336"/>
      <c r="DI137" s="336"/>
      <c r="DJ137" s="336"/>
      <c r="DK137" s="336"/>
      <c r="DL137" s="336"/>
      <c r="DM137" s="336"/>
      <c r="DN137" s="336"/>
      <c r="DO137" s="336"/>
      <c r="DP137" s="336"/>
      <c r="DQ137" s="336"/>
      <c r="DR137" s="336"/>
      <c r="DS137" s="336"/>
      <c r="DT137" s="336"/>
      <c r="DU137" s="336"/>
      <c r="DW137" s="336">
        <f t="shared" si="709"/>
        <v>0</v>
      </c>
      <c r="DX137" s="336">
        <f t="shared" si="701"/>
        <v>19</v>
      </c>
      <c r="DY137" s="336">
        <f t="shared" si="702"/>
        <v>19</v>
      </c>
      <c r="DZ137" s="336">
        <f t="shared" si="703"/>
        <v>0</v>
      </c>
      <c r="EA137" s="336">
        <f t="shared" si="704"/>
        <v>0</v>
      </c>
      <c r="EB137" s="336">
        <f t="shared" si="705"/>
        <v>0</v>
      </c>
      <c r="EC137" s="336">
        <f t="shared" si="706"/>
        <v>0</v>
      </c>
      <c r="ED137" s="336">
        <f t="shared" si="621"/>
        <v>0</v>
      </c>
      <c r="EE137" s="336">
        <f t="shared" si="622"/>
        <v>0</v>
      </c>
      <c r="EF137" s="336">
        <f t="shared" si="623"/>
        <v>0</v>
      </c>
      <c r="EG137" s="336">
        <f t="shared" si="624"/>
        <v>0</v>
      </c>
      <c r="EH137" s="336">
        <f t="shared" si="625"/>
        <v>0</v>
      </c>
      <c r="EI137" s="336">
        <f t="shared" si="626"/>
        <v>0</v>
      </c>
      <c r="EJ137" s="336">
        <f t="shared" si="627"/>
        <v>0</v>
      </c>
      <c r="EK137" s="336">
        <f t="shared" si="628"/>
        <v>0</v>
      </c>
      <c r="EL137" s="336">
        <f t="shared" si="629"/>
        <v>0</v>
      </c>
      <c r="EM137" s="336">
        <f t="shared" si="630"/>
        <v>0</v>
      </c>
      <c r="EN137" s="336">
        <f t="shared" si="631"/>
        <v>0</v>
      </c>
      <c r="EO137" s="336">
        <f t="shared" si="632"/>
        <v>0</v>
      </c>
      <c r="EP137" s="336">
        <f t="shared" si="633"/>
        <v>0</v>
      </c>
      <c r="EQ137" s="336">
        <f t="shared" si="634"/>
        <v>0</v>
      </c>
      <c r="ER137" s="336">
        <f t="shared" si="635"/>
        <v>0</v>
      </c>
      <c r="ES137" s="336">
        <f t="shared" si="636"/>
        <v>0</v>
      </c>
      <c r="ET137" s="336">
        <f t="shared" si="636"/>
        <v>0</v>
      </c>
      <c r="EU137" s="336">
        <f t="shared" si="637"/>
        <v>0</v>
      </c>
      <c r="EV137" s="336">
        <f t="shared" si="638"/>
        <v>0</v>
      </c>
      <c r="EW137" s="336">
        <f t="shared" si="639"/>
        <v>0</v>
      </c>
      <c r="EX137" s="336">
        <f t="shared" si="640"/>
        <v>0</v>
      </c>
      <c r="EY137" s="336">
        <f t="shared" si="641"/>
        <v>0</v>
      </c>
      <c r="EZ137" s="336">
        <f t="shared" si="642"/>
        <v>0</v>
      </c>
      <c r="FA137" s="336">
        <f t="shared" si="643"/>
        <v>0</v>
      </c>
      <c r="FB137" s="336">
        <f t="shared" si="644"/>
        <v>0</v>
      </c>
      <c r="FC137" s="336">
        <f t="shared" si="645"/>
        <v>0</v>
      </c>
      <c r="FD137" s="336">
        <f t="shared" si="646"/>
        <v>0</v>
      </c>
      <c r="FE137" s="336">
        <f t="shared" si="647"/>
        <v>0</v>
      </c>
      <c r="FF137" s="336">
        <f t="shared" si="648"/>
        <v>0</v>
      </c>
      <c r="FG137" s="336">
        <f t="shared" si="649"/>
        <v>0</v>
      </c>
      <c r="FH137" s="336">
        <f t="shared" si="650"/>
        <v>0</v>
      </c>
      <c r="FI137" s="336">
        <f t="shared" si="651"/>
        <v>0</v>
      </c>
      <c r="FJ137" s="336">
        <f t="shared" si="652"/>
        <v>0</v>
      </c>
      <c r="FK137" s="336">
        <f t="shared" si="653"/>
        <v>0</v>
      </c>
      <c r="FL137" s="336">
        <f t="shared" si="654"/>
        <v>0</v>
      </c>
      <c r="FM137" s="336">
        <f t="shared" si="655"/>
        <v>0</v>
      </c>
      <c r="FN137" s="336">
        <f t="shared" si="656"/>
        <v>0</v>
      </c>
      <c r="FO137" s="336">
        <f t="shared" si="657"/>
        <v>0</v>
      </c>
      <c r="FP137" s="336">
        <f t="shared" si="658"/>
        <v>0</v>
      </c>
      <c r="FQ137" s="336">
        <f t="shared" si="659"/>
        <v>0</v>
      </c>
      <c r="FR137" s="336">
        <f t="shared" si="660"/>
        <v>0</v>
      </c>
      <c r="FS137" s="336">
        <f t="shared" si="661"/>
        <v>0</v>
      </c>
      <c r="FT137" s="336">
        <f t="shared" si="662"/>
        <v>0</v>
      </c>
      <c r="FU137" s="336">
        <f t="shared" si="860"/>
        <v>0</v>
      </c>
      <c r="FV137" s="336">
        <f t="shared" si="861"/>
        <v>0</v>
      </c>
      <c r="FW137" s="336">
        <f t="shared" si="862"/>
        <v>0</v>
      </c>
      <c r="FX137" s="336">
        <f t="shared" si="863"/>
        <v>0</v>
      </c>
      <c r="FY137" s="336">
        <f t="shared" si="663"/>
        <v>0</v>
      </c>
      <c r="FZ137" s="336">
        <f t="shared" si="664"/>
        <v>0</v>
      </c>
      <c r="GA137" s="336">
        <f t="shared" si="665"/>
        <v>0</v>
      </c>
      <c r="GB137" s="336">
        <f t="shared" si="666"/>
        <v>0</v>
      </c>
      <c r="GC137" s="336">
        <f t="shared" si="667"/>
        <v>0</v>
      </c>
      <c r="GD137" s="336">
        <f t="shared" si="668"/>
        <v>0</v>
      </c>
      <c r="GE137" s="336">
        <f t="shared" si="669"/>
        <v>0</v>
      </c>
      <c r="GF137" s="336">
        <f t="shared" si="670"/>
        <v>0</v>
      </c>
      <c r="GG137" s="336">
        <f t="shared" si="671"/>
        <v>0</v>
      </c>
      <c r="GH137" s="336">
        <f t="shared" si="672"/>
        <v>0</v>
      </c>
      <c r="GI137" s="336">
        <f t="shared" si="673"/>
        <v>0</v>
      </c>
      <c r="GJ137" s="336">
        <f t="shared" si="674"/>
        <v>0</v>
      </c>
      <c r="GK137" s="336">
        <f t="shared" si="852"/>
        <v>0</v>
      </c>
      <c r="GL137" s="336">
        <f t="shared" si="864"/>
        <v>0</v>
      </c>
      <c r="GM137" s="336">
        <f t="shared" si="675"/>
        <v>0</v>
      </c>
    </row>
    <row r="138" spans="1:195" ht="24" customHeight="1">
      <c r="A138" s="388">
        <f t="shared" si="865"/>
        <v>97</v>
      </c>
      <c r="B138" s="388" t="s">
        <v>527</v>
      </c>
      <c r="C138" s="521" t="s">
        <v>489</v>
      </c>
      <c r="D138" s="338" t="s">
        <v>596</v>
      </c>
      <c r="E138" s="502" t="s">
        <v>555</v>
      </c>
      <c r="F138" s="522" t="s">
        <v>29</v>
      </c>
      <c r="G138" s="388" t="s">
        <v>329</v>
      </c>
      <c r="H138" s="518">
        <v>2</v>
      </c>
      <c r="I138" s="388" t="s">
        <v>330</v>
      </c>
      <c r="J138" s="388" t="s">
        <v>357</v>
      </c>
      <c r="K138" s="434">
        <v>230</v>
      </c>
      <c r="L138" s="401">
        <v>0.85</v>
      </c>
      <c r="M138" s="418">
        <v>0.95</v>
      </c>
      <c r="N138" s="392">
        <f t="shared" si="871"/>
        <v>10.768609503297887</v>
      </c>
      <c r="O138" s="392">
        <f t="shared" si="867"/>
        <v>0</v>
      </c>
      <c r="P138" s="401" t="str">
        <f t="shared" si="872"/>
        <v>0.00</v>
      </c>
      <c r="Q138" s="418">
        <v>65</v>
      </c>
      <c r="R138" s="418">
        <v>0</v>
      </c>
      <c r="S138" s="418">
        <f t="shared" si="873"/>
        <v>0</v>
      </c>
      <c r="T138" s="401" t="s">
        <v>131</v>
      </c>
      <c r="U138" s="418" t="s">
        <v>333</v>
      </c>
      <c r="V138" s="401">
        <v>16</v>
      </c>
      <c r="W138" s="401" t="str">
        <f t="shared" si="874"/>
        <v>3C X 16</v>
      </c>
      <c r="X138" s="401" t="str">
        <f t="shared" si="875"/>
        <v>3C X 16</v>
      </c>
      <c r="Y138" s="401" t="s">
        <v>358</v>
      </c>
      <c r="Z138" s="393">
        <f>IF(T138="AIR",VLOOKUP(W138,'Catalogue Aluminium'!$B$9:$G$93,2,FALSE),IF(T138="GROUND",VLOOKUP(W138,'Catalogue Aluminium'!$B$9:$G$93,3,FALSE),IF(T138="DUCT",VLOOKUP(W138,'Catalogue Aluminium'!$B$9:$G$93,4,FALSE),IF(T138="TRENCH",VLOOKUP(W138,'Catalogue Aluminium'!$B$9:$G$93,2,FALSE)))))</f>
        <v>70</v>
      </c>
      <c r="AA138" s="402">
        <f>VLOOKUP(W138,'Catalogue Aluminium'!$B$9:$G$93,5,FALSE)</f>
        <v>2.44</v>
      </c>
      <c r="AB138" s="402">
        <f>VLOOKUP(W138,'Catalogue Aluminium'!$B$9:$G$93,6,FALSE)</f>
        <v>8.1500000000000003E-2</v>
      </c>
      <c r="AC138" s="401">
        <f t="shared" si="876"/>
        <v>29</v>
      </c>
      <c r="AD138" s="401">
        <v>80</v>
      </c>
      <c r="AE138" s="401">
        <v>5</v>
      </c>
      <c r="AF138" s="401">
        <v>8</v>
      </c>
      <c r="AG138" s="401">
        <f t="shared" si="878"/>
        <v>13</v>
      </c>
      <c r="AH138" s="436">
        <f t="shared" si="879"/>
        <v>135</v>
      </c>
      <c r="AI138" s="393">
        <f>IF(T138="AIR",'Catalogue Aluminium'!$K$9,IF(T138="TRENCH",'Catalogue Aluminium'!$K$12,"NA"))</f>
        <v>0.89</v>
      </c>
      <c r="AJ138" s="392">
        <f>IF(T138="Air",(IF(U138="1C",'Catalogue Aluminium'!$L$9,'Catalogue Aluminium'!$M$9)),IF(T138="DUCT",(IF($U138="1C",'Catalogue Aluminium'!$L$10,'Catalogue Aluminium'!$M$10)),IF(T138="GROUND",(IF($U138="1C",'Catalogue Aluminium'!$L$11,'Catalogue Aluminium'!$M$11)),IF(T138="TRENCH",(IF($U138="1C",'Catalogue Aluminium'!$L$12,'Catalogue Aluminium'!$M$12))))))</f>
        <v>0.66</v>
      </c>
      <c r="AK138" s="393" t="str">
        <f>IF(T138="Air",'Catalogue Aluminium'!$N$9,IF(T138="GROUND",'Catalogue Aluminium'!$N$10,IF(T138="DUCT",'Catalogue Aluminium'!$N$11,IF(T138="TRENCH",'Catalogue Aluminium'!$N$12,"NA"))))</f>
        <v>NA</v>
      </c>
      <c r="AL138" s="393" t="str">
        <f>IF(T138="Air",(IF(U138="1C",'Catalogue Aluminium'!$O$9,'Catalogue Aluminium'!$P$9)),IF(T138="DUCT",(IF($U138="1C",'Catalogue Aluminium'!$O$10,'Catalogue Aluminium'!$P$10)),IF(T138="GROUND",(IF($U138="1C",'Catalogue Aluminium'!$O$11,'Catalogue Aluminium'!$P$11)),IF(T138="TRENCH",(IF($U138="1C",'Catalogue Aluminium'!$O$12,'Catalogue Aluminium'!$P$12))))))</f>
        <v>NA</v>
      </c>
      <c r="AM138" s="393" t="str">
        <f>IF(T138="AIR","NA",IF(T138="TRENCH","NA",IF(T138="DUCT",IF(U138="1C",VLOOKUP(V138,'Catalogue Aluminium'!$Q$9:$S$28,2,FALSE),VLOOKUP(V138,'Catalogue Aluminium'!$Q$9:$S$28,3)),IF(T138="GROUND",IF(U138="1C",VLOOKUP(V138,'Catalogue Aluminium'!$Q$9:$S$28,2,FALSE),VLOOKUP(V138,'Catalogue Aluminium'!$Q$9:$S$28,3))))))</f>
        <v>NA</v>
      </c>
      <c r="AN138" s="437">
        <f t="shared" si="880"/>
        <v>0.58740000000000003</v>
      </c>
      <c r="AO138" s="418">
        <f t="shared" si="881"/>
        <v>41.118000000000002</v>
      </c>
      <c r="AP138" s="434">
        <f t="shared" si="689"/>
        <v>1</v>
      </c>
      <c r="AQ138" s="418" t="str">
        <f t="shared" si="882"/>
        <v>YES</v>
      </c>
      <c r="AR138" s="437">
        <f t="shared" si="883"/>
        <v>2.3175721225147079</v>
      </c>
      <c r="AS138" s="401" t="str">
        <f t="shared" si="884"/>
        <v>YES</v>
      </c>
      <c r="AT138" s="437" t="str">
        <f t="shared" si="885"/>
        <v>NA</v>
      </c>
      <c r="AU138" s="401" t="str">
        <f t="shared" si="886"/>
        <v>NA</v>
      </c>
      <c r="AV138" s="503" t="str">
        <f t="shared" si="887"/>
        <v>1R x 0.6/1kV x 3C x 16 Sqmm</v>
      </c>
      <c r="AW138" s="503" t="str">
        <f t="shared" si="888"/>
        <v>1R x 0.6/1kV x 3C x 16 Sqmm</v>
      </c>
      <c r="AX138" s="401">
        <f t="shared" si="889"/>
        <v>135</v>
      </c>
      <c r="AY138" s="504"/>
      <c r="AZ138" s="504">
        <f t="shared" si="890"/>
        <v>2</v>
      </c>
      <c r="BA138" s="438" t="str">
        <f t="shared" si="891"/>
        <v>AB</v>
      </c>
      <c r="BB138" s="505">
        <f>VLOOKUP(W138,'Catalogue Aluminium'!$B$9:$H$93,7,FALSE)</f>
        <v>19</v>
      </c>
      <c r="BC138" s="439">
        <f t="shared" si="892"/>
        <v>19</v>
      </c>
      <c r="BE138" s="336"/>
      <c r="BF138" s="336">
        <v>1</v>
      </c>
      <c r="BG138" s="336">
        <v>1</v>
      </c>
      <c r="BH138" s="336"/>
      <c r="BI138" s="336"/>
      <c r="BJ138" s="336"/>
      <c r="BK138" s="336"/>
      <c r="BL138" s="336"/>
      <c r="BM138" s="336"/>
      <c r="BN138" s="336"/>
      <c r="BO138" s="336"/>
      <c r="BP138" s="336"/>
      <c r="BQ138" s="336"/>
      <c r="BR138" s="336"/>
      <c r="BS138" s="336"/>
      <c r="BT138" s="336"/>
      <c r="BU138" s="336"/>
      <c r="BV138" s="336"/>
      <c r="BW138" s="336"/>
      <c r="BX138" s="336"/>
      <c r="BY138" s="336"/>
      <c r="BZ138" s="336"/>
      <c r="CA138" s="336"/>
      <c r="CB138" s="336"/>
      <c r="CC138" s="336"/>
      <c r="CD138" s="336"/>
      <c r="CE138" s="336"/>
      <c r="CF138" s="336"/>
      <c r="CG138" s="336"/>
      <c r="CH138" s="336"/>
      <c r="CI138" s="336"/>
      <c r="CJ138" s="336"/>
      <c r="CK138" s="336"/>
      <c r="CL138" s="336"/>
      <c r="CM138" s="336"/>
      <c r="CN138" s="336"/>
      <c r="CO138" s="336"/>
      <c r="CP138" s="336"/>
      <c r="CQ138" s="336"/>
      <c r="CR138" s="336"/>
      <c r="CS138" s="336"/>
      <c r="CT138" s="336"/>
      <c r="CU138" s="336"/>
      <c r="CV138" s="336"/>
      <c r="CW138" s="336"/>
      <c r="CX138" s="336"/>
      <c r="CY138" s="336"/>
      <c r="CZ138" s="336"/>
      <c r="DA138" s="336"/>
      <c r="DB138" s="336"/>
      <c r="DC138" s="336"/>
      <c r="DD138" s="336"/>
      <c r="DE138" s="336"/>
      <c r="DF138" s="336"/>
      <c r="DG138" s="336"/>
      <c r="DH138" s="336"/>
      <c r="DI138" s="336"/>
      <c r="DJ138" s="336"/>
      <c r="DK138" s="336"/>
      <c r="DL138" s="336"/>
      <c r="DM138" s="336"/>
      <c r="DN138" s="336"/>
      <c r="DO138" s="336"/>
      <c r="DP138" s="336"/>
      <c r="DQ138" s="336"/>
      <c r="DR138" s="336"/>
      <c r="DS138" s="336"/>
      <c r="DT138" s="336"/>
      <c r="DU138" s="336"/>
      <c r="DW138" s="336">
        <f t="shared" si="709"/>
        <v>0</v>
      </c>
      <c r="DX138" s="336">
        <f t="shared" si="701"/>
        <v>19</v>
      </c>
      <c r="DY138" s="336">
        <f t="shared" si="702"/>
        <v>19</v>
      </c>
      <c r="DZ138" s="336">
        <f t="shared" si="703"/>
        <v>0</v>
      </c>
      <c r="EA138" s="336">
        <f t="shared" si="704"/>
        <v>0</v>
      </c>
      <c r="EB138" s="336">
        <f t="shared" si="705"/>
        <v>0</v>
      </c>
      <c r="EC138" s="336">
        <f t="shared" si="706"/>
        <v>0</v>
      </c>
      <c r="ED138" s="336">
        <f t="shared" si="621"/>
        <v>0</v>
      </c>
      <c r="EE138" s="336">
        <f t="shared" si="622"/>
        <v>0</v>
      </c>
      <c r="EF138" s="336">
        <f t="shared" si="623"/>
        <v>0</v>
      </c>
      <c r="EG138" s="336">
        <f t="shared" si="624"/>
        <v>0</v>
      </c>
      <c r="EH138" s="336">
        <f t="shared" si="625"/>
        <v>0</v>
      </c>
      <c r="EI138" s="336">
        <f t="shared" si="626"/>
        <v>0</v>
      </c>
      <c r="EJ138" s="336">
        <f t="shared" si="627"/>
        <v>0</v>
      </c>
      <c r="EK138" s="336">
        <f t="shared" si="628"/>
        <v>0</v>
      </c>
      <c r="EL138" s="336">
        <f t="shared" si="629"/>
        <v>0</v>
      </c>
      <c r="EM138" s="336">
        <f t="shared" si="630"/>
        <v>0</v>
      </c>
      <c r="EN138" s="336">
        <f t="shared" si="631"/>
        <v>0</v>
      </c>
      <c r="EO138" s="336">
        <f t="shared" si="632"/>
        <v>0</v>
      </c>
      <c r="EP138" s="336">
        <f t="shared" si="633"/>
        <v>0</v>
      </c>
      <c r="EQ138" s="336">
        <f t="shared" si="634"/>
        <v>0</v>
      </c>
      <c r="ER138" s="336">
        <f t="shared" si="635"/>
        <v>0</v>
      </c>
      <c r="ES138" s="336">
        <f t="shared" si="636"/>
        <v>0</v>
      </c>
      <c r="ET138" s="336">
        <f t="shared" si="636"/>
        <v>0</v>
      </c>
      <c r="EU138" s="336">
        <f t="shared" si="637"/>
        <v>0</v>
      </c>
      <c r="EV138" s="336">
        <f t="shared" si="638"/>
        <v>0</v>
      </c>
      <c r="EW138" s="336">
        <f t="shared" si="639"/>
        <v>0</v>
      </c>
      <c r="EX138" s="336">
        <f t="shared" si="640"/>
        <v>0</v>
      </c>
      <c r="EY138" s="336">
        <f t="shared" si="641"/>
        <v>0</v>
      </c>
      <c r="EZ138" s="336">
        <f t="shared" si="642"/>
        <v>0</v>
      </c>
      <c r="FA138" s="336">
        <f t="shared" si="643"/>
        <v>0</v>
      </c>
      <c r="FB138" s="336">
        <f t="shared" si="644"/>
        <v>0</v>
      </c>
      <c r="FC138" s="336">
        <f t="shared" si="645"/>
        <v>0</v>
      </c>
      <c r="FD138" s="336">
        <f t="shared" si="646"/>
        <v>0</v>
      </c>
      <c r="FE138" s="336">
        <f t="shared" si="647"/>
        <v>0</v>
      </c>
      <c r="FF138" s="336">
        <f t="shared" si="648"/>
        <v>0</v>
      </c>
      <c r="FG138" s="336">
        <f t="shared" si="649"/>
        <v>0</v>
      </c>
      <c r="FH138" s="336">
        <f t="shared" si="650"/>
        <v>0</v>
      </c>
      <c r="FI138" s="336">
        <f t="shared" si="651"/>
        <v>0</v>
      </c>
      <c r="FJ138" s="336">
        <f t="shared" si="652"/>
        <v>0</v>
      </c>
      <c r="FK138" s="336">
        <f t="shared" si="653"/>
        <v>0</v>
      </c>
      <c r="FL138" s="336">
        <f t="shared" si="654"/>
        <v>0</v>
      </c>
      <c r="FM138" s="336">
        <f t="shared" si="655"/>
        <v>0</v>
      </c>
      <c r="FN138" s="336">
        <f t="shared" si="656"/>
        <v>0</v>
      </c>
      <c r="FO138" s="336">
        <f t="shared" si="657"/>
        <v>0</v>
      </c>
      <c r="FP138" s="336">
        <f t="shared" si="658"/>
        <v>0</v>
      </c>
      <c r="FQ138" s="336">
        <f t="shared" si="659"/>
        <v>0</v>
      </c>
      <c r="FR138" s="336">
        <f t="shared" si="660"/>
        <v>0</v>
      </c>
      <c r="FS138" s="336">
        <f t="shared" si="661"/>
        <v>0</v>
      </c>
      <c r="FT138" s="336">
        <f t="shared" si="662"/>
        <v>0</v>
      </c>
      <c r="FU138" s="336">
        <f t="shared" si="860"/>
        <v>0</v>
      </c>
      <c r="FV138" s="336">
        <f t="shared" si="861"/>
        <v>0</v>
      </c>
      <c r="FW138" s="336">
        <f t="shared" si="862"/>
        <v>0</v>
      </c>
      <c r="FX138" s="336">
        <f t="shared" si="863"/>
        <v>0</v>
      </c>
      <c r="FY138" s="336">
        <f t="shared" si="663"/>
        <v>0</v>
      </c>
      <c r="FZ138" s="336">
        <f t="shared" si="664"/>
        <v>0</v>
      </c>
      <c r="GA138" s="336">
        <f t="shared" si="665"/>
        <v>0</v>
      </c>
      <c r="GB138" s="336">
        <f t="shared" si="666"/>
        <v>0</v>
      </c>
      <c r="GC138" s="336">
        <f t="shared" si="667"/>
        <v>0</v>
      </c>
      <c r="GD138" s="336">
        <f t="shared" si="668"/>
        <v>0</v>
      </c>
      <c r="GE138" s="336">
        <f t="shared" si="669"/>
        <v>0</v>
      </c>
      <c r="GF138" s="336">
        <f t="shared" si="670"/>
        <v>0</v>
      </c>
      <c r="GG138" s="336">
        <f t="shared" si="671"/>
        <v>0</v>
      </c>
      <c r="GH138" s="336">
        <f t="shared" si="672"/>
        <v>0</v>
      </c>
      <c r="GI138" s="336">
        <f t="shared" si="673"/>
        <v>0</v>
      </c>
      <c r="GJ138" s="336">
        <f t="shared" si="674"/>
        <v>0</v>
      </c>
      <c r="GK138" s="336">
        <f t="shared" si="852"/>
        <v>0</v>
      </c>
      <c r="GL138" s="336">
        <f t="shared" si="864"/>
        <v>0</v>
      </c>
      <c r="GM138" s="336">
        <f t="shared" si="675"/>
        <v>0</v>
      </c>
    </row>
    <row r="139" spans="1:195" ht="24" customHeight="1">
      <c r="A139" s="388">
        <f t="shared" si="865"/>
        <v>98</v>
      </c>
      <c r="B139" s="388" t="s">
        <v>527</v>
      </c>
      <c r="C139" s="388" t="s">
        <v>489</v>
      </c>
      <c r="D139" s="338" t="s">
        <v>597</v>
      </c>
      <c r="E139" s="502" t="s">
        <v>555</v>
      </c>
      <c r="F139" s="388" t="s">
        <v>28</v>
      </c>
      <c r="G139" s="388" t="s">
        <v>329</v>
      </c>
      <c r="H139" s="418">
        <v>2</v>
      </c>
      <c r="I139" s="388" t="s">
        <v>330</v>
      </c>
      <c r="J139" s="388" t="s">
        <v>357</v>
      </c>
      <c r="K139" s="434">
        <v>230</v>
      </c>
      <c r="L139" s="401">
        <v>0.85</v>
      </c>
      <c r="M139" s="418">
        <v>0.95</v>
      </c>
      <c r="N139" s="392">
        <f t="shared" si="871"/>
        <v>10.768609503297887</v>
      </c>
      <c r="O139" s="392">
        <f t="shared" si="867"/>
        <v>0</v>
      </c>
      <c r="P139" s="401" t="str">
        <f t="shared" si="872"/>
        <v>0.00</v>
      </c>
      <c r="Q139" s="418">
        <v>65</v>
      </c>
      <c r="R139" s="418">
        <v>0</v>
      </c>
      <c r="S139" s="418">
        <f t="shared" si="873"/>
        <v>0</v>
      </c>
      <c r="T139" s="401" t="s">
        <v>131</v>
      </c>
      <c r="U139" s="418" t="s">
        <v>333</v>
      </c>
      <c r="V139" s="401">
        <v>16</v>
      </c>
      <c r="W139" s="401" t="str">
        <f t="shared" si="874"/>
        <v>3C X 16</v>
      </c>
      <c r="X139" s="401" t="str">
        <f t="shared" si="875"/>
        <v>3C X 16</v>
      </c>
      <c r="Y139" s="401" t="s">
        <v>358</v>
      </c>
      <c r="Z139" s="393">
        <f>IF(T139="AIR",VLOOKUP(W139,'Catalogue Aluminium'!$B$9:$G$93,2,FALSE),IF(T139="GROUND",VLOOKUP(W139,'Catalogue Aluminium'!$B$9:$G$93,3,FALSE),IF(T139="DUCT",VLOOKUP(W139,'Catalogue Aluminium'!$B$9:$G$93,4,FALSE),IF(T139="TRENCH",VLOOKUP(W139,'Catalogue Aluminium'!$B$9:$G$93,2,FALSE)))))</f>
        <v>70</v>
      </c>
      <c r="AA139" s="402">
        <f>VLOOKUP(W139,'Catalogue Aluminium'!$B$9:$G$93,5,FALSE)</f>
        <v>2.44</v>
      </c>
      <c r="AB139" s="402">
        <f>VLOOKUP(W139,'Catalogue Aluminium'!$B$9:$G$93,6,FALSE)</f>
        <v>8.1500000000000003E-2</v>
      </c>
      <c r="AC139" s="401">
        <f t="shared" si="876"/>
        <v>29</v>
      </c>
      <c r="AD139" s="401">
        <v>80</v>
      </c>
      <c r="AE139" s="401">
        <v>5</v>
      </c>
      <c r="AF139" s="401">
        <v>8</v>
      </c>
      <c r="AG139" s="401">
        <f t="shared" si="878"/>
        <v>13</v>
      </c>
      <c r="AH139" s="436">
        <f t="shared" si="879"/>
        <v>135</v>
      </c>
      <c r="AI139" s="393">
        <f>IF(T139="AIR",'Catalogue Aluminium'!$K$9,IF(T139="TRENCH",'Catalogue Aluminium'!$K$12,"NA"))</f>
        <v>0.89</v>
      </c>
      <c r="AJ139" s="392">
        <f>IF(T139="Air",(IF(U139="1C",'Catalogue Aluminium'!$L$9,'Catalogue Aluminium'!$M$9)),IF(T139="DUCT",(IF($U139="1C",'Catalogue Aluminium'!$L$10,'Catalogue Aluminium'!$M$10)),IF(T139="GROUND",(IF($U139="1C",'Catalogue Aluminium'!$L$11,'Catalogue Aluminium'!$M$11)),IF(T139="TRENCH",(IF($U139="1C",'Catalogue Aluminium'!$L$12,'Catalogue Aluminium'!$M$12))))))</f>
        <v>0.66</v>
      </c>
      <c r="AK139" s="393" t="str">
        <f>IF(T139="Air",'Catalogue Aluminium'!$N$9,IF(T139="GROUND",'Catalogue Aluminium'!$N$10,IF(T139="DUCT",'Catalogue Aluminium'!$N$11,IF(T139="TRENCH",'Catalogue Aluminium'!$N$12,"NA"))))</f>
        <v>NA</v>
      </c>
      <c r="AL139" s="393" t="str">
        <f>IF(T139="Air",(IF(U139="1C",'Catalogue Aluminium'!$O$9,'Catalogue Aluminium'!$P$9)),IF(T139="DUCT",(IF($U139="1C",'Catalogue Aluminium'!$O$10,'Catalogue Aluminium'!$P$10)),IF(T139="GROUND",(IF($U139="1C",'Catalogue Aluminium'!$O$11,'Catalogue Aluminium'!$P$11)),IF(T139="TRENCH",(IF($U139="1C",'Catalogue Aluminium'!$O$12,'Catalogue Aluminium'!$P$12))))))</f>
        <v>NA</v>
      </c>
      <c r="AM139" s="393" t="str">
        <f>IF(T139="AIR","NA",IF(T139="TRENCH","NA",IF(T139="DUCT",IF(U139="1C",VLOOKUP(V139,'Catalogue Aluminium'!$Q$9:$S$28,2,FALSE),VLOOKUP(V139,'Catalogue Aluminium'!$Q$9:$S$28,3)),IF(T139="GROUND",IF(U139="1C",VLOOKUP(V139,'Catalogue Aluminium'!$Q$9:$S$28,2,FALSE),VLOOKUP(V139,'Catalogue Aluminium'!$Q$9:$S$28,3))))))</f>
        <v>NA</v>
      </c>
      <c r="AN139" s="437">
        <f t="shared" si="880"/>
        <v>0.58740000000000003</v>
      </c>
      <c r="AO139" s="418">
        <f t="shared" si="881"/>
        <v>41.118000000000002</v>
      </c>
      <c r="AP139" s="434">
        <f t="shared" si="689"/>
        <v>1</v>
      </c>
      <c r="AQ139" s="418" t="str">
        <f t="shared" si="882"/>
        <v>YES</v>
      </c>
      <c r="AR139" s="437">
        <f t="shared" si="883"/>
        <v>2.3175721225147079</v>
      </c>
      <c r="AS139" s="401" t="str">
        <f t="shared" si="884"/>
        <v>YES</v>
      </c>
      <c r="AT139" s="437" t="str">
        <f t="shared" si="885"/>
        <v>NA</v>
      </c>
      <c r="AU139" s="401" t="str">
        <f t="shared" si="886"/>
        <v>NA</v>
      </c>
      <c r="AV139" s="503" t="str">
        <f t="shared" si="887"/>
        <v>1R x 0.6/1kV x 3C x 16 Sqmm</v>
      </c>
      <c r="AW139" s="503" t="str">
        <f t="shared" si="888"/>
        <v>1R x 0.6/1kV x 3C x 16 Sqmm</v>
      </c>
      <c r="AX139" s="401">
        <f t="shared" si="889"/>
        <v>135</v>
      </c>
      <c r="AY139" s="504"/>
      <c r="AZ139" s="504">
        <f t="shared" si="890"/>
        <v>2</v>
      </c>
      <c r="BA139" s="438" t="str">
        <f t="shared" si="891"/>
        <v>AB</v>
      </c>
      <c r="BB139" s="505">
        <f>VLOOKUP(W139,'Catalogue Aluminium'!$B$9:$H$93,7,FALSE)</f>
        <v>19</v>
      </c>
      <c r="BC139" s="439">
        <f t="shared" si="892"/>
        <v>19</v>
      </c>
      <c r="BE139" s="336"/>
      <c r="BF139" s="336">
        <v>1</v>
      </c>
      <c r="BG139" s="336">
        <v>1</v>
      </c>
      <c r="BH139" s="336"/>
      <c r="BI139" s="336"/>
      <c r="BJ139" s="336"/>
      <c r="BK139" s="336"/>
      <c r="BL139" s="336"/>
      <c r="BM139" s="336"/>
      <c r="BN139" s="336"/>
      <c r="BO139" s="336"/>
      <c r="BP139" s="336"/>
      <c r="BQ139" s="336"/>
      <c r="BR139" s="336"/>
      <c r="BS139" s="336"/>
      <c r="BT139" s="336"/>
      <c r="BU139" s="336"/>
      <c r="BV139" s="336"/>
      <c r="BW139" s="336"/>
      <c r="BX139" s="336"/>
      <c r="BY139" s="336"/>
      <c r="BZ139" s="336"/>
      <c r="CA139" s="336"/>
      <c r="CB139" s="336"/>
      <c r="CC139" s="336"/>
      <c r="CD139" s="336"/>
      <c r="CE139" s="336"/>
      <c r="CF139" s="336"/>
      <c r="CG139" s="336"/>
      <c r="CH139" s="336"/>
      <c r="CI139" s="336"/>
      <c r="CJ139" s="336"/>
      <c r="CK139" s="336"/>
      <c r="CL139" s="336"/>
      <c r="CM139" s="336"/>
      <c r="CN139" s="336"/>
      <c r="CO139" s="336"/>
      <c r="CP139" s="336"/>
      <c r="CQ139" s="336"/>
      <c r="CR139" s="336"/>
      <c r="CS139" s="336"/>
      <c r="CT139" s="336"/>
      <c r="CU139" s="336"/>
      <c r="CV139" s="336"/>
      <c r="CW139" s="336"/>
      <c r="CX139" s="336"/>
      <c r="CY139" s="336"/>
      <c r="CZ139" s="336"/>
      <c r="DA139" s="336"/>
      <c r="DB139" s="336"/>
      <c r="DC139" s="336"/>
      <c r="DD139" s="336"/>
      <c r="DE139" s="336"/>
      <c r="DF139" s="336"/>
      <c r="DG139" s="336"/>
      <c r="DH139" s="336"/>
      <c r="DI139" s="336"/>
      <c r="DJ139" s="336"/>
      <c r="DK139" s="336"/>
      <c r="DL139" s="336"/>
      <c r="DM139" s="336"/>
      <c r="DN139" s="336"/>
      <c r="DO139" s="336"/>
      <c r="DP139" s="336"/>
      <c r="DQ139" s="336"/>
      <c r="DR139" s="336"/>
      <c r="DS139" s="336"/>
      <c r="DT139" s="336"/>
      <c r="DU139" s="336"/>
      <c r="DW139" s="336">
        <f t="shared" si="709"/>
        <v>0</v>
      </c>
      <c r="DX139" s="336">
        <f t="shared" si="701"/>
        <v>19</v>
      </c>
      <c r="DY139" s="336">
        <f t="shared" si="702"/>
        <v>19</v>
      </c>
      <c r="DZ139" s="336">
        <f t="shared" si="703"/>
        <v>0</v>
      </c>
      <c r="EA139" s="336">
        <f t="shared" si="704"/>
        <v>0</v>
      </c>
      <c r="EB139" s="336">
        <f t="shared" si="705"/>
        <v>0</v>
      </c>
      <c r="EC139" s="336">
        <f t="shared" si="706"/>
        <v>0</v>
      </c>
      <c r="ED139" s="336">
        <f t="shared" si="621"/>
        <v>0</v>
      </c>
      <c r="EE139" s="336">
        <f t="shared" si="622"/>
        <v>0</v>
      </c>
      <c r="EF139" s="336">
        <f t="shared" si="623"/>
        <v>0</v>
      </c>
      <c r="EG139" s="336">
        <f t="shared" si="624"/>
        <v>0</v>
      </c>
      <c r="EH139" s="336">
        <f t="shared" si="625"/>
        <v>0</v>
      </c>
      <c r="EI139" s="336">
        <f t="shared" si="626"/>
        <v>0</v>
      </c>
      <c r="EJ139" s="336">
        <f t="shared" si="627"/>
        <v>0</v>
      </c>
      <c r="EK139" s="336">
        <f t="shared" si="628"/>
        <v>0</v>
      </c>
      <c r="EL139" s="336">
        <f t="shared" si="629"/>
        <v>0</v>
      </c>
      <c r="EM139" s="336">
        <f t="shared" si="630"/>
        <v>0</v>
      </c>
      <c r="EN139" s="336">
        <f t="shared" si="631"/>
        <v>0</v>
      </c>
      <c r="EO139" s="336">
        <f t="shared" si="632"/>
        <v>0</v>
      </c>
      <c r="EP139" s="336">
        <f t="shared" si="633"/>
        <v>0</v>
      </c>
      <c r="EQ139" s="336">
        <f t="shared" si="634"/>
        <v>0</v>
      </c>
      <c r="ER139" s="336">
        <f t="shared" si="635"/>
        <v>0</v>
      </c>
      <c r="ES139" s="336">
        <f t="shared" si="636"/>
        <v>0</v>
      </c>
      <c r="ET139" s="336">
        <f t="shared" si="636"/>
        <v>0</v>
      </c>
      <c r="EU139" s="336">
        <f t="shared" si="637"/>
        <v>0</v>
      </c>
      <c r="EV139" s="336">
        <f t="shared" si="638"/>
        <v>0</v>
      </c>
      <c r="EW139" s="336">
        <f t="shared" si="639"/>
        <v>0</v>
      </c>
      <c r="EX139" s="336">
        <f t="shared" si="640"/>
        <v>0</v>
      </c>
      <c r="EY139" s="336">
        <f t="shared" si="641"/>
        <v>0</v>
      </c>
      <c r="EZ139" s="336">
        <f t="shared" si="642"/>
        <v>0</v>
      </c>
      <c r="FA139" s="336">
        <f t="shared" si="643"/>
        <v>0</v>
      </c>
      <c r="FB139" s="336">
        <f t="shared" si="644"/>
        <v>0</v>
      </c>
      <c r="FC139" s="336">
        <f t="shared" si="645"/>
        <v>0</v>
      </c>
      <c r="FD139" s="336">
        <f t="shared" si="646"/>
        <v>0</v>
      </c>
      <c r="FE139" s="336">
        <f t="shared" si="647"/>
        <v>0</v>
      </c>
      <c r="FF139" s="336">
        <f t="shared" si="648"/>
        <v>0</v>
      </c>
      <c r="FG139" s="336">
        <f t="shared" si="649"/>
        <v>0</v>
      </c>
      <c r="FH139" s="336">
        <f t="shared" si="650"/>
        <v>0</v>
      </c>
      <c r="FI139" s="336">
        <f t="shared" si="651"/>
        <v>0</v>
      </c>
      <c r="FJ139" s="336">
        <f t="shared" si="652"/>
        <v>0</v>
      </c>
      <c r="FK139" s="336">
        <f t="shared" si="653"/>
        <v>0</v>
      </c>
      <c r="FL139" s="336">
        <f t="shared" si="654"/>
        <v>0</v>
      </c>
      <c r="FM139" s="336">
        <f t="shared" si="655"/>
        <v>0</v>
      </c>
      <c r="FN139" s="336">
        <f t="shared" si="656"/>
        <v>0</v>
      </c>
      <c r="FO139" s="336">
        <f t="shared" si="657"/>
        <v>0</v>
      </c>
      <c r="FP139" s="336">
        <f t="shared" si="658"/>
        <v>0</v>
      </c>
      <c r="FQ139" s="336">
        <f t="shared" si="659"/>
        <v>0</v>
      </c>
      <c r="FR139" s="336">
        <f t="shared" si="660"/>
        <v>0</v>
      </c>
      <c r="FS139" s="336">
        <f t="shared" si="661"/>
        <v>0</v>
      </c>
      <c r="FT139" s="336">
        <f t="shared" si="662"/>
        <v>0</v>
      </c>
      <c r="FU139" s="336">
        <f t="shared" si="860"/>
        <v>0</v>
      </c>
      <c r="FV139" s="336">
        <f t="shared" si="861"/>
        <v>0</v>
      </c>
      <c r="FW139" s="336">
        <f t="shared" si="862"/>
        <v>0</v>
      </c>
      <c r="FX139" s="336">
        <f t="shared" si="863"/>
        <v>0</v>
      </c>
      <c r="FY139" s="336">
        <f t="shared" si="663"/>
        <v>0</v>
      </c>
      <c r="FZ139" s="336">
        <f t="shared" si="664"/>
        <v>0</v>
      </c>
      <c r="GA139" s="336">
        <f t="shared" si="665"/>
        <v>0</v>
      </c>
      <c r="GB139" s="336">
        <f t="shared" si="666"/>
        <v>0</v>
      </c>
      <c r="GC139" s="336">
        <f t="shared" si="667"/>
        <v>0</v>
      </c>
      <c r="GD139" s="336">
        <f t="shared" si="668"/>
        <v>0</v>
      </c>
      <c r="GE139" s="336">
        <f t="shared" si="669"/>
        <v>0</v>
      </c>
      <c r="GF139" s="336">
        <f t="shared" si="670"/>
        <v>0</v>
      </c>
      <c r="GG139" s="336">
        <f t="shared" si="671"/>
        <v>0</v>
      </c>
      <c r="GH139" s="336">
        <f t="shared" si="672"/>
        <v>0</v>
      </c>
      <c r="GI139" s="336">
        <f t="shared" si="673"/>
        <v>0</v>
      </c>
      <c r="GJ139" s="336">
        <f t="shared" si="674"/>
        <v>0</v>
      </c>
      <c r="GK139" s="336">
        <f t="shared" si="852"/>
        <v>0</v>
      </c>
      <c r="GL139" s="336">
        <f t="shared" si="864"/>
        <v>0</v>
      </c>
      <c r="GM139" s="336">
        <f t="shared" si="675"/>
        <v>0</v>
      </c>
    </row>
    <row r="140" spans="1:195" s="76" customFormat="1" ht="20.100000000000001" customHeight="1">
      <c r="A140" s="373"/>
      <c r="B140" s="373"/>
      <c r="C140" s="373"/>
      <c r="D140" s="508" t="s">
        <v>605</v>
      </c>
      <c r="E140" s="509"/>
      <c r="F140" s="510"/>
      <c r="G140" s="373"/>
      <c r="H140" s="382"/>
      <c r="I140" s="373"/>
      <c r="J140" s="373"/>
      <c r="K140" s="381"/>
      <c r="L140" s="376"/>
      <c r="M140" s="382"/>
      <c r="N140" s="375"/>
      <c r="O140" s="375"/>
      <c r="P140" s="376"/>
      <c r="Q140" s="382"/>
      <c r="R140" s="382"/>
      <c r="S140" s="382"/>
      <c r="T140" s="376"/>
      <c r="U140" s="382"/>
      <c r="V140" s="376"/>
      <c r="W140" s="376"/>
      <c r="X140" s="376"/>
      <c r="Y140" s="376"/>
      <c r="Z140" s="377"/>
      <c r="AA140" s="378"/>
      <c r="AB140" s="378"/>
      <c r="AC140" s="378"/>
      <c r="AD140" s="378"/>
      <c r="AE140" s="378"/>
      <c r="AF140" s="378"/>
      <c r="AG140" s="378"/>
      <c r="AH140" s="378"/>
      <c r="AI140" s="377"/>
      <c r="AJ140" s="375"/>
      <c r="AK140" s="377"/>
      <c r="AL140" s="377"/>
      <c r="AM140" s="377"/>
      <c r="AN140" s="383"/>
      <c r="AO140" s="382"/>
      <c r="AP140" s="381"/>
      <c r="AQ140" s="382"/>
      <c r="AR140" s="383"/>
      <c r="AS140" s="376"/>
      <c r="AT140" s="383"/>
      <c r="AU140" s="383"/>
      <c r="AV140" s="384"/>
      <c r="AW140" s="384"/>
      <c r="AX140" s="376"/>
      <c r="AY140" s="385"/>
      <c r="AZ140" s="385"/>
      <c r="BA140" s="513" t="str">
        <f t="shared" ref="BA140:BA148" si="899">CONCATENATE(IF(BE140=1,BE$4,""),IF(BF140=1,BF$4,""),IF(BG140=1,BG$4,""),IF(BH140=1,BH$4,""),IF(BI140=1,BI$4,""),IF(BJ140=1,BJ$4,""),IF(BK140=1,BK$4,""),IF(BL140=1,BL$4,""),IF(BM140=1,BM$4,""),IF(BN140=1,BN$4,""),IF(BO140=1,BO$4,""),IF(BP140=1,BP$4,""),IF(BQ140=1,BQ$4,""),IF(BR140=1,BR$4,""),IF(BS140=1,BS$4,""),IF(BT140=1,BT$4,""),IF(BU140=1,BU$4,""),IF(BV140=1,BV$4,""),IF(BW140=1,BW$4,""),IF(BX140=1,BX$4,""),IF(BY140=1,BY$4,""),IF(BZ140=1,BZ$4,""),IF(CA140=1,CA$4,""),IF(CC140=1,CC$4,""),IF(CD140=1,CD$4,""),IF(CE140=1,CE$4,""),IF(CF140=1,CF$4,""),IF(CG140=1,CG$4,""),IF(CH140=1,CH$4,""),IF(CI140=1,CI$4,""),IF(CJ140=1,CJ$4,""),IF(CK140=1,CK$4,""),IF(CL140=1,CL$4,""),IF(CM140=1,CM$4,""),IF(CN140=1,CN$4,""),IF(CO140=1,CO$4,""),IF(CP140=1,CP$4,""),IF(CQ140=1,CQ$4,""),IF(CR140=1,CR$4,""),IF(CS140=1,CS$4,""),IF(CT140=1,CT$4,""),IF(CU140=1,CU$4,""),IF(CV140=1,CV$4,""),IF(CW140=1,CW$4,""),IF(CX140=1,CX$4,""),IF(CY140=1,CY$4,""),IF(CZ140=1,CZ$4,""),IF(DA140=1,DA$4,""),IF(DB140=1,DB$4,""),IF(DC140=1,DC$4,""),IF(DD140=1,DD$4,""),IF(DE140=1,DE$4,""),IF(DF140=1,DF$4,""),IF(DG140=1,DG$4,""),IF(DH140=1,DH$4,""),IF(DI140=1,DI$4,""),IF(DJ140=1,DJ$4,""),IF(DK140=1,DK$4,""),IF(DL140=1,DL$4,""),IF(DM140=1,DM$4,""),IF(DN140=1,DN$4,""),IF(DO140=1,DO$4,""),IF(DP140=1,DP$4,""),IF(DQ140=1,DQ$4,""),IF(DR140=1,DR$4,""),IF(DS140=1,DS$4,""),IF(DT140=1,DT$4,""),IF(DU140=1,DU$4,""))</f>
        <v/>
      </c>
      <c r="BB140" s="513"/>
      <c r="BC140" s="513"/>
      <c r="BE140" s="513"/>
      <c r="BF140" s="513"/>
      <c r="BG140" s="513"/>
      <c r="BH140" s="513"/>
      <c r="BI140" s="513"/>
      <c r="BJ140" s="513"/>
      <c r="BK140" s="513"/>
      <c r="BL140" s="513"/>
      <c r="BM140" s="513"/>
      <c r="BN140" s="513"/>
      <c r="BO140" s="513"/>
      <c r="BP140" s="513"/>
      <c r="BQ140" s="513"/>
      <c r="BR140" s="513"/>
      <c r="BS140" s="513"/>
      <c r="BT140" s="513"/>
      <c r="BU140" s="513"/>
      <c r="BV140" s="513"/>
      <c r="BW140" s="513"/>
      <c r="BX140" s="513"/>
      <c r="BY140" s="513"/>
      <c r="BZ140" s="513"/>
      <c r="CA140" s="513"/>
      <c r="CB140" s="513"/>
      <c r="CC140" s="513"/>
      <c r="CD140" s="513"/>
      <c r="CE140" s="513"/>
      <c r="CF140" s="513"/>
      <c r="CG140" s="513"/>
      <c r="CH140" s="513"/>
      <c r="CI140" s="513"/>
      <c r="CJ140" s="513"/>
      <c r="CK140" s="513"/>
      <c r="CL140" s="513"/>
      <c r="CM140" s="513"/>
      <c r="CN140" s="513"/>
      <c r="CO140" s="513"/>
      <c r="CP140" s="513"/>
      <c r="CQ140" s="513"/>
      <c r="CR140" s="513"/>
      <c r="CS140" s="513"/>
      <c r="CT140" s="513"/>
      <c r="CU140" s="513"/>
      <c r="CV140" s="513"/>
      <c r="CW140" s="513"/>
      <c r="CX140" s="513"/>
      <c r="CY140" s="513"/>
      <c r="CZ140" s="513"/>
      <c r="DA140" s="513"/>
      <c r="DB140" s="513"/>
      <c r="DC140" s="513"/>
      <c r="DD140" s="513"/>
      <c r="DE140" s="513"/>
      <c r="DF140" s="513"/>
      <c r="DG140" s="513"/>
      <c r="DH140" s="513"/>
      <c r="DI140" s="513"/>
      <c r="DJ140" s="513"/>
      <c r="DK140" s="513"/>
      <c r="DL140" s="513"/>
      <c r="DM140" s="513"/>
      <c r="DN140" s="513"/>
      <c r="DO140" s="513"/>
      <c r="DP140" s="513"/>
      <c r="DQ140" s="513"/>
      <c r="DR140" s="513"/>
      <c r="DS140" s="513"/>
      <c r="DT140" s="513"/>
      <c r="DU140" s="513"/>
      <c r="DV140" s="61"/>
      <c r="DW140" s="336">
        <f t="shared" si="709"/>
        <v>0</v>
      </c>
      <c r="DX140" s="336">
        <f t="shared" si="701"/>
        <v>0</v>
      </c>
      <c r="DY140" s="336">
        <f t="shared" si="702"/>
        <v>0</v>
      </c>
      <c r="DZ140" s="336">
        <f t="shared" si="703"/>
        <v>0</v>
      </c>
      <c r="EA140" s="336">
        <f t="shared" si="704"/>
        <v>0</v>
      </c>
      <c r="EB140" s="336">
        <f t="shared" si="705"/>
        <v>0</v>
      </c>
      <c r="EC140" s="336">
        <f t="shared" si="706"/>
        <v>0</v>
      </c>
      <c r="ED140" s="336">
        <f t="shared" si="621"/>
        <v>0</v>
      </c>
      <c r="EE140" s="336">
        <f t="shared" si="622"/>
        <v>0</v>
      </c>
      <c r="EF140" s="336">
        <f t="shared" si="623"/>
        <v>0</v>
      </c>
      <c r="EG140" s="336">
        <f t="shared" si="624"/>
        <v>0</v>
      </c>
      <c r="EH140" s="336">
        <f t="shared" si="625"/>
        <v>0</v>
      </c>
      <c r="EI140" s="336">
        <f t="shared" si="626"/>
        <v>0</v>
      </c>
      <c r="EJ140" s="336">
        <f t="shared" si="627"/>
        <v>0</v>
      </c>
      <c r="EK140" s="336">
        <f t="shared" si="628"/>
        <v>0</v>
      </c>
      <c r="EL140" s="336">
        <f t="shared" si="629"/>
        <v>0</v>
      </c>
      <c r="EM140" s="336">
        <f t="shared" si="630"/>
        <v>0</v>
      </c>
      <c r="EN140" s="336">
        <f t="shared" si="631"/>
        <v>0</v>
      </c>
      <c r="EO140" s="336">
        <f t="shared" si="632"/>
        <v>0</v>
      </c>
      <c r="EP140" s="336">
        <f t="shared" si="633"/>
        <v>0</v>
      </c>
      <c r="EQ140" s="336">
        <f t="shared" si="634"/>
        <v>0</v>
      </c>
      <c r="ER140" s="336">
        <f t="shared" si="635"/>
        <v>0</v>
      </c>
      <c r="ES140" s="336">
        <f t="shared" si="636"/>
        <v>0</v>
      </c>
      <c r="ET140" s="336">
        <f t="shared" si="636"/>
        <v>0</v>
      </c>
      <c r="EU140" s="336">
        <f t="shared" si="637"/>
        <v>0</v>
      </c>
      <c r="EV140" s="336">
        <f t="shared" si="638"/>
        <v>0</v>
      </c>
      <c r="EW140" s="336">
        <f t="shared" si="639"/>
        <v>0</v>
      </c>
      <c r="EX140" s="336">
        <f t="shared" si="640"/>
        <v>0</v>
      </c>
      <c r="EY140" s="336">
        <f t="shared" si="641"/>
        <v>0</v>
      </c>
      <c r="EZ140" s="336">
        <f t="shared" si="642"/>
        <v>0</v>
      </c>
      <c r="FA140" s="336">
        <f t="shared" si="643"/>
        <v>0</v>
      </c>
      <c r="FB140" s="336">
        <f t="shared" si="644"/>
        <v>0</v>
      </c>
      <c r="FC140" s="336">
        <f t="shared" si="645"/>
        <v>0</v>
      </c>
      <c r="FD140" s="336">
        <f t="shared" si="646"/>
        <v>0</v>
      </c>
      <c r="FE140" s="336">
        <f t="shared" si="647"/>
        <v>0</v>
      </c>
      <c r="FF140" s="336">
        <f t="shared" si="648"/>
        <v>0</v>
      </c>
      <c r="FG140" s="336">
        <f t="shared" si="649"/>
        <v>0</v>
      </c>
      <c r="FH140" s="336">
        <f t="shared" si="650"/>
        <v>0</v>
      </c>
      <c r="FI140" s="336">
        <f t="shared" si="651"/>
        <v>0</v>
      </c>
      <c r="FJ140" s="336">
        <f t="shared" si="652"/>
        <v>0</v>
      </c>
      <c r="FK140" s="336">
        <f t="shared" si="653"/>
        <v>0</v>
      </c>
      <c r="FL140" s="336">
        <f t="shared" si="654"/>
        <v>0</v>
      </c>
      <c r="FM140" s="336">
        <f t="shared" si="655"/>
        <v>0</v>
      </c>
      <c r="FN140" s="336">
        <f t="shared" si="656"/>
        <v>0</v>
      </c>
      <c r="FO140" s="492">
        <f t="shared" si="657"/>
        <v>0</v>
      </c>
      <c r="FP140" s="492">
        <f t="shared" si="658"/>
        <v>0</v>
      </c>
      <c r="FQ140" s="492">
        <f t="shared" si="659"/>
        <v>0</v>
      </c>
      <c r="FR140" s="492">
        <f t="shared" si="660"/>
        <v>0</v>
      </c>
      <c r="FS140" s="492">
        <f t="shared" si="661"/>
        <v>0</v>
      </c>
      <c r="FT140" s="492">
        <f t="shared" si="662"/>
        <v>0</v>
      </c>
      <c r="FU140" s="336">
        <f t="shared" si="860"/>
        <v>0</v>
      </c>
      <c r="FV140" s="336">
        <f t="shared" si="861"/>
        <v>0</v>
      </c>
      <c r="FW140" s="336">
        <f t="shared" si="862"/>
        <v>0</v>
      </c>
      <c r="FX140" s="336">
        <f t="shared" si="863"/>
        <v>0</v>
      </c>
      <c r="FY140" s="492">
        <f t="shared" si="663"/>
        <v>0</v>
      </c>
      <c r="FZ140" s="492">
        <f t="shared" si="664"/>
        <v>0</v>
      </c>
      <c r="GA140" s="492">
        <f t="shared" si="665"/>
        <v>0</v>
      </c>
      <c r="GB140" s="492">
        <f t="shared" si="666"/>
        <v>0</v>
      </c>
      <c r="GC140" s="492">
        <f t="shared" si="667"/>
        <v>0</v>
      </c>
      <c r="GD140" s="492">
        <f t="shared" si="668"/>
        <v>0</v>
      </c>
      <c r="GE140" s="492">
        <f t="shared" si="669"/>
        <v>0</v>
      </c>
      <c r="GF140" s="492">
        <f t="shared" si="670"/>
        <v>0</v>
      </c>
      <c r="GG140" s="492">
        <f t="shared" si="671"/>
        <v>0</v>
      </c>
      <c r="GH140" s="492">
        <f t="shared" si="672"/>
        <v>0</v>
      </c>
      <c r="GI140" s="492">
        <f t="shared" si="673"/>
        <v>0</v>
      </c>
      <c r="GJ140" s="492">
        <f t="shared" si="674"/>
        <v>0</v>
      </c>
      <c r="GK140" s="492">
        <f t="shared" si="852"/>
        <v>0</v>
      </c>
      <c r="GL140" s="336">
        <f t="shared" si="864"/>
        <v>0</v>
      </c>
      <c r="GM140" s="492">
        <f t="shared" si="675"/>
        <v>0</v>
      </c>
    </row>
    <row r="141" spans="1:195" ht="20.100000000000001" customHeight="1">
      <c r="A141" s="337">
        <f>1+A139</f>
        <v>99</v>
      </c>
      <c r="B141" s="337" t="s">
        <v>606</v>
      </c>
      <c r="C141" s="337" t="str">
        <f t="shared" ref="C141:C149" si="900">$D$6</f>
        <v>PMCC-1</v>
      </c>
      <c r="D141" s="372" t="s">
        <v>607</v>
      </c>
      <c r="E141" s="500" t="s">
        <v>608</v>
      </c>
      <c r="F141" s="516" t="s">
        <v>28</v>
      </c>
      <c r="G141" s="337" t="s">
        <v>329</v>
      </c>
      <c r="H141" s="350">
        <v>85</v>
      </c>
      <c r="I141" s="337" t="s">
        <v>330</v>
      </c>
      <c r="J141" s="337" t="s">
        <v>331</v>
      </c>
      <c r="K141" s="349">
        <v>400</v>
      </c>
      <c r="L141" s="343">
        <v>0.85</v>
      </c>
      <c r="M141" s="350">
        <v>0.95</v>
      </c>
      <c r="N141" s="342">
        <f t="shared" ref="N141:N160" si="901">IF(I141="kVA",IF(J141="3Ph",(H141*1000/(1.732*M141*K141)),(H141*1000/(M141*K141))),IF(I141="kW",IF(J141="3Ph",(H141*1000/(1.732*M141*K141*L141)),(H141*1000/(M141*K141*L141)))))</f>
        <v>151.93873830071718</v>
      </c>
      <c r="O141" s="342">
        <f t="shared" si="867"/>
        <v>0</v>
      </c>
      <c r="P141" s="343" t="str">
        <f t="shared" ref="P141:P157" si="902">IF(G141="MOTOR",0.2,"0.00")</f>
        <v>0.00</v>
      </c>
      <c r="Q141" s="350">
        <v>65</v>
      </c>
      <c r="R141" s="350">
        <v>0</v>
      </c>
      <c r="S141" s="350">
        <f t="shared" ref="S141:S157" si="903">(Q141*1000*SQRT(R141)/143)</f>
        <v>0</v>
      </c>
      <c r="T141" s="343" t="s">
        <v>131</v>
      </c>
      <c r="U141" s="917" t="s">
        <v>535</v>
      </c>
      <c r="V141" s="916">
        <v>150</v>
      </c>
      <c r="W141" s="343" t="str">
        <f t="shared" ref="W141:W157" si="904">CONCATENATE(U141," X ",V141)</f>
        <v>3.5C X 150</v>
      </c>
      <c r="X141" s="343" t="str">
        <f t="shared" ref="X141:X157" si="905">(IF(J141="1Ph",W141,IF(J141="3Ph",(IF(G141="MOTOR",(CONCATENATE(W141,"+PE")),W141)))))</f>
        <v>3.5C X 150</v>
      </c>
      <c r="Y141" s="343" t="s">
        <v>358</v>
      </c>
      <c r="Z141" s="344">
        <f>IF(T141="AIR",VLOOKUP(W141,'Catalogue Aluminium'!$B$9:$G$93,2,FALSE),IF(T141="GROUND",VLOOKUP(W141,'Catalogue Aluminium'!$B$9:$G$93,3,FALSE),IF(T141="DUCT",VLOOKUP(W141,'Catalogue Aluminium'!$B$9:$G$93,4,FALSE),IF(T141="TRENCH",VLOOKUP(W141,'Catalogue Aluminium'!$B$9:$G$93,2,FALSE)))))</f>
        <v>293</v>
      </c>
      <c r="AA141" s="345">
        <f>VLOOKUP(W141,'Catalogue Aluminium'!$B$9:$G$93,5,FALSE)</f>
        <v>0.26400000000000001</v>
      </c>
      <c r="AB141" s="345">
        <f>VLOOKUP(W141,'Catalogue Aluminium'!$B$9:$G$93,6,FALSE)</f>
        <v>7.3200000000000001E-2</v>
      </c>
      <c r="AC141" s="401">
        <f>26+8</f>
        <v>34</v>
      </c>
      <c r="AD141" s="401">
        <v>0</v>
      </c>
      <c r="AE141" s="401">
        <v>5</v>
      </c>
      <c r="AF141" s="401">
        <v>8</v>
      </c>
      <c r="AG141" s="401">
        <f t="shared" ref="AG141:AG157" si="906">ROUNDUP((SUM(AC141:AF141)*0.1),0)</f>
        <v>5</v>
      </c>
      <c r="AH141" s="347">
        <f t="shared" ref="AH141:AH157" si="907">SUM(AC141:AG141)</f>
        <v>52</v>
      </c>
      <c r="AI141" s="344">
        <f>IF(T141="AIR",'Catalogue Aluminium'!$K$9,IF(T141="TRENCH",'Catalogue Aluminium'!$K$12,"NA"))</f>
        <v>0.89</v>
      </c>
      <c r="AJ141" s="342">
        <f>IF(T141="Air",(IF(U141="1C",'Catalogue Aluminium'!$L$9,'Catalogue Aluminium'!$M$9)),IF(T141="DUCT",(IF($U141="1C",'Catalogue Aluminium'!$L$10,'Catalogue Aluminium'!$M$10)),IF(T141="GROUND",(IF($U141="1C",'Catalogue Aluminium'!$L$11,'Catalogue Aluminium'!$M$11)),IF(T141="TRENCH",(IF($U141="1C",'Catalogue Aluminium'!$L$12,'Catalogue Aluminium'!$M$12))))))</f>
        <v>0.66</v>
      </c>
      <c r="AK141" s="344" t="str">
        <f>IF(T141="Air",'Catalogue Aluminium'!$N$9,IF(T141="GROUND",'Catalogue Aluminium'!$N$10,IF(T141="DUCT",'Catalogue Aluminium'!$N$11,IF(T141="TRENCH",'Catalogue Aluminium'!$N$12,"NA"))))</f>
        <v>NA</v>
      </c>
      <c r="AL141" s="344" t="str">
        <f>IF(T141="Air",(IF(U141="1C",'Catalogue Aluminium'!$O$9,'Catalogue Aluminium'!$P$9)),IF(T141="DUCT",(IF($U141="1C",'Catalogue Aluminium'!$O$10,'Catalogue Aluminium'!$P$10)),IF(T141="GROUND",(IF($U141="1C",'Catalogue Aluminium'!$O$11,'Catalogue Aluminium'!$P$11)),IF(T141="TRENCH",(IF($U141="1C",'Catalogue Aluminium'!$O$12,'Catalogue Aluminium'!$P$12))))))</f>
        <v>NA</v>
      </c>
      <c r="AM141" s="344" t="str">
        <f>IF(T141="AIR","NA",IF(T141="TRENCH","NA",IF(T141="DUCT",IF(U141="1C",VLOOKUP(V141,'Catalogue Aluminium'!$Q$9:$S$28,2,FALSE),VLOOKUP(V141,'Catalogue Aluminium'!$Q$9:$S$28,3)),IF(T141="GROUND",IF(U141="1C",VLOOKUP(V141,'Catalogue Aluminium'!$Q$9:$S$28,2,FALSE),VLOOKUP(V141,'Catalogue Aluminium'!$Q$9:$S$28,3))))))</f>
        <v>NA</v>
      </c>
      <c r="AN141" s="351">
        <f t="shared" ref="AN141:AN157" si="908">IF(T141="AIR",AI141*AJ141,IF(T141="TRENCH",AI141*AJ141,IF(T141="DUCT",AJ141*AK141*AL141*AM141,IF(T141="GROUND",AJ141*AK141*AL141*AM141))))</f>
        <v>0.58740000000000003</v>
      </c>
      <c r="AO141" s="350">
        <f t="shared" ref="AO141:AO157" si="909">Z141*AN141</f>
        <v>172.10820000000001</v>
      </c>
      <c r="AP141" s="349">
        <f t="shared" si="689"/>
        <v>1</v>
      </c>
      <c r="AQ141" s="350" t="str">
        <f t="shared" ref="AQ141:AQ157" si="910">IF(AO141*AP141&gt;=N141,"YES","NO")</f>
        <v>YES</v>
      </c>
      <c r="AR141" s="351">
        <f t="shared" ref="AR141:AR157" si="911">SQRT(3)*AH141*N141*((AA141*L141)+(AB141*SIN(ACOS(L141))))*100/(AP141*K141*1000)</f>
        <v>0.89962807515113308</v>
      </c>
      <c r="AS141" s="343" t="str">
        <f t="shared" ref="AS141:AS157" si="912">IF(G141="INCOMER",(IF(AR141&lt;=2,"YES","NO")),IF(G141="POWER",(IF(AR141&lt;=2.5,"YES","NO")),IF(G141="MOTOR",(IF(AR141&lt;=3,"YES","NO")))))</f>
        <v>YES</v>
      </c>
      <c r="AT141" s="351" t="str">
        <f t="shared" ref="AT141:AT149" si="913">IF(G141="MOTOR",(SQRT(3)*AH141*O141*((AA141*P141)+(AB141*SIN(ACOS(P141))))*100/(AP141*K141*1000)),"NA")</f>
        <v>NA</v>
      </c>
      <c r="AU141" s="343" t="str">
        <f t="shared" ref="AU141:AU157" si="914">IF(G141="MOTOR",IF(AT141&lt;=15,"YES","NO"),"NA")</f>
        <v>NA</v>
      </c>
      <c r="AV141" s="354" t="str">
        <f t="shared" ref="AV141:AV146" si="915">IF(U141="1C",CONCATENATE(AP141,"R x ",Y141,"kV x ",U141," x ",V141," Sqmm/Phase"),CONCATENATE(AP141,"R x ",0.6,"/1kV x ",U141," x ",V141," Sqmm"))</f>
        <v>1R x 0.6/1kV x 3.5C x 150 Sqmm</v>
      </c>
      <c r="AW141" s="354" t="str">
        <f t="shared" ref="AW141:AW157" si="916">IF(U141="1C",CONCATENATE(AP141,"R x ",Y141,"kV x ",U141," x ",V141," Sqmm/Phase"),CONCATENATE(AP141,"R x ",0.6,"/1kV x ",U141," x ",V141,(IF(G141="MOTOR","+PE",""))," Sqmm"))</f>
        <v>1R x 0.6/1kV x 3.5C x 150 Sqmm</v>
      </c>
      <c r="AX141" s="343">
        <f>(IF(K141=400,(IF(U141="1C",(4*AH141*AP141),(AH141*AP141))),IF(K141=230,(AH141*AP141))))</f>
        <v>52</v>
      </c>
      <c r="AY141" s="355"/>
      <c r="AZ141" s="355">
        <f t="shared" ref="AZ141:AZ146" si="917">IF(U141="1C",(3*AP141*2),(AP141*2))</f>
        <v>2</v>
      </c>
      <c r="BA141" s="356" t="str">
        <f t="shared" si="899"/>
        <v/>
      </c>
      <c r="BB141" s="501">
        <f>VLOOKUP(W141,'Catalogue Aluminium'!$B$9:$H$93,7,FALSE)</f>
        <v>48</v>
      </c>
      <c r="BC141" s="328">
        <f>AP141*BB141</f>
        <v>48</v>
      </c>
      <c r="BE141" s="336"/>
      <c r="BF141" s="336"/>
      <c r="BG141" s="336"/>
      <c r="BH141" s="336"/>
      <c r="BI141" s="336"/>
      <c r="BJ141" s="336"/>
      <c r="BK141" s="336"/>
      <c r="BL141" s="336"/>
      <c r="BM141" s="336"/>
      <c r="BN141" s="336"/>
      <c r="BO141" s="336"/>
      <c r="BP141" s="336"/>
      <c r="BQ141" s="336"/>
      <c r="BR141" s="336"/>
      <c r="BS141" s="336"/>
      <c r="BT141" s="336"/>
      <c r="BU141" s="336"/>
      <c r="BV141" s="336"/>
      <c r="BW141" s="336"/>
      <c r="BX141" s="336"/>
      <c r="BY141" s="336"/>
      <c r="BZ141" s="336"/>
      <c r="CA141" s="336"/>
      <c r="CB141" s="336"/>
      <c r="CC141" s="336"/>
      <c r="CD141" s="336"/>
      <c r="CE141" s="336"/>
      <c r="CF141" s="336"/>
      <c r="CG141" s="336"/>
      <c r="CH141" s="336"/>
      <c r="CI141" s="336"/>
      <c r="CJ141" s="336"/>
      <c r="CK141" s="336"/>
      <c r="CL141" s="336"/>
      <c r="CM141" s="336"/>
      <c r="CN141" s="336"/>
      <c r="CO141" s="336"/>
      <c r="CP141" s="336"/>
      <c r="CQ141" s="336"/>
      <c r="CR141" s="336"/>
      <c r="CS141" s="336"/>
      <c r="CT141" s="336"/>
      <c r="CU141" s="336"/>
      <c r="CV141" s="336"/>
      <c r="CW141" s="336"/>
      <c r="CX141" s="336"/>
      <c r="CY141" s="336"/>
      <c r="CZ141" s="336"/>
      <c r="DA141" s="336"/>
      <c r="DB141" s="336"/>
      <c r="DC141" s="336"/>
      <c r="DD141" s="336"/>
      <c r="DE141" s="336"/>
      <c r="DF141" s="336"/>
      <c r="DG141" s="336"/>
      <c r="DH141" s="336"/>
      <c r="DI141" s="336"/>
      <c r="DJ141" s="336"/>
      <c r="DK141" s="336"/>
      <c r="DL141" s="336"/>
      <c r="DM141" s="336"/>
      <c r="DN141" s="336"/>
      <c r="DO141" s="336"/>
      <c r="DP141" s="336"/>
      <c r="DQ141" s="336"/>
      <c r="DR141" s="336"/>
      <c r="DS141" s="336"/>
      <c r="DT141" s="336"/>
      <c r="DU141" s="336"/>
      <c r="DW141" s="336">
        <f t="shared" si="709"/>
        <v>0</v>
      </c>
      <c r="DX141" s="336">
        <f t="shared" si="701"/>
        <v>0</v>
      </c>
      <c r="DY141" s="336">
        <f t="shared" si="702"/>
        <v>0</v>
      </c>
      <c r="DZ141" s="336">
        <f t="shared" si="703"/>
        <v>0</v>
      </c>
      <c r="EA141" s="336">
        <f t="shared" si="704"/>
        <v>0</v>
      </c>
      <c r="EB141" s="336">
        <f t="shared" si="705"/>
        <v>0</v>
      </c>
      <c r="EC141" s="336">
        <f t="shared" si="706"/>
        <v>0</v>
      </c>
      <c r="ED141" s="336">
        <f t="shared" si="621"/>
        <v>0</v>
      </c>
      <c r="EE141" s="336">
        <f t="shared" si="622"/>
        <v>0</v>
      </c>
      <c r="EF141" s="336">
        <f t="shared" si="623"/>
        <v>0</v>
      </c>
      <c r="EG141" s="336">
        <f t="shared" si="624"/>
        <v>0</v>
      </c>
      <c r="EH141" s="336">
        <f t="shared" si="625"/>
        <v>0</v>
      </c>
      <c r="EI141" s="336">
        <f t="shared" si="626"/>
        <v>0</v>
      </c>
      <c r="EJ141" s="336">
        <f t="shared" si="627"/>
        <v>0</v>
      </c>
      <c r="EK141" s="336">
        <f t="shared" si="628"/>
        <v>0</v>
      </c>
      <c r="EL141" s="336">
        <f t="shared" si="629"/>
        <v>0</v>
      </c>
      <c r="EM141" s="336">
        <f t="shared" si="630"/>
        <v>0</v>
      </c>
      <c r="EN141" s="336">
        <f t="shared" si="631"/>
        <v>0</v>
      </c>
      <c r="EO141" s="336">
        <f t="shared" si="632"/>
        <v>0</v>
      </c>
      <c r="EP141" s="336">
        <f t="shared" si="633"/>
        <v>0</v>
      </c>
      <c r="EQ141" s="336">
        <f t="shared" si="634"/>
        <v>0</v>
      </c>
      <c r="ER141" s="336">
        <f t="shared" si="635"/>
        <v>0</v>
      </c>
      <c r="ES141" s="336">
        <f t="shared" si="636"/>
        <v>0</v>
      </c>
      <c r="ET141" s="336">
        <f t="shared" si="636"/>
        <v>0</v>
      </c>
      <c r="EU141" s="336">
        <f t="shared" si="637"/>
        <v>0</v>
      </c>
      <c r="EV141" s="336">
        <f t="shared" si="638"/>
        <v>0</v>
      </c>
      <c r="EW141" s="336">
        <f t="shared" si="639"/>
        <v>0</v>
      </c>
      <c r="EX141" s="336">
        <f t="shared" si="640"/>
        <v>0</v>
      </c>
      <c r="EY141" s="336">
        <f t="shared" si="641"/>
        <v>0</v>
      </c>
      <c r="EZ141" s="336">
        <f t="shared" si="642"/>
        <v>0</v>
      </c>
      <c r="FA141" s="336">
        <f t="shared" si="643"/>
        <v>0</v>
      </c>
      <c r="FB141" s="336">
        <f t="shared" si="644"/>
        <v>0</v>
      </c>
      <c r="FC141" s="336">
        <f t="shared" si="645"/>
        <v>0</v>
      </c>
      <c r="FD141" s="336">
        <f t="shared" si="646"/>
        <v>0</v>
      </c>
      <c r="FE141" s="336">
        <f t="shared" si="647"/>
        <v>0</v>
      </c>
      <c r="FF141" s="336">
        <f t="shared" si="648"/>
        <v>0</v>
      </c>
      <c r="FG141" s="336">
        <f t="shared" si="649"/>
        <v>0</v>
      </c>
      <c r="FH141" s="336">
        <f t="shared" si="650"/>
        <v>0</v>
      </c>
      <c r="FI141" s="336">
        <f t="shared" si="651"/>
        <v>0</v>
      </c>
      <c r="FJ141" s="336">
        <f t="shared" si="652"/>
        <v>0</v>
      </c>
      <c r="FK141" s="336">
        <f t="shared" si="653"/>
        <v>0</v>
      </c>
      <c r="FL141" s="336">
        <f t="shared" si="654"/>
        <v>0</v>
      </c>
      <c r="FM141" s="336">
        <f t="shared" si="655"/>
        <v>0</v>
      </c>
      <c r="FN141" s="336">
        <f t="shared" si="656"/>
        <v>0</v>
      </c>
      <c r="FO141" s="336">
        <f t="shared" si="657"/>
        <v>0</v>
      </c>
      <c r="FP141" s="336">
        <f t="shared" si="658"/>
        <v>0</v>
      </c>
      <c r="FQ141" s="336">
        <f t="shared" si="659"/>
        <v>0</v>
      </c>
      <c r="FR141" s="336">
        <f t="shared" si="660"/>
        <v>0</v>
      </c>
      <c r="FS141" s="336">
        <f t="shared" si="661"/>
        <v>0</v>
      </c>
      <c r="FT141" s="336">
        <f t="shared" si="662"/>
        <v>0</v>
      </c>
      <c r="FU141" s="336">
        <f t="shared" si="860"/>
        <v>0</v>
      </c>
      <c r="FV141" s="336">
        <f t="shared" si="861"/>
        <v>0</v>
      </c>
      <c r="FW141" s="336">
        <f t="shared" si="862"/>
        <v>0</v>
      </c>
      <c r="FX141" s="336">
        <f t="shared" si="863"/>
        <v>0</v>
      </c>
      <c r="FY141" s="336">
        <f t="shared" si="663"/>
        <v>0</v>
      </c>
      <c r="FZ141" s="336">
        <f t="shared" si="664"/>
        <v>0</v>
      </c>
      <c r="GA141" s="336">
        <f t="shared" si="665"/>
        <v>0</v>
      </c>
      <c r="GB141" s="336">
        <f t="shared" si="666"/>
        <v>0</v>
      </c>
      <c r="GC141" s="336">
        <f t="shared" si="667"/>
        <v>0</v>
      </c>
      <c r="GD141" s="336">
        <f t="shared" si="668"/>
        <v>0</v>
      </c>
      <c r="GE141" s="336">
        <f t="shared" si="669"/>
        <v>0</v>
      </c>
      <c r="GF141" s="336">
        <f t="shared" si="670"/>
        <v>0</v>
      </c>
      <c r="GG141" s="336">
        <f t="shared" si="671"/>
        <v>0</v>
      </c>
      <c r="GH141" s="336">
        <f t="shared" si="672"/>
        <v>0</v>
      </c>
      <c r="GI141" s="336">
        <f t="shared" si="673"/>
        <v>0</v>
      </c>
      <c r="GJ141" s="336">
        <f t="shared" si="674"/>
        <v>0</v>
      </c>
      <c r="GK141" s="336">
        <f t="shared" si="852"/>
        <v>0</v>
      </c>
      <c r="GL141" s="336">
        <f t="shared" si="864"/>
        <v>0</v>
      </c>
      <c r="GM141" s="336">
        <f t="shared" si="675"/>
        <v>0</v>
      </c>
    </row>
    <row r="142" spans="1:195" ht="20.100000000000001" customHeight="1">
      <c r="A142" s="337">
        <f t="shared" ref="A142:A160" si="918">1+A141</f>
        <v>100</v>
      </c>
      <c r="B142" s="337" t="s">
        <v>606</v>
      </c>
      <c r="C142" s="337" t="str">
        <f t="shared" si="900"/>
        <v>PMCC-1</v>
      </c>
      <c r="D142" s="372" t="s">
        <v>609</v>
      </c>
      <c r="E142" s="500" t="s">
        <v>608</v>
      </c>
      <c r="F142" s="516" t="s">
        <v>29</v>
      </c>
      <c r="G142" s="337" t="s">
        <v>329</v>
      </c>
      <c r="H142" s="350">
        <v>85</v>
      </c>
      <c r="I142" s="337" t="s">
        <v>330</v>
      </c>
      <c r="J142" s="337" t="s">
        <v>331</v>
      </c>
      <c r="K142" s="349">
        <v>400</v>
      </c>
      <c r="L142" s="343">
        <v>0.85</v>
      </c>
      <c r="M142" s="350">
        <v>0.95</v>
      </c>
      <c r="N142" s="342">
        <f t="shared" si="901"/>
        <v>151.93873830071718</v>
      </c>
      <c r="O142" s="342">
        <f t="shared" si="867"/>
        <v>0</v>
      </c>
      <c r="P142" s="343" t="str">
        <f t="shared" si="902"/>
        <v>0.00</v>
      </c>
      <c r="Q142" s="350">
        <v>65</v>
      </c>
      <c r="R142" s="350">
        <v>0</v>
      </c>
      <c r="S142" s="350">
        <f t="shared" si="903"/>
        <v>0</v>
      </c>
      <c r="T142" s="343" t="s">
        <v>131</v>
      </c>
      <c r="U142" s="917" t="s">
        <v>535</v>
      </c>
      <c r="V142" s="916">
        <v>150</v>
      </c>
      <c r="W142" s="343" t="str">
        <f t="shared" si="904"/>
        <v>3.5C X 150</v>
      </c>
      <c r="X142" s="343" t="str">
        <f t="shared" si="905"/>
        <v>3.5C X 150</v>
      </c>
      <c r="Y142" s="343" t="s">
        <v>358</v>
      </c>
      <c r="Z142" s="344">
        <f>IF(T142="AIR",VLOOKUP(W142,'Catalogue Aluminium'!$B$9:$G$93,2,FALSE),IF(T142="GROUND",VLOOKUP(W142,'Catalogue Aluminium'!$B$9:$G$93,3,FALSE),IF(T142="DUCT",VLOOKUP(W142,'Catalogue Aluminium'!$B$9:$G$93,4,FALSE),IF(T142="TRENCH",VLOOKUP(W142,'Catalogue Aluminium'!$B$9:$G$93,2,FALSE)))))</f>
        <v>293</v>
      </c>
      <c r="AA142" s="345">
        <f>VLOOKUP(W142,'Catalogue Aluminium'!$B$9:$G$93,5,FALSE)</f>
        <v>0.26400000000000001</v>
      </c>
      <c r="AB142" s="345">
        <f>VLOOKUP(W142,'Catalogue Aluminium'!$B$9:$G$93,6,FALSE)</f>
        <v>7.3200000000000001E-2</v>
      </c>
      <c r="AC142" s="401">
        <f>10+8</f>
        <v>18</v>
      </c>
      <c r="AD142" s="401">
        <v>0</v>
      </c>
      <c r="AE142" s="401">
        <v>5</v>
      </c>
      <c r="AF142" s="401">
        <v>8</v>
      </c>
      <c r="AG142" s="401">
        <f t="shared" si="906"/>
        <v>4</v>
      </c>
      <c r="AH142" s="347">
        <f t="shared" si="907"/>
        <v>35</v>
      </c>
      <c r="AI142" s="344">
        <f>IF(T142="AIR",'Catalogue Aluminium'!$K$9,IF(T142="TRENCH",'Catalogue Aluminium'!$K$12,"NA"))</f>
        <v>0.89</v>
      </c>
      <c r="AJ142" s="342">
        <f>IF(T142="Air",(IF(U142="1C",'Catalogue Aluminium'!$L$9,'Catalogue Aluminium'!$M$9)),IF(T142="DUCT",(IF($U142="1C",'Catalogue Aluminium'!$L$10,'Catalogue Aluminium'!$M$10)),IF(T142="GROUND",(IF($U142="1C",'Catalogue Aluminium'!$L$11,'Catalogue Aluminium'!$M$11)),IF(T142="TRENCH",(IF($U142="1C",'Catalogue Aluminium'!$L$12,'Catalogue Aluminium'!$M$12))))))</f>
        <v>0.66</v>
      </c>
      <c r="AK142" s="344" t="str">
        <f>IF(T142="Air",'Catalogue Aluminium'!$N$9,IF(T142="GROUND",'Catalogue Aluminium'!$N$10,IF(T142="DUCT",'Catalogue Aluminium'!$N$11,IF(T142="TRENCH",'Catalogue Aluminium'!$N$12,"NA"))))</f>
        <v>NA</v>
      </c>
      <c r="AL142" s="344" t="str">
        <f>IF(T142="Air",(IF(U142="1C",'Catalogue Aluminium'!$O$9,'Catalogue Aluminium'!$P$9)),IF(T142="DUCT",(IF($U142="1C",'Catalogue Aluminium'!$O$10,'Catalogue Aluminium'!$P$10)),IF(T142="GROUND",(IF($U142="1C",'Catalogue Aluminium'!$O$11,'Catalogue Aluminium'!$P$11)),IF(T142="TRENCH",(IF($U142="1C",'Catalogue Aluminium'!$O$12,'Catalogue Aluminium'!$P$12))))))</f>
        <v>NA</v>
      </c>
      <c r="AM142" s="344" t="str">
        <f>IF(T142="AIR","NA",IF(T142="TRENCH","NA",IF(T142="DUCT",IF(U142="1C",VLOOKUP(V142,'Catalogue Aluminium'!$Q$9:$S$28,2,FALSE),VLOOKUP(V142,'Catalogue Aluminium'!$Q$9:$S$28,3)),IF(T142="GROUND",IF(U142="1C",VLOOKUP(V142,'Catalogue Aluminium'!$Q$9:$S$28,2,FALSE),VLOOKUP(V142,'Catalogue Aluminium'!$Q$9:$S$28,3))))))</f>
        <v>NA</v>
      </c>
      <c r="AN142" s="351">
        <f t="shared" si="908"/>
        <v>0.58740000000000003</v>
      </c>
      <c r="AO142" s="350">
        <f t="shared" si="909"/>
        <v>172.10820000000001</v>
      </c>
      <c r="AP142" s="349">
        <f t="shared" si="689"/>
        <v>1</v>
      </c>
      <c r="AQ142" s="350" t="str">
        <f t="shared" si="910"/>
        <v>YES</v>
      </c>
      <c r="AR142" s="351">
        <f t="shared" si="911"/>
        <v>0.60551889673633963</v>
      </c>
      <c r="AS142" s="343" t="str">
        <f t="shared" si="912"/>
        <v>YES</v>
      </c>
      <c r="AT142" s="351" t="str">
        <f t="shared" si="913"/>
        <v>NA</v>
      </c>
      <c r="AU142" s="343" t="str">
        <f t="shared" si="914"/>
        <v>NA</v>
      </c>
      <c r="AV142" s="354" t="str">
        <f t="shared" si="915"/>
        <v>1R x 0.6/1kV x 3.5C x 150 Sqmm</v>
      </c>
      <c r="AW142" s="354" t="str">
        <f t="shared" si="916"/>
        <v>1R x 0.6/1kV x 3.5C x 150 Sqmm</v>
      </c>
      <c r="AX142" s="343">
        <f>(IF(K142=400,(IF(U142="1C",(4*AH142*AP142),(AH142*AP142))),IF(K142=230,(AH142*AP142))))</f>
        <v>35</v>
      </c>
      <c r="AY142" s="355"/>
      <c r="AZ142" s="355">
        <f t="shared" si="917"/>
        <v>2</v>
      </c>
      <c r="BA142" s="356" t="str">
        <f t="shared" si="899"/>
        <v/>
      </c>
      <c r="BB142" s="501">
        <f>VLOOKUP(W142,'Catalogue Aluminium'!$B$9:$H$93,7,FALSE)</f>
        <v>48</v>
      </c>
      <c r="BC142" s="328">
        <f>AP142*BB142</f>
        <v>48</v>
      </c>
      <c r="BE142" s="336"/>
      <c r="BF142" s="336"/>
      <c r="BG142" s="336"/>
      <c r="BH142" s="336"/>
      <c r="BI142" s="336"/>
      <c r="BJ142" s="336"/>
      <c r="BK142" s="336"/>
      <c r="BL142" s="336"/>
      <c r="BM142" s="336"/>
      <c r="BN142" s="336"/>
      <c r="BO142" s="336"/>
      <c r="BP142" s="336"/>
      <c r="BQ142" s="336"/>
      <c r="BR142" s="336"/>
      <c r="BS142" s="336"/>
      <c r="BT142" s="336"/>
      <c r="BU142" s="336"/>
      <c r="BV142" s="336"/>
      <c r="BW142" s="336"/>
      <c r="BX142" s="336"/>
      <c r="BY142" s="336"/>
      <c r="BZ142" s="336"/>
      <c r="CA142" s="336"/>
      <c r="CB142" s="336"/>
      <c r="CC142" s="336"/>
      <c r="CD142" s="336"/>
      <c r="CE142" s="336"/>
      <c r="CF142" s="336"/>
      <c r="CG142" s="336"/>
      <c r="CH142" s="336"/>
      <c r="CI142" s="336"/>
      <c r="CJ142" s="336"/>
      <c r="CK142" s="336"/>
      <c r="CL142" s="336"/>
      <c r="CM142" s="336"/>
      <c r="CN142" s="336"/>
      <c r="CO142" s="336"/>
      <c r="CP142" s="336"/>
      <c r="CQ142" s="336"/>
      <c r="CR142" s="336"/>
      <c r="CS142" s="336"/>
      <c r="CT142" s="336"/>
      <c r="CU142" s="336"/>
      <c r="CV142" s="336"/>
      <c r="CW142" s="336"/>
      <c r="CX142" s="336"/>
      <c r="CY142" s="336"/>
      <c r="CZ142" s="336"/>
      <c r="DA142" s="336"/>
      <c r="DB142" s="336"/>
      <c r="DC142" s="336"/>
      <c r="DD142" s="336"/>
      <c r="DE142" s="336"/>
      <c r="DF142" s="336"/>
      <c r="DG142" s="336"/>
      <c r="DH142" s="336"/>
      <c r="DI142" s="336"/>
      <c r="DJ142" s="336"/>
      <c r="DK142" s="336"/>
      <c r="DL142" s="336"/>
      <c r="DM142" s="336"/>
      <c r="DN142" s="336"/>
      <c r="DO142" s="336"/>
      <c r="DP142" s="336"/>
      <c r="DQ142" s="336"/>
      <c r="DR142" s="336"/>
      <c r="DS142" s="336"/>
      <c r="DT142" s="336"/>
      <c r="DU142" s="336"/>
      <c r="DW142" s="336">
        <f t="shared" si="709"/>
        <v>0</v>
      </c>
      <c r="DX142" s="336">
        <f t="shared" si="701"/>
        <v>0</v>
      </c>
      <c r="DY142" s="336">
        <f t="shared" si="702"/>
        <v>0</v>
      </c>
      <c r="DZ142" s="336">
        <f t="shared" si="703"/>
        <v>0</v>
      </c>
      <c r="EA142" s="336">
        <f t="shared" si="704"/>
        <v>0</v>
      </c>
      <c r="EB142" s="336">
        <f t="shared" si="705"/>
        <v>0</v>
      </c>
      <c r="EC142" s="336">
        <f t="shared" si="706"/>
        <v>0</v>
      </c>
      <c r="ED142" s="336">
        <f t="shared" si="621"/>
        <v>0</v>
      </c>
      <c r="EE142" s="336">
        <f t="shared" si="622"/>
        <v>0</v>
      </c>
      <c r="EF142" s="336">
        <f t="shared" si="623"/>
        <v>0</v>
      </c>
      <c r="EG142" s="336">
        <f t="shared" si="624"/>
        <v>0</v>
      </c>
      <c r="EH142" s="336">
        <f t="shared" si="625"/>
        <v>0</v>
      </c>
      <c r="EI142" s="336">
        <f t="shared" si="626"/>
        <v>0</v>
      </c>
      <c r="EJ142" s="336">
        <f t="shared" si="627"/>
        <v>0</v>
      </c>
      <c r="EK142" s="336">
        <f t="shared" si="628"/>
        <v>0</v>
      </c>
      <c r="EL142" s="336">
        <f t="shared" si="629"/>
        <v>0</v>
      </c>
      <c r="EM142" s="336">
        <f t="shared" si="630"/>
        <v>0</v>
      </c>
      <c r="EN142" s="336">
        <f t="shared" si="631"/>
        <v>0</v>
      </c>
      <c r="EO142" s="336">
        <f t="shared" si="632"/>
        <v>0</v>
      </c>
      <c r="EP142" s="336">
        <f t="shared" si="633"/>
        <v>0</v>
      </c>
      <c r="EQ142" s="336">
        <f t="shared" si="634"/>
        <v>0</v>
      </c>
      <c r="ER142" s="336">
        <f t="shared" si="635"/>
        <v>0</v>
      </c>
      <c r="ES142" s="336">
        <f t="shared" si="636"/>
        <v>0</v>
      </c>
      <c r="ET142" s="336">
        <f t="shared" si="636"/>
        <v>0</v>
      </c>
      <c r="EU142" s="336">
        <f t="shared" si="637"/>
        <v>0</v>
      </c>
      <c r="EV142" s="336">
        <f t="shared" si="638"/>
        <v>0</v>
      </c>
      <c r="EW142" s="336">
        <f t="shared" si="639"/>
        <v>0</v>
      </c>
      <c r="EX142" s="336">
        <f t="shared" si="640"/>
        <v>0</v>
      </c>
      <c r="EY142" s="336">
        <f t="shared" si="641"/>
        <v>0</v>
      </c>
      <c r="EZ142" s="336">
        <f t="shared" si="642"/>
        <v>0</v>
      </c>
      <c r="FA142" s="336">
        <f t="shared" si="643"/>
        <v>0</v>
      </c>
      <c r="FB142" s="336">
        <f t="shared" si="644"/>
        <v>0</v>
      </c>
      <c r="FC142" s="336">
        <f t="shared" si="645"/>
        <v>0</v>
      </c>
      <c r="FD142" s="336">
        <f t="shared" si="646"/>
        <v>0</v>
      </c>
      <c r="FE142" s="336">
        <f t="shared" si="647"/>
        <v>0</v>
      </c>
      <c r="FF142" s="336">
        <f t="shared" si="648"/>
        <v>0</v>
      </c>
      <c r="FG142" s="336">
        <f t="shared" si="649"/>
        <v>0</v>
      </c>
      <c r="FH142" s="336">
        <f t="shared" si="650"/>
        <v>0</v>
      </c>
      <c r="FI142" s="336">
        <f t="shared" si="651"/>
        <v>0</v>
      </c>
      <c r="FJ142" s="336">
        <f t="shared" si="652"/>
        <v>0</v>
      </c>
      <c r="FK142" s="336">
        <f t="shared" si="653"/>
        <v>0</v>
      </c>
      <c r="FL142" s="336">
        <f t="shared" si="654"/>
        <v>0</v>
      </c>
      <c r="FM142" s="336">
        <f t="shared" si="655"/>
        <v>0</v>
      </c>
      <c r="FN142" s="336">
        <f t="shared" si="656"/>
        <v>0</v>
      </c>
      <c r="FO142" s="336">
        <f t="shared" si="657"/>
        <v>0</v>
      </c>
      <c r="FP142" s="336">
        <f t="shared" si="658"/>
        <v>0</v>
      </c>
      <c r="FQ142" s="336">
        <f t="shared" si="659"/>
        <v>0</v>
      </c>
      <c r="FR142" s="336">
        <f t="shared" si="660"/>
        <v>0</v>
      </c>
      <c r="FS142" s="336">
        <f t="shared" si="661"/>
        <v>0</v>
      </c>
      <c r="FT142" s="336">
        <f t="shared" si="662"/>
        <v>0</v>
      </c>
      <c r="FU142" s="336">
        <f t="shared" si="860"/>
        <v>0</v>
      </c>
      <c r="FV142" s="336">
        <f t="shared" si="861"/>
        <v>0</v>
      </c>
      <c r="FW142" s="336">
        <f t="shared" si="862"/>
        <v>0</v>
      </c>
      <c r="FX142" s="336">
        <f t="shared" si="863"/>
        <v>0</v>
      </c>
      <c r="FY142" s="336">
        <f t="shared" si="663"/>
        <v>0</v>
      </c>
      <c r="FZ142" s="336">
        <f t="shared" si="664"/>
        <v>0</v>
      </c>
      <c r="GA142" s="336">
        <f t="shared" si="665"/>
        <v>0</v>
      </c>
      <c r="GB142" s="336">
        <f t="shared" si="666"/>
        <v>0</v>
      </c>
      <c r="GC142" s="336">
        <f t="shared" si="667"/>
        <v>0</v>
      </c>
      <c r="GD142" s="336">
        <f t="shared" si="668"/>
        <v>0</v>
      </c>
      <c r="GE142" s="336">
        <f t="shared" si="669"/>
        <v>0</v>
      </c>
      <c r="GF142" s="336">
        <f t="shared" si="670"/>
        <v>0</v>
      </c>
      <c r="GG142" s="336">
        <f t="shared" si="671"/>
        <v>0</v>
      </c>
      <c r="GH142" s="336">
        <f t="shared" si="672"/>
        <v>0</v>
      </c>
      <c r="GI142" s="336">
        <f t="shared" si="673"/>
        <v>0</v>
      </c>
      <c r="GJ142" s="336">
        <f t="shared" si="674"/>
        <v>0</v>
      </c>
      <c r="GK142" s="336">
        <f t="shared" si="852"/>
        <v>0</v>
      </c>
      <c r="GL142" s="336">
        <f t="shared" si="864"/>
        <v>0</v>
      </c>
      <c r="GM142" s="336">
        <f t="shared" si="675"/>
        <v>0</v>
      </c>
    </row>
    <row r="143" spans="1:195" ht="20.100000000000001" customHeight="1">
      <c r="A143" s="337">
        <f t="shared" si="918"/>
        <v>101</v>
      </c>
      <c r="B143" s="337" t="s">
        <v>610</v>
      </c>
      <c r="C143" s="337" t="str">
        <f t="shared" si="900"/>
        <v>PMCC-1</v>
      </c>
      <c r="D143" s="372" t="s">
        <v>611</v>
      </c>
      <c r="E143" s="500" t="s">
        <v>608</v>
      </c>
      <c r="F143" s="516" t="s">
        <v>28</v>
      </c>
      <c r="G143" s="337" t="s">
        <v>329</v>
      </c>
      <c r="H143" s="350">
        <v>60</v>
      </c>
      <c r="I143" s="337" t="s">
        <v>330</v>
      </c>
      <c r="J143" s="337" t="s">
        <v>331</v>
      </c>
      <c r="K143" s="349">
        <v>400</v>
      </c>
      <c r="L143" s="343">
        <v>0.85</v>
      </c>
      <c r="M143" s="350">
        <v>0.95</v>
      </c>
      <c r="N143" s="342">
        <f t="shared" si="901"/>
        <v>107.25087409462388</v>
      </c>
      <c r="O143" s="342">
        <f t="shared" si="867"/>
        <v>0</v>
      </c>
      <c r="P143" s="343" t="str">
        <f t="shared" si="902"/>
        <v>0.00</v>
      </c>
      <c r="Q143" s="350">
        <v>65</v>
      </c>
      <c r="R143" s="350">
        <v>0</v>
      </c>
      <c r="S143" s="350">
        <f t="shared" si="903"/>
        <v>0</v>
      </c>
      <c r="T143" s="343" t="s">
        <v>131</v>
      </c>
      <c r="U143" s="917" t="s">
        <v>535</v>
      </c>
      <c r="V143" s="916">
        <v>95</v>
      </c>
      <c r="W143" s="343" t="str">
        <f t="shared" si="904"/>
        <v>3.5C X 95</v>
      </c>
      <c r="X143" s="343" t="str">
        <f t="shared" si="905"/>
        <v>3.5C X 95</v>
      </c>
      <c r="Y143" s="343" t="s">
        <v>358</v>
      </c>
      <c r="Z143" s="344">
        <f>IF(T143="AIR",VLOOKUP(W143,'Catalogue Aluminium'!$B$9:$G$93,2,FALSE),IF(T143="GROUND",VLOOKUP(W143,'Catalogue Aluminium'!$B$9:$G$93,3,FALSE),IF(T143="DUCT",VLOOKUP(W143,'Catalogue Aluminium'!$B$9:$G$93,4,FALSE),IF(T143="TRENCH",VLOOKUP(W143,'Catalogue Aluminium'!$B$9:$G$93,2,FALSE)))))</f>
        <v>221</v>
      </c>
      <c r="AA143" s="345">
        <f>VLOOKUP(W143,'Catalogue Aluminium'!$B$9:$G$93,5,FALSE)</f>
        <v>0.41</v>
      </c>
      <c r="AB143" s="345">
        <f>VLOOKUP(W143,'Catalogue Aluminium'!$B$9:$G$93,6,FALSE)</f>
        <v>7.3400000000000007E-2</v>
      </c>
      <c r="AC143" s="401">
        <f>26+8</f>
        <v>34</v>
      </c>
      <c r="AD143" s="401">
        <v>0</v>
      </c>
      <c r="AE143" s="401">
        <v>5</v>
      </c>
      <c r="AF143" s="401">
        <v>8</v>
      </c>
      <c r="AG143" s="401">
        <f t="shared" si="906"/>
        <v>5</v>
      </c>
      <c r="AH143" s="347">
        <f t="shared" si="907"/>
        <v>52</v>
      </c>
      <c r="AI143" s="344">
        <f>IF(T143="AIR",'Catalogue Aluminium'!$K$9,IF(T143="TRENCH",'Catalogue Aluminium'!$K$12,"NA"))</f>
        <v>0.89</v>
      </c>
      <c r="AJ143" s="342">
        <f>IF(T143="Air",(IF(U143="1C",'Catalogue Aluminium'!$L$9,'Catalogue Aluminium'!$M$9)),IF(T143="DUCT",(IF($U143="1C",'Catalogue Aluminium'!$L$10,'Catalogue Aluminium'!$M$10)),IF(T143="GROUND",(IF($U143="1C",'Catalogue Aluminium'!$L$11,'Catalogue Aluminium'!$M$11)),IF(T143="TRENCH",(IF($U143="1C",'Catalogue Aluminium'!$L$12,'Catalogue Aluminium'!$M$12))))))</f>
        <v>0.66</v>
      </c>
      <c r="AK143" s="344" t="str">
        <f>IF(T143="Air",'Catalogue Aluminium'!$N$9,IF(T143="GROUND",'Catalogue Aluminium'!$N$10,IF(T143="DUCT",'Catalogue Aluminium'!$N$11,IF(T143="TRENCH",'Catalogue Aluminium'!$N$12,"NA"))))</f>
        <v>NA</v>
      </c>
      <c r="AL143" s="344" t="str">
        <f>IF(T143="Air",(IF(U143="1C",'Catalogue Aluminium'!$O$9,'Catalogue Aluminium'!$P$9)),IF(T143="DUCT",(IF($U143="1C",'Catalogue Aluminium'!$O$10,'Catalogue Aluminium'!$P$10)),IF(T143="GROUND",(IF($U143="1C",'Catalogue Aluminium'!$O$11,'Catalogue Aluminium'!$P$11)),IF(T143="TRENCH",(IF($U143="1C",'Catalogue Aluminium'!$O$12,'Catalogue Aluminium'!$P$12))))))</f>
        <v>NA</v>
      </c>
      <c r="AM143" s="344" t="str">
        <f>IF(T143="AIR","NA",IF(T143="TRENCH","NA",IF(T143="DUCT",IF(U143="1C",VLOOKUP(V143,'Catalogue Aluminium'!$Q$9:$S$28,2,FALSE),VLOOKUP(V143,'Catalogue Aluminium'!$Q$9:$S$28,3)),IF(T143="GROUND",IF(U143="1C",VLOOKUP(V143,'Catalogue Aluminium'!$Q$9:$S$28,2,FALSE),VLOOKUP(V143,'Catalogue Aluminium'!$Q$9:$S$28,3))))))</f>
        <v>NA</v>
      </c>
      <c r="AN143" s="351">
        <f t="shared" si="908"/>
        <v>0.58740000000000003</v>
      </c>
      <c r="AO143" s="350">
        <f t="shared" si="909"/>
        <v>129.81540000000001</v>
      </c>
      <c r="AP143" s="349">
        <f t="shared" si="689"/>
        <v>1</v>
      </c>
      <c r="AQ143" s="350" t="str">
        <f t="shared" si="910"/>
        <v>YES</v>
      </c>
      <c r="AR143" s="351">
        <f t="shared" si="911"/>
        <v>0.9349790129329234</v>
      </c>
      <c r="AS143" s="343" t="str">
        <f t="shared" si="912"/>
        <v>YES</v>
      </c>
      <c r="AT143" s="351" t="str">
        <f t="shared" si="913"/>
        <v>NA</v>
      </c>
      <c r="AU143" s="343" t="str">
        <f t="shared" si="914"/>
        <v>NA</v>
      </c>
      <c r="AV143" s="354" t="str">
        <f t="shared" si="915"/>
        <v>1R x 0.6/1kV x 3.5C x 95 Sqmm</v>
      </c>
      <c r="AW143" s="354" t="str">
        <f t="shared" si="916"/>
        <v>1R x 0.6/1kV x 3.5C x 95 Sqmm</v>
      </c>
      <c r="AX143" s="343">
        <f>(IF(K143=400,(IF(U143="1C",(4*AH143*AP143),(AH143*AP143))),IF(K143=230,(AH143*AP143))))</f>
        <v>52</v>
      </c>
      <c r="AY143" s="355"/>
      <c r="AZ143" s="355">
        <f t="shared" si="917"/>
        <v>2</v>
      </c>
      <c r="BA143" s="356" t="str">
        <f t="shared" si="899"/>
        <v/>
      </c>
      <c r="BB143" s="501">
        <f>VLOOKUP(W143,'Catalogue Aluminium'!$B$9:$H$93,7,FALSE)</f>
        <v>39</v>
      </c>
      <c r="BC143" s="328">
        <f>AP143*BB143</f>
        <v>39</v>
      </c>
      <c r="BE143" s="336"/>
      <c r="BF143" s="336"/>
      <c r="BG143" s="336"/>
      <c r="BH143" s="336"/>
      <c r="BI143" s="336"/>
      <c r="BJ143" s="336"/>
      <c r="BK143" s="336"/>
      <c r="BL143" s="336"/>
      <c r="BM143" s="336"/>
      <c r="BN143" s="336"/>
      <c r="BO143" s="336"/>
      <c r="BP143" s="336"/>
      <c r="BQ143" s="336"/>
      <c r="BR143" s="336"/>
      <c r="BS143" s="336"/>
      <c r="BT143" s="336"/>
      <c r="BU143" s="336"/>
      <c r="BV143" s="336"/>
      <c r="BW143" s="336"/>
      <c r="BX143" s="336"/>
      <c r="BY143" s="336"/>
      <c r="BZ143" s="336"/>
      <c r="CA143" s="336"/>
      <c r="CB143" s="336"/>
      <c r="CC143" s="336"/>
      <c r="CD143" s="336"/>
      <c r="CE143" s="336"/>
      <c r="CF143" s="336"/>
      <c r="CG143" s="336"/>
      <c r="CH143" s="336"/>
      <c r="CI143" s="336"/>
      <c r="CJ143" s="336"/>
      <c r="CK143" s="336"/>
      <c r="CL143" s="336"/>
      <c r="CM143" s="336"/>
      <c r="CN143" s="336"/>
      <c r="CO143" s="336"/>
      <c r="CP143" s="336"/>
      <c r="CQ143" s="336"/>
      <c r="CR143" s="336"/>
      <c r="CS143" s="336"/>
      <c r="CT143" s="336"/>
      <c r="CU143" s="336"/>
      <c r="CV143" s="336"/>
      <c r="CW143" s="336"/>
      <c r="CX143" s="336"/>
      <c r="CY143" s="336"/>
      <c r="CZ143" s="336"/>
      <c r="DA143" s="336"/>
      <c r="DB143" s="336"/>
      <c r="DC143" s="336"/>
      <c r="DD143" s="336"/>
      <c r="DE143" s="336"/>
      <c r="DF143" s="336"/>
      <c r="DG143" s="336"/>
      <c r="DH143" s="336"/>
      <c r="DI143" s="336"/>
      <c r="DJ143" s="336"/>
      <c r="DK143" s="336"/>
      <c r="DL143" s="336"/>
      <c r="DM143" s="336"/>
      <c r="DN143" s="336"/>
      <c r="DO143" s="336"/>
      <c r="DP143" s="336"/>
      <c r="DQ143" s="336"/>
      <c r="DR143" s="336"/>
      <c r="DS143" s="336"/>
      <c r="DT143" s="336"/>
      <c r="DU143" s="336"/>
      <c r="DW143" s="336">
        <f t="shared" si="709"/>
        <v>0</v>
      </c>
      <c r="DX143" s="336">
        <f t="shared" si="701"/>
        <v>0</v>
      </c>
      <c r="DY143" s="336">
        <f t="shared" si="702"/>
        <v>0</v>
      </c>
      <c r="DZ143" s="336">
        <f t="shared" si="703"/>
        <v>0</v>
      </c>
      <c r="EA143" s="336">
        <f t="shared" si="704"/>
        <v>0</v>
      </c>
      <c r="EB143" s="336">
        <f t="shared" si="705"/>
        <v>0</v>
      </c>
      <c r="EC143" s="336">
        <f t="shared" si="706"/>
        <v>0</v>
      </c>
      <c r="ED143" s="336">
        <f t="shared" si="621"/>
        <v>0</v>
      </c>
      <c r="EE143" s="336">
        <f t="shared" si="622"/>
        <v>0</v>
      </c>
      <c r="EF143" s="336">
        <f t="shared" si="623"/>
        <v>0</v>
      </c>
      <c r="EG143" s="336">
        <f t="shared" si="624"/>
        <v>0</v>
      </c>
      <c r="EH143" s="336">
        <f t="shared" si="625"/>
        <v>0</v>
      </c>
      <c r="EI143" s="336">
        <f t="shared" si="626"/>
        <v>0</v>
      </c>
      <c r="EJ143" s="336">
        <f t="shared" si="627"/>
        <v>0</v>
      </c>
      <c r="EK143" s="336">
        <f t="shared" si="628"/>
        <v>0</v>
      </c>
      <c r="EL143" s="336">
        <f t="shared" si="629"/>
        <v>0</v>
      </c>
      <c r="EM143" s="336">
        <f t="shared" si="630"/>
        <v>0</v>
      </c>
      <c r="EN143" s="336">
        <f t="shared" si="631"/>
        <v>0</v>
      </c>
      <c r="EO143" s="336">
        <f t="shared" si="632"/>
        <v>0</v>
      </c>
      <c r="EP143" s="336">
        <f t="shared" si="633"/>
        <v>0</v>
      </c>
      <c r="EQ143" s="336">
        <f t="shared" si="634"/>
        <v>0</v>
      </c>
      <c r="ER143" s="336">
        <f t="shared" si="635"/>
        <v>0</v>
      </c>
      <c r="ES143" s="336">
        <f t="shared" si="636"/>
        <v>0</v>
      </c>
      <c r="ET143" s="336">
        <f t="shared" si="636"/>
        <v>0</v>
      </c>
      <c r="EU143" s="336">
        <f t="shared" si="637"/>
        <v>0</v>
      </c>
      <c r="EV143" s="336">
        <f t="shared" si="638"/>
        <v>0</v>
      </c>
      <c r="EW143" s="336">
        <f t="shared" si="639"/>
        <v>0</v>
      </c>
      <c r="EX143" s="336">
        <f t="shared" si="640"/>
        <v>0</v>
      </c>
      <c r="EY143" s="336">
        <f t="shared" si="641"/>
        <v>0</v>
      </c>
      <c r="EZ143" s="336">
        <f t="shared" si="642"/>
        <v>0</v>
      </c>
      <c r="FA143" s="336">
        <f t="shared" si="643"/>
        <v>0</v>
      </c>
      <c r="FB143" s="336">
        <f t="shared" si="644"/>
        <v>0</v>
      </c>
      <c r="FC143" s="336">
        <f t="shared" si="645"/>
        <v>0</v>
      </c>
      <c r="FD143" s="336">
        <f t="shared" si="646"/>
        <v>0</v>
      </c>
      <c r="FE143" s="336">
        <f t="shared" si="647"/>
        <v>0</v>
      </c>
      <c r="FF143" s="336">
        <f t="shared" si="648"/>
        <v>0</v>
      </c>
      <c r="FG143" s="336">
        <f t="shared" si="649"/>
        <v>0</v>
      </c>
      <c r="FH143" s="336">
        <f t="shared" si="650"/>
        <v>0</v>
      </c>
      <c r="FI143" s="336">
        <f t="shared" si="651"/>
        <v>0</v>
      </c>
      <c r="FJ143" s="336">
        <f t="shared" si="652"/>
        <v>0</v>
      </c>
      <c r="FK143" s="336">
        <f t="shared" si="653"/>
        <v>0</v>
      </c>
      <c r="FL143" s="336">
        <f t="shared" si="654"/>
        <v>0</v>
      </c>
      <c r="FM143" s="336">
        <f t="shared" si="655"/>
        <v>0</v>
      </c>
      <c r="FN143" s="336">
        <f t="shared" si="656"/>
        <v>0</v>
      </c>
      <c r="FO143" s="336">
        <f t="shared" si="657"/>
        <v>0</v>
      </c>
      <c r="FP143" s="336">
        <f t="shared" si="658"/>
        <v>0</v>
      </c>
      <c r="FQ143" s="336">
        <f t="shared" si="659"/>
        <v>0</v>
      </c>
      <c r="FR143" s="336">
        <f t="shared" si="660"/>
        <v>0</v>
      </c>
      <c r="FS143" s="336">
        <f t="shared" si="661"/>
        <v>0</v>
      </c>
      <c r="FT143" s="336">
        <f t="shared" si="662"/>
        <v>0</v>
      </c>
      <c r="FU143" s="336">
        <f t="shared" si="860"/>
        <v>0</v>
      </c>
      <c r="FV143" s="336">
        <f t="shared" si="861"/>
        <v>0</v>
      </c>
      <c r="FW143" s="336">
        <f t="shared" si="862"/>
        <v>0</v>
      </c>
      <c r="FX143" s="336">
        <f t="shared" si="863"/>
        <v>0</v>
      </c>
      <c r="FY143" s="336">
        <f t="shared" si="663"/>
        <v>0</v>
      </c>
      <c r="FZ143" s="336">
        <f t="shared" si="664"/>
        <v>0</v>
      </c>
      <c r="GA143" s="336">
        <f t="shared" si="665"/>
        <v>0</v>
      </c>
      <c r="GB143" s="336">
        <f t="shared" si="666"/>
        <v>0</v>
      </c>
      <c r="GC143" s="336">
        <f t="shared" si="667"/>
        <v>0</v>
      </c>
      <c r="GD143" s="336">
        <f t="shared" si="668"/>
        <v>0</v>
      </c>
      <c r="GE143" s="336">
        <f t="shared" si="669"/>
        <v>0</v>
      </c>
      <c r="GF143" s="336">
        <f t="shared" si="670"/>
        <v>0</v>
      </c>
      <c r="GG143" s="336">
        <f t="shared" si="671"/>
        <v>0</v>
      </c>
      <c r="GH143" s="336">
        <f t="shared" si="672"/>
        <v>0</v>
      </c>
      <c r="GI143" s="336">
        <f t="shared" si="673"/>
        <v>0</v>
      </c>
      <c r="GJ143" s="336">
        <f t="shared" si="674"/>
        <v>0</v>
      </c>
      <c r="GK143" s="336">
        <f t="shared" si="852"/>
        <v>0</v>
      </c>
      <c r="GL143" s="336">
        <f t="shared" si="864"/>
        <v>0</v>
      </c>
      <c r="GM143" s="336">
        <f t="shared" si="675"/>
        <v>0</v>
      </c>
    </row>
    <row r="144" spans="1:195" ht="20.100000000000001" customHeight="1">
      <c r="A144" s="337">
        <f t="shared" si="918"/>
        <v>102</v>
      </c>
      <c r="B144" s="337" t="s">
        <v>612</v>
      </c>
      <c r="C144" s="337" t="str">
        <f t="shared" si="900"/>
        <v>PMCC-1</v>
      </c>
      <c r="D144" s="372" t="s">
        <v>613</v>
      </c>
      <c r="E144" s="500" t="s">
        <v>608</v>
      </c>
      <c r="F144" s="516" t="s">
        <v>28</v>
      </c>
      <c r="G144" s="337" t="s">
        <v>329</v>
      </c>
      <c r="H144" s="583">
        <v>363.56</v>
      </c>
      <c r="I144" s="337" t="s">
        <v>330</v>
      </c>
      <c r="J144" s="337" t="s">
        <v>331</v>
      </c>
      <c r="K144" s="349">
        <v>400</v>
      </c>
      <c r="L144" s="343">
        <v>0.84999999999999987</v>
      </c>
      <c r="M144" s="350">
        <v>0.95099999999999985</v>
      </c>
      <c r="N144" s="342">
        <f t="shared" si="901"/>
        <v>649.18544333244643</v>
      </c>
      <c r="O144" s="342">
        <f t="shared" si="867"/>
        <v>0</v>
      </c>
      <c r="P144" s="343" t="str">
        <f t="shared" si="902"/>
        <v>0.00</v>
      </c>
      <c r="Q144" s="350">
        <v>65</v>
      </c>
      <c r="R144" s="350">
        <v>0</v>
      </c>
      <c r="S144" s="350">
        <f t="shared" si="903"/>
        <v>0</v>
      </c>
      <c r="T144" s="343" t="s">
        <v>131</v>
      </c>
      <c r="U144" s="350" t="s">
        <v>336</v>
      </c>
      <c r="V144" s="343">
        <v>500</v>
      </c>
      <c r="W144" s="343" t="str">
        <f t="shared" si="904"/>
        <v>1C X 500</v>
      </c>
      <c r="X144" s="343" t="str">
        <f t="shared" si="905"/>
        <v>1C X 500</v>
      </c>
      <c r="Y144" s="343" t="s">
        <v>358</v>
      </c>
      <c r="Z144" s="344">
        <f>IF(T144="AIR",VLOOKUP(W144,'Catalogue Aluminium'!$B$9:$G$93,2,FALSE),IF(T144="GROUND",VLOOKUP(W144,'Catalogue Aluminium'!$B$9:$G$93,3,FALSE),IF(T144="DUCT",VLOOKUP(W144,'Catalogue Aluminium'!$B$9:$G$93,4,FALSE),IF(T144="TRENCH",VLOOKUP(W144,'Catalogue Aluminium'!$B$9:$G$93,2,FALSE)))))</f>
        <v>704</v>
      </c>
      <c r="AA144" s="345">
        <f>VLOOKUP(W144,'Catalogue Aluminium'!$B$9:$G$93,5,FALSE)</f>
        <v>7.7399999999999997E-2</v>
      </c>
      <c r="AB144" s="345">
        <f>VLOOKUP(W144,'Catalogue Aluminium'!$B$9:$G$93,6,FALSE)</f>
        <v>8.5099999999999995E-2</v>
      </c>
      <c r="AC144" s="401">
        <f>26+6</f>
        <v>32</v>
      </c>
      <c r="AD144" s="401">
        <v>0</v>
      </c>
      <c r="AE144" s="401">
        <v>5</v>
      </c>
      <c r="AF144" s="401">
        <v>8</v>
      </c>
      <c r="AG144" s="401">
        <f t="shared" si="906"/>
        <v>5</v>
      </c>
      <c r="AH144" s="347">
        <f t="shared" si="907"/>
        <v>50</v>
      </c>
      <c r="AI144" s="344">
        <f>IF(T144="AIR",'Catalogue Aluminium'!$K$9,IF(T144="TRENCH",'Catalogue Aluminium'!$K$12,"NA"))</f>
        <v>0.89</v>
      </c>
      <c r="AJ144" s="342">
        <f>IF(T144="Air",(IF(U144="1C",'Catalogue Aluminium'!$L$9,'Catalogue Aluminium'!$M$9)),IF(T144="DUCT",(IF($U144="1C",'Catalogue Aluminium'!$L$10,'Catalogue Aluminium'!$M$10)),IF(T144="GROUND",(IF($U144="1C",'Catalogue Aluminium'!$L$11,'Catalogue Aluminium'!$M$11)),IF(T144="TRENCH",(IF($U144="1C",'Catalogue Aluminium'!$L$12,'Catalogue Aluminium'!$M$12))))))</f>
        <v>0.81</v>
      </c>
      <c r="AK144" s="344" t="str">
        <f>IF(T144="Air",'Catalogue Aluminium'!$N$9,IF(T144="GROUND",'Catalogue Aluminium'!$N$10,IF(T144="DUCT",'Catalogue Aluminium'!$N$11,IF(T144="TRENCH",'Catalogue Aluminium'!$N$12,"NA"))))</f>
        <v>NA</v>
      </c>
      <c r="AL144" s="344" t="str">
        <f>IF(T144="Air",(IF(U144="1C",'Catalogue Aluminium'!$O$9,'Catalogue Aluminium'!$P$9)),IF(T144="DUCT",(IF($U144="1C",'Catalogue Aluminium'!$O$10,'Catalogue Aluminium'!$P$10)),IF(T144="GROUND",(IF($U144="1C",'Catalogue Aluminium'!$O$11,'Catalogue Aluminium'!$P$11)),IF(T144="TRENCH",(IF($U144="1C",'Catalogue Aluminium'!$O$12,'Catalogue Aluminium'!$P$12))))))</f>
        <v>NA</v>
      </c>
      <c r="AM144" s="344" t="str">
        <f>IF(T144="AIR","NA",IF(T144="TRENCH","NA",IF(T144="DUCT",IF(U144="1C",VLOOKUP(V144,'Catalogue Aluminium'!$Q$9:$S$28,2,FALSE),VLOOKUP(V144,'Catalogue Aluminium'!$Q$9:$S$28,3)),IF(T144="GROUND",IF(U144="1C",VLOOKUP(V144,'Catalogue Aluminium'!$Q$9:$S$28,2,FALSE),VLOOKUP(V144,'Catalogue Aluminium'!$Q$9:$S$28,3))))))</f>
        <v>NA</v>
      </c>
      <c r="AN144" s="351">
        <f t="shared" si="908"/>
        <v>0.7209000000000001</v>
      </c>
      <c r="AO144" s="350">
        <f t="shared" si="909"/>
        <v>507.51360000000005</v>
      </c>
      <c r="AP144" s="349">
        <f t="shared" si="689"/>
        <v>2</v>
      </c>
      <c r="AQ144" s="350" t="str">
        <f t="shared" si="910"/>
        <v>YES</v>
      </c>
      <c r="AR144" s="351">
        <f t="shared" si="911"/>
        <v>0.77739180384549134</v>
      </c>
      <c r="AS144" s="343" t="str">
        <f t="shared" si="912"/>
        <v>YES</v>
      </c>
      <c r="AT144" s="351" t="str">
        <f t="shared" si="913"/>
        <v>NA</v>
      </c>
      <c r="AU144" s="343" t="str">
        <f t="shared" si="914"/>
        <v>NA</v>
      </c>
      <c r="AV144" s="354" t="str">
        <f t="shared" si="915"/>
        <v>2R x 0.6/1.0kV x 1C x 500 Sqmm/Phase</v>
      </c>
      <c r="AW144" s="354" t="str">
        <f t="shared" si="916"/>
        <v>2R x 0.6/1.0kV x 1C x 500 Sqmm/Phase</v>
      </c>
      <c r="AX144" s="525">
        <f>(IF(K144=400,(IF(U144="1C",(4*AH144*AP144),(AH144*AP144))),IF(K144=230,(AH144*AP144))))</f>
        <v>400</v>
      </c>
      <c r="AY144" s="804"/>
      <c r="AZ144" s="355">
        <f t="shared" si="917"/>
        <v>12</v>
      </c>
      <c r="BA144" s="356" t="str">
        <f t="shared" si="899"/>
        <v/>
      </c>
      <c r="BB144" s="501">
        <f>VLOOKUP(W144,'Catalogue Aluminium'!$B$9:$H$93,7,FALSE)</f>
        <v>38</v>
      </c>
      <c r="BC144" s="328">
        <f>AP144*BB144</f>
        <v>76</v>
      </c>
      <c r="BE144" s="336"/>
      <c r="BF144" s="336"/>
      <c r="BG144" s="336"/>
      <c r="BH144" s="336"/>
      <c r="BI144" s="336"/>
      <c r="BJ144" s="336"/>
      <c r="BK144" s="336"/>
      <c r="BL144" s="336"/>
      <c r="BM144" s="336"/>
      <c r="BN144" s="336"/>
      <c r="BO144" s="336"/>
      <c r="BP144" s="336"/>
      <c r="BQ144" s="336"/>
      <c r="BR144" s="336"/>
      <c r="BS144" s="336"/>
      <c r="BT144" s="336"/>
      <c r="BU144" s="336"/>
      <c r="BV144" s="336"/>
      <c r="BW144" s="336"/>
      <c r="BX144" s="336"/>
      <c r="BY144" s="336"/>
      <c r="BZ144" s="336"/>
      <c r="CA144" s="336"/>
      <c r="CB144" s="336"/>
      <c r="CC144" s="336"/>
      <c r="CD144" s="336"/>
      <c r="CE144" s="336"/>
      <c r="CF144" s="336"/>
      <c r="CG144" s="336"/>
      <c r="CH144" s="336"/>
      <c r="CI144" s="336"/>
      <c r="CJ144" s="336"/>
      <c r="CK144" s="336"/>
      <c r="CL144" s="336"/>
      <c r="CM144" s="336"/>
      <c r="CN144" s="336"/>
      <c r="CO144" s="336"/>
      <c r="CP144" s="336"/>
      <c r="CQ144" s="336"/>
      <c r="CR144" s="336"/>
      <c r="CS144" s="336"/>
      <c r="CT144" s="336"/>
      <c r="CU144" s="336"/>
      <c r="CV144" s="336"/>
      <c r="CW144" s="336"/>
      <c r="CX144" s="336"/>
      <c r="CY144" s="336"/>
      <c r="CZ144" s="336"/>
      <c r="DA144" s="336"/>
      <c r="DB144" s="336"/>
      <c r="DC144" s="336"/>
      <c r="DD144" s="336"/>
      <c r="DE144" s="336"/>
      <c r="DF144" s="336"/>
      <c r="DG144" s="336"/>
      <c r="DH144" s="336"/>
      <c r="DI144" s="336"/>
      <c r="DJ144" s="336"/>
      <c r="DK144" s="336"/>
      <c r="DL144" s="336"/>
      <c r="DM144" s="336"/>
      <c r="DN144" s="336"/>
      <c r="DO144" s="336"/>
      <c r="DP144" s="336"/>
      <c r="DQ144" s="336"/>
      <c r="DR144" s="336"/>
      <c r="DS144" s="336"/>
      <c r="DT144" s="336"/>
      <c r="DU144" s="336"/>
      <c r="DW144" s="336">
        <f t="shared" si="709"/>
        <v>0</v>
      </c>
      <c r="DX144" s="336">
        <f t="shared" si="701"/>
        <v>0</v>
      </c>
      <c r="DY144" s="336">
        <f t="shared" si="702"/>
        <v>0</v>
      </c>
      <c r="DZ144" s="336">
        <f t="shared" si="703"/>
        <v>0</v>
      </c>
      <c r="EA144" s="336">
        <f t="shared" si="704"/>
        <v>0</v>
      </c>
      <c r="EB144" s="336">
        <f t="shared" si="705"/>
        <v>0</v>
      </c>
      <c r="EC144" s="336">
        <f t="shared" si="706"/>
        <v>0</v>
      </c>
      <c r="ED144" s="336">
        <f t="shared" ref="ED144:ED214" si="919">IF(BL144=1,($BC144*BL144),0)</f>
        <v>0</v>
      </c>
      <c r="EE144" s="336">
        <f t="shared" ref="EE144:EE214" si="920">IF(BM144=1,($BC144*BM144),0)</f>
        <v>0</v>
      </c>
      <c r="EF144" s="336">
        <f t="shared" ref="EF144:EF214" si="921">IF(BN144=1,($BC144*BN144),0)</f>
        <v>0</v>
      </c>
      <c r="EG144" s="336">
        <f t="shared" ref="EG144:EG214" si="922">IF(BO144=1,($BC144*BO144),0)</f>
        <v>0</v>
      </c>
      <c r="EH144" s="336">
        <f t="shared" ref="EH144:EH214" si="923">IF(BP144=1,($BC144*BP144),0)</f>
        <v>0</v>
      </c>
      <c r="EI144" s="336">
        <f t="shared" ref="EI144:EI214" si="924">IF(BQ144=1,($BC144*BQ144),0)</f>
        <v>0</v>
      </c>
      <c r="EJ144" s="336">
        <f t="shared" ref="EJ144:EJ214" si="925">IF(BR144=1,($BC144*BR144),0)</f>
        <v>0</v>
      </c>
      <c r="EK144" s="336">
        <f t="shared" ref="EK144:EK214" si="926">IF(BS144=1,($BC144*BS144),0)</f>
        <v>0</v>
      </c>
      <c r="EL144" s="336">
        <f t="shared" ref="EL144:EL214" si="927">IF(BT144=1,($BC144*BT144),0)</f>
        <v>0</v>
      </c>
      <c r="EM144" s="336">
        <f t="shared" ref="EM144:EM214" si="928">IF(BU144=1,($BC144*BU144),0)</f>
        <v>0</v>
      </c>
      <c r="EN144" s="336">
        <f t="shared" ref="EN144:EN214" si="929">IF(BV144=1,($BC144*BV144),0)</f>
        <v>0</v>
      </c>
      <c r="EO144" s="336">
        <f t="shared" ref="EO144:EO214" si="930">IF(BW144=1,($BC144*BW144),0)</f>
        <v>0</v>
      </c>
      <c r="EP144" s="336">
        <f t="shared" ref="EP144:EP214" si="931">IF(BX144=1,($BC144*BX144),0)</f>
        <v>0</v>
      </c>
      <c r="EQ144" s="336">
        <f t="shared" ref="EQ144:EQ214" si="932">IF(BY144=1,($BC144*BY144),0)</f>
        <v>0</v>
      </c>
      <c r="ER144" s="336">
        <f t="shared" ref="ER144:ER214" si="933">IF(BZ144=1,($BC144*BZ144),0)</f>
        <v>0</v>
      </c>
      <c r="ES144" s="336">
        <f t="shared" ref="ES144:ET214" si="934">IF(CA144=1,($BC144*CA144),0)</f>
        <v>0</v>
      </c>
      <c r="ET144" s="336">
        <f t="shared" si="934"/>
        <v>0</v>
      </c>
      <c r="EU144" s="336">
        <f t="shared" ref="EU144:EU214" si="935">IF(CC144=1,($BC144*CC144),0)</f>
        <v>0</v>
      </c>
      <c r="EV144" s="336">
        <f t="shared" ref="EV144:EV214" si="936">IF(CD144=1,($BC144*CD144),0)</f>
        <v>0</v>
      </c>
      <c r="EW144" s="336">
        <f t="shared" ref="EW144:EW214" si="937">IF(CE144=1,($BC144*CE144),0)</f>
        <v>0</v>
      </c>
      <c r="EX144" s="336">
        <f t="shared" ref="EX144:EX214" si="938">IF(CF144=1,($BC144*CF144),0)</f>
        <v>0</v>
      </c>
      <c r="EY144" s="336">
        <f t="shared" ref="EY144:EY214" si="939">IF(CG144=1,($BC144*CG144),0)</f>
        <v>0</v>
      </c>
      <c r="EZ144" s="336">
        <f t="shared" ref="EZ144:EZ214" si="940">IF(CH144=1,($BC144*CH144),0)</f>
        <v>0</v>
      </c>
      <c r="FA144" s="336">
        <f t="shared" ref="FA144:FA214" si="941">IF(CI144=1,($BC144*CI144),0)</f>
        <v>0</v>
      </c>
      <c r="FB144" s="336">
        <f t="shared" ref="FB144:FB214" si="942">IF(CJ144=1,($BC144*CJ144),0)</f>
        <v>0</v>
      </c>
      <c r="FC144" s="336">
        <f t="shared" ref="FC144:FC214" si="943">IF(CK144=1,($BC144*CK144),0)</f>
        <v>0</v>
      </c>
      <c r="FD144" s="336">
        <f t="shared" ref="FD144:FD214" si="944">IF(CL144=1,($BC144*CL144),0)</f>
        <v>0</v>
      </c>
      <c r="FE144" s="336">
        <f t="shared" ref="FE144:FE214" si="945">IF(CM144=1,($BC144*CM144),0)</f>
        <v>0</v>
      </c>
      <c r="FF144" s="336">
        <f t="shared" ref="FF144:FF214" si="946">IF(CN144=1,($BC144*CN144),0)</f>
        <v>0</v>
      </c>
      <c r="FG144" s="336">
        <f t="shared" ref="FG144:FG214" si="947">IF(CO144=1,($BC144*CO144),0)</f>
        <v>0</v>
      </c>
      <c r="FH144" s="336">
        <f t="shared" ref="FH144:FH214" si="948">IF(CP144=1,($BC144*CP144),0)</f>
        <v>0</v>
      </c>
      <c r="FI144" s="336">
        <f t="shared" ref="FI144:FI214" si="949">IF(CQ144=1,($BC144*CQ144),0)</f>
        <v>0</v>
      </c>
      <c r="FJ144" s="336">
        <f t="shared" ref="FJ144:FJ214" si="950">IF(CR144=1,($BC144*CR144),0)</f>
        <v>0</v>
      </c>
      <c r="FK144" s="336">
        <f t="shared" ref="FK144:FK214" si="951">IF(CS144=1,($BC144*CS144),0)</f>
        <v>0</v>
      </c>
      <c r="FL144" s="336">
        <f t="shared" ref="FL144:FL214" si="952">IF(CT144=1,($BC144*CT144),0)</f>
        <v>0</v>
      </c>
      <c r="FM144" s="336">
        <f t="shared" ref="FM144:FM214" si="953">IF(CU144=1,($BC144*CU144),0)</f>
        <v>0</v>
      </c>
      <c r="FN144" s="336">
        <f t="shared" ref="FN144:FN214" si="954">IF(CV144=1,($BC144*CV144),0)</f>
        <v>0</v>
      </c>
      <c r="FO144" s="336">
        <f t="shared" ref="FO144:FO214" si="955">IF(CW144=1,($BC144*CW144),0)</f>
        <v>0</v>
      </c>
      <c r="FP144" s="336">
        <f t="shared" ref="FP144:FP214" si="956">IF(CX144=1,($BC144*CX144),0)</f>
        <v>0</v>
      </c>
      <c r="FQ144" s="336">
        <f t="shared" ref="FQ144:FQ214" si="957">IF(CY144=1,($BC144*CY144),0)</f>
        <v>0</v>
      </c>
      <c r="FR144" s="336">
        <f t="shared" ref="FR144:FR214" si="958">IF(CZ144=1,($BC144*CZ144),0)</f>
        <v>0</v>
      </c>
      <c r="FS144" s="336">
        <f t="shared" ref="FS144:FS214" si="959">IF(DA144=1,($BC144*DA144),0)</f>
        <v>0</v>
      </c>
      <c r="FT144" s="336">
        <f t="shared" ref="FT144:FT214" si="960">IF(DB144=1,($BC144*DB144),0)</f>
        <v>0</v>
      </c>
      <c r="FU144" s="336">
        <f t="shared" si="860"/>
        <v>0</v>
      </c>
      <c r="FV144" s="336">
        <f t="shared" si="861"/>
        <v>0</v>
      </c>
      <c r="FW144" s="336">
        <f t="shared" si="862"/>
        <v>0</v>
      </c>
      <c r="FX144" s="336">
        <f t="shared" si="863"/>
        <v>0</v>
      </c>
      <c r="FY144" s="336">
        <f t="shared" ref="FY144:FY214" si="961">IF(DG144=1,($BC144*DG144),0)</f>
        <v>0</v>
      </c>
      <c r="FZ144" s="336">
        <f t="shared" ref="FZ144:FZ214" si="962">IF(DH144=1,($BC144*DH144),0)</f>
        <v>0</v>
      </c>
      <c r="GA144" s="336">
        <f t="shared" ref="GA144:GA214" si="963">IF(DI144=1,($BC144*DI144),0)</f>
        <v>0</v>
      </c>
      <c r="GB144" s="336">
        <f t="shared" ref="GB144:GB214" si="964">IF(DJ144=1,($BC144*DJ144),0)</f>
        <v>0</v>
      </c>
      <c r="GC144" s="336">
        <f t="shared" ref="GC144:GC214" si="965">IF(DK144=1,($BC144*DK144),0)</f>
        <v>0</v>
      </c>
      <c r="GD144" s="336">
        <f t="shared" ref="GD144:GD214" si="966">IF(DL144=1,($BC144*DL144),0)</f>
        <v>0</v>
      </c>
      <c r="GE144" s="336">
        <f t="shared" ref="GE144:GE214" si="967">IF(DM144=1,($BC144*DM144),0)</f>
        <v>0</v>
      </c>
      <c r="GF144" s="336">
        <f t="shared" ref="GF144:GF214" si="968">IF(DN144=1,($BC144*DN144),0)</f>
        <v>0</v>
      </c>
      <c r="GG144" s="336">
        <f t="shared" ref="GG144:GG214" si="969">IF(DO144=1,($BC144*DO144),0)</f>
        <v>0</v>
      </c>
      <c r="GH144" s="336">
        <f t="shared" ref="GH144:GH214" si="970">IF(DP144=1,($BC144*DP144),0)</f>
        <v>0</v>
      </c>
      <c r="GI144" s="336">
        <f t="shared" ref="GI144:GI214" si="971">IF(DQ144=1,($BC144*DQ144),0)</f>
        <v>0</v>
      </c>
      <c r="GJ144" s="336">
        <f t="shared" ref="GJ144:GJ214" si="972">IF(DR144=1,($BC144*DR144),0)</f>
        <v>0</v>
      </c>
      <c r="GK144" s="336">
        <f t="shared" si="852"/>
        <v>0</v>
      </c>
      <c r="GL144" s="336">
        <f t="shared" si="864"/>
        <v>0</v>
      </c>
      <c r="GM144" s="336">
        <f t="shared" ref="GM144:GM214" si="973">IF(DU144=1,($BC144*DU144),0)</f>
        <v>0</v>
      </c>
    </row>
    <row r="145" spans="1:195" ht="20.100000000000001" customHeight="1">
      <c r="A145" s="337">
        <f t="shared" si="918"/>
        <v>103</v>
      </c>
      <c r="B145" s="337" t="s">
        <v>612</v>
      </c>
      <c r="C145" s="337" t="str">
        <f t="shared" si="900"/>
        <v>PMCC-1</v>
      </c>
      <c r="D145" s="372" t="s">
        <v>614</v>
      </c>
      <c r="E145" s="500" t="s">
        <v>608</v>
      </c>
      <c r="F145" s="516" t="s">
        <v>29</v>
      </c>
      <c r="G145" s="337" t="s">
        <v>329</v>
      </c>
      <c r="H145" s="583">
        <v>363.56</v>
      </c>
      <c r="I145" s="337" t="s">
        <v>330</v>
      </c>
      <c r="J145" s="337" t="s">
        <v>331</v>
      </c>
      <c r="K145" s="349">
        <v>400</v>
      </c>
      <c r="L145" s="343">
        <v>0.84999999999999987</v>
      </c>
      <c r="M145" s="350">
        <v>0.95099999999999985</v>
      </c>
      <c r="N145" s="342">
        <f t="shared" si="901"/>
        <v>649.18544333244643</v>
      </c>
      <c r="O145" s="342">
        <f t="shared" si="867"/>
        <v>0</v>
      </c>
      <c r="P145" s="343" t="str">
        <f t="shared" si="902"/>
        <v>0.00</v>
      </c>
      <c r="Q145" s="350">
        <v>65</v>
      </c>
      <c r="R145" s="350">
        <v>0</v>
      </c>
      <c r="S145" s="350">
        <f t="shared" si="903"/>
        <v>0</v>
      </c>
      <c r="T145" s="343" t="s">
        <v>131</v>
      </c>
      <c r="U145" s="350" t="s">
        <v>336</v>
      </c>
      <c r="V145" s="343">
        <v>500</v>
      </c>
      <c r="W145" s="343" t="str">
        <f t="shared" si="904"/>
        <v>1C X 500</v>
      </c>
      <c r="X145" s="343" t="str">
        <f t="shared" si="905"/>
        <v>1C X 500</v>
      </c>
      <c r="Y145" s="343" t="s">
        <v>358</v>
      </c>
      <c r="Z145" s="344">
        <f>IF(T145="AIR",VLOOKUP(W145,'Catalogue Aluminium'!$B$9:$G$93,2,FALSE),IF(T145="GROUND",VLOOKUP(W145,'Catalogue Aluminium'!$B$9:$G$93,3,FALSE),IF(T145="DUCT",VLOOKUP(W145,'Catalogue Aluminium'!$B$9:$G$93,4,FALSE),IF(T145="TRENCH",VLOOKUP(W145,'Catalogue Aluminium'!$B$9:$G$93,2,FALSE)))))</f>
        <v>704</v>
      </c>
      <c r="AA145" s="345">
        <f>VLOOKUP(W145,'Catalogue Aluminium'!$B$9:$G$93,5,FALSE)</f>
        <v>7.7399999999999997E-2</v>
      </c>
      <c r="AB145" s="345">
        <f>VLOOKUP(W145,'Catalogue Aluminium'!$B$9:$G$93,6,FALSE)</f>
        <v>8.5099999999999995E-2</v>
      </c>
      <c r="AC145" s="401">
        <f>10+6</f>
        <v>16</v>
      </c>
      <c r="AD145" s="401">
        <v>0</v>
      </c>
      <c r="AE145" s="401">
        <v>5</v>
      </c>
      <c r="AF145" s="401">
        <v>8</v>
      </c>
      <c r="AG145" s="401">
        <f t="shared" si="906"/>
        <v>3</v>
      </c>
      <c r="AH145" s="347">
        <f t="shared" si="907"/>
        <v>32</v>
      </c>
      <c r="AI145" s="344">
        <f>IF(T145="AIR",'Catalogue Aluminium'!$K$9,IF(T145="TRENCH",'Catalogue Aluminium'!$K$12,"NA"))</f>
        <v>0.89</v>
      </c>
      <c r="AJ145" s="342">
        <f>IF(T145="Air",(IF(U145="1C",'Catalogue Aluminium'!$L$9,'Catalogue Aluminium'!$M$9)),IF(T145="DUCT",(IF($U145="1C",'Catalogue Aluminium'!$L$10,'Catalogue Aluminium'!$M$10)),IF(T145="GROUND",(IF($U145="1C",'Catalogue Aluminium'!$L$11,'Catalogue Aluminium'!$M$11)),IF(T145="TRENCH",(IF($U145="1C",'Catalogue Aluminium'!$L$12,'Catalogue Aluminium'!$M$12))))))</f>
        <v>0.81</v>
      </c>
      <c r="AK145" s="344" t="str">
        <f>IF(T145="Air",'Catalogue Aluminium'!$N$9,IF(T145="GROUND",'Catalogue Aluminium'!$N$10,IF(T145="DUCT",'Catalogue Aluminium'!$N$11,IF(T145="TRENCH",'Catalogue Aluminium'!$N$12,"NA"))))</f>
        <v>NA</v>
      </c>
      <c r="AL145" s="344" t="str">
        <f>IF(T145="Air",(IF(U145="1C",'Catalogue Aluminium'!$O$9,'Catalogue Aluminium'!$P$9)),IF(T145="DUCT",(IF($U145="1C",'Catalogue Aluminium'!$O$10,'Catalogue Aluminium'!$P$10)),IF(T145="GROUND",(IF($U145="1C",'Catalogue Aluminium'!$O$11,'Catalogue Aluminium'!$P$11)),IF(T145="TRENCH",(IF($U145="1C",'Catalogue Aluminium'!$O$12,'Catalogue Aluminium'!$P$12))))))</f>
        <v>NA</v>
      </c>
      <c r="AM145" s="344" t="str">
        <f>IF(T145="AIR","NA",IF(T145="TRENCH","NA",IF(T145="DUCT",IF(U145="1C",VLOOKUP(V145,'Catalogue Aluminium'!$Q$9:$S$28,2,FALSE),VLOOKUP(V145,'Catalogue Aluminium'!$Q$9:$S$28,3)),IF(T145="GROUND",IF(U145="1C",VLOOKUP(V145,'Catalogue Aluminium'!$Q$9:$S$28,2,FALSE),VLOOKUP(V145,'Catalogue Aluminium'!$Q$9:$S$28,3))))))</f>
        <v>NA</v>
      </c>
      <c r="AN145" s="351">
        <f t="shared" si="908"/>
        <v>0.7209000000000001</v>
      </c>
      <c r="AO145" s="350">
        <f t="shared" si="909"/>
        <v>507.51360000000005</v>
      </c>
      <c r="AP145" s="349">
        <f t="shared" si="689"/>
        <v>2</v>
      </c>
      <c r="AQ145" s="350" t="str">
        <f t="shared" si="910"/>
        <v>YES</v>
      </c>
      <c r="AR145" s="351">
        <f t="shared" si="911"/>
        <v>0.49753075446111439</v>
      </c>
      <c r="AS145" s="343" t="str">
        <f t="shared" si="912"/>
        <v>YES</v>
      </c>
      <c r="AT145" s="351" t="str">
        <f t="shared" si="913"/>
        <v>NA</v>
      </c>
      <c r="AU145" s="343" t="str">
        <f t="shared" si="914"/>
        <v>NA</v>
      </c>
      <c r="AV145" s="354" t="str">
        <f t="shared" si="915"/>
        <v>2R x 0.6/1.0kV x 1C x 500 Sqmm/Phase</v>
      </c>
      <c r="AW145" s="354" t="str">
        <f t="shared" si="916"/>
        <v>2R x 0.6/1.0kV x 1C x 500 Sqmm/Phase</v>
      </c>
      <c r="AX145" s="525">
        <f>(IF(K145=400,(IF(U145="1C",(4*AH145*AP145),(AH145*AP145))),IF(K145=230,(AH145*AP145))))</f>
        <v>256</v>
      </c>
      <c r="AY145" s="804"/>
      <c r="AZ145" s="355">
        <f t="shared" si="917"/>
        <v>12</v>
      </c>
      <c r="BA145" s="356" t="str">
        <f t="shared" si="899"/>
        <v/>
      </c>
      <c r="BB145" s="501">
        <f>VLOOKUP(W145,'Catalogue Aluminium'!$B$9:$H$93,7,FALSE)</f>
        <v>38</v>
      </c>
      <c r="BC145" s="328">
        <f>AP145*BB145</f>
        <v>76</v>
      </c>
      <c r="BE145" s="336"/>
      <c r="BF145" s="336"/>
      <c r="BG145" s="336"/>
      <c r="BH145" s="336"/>
      <c r="BI145" s="336"/>
      <c r="BJ145" s="336"/>
      <c r="BK145" s="336"/>
      <c r="BL145" s="336"/>
      <c r="BM145" s="336"/>
      <c r="BN145" s="336"/>
      <c r="BO145" s="336"/>
      <c r="BP145" s="336"/>
      <c r="BQ145" s="336"/>
      <c r="BR145" s="336"/>
      <c r="BS145" s="336"/>
      <c r="BT145" s="336"/>
      <c r="BU145" s="336"/>
      <c r="BV145" s="336"/>
      <c r="BW145" s="336"/>
      <c r="BX145" s="336"/>
      <c r="BY145" s="336"/>
      <c r="BZ145" s="336"/>
      <c r="CA145" s="336"/>
      <c r="CB145" s="336"/>
      <c r="CC145" s="336"/>
      <c r="CD145" s="336"/>
      <c r="CE145" s="336"/>
      <c r="CF145" s="336"/>
      <c r="CG145" s="336"/>
      <c r="CH145" s="336"/>
      <c r="CI145" s="336"/>
      <c r="CJ145" s="336"/>
      <c r="CK145" s="336"/>
      <c r="CL145" s="336"/>
      <c r="CM145" s="336"/>
      <c r="CN145" s="336"/>
      <c r="CO145" s="336"/>
      <c r="CP145" s="336"/>
      <c r="CQ145" s="336"/>
      <c r="CR145" s="336"/>
      <c r="CS145" s="336"/>
      <c r="CT145" s="336"/>
      <c r="CU145" s="336"/>
      <c r="CV145" s="336"/>
      <c r="CW145" s="336"/>
      <c r="CX145" s="336"/>
      <c r="CY145" s="336"/>
      <c r="CZ145" s="336"/>
      <c r="DA145" s="336"/>
      <c r="DB145" s="336"/>
      <c r="DC145" s="336"/>
      <c r="DD145" s="336"/>
      <c r="DE145" s="336"/>
      <c r="DF145" s="336"/>
      <c r="DG145" s="336"/>
      <c r="DH145" s="336"/>
      <c r="DI145" s="336"/>
      <c r="DJ145" s="336"/>
      <c r="DK145" s="336"/>
      <c r="DL145" s="336"/>
      <c r="DM145" s="336"/>
      <c r="DN145" s="336"/>
      <c r="DO145" s="336"/>
      <c r="DP145" s="336"/>
      <c r="DQ145" s="336"/>
      <c r="DR145" s="336"/>
      <c r="DS145" s="336"/>
      <c r="DT145" s="336"/>
      <c r="DU145" s="336"/>
      <c r="DW145" s="336">
        <f t="shared" si="709"/>
        <v>0</v>
      </c>
      <c r="DX145" s="336">
        <f t="shared" si="701"/>
        <v>0</v>
      </c>
      <c r="DY145" s="336">
        <f t="shared" si="702"/>
        <v>0</v>
      </c>
      <c r="DZ145" s="336">
        <f t="shared" si="703"/>
        <v>0</v>
      </c>
      <c r="EA145" s="336">
        <f t="shared" si="704"/>
        <v>0</v>
      </c>
      <c r="EB145" s="336">
        <f t="shared" si="705"/>
        <v>0</v>
      </c>
      <c r="EC145" s="336">
        <f t="shared" si="706"/>
        <v>0</v>
      </c>
      <c r="ED145" s="336">
        <f t="shared" si="919"/>
        <v>0</v>
      </c>
      <c r="EE145" s="336">
        <f t="shared" si="920"/>
        <v>0</v>
      </c>
      <c r="EF145" s="336">
        <f t="shared" si="921"/>
        <v>0</v>
      </c>
      <c r="EG145" s="336">
        <f t="shared" si="922"/>
        <v>0</v>
      </c>
      <c r="EH145" s="336">
        <f t="shared" si="923"/>
        <v>0</v>
      </c>
      <c r="EI145" s="336">
        <f t="shared" si="924"/>
        <v>0</v>
      </c>
      <c r="EJ145" s="336">
        <f t="shared" si="925"/>
        <v>0</v>
      </c>
      <c r="EK145" s="336">
        <f t="shared" si="926"/>
        <v>0</v>
      </c>
      <c r="EL145" s="336">
        <f t="shared" si="927"/>
        <v>0</v>
      </c>
      <c r="EM145" s="336">
        <f t="shared" si="928"/>
        <v>0</v>
      </c>
      <c r="EN145" s="336">
        <f t="shared" si="929"/>
        <v>0</v>
      </c>
      <c r="EO145" s="336">
        <f t="shared" si="930"/>
        <v>0</v>
      </c>
      <c r="EP145" s="336">
        <f t="shared" si="931"/>
        <v>0</v>
      </c>
      <c r="EQ145" s="336">
        <f t="shared" si="932"/>
        <v>0</v>
      </c>
      <c r="ER145" s="336">
        <f t="shared" si="933"/>
        <v>0</v>
      </c>
      <c r="ES145" s="336">
        <f t="shared" si="934"/>
        <v>0</v>
      </c>
      <c r="ET145" s="336">
        <f t="shared" si="934"/>
        <v>0</v>
      </c>
      <c r="EU145" s="336">
        <f t="shared" si="935"/>
        <v>0</v>
      </c>
      <c r="EV145" s="336">
        <f t="shared" si="936"/>
        <v>0</v>
      </c>
      <c r="EW145" s="336">
        <f t="shared" si="937"/>
        <v>0</v>
      </c>
      <c r="EX145" s="336">
        <f t="shared" si="938"/>
        <v>0</v>
      </c>
      <c r="EY145" s="336">
        <f t="shared" si="939"/>
        <v>0</v>
      </c>
      <c r="EZ145" s="336">
        <f t="shared" si="940"/>
        <v>0</v>
      </c>
      <c r="FA145" s="336">
        <f t="shared" si="941"/>
        <v>0</v>
      </c>
      <c r="FB145" s="336">
        <f t="shared" si="942"/>
        <v>0</v>
      </c>
      <c r="FC145" s="336">
        <f t="shared" si="943"/>
        <v>0</v>
      </c>
      <c r="FD145" s="336">
        <f t="shared" si="944"/>
        <v>0</v>
      </c>
      <c r="FE145" s="336">
        <f t="shared" si="945"/>
        <v>0</v>
      </c>
      <c r="FF145" s="336">
        <f t="shared" si="946"/>
        <v>0</v>
      </c>
      <c r="FG145" s="336">
        <f t="shared" si="947"/>
        <v>0</v>
      </c>
      <c r="FH145" s="336">
        <f t="shared" si="948"/>
        <v>0</v>
      </c>
      <c r="FI145" s="336">
        <f t="shared" si="949"/>
        <v>0</v>
      </c>
      <c r="FJ145" s="336">
        <f t="shared" si="950"/>
        <v>0</v>
      </c>
      <c r="FK145" s="336">
        <f t="shared" si="951"/>
        <v>0</v>
      </c>
      <c r="FL145" s="336">
        <f t="shared" si="952"/>
        <v>0</v>
      </c>
      <c r="FM145" s="336">
        <f t="shared" si="953"/>
        <v>0</v>
      </c>
      <c r="FN145" s="336">
        <f t="shared" si="954"/>
        <v>0</v>
      </c>
      <c r="FO145" s="336">
        <f t="shared" si="955"/>
        <v>0</v>
      </c>
      <c r="FP145" s="336">
        <f t="shared" si="956"/>
        <v>0</v>
      </c>
      <c r="FQ145" s="336">
        <f t="shared" si="957"/>
        <v>0</v>
      </c>
      <c r="FR145" s="336">
        <f t="shared" si="958"/>
        <v>0</v>
      </c>
      <c r="FS145" s="336">
        <f t="shared" si="959"/>
        <v>0</v>
      </c>
      <c r="FT145" s="336">
        <f t="shared" si="960"/>
        <v>0</v>
      </c>
      <c r="FU145" s="336">
        <f t="shared" si="860"/>
        <v>0</v>
      </c>
      <c r="FV145" s="336">
        <f t="shared" si="861"/>
        <v>0</v>
      </c>
      <c r="FW145" s="336">
        <f t="shared" si="862"/>
        <v>0</v>
      </c>
      <c r="FX145" s="336">
        <f t="shared" si="863"/>
        <v>0</v>
      </c>
      <c r="FY145" s="336">
        <f t="shared" si="961"/>
        <v>0</v>
      </c>
      <c r="FZ145" s="336">
        <f t="shared" si="962"/>
        <v>0</v>
      </c>
      <c r="GA145" s="336">
        <f t="shared" si="963"/>
        <v>0</v>
      </c>
      <c r="GB145" s="336">
        <f t="shared" si="964"/>
        <v>0</v>
      </c>
      <c r="GC145" s="336">
        <f t="shared" si="965"/>
        <v>0</v>
      </c>
      <c r="GD145" s="336">
        <f t="shared" si="966"/>
        <v>0</v>
      </c>
      <c r="GE145" s="336">
        <f t="shared" si="967"/>
        <v>0</v>
      </c>
      <c r="GF145" s="336">
        <f t="shared" si="968"/>
        <v>0</v>
      </c>
      <c r="GG145" s="336">
        <f t="shared" si="969"/>
        <v>0</v>
      </c>
      <c r="GH145" s="336">
        <f t="shared" si="970"/>
        <v>0</v>
      </c>
      <c r="GI145" s="336">
        <f t="shared" si="971"/>
        <v>0</v>
      </c>
      <c r="GJ145" s="336">
        <f t="shared" si="972"/>
        <v>0</v>
      </c>
      <c r="GK145" s="336">
        <f t="shared" ref="GK145:GK152" si="974">IF(DS145=1,($BC145*DS145),0)</f>
        <v>0</v>
      </c>
      <c r="GL145" s="336">
        <f t="shared" si="864"/>
        <v>0</v>
      </c>
      <c r="GM145" s="336">
        <f t="shared" si="973"/>
        <v>0</v>
      </c>
    </row>
    <row r="146" spans="1:195" ht="33" customHeight="1">
      <c r="A146" s="337">
        <f t="shared" si="918"/>
        <v>104</v>
      </c>
      <c r="B146" s="337" t="s">
        <v>615</v>
      </c>
      <c r="C146" s="337" t="str">
        <f t="shared" si="900"/>
        <v>PMCC-1</v>
      </c>
      <c r="D146" s="372" t="s">
        <v>616</v>
      </c>
      <c r="E146" s="500" t="s">
        <v>335</v>
      </c>
      <c r="F146" s="516" t="s">
        <v>28</v>
      </c>
      <c r="G146" s="337" t="s">
        <v>329</v>
      </c>
      <c r="H146" s="350">
        <v>1600</v>
      </c>
      <c r="I146" s="337" t="s">
        <v>414</v>
      </c>
      <c r="J146" s="337" t="s">
        <v>331</v>
      </c>
      <c r="K146" s="349">
        <v>400</v>
      </c>
      <c r="L146" s="343">
        <v>0.84664865012052015</v>
      </c>
      <c r="M146" s="350">
        <v>0.92832394366197268</v>
      </c>
      <c r="N146" s="342">
        <f t="shared" si="901"/>
        <v>2487.7833195389812</v>
      </c>
      <c r="O146" s="342">
        <f t="shared" si="867"/>
        <v>0</v>
      </c>
      <c r="P146" s="343" t="str">
        <f t="shared" si="902"/>
        <v>0.00</v>
      </c>
      <c r="Q146" s="350">
        <v>65</v>
      </c>
      <c r="R146" s="350">
        <v>1</v>
      </c>
      <c r="S146" s="350">
        <f t="shared" si="903"/>
        <v>454.54545454545456</v>
      </c>
      <c r="T146" s="343" t="s">
        <v>131</v>
      </c>
      <c r="U146" s="350" t="s">
        <v>336</v>
      </c>
      <c r="V146" s="343">
        <v>630</v>
      </c>
      <c r="W146" s="343" t="str">
        <f t="shared" si="904"/>
        <v>1C X 630</v>
      </c>
      <c r="X146" s="343" t="str">
        <f t="shared" si="905"/>
        <v>1C X 630</v>
      </c>
      <c r="Y146" s="343" t="s">
        <v>358</v>
      </c>
      <c r="Z146" s="344">
        <f>IF(T146="AIR",VLOOKUP(W146,'Catalogue Aluminium'!$B$9:$G$93,2,FALSE),IF(T146="GROUND",VLOOKUP(W146,'Catalogue Aluminium'!$B$9:$G$93,3,FALSE),IF(T146="DUCT",VLOOKUP(W146,'Catalogue Aluminium'!$B$9:$G$93,4,FALSE),IF(T146="TRENCH",VLOOKUP(W146,'Catalogue Aluminium'!$B$9:$G$93,2,FALSE)))))</f>
        <v>822</v>
      </c>
      <c r="AA146" s="345">
        <f>VLOOKUP(W146,'Catalogue Aluminium'!$B$9:$G$93,5,FALSE)</f>
        <v>0.06</v>
      </c>
      <c r="AB146" s="345">
        <f>VLOOKUP(W146,'Catalogue Aluminium'!$B$9:$G$93,6,FALSE)</f>
        <v>8.43E-2</v>
      </c>
      <c r="AC146" s="401">
        <f>15+5</f>
        <v>20</v>
      </c>
      <c r="AD146" s="401">
        <v>0</v>
      </c>
      <c r="AE146" s="401">
        <v>5</v>
      </c>
      <c r="AF146" s="401">
        <v>8</v>
      </c>
      <c r="AG146" s="401">
        <f t="shared" si="906"/>
        <v>4</v>
      </c>
      <c r="AH146" s="347">
        <f t="shared" si="907"/>
        <v>37</v>
      </c>
      <c r="AI146" s="344">
        <f>IF(T146="AIR",'Catalogue Aluminium'!$K$9,IF(T146="TRENCH",'Catalogue Aluminium'!$K$12,"NA"))</f>
        <v>0.89</v>
      </c>
      <c r="AJ146" s="342">
        <f>IF(T146="Air",(IF(U146="1C",'Catalogue Aluminium'!$L$9,'Catalogue Aluminium'!$M$9)),IF(T146="DUCT",(IF($U146="1C",'Catalogue Aluminium'!$L$10,'Catalogue Aluminium'!$M$10)),IF(T146="GROUND",(IF($U146="1C",'Catalogue Aluminium'!$L$11,'Catalogue Aluminium'!$M$11)),IF(T146="TRENCH",(IF($U146="1C",'Catalogue Aluminium'!$L$12,'Catalogue Aluminium'!$M$12))))))</f>
        <v>0.81</v>
      </c>
      <c r="AK146" s="344" t="str">
        <f>IF(T146="Air",'Catalogue Aluminium'!$N$9,IF(T146="GROUND",'Catalogue Aluminium'!$N$10,IF(T146="DUCT",'Catalogue Aluminium'!$N$11,IF(T146="TRENCH",'Catalogue Aluminium'!$N$12,"NA"))))</f>
        <v>NA</v>
      </c>
      <c r="AL146" s="344" t="str">
        <f>IF(T146="Air",(IF(U146="1C",'Catalogue Aluminium'!$O$9,'Catalogue Aluminium'!$P$9)),IF(T146="DUCT",(IF($U146="1C",'Catalogue Aluminium'!$O$10,'Catalogue Aluminium'!$P$10)),IF(T146="GROUND",(IF($U146="1C",'Catalogue Aluminium'!$O$11,'Catalogue Aluminium'!$P$11)),IF(T146="TRENCH",(IF($U146="1C",'Catalogue Aluminium'!$O$12,'Catalogue Aluminium'!$P$12))))))</f>
        <v>NA</v>
      </c>
      <c r="AM146" s="344" t="str">
        <f>IF(T146="AIR","NA",IF(T146="TRENCH","NA",IF(T146="DUCT",IF(U146="1C",VLOOKUP(V146,'Catalogue Aluminium'!$Q$9:$S$28,2,FALSE),VLOOKUP(V146,'Catalogue Aluminium'!$Q$9:$S$28,3)),IF(T146="GROUND",IF(U146="1C",VLOOKUP(V146,'Catalogue Aluminium'!$Q$9:$S$28,2,FALSE),VLOOKUP(V146,'Catalogue Aluminium'!$Q$9:$S$28,3))))))</f>
        <v>NA</v>
      </c>
      <c r="AN146" s="351">
        <f t="shared" si="908"/>
        <v>0.7209000000000001</v>
      </c>
      <c r="AO146" s="350">
        <f t="shared" si="909"/>
        <v>592.57980000000009</v>
      </c>
      <c r="AP146" s="349">
        <v>5</v>
      </c>
      <c r="AQ146" s="350" t="str">
        <f t="shared" si="910"/>
        <v>YES</v>
      </c>
      <c r="AR146" s="351">
        <f t="shared" si="911"/>
        <v>0.76255709491879498</v>
      </c>
      <c r="AS146" s="343" t="str">
        <f t="shared" si="912"/>
        <v>YES</v>
      </c>
      <c r="AT146" s="351" t="str">
        <f t="shared" si="913"/>
        <v>NA</v>
      </c>
      <c r="AU146" s="343" t="str">
        <f t="shared" si="914"/>
        <v>NA</v>
      </c>
      <c r="AV146" s="354" t="str">
        <f t="shared" si="915"/>
        <v>5R x 0.6/1.0kV x 1C x 630 Sqmm/Phase</v>
      </c>
      <c r="AW146" s="354" t="str">
        <f t="shared" si="916"/>
        <v>5R x 0.6/1.0kV x 1C x 630 Sqmm/Phase</v>
      </c>
      <c r="AX146" s="525">
        <f>(IF(K146=400,(IF(U146="1C",(3*AH146*AP146),(AH146*AP146))),IF(K146=230,(AH146*AP146))))</f>
        <v>555</v>
      </c>
      <c r="AY146" s="804"/>
      <c r="AZ146" s="355">
        <f t="shared" si="917"/>
        <v>30</v>
      </c>
      <c r="BA146" s="356" t="str">
        <f t="shared" si="899"/>
        <v/>
      </c>
      <c r="BB146" s="501">
        <f>VLOOKUP(W146,'Catalogue Aluminium'!$B$9:$H$93,7,FALSE)</f>
        <v>42</v>
      </c>
      <c r="BC146" s="328">
        <f>IF(U146="1C",(3*AP146*BB146),(AP146*BB146))</f>
        <v>630</v>
      </c>
      <c r="BE146" s="336"/>
      <c r="BF146" s="336"/>
      <c r="BG146" s="336"/>
      <c r="BH146" s="336"/>
      <c r="BI146" s="336"/>
      <c r="BJ146" s="336"/>
      <c r="BK146" s="336"/>
      <c r="BL146" s="336"/>
      <c r="BM146" s="336"/>
      <c r="BN146" s="336"/>
      <c r="BO146" s="336"/>
      <c r="BP146" s="336"/>
      <c r="BQ146" s="336"/>
      <c r="BR146" s="336"/>
      <c r="BS146" s="336"/>
      <c r="BT146" s="336"/>
      <c r="BU146" s="336"/>
      <c r="BV146" s="336"/>
      <c r="BW146" s="336"/>
      <c r="BX146" s="336"/>
      <c r="BY146" s="336"/>
      <c r="BZ146" s="336"/>
      <c r="CA146" s="336"/>
      <c r="CB146" s="336"/>
      <c r="CC146" s="336"/>
      <c r="CD146" s="336"/>
      <c r="CE146" s="336"/>
      <c r="CF146" s="336"/>
      <c r="CG146" s="336"/>
      <c r="CH146" s="336"/>
      <c r="CI146" s="336"/>
      <c r="CJ146" s="336"/>
      <c r="CK146" s="336"/>
      <c r="CL146" s="336"/>
      <c r="CM146" s="336"/>
      <c r="CN146" s="336"/>
      <c r="CO146" s="336"/>
      <c r="CP146" s="336"/>
      <c r="CQ146" s="336"/>
      <c r="CR146" s="336"/>
      <c r="CS146" s="336"/>
      <c r="CT146" s="336"/>
      <c r="CU146" s="336"/>
      <c r="CV146" s="336"/>
      <c r="CW146" s="336"/>
      <c r="CX146" s="336"/>
      <c r="CY146" s="336"/>
      <c r="CZ146" s="336"/>
      <c r="DA146" s="336"/>
      <c r="DB146" s="336"/>
      <c r="DC146" s="336"/>
      <c r="DD146" s="336"/>
      <c r="DE146" s="336"/>
      <c r="DF146" s="336"/>
      <c r="DG146" s="336"/>
      <c r="DH146" s="336"/>
      <c r="DI146" s="336"/>
      <c r="DJ146" s="336"/>
      <c r="DK146" s="336"/>
      <c r="DL146" s="336"/>
      <c r="DM146" s="336"/>
      <c r="DN146" s="336"/>
      <c r="DO146" s="336"/>
      <c r="DP146" s="336"/>
      <c r="DQ146" s="336"/>
      <c r="DR146" s="336"/>
      <c r="DS146" s="336"/>
      <c r="DT146" s="336"/>
      <c r="DU146" s="336"/>
      <c r="DW146" s="336">
        <f t="shared" si="709"/>
        <v>0</v>
      </c>
      <c r="DX146" s="336">
        <f t="shared" si="701"/>
        <v>0</v>
      </c>
      <c r="DY146" s="336">
        <f t="shared" si="702"/>
        <v>0</v>
      </c>
      <c r="DZ146" s="336">
        <f t="shared" si="703"/>
        <v>0</v>
      </c>
      <c r="EA146" s="336">
        <f t="shared" si="704"/>
        <v>0</v>
      </c>
      <c r="EB146" s="336">
        <f t="shared" si="705"/>
        <v>0</v>
      </c>
      <c r="EC146" s="336">
        <f t="shared" si="706"/>
        <v>0</v>
      </c>
      <c r="ED146" s="336">
        <f t="shared" si="919"/>
        <v>0</v>
      </c>
      <c r="EE146" s="336">
        <f t="shared" si="920"/>
        <v>0</v>
      </c>
      <c r="EF146" s="336">
        <f t="shared" si="921"/>
        <v>0</v>
      </c>
      <c r="EG146" s="336">
        <f t="shared" si="922"/>
        <v>0</v>
      </c>
      <c r="EH146" s="336">
        <f t="shared" si="923"/>
        <v>0</v>
      </c>
      <c r="EI146" s="336">
        <f t="shared" si="924"/>
        <v>0</v>
      </c>
      <c r="EJ146" s="336">
        <f t="shared" si="925"/>
        <v>0</v>
      </c>
      <c r="EK146" s="336">
        <f t="shared" si="926"/>
        <v>0</v>
      </c>
      <c r="EL146" s="336">
        <f t="shared" si="927"/>
        <v>0</v>
      </c>
      <c r="EM146" s="336">
        <f t="shared" si="928"/>
        <v>0</v>
      </c>
      <c r="EN146" s="336">
        <f t="shared" si="929"/>
        <v>0</v>
      </c>
      <c r="EO146" s="336">
        <f t="shared" si="930"/>
        <v>0</v>
      </c>
      <c r="EP146" s="336">
        <f t="shared" si="931"/>
        <v>0</v>
      </c>
      <c r="EQ146" s="336">
        <f t="shared" si="932"/>
        <v>0</v>
      </c>
      <c r="ER146" s="336">
        <f t="shared" si="933"/>
        <v>0</v>
      </c>
      <c r="ES146" s="336">
        <f t="shared" si="934"/>
        <v>0</v>
      </c>
      <c r="ET146" s="336">
        <f t="shared" si="934"/>
        <v>0</v>
      </c>
      <c r="EU146" s="336">
        <f t="shared" si="935"/>
        <v>0</v>
      </c>
      <c r="EV146" s="336">
        <f t="shared" si="936"/>
        <v>0</v>
      </c>
      <c r="EW146" s="336">
        <f t="shared" si="937"/>
        <v>0</v>
      </c>
      <c r="EX146" s="336">
        <f t="shared" si="938"/>
        <v>0</v>
      </c>
      <c r="EY146" s="336">
        <f t="shared" si="939"/>
        <v>0</v>
      </c>
      <c r="EZ146" s="336">
        <f t="shared" si="940"/>
        <v>0</v>
      </c>
      <c r="FA146" s="336">
        <f t="shared" si="941"/>
        <v>0</v>
      </c>
      <c r="FB146" s="336">
        <f t="shared" si="942"/>
        <v>0</v>
      </c>
      <c r="FC146" s="336">
        <f t="shared" si="943"/>
        <v>0</v>
      </c>
      <c r="FD146" s="336">
        <f t="shared" si="944"/>
        <v>0</v>
      </c>
      <c r="FE146" s="336">
        <f t="shared" si="945"/>
        <v>0</v>
      </c>
      <c r="FF146" s="336">
        <f t="shared" si="946"/>
        <v>0</v>
      </c>
      <c r="FG146" s="336">
        <f t="shared" si="947"/>
        <v>0</v>
      </c>
      <c r="FH146" s="336">
        <f t="shared" si="948"/>
        <v>0</v>
      </c>
      <c r="FI146" s="336">
        <f t="shared" si="949"/>
        <v>0</v>
      </c>
      <c r="FJ146" s="336">
        <f t="shared" si="950"/>
        <v>0</v>
      </c>
      <c r="FK146" s="336">
        <f t="shared" si="951"/>
        <v>0</v>
      </c>
      <c r="FL146" s="336">
        <f t="shared" si="952"/>
        <v>0</v>
      </c>
      <c r="FM146" s="336">
        <f t="shared" si="953"/>
        <v>0</v>
      </c>
      <c r="FN146" s="336">
        <f t="shared" si="954"/>
        <v>0</v>
      </c>
      <c r="FO146" s="336">
        <f t="shared" si="955"/>
        <v>0</v>
      </c>
      <c r="FP146" s="336">
        <f t="shared" si="956"/>
        <v>0</v>
      </c>
      <c r="FQ146" s="336">
        <f t="shared" si="957"/>
        <v>0</v>
      </c>
      <c r="FR146" s="336">
        <f t="shared" si="958"/>
        <v>0</v>
      </c>
      <c r="FS146" s="336">
        <f t="shared" si="959"/>
        <v>0</v>
      </c>
      <c r="FT146" s="336">
        <f t="shared" si="960"/>
        <v>0</v>
      </c>
      <c r="FU146" s="336">
        <f t="shared" si="860"/>
        <v>0</v>
      </c>
      <c r="FV146" s="336">
        <f t="shared" si="861"/>
        <v>0</v>
      </c>
      <c r="FW146" s="336">
        <f t="shared" si="862"/>
        <v>0</v>
      </c>
      <c r="FX146" s="336">
        <f t="shared" si="863"/>
        <v>0</v>
      </c>
      <c r="FY146" s="336">
        <f t="shared" si="961"/>
        <v>0</v>
      </c>
      <c r="FZ146" s="336">
        <f t="shared" si="962"/>
        <v>0</v>
      </c>
      <c r="GA146" s="336">
        <f t="shared" si="963"/>
        <v>0</v>
      </c>
      <c r="GB146" s="336">
        <f t="shared" si="964"/>
        <v>0</v>
      </c>
      <c r="GC146" s="336">
        <f t="shared" si="965"/>
        <v>0</v>
      </c>
      <c r="GD146" s="336">
        <f t="shared" si="966"/>
        <v>0</v>
      </c>
      <c r="GE146" s="336">
        <f t="shared" si="967"/>
        <v>0</v>
      </c>
      <c r="GF146" s="336">
        <f t="shared" si="968"/>
        <v>0</v>
      </c>
      <c r="GG146" s="336">
        <f t="shared" si="969"/>
        <v>0</v>
      </c>
      <c r="GH146" s="336">
        <f t="shared" si="970"/>
        <v>0</v>
      </c>
      <c r="GI146" s="336">
        <f t="shared" si="971"/>
        <v>0</v>
      </c>
      <c r="GJ146" s="336">
        <f t="shared" si="972"/>
        <v>0</v>
      </c>
      <c r="GK146" s="336">
        <f t="shared" si="974"/>
        <v>0</v>
      </c>
      <c r="GL146" s="336">
        <f t="shared" ref="GL146:GL178" si="975">IF(DT146=1,($BC146*DT146),0)</f>
        <v>0</v>
      </c>
      <c r="GM146" s="336">
        <f t="shared" si="973"/>
        <v>0</v>
      </c>
    </row>
    <row r="147" spans="1:195" ht="30.75" customHeight="1">
      <c r="A147" s="337">
        <f t="shared" si="918"/>
        <v>105</v>
      </c>
      <c r="B147" s="337" t="s">
        <v>615</v>
      </c>
      <c r="C147" s="337" t="str">
        <f t="shared" si="900"/>
        <v>PMCC-1</v>
      </c>
      <c r="D147" s="372" t="s">
        <v>617</v>
      </c>
      <c r="E147" s="500" t="s">
        <v>335</v>
      </c>
      <c r="F147" s="516" t="s">
        <v>28</v>
      </c>
      <c r="G147" s="337" t="s">
        <v>329</v>
      </c>
      <c r="H147" s="350">
        <f>1600/1.732</f>
        <v>923.78752886836025</v>
      </c>
      <c r="I147" s="337" t="s">
        <v>414</v>
      </c>
      <c r="J147" s="337" t="s">
        <v>331</v>
      </c>
      <c r="K147" s="349">
        <v>400</v>
      </c>
      <c r="L147" s="343">
        <v>0.84664865012052015</v>
      </c>
      <c r="M147" s="350">
        <v>0.92832394366197268</v>
      </c>
      <c r="N147" s="342">
        <f t="shared" ref="N147" si="976">IF(I147="kVA",IF(J147="3Ph",(H147*1000/(1.732*M147*K147)),(H147*1000/(M147*K147))),IF(I147="kW",IF(J147="3Ph",(H147*1000/(1.732*M147*K147*L147)),(H147*1000/(M147*K147*L147)))))</f>
        <v>1436.3645031980261</v>
      </c>
      <c r="O147" s="342">
        <f t="shared" ref="O147" si="977">IF(G147="MOTOR",(6*N147),IF(G147="VFD",(1*N147),0))</f>
        <v>0</v>
      </c>
      <c r="P147" s="343" t="str">
        <f t="shared" ref="P147" si="978">IF(G147="MOTOR",0.2,"0.00")</f>
        <v>0.00</v>
      </c>
      <c r="Q147" s="350">
        <v>65</v>
      </c>
      <c r="R147" s="350">
        <v>1</v>
      </c>
      <c r="S147" s="350">
        <f t="shared" ref="S147" si="979">(Q147*1000*SQRT(R147)/143)</f>
        <v>454.54545454545456</v>
      </c>
      <c r="T147" s="343" t="s">
        <v>131</v>
      </c>
      <c r="U147" s="350" t="s">
        <v>336</v>
      </c>
      <c r="V147" s="343">
        <v>630</v>
      </c>
      <c r="W147" s="343" t="str">
        <f t="shared" ref="W147" si="980">CONCATENATE(U147," X ",V147)</f>
        <v>1C X 630</v>
      </c>
      <c r="X147" s="343" t="str">
        <f t="shared" ref="X147" si="981">(IF(J147="1Ph",W147,IF(J147="3Ph",(IF(G147="MOTOR",(CONCATENATE(W147,"+PE")),W147)))))</f>
        <v>1C X 630</v>
      </c>
      <c r="Y147" s="343" t="s">
        <v>358</v>
      </c>
      <c r="Z147" s="344">
        <f>IF(T147="AIR",VLOOKUP(W147,'Catalogue Aluminium'!$B$9:$G$93,2,FALSE),IF(T147="GROUND",VLOOKUP(W147,'Catalogue Aluminium'!$B$9:$G$93,3,FALSE),IF(T147="DUCT",VLOOKUP(W147,'Catalogue Aluminium'!$B$9:$G$93,4,FALSE),IF(T147="TRENCH",VLOOKUP(W147,'Catalogue Aluminium'!$B$9:$G$93,2,FALSE)))))</f>
        <v>822</v>
      </c>
      <c r="AA147" s="345">
        <f>VLOOKUP(W147,'Catalogue Aluminium'!$B$9:$G$93,5,FALSE)</f>
        <v>0.06</v>
      </c>
      <c r="AB147" s="345">
        <f>VLOOKUP(W147,'Catalogue Aluminium'!$B$9:$G$93,6,FALSE)</f>
        <v>8.43E-2</v>
      </c>
      <c r="AC147" s="401">
        <f t="shared" ref="AC147:AC149" si="982">15+5</f>
        <v>20</v>
      </c>
      <c r="AD147" s="401">
        <v>0</v>
      </c>
      <c r="AE147" s="401">
        <v>5</v>
      </c>
      <c r="AF147" s="401">
        <v>8</v>
      </c>
      <c r="AG147" s="401">
        <f t="shared" ref="AG147" si="983">ROUNDUP((SUM(AC147:AF147)*0.1),0)</f>
        <v>4</v>
      </c>
      <c r="AH147" s="347">
        <f t="shared" ref="AH147" si="984">SUM(AC147:AG147)</f>
        <v>37</v>
      </c>
      <c r="AI147" s="344">
        <f>IF(T147="AIR",'Catalogue Aluminium'!$K$9,IF(T147="TRENCH",'Catalogue Aluminium'!$K$12,"NA"))</f>
        <v>0.89</v>
      </c>
      <c r="AJ147" s="342">
        <f>IF(T147="Air",(IF(U147="1C",'Catalogue Aluminium'!$L$9,'Catalogue Aluminium'!$M$9)),IF(T147="DUCT",(IF($U147="1C",'Catalogue Aluminium'!$L$10,'Catalogue Aluminium'!$M$10)),IF(T147="GROUND",(IF($U147="1C",'Catalogue Aluminium'!$L$11,'Catalogue Aluminium'!$M$11)),IF(T147="TRENCH",(IF($U147="1C",'Catalogue Aluminium'!$L$12,'Catalogue Aluminium'!$M$12))))))</f>
        <v>0.81</v>
      </c>
      <c r="AK147" s="344" t="str">
        <f>IF(T147="Air",'Catalogue Aluminium'!$N$9,IF(T147="GROUND",'Catalogue Aluminium'!$N$10,IF(T147="DUCT",'Catalogue Aluminium'!$N$11,IF(T147="TRENCH",'Catalogue Aluminium'!$N$12,"NA"))))</f>
        <v>NA</v>
      </c>
      <c r="AL147" s="344" t="str">
        <f>IF(T147="Air",(IF(U147="1C",'Catalogue Aluminium'!$O$9,'Catalogue Aluminium'!$P$9)),IF(T147="DUCT",(IF($U147="1C",'Catalogue Aluminium'!$O$10,'Catalogue Aluminium'!$P$10)),IF(T147="GROUND",(IF($U147="1C",'Catalogue Aluminium'!$O$11,'Catalogue Aluminium'!$P$11)),IF(T147="TRENCH",(IF($U147="1C",'Catalogue Aluminium'!$O$12,'Catalogue Aluminium'!$P$12))))))</f>
        <v>NA</v>
      </c>
      <c r="AM147" s="344" t="str">
        <f>IF(T147="AIR","NA",IF(T147="TRENCH","NA",IF(T147="DUCT",IF(U147="1C",VLOOKUP(V147,'Catalogue Aluminium'!$Q$9:$S$28,2,FALSE),VLOOKUP(V147,'Catalogue Aluminium'!$Q$9:$S$28,3)),IF(T147="GROUND",IF(U147="1C",VLOOKUP(V147,'Catalogue Aluminium'!$Q$9:$S$28,2,FALSE),VLOOKUP(V147,'Catalogue Aluminium'!$Q$9:$S$28,3))))))</f>
        <v>NA</v>
      </c>
      <c r="AN147" s="351">
        <f t="shared" ref="AN147" si="985">IF(T147="AIR",AI147*AJ147,IF(T147="TRENCH",AI147*AJ147,IF(T147="DUCT",AJ147*AK147*AL147*AM147,IF(T147="GROUND",AJ147*AK147*AL147*AM147))))</f>
        <v>0.7209000000000001</v>
      </c>
      <c r="AO147" s="350">
        <f t="shared" ref="AO147" si="986">Z147*AN147</f>
        <v>592.57980000000009</v>
      </c>
      <c r="AP147" s="349">
        <f t="shared" si="689"/>
        <v>3</v>
      </c>
      <c r="AQ147" s="350" t="str">
        <f t="shared" ref="AQ147" si="987">IF(AO147*AP147&gt;=N147,"YES","NO")</f>
        <v>YES</v>
      </c>
      <c r="AR147" s="351">
        <f t="shared" ref="AR147" si="988">SQRT(3)*AH147*N147*((AA147*L147)+(AB147*SIN(ACOS(L147))))*100/(AP147*K147*1000)</f>
        <v>0.73379243160007224</v>
      </c>
      <c r="AS147" s="343" t="str">
        <f t="shared" ref="AS147" si="989">IF(G147="INCOMER",(IF(AR147&lt;=2,"YES","NO")),IF(G147="POWER",(IF(AR147&lt;=2.5,"YES","NO")),IF(G147="MOTOR",(IF(AR147&lt;=3,"YES","NO")))))</f>
        <v>YES</v>
      </c>
      <c r="AT147" s="351" t="str">
        <f t="shared" si="913"/>
        <v>NA</v>
      </c>
      <c r="AU147" s="343" t="str">
        <f t="shared" si="914"/>
        <v>NA</v>
      </c>
      <c r="AV147" s="354" t="s">
        <v>618</v>
      </c>
      <c r="AW147" s="354" t="str">
        <f t="shared" si="916"/>
        <v>3R x 0.6/1.0kV x 1C x 630 Sqmm/Phase</v>
      </c>
      <c r="AX147" s="525">
        <f>(IF(K147=400,(IF(U147="1C",(AH147*AP147),(AH147*AP147))),IF(K147=230,(AH147*AP147))))</f>
        <v>111</v>
      </c>
      <c r="AY147" s="804"/>
      <c r="AZ147" s="355">
        <f>IF(U147="1C",(AP147*2),(AP147*2))</f>
        <v>6</v>
      </c>
      <c r="BA147" s="356" t="str">
        <f t="shared" si="899"/>
        <v/>
      </c>
      <c r="BB147" s="501">
        <f>VLOOKUP(W147,'Catalogue Aluminium'!$B$9:$H$93,7,FALSE)</f>
        <v>42</v>
      </c>
      <c r="BC147" s="328">
        <f>IF(U147="1C",(AP147*BB147),(AP147*BB147))</f>
        <v>126</v>
      </c>
      <c r="BE147" s="336"/>
      <c r="BF147" s="336"/>
      <c r="BG147" s="336"/>
      <c r="BH147" s="336"/>
      <c r="BI147" s="336"/>
      <c r="BJ147" s="336"/>
      <c r="BK147" s="336"/>
      <c r="BL147" s="336"/>
      <c r="BM147" s="336"/>
      <c r="BN147" s="336"/>
      <c r="BO147" s="336"/>
      <c r="BP147" s="336"/>
      <c r="BQ147" s="336"/>
      <c r="BR147" s="336"/>
      <c r="BS147" s="336"/>
      <c r="BT147" s="336"/>
      <c r="BU147" s="336"/>
      <c r="BV147" s="336"/>
      <c r="BW147" s="336"/>
      <c r="BX147" s="336"/>
      <c r="BY147" s="336"/>
      <c r="BZ147" s="336"/>
      <c r="CA147" s="336"/>
      <c r="CB147" s="336"/>
      <c r="CC147" s="336"/>
      <c r="CD147" s="336"/>
      <c r="CE147" s="336"/>
      <c r="CF147" s="336"/>
      <c r="CG147" s="336"/>
      <c r="CH147" s="336"/>
      <c r="CI147" s="336"/>
      <c r="CJ147" s="336"/>
      <c r="CK147" s="336"/>
      <c r="CL147" s="336"/>
      <c r="CM147" s="336"/>
      <c r="CN147" s="336"/>
      <c r="CO147" s="336"/>
      <c r="CP147" s="336"/>
      <c r="CQ147" s="336"/>
      <c r="CR147" s="336"/>
      <c r="CS147" s="336"/>
      <c r="CT147" s="336"/>
      <c r="CU147" s="336"/>
      <c r="CV147" s="336"/>
      <c r="CW147" s="336"/>
      <c r="CX147" s="336"/>
      <c r="CY147" s="336"/>
      <c r="CZ147" s="336"/>
      <c r="DA147" s="336"/>
      <c r="DB147" s="336"/>
      <c r="DC147" s="336"/>
      <c r="DD147" s="336"/>
      <c r="DE147" s="336"/>
      <c r="DF147" s="336"/>
      <c r="DG147" s="336"/>
      <c r="DH147" s="336"/>
      <c r="DI147" s="336"/>
      <c r="DJ147" s="336"/>
      <c r="DK147" s="336"/>
      <c r="DL147" s="336"/>
      <c r="DM147" s="336"/>
      <c r="DN147" s="336"/>
      <c r="DO147" s="336"/>
      <c r="DP147" s="336"/>
      <c r="DQ147" s="336"/>
      <c r="DR147" s="336"/>
      <c r="DS147" s="336"/>
      <c r="DT147" s="336"/>
      <c r="DU147" s="336"/>
      <c r="DW147" s="336">
        <f t="shared" si="709"/>
        <v>0</v>
      </c>
      <c r="DX147" s="336">
        <f t="shared" si="701"/>
        <v>0</v>
      </c>
      <c r="DY147" s="336">
        <f t="shared" si="702"/>
        <v>0</v>
      </c>
      <c r="DZ147" s="336">
        <f t="shared" si="703"/>
        <v>0</v>
      </c>
      <c r="EA147" s="336">
        <f t="shared" si="704"/>
        <v>0</v>
      </c>
      <c r="EB147" s="336">
        <f t="shared" si="705"/>
        <v>0</v>
      </c>
      <c r="EC147" s="336">
        <f t="shared" si="706"/>
        <v>0</v>
      </c>
      <c r="ED147" s="336">
        <f t="shared" si="919"/>
        <v>0</v>
      </c>
      <c r="EE147" s="336">
        <f t="shared" si="920"/>
        <v>0</v>
      </c>
      <c r="EF147" s="336">
        <f t="shared" si="921"/>
        <v>0</v>
      </c>
      <c r="EG147" s="336">
        <f t="shared" si="922"/>
        <v>0</v>
      </c>
      <c r="EH147" s="336">
        <f t="shared" si="923"/>
        <v>0</v>
      </c>
      <c r="EI147" s="336">
        <f t="shared" si="924"/>
        <v>0</v>
      </c>
      <c r="EJ147" s="336">
        <f t="shared" si="925"/>
        <v>0</v>
      </c>
      <c r="EK147" s="336">
        <f t="shared" si="926"/>
        <v>0</v>
      </c>
      <c r="EL147" s="336">
        <f t="shared" si="927"/>
        <v>0</v>
      </c>
      <c r="EM147" s="336">
        <f t="shared" si="928"/>
        <v>0</v>
      </c>
      <c r="EN147" s="336">
        <f t="shared" si="929"/>
        <v>0</v>
      </c>
      <c r="EO147" s="336">
        <f t="shared" si="930"/>
        <v>0</v>
      </c>
      <c r="EP147" s="336">
        <f t="shared" si="931"/>
        <v>0</v>
      </c>
      <c r="EQ147" s="336">
        <f t="shared" si="932"/>
        <v>0</v>
      </c>
      <c r="ER147" s="336">
        <f t="shared" si="933"/>
        <v>0</v>
      </c>
      <c r="ES147" s="336">
        <f t="shared" si="934"/>
        <v>0</v>
      </c>
      <c r="ET147" s="336">
        <f t="shared" si="934"/>
        <v>0</v>
      </c>
      <c r="EU147" s="336">
        <f t="shared" si="935"/>
        <v>0</v>
      </c>
      <c r="EV147" s="336">
        <f t="shared" si="936"/>
        <v>0</v>
      </c>
      <c r="EW147" s="336">
        <f t="shared" si="937"/>
        <v>0</v>
      </c>
      <c r="EX147" s="336">
        <f t="shared" si="938"/>
        <v>0</v>
      </c>
      <c r="EY147" s="336">
        <f t="shared" si="939"/>
        <v>0</v>
      </c>
      <c r="EZ147" s="336">
        <f t="shared" si="940"/>
        <v>0</v>
      </c>
      <c r="FA147" s="336">
        <f t="shared" si="941"/>
        <v>0</v>
      </c>
      <c r="FB147" s="336">
        <f t="shared" si="942"/>
        <v>0</v>
      </c>
      <c r="FC147" s="336">
        <f t="shared" si="943"/>
        <v>0</v>
      </c>
      <c r="FD147" s="336">
        <f t="shared" si="944"/>
        <v>0</v>
      </c>
      <c r="FE147" s="336">
        <f t="shared" si="945"/>
        <v>0</v>
      </c>
      <c r="FF147" s="336">
        <f t="shared" si="946"/>
        <v>0</v>
      </c>
      <c r="FG147" s="336">
        <f t="shared" si="947"/>
        <v>0</v>
      </c>
      <c r="FH147" s="336">
        <f t="shared" si="948"/>
        <v>0</v>
      </c>
      <c r="FI147" s="336">
        <f t="shared" si="949"/>
        <v>0</v>
      </c>
      <c r="FJ147" s="336">
        <f t="shared" si="950"/>
        <v>0</v>
      </c>
      <c r="FK147" s="336">
        <f t="shared" si="951"/>
        <v>0</v>
      </c>
      <c r="FL147" s="336">
        <f t="shared" si="952"/>
        <v>0</v>
      </c>
      <c r="FM147" s="336">
        <f t="shared" si="953"/>
        <v>0</v>
      </c>
      <c r="FN147" s="336">
        <f t="shared" si="954"/>
        <v>0</v>
      </c>
      <c r="FO147" s="336">
        <f t="shared" si="955"/>
        <v>0</v>
      </c>
      <c r="FP147" s="336">
        <f t="shared" si="956"/>
        <v>0</v>
      </c>
      <c r="FQ147" s="336">
        <f t="shared" si="957"/>
        <v>0</v>
      </c>
      <c r="FR147" s="336">
        <f t="shared" si="958"/>
        <v>0</v>
      </c>
      <c r="FS147" s="336">
        <f t="shared" si="959"/>
        <v>0</v>
      </c>
      <c r="FT147" s="336">
        <f t="shared" si="960"/>
        <v>0</v>
      </c>
      <c r="FU147" s="336">
        <f t="shared" si="860"/>
        <v>0</v>
      </c>
      <c r="FV147" s="336">
        <f t="shared" si="861"/>
        <v>0</v>
      </c>
      <c r="FW147" s="336">
        <f t="shared" si="862"/>
        <v>0</v>
      </c>
      <c r="FX147" s="336">
        <f t="shared" si="863"/>
        <v>0</v>
      </c>
      <c r="FY147" s="336">
        <f t="shared" si="961"/>
        <v>0</v>
      </c>
      <c r="FZ147" s="336">
        <f t="shared" si="962"/>
        <v>0</v>
      </c>
      <c r="GA147" s="336">
        <f t="shared" si="963"/>
        <v>0</v>
      </c>
      <c r="GB147" s="336">
        <f t="shared" si="964"/>
        <v>0</v>
      </c>
      <c r="GC147" s="336">
        <f t="shared" si="965"/>
        <v>0</v>
      </c>
      <c r="GD147" s="336">
        <f t="shared" si="966"/>
        <v>0</v>
      </c>
      <c r="GE147" s="336">
        <f t="shared" si="967"/>
        <v>0</v>
      </c>
      <c r="GF147" s="336">
        <f t="shared" si="968"/>
        <v>0</v>
      </c>
      <c r="GG147" s="336">
        <f t="shared" si="969"/>
        <v>0</v>
      </c>
      <c r="GH147" s="336">
        <f t="shared" si="970"/>
        <v>0</v>
      </c>
      <c r="GI147" s="336">
        <f t="shared" si="971"/>
        <v>0</v>
      </c>
      <c r="GJ147" s="336">
        <f t="shared" si="972"/>
        <v>0</v>
      </c>
      <c r="GK147" s="336">
        <f t="shared" si="974"/>
        <v>0</v>
      </c>
      <c r="GL147" s="336">
        <f t="shared" si="975"/>
        <v>0</v>
      </c>
      <c r="GM147" s="336">
        <f t="shared" si="973"/>
        <v>0</v>
      </c>
    </row>
    <row r="148" spans="1:195" ht="30" customHeight="1">
      <c r="A148" s="337">
        <f t="shared" si="918"/>
        <v>106</v>
      </c>
      <c r="B148" s="337" t="s">
        <v>615</v>
      </c>
      <c r="C148" s="337" t="str">
        <f t="shared" si="900"/>
        <v>PMCC-1</v>
      </c>
      <c r="D148" s="372" t="s">
        <v>619</v>
      </c>
      <c r="E148" s="500" t="s">
        <v>335</v>
      </c>
      <c r="F148" s="516" t="s">
        <v>29</v>
      </c>
      <c r="G148" s="337" t="s">
        <v>329</v>
      </c>
      <c r="H148" s="350">
        <v>1600</v>
      </c>
      <c r="I148" s="337" t="s">
        <v>414</v>
      </c>
      <c r="J148" s="337" t="s">
        <v>331</v>
      </c>
      <c r="K148" s="349">
        <v>400</v>
      </c>
      <c r="L148" s="343">
        <v>0.84664865012052015</v>
      </c>
      <c r="M148" s="350">
        <v>0.92832394366197268</v>
      </c>
      <c r="N148" s="342">
        <f t="shared" si="901"/>
        <v>2487.7833195389812</v>
      </c>
      <c r="O148" s="342">
        <f t="shared" si="867"/>
        <v>0</v>
      </c>
      <c r="P148" s="343" t="str">
        <f t="shared" si="902"/>
        <v>0.00</v>
      </c>
      <c r="Q148" s="350">
        <v>65</v>
      </c>
      <c r="R148" s="350">
        <v>1</v>
      </c>
      <c r="S148" s="350">
        <f t="shared" si="903"/>
        <v>454.54545454545456</v>
      </c>
      <c r="T148" s="343" t="s">
        <v>131</v>
      </c>
      <c r="U148" s="350" t="s">
        <v>336</v>
      </c>
      <c r="V148" s="343">
        <v>630</v>
      </c>
      <c r="W148" s="343" t="str">
        <f t="shared" si="904"/>
        <v>1C X 630</v>
      </c>
      <c r="X148" s="343" t="str">
        <f t="shared" si="905"/>
        <v>1C X 630</v>
      </c>
      <c r="Y148" s="343" t="s">
        <v>358</v>
      </c>
      <c r="Z148" s="344">
        <f>IF(T148="AIR",VLOOKUP(W148,'Catalogue Aluminium'!$B$9:$G$93,2,FALSE),IF(T148="GROUND",VLOOKUP(W148,'Catalogue Aluminium'!$B$9:$G$93,3,FALSE),IF(T148="DUCT",VLOOKUP(W148,'Catalogue Aluminium'!$B$9:$G$93,4,FALSE),IF(T148="TRENCH",VLOOKUP(W148,'Catalogue Aluminium'!$B$9:$G$93,2,FALSE)))))</f>
        <v>822</v>
      </c>
      <c r="AA148" s="345">
        <f>VLOOKUP(W148,'Catalogue Aluminium'!$B$9:$G$93,5,FALSE)</f>
        <v>0.06</v>
      </c>
      <c r="AB148" s="345">
        <f>VLOOKUP(W148,'Catalogue Aluminium'!$B$9:$G$93,6,FALSE)</f>
        <v>8.43E-2</v>
      </c>
      <c r="AC148" s="401">
        <f t="shared" si="982"/>
        <v>20</v>
      </c>
      <c r="AD148" s="401">
        <v>0</v>
      </c>
      <c r="AE148" s="401">
        <v>5</v>
      </c>
      <c r="AF148" s="401">
        <v>8</v>
      </c>
      <c r="AG148" s="401">
        <f t="shared" si="906"/>
        <v>4</v>
      </c>
      <c r="AH148" s="347">
        <f t="shared" si="907"/>
        <v>37</v>
      </c>
      <c r="AI148" s="344">
        <f>IF(T148="AIR",'Catalogue Aluminium'!$K$9,IF(T148="TRENCH",'Catalogue Aluminium'!$K$12,"NA"))</f>
        <v>0.89</v>
      </c>
      <c r="AJ148" s="342">
        <f>IF(T148="Air",(IF(U148="1C",'Catalogue Aluminium'!$L$9,'Catalogue Aluminium'!$M$9)),IF(T148="DUCT",(IF($U148="1C",'Catalogue Aluminium'!$L$10,'Catalogue Aluminium'!$M$10)),IF(T148="GROUND",(IF($U148="1C",'Catalogue Aluminium'!$L$11,'Catalogue Aluminium'!$M$11)),IF(T148="TRENCH",(IF($U148="1C",'Catalogue Aluminium'!$L$12,'Catalogue Aluminium'!$M$12))))))</f>
        <v>0.81</v>
      </c>
      <c r="AK148" s="344" t="str">
        <f>IF(T148="Air",'Catalogue Aluminium'!$N$9,IF(T148="GROUND",'Catalogue Aluminium'!$N$10,IF(T148="DUCT",'Catalogue Aluminium'!$N$11,IF(T148="TRENCH",'Catalogue Aluminium'!$N$12,"NA"))))</f>
        <v>NA</v>
      </c>
      <c r="AL148" s="344" t="str">
        <f>IF(T148="Air",(IF(U148="1C",'Catalogue Aluminium'!$O$9,'Catalogue Aluminium'!$P$9)),IF(T148="DUCT",(IF($U148="1C",'Catalogue Aluminium'!$O$10,'Catalogue Aluminium'!$P$10)),IF(T148="GROUND",(IF($U148="1C",'Catalogue Aluminium'!$O$11,'Catalogue Aluminium'!$P$11)),IF(T148="TRENCH",(IF($U148="1C",'Catalogue Aluminium'!$O$12,'Catalogue Aluminium'!$P$12))))))</f>
        <v>NA</v>
      </c>
      <c r="AM148" s="344" t="str">
        <f>IF(T148="AIR","NA",IF(T148="TRENCH","NA",IF(T148="DUCT",IF(U148="1C",VLOOKUP(V148,'Catalogue Aluminium'!$Q$9:$S$28,2,FALSE),VLOOKUP(V148,'Catalogue Aluminium'!$Q$9:$S$28,3)),IF(T148="GROUND",IF(U148="1C",VLOOKUP(V148,'Catalogue Aluminium'!$Q$9:$S$28,2,FALSE),VLOOKUP(V148,'Catalogue Aluminium'!$Q$9:$S$28,3))))))</f>
        <v>NA</v>
      </c>
      <c r="AN148" s="351">
        <f t="shared" si="908"/>
        <v>0.7209000000000001</v>
      </c>
      <c r="AO148" s="350">
        <f t="shared" si="909"/>
        <v>592.57980000000009</v>
      </c>
      <c r="AP148" s="349">
        <f t="shared" si="689"/>
        <v>5</v>
      </c>
      <c r="AQ148" s="350" t="str">
        <f t="shared" si="910"/>
        <v>YES</v>
      </c>
      <c r="AR148" s="351">
        <f t="shared" si="911"/>
        <v>0.76255709491879498</v>
      </c>
      <c r="AS148" s="343" t="str">
        <f t="shared" si="912"/>
        <v>YES</v>
      </c>
      <c r="AT148" s="351" t="str">
        <f t="shared" si="913"/>
        <v>NA</v>
      </c>
      <c r="AU148" s="343" t="str">
        <f t="shared" si="914"/>
        <v>NA</v>
      </c>
      <c r="AV148" s="354" t="str">
        <f>IF(U148="1C",CONCATENATE(AP148,"R x ",Y148,"kV x ",U148," x ",V148," Sqmm/Phase"),CONCATENATE(AP148,"R x ",0.6,"/1kV x ",U148," x ",V148," Sqmm"))</f>
        <v>5R x 0.6/1.0kV x 1C x 630 Sqmm/Phase</v>
      </c>
      <c r="AW148" s="354" t="str">
        <f t="shared" si="916"/>
        <v>5R x 0.6/1.0kV x 1C x 630 Sqmm/Phase</v>
      </c>
      <c r="AX148" s="525">
        <f>(IF(K148=400,(IF(U148="1C",(3*AH148*AP148),(AH148*AP148))),IF(K148=230,(AH148*AP148))))</f>
        <v>555</v>
      </c>
      <c r="AY148" s="804"/>
      <c r="AZ148" s="355">
        <f>IF(U148="1C",(3*AP148*2),(AP148*2))</f>
        <v>30</v>
      </c>
      <c r="BA148" s="356" t="str">
        <f t="shared" si="899"/>
        <v/>
      </c>
      <c r="BB148" s="501">
        <f>VLOOKUP(W148,'Catalogue Aluminium'!$B$9:$H$93,7,FALSE)</f>
        <v>42</v>
      </c>
      <c r="BC148" s="328">
        <f>IF(U148="1C",(3*AP148*BB148),(AP148*BB148))</f>
        <v>630</v>
      </c>
      <c r="BE148" s="336"/>
      <c r="BF148" s="336"/>
      <c r="BG148" s="336"/>
      <c r="BH148" s="336"/>
      <c r="BI148" s="336"/>
      <c r="BJ148" s="336"/>
      <c r="BK148" s="336"/>
      <c r="BL148" s="336"/>
      <c r="BM148" s="336"/>
      <c r="BN148" s="336"/>
      <c r="BO148" s="336"/>
      <c r="BP148" s="336"/>
      <c r="BQ148" s="336"/>
      <c r="BR148" s="336"/>
      <c r="BS148" s="336"/>
      <c r="BT148" s="336"/>
      <c r="BU148" s="336"/>
      <c r="BV148" s="336"/>
      <c r="BW148" s="336"/>
      <c r="BX148" s="336"/>
      <c r="BY148" s="336"/>
      <c r="BZ148" s="336"/>
      <c r="CA148" s="336"/>
      <c r="CB148" s="336"/>
      <c r="CC148" s="336"/>
      <c r="CD148" s="336"/>
      <c r="CE148" s="336"/>
      <c r="CF148" s="336"/>
      <c r="CG148" s="336"/>
      <c r="CH148" s="336"/>
      <c r="CI148" s="336"/>
      <c r="CJ148" s="336"/>
      <c r="CK148" s="336"/>
      <c r="CL148" s="336"/>
      <c r="CM148" s="336"/>
      <c r="CN148" s="336"/>
      <c r="CO148" s="336"/>
      <c r="CP148" s="336"/>
      <c r="CQ148" s="336"/>
      <c r="CR148" s="336"/>
      <c r="CS148" s="336"/>
      <c r="CT148" s="336"/>
      <c r="CU148" s="336"/>
      <c r="CV148" s="336"/>
      <c r="CW148" s="336"/>
      <c r="CX148" s="336"/>
      <c r="CY148" s="336"/>
      <c r="CZ148" s="336"/>
      <c r="DA148" s="336"/>
      <c r="DB148" s="336"/>
      <c r="DC148" s="336"/>
      <c r="DD148" s="336"/>
      <c r="DE148" s="336"/>
      <c r="DF148" s="336"/>
      <c r="DG148" s="336"/>
      <c r="DH148" s="336"/>
      <c r="DI148" s="336"/>
      <c r="DJ148" s="336"/>
      <c r="DK148" s="336"/>
      <c r="DL148" s="336"/>
      <c r="DM148" s="336"/>
      <c r="DN148" s="336"/>
      <c r="DO148" s="336"/>
      <c r="DP148" s="336"/>
      <c r="DQ148" s="336"/>
      <c r="DR148" s="336"/>
      <c r="DS148" s="336"/>
      <c r="DT148" s="336"/>
      <c r="DU148" s="336"/>
      <c r="DW148" s="336">
        <f t="shared" si="709"/>
        <v>0</v>
      </c>
      <c r="DX148" s="336">
        <f t="shared" si="701"/>
        <v>0</v>
      </c>
      <c r="DY148" s="336">
        <f t="shared" si="702"/>
        <v>0</v>
      </c>
      <c r="DZ148" s="336">
        <f t="shared" si="703"/>
        <v>0</v>
      </c>
      <c r="EA148" s="336">
        <f t="shared" si="704"/>
        <v>0</v>
      </c>
      <c r="EB148" s="336">
        <f t="shared" si="705"/>
        <v>0</v>
      </c>
      <c r="EC148" s="336">
        <f t="shared" si="706"/>
        <v>0</v>
      </c>
      <c r="ED148" s="336">
        <f t="shared" si="919"/>
        <v>0</v>
      </c>
      <c r="EE148" s="336">
        <f t="shared" si="920"/>
        <v>0</v>
      </c>
      <c r="EF148" s="336">
        <f t="shared" si="921"/>
        <v>0</v>
      </c>
      <c r="EG148" s="336">
        <f t="shared" si="922"/>
        <v>0</v>
      </c>
      <c r="EH148" s="336">
        <f t="shared" si="923"/>
        <v>0</v>
      </c>
      <c r="EI148" s="336">
        <f t="shared" si="924"/>
        <v>0</v>
      </c>
      <c r="EJ148" s="336">
        <f t="shared" si="925"/>
        <v>0</v>
      </c>
      <c r="EK148" s="336">
        <f t="shared" si="926"/>
        <v>0</v>
      </c>
      <c r="EL148" s="336">
        <f t="shared" si="927"/>
        <v>0</v>
      </c>
      <c r="EM148" s="336">
        <f t="shared" si="928"/>
        <v>0</v>
      </c>
      <c r="EN148" s="336">
        <f t="shared" si="929"/>
        <v>0</v>
      </c>
      <c r="EO148" s="336">
        <f t="shared" si="930"/>
        <v>0</v>
      </c>
      <c r="EP148" s="336">
        <f t="shared" si="931"/>
        <v>0</v>
      </c>
      <c r="EQ148" s="336">
        <f t="shared" si="932"/>
        <v>0</v>
      </c>
      <c r="ER148" s="336">
        <f t="shared" si="933"/>
        <v>0</v>
      </c>
      <c r="ES148" s="336">
        <f t="shared" si="934"/>
        <v>0</v>
      </c>
      <c r="ET148" s="336">
        <f t="shared" si="934"/>
        <v>0</v>
      </c>
      <c r="EU148" s="336">
        <f t="shared" si="935"/>
        <v>0</v>
      </c>
      <c r="EV148" s="336">
        <f t="shared" si="936"/>
        <v>0</v>
      </c>
      <c r="EW148" s="336">
        <f t="shared" si="937"/>
        <v>0</v>
      </c>
      <c r="EX148" s="336">
        <f t="shared" si="938"/>
        <v>0</v>
      </c>
      <c r="EY148" s="336">
        <f t="shared" si="939"/>
        <v>0</v>
      </c>
      <c r="EZ148" s="336">
        <f t="shared" si="940"/>
        <v>0</v>
      </c>
      <c r="FA148" s="336">
        <f t="shared" si="941"/>
        <v>0</v>
      </c>
      <c r="FB148" s="336">
        <f t="shared" si="942"/>
        <v>0</v>
      </c>
      <c r="FC148" s="336">
        <f t="shared" si="943"/>
        <v>0</v>
      </c>
      <c r="FD148" s="336">
        <f t="shared" si="944"/>
        <v>0</v>
      </c>
      <c r="FE148" s="336">
        <f t="shared" si="945"/>
        <v>0</v>
      </c>
      <c r="FF148" s="336">
        <f t="shared" si="946"/>
        <v>0</v>
      </c>
      <c r="FG148" s="336">
        <f t="shared" si="947"/>
        <v>0</v>
      </c>
      <c r="FH148" s="336">
        <f t="shared" si="948"/>
        <v>0</v>
      </c>
      <c r="FI148" s="336">
        <f t="shared" si="949"/>
        <v>0</v>
      </c>
      <c r="FJ148" s="336">
        <f t="shared" si="950"/>
        <v>0</v>
      </c>
      <c r="FK148" s="336">
        <f t="shared" si="951"/>
        <v>0</v>
      </c>
      <c r="FL148" s="336">
        <f t="shared" si="952"/>
        <v>0</v>
      </c>
      <c r="FM148" s="336">
        <f t="shared" si="953"/>
        <v>0</v>
      </c>
      <c r="FN148" s="336">
        <f t="shared" si="954"/>
        <v>0</v>
      </c>
      <c r="FO148" s="336">
        <f t="shared" si="955"/>
        <v>0</v>
      </c>
      <c r="FP148" s="336">
        <f t="shared" si="956"/>
        <v>0</v>
      </c>
      <c r="FQ148" s="336">
        <f t="shared" si="957"/>
        <v>0</v>
      </c>
      <c r="FR148" s="336">
        <f t="shared" si="958"/>
        <v>0</v>
      </c>
      <c r="FS148" s="336">
        <f t="shared" si="959"/>
        <v>0</v>
      </c>
      <c r="FT148" s="336">
        <f t="shared" si="960"/>
        <v>0</v>
      </c>
      <c r="FU148" s="336">
        <f t="shared" si="860"/>
        <v>0</v>
      </c>
      <c r="FV148" s="336">
        <f t="shared" si="861"/>
        <v>0</v>
      </c>
      <c r="FW148" s="336">
        <f t="shared" si="862"/>
        <v>0</v>
      </c>
      <c r="FX148" s="336">
        <f t="shared" si="863"/>
        <v>0</v>
      </c>
      <c r="FY148" s="336">
        <f t="shared" si="961"/>
        <v>0</v>
      </c>
      <c r="FZ148" s="336">
        <f t="shared" si="962"/>
        <v>0</v>
      </c>
      <c r="GA148" s="336">
        <f t="shared" si="963"/>
        <v>0</v>
      </c>
      <c r="GB148" s="336">
        <f t="shared" si="964"/>
        <v>0</v>
      </c>
      <c r="GC148" s="336">
        <f t="shared" si="965"/>
        <v>0</v>
      </c>
      <c r="GD148" s="336">
        <f t="shared" si="966"/>
        <v>0</v>
      </c>
      <c r="GE148" s="336">
        <f t="shared" si="967"/>
        <v>0</v>
      </c>
      <c r="GF148" s="336">
        <f t="shared" si="968"/>
        <v>0</v>
      </c>
      <c r="GG148" s="336">
        <f t="shared" si="969"/>
        <v>0</v>
      </c>
      <c r="GH148" s="336">
        <f t="shared" si="970"/>
        <v>0</v>
      </c>
      <c r="GI148" s="336">
        <f t="shared" si="971"/>
        <v>0</v>
      </c>
      <c r="GJ148" s="336">
        <f t="shared" si="972"/>
        <v>0</v>
      </c>
      <c r="GK148" s="336">
        <f t="shared" si="974"/>
        <v>0</v>
      </c>
      <c r="GL148" s="336">
        <f t="shared" si="975"/>
        <v>0</v>
      </c>
      <c r="GM148" s="336">
        <f t="shared" si="973"/>
        <v>0</v>
      </c>
    </row>
    <row r="149" spans="1:195" ht="27.75" customHeight="1">
      <c r="A149" s="337">
        <f t="shared" si="918"/>
        <v>107</v>
      </c>
      <c r="B149" s="337" t="s">
        <v>615</v>
      </c>
      <c r="C149" s="337" t="str">
        <f t="shared" si="900"/>
        <v>PMCC-1</v>
      </c>
      <c r="D149" s="372" t="s">
        <v>620</v>
      </c>
      <c r="E149" s="500" t="s">
        <v>335</v>
      </c>
      <c r="F149" s="516" t="s">
        <v>29</v>
      </c>
      <c r="G149" s="337" t="s">
        <v>329</v>
      </c>
      <c r="H149" s="350">
        <f>1600/1.732</f>
        <v>923.78752886836025</v>
      </c>
      <c r="I149" s="337" t="s">
        <v>414</v>
      </c>
      <c r="J149" s="337" t="s">
        <v>331</v>
      </c>
      <c r="K149" s="349">
        <v>400</v>
      </c>
      <c r="L149" s="343">
        <v>0.84664865012052015</v>
      </c>
      <c r="M149" s="350">
        <v>0.92832394366197268</v>
      </c>
      <c r="N149" s="342">
        <f t="shared" ref="N149" si="990">IF(I149="kVA",IF(J149="3Ph",(H149*1000/(1.732*M149*K149)),(H149*1000/(M149*K149))),IF(I149="kW",IF(J149="3Ph",(H149*1000/(1.732*M149*K149*L149)),(H149*1000/(M149*K149*L149)))))</f>
        <v>1436.3645031980261</v>
      </c>
      <c r="O149" s="342">
        <f t="shared" ref="O149" si="991">IF(G149="MOTOR",(6*N149),IF(G149="VFD",(1*N149),0))</f>
        <v>0</v>
      </c>
      <c r="P149" s="343" t="str">
        <f t="shared" ref="P149" si="992">IF(G149="MOTOR",0.2,"0.00")</f>
        <v>0.00</v>
      </c>
      <c r="Q149" s="350">
        <v>65</v>
      </c>
      <c r="R149" s="350">
        <v>1</v>
      </c>
      <c r="S149" s="350">
        <f t="shared" ref="S149" si="993">(Q149*1000*SQRT(R149)/143)</f>
        <v>454.54545454545456</v>
      </c>
      <c r="T149" s="343" t="s">
        <v>131</v>
      </c>
      <c r="U149" s="350" t="s">
        <v>336</v>
      </c>
      <c r="V149" s="343">
        <v>630</v>
      </c>
      <c r="W149" s="343" t="str">
        <f t="shared" ref="W149" si="994">CONCATENATE(U149," X ",V149)</f>
        <v>1C X 630</v>
      </c>
      <c r="X149" s="343" t="str">
        <f t="shared" ref="X149" si="995">(IF(J149="1Ph",W149,IF(J149="3Ph",(IF(G149="MOTOR",(CONCATENATE(W149,"+PE")),W149)))))</f>
        <v>1C X 630</v>
      </c>
      <c r="Y149" s="343" t="s">
        <v>358</v>
      </c>
      <c r="Z149" s="344">
        <f>IF(T149="AIR",VLOOKUP(W149,'Catalogue Aluminium'!$B$9:$G$93,2,FALSE),IF(T149="GROUND",VLOOKUP(W149,'Catalogue Aluminium'!$B$9:$G$93,3,FALSE),IF(T149="DUCT",VLOOKUP(W149,'Catalogue Aluminium'!$B$9:$G$93,4,FALSE),IF(T149="TRENCH",VLOOKUP(W149,'Catalogue Aluminium'!$B$9:$G$93,2,FALSE)))))</f>
        <v>822</v>
      </c>
      <c r="AA149" s="345">
        <f>VLOOKUP(W149,'Catalogue Aluminium'!$B$9:$G$93,5,FALSE)</f>
        <v>0.06</v>
      </c>
      <c r="AB149" s="345">
        <f>VLOOKUP(W149,'Catalogue Aluminium'!$B$9:$G$93,6,FALSE)</f>
        <v>8.43E-2</v>
      </c>
      <c r="AC149" s="401">
        <f t="shared" si="982"/>
        <v>20</v>
      </c>
      <c r="AD149" s="401">
        <v>0</v>
      </c>
      <c r="AE149" s="401">
        <v>5</v>
      </c>
      <c r="AF149" s="401">
        <v>8</v>
      </c>
      <c r="AG149" s="401">
        <f t="shared" ref="AG149" si="996">ROUNDUP((SUM(AC149:AF149)*0.1),0)</f>
        <v>4</v>
      </c>
      <c r="AH149" s="347">
        <f t="shared" ref="AH149" si="997">SUM(AC149:AG149)</f>
        <v>37</v>
      </c>
      <c r="AI149" s="344">
        <f>IF(T149="AIR",'Catalogue Aluminium'!$K$9,IF(T149="TRENCH",'Catalogue Aluminium'!$K$12,"NA"))</f>
        <v>0.89</v>
      </c>
      <c r="AJ149" s="342">
        <f>IF(T149="Air",(IF(U149="1C",'Catalogue Aluminium'!$L$9,'Catalogue Aluminium'!$M$9)),IF(T149="DUCT",(IF($U149="1C",'Catalogue Aluminium'!$L$10,'Catalogue Aluminium'!$M$10)),IF(T149="GROUND",(IF($U149="1C",'Catalogue Aluminium'!$L$11,'Catalogue Aluminium'!$M$11)),IF(T149="TRENCH",(IF($U149="1C",'Catalogue Aluminium'!$L$12,'Catalogue Aluminium'!$M$12))))))</f>
        <v>0.81</v>
      </c>
      <c r="AK149" s="344" t="str">
        <f>IF(T149="Air",'Catalogue Aluminium'!$N$9,IF(T149="GROUND",'Catalogue Aluminium'!$N$10,IF(T149="DUCT",'Catalogue Aluminium'!$N$11,IF(T149="TRENCH",'Catalogue Aluminium'!$N$12,"NA"))))</f>
        <v>NA</v>
      </c>
      <c r="AL149" s="344" t="str">
        <f>IF(T149="Air",(IF(U149="1C",'Catalogue Aluminium'!$O$9,'Catalogue Aluminium'!$P$9)),IF(T149="DUCT",(IF($U149="1C",'Catalogue Aluminium'!$O$10,'Catalogue Aluminium'!$P$10)),IF(T149="GROUND",(IF($U149="1C",'Catalogue Aluminium'!$O$11,'Catalogue Aluminium'!$P$11)),IF(T149="TRENCH",(IF($U149="1C",'Catalogue Aluminium'!$O$12,'Catalogue Aluminium'!$P$12))))))</f>
        <v>NA</v>
      </c>
      <c r="AM149" s="344" t="str">
        <f>IF(T149="AIR","NA",IF(T149="TRENCH","NA",IF(T149="DUCT",IF(U149="1C",VLOOKUP(V149,'Catalogue Aluminium'!$Q$9:$S$28,2,FALSE),VLOOKUP(V149,'Catalogue Aluminium'!$Q$9:$S$28,3)),IF(T149="GROUND",IF(U149="1C",VLOOKUP(V149,'Catalogue Aluminium'!$Q$9:$S$28,2,FALSE),VLOOKUP(V149,'Catalogue Aluminium'!$Q$9:$S$28,3))))))</f>
        <v>NA</v>
      </c>
      <c r="AN149" s="351">
        <f t="shared" ref="AN149" si="998">IF(T149="AIR",AI149*AJ149,IF(T149="TRENCH",AI149*AJ149,IF(T149="DUCT",AJ149*AK149*AL149*AM149,IF(T149="GROUND",AJ149*AK149*AL149*AM149))))</f>
        <v>0.7209000000000001</v>
      </c>
      <c r="AO149" s="350">
        <f t="shared" ref="AO149" si="999">Z149*AN149</f>
        <v>592.57980000000009</v>
      </c>
      <c r="AP149" s="349">
        <f t="shared" si="689"/>
        <v>3</v>
      </c>
      <c r="AQ149" s="350" t="str">
        <f t="shared" ref="AQ149" si="1000">IF(AO149*AP149&gt;=N149,"YES","NO")</f>
        <v>YES</v>
      </c>
      <c r="AR149" s="351">
        <f t="shared" ref="AR149" si="1001">SQRT(3)*AH149*N149*((AA149*L149)+(AB149*SIN(ACOS(L149))))*100/(AP149*K149*1000)</f>
        <v>0.73379243160007224</v>
      </c>
      <c r="AS149" s="343" t="str">
        <f t="shared" ref="AS149" si="1002">IF(G149="INCOMER",(IF(AR149&lt;=2,"YES","NO")),IF(G149="POWER",(IF(AR149&lt;=2.5,"YES","NO")),IF(G149="MOTOR",(IF(AR149&lt;=3,"YES","NO")))))</f>
        <v>YES</v>
      </c>
      <c r="AT149" s="351" t="str">
        <f t="shared" si="913"/>
        <v>NA</v>
      </c>
      <c r="AU149" s="343" t="str">
        <f t="shared" si="914"/>
        <v>NA</v>
      </c>
      <c r="AV149" s="354" t="s">
        <v>618</v>
      </c>
      <c r="AW149" s="354" t="str">
        <f t="shared" si="916"/>
        <v>3R x 0.6/1.0kV x 1C x 630 Sqmm/Phase</v>
      </c>
      <c r="AX149" s="525">
        <f>(IF(K149=400,(IF(U149="1C",(AH149*AP149),(AH149*AP149))),IF(K149=230,(AH149*AP149))))</f>
        <v>111</v>
      </c>
      <c r="AY149" s="804"/>
      <c r="AZ149" s="355">
        <f>IF(U149="1C",(AP149*2),(AP149*2))</f>
        <v>6</v>
      </c>
      <c r="BA149" s="356" t="str">
        <f t="shared" ref="BA149:BA151" si="1003">CONCATENATE(IF(BE149=1,BE$4,""),IF(BF149=1,BF$4,""),IF(BG149=1,BG$4,""),IF(BH149=1,BH$4,""),IF(BI149=1,BI$4,""),IF(BJ149=1,BJ$4,""),IF(BK149=1,BK$4,""),IF(BL149=1,BL$4,""),IF(BM149=1,BM$4,""),IF(BN149=1,BN$4,""),IF(BO149=1,BO$4,""),IF(BP149=1,BP$4,""),IF(BQ149=1,BQ$4,""),IF(BR149=1,BR$4,""),IF(BS149=1,BS$4,""),IF(BT149=1,BT$4,""),IF(BU149=1,BU$4,""),IF(BV149=1,BV$4,""),IF(BW149=1,BW$4,""),IF(BX149=1,BX$4,""),IF(BY149=1,BY$4,""),IF(BZ149=1,BZ$4,""),IF(CA149=1,CA$4,""),IF(CC149=1,CC$4,""),IF(CD149=1,CD$4,""),IF(CE149=1,CE$4,""),IF(CF149=1,CF$4,""),IF(CG149=1,CG$4,""),IF(CH149=1,CH$4,""),IF(CI149=1,CI$4,""),IF(CJ149=1,CJ$4,""),IF(CK149=1,CK$4,""),IF(CL149=1,CL$4,""),IF(CM149=1,CM$4,""),IF(CN149=1,CN$4,""),IF(CO149=1,CO$4,""),IF(CP149=1,CP$4,""),IF(CQ149=1,CQ$4,""),IF(CR149=1,CR$4,""),IF(CS149=1,CS$4,""),IF(CT149=1,CT$4,""),IF(CU149=1,CU$4,""),IF(CV149=1,CV$4,""),IF(CW149=1,CW$4,""),IF(CX149=1,CX$4,""),IF(CY149=1,CY$4,""),IF(CZ149=1,CZ$4,""),IF(DA149=1,DA$4,""),IF(DB149=1,DB$4,""),IF(DC149=1,DC$4,""),IF(DD149=1,DD$4,""),IF(DE149=1,DE$4,""),IF(DF149=1,DF$4,""),IF(DG149=1,DG$4,""),IF(DH149=1,DH$4,""),IF(DI149=1,DI$4,""),IF(DJ149=1,DJ$4,""),IF(DK149=1,DK$4,""),IF(DL149=1,DL$4,""),IF(DM149=1,DM$4,""),IF(DN149=1,DN$4,""),IF(DO149=1,DO$4,""),IF(DP149=1,DP$4,""),IF(DQ149=1,DQ$4,""),IF(DR149=1,DR$4,""),IF(DS149=1,DS$4,""),IF(DT149=1,DT$4,""),IF(DU149=1,DU$4,""))</f>
        <v/>
      </c>
      <c r="BB149" s="501">
        <f>VLOOKUP(W149,'Catalogue Aluminium'!$B$9:$H$93,7,FALSE)</f>
        <v>42</v>
      </c>
      <c r="BC149" s="328">
        <f>IF(U149="1C",(AP149*BB149),(AP149*BB149))</f>
        <v>126</v>
      </c>
      <c r="BE149" s="336"/>
      <c r="BF149" s="336"/>
      <c r="BG149" s="336"/>
      <c r="BH149" s="336"/>
      <c r="BI149" s="336"/>
      <c r="BJ149" s="336"/>
      <c r="BK149" s="336"/>
      <c r="BL149" s="336"/>
      <c r="BM149" s="336"/>
      <c r="BN149" s="336"/>
      <c r="BO149" s="336"/>
      <c r="BP149" s="336"/>
      <c r="BQ149" s="336"/>
      <c r="BR149" s="336"/>
      <c r="BS149" s="336"/>
      <c r="BT149" s="336"/>
      <c r="BU149" s="336"/>
      <c r="BV149" s="336"/>
      <c r="BW149" s="336"/>
      <c r="BX149" s="336"/>
      <c r="BY149" s="336"/>
      <c r="BZ149" s="336"/>
      <c r="CA149" s="336"/>
      <c r="CB149" s="336"/>
      <c r="CC149" s="336"/>
      <c r="CD149" s="336"/>
      <c r="CE149" s="336"/>
      <c r="CF149" s="336"/>
      <c r="CG149" s="336"/>
      <c r="CH149" s="336"/>
      <c r="CI149" s="336"/>
      <c r="CJ149" s="336"/>
      <c r="CK149" s="336"/>
      <c r="CL149" s="336"/>
      <c r="CM149" s="336"/>
      <c r="CN149" s="336"/>
      <c r="CO149" s="336"/>
      <c r="CP149" s="336"/>
      <c r="CQ149" s="336"/>
      <c r="CR149" s="336"/>
      <c r="CS149" s="336"/>
      <c r="CT149" s="336"/>
      <c r="CU149" s="336"/>
      <c r="CV149" s="336"/>
      <c r="CW149" s="336"/>
      <c r="CX149" s="336"/>
      <c r="CY149" s="336"/>
      <c r="CZ149" s="336"/>
      <c r="DA149" s="336"/>
      <c r="DB149" s="336"/>
      <c r="DC149" s="336"/>
      <c r="DD149" s="336"/>
      <c r="DE149" s="336"/>
      <c r="DF149" s="336"/>
      <c r="DG149" s="336"/>
      <c r="DH149" s="336"/>
      <c r="DI149" s="336"/>
      <c r="DJ149" s="336"/>
      <c r="DK149" s="336"/>
      <c r="DL149" s="336"/>
      <c r="DM149" s="336"/>
      <c r="DN149" s="336"/>
      <c r="DO149" s="336"/>
      <c r="DP149" s="336"/>
      <c r="DQ149" s="336"/>
      <c r="DR149" s="336"/>
      <c r="DS149" s="336"/>
      <c r="DT149" s="336"/>
      <c r="DU149" s="336"/>
      <c r="DW149" s="336">
        <f t="shared" si="709"/>
        <v>0</v>
      </c>
      <c r="DX149" s="336">
        <f t="shared" ref="DX149:DX223" si="1004">IF(BF149=1,($BC149*BF149),0)</f>
        <v>0</v>
      </c>
      <c r="DY149" s="336">
        <f t="shared" ref="DY149:DY223" si="1005">IF(BG149=1,($BC149*BG149),0)</f>
        <v>0</v>
      </c>
      <c r="DZ149" s="336">
        <f t="shared" ref="DZ149:DZ223" si="1006">IF(BH149=1,($BC149*BH149),0)</f>
        <v>0</v>
      </c>
      <c r="EA149" s="336">
        <f t="shared" ref="EA149:EA223" si="1007">IF(BI149=1,($BC149*BI149),0)</f>
        <v>0</v>
      </c>
      <c r="EB149" s="336">
        <f t="shared" ref="EB149:EB223" si="1008">IF(BJ149=1,($BC149*BJ149),0)</f>
        <v>0</v>
      </c>
      <c r="EC149" s="336">
        <f t="shared" ref="EC149:EC223" si="1009">IF(BK149=1,($BC149*BK149),0)</f>
        <v>0</v>
      </c>
      <c r="ED149" s="336">
        <f t="shared" si="919"/>
        <v>0</v>
      </c>
      <c r="EE149" s="336">
        <f t="shared" si="920"/>
        <v>0</v>
      </c>
      <c r="EF149" s="336">
        <f t="shared" si="921"/>
        <v>0</v>
      </c>
      <c r="EG149" s="336">
        <f t="shared" si="922"/>
        <v>0</v>
      </c>
      <c r="EH149" s="336">
        <f t="shared" si="923"/>
        <v>0</v>
      </c>
      <c r="EI149" s="336">
        <f t="shared" si="924"/>
        <v>0</v>
      </c>
      <c r="EJ149" s="336">
        <f t="shared" si="925"/>
        <v>0</v>
      </c>
      <c r="EK149" s="336">
        <f t="shared" si="926"/>
        <v>0</v>
      </c>
      <c r="EL149" s="336">
        <f t="shared" si="927"/>
        <v>0</v>
      </c>
      <c r="EM149" s="336">
        <f t="shared" si="928"/>
        <v>0</v>
      </c>
      <c r="EN149" s="336">
        <f t="shared" si="929"/>
        <v>0</v>
      </c>
      <c r="EO149" s="336">
        <f t="shared" si="930"/>
        <v>0</v>
      </c>
      <c r="EP149" s="336">
        <f t="shared" si="931"/>
        <v>0</v>
      </c>
      <c r="EQ149" s="336">
        <f t="shared" si="932"/>
        <v>0</v>
      </c>
      <c r="ER149" s="336">
        <f t="shared" si="933"/>
        <v>0</v>
      </c>
      <c r="ES149" s="336">
        <f t="shared" si="934"/>
        <v>0</v>
      </c>
      <c r="ET149" s="336">
        <f t="shared" si="934"/>
        <v>0</v>
      </c>
      <c r="EU149" s="336">
        <f t="shared" si="935"/>
        <v>0</v>
      </c>
      <c r="EV149" s="336">
        <f t="shared" si="936"/>
        <v>0</v>
      </c>
      <c r="EW149" s="336">
        <f t="shared" si="937"/>
        <v>0</v>
      </c>
      <c r="EX149" s="336">
        <f t="shared" si="938"/>
        <v>0</v>
      </c>
      <c r="EY149" s="336">
        <f t="shared" si="939"/>
        <v>0</v>
      </c>
      <c r="EZ149" s="336">
        <f t="shared" si="940"/>
        <v>0</v>
      </c>
      <c r="FA149" s="336">
        <f t="shared" si="941"/>
        <v>0</v>
      </c>
      <c r="FB149" s="336">
        <f t="shared" si="942"/>
        <v>0</v>
      </c>
      <c r="FC149" s="336">
        <f t="shared" si="943"/>
        <v>0</v>
      </c>
      <c r="FD149" s="336">
        <f t="shared" si="944"/>
        <v>0</v>
      </c>
      <c r="FE149" s="336">
        <f t="shared" si="945"/>
        <v>0</v>
      </c>
      <c r="FF149" s="336">
        <f t="shared" si="946"/>
        <v>0</v>
      </c>
      <c r="FG149" s="336">
        <f t="shared" si="947"/>
        <v>0</v>
      </c>
      <c r="FH149" s="336">
        <f t="shared" si="948"/>
        <v>0</v>
      </c>
      <c r="FI149" s="336">
        <f t="shared" si="949"/>
        <v>0</v>
      </c>
      <c r="FJ149" s="336">
        <f t="shared" si="950"/>
        <v>0</v>
      </c>
      <c r="FK149" s="336">
        <f t="shared" si="951"/>
        <v>0</v>
      </c>
      <c r="FL149" s="336">
        <f t="shared" si="952"/>
        <v>0</v>
      </c>
      <c r="FM149" s="336">
        <f t="shared" si="953"/>
        <v>0</v>
      </c>
      <c r="FN149" s="336">
        <f t="shared" si="954"/>
        <v>0</v>
      </c>
      <c r="FO149" s="336">
        <f t="shared" si="955"/>
        <v>0</v>
      </c>
      <c r="FP149" s="336">
        <f t="shared" si="956"/>
        <v>0</v>
      </c>
      <c r="FQ149" s="336">
        <f t="shared" si="957"/>
        <v>0</v>
      </c>
      <c r="FR149" s="336">
        <f t="shared" si="958"/>
        <v>0</v>
      </c>
      <c r="FS149" s="336">
        <f t="shared" si="959"/>
        <v>0</v>
      </c>
      <c r="FT149" s="336">
        <f t="shared" si="960"/>
        <v>0</v>
      </c>
      <c r="FU149" s="336">
        <f t="shared" si="860"/>
        <v>0</v>
      </c>
      <c r="FV149" s="336">
        <f t="shared" si="861"/>
        <v>0</v>
      </c>
      <c r="FW149" s="336">
        <f t="shared" si="862"/>
        <v>0</v>
      </c>
      <c r="FX149" s="336">
        <f t="shared" si="863"/>
        <v>0</v>
      </c>
      <c r="FY149" s="336">
        <f t="shared" si="961"/>
        <v>0</v>
      </c>
      <c r="FZ149" s="336">
        <f t="shared" si="962"/>
        <v>0</v>
      </c>
      <c r="GA149" s="336">
        <f t="shared" si="963"/>
        <v>0</v>
      </c>
      <c r="GB149" s="336">
        <f t="shared" si="964"/>
        <v>0</v>
      </c>
      <c r="GC149" s="336">
        <f t="shared" si="965"/>
        <v>0</v>
      </c>
      <c r="GD149" s="336">
        <f t="shared" si="966"/>
        <v>0</v>
      </c>
      <c r="GE149" s="336">
        <f t="shared" si="967"/>
        <v>0</v>
      </c>
      <c r="GF149" s="336">
        <f t="shared" si="968"/>
        <v>0</v>
      </c>
      <c r="GG149" s="336">
        <f t="shared" si="969"/>
        <v>0</v>
      </c>
      <c r="GH149" s="336">
        <f t="shared" si="970"/>
        <v>0</v>
      </c>
      <c r="GI149" s="336">
        <f t="shared" si="971"/>
        <v>0</v>
      </c>
      <c r="GJ149" s="336">
        <f t="shared" si="972"/>
        <v>0</v>
      </c>
      <c r="GK149" s="336">
        <f t="shared" si="974"/>
        <v>0</v>
      </c>
      <c r="GL149" s="336">
        <f t="shared" si="975"/>
        <v>0</v>
      </c>
      <c r="GM149" s="336">
        <f t="shared" si="973"/>
        <v>0</v>
      </c>
    </row>
    <row r="150" spans="1:195" ht="32.25" customHeight="1">
      <c r="A150" s="337">
        <f t="shared" si="918"/>
        <v>108</v>
      </c>
      <c r="B150" s="526" t="s">
        <v>615</v>
      </c>
      <c r="C150" s="337" t="s">
        <v>621</v>
      </c>
      <c r="D150" s="372" t="s">
        <v>622</v>
      </c>
      <c r="E150" s="500" t="s">
        <v>335</v>
      </c>
      <c r="F150" s="516"/>
      <c r="G150" s="340" t="s">
        <v>337</v>
      </c>
      <c r="H150" s="350">
        <v>1600</v>
      </c>
      <c r="I150" s="337" t="s">
        <v>414</v>
      </c>
      <c r="J150" s="337" t="s">
        <v>331</v>
      </c>
      <c r="K150" s="349">
        <v>400</v>
      </c>
      <c r="L150" s="343">
        <v>0.84664865012052015</v>
      </c>
      <c r="M150" s="350">
        <v>0.92832394366197268</v>
      </c>
      <c r="N150" s="342">
        <f t="shared" si="901"/>
        <v>2487.7833195389812</v>
      </c>
      <c r="O150" s="342">
        <f t="shared" si="867"/>
        <v>0</v>
      </c>
      <c r="P150" s="343" t="str">
        <f>IF(G150="MOTOR",0.2,"0.00")</f>
        <v>0.00</v>
      </c>
      <c r="Q150" s="350">
        <v>65</v>
      </c>
      <c r="R150" s="350">
        <v>1</v>
      </c>
      <c r="S150" s="350">
        <f>(Q150*1000*SQRT(R150)/143)</f>
        <v>454.54545454545456</v>
      </c>
      <c r="T150" s="343" t="s">
        <v>131</v>
      </c>
      <c r="U150" s="350" t="s">
        <v>336</v>
      </c>
      <c r="V150" s="343">
        <v>630</v>
      </c>
      <c r="W150" s="343" t="str">
        <f>CONCATENATE(U150," X ",V150)</f>
        <v>1C X 630</v>
      </c>
      <c r="X150" s="343" t="str">
        <f>(IF(J150="1Ph",W150,IF(J150="3Ph",(IF(G150="MOTOR",(CONCATENATE(W150,"+PE")),W150)))))</f>
        <v>1C X 630</v>
      </c>
      <c r="Y150" s="343" t="s">
        <v>358</v>
      </c>
      <c r="Z150" s="344">
        <f>IF(T150="AIR",VLOOKUP(W150,'Catalogue Aluminium'!$B$9:$G$93,2,FALSE),IF(T150="GROUND",VLOOKUP(W150,'Catalogue Aluminium'!$B$9:$G$93,3,FALSE),IF(T150="DUCT",VLOOKUP(W150,'Catalogue Aluminium'!$B$9:$G$93,4,FALSE),IF(T150="TRENCH",VLOOKUP(W150,'Catalogue Aluminium'!$B$9:$G$93,2,FALSE)))))</f>
        <v>822</v>
      </c>
      <c r="AA150" s="345">
        <f>VLOOKUP(W150,'Catalogue Aluminium'!$B$9:$G$93,5,FALSE)</f>
        <v>0.06</v>
      </c>
      <c r="AB150" s="345">
        <f>VLOOKUP(W150,'Catalogue Aluminium'!$B$9:$G$93,6,FALSE)</f>
        <v>8.43E-2</v>
      </c>
      <c r="AC150" s="401">
        <f t="shared" ref="AC150:AC151" si="1010">27+6</f>
        <v>33</v>
      </c>
      <c r="AD150" s="457">
        <v>7</v>
      </c>
      <c r="AE150" s="401">
        <v>10</v>
      </c>
      <c r="AF150" s="401">
        <v>8</v>
      </c>
      <c r="AG150" s="401">
        <f t="shared" si="906"/>
        <v>6</v>
      </c>
      <c r="AH150" s="347">
        <f t="shared" si="907"/>
        <v>64</v>
      </c>
      <c r="AI150" s="344">
        <f>IF(T150="AIR",'Catalogue Aluminium'!$K$9,IF(T150="TRENCH",'Catalogue Aluminium'!$K$12,"NA"))</f>
        <v>0.89</v>
      </c>
      <c r="AJ150" s="342">
        <f>IF(T150="Air",(IF(U150="1C",'Catalogue Aluminium'!$L$9,'Catalogue Aluminium'!$M$9)),IF(T150="DUCT",(IF($U150="1C",'Catalogue Aluminium'!$L$10,'Catalogue Aluminium'!$M$10)),IF(T150="GROUND",(IF($U150="1C",'Catalogue Aluminium'!$L$11,'Catalogue Aluminium'!$M$11)),IF(T150="TRENCH",(IF($U150="1C",'Catalogue Aluminium'!$L$12,'Catalogue Aluminium'!$M$12))))))</f>
        <v>0.81</v>
      </c>
      <c r="AK150" s="344" t="str">
        <f>IF(T150="Air",'Catalogue Aluminium'!$N$9,IF(T150="GROUND",'Catalogue Aluminium'!$N$10,IF(T150="DUCT",'Catalogue Aluminium'!$N$11,IF(T150="TRENCH",'Catalogue Aluminium'!$N$12,"NA"))))</f>
        <v>NA</v>
      </c>
      <c r="AL150" s="344" t="str">
        <f>IF(T150="Air",(IF(U150="1C",'Catalogue Aluminium'!$O$9,'Catalogue Aluminium'!$P$9)),IF(T150="DUCT",(IF($U150="1C",'Catalogue Aluminium'!$O$10,'Catalogue Aluminium'!$P$10)),IF(T150="GROUND",(IF($U150="1C",'Catalogue Aluminium'!$O$11,'Catalogue Aluminium'!$P$11)),IF(T150="TRENCH",(IF($U150="1C",'Catalogue Aluminium'!$O$12,'Catalogue Aluminium'!$P$12))))))</f>
        <v>NA</v>
      </c>
      <c r="AM150" s="344" t="str">
        <f>IF(T150="AIR","NA",IF(T150="TRENCH","NA",IF(T150="DUCT",IF(U150="1C",VLOOKUP(V150,'Catalogue Aluminium'!$Q$9:$S$28,2,FALSE),VLOOKUP(V150,'Catalogue Aluminium'!$Q$9:$S$28,3)),IF(T150="GROUND",IF(U150="1C",VLOOKUP(V150,'Catalogue Aluminium'!$Q$9:$S$28,2,FALSE),VLOOKUP(V150,'Catalogue Aluminium'!$Q$9:$S$28,3))))))</f>
        <v>NA</v>
      </c>
      <c r="AN150" s="351">
        <f>IF(T150="AIR",AI150*AJ150,IF(T150="TRENCH",AI150*AJ150,IF(T150="DUCT",AJ150*AK150*AL150*AM150,IF(T150="GROUND",AJ150*AK150*AL150*AM150))))</f>
        <v>0.7209000000000001</v>
      </c>
      <c r="AO150" s="350">
        <f>Z150*AN150</f>
        <v>592.57980000000009</v>
      </c>
      <c r="AP150" s="349">
        <f t="shared" si="689"/>
        <v>5</v>
      </c>
      <c r="AQ150" s="350" t="str">
        <f>IF(AO150*AP150&gt;=N150,"YES","NO")</f>
        <v>YES</v>
      </c>
      <c r="AR150" s="351">
        <f>SQRT(3)*AH150*N150*((AA150*L150)+(AB150*SIN(ACOS(L150))))*100/(AP150*K150*1000)</f>
        <v>1.3190176776973752</v>
      </c>
      <c r="AS150" s="343" t="str">
        <f>IF(G150="INCOMER",(IF(AR150&lt;=2,"YES","NO")),IF(G150="POWER",(IF(AR150&lt;=2.5,"YES","NO")),IF(G150="MOTOR",(IF(AR150&lt;=3,"YES","NO")))))</f>
        <v>YES</v>
      </c>
      <c r="AT150" s="351" t="str">
        <f>IF(G150="MOTOR",(SQRT(3)*AH150*O150*((AA150*L150)+(AB150*SIN(ACOS(L150))))*100/(AP150*K150*1000)),"NA")</f>
        <v>NA</v>
      </c>
      <c r="AU150" s="343" t="str">
        <f t="shared" si="914"/>
        <v>NA</v>
      </c>
      <c r="AV150" s="354" t="str">
        <f t="shared" ref="AV150:AV157" si="1011">IF(U150="1C",CONCATENATE(AP150,"R x ",Y150,"kV x ",U150," x ",V150," Sqmm/Phase"),CONCATENATE(AP150,"R x ",0.6,"/1kV x ",U150," x ",V150," Sqmm"))</f>
        <v>5R x 0.6/1.0kV x 1C x 630 Sqmm/Phase</v>
      </c>
      <c r="AW150" s="354" t="str">
        <f t="shared" si="916"/>
        <v>5R x 0.6/1.0kV x 1C x 630 Sqmm/Phase</v>
      </c>
      <c r="AX150" s="525">
        <f>(IF(K150=400,(IF(U150="1C",(3*AH150*AP150),(AH150*AP150))),IF(K150=230,(AH150*AP150))))</f>
        <v>960</v>
      </c>
      <c r="AY150" s="804"/>
      <c r="AZ150" s="355">
        <f>IF(U150="1C",(3*AP150*2),(AP150*2))</f>
        <v>30</v>
      </c>
      <c r="BA150" s="356" t="str">
        <f t="shared" si="1003"/>
        <v/>
      </c>
      <c r="BB150" s="501">
        <f>VLOOKUP(W150,'Catalogue Aluminium'!$B$9:$H$93,7,FALSE)</f>
        <v>42</v>
      </c>
      <c r="BC150" s="328">
        <f>IF(U150="1C",(3*AP150*BB150),(AP150*BB150))</f>
        <v>630</v>
      </c>
      <c r="BE150" s="336"/>
      <c r="BF150" s="336"/>
      <c r="BG150" s="336"/>
      <c r="BH150" s="336"/>
      <c r="BI150" s="336"/>
      <c r="BJ150" s="336"/>
      <c r="BK150" s="336"/>
      <c r="BL150" s="336"/>
      <c r="BM150" s="336"/>
      <c r="BN150" s="336"/>
      <c r="BO150" s="336"/>
      <c r="BP150" s="336"/>
      <c r="BQ150" s="336"/>
      <c r="BR150" s="336"/>
      <c r="BS150" s="336"/>
      <c r="BT150" s="336"/>
      <c r="BU150" s="336"/>
      <c r="BV150" s="336"/>
      <c r="BW150" s="336"/>
      <c r="BX150" s="336"/>
      <c r="BY150" s="336"/>
      <c r="BZ150" s="336"/>
      <c r="CA150" s="336"/>
      <c r="CB150" s="336"/>
      <c r="CC150" s="336"/>
      <c r="CD150" s="336"/>
      <c r="CE150" s="336"/>
      <c r="CF150" s="336"/>
      <c r="CG150" s="336"/>
      <c r="CH150" s="336"/>
      <c r="CI150" s="336"/>
      <c r="CJ150" s="336"/>
      <c r="CK150" s="336"/>
      <c r="CL150" s="336"/>
      <c r="CM150" s="336"/>
      <c r="CN150" s="336"/>
      <c r="CO150" s="336"/>
      <c r="CP150" s="336"/>
      <c r="CQ150" s="336"/>
      <c r="CR150" s="336"/>
      <c r="CS150" s="336"/>
      <c r="CT150" s="336"/>
      <c r="CU150" s="336"/>
      <c r="CV150" s="336"/>
      <c r="CW150" s="336"/>
      <c r="CX150" s="336"/>
      <c r="CY150" s="336"/>
      <c r="CZ150" s="336"/>
      <c r="DA150" s="336"/>
      <c r="DB150" s="336"/>
      <c r="DC150" s="336"/>
      <c r="DD150" s="336"/>
      <c r="DE150" s="336"/>
      <c r="DF150" s="336"/>
      <c r="DG150" s="336"/>
      <c r="DH150" s="336"/>
      <c r="DI150" s="336"/>
      <c r="DJ150" s="336"/>
      <c r="DK150" s="336"/>
      <c r="DL150" s="336"/>
      <c r="DM150" s="336"/>
      <c r="DN150" s="336"/>
      <c r="DO150" s="336"/>
      <c r="DP150" s="336"/>
      <c r="DQ150" s="336"/>
      <c r="DR150" s="336"/>
      <c r="DS150" s="336"/>
      <c r="DT150" s="336"/>
      <c r="DU150" s="336"/>
      <c r="DW150" s="336">
        <f t="shared" ref="DW150:DW224" si="1012">IF(BE150=1,($BC150*BE150),0)</f>
        <v>0</v>
      </c>
      <c r="DX150" s="336">
        <f t="shared" si="1004"/>
        <v>0</v>
      </c>
      <c r="DY150" s="336">
        <f t="shared" si="1005"/>
        <v>0</v>
      </c>
      <c r="DZ150" s="336">
        <f t="shared" si="1006"/>
        <v>0</v>
      </c>
      <c r="EA150" s="336">
        <f t="shared" si="1007"/>
        <v>0</v>
      </c>
      <c r="EB150" s="336">
        <f t="shared" si="1008"/>
        <v>0</v>
      </c>
      <c r="EC150" s="336">
        <f t="shared" si="1009"/>
        <v>0</v>
      </c>
      <c r="ED150" s="336">
        <f t="shared" si="919"/>
        <v>0</v>
      </c>
      <c r="EE150" s="336">
        <f t="shared" si="920"/>
        <v>0</v>
      </c>
      <c r="EF150" s="336">
        <f t="shared" si="921"/>
        <v>0</v>
      </c>
      <c r="EG150" s="336">
        <f t="shared" si="922"/>
        <v>0</v>
      </c>
      <c r="EH150" s="336">
        <f t="shared" si="923"/>
        <v>0</v>
      </c>
      <c r="EI150" s="336">
        <f t="shared" si="924"/>
        <v>0</v>
      </c>
      <c r="EJ150" s="336">
        <f t="shared" si="925"/>
        <v>0</v>
      </c>
      <c r="EK150" s="336">
        <f t="shared" si="926"/>
        <v>0</v>
      </c>
      <c r="EL150" s="336">
        <f t="shared" si="927"/>
        <v>0</v>
      </c>
      <c r="EM150" s="336">
        <f t="shared" si="928"/>
        <v>0</v>
      </c>
      <c r="EN150" s="336">
        <f t="shared" si="929"/>
        <v>0</v>
      </c>
      <c r="EO150" s="336">
        <f t="shared" si="930"/>
        <v>0</v>
      </c>
      <c r="EP150" s="336">
        <f t="shared" si="931"/>
        <v>0</v>
      </c>
      <c r="EQ150" s="336">
        <f t="shared" si="932"/>
        <v>0</v>
      </c>
      <c r="ER150" s="336">
        <f t="shared" si="933"/>
        <v>0</v>
      </c>
      <c r="ES150" s="336">
        <f t="shared" si="934"/>
        <v>0</v>
      </c>
      <c r="ET150" s="336">
        <f t="shared" si="934"/>
        <v>0</v>
      </c>
      <c r="EU150" s="336">
        <f t="shared" si="935"/>
        <v>0</v>
      </c>
      <c r="EV150" s="336">
        <f t="shared" si="936"/>
        <v>0</v>
      </c>
      <c r="EW150" s="336">
        <f t="shared" si="937"/>
        <v>0</v>
      </c>
      <c r="EX150" s="336">
        <f t="shared" si="938"/>
        <v>0</v>
      </c>
      <c r="EY150" s="336">
        <f t="shared" si="939"/>
        <v>0</v>
      </c>
      <c r="EZ150" s="336">
        <f t="shared" si="940"/>
        <v>0</v>
      </c>
      <c r="FA150" s="336">
        <f t="shared" si="941"/>
        <v>0</v>
      </c>
      <c r="FB150" s="336">
        <f t="shared" si="942"/>
        <v>0</v>
      </c>
      <c r="FC150" s="336">
        <f t="shared" si="943"/>
        <v>0</v>
      </c>
      <c r="FD150" s="336">
        <f t="shared" si="944"/>
        <v>0</v>
      </c>
      <c r="FE150" s="336">
        <f t="shared" si="945"/>
        <v>0</v>
      </c>
      <c r="FF150" s="336">
        <f t="shared" si="946"/>
        <v>0</v>
      </c>
      <c r="FG150" s="336">
        <f t="shared" si="947"/>
        <v>0</v>
      </c>
      <c r="FH150" s="336">
        <f t="shared" si="948"/>
        <v>0</v>
      </c>
      <c r="FI150" s="336">
        <f t="shared" si="949"/>
        <v>0</v>
      </c>
      <c r="FJ150" s="336">
        <f t="shared" si="950"/>
        <v>0</v>
      </c>
      <c r="FK150" s="336">
        <f t="shared" si="951"/>
        <v>0</v>
      </c>
      <c r="FL150" s="336">
        <f t="shared" si="952"/>
        <v>0</v>
      </c>
      <c r="FM150" s="336">
        <f t="shared" si="953"/>
        <v>0</v>
      </c>
      <c r="FN150" s="336">
        <f t="shared" si="954"/>
        <v>0</v>
      </c>
      <c r="FO150" s="336">
        <f t="shared" si="955"/>
        <v>0</v>
      </c>
      <c r="FP150" s="336">
        <f t="shared" si="956"/>
        <v>0</v>
      </c>
      <c r="FQ150" s="336">
        <f t="shared" si="957"/>
        <v>0</v>
      </c>
      <c r="FR150" s="336">
        <f t="shared" si="958"/>
        <v>0</v>
      </c>
      <c r="FS150" s="336">
        <f t="shared" si="959"/>
        <v>0</v>
      </c>
      <c r="FT150" s="336">
        <f t="shared" si="960"/>
        <v>0</v>
      </c>
      <c r="FU150" s="336">
        <f t="shared" si="860"/>
        <v>0</v>
      </c>
      <c r="FV150" s="336">
        <f t="shared" si="861"/>
        <v>0</v>
      </c>
      <c r="FW150" s="336">
        <f t="shared" si="862"/>
        <v>0</v>
      </c>
      <c r="FX150" s="336">
        <f t="shared" si="863"/>
        <v>0</v>
      </c>
      <c r="FY150" s="336">
        <f t="shared" si="961"/>
        <v>0</v>
      </c>
      <c r="FZ150" s="336">
        <f t="shared" si="962"/>
        <v>0</v>
      </c>
      <c r="GA150" s="336">
        <f t="shared" si="963"/>
        <v>0</v>
      </c>
      <c r="GB150" s="336">
        <f t="shared" si="964"/>
        <v>0</v>
      </c>
      <c r="GC150" s="336">
        <f t="shared" si="965"/>
        <v>0</v>
      </c>
      <c r="GD150" s="336">
        <f t="shared" si="966"/>
        <v>0</v>
      </c>
      <c r="GE150" s="336">
        <f t="shared" si="967"/>
        <v>0</v>
      </c>
      <c r="GF150" s="336">
        <f t="shared" si="968"/>
        <v>0</v>
      </c>
      <c r="GG150" s="336">
        <f t="shared" si="969"/>
        <v>0</v>
      </c>
      <c r="GH150" s="336">
        <f t="shared" si="970"/>
        <v>0</v>
      </c>
      <c r="GI150" s="336">
        <f t="shared" si="971"/>
        <v>0</v>
      </c>
      <c r="GJ150" s="336">
        <f t="shared" si="972"/>
        <v>0</v>
      </c>
      <c r="GK150" s="336">
        <f t="shared" si="974"/>
        <v>0</v>
      </c>
      <c r="GL150" s="336">
        <f t="shared" si="975"/>
        <v>0</v>
      </c>
      <c r="GM150" s="336">
        <f t="shared" si="973"/>
        <v>0</v>
      </c>
    </row>
    <row r="151" spans="1:195" ht="32.25" customHeight="1">
      <c r="A151" s="337">
        <f t="shared" si="918"/>
        <v>109</v>
      </c>
      <c r="B151" s="526" t="s">
        <v>615</v>
      </c>
      <c r="C151" s="337" t="s">
        <v>621</v>
      </c>
      <c r="D151" s="372" t="s">
        <v>623</v>
      </c>
      <c r="E151" s="500" t="s">
        <v>335</v>
      </c>
      <c r="F151" s="516"/>
      <c r="G151" s="340" t="s">
        <v>337</v>
      </c>
      <c r="H151" s="350">
        <f>1600/1.732</f>
        <v>923.78752886836025</v>
      </c>
      <c r="I151" s="337" t="s">
        <v>414</v>
      </c>
      <c r="J151" s="337" t="s">
        <v>331</v>
      </c>
      <c r="K151" s="349">
        <v>400</v>
      </c>
      <c r="L151" s="343">
        <v>0.84664865012052015</v>
      </c>
      <c r="M151" s="350">
        <v>0.92832394366197268</v>
      </c>
      <c r="N151" s="342">
        <f t="shared" ref="N151" si="1013">IF(I151="kVA",IF(J151="3Ph",(H151*1000/(1.732*M151*K151)),(H151*1000/(M151*K151))),IF(I151="kW",IF(J151="3Ph",(H151*1000/(1.732*M151*K151*L151)),(H151*1000/(M151*K151*L151)))))</f>
        <v>1436.3645031980261</v>
      </c>
      <c r="O151" s="342">
        <f t="shared" ref="O151" si="1014">IF(G151="MOTOR",(6*N151),IF(G151="VFD",(1*N151),0))</f>
        <v>0</v>
      </c>
      <c r="P151" s="343" t="str">
        <f>IF(G151="MOTOR",0.2,"0.00")</f>
        <v>0.00</v>
      </c>
      <c r="Q151" s="350">
        <v>65</v>
      </c>
      <c r="R151" s="350">
        <v>1</v>
      </c>
      <c r="S151" s="350">
        <f>(Q151*1000*SQRT(R151)/143)</f>
        <v>454.54545454545456</v>
      </c>
      <c r="T151" s="343" t="s">
        <v>131</v>
      </c>
      <c r="U151" s="350" t="s">
        <v>336</v>
      </c>
      <c r="V151" s="343">
        <v>630</v>
      </c>
      <c r="W151" s="343" t="str">
        <f>CONCATENATE(U151," X ",V151)</f>
        <v>1C X 630</v>
      </c>
      <c r="X151" s="343" t="str">
        <f>(IF(J151="1Ph",W151,IF(J151="3Ph",(IF(G151="MOTOR",(CONCATENATE(W151,"+PE")),W151)))))</f>
        <v>1C X 630</v>
      </c>
      <c r="Y151" s="343" t="s">
        <v>358</v>
      </c>
      <c r="Z151" s="344">
        <f>IF(T151="AIR",VLOOKUP(W151,'Catalogue Aluminium'!$B$9:$G$93,2,FALSE),IF(T151="GROUND",VLOOKUP(W151,'Catalogue Aluminium'!$B$9:$G$93,3,FALSE),IF(T151="DUCT",VLOOKUP(W151,'Catalogue Aluminium'!$B$9:$G$93,4,FALSE),IF(T151="TRENCH",VLOOKUP(W151,'Catalogue Aluminium'!$B$9:$G$93,2,FALSE)))))</f>
        <v>822</v>
      </c>
      <c r="AA151" s="345">
        <f>VLOOKUP(W151,'Catalogue Aluminium'!$B$9:$G$93,5,FALSE)</f>
        <v>0.06</v>
      </c>
      <c r="AB151" s="345">
        <f>VLOOKUP(W151,'Catalogue Aluminium'!$B$9:$G$93,6,FALSE)</f>
        <v>8.43E-2</v>
      </c>
      <c r="AC151" s="401">
        <f t="shared" si="1010"/>
        <v>33</v>
      </c>
      <c r="AD151" s="457">
        <v>7</v>
      </c>
      <c r="AE151" s="401">
        <v>10</v>
      </c>
      <c r="AF151" s="401">
        <v>8</v>
      </c>
      <c r="AG151" s="401">
        <f t="shared" ref="AG151" si="1015">ROUNDUP((SUM(AC151:AF151)*0.1),0)</f>
        <v>6</v>
      </c>
      <c r="AH151" s="347">
        <f t="shared" ref="AH151" si="1016">SUM(AC151:AG151)</f>
        <v>64</v>
      </c>
      <c r="AI151" s="344">
        <f>IF(T151="AIR",'Catalogue Aluminium'!$K$9,IF(T151="TRENCH",'Catalogue Aluminium'!$K$12,"NA"))</f>
        <v>0.89</v>
      </c>
      <c r="AJ151" s="342">
        <f>IF(T151="Air",(IF(U151="1C",'Catalogue Aluminium'!$L$9,'Catalogue Aluminium'!$M$9)),IF(T151="DUCT",(IF($U151="1C",'Catalogue Aluminium'!$L$10,'Catalogue Aluminium'!$M$10)),IF(T151="GROUND",(IF($U151="1C",'Catalogue Aluminium'!$L$11,'Catalogue Aluminium'!$M$11)),IF(T151="TRENCH",(IF($U151="1C",'Catalogue Aluminium'!$L$12,'Catalogue Aluminium'!$M$12))))))</f>
        <v>0.81</v>
      </c>
      <c r="AK151" s="344" t="str">
        <f>IF(T151="Air",'Catalogue Aluminium'!$N$9,IF(T151="GROUND",'Catalogue Aluminium'!$N$10,IF(T151="DUCT",'Catalogue Aluminium'!$N$11,IF(T151="TRENCH",'Catalogue Aluminium'!$N$12,"NA"))))</f>
        <v>NA</v>
      </c>
      <c r="AL151" s="344" t="str">
        <f>IF(T151="Air",(IF(U151="1C",'Catalogue Aluminium'!$O$9,'Catalogue Aluminium'!$P$9)),IF(T151="DUCT",(IF($U151="1C",'Catalogue Aluminium'!$O$10,'Catalogue Aluminium'!$P$10)),IF(T151="GROUND",(IF($U151="1C",'Catalogue Aluminium'!$O$11,'Catalogue Aluminium'!$P$11)),IF(T151="TRENCH",(IF($U151="1C",'Catalogue Aluminium'!$O$12,'Catalogue Aluminium'!$P$12))))))</f>
        <v>NA</v>
      </c>
      <c r="AM151" s="344" t="str">
        <f>IF(T151="AIR","NA",IF(T151="TRENCH","NA",IF(T151="DUCT",IF(U151="1C",VLOOKUP(V151,'Catalogue Aluminium'!$Q$9:$S$28,2,FALSE),VLOOKUP(V151,'Catalogue Aluminium'!$Q$9:$S$28,3)),IF(T151="GROUND",IF(U151="1C",VLOOKUP(V151,'Catalogue Aluminium'!$Q$9:$S$28,2,FALSE),VLOOKUP(V151,'Catalogue Aluminium'!$Q$9:$S$28,3))))))</f>
        <v>NA</v>
      </c>
      <c r="AN151" s="351">
        <f>IF(T151="AIR",AI151*AJ151,IF(T151="TRENCH",AI151*AJ151,IF(T151="DUCT",AJ151*AK151*AL151*AM151,IF(T151="GROUND",AJ151*AK151*AL151*AM151))))</f>
        <v>0.7209000000000001</v>
      </c>
      <c r="AO151" s="350">
        <f>Z151*AN151</f>
        <v>592.57980000000009</v>
      </c>
      <c r="AP151" s="349">
        <f t="shared" si="689"/>
        <v>3</v>
      </c>
      <c r="AQ151" s="350" t="str">
        <f>IF(AO151*AP151&gt;=N151,"YES","NO")</f>
        <v>YES</v>
      </c>
      <c r="AR151" s="351">
        <f>SQRT(3)*AH151*N151*((AA151*L151)+(AB151*SIN(ACOS(L151))))*100/(AP151*K151*1000)</f>
        <v>1.2692625843893142</v>
      </c>
      <c r="AS151" s="343" t="str">
        <f>IF(G151="INCOMER",(IF(AR151&lt;=2,"YES","NO")),IF(G151="POWER",(IF(AR151&lt;=2.5,"YES","NO")),IF(G151="MOTOR",(IF(AR151&lt;=3,"YES","NO")))))</f>
        <v>YES</v>
      </c>
      <c r="AT151" s="351" t="str">
        <f>IF(G151="MOTOR",(SQRT(3)*AH151*O151*((AA151*L151)+(AB151*SIN(ACOS(L151))))*100/(AP151*K151*1000)),"NA")</f>
        <v>NA</v>
      </c>
      <c r="AU151" s="343" t="str">
        <f t="shared" si="914"/>
        <v>NA</v>
      </c>
      <c r="AV151" s="354" t="str">
        <f t="shared" si="1011"/>
        <v>3R x 0.6/1.0kV x 1C x 630 Sqmm/Phase</v>
      </c>
      <c r="AW151" s="354" t="str">
        <f t="shared" si="916"/>
        <v>3R x 0.6/1.0kV x 1C x 630 Sqmm/Phase</v>
      </c>
      <c r="AX151" s="525">
        <f>(IF(K151=400,(IF(U151="1C",(AH151*AP151),(AH151*AP151))),IF(K151=230,(AH151*AP151))))</f>
        <v>192</v>
      </c>
      <c r="AY151" s="804"/>
      <c r="AZ151" s="355">
        <f>IF(U151="1C",(AP151*2),(AP151*2))</f>
        <v>6</v>
      </c>
      <c r="BA151" s="356" t="str">
        <f t="shared" si="1003"/>
        <v/>
      </c>
      <c r="BB151" s="501">
        <f>VLOOKUP(W151,'Catalogue Aluminium'!$B$9:$H$93,7,FALSE)</f>
        <v>42</v>
      </c>
      <c r="BC151" s="328">
        <f>IF(U151="1C",(AP151*BB151),(AP151*BB151))</f>
        <v>126</v>
      </c>
      <c r="BE151" s="336"/>
      <c r="BF151" s="336"/>
      <c r="BG151" s="336"/>
      <c r="BH151" s="336"/>
      <c r="BI151" s="336"/>
      <c r="BJ151" s="336"/>
      <c r="BK151" s="336"/>
      <c r="BL151" s="336"/>
      <c r="BM151" s="336"/>
      <c r="BN151" s="336"/>
      <c r="BO151" s="336"/>
      <c r="BP151" s="336"/>
      <c r="BQ151" s="336"/>
      <c r="BR151" s="336"/>
      <c r="BS151" s="336"/>
      <c r="BT151" s="336"/>
      <c r="BU151" s="336"/>
      <c r="BV151" s="336"/>
      <c r="BW151" s="336"/>
      <c r="BX151" s="336"/>
      <c r="BY151" s="336"/>
      <c r="BZ151" s="336"/>
      <c r="CA151" s="336"/>
      <c r="CB151" s="336"/>
      <c r="CC151" s="336"/>
      <c r="CD151" s="336"/>
      <c r="CE151" s="336"/>
      <c r="CF151" s="336"/>
      <c r="CG151" s="336"/>
      <c r="CH151" s="336"/>
      <c r="CI151" s="336"/>
      <c r="CJ151" s="336"/>
      <c r="CK151" s="336"/>
      <c r="CL151" s="336"/>
      <c r="CM151" s="336"/>
      <c r="CN151" s="336"/>
      <c r="CO151" s="336"/>
      <c r="CP151" s="336"/>
      <c r="CQ151" s="336"/>
      <c r="CR151" s="336"/>
      <c r="CS151" s="336"/>
      <c r="CT151" s="336"/>
      <c r="CU151" s="336"/>
      <c r="CV151" s="336"/>
      <c r="CW151" s="336"/>
      <c r="CX151" s="336"/>
      <c r="CY151" s="336"/>
      <c r="CZ151" s="336"/>
      <c r="DA151" s="336"/>
      <c r="DB151" s="336"/>
      <c r="DC151" s="336"/>
      <c r="DD151" s="336"/>
      <c r="DE151" s="336"/>
      <c r="DF151" s="336"/>
      <c r="DG151" s="336"/>
      <c r="DH151" s="336"/>
      <c r="DI151" s="336"/>
      <c r="DJ151" s="336"/>
      <c r="DK151" s="336"/>
      <c r="DL151" s="336"/>
      <c r="DM151" s="336"/>
      <c r="DN151" s="336"/>
      <c r="DO151" s="336"/>
      <c r="DP151" s="336"/>
      <c r="DQ151" s="336"/>
      <c r="DR151" s="336"/>
      <c r="DS151" s="336"/>
      <c r="DT151" s="336"/>
      <c r="DU151" s="336"/>
      <c r="DW151" s="336">
        <f t="shared" si="1012"/>
        <v>0</v>
      </c>
      <c r="DX151" s="336">
        <f t="shared" si="1004"/>
        <v>0</v>
      </c>
      <c r="DY151" s="336">
        <f t="shared" si="1005"/>
        <v>0</v>
      </c>
      <c r="DZ151" s="336">
        <f t="shared" si="1006"/>
        <v>0</v>
      </c>
      <c r="EA151" s="336">
        <f t="shared" si="1007"/>
        <v>0</v>
      </c>
      <c r="EB151" s="336">
        <f t="shared" si="1008"/>
        <v>0</v>
      </c>
      <c r="EC151" s="336">
        <f t="shared" si="1009"/>
        <v>0</v>
      </c>
      <c r="ED151" s="336">
        <f t="shared" si="919"/>
        <v>0</v>
      </c>
      <c r="EE151" s="336">
        <f t="shared" si="920"/>
        <v>0</v>
      </c>
      <c r="EF151" s="336">
        <f t="shared" si="921"/>
        <v>0</v>
      </c>
      <c r="EG151" s="336">
        <f t="shared" si="922"/>
        <v>0</v>
      </c>
      <c r="EH151" s="336">
        <f t="shared" si="923"/>
        <v>0</v>
      </c>
      <c r="EI151" s="336">
        <f t="shared" si="924"/>
        <v>0</v>
      </c>
      <c r="EJ151" s="336">
        <f t="shared" si="925"/>
        <v>0</v>
      </c>
      <c r="EK151" s="336">
        <f t="shared" si="926"/>
        <v>0</v>
      </c>
      <c r="EL151" s="336">
        <f t="shared" si="927"/>
        <v>0</v>
      </c>
      <c r="EM151" s="336">
        <f t="shared" si="928"/>
        <v>0</v>
      </c>
      <c r="EN151" s="336">
        <f t="shared" si="929"/>
        <v>0</v>
      </c>
      <c r="EO151" s="336">
        <f t="shared" si="930"/>
        <v>0</v>
      </c>
      <c r="EP151" s="336">
        <f t="shared" si="931"/>
        <v>0</v>
      </c>
      <c r="EQ151" s="336">
        <f t="shared" si="932"/>
        <v>0</v>
      </c>
      <c r="ER151" s="336">
        <f t="shared" si="933"/>
        <v>0</v>
      </c>
      <c r="ES151" s="336">
        <f t="shared" si="934"/>
        <v>0</v>
      </c>
      <c r="ET151" s="336">
        <f t="shared" si="934"/>
        <v>0</v>
      </c>
      <c r="EU151" s="336">
        <f t="shared" si="935"/>
        <v>0</v>
      </c>
      <c r="EV151" s="336">
        <f t="shared" si="936"/>
        <v>0</v>
      </c>
      <c r="EW151" s="336">
        <f t="shared" si="937"/>
        <v>0</v>
      </c>
      <c r="EX151" s="336">
        <f t="shared" si="938"/>
        <v>0</v>
      </c>
      <c r="EY151" s="336">
        <f t="shared" si="939"/>
        <v>0</v>
      </c>
      <c r="EZ151" s="336">
        <f t="shared" si="940"/>
        <v>0</v>
      </c>
      <c r="FA151" s="336">
        <f t="shared" si="941"/>
        <v>0</v>
      </c>
      <c r="FB151" s="336">
        <f t="shared" si="942"/>
        <v>0</v>
      </c>
      <c r="FC151" s="336">
        <f t="shared" si="943"/>
        <v>0</v>
      </c>
      <c r="FD151" s="336">
        <f t="shared" si="944"/>
        <v>0</v>
      </c>
      <c r="FE151" s="336">
        <f t="shared" si="945"/>
        <v>0</v>
      </c>
      <c r="FF151" s="336">
        <f t="shared" si="946"/>
        <v>0</v>
      </c>
      <c r="FG151" s="336">
        <f t="shared" si="947"/>
        <v>0</v>
      </c>
      <c r="FH151" s="336">
        <f t="shared" si="948"/>
        <v>0</v>
      </c>
      <c r="FI151" s="336">
        <f t="shared" si="949"/>
        <v>0</v>
      </c>
      <c r="FJ151" s="336">
        <f t="shared" si="950"/>
        <v>0</v>
      </c>
      <c r="FK151" s="336">
        <f t="shared" si="951"/>
        <v>0</v>
      </c>
      <c r="FL151" s="336">
        <f t="shared" si="952"/>
        <v>0</v>
      </c>
      <c r="FM151" s="336">
        <f t="shared" si="953"/>
        <v>0</v>
      </c>
      <c r="FN151" s="336">
        <f t="shared" si="954"/>
        <v>0</v>
      </c>
      <c r="FO151" s="336">
        <f t="shared" si="955"/>
        <v>0</v>
      </c>
      <c r="FP151" s="336">
        <f t="shared" si="956"/>
        <v>0</v>
      </c>
      <c r="FQ151" s="336">
        <f t="shared" si="957"/>
        <v>0</v>
      </c>
      <c r="FR151" s="336">
        <f t="shared" si="958"/>
        <v>0</v>
      </c>
      <c r="FS151" s="336">
        <f t="shared" si="959"/>
        <v>0</v>
      </c>
      <c r="FT151" s="336">
        <f t="shared" si="960"/>
        <v>0</v>
      </c>
      <c r="FU151" s="336">
        <f t="shared" si="860"/>
        <v>0</v>
      </c>
      <c r="FV151" s="336">
        <f t="shared" si="861"/>
        <v>0</v>
      </c>
      <c r="FW151" s="336">
        <f t="shared" si="862"/>
        <v>0</v>
      </c>
      <c r="FX151" s="336">
        <f t="shared" si="863"/>
        <v>0</v>
      </c>
      <c r="FY151" s="336">
        <f t="shared" si="961"/>
        <v>0</v>
      </c>
      <c r="FZ151" s="336">
        <f t="shared" si="962"/>
        <v>0</v>
      </c>
      <c r="GA151" s="336">
        <f t="shared" si="963"/>
        <v>0</v>
      </c>
      <c r="GB151" s="336">
        <f t="shared" si="964"/>
        <v>0</v>
      </c>
      <c r="GC151" s="336">
        <f t="shared" si="965"/>
        <v>0</v>
      </c>
      <c r="GD151" s="336">
        <f t="shared" si="966"/>
        <v>0</v>
      </c>
      <c r="GE151" s="336">
        <f t="shared" si="967"/>
        <v>0</v>
      </c>
      <c r="GF151" s="336">
        <f t="shared" si="968"/>
        <v>0</v>
      </c>
      <c r="GG151" s="336">
        <f t="shared" si="969"/>
        <v>0</v>
      </c>
      <c r="GH151" s="336">
        <f t="shared" si="970"/>
        <v>0</v>
      </c>
      <c r="GI151" s="336">
        <f t="shared" si="971"/>
        <v>0</v>
      </c>
      <c r="GJ151" s="336">
        <f t="shared" si="972"/>
        <v>0</v>
      </c>
      <c r="GK151" s="336">
        <f t="shared" si="974"/>
        <v>0</v>
      </c>
      <c r="GL151" s="336">
        <f t="shared" si="975"/>
        <v>0</v>
      </c>
      <c r="GM151" s="336">
        <f t="shared" si="973"/>
        <v>0</v>
      </c>
    </row>
    <row r="152" spans="1:195" ht="38.25" customHeight="1">
      <c r="A152" s="388">
        <f t="shared" si="918"/>
        <v>110</v>
      </c>
      <c r="B152" s="388" t="s">
        <v>527</v>
      </c>
      <c r="C152" s="388" t="s">
        <v>489</v>
      </c>
      <c r="D152" s="787" t="s">
        <v>1664</v>
      </c>
      <c r="E152" s="502" t="s">
        <v>624</v>
      </c>
      <c r="F152" s="571" t="s">
        <v>28</v>
      </c>
      <c r="G152" s="390" t="s">
        <v>350</v>
      </c>
      <c r="H152" s="418">
        <v>25</v>
      </c>
      <c r="I152" s="388" t="s">
        <v>330</v>
      </c>
      <c r="J152" s="388" t="s">
        <v>331</v>
      </c>
      <c r="K152" s="434">
        <v>400</v>
      </c>
      <c r="L152" s="401">
        <v>0.85</v>
      </c>
      <c r="M152" s="418">
        <v>0.95</v>
      </c>
      <c r="N152" s="392">
        <f t="shared" si="901"/>
        <v>44.687864206093288</v>
      </c>
      <c r="O152" s="392">
        <f t="shared" ref="O152:O157" si="1017">IF(G152="MOTOR",(6*N152),IF(G152="VFD",(1*N152),0))</f>
        <v>268.12718523655974</v>
      </c>
      <c r="P152" s="401">
        <f t="shared" si="902"/>
        <v>0.2</v>
      </c>
      <c r="Q152" s="418">
        <v>65</v>
      </c>
      <c r="R152" s="418">
        <v>0</v>
      </c>
      <c r="S152" s="418">
        <f t="shared" si="903"/>
        <v>0</v>
      </c>
      <c r="T152" s="401" t="s">
        <v>131</v>
      </c>
      <c r="U152" s="418" t="s">
        <v>333</v>
      </c>
      <c r="V152" s="401">
        <v>95</v>
      </c>
      <c r="W152" s="401" t="str">
        <f t="shared" si="904"/>
        <v>3C X 95</v>
      </c>
      <c r="X152" s="401" t="str">
        <f t="shared" si="905"/>
        <v>3C X 95+PE</v>
      </c>
      <c r="Y152" s="401" t="s">
        <v>358</v>
      </c>
      <c r="Z152" s="393">
        <f>IF(T152="AIR",VLOOKUP(W152,'Catalogue Aluminium'!$B$9:$G$93,2,FALSE),IF(T152="GROUND",VLOOKUP(W152,'Catalogue Aluminium'!$B$9:$G$93,3,FALSE),IF(T152="DUCT",VLOOKUP(W152,'Catalogue Aluminium'!$B$9:$G$93,4,FALSE),IF(T152="TRENCH",VLOOKUP(W152,'Catalogue Aluminium'!$B$9:$G$93,2,FALSE)))))</f>
        <v>221</v>
      </c>
      <c r="AA152" s="402">
        <f>VLOOKUP(W152,'Catalogue Aluminium'!$B$9:$G$93,5,FALSE)</f>
        <v>0.41</v>
      </c>
      <c r="AB152" s="402">
        <f>VLOOKUP(W152,'Catalogue Aluminium'!$B$9:$G$93,6,FALSE)</f>
        <v>7.3400000000000007E-2</v>
      </c>
      <c r="AC152" s="401">
        <f t="shared" ref="AC152:AC153" si="1018">26+3</f>
        <v>29</v>
      </c>
      <c r="AD152" s="401">
        <f>40+50+38+50+17+(80)</f>
        <v>275</v>
      </c>
      <c r="AE152" s="401">
        <f t="shared" ref="AE152:AE158" si="1019">11+8+8+11</f>
        <v>38</v>
      </c>
      <c r="AF152" s="401">
        <v>8</v>
      </c>
      <c r="AG152" s="401">
        <f t="shared" si="906"/>
        <v>35</v>
      </c>
      <c r="AH152" s="436">
        <f t="shared" si="907"/>
        <v>385</v>
      </c>
      <c r="AI152" s="393">
        <f>IF(T152="AIR",'Catalogue Aluminium'!$K$9,IF(T152="TRENCH",'Catalogue Aluminium'!$K$12,"NA"))</f>
        <v>0.89</v>
      </c>
      <c r="AJ152" s="392">
        <f>IF(T152="Air",(IF(U152="1C",'Catalogue Aluminium'!$L$9,'Catalogue Aluminium'!$M$9)),IF(T152="DUCT",(IF($U152="1C",'Catalogue Aluminium'!$L$10,'Catalogue Aluminium'!$M$10)),IF(T152="GROUND",(IF($U152="1C",'Catalogue Aluminium'!$L$11,'Catalogue Aluminium'!$M$11)),IF(T152="TRENCH",(IF($U152="1C",'Catalogue Aluminium'!$L$12,'Catalogue Aluminium'!$M$12))))))</f>
        <v>0.66</v>
      </c>
      <c r="AK152" s="393" t="str">
        <f>IF(T152="Air",'Catalogue Aluminium'!$N$9,IF(T152="GROUND",'Catalogue Aluminium'!$N$10,IF(T152="DUCT",'Catalogue Aluminium'!$N$11,IF(T152="TRENCH",'Catalogue Aluminium'!$N$12,"NA"))))</f>
        <v>NA</v>
      </c>
      <c r="AL152" s="393" t="str">
        <f>IF(T152="Air",(IF(U152="1C",'Catalogue Aluminium'!$O$9,'Catalogue Aluminium'!$P$9)),IF(T152="DUCT",(IF($U152="1C",'Catalogue Aluminium'!$O$10,'Catalogue Aluminium'!$P$10)),IF(T152="GROUND",(IF($U152="1C",'Catalogue Aluminium'!$O$11,'Catalogue Aluminium'!$P$11)),IF(T152="TRENCH",(IF($U152="1C",'Catalogue Aluminium'!$O$12,'Catalogue Aluminium'!$P$12))))))</f>
        <v>NA</v>
      </c>
      <c r="AM152" s="393" t="str">
        <f>IF(T152="AIR","NA",IF(T152="TRENCH","NA",IF(T152="DUCT",IF(U152="1C",VLOOKUP(V152,'Catalogue Aluminium'!$Q$9:$S$28,2,FALSE),VLOOKUP(V152,'Catalogue Aluminium'!$Q$9:$S$28,3)),IF(T152="GROUND",IF(U152="1C",VLOOKUP(V152,'Catalogue Aluminium'!$Q$9:$S$28,2,FALSE),VLOOKUP(V152,'Catalogue Aluminium'!$Q$9:$S$28,3))))))</f>
        <v>NA</v>
      </c>
      <c r="AN152" s="437">
        <f t="shared" si="908"/>
        <v>0.58740000000000003</v>
      </c>
      <c r="AO152" s="418">
        <f t="shared" si="909"/>
        <v>129.81540000000001</v>
      </c>
      <c r="AP152" s="434">
        <f t="shared" ref="AP152:AP157" si="1020">CEILING(((N152)/AO152),1)</f>
        <v>1</v>
      </c>
      <c r="AQ152" s="418" t="str">
        <f t="shared" si="910"/>
        <v>YES</v>
      </c>
      <c r="AR152" s="437">
        <f t="shared" si="911"/>
        <v>2.8843503203459577</v>
      </c>
      <c r="AS152" s="401" t="str">
        <f t="shared" si="912"/>
        <v>YES</v>
      </c>
      <c r="AT152" s="437">
        <f t="shared" ref="AT152:AT157" si="1021">IF(G152="MOTOR",(SQRT(3)*AH152*O152*((AA152*P152)+(AB152*SIN(ACOS(P152))))*100/(AP152*K152*1000)),"NA")</f>
        <v>6.8800066450320747</v>
      </c>
      <c r="AU152" s="401" t="str">
        <f t="shared" si="914"/>
        <v>YES</v>
      </c>
      <c r="AV152" s="503" t="str">
        <f t="shared" si="1011"/>
        <v>1R x 0.6/1kV x 3C x 95 Sqmm</v>
      </c>
      <c r="AW152" s="503" t="str">
        <f t="shared" si="916"/>
        <v>1R x 0.6/1kV x 3C x 95+PE Sqmm</v>
      </c>
      <c r="AX152" s="401">
        <f t="shared" ref="AX152:AX157" si="1022">(IF(K152=400,(IF(U152="1C",(4*AH152*AP152),(AH152*AP152))),IF(K152=230,(AH152*AP152))))</f>
        <v>385</v>
      </c>
      <c r="AY152" s="504"/>
      <c r="AZ152" s="504">
        <f t="shared" ref="AZ152:AZ157" si="1023">IF(U152="1C",(3*AP152*2),(AP152*2))</f>
        <v>2</v>
      </c>
      <c r="BA152" s="438" t="str">
        <f t="shared" ref="BA152:BA157" si="1024">CONCATENATE(IF(BE152=1,BE$4,""),IF(BF152=1,BF$4,""),IF(BG152=1,BG$4,""),IF(BH152=1,BH$4,""),IF(BI152=1,BI$4,""),IF(BJ152=1,BJ$4,""),IF(BK152=1,BK$4,""),IF(BL152=1,BL$4,""),IF(BM152=1,BM$4,""),IF(BN152=1,BN$4,""),IF(BO152=1,BO$4,""),IF(BP152=1,BP$4,""),IF(BQ152=1,BQ$4,""),IF(BR152=1,BR$4,""),IF(BS152=1,BS$4,""),IF(BT152=1,BT$4,""),IF(BU152=1,BU$4,""),IF(BV152=1,BV$4,""),IF(BW152=1,BW$4,""),IF(BX152=1,BX$4,""),IF(BY152=1,BY$4,""),IF(BZ152=1,BZ$4,""),IF(CA152=1,CA$4,""),IF(CB152=1,CB$4,""),IF(CC152=1,CC$4,""),IF(CD152=1,CD$4,""),IF(CE152=1,CE$4,""),IF(CF152=1,CF$4,""),IF(CG152=1,CG$4,""),IF(CH152=1,CH$4,""),IF(CI152=1,CI$4,""),IF(CJ152=1,CJ$4,""),IF(CK152=1,CK$4,""),IF(CL152=1,CL$4,""),IF(CM152=1,CM$4,""),IF(CN152=1,CN$4,""),IF(CO152=1,CO$4,""),IF(CP152=1,CP$4,""),IF(CQ152=1,CQ$4,""),IF(CR152=1,CR$4,""),IF(CS152=1,CS$4,""),IF(CT152=1,CT$4,""),IF(CU152=1,CU$4,""),IF(CV152=1,CV$4,""),IF(CW152=1,CW$4,""),IF(CX152=1,CX$4,""),IF(CY152=1,CY$4,""),IF(CZ152=1,CZ$4,""),IF(DA152=1,DA$4,""),IF(DB152=1,DB$4,""),IF(DC152=1,DC$4,""),IF(DD152=1,DD$4,""),IF(DE152=1,DE$4,""),IF(DF152=1,DF$4,""),IF(DG152=1,DG$4,""),IF(DH152=1,DH$4,""),IF(DI152=1,DI$4,""),IF(DJ152=1,DJ$4,""),IF(DK152=1,DK$4,""),IF(DL152=1,DL$4,""),IF(DM152=1,DM$4,""),IF(DN152=1,DN$4,""),IF(DO152=1,DO$4,""),IF(DP152=1,DP$4,""),IF(DQ152=1,DQ$4,""),IF(DR152=1,DR$4,""),IF(DS152=1,DS$4,""),IF(DT152=1,DT$4,""),IF(DU152=1,DU$4,""))</f>
        <v>ACDEE1E2</v>
      </c>
      <c r="BB152" s="505">
        <f>VLOOKUP(W152,'Catalogue Aluminium'!$B$9:$H$93,7,FALSE)</f>
        <v>33</v>
      </c>
      <c r="BC152" s="439">
        <f t="shared" ref="BC152:BC157" si="1025">AP152*BB152</f>
        <v>33</v>
      </c>
      <c r="BE152" s="527"/>
      <c r="BF152" s="336">
        <v>1</v>
      </c>
      <c r="BG152" s="336"/>
      <c r="BH152" s="336"/>
      <c r="BI152" s="336">
        <v>1</v>
      </c>
      <c r="BJ152" s="336">
        <v>1</v>
      </c>
      <c r="BK152" s="336"/>
      <c r="BL152" s="336"/>
      <c r="BM152" s="336"/>
      <c r="BN152" s="336">
        <v>1</v>
      </c>
      <c r="BO152" s="336"/>
      <c r="BP152" s="336">
        <v>1</v>
      </c>
      <c r="BQ152" s="336">
        <v>1</v>
      </c>
      <c r="BR152" s="527"/>
      <c r="BS152" s="527"/>
      <c r="BT152" s="527"/>
      <c r="BU152" s="527"/>
      <c r="BV152" s="527"/>
      <c r="BW152" s="527"/>
      <c r="BX152" s="527"/>
      <c r="BY152" s="527"/>
      <c r="BZ152" s="527"/>
      <c r="CA152" s="527"/>
      <c r="CB152" s="527"/>
      <c r="CC152" s="527"/>
      <c r="CD152" s="527"/>
      <c r="CE152" s="527"/>
      <c r="CF152" s="527"/>
      <c r="CG152" s="527"/>
      <c r="CH152" s="527"/>
      <c r="CI152" s="527"/>
      <c r="CJ152" s="527"/>
      <c r="CK152" s="527"/>
      <c r="CL152" s="527"/>
      <c r="CM152" s="527"/>
      <c r="CN152" s="527"/>
      <c r="CO152" s="527"/>
      <c r="CP152" s="527"/>
      <c r="CQ152" s="527"/>
      <c r="CR152" s="527"/>
      <c r="CS152" s="527"/>
      <c r="CT152" s="527"/>
      <c r="CU152" s="527"/>
      <c r="CV152" s="527"/>
      <c r="CW152" s="527"/>
      <c r="CX152" s="527"/>
      <c r="CY152" s="527"/>
      <c r="CZ152" s="527"/>
      <c r="DA152" s="527"/>
      <c r="DB152" s="527"/>
      <c r="DC152" s="527"/>
      <c r="DD152" s="527"/>
      <c r="DE152" s="527"/>
      <c r="DF152" s="527"/>
      <c r="DG152" s="527"/>
      <c r="DH152" s="527"/>
      <c r="DI152" s="527"/>
      <c r="DJ152" s="527"/>
      <c r="DK152" s="527"/>
      <c r="DL152" s="527"/>
      <c r="DM152" s="527"/>
      <c r="DN152" s="527"/>
      <c r="DO152" s="527"/>
      <c r="DP152" s="527"/>
      <c r="DQ152" s="527"/>
      <c r="DR152" s="527"/>
      <c r="DS152" s="527"/>
      <c r="DT152" s="527"/>
      <c r="DU152" s="527"/>
      <c r="DW152" s="336">
        <f t="shared" si="1012"/>
        <v>0</v>
      </c>
      <c r="DX152" s="336">
        <f t="shared" si="1004"/>
        <v>33</v>
      </c>
      <c r="DY152" s="336">
        <f t="shared" si="1005"/>
        <v>0</v>
      </c>
      <c r="DZ152" s="336">
        <f t="shared" si="1006"/>
        <v>0</v>
      </c>
      <c r="EA152" s="336">
        <f t="shared" si="1007"/>
        <v>33</v>
      </c>
      <c r="EB152" s="336">
        <f t="shared" si="1008"/>
        <v>33</v>
      </c>
      <c r="EC152" s="336">
        <f t="shared" si="1009"/>
        <v>0</v>
      </c>
      <c r="ED152" s="336">
        <f t="shared" si="919"/>
        <v>0</v>
      </c>
      <c r="EE152" s="336">
        <f t="shared" si="920"/>
        <v>0</v>
      </c>
      <c r="EF152" s="336">
        <f t="shared" si="921"/>
        <v>33</v>
      </c>
      <c r="EG152" s="336">
        <f t="shared" si="922"/>
        <v>0</v>
      </c>
      <c r="EH152" s="336">
        <f t="shared" si="923"/>
        <v>33</v>
      </c>
      <c r="EI152" s="336">
        <f t="shared" si="924"/>
        <v>33</v>
      </c>
      <c r="EJ152" s="336">
        <f t="shared" si="925"/>
        <v>0</v>
      </c>
      <c r="EK152" s="336">
        <f t="shared" si="926"/>
        <v>0</v>
      </c>
      <c r="EL152" s="336">
        <f t="shared" si="927"/>
        <v>0</v>
      </c>
      <c r="EM152" s="336">
        <f t="shared" si="928"/>
        <v>0</v>
      </c>
      <c r="EN152" s="336">
        <f t="shared" si="929"/>
        <v>0</v>
      </c>
      <c r="EO152" s="336">
        <f t="shared" si="930"/>
        <v>0</v>
      </c>
      <c r="EP152" s="336">
        <f t="shared" si="931"/>
        <v>0</v>
      </c>
      <c r="EQ152" s="336">
        <f t="shared" si="932"/>
        <v>0</v>
      </c>
      <c r="ER152" s="336">
        <f t="shared" si="933"/>
        <v>0</v>
      </c>
      <c r="ES152" s="336">
        <f t="shared" si="934"/>
        <v>0</v>
      </c>
      <c r="ET152" s="336">
        <f t="shared" si="934"/>
        <v>0</v>
      </c>
      <c r="EU152" s="336">
        <f t="shared" si="935"/>
        <v>0</v>
      </c>
      <c r="EV152" s="336">
        <f t="shared" si="936"/>
        <v>0</v>
      </c>
      <c r="EW152" s="336">
        <f t="shared" si="937"/>
        <v>0</v>
      </c>
      <c r="EX152" s="336">
        <f t="shared" si="938"/>
        <v>0</v>
      </c>
      <c r="EY152" s="336">
        <f t="shared" si="939"/>
        <v>0</v>
      </c>
      <c r="EZ152" s="336">
        <f t="shared" si="940"/>
        <v>0</v>
      </c>
      <c r="FA152" s="336">
        <f t="shared" si="941"/>
        <v>0</v>
      </c>
      <c r="FB152" s="336">
        <f t="shared" si="942"/>
        <v>0</v>
      </c>
      <c r="FC152" s="336">
        <f t="shared" si="943"/>
        <v>0</v>
      </c>
      <c r="FD152" s="336">
        <f t="shared" si="944"/>
        <v>0</v>
      </c>
      <c r="FE152" s="336">
        <f t="shared" si="945"/>
        <v>0</v>
      </c>
      <c r="FF152" s="336">
        <f t="shared" si="946"/>
        <v>0</v>
      </c>
      <c r="FG152" s="336">
        <f t="shared" si="947"/>
        <v>0</v>
      </c>
      <c r="FH152" s="336">
        <f t="shared" si="948"/>
        <v>0</v>
      </c>
      <c r="FI152" s="336">
        <f t="shared" si="949"/>
        <v>0</v>
      </c>
      <c r="FJ152" s="336">
        <f t="shared" si="950"/>
        <v>0</v>
      </c>
      <c r="FK152" s="336">
        <f t="shared" si="951"/>
        <v>0</v>
      </c>
      <c r="FL152" s="336">
        <f t="shared" si="952"/>
        <v>0</v>
      </c>
      <c r="FM152" s="336">
        <f t="shared" si="953"/>
        <v>0</v>
      </c>
      <c r="FN152" s="336">
        <f t="shared" si="954"/>
        <v>0</v>
      </c>
      <c r="FO152" s="336">
        <f t="shared" si="955"/>
        <v>0</v>
      </c>
      <c r="FP152" s="336">
        <f t="shared" si="956"/>
        <v>0</v>
      </c>
      <c r="FQ152" s="336">
        <f t="shared" si="957"/>
        <v>0</v>
      </c>
      <c r="FR152" s="336">
        <f t="shared" si="958"/>
        <v>0</v>
      </c>
      <c r="FS152" s="336">
        <f t="shared" si="959"/>
        <v>0</v>
      </c>
      <c r="FT152" s="336">
        <f t="shared" si="960"/>
        <v>0</v>
      </c>
      <c r="FU152" s="336">
        <f t="shared" si="860"/>
        <v>0</v>
      </c>
      <c r="FV152" s="336">
        <f t="shared" si="861"/>
        <v>0</v>
      </c>
      <c r="FW152" s="336">
        <f t="shared" si="862"/>
        <v>0</v>
      </c>
      <c r="FX152" s="336">
        <f t="shared" si="863"/>
        <v>0</v>
      </c>
      <c r="FY152" s="336">
        <f t="shared" si="961"/>
        <v>0</v>
      </c>
      <c r="FZ152" s="336">
        <f t="shared" si="962"/>
        <v>0</v>
      </c>
      <c r="GA152" s="336">
        <f t="shared" si="963"/>
        <v>0</v>
      </c>
      <c r="GB152" s="336">
        <f t="shared" si="964"/>
        <v>0</v>
      </c>
      <c r="GC152" s="336">
        <f t="shared" si="965"/>
        <v>0</v>
      </c>
      <c r="GD152" s="336">
        <f t="shared" si="966"/>
        <v>0</v>
      </c>
      <c r="GE152" s="336">
        <f t="shared" si="967"/>
        <v>0</v>
      </c>
      <c r="GF152" s="336">
        <f t="shared" si="968"/>
        <v>0</v>
      </c>
      <c r="GG152" s="336">
        <f t="shared" si="969"/>
        <v>0</v>
      </c>
      <c r="GH152" s="336">
        <f t="shared" si="970"/>
        <v>0</v>
      </c>
      <c r="GI152" s="336">
        <f t="shared" si="971"/>
        <v>0</v>
      </c>
      <c r="GJ152" s="336">
        <f t="shared" si="972"/>
        <v>0</v>
      </c>
      <c r="GK152" s="336">
        <f t="shared" si="974"/>
        <v>0</v>
      </c>
      <c r="GL152" s="336">
        <f t="shared" si="975"/>
        <v>0</v>
      </c>
      <c r="GM152" s="336">
        <f t="shared" si="973"/>
        <v>0</v>
      </c>
    </row>
    <row r="153" spans="1:195" ht="38.25" customHeight="1">
      <c r="A153" s="337">
        <f t="shared" si="918"/>
        <v>111</v>
      </c>
      <c r="B153" s="388" t="s">
        <v>527</v>
      </c>
      <c r="C153" s="388" t="s">
        <v>489</v>
      </c>
      <c r="D153" s="787" t="s">
        <v>1665</v>
      </c>
      <c r="E153" s="502" t="s">
        <v>624</v>
      </c>
      <c r="F153" s="571" t="s">
        <v>28</v>
      </c>
      <c r="G153" s="390" t="s">
        <v>329</v>
      </c>
      <c r="H153" s="396">
        <v>0.2</v>
      </c>
      <c r="I153" s="388" t="s">
        <v>330</v>
      </c>
      <c r="J153" s="388" t="s">
        <v>357</v>
      </c>
      <c r="K153" s="434">
        <v>230</v>
      </c>
      <c r="L153" s="401">
        <v>0.85</v>
      </c>
      <c r="M153" s="418">
        <v>0.95</v>
      </c>
      <c r="N153" s="392">
        <f t="shared" si="901"/>
        <v>1.0768609503297888</v>
      </c>
      <c r="O153" s="392">
        <f t="shared" si="1017"/>
        <v>0</v>
      </c>
      <c r="P153" s="401" t="str">
        <f t="shared" si="902"/>
        <v>0.00</v>
      </c>
      <c r="Q153" s="418">
        <v>65</v>
      </c>
      <c r="R153" s="418">
        <v>0</v>
      </c>
      <c r="S153" s="418">
        <f t="shared" si="903"/>
        <v>0</v>
      </c>
      <c r="T153" s="401" t="s">
        <v>131</v>
      </c>
      <c r="U153" s="418" t="s">
        <v>333</v>
      </c>
      <c r="V153" s="401">
        <v>4</v>
      </c>
      <c r="W153" s="401" t="str">
        <f t="shared" si="904"/>
        <v>3C X 4</v>
      </c>
      <c r="X153" s="401" t="str">
        <f t="shared" ref="X153" si="1026">(IF(J153="1Ph",W153,IF(J153="3Ph",(IF(G153="MOTOR",(CONCATENATE(W153,"+PE")),W153)))))</f>
        <v>3C X 4</v>
      </c>
      <c r="Y153" s="401" t="s">
        <v>358</v>
      </c>
      <c r="Z153" s="393">
        <f>IF(T153="AIR",VLOOKUP(W153,'Catalogue Aluminium'!$B$9:$G$93,2,FALSE),IF(T153="GROUND",VLOOKUP(W153,'Catalogue Aluminium'!$B$9:$G$93,3,FALSE),IF(T153="DUCT",VLOOKUP(W153,'Catalogue Aluminium'!$B$9:$G$93,4,FALSE),IF(T153="TRENCH",VLOOKUP(W153,'Catalogue Aluminium'!$B$9:$G$93,2,FALSE)))))</f>
        <v>38</v>
      </c>
      <c r="AA153" s="402">
        <f>VLOOKUP(W153,'Catalogue Aluminium'!$B$9:$G$93,5,FALSE)</f>
        <v>5.9</v>
      </c>
      <c r="AB153" s="402">
        <f>VLOOKUP(W153,'Catalogue Aluminium'!$B$9:$G$93,6,FALSE)</f>
        <v>9.4700000000000006E-2</v>
      </c>
      <c r="AC153" s="401">
        <f t="shared" si="1018"/>
        <v>29</v>
      </c>
      <c r="AD153" s="401">
        <f>40+50+38+50+17+(80)</f>
        <v>275</v>
      </c>
      <c r="AE153" s="401">
        <f t="shared" si="1019"/>
        <v>38</v>
      </c>
      <c r="AF153" s="401">
        <v>8</v>
      </c>
      <c r="AG153" s="401">
        <f t="shared" ref="AG153" si="1027">ROUNDUP((SUM(AC153:AF153)*0.1),0)</f>
        <v>35</v>
      </c>
      <c r="AH153" s="436">
        <f t="shared" ref="AH153" si="1028">SUM(AC153:AG153)</f>
        <v>385</v>
      </c>
      <c r="AI153" s="393">
        <f>IF(T153="AIR",'Catalogue Aluminium'!$K$9,IF(T153="TRENCH",'Catalogue Aluminium'!$K$12,"NA"))</f>
        <v>0.89</v>
      </c>
      <c r="AJ153" s="392">
        <f>IF(T153="Air",(IF(U153="1C",'Catalogue Aluminium'!$L$9,'Catalogue Aluminium'!$M$9)),IF(T153="DUCT",(IF($U153="1C",'Catalogue Aluminium'!$L$10,'Catalogue Aluminium'!$M$10)),IF(T153="GROUND",(IF($U153="1C",'Catalogue Aluminium'!$L$11,'Catalogue Aluminium'!$M$11)),IF(T153="TRENCH",(IF($U153="1C",'Catalogue Aluminium'!$L$12,'Catalogue Aluminium'!$M$12))))))</f>
        <v>0.66</v>
      </c>
      <c r="AK153" s="393" t="str">
        <f>IF(T153="Air",'Catalogue Aluminium'!$N$9,IF(T153="GROUND",'Catalogue Aluminium'!$N$10,IF(T153="DUCT",'Catalogue Aluminium'!$N$11,IF(T153="TRENCH",'Catalogue Aluminium'!$N$12,"NA"))))</f>
        <v>NA</v>
      </c>
      <c r="AL153" s="393" t="str">
        <f>IF(T153="Air",(IF(U153="1C",'Catalogue Aluminium'!$O$9,'Catalogue Aluminium'!$P$9)),IF(T153="DUCT",(IF($U153="1C",'Catalogue Aluminium'!$O$10,'Catalogue Aluminium'!$P$10)),IF(T153="GROUND",(IF($U153="1C",'Catalogue Aluminium'!$O$11,'Catalogue Aluminium'!$P$11)),IF(T153="TRENCH",(IF($U153="1C",'Catalogue Aluminium'!$O$12,'Catalogue Aluminium'!$P$12))))))</f>
        <v>NA</v>
      </c>
      <c r="AM153" s="393" t="str">
        <f>IF(T153="AIR","NA",IF(T153="TRENCH","NA",IF(T153="DUCT",IF(U153="1C",VLOOKUP(V153,'Catalogue Aluminium'!$Q$9:$S$28,2,FALSE),VLOOKUP(V153,'Catalogue Aluminium'!$Q$9:$S$28,3)),IF(T153="GROUND",IF(U153="1C",VLOOKUP(V153,'Catalogue Aluminium'!$Q$9:$S$28,2,FALSE),VLOOKUP(V153,'Catalogue Aluminium'!$Q$9:$S$28,3))))))</f>
        <v>NA</v>
      </c>
      <c r="AN153" s="437">
        <f t="shared" ref="AN153" si="1029">IF(T153="AIR",AI153*AJ153,IF(T153="TRENCH",AI153*AJ153,IF(T153="DUCT",AJ153*AK153*AL153*AM153,IF(T153="GROUND",AJ153*AK153*AL153*AM153))))</f>
        <v>0.58740000000000003</v>
      </c>
      <c r="AO153" s="418">
        <f t="shared" ref="AO153" si="1030">Z153*AN153</f>
        <v>22.321200000000001</v>
      </c>
      <c r="AP153" s="434">
        <f t="shared" ref="AP153" si="1031">CEILING(((N153)/AO153),1)</f>
        <v>1</v>
      </c>
      <c r="AQ153" s="418" t="str">
        <f t="shared" ref="AQ153" si="1032">IF(AO153*AP153&gt;=N153,"YES","NO")</f>
        <v>YES</v>
      </c>
      <c r="AR153" s="437">
        <f t="shared" ref="AR153" si="1033">SQRT(3)*AH153*N153*((AA153*L153)+(AB153*SIN(ACOS(L153))))*100/(AP153*K153*1000)</f>
        <v>1.5813312436244849</v>
      </c>
      <c r="AS153" s="401" t="str">
        <f t="shared" ref="AS153" si="1034">IF(G153="INCOMER",(IF(AR153&lt;=2,"YES","NO")),IF(G153="POWER",(IF(AR153&lt;=2.5,"YES","NO")),IF(G153="MOTOR",(IF(AR153&lt;=3,"YES","NO")))))</f>
        <v>YES</v>
      </c>
      <c r="AT153" s="437" t="str">
        <f t="shared" si="1021"/>
        <v>NA</v>
      </c>
      <c r="AU153" s="401" t="str">
        <f t="shared" si="914"/>
        <v>NA</v>
      </c>
      <c r="AV153" s="503" t="str">
        <f t="shared" si="1011"/>
        <v>1R x 0.6/1kV x 3C x 4 Sqmm</v>
      </c>
      <c r="AW153" s="503" t="str">
        <f t="shared" si="916"/>
        <v>1R x 0.6/1kV x 3C x 4 Sqmm</v>
      </c>
      <c r="AX153" s="401">
        <f t="shared" si="1022"/>
        <v>385</v>
      </c>
      <c r="AY153" s="504"/>
      <c r="AZ153" s="504">
        <f t="shared" si="1023"/>
        <v>2</v>
      </c>
      <c r="BA153" s="438" t="str">
        <f t="shared" si="1024"/>
        <v>ACDEE1E2</v>
      </c>
      <c r="BB153" s="505">
        <f>VLOOKUP(W153,'Catalogue Aluminium'!$B$9:$H$93,7,FALSE)</f>
        <v>15</v>
      </c>
      <c r="BC153" s="439">
        <f t="shared" si="1025"/>
        <v>15</v>
      </c>
      <c r="BE153" s="527"/>
      <c r="BF153" s="336">
        <v>1</v>
      </c>
      <c r="BG153" s="336"/>
      <c r="BH153" s="336"/>
      <c r="BI153" s="336">
        <v>1</v>
      </c>
      <c r="BJ153" s="336">
        <v>1</v>
      </c>
      <c r="BK153" s="336"/>
      <c r="BL153" s="336"/>
      <c r="BM153" s="336"/>
      <c r="BN153" s="336">
        <v>1</v>
      </c>
      <c r="BO153" s="336"/>
      <c r="BP153" s="336">
        <v>1</v>
      </c>
      <c r="BQ153" s="336">
        <v>1</v>
      </c>
      <c r="BR153" s="527"/>
      <c r="BS153" s="527"/>
      <c r="BT153" s="527"/>
      <c r="BU153" s="527"/>
      <c r="BV153" s="527"/>
      <c r="BW153" s="527"/>
      <c r="BX153" s="527"/>
      <c r="BY153" s="527"/>
      <c r="BZ153" s="527"/>
      <c r="CA153" s="527"/>
      <c r="CB153" s="527"/>
      <c r="CC153" s="527"/>
      <c r="CD153" s="527"/>
      <c r="CE153" s="527"/>
      <c r="CF153" s="527"/>
      <c r="CG153" s="527"/>
      <c r="CH153" s="527"/>
      <c r="CI153" s="527"/>
      <c r="CJ153" s="527"/>
      <c r="CK153" s="527"/>
      <c r="CL153" s="527"/>
      <c r="CM153" s="527"/>
      <c r="CN153" s="527"/>
      <c r="CO153" s="527"/>
      <c r="CP153" s="527"/>
      <c r="CQ153" s="527"/>
      <c r="CR153" s="527"/>
      <c r="CS153" s="527"/>
      <c r="CT153" s="527"/>
      <c r="CU153" s="527"/>
      <c r="CV153" s="527"/>
      <c r="CW153" s="527"/>
      <c r="CX153" s="527"/>
      <c r="CY153" s="527"/>
      <c r="CZ153" s="527"/>
      <c r="DA153" s="527"/>
      <c r="DB153" s="527"/>
      <c r="DC153" s="527"/>
      <c r="DD153" s="527"/>
      <c r="DE153" s="527"/>
      <c r="DF153" s="527"/>
      <c r="DG153" s="527"/>
      <c r="DH153" s="527"/>
      <c r="DI153" s="527"/>
      <c r="DJ153" s="527"/>
      <c r="DK153" s="527"/>
      <c r="DL153" s="527"/>
      <c r="DM153" s="527"/>
      <c r="DN153" s="527"/>
      <c r="DO153" s="527"/>
      <c r="DP153" s="527"/>
      <c r="DQ153" s="527"/>
      <c r="DR153" s="527"/>
      <c r="DS153" s="527"/>
      <c r="DT153" s="527"/>
      <c r="DU153" s="527"/>
      <c r="DW153" s="336">
        <f t="shared" ref="DW153" si="1035">IF(BE153=1,($BC153*BE153),0)</f>
        <v>0</v>
      </c>
      <c r="DX153" s="336">
        <f t="shared" ref="DX153" si="1036">IF(BF153=1,($BC153*BF153),0)</f>
        <v>15</v>
      </c>
      <c r="DY153" s="336">
        <f t="shared" ref="DY153" si="1037">IF(BG153=1,($BC153*BG153),0)</f>
        <v>0</v>
      </c>
      <c r="DZ153" s="336">
        <f t="shared" ref="DZ153" si="1038">IF(BH153=1,($BC153*BH153),0)</f>
        <v>0</v>
      </c>
      <c r="EA153" s="336">
        <f t="shared" ref="EA153" si="1039">IF(BI153=1,($BC153*BI153),0)</f>
        <v>15</v>
      </c>
      <c r="EB153" s="336">
        <f t="shared" ref="EB153" si="1040">IF(BJ153=1,($BC153*BJ153),0)</f>
        <v>15</v>
      </c>
      <c r="EC153" s="336">
        <f t="shared" ref="EC153" si="1041">IF(BK153=1,($BC153*BK153),0)</f>
        <v>0</v>
      </c>
      <c r="ED153" s="336">
        <f t="shared" ref="ED153" si="1042">IF(BL153=1,($BC153*BL153),0)</f>
        <v>0</v>
      </c>
      <c r="EE153" s="336">
        <f t="shared" ref="EE153" si="1043">IF(BM153=1,($BC153*BM153),0)</f>
        <v>0</v>
      </c>
      <c r="EF153" s="336">
        <f t="shared" ref="EF153" si="1044">IF(BN153=1,($BC153*BN153),0)</f>
        <v>15</v>
      </c>
      <c r="EG153" s="336">
        <f t="shared" ref="EG153" si="1045">IF(BO153=1,($BC153*BO153),0)</f>
        <v>0</v>
      </c>
      <c r="EH153" s="336">
        <f t="shared" ref="EH153" si="1046">IF(BP153=1,($BC153*BP153),0)</f>
        <v>15</v>
      </c>
      <c r="EI153" s="336">
        <f t="shared" ref="EI153" si="1047">IF(BQ153=1,($BC153*BQ153),0)</f>
        <v>15</v>
      </c>
      <c r="EJ153" s="336">
        <f t="shared" ref="EJ153" si="1048">IF(BR153=1,($BC153*BR153),0)</f>
        <v>0</v>
      </c>
      <c r="EK153" s="336">
        <f t="shared" ref="EK153" si="1049">IF(BS153=1,($BC153*BS153),0)</f>
        <v>0</v>
      </c>
      <c r="EL153" s="336">
        <f t="shared" ref="EL153" si="1050">IF(BT153=1,($BC153*BT153),0)</f>
        <v>0</v>
      </c>
      <c r="EM153" s="336">
        <f t="shared" ref="EM153" si="1051">IF(BU153=1,($BC153*BU153),0)</f>
        <v>0</v>
      </c>
      <c r="EN153" s="336">
        <f t="shared" ref="EN153" si="1052">IF(BV153=1,($BC153*BV153),0)</f>
        <v>0</v>
      </c>
      <c r="EO153" s="336">
        <f t="shared" ref="EO153" si="1053">IF(BW153=1,($BC153*BW153),0)</f>
        <v>0</v>
      </c>
      <c r="EP153" s="336">
        <f t="shared" ref="EP153" si="1054">IF(BX153=1,($BC153*BX153),0)</f>
        <v>0</v>
      </c>
      <c r="EQ153" s="336">
        <f t="shared" ref="EQ153" si="1055">IF(BY153=1,($BC153*BY153),0)</f>
        <v>0</v>
      </c>
      <c r="ER153" s="336">
        <f t="shared" ref="ER153" si="1056">IF(BZ153=1,($BC153*BZ153),0)</f>
        <v>0</v>
      </c>
      <c r="ES153" s="336">
        <f t="shared" ref="ES153" si="1057">IF(CA153=1,($BC153*CA153),0)</f>
        <v>0</v>
      </c>
      <c r="ET153" s="336">
        <f t="shared" si="934"/>
        <v>0</v>
      </c>
      <c r="EU153" s="336">
        <f t="shared" ref="EU153" si="1058">IF(CC153=1,($BC153*CC153),0)</f>
        <v>0</v>
      </c>
      <c r="EV153" s="336">
        <f t="shared" ref="EV153" si="1059">IF(CD153=1,($BC153*CD153),0)</f>
        <v>0</v>
      </c>
      <c r="EW153" s="336">
        <f t="shared" ref="EW153" si="1060">IF(CE153=1,($BC153*CE153),0)</f>
        <v>0</v>
      </c>
      <c r="EX153" s="336">
        <f t="shared" ref="EX153" si="1061">IF(CF153=1,($BC153*CF153),0)</f>
        <v>0</v>
      </c>
      <c r="EY153" s="336">
        <f t="shared" ref="EY153" si="1062">IF(CG153=1,($BC153*CG153),0)</f>
        <v>0</v>
      </c>
      <c r="EZ153" s="336">
        <f t="shared" ref="EZ153" si="1063">IF(CH153=1,($BC153*CH153),0)</f>
        <v>0</v>
      </c>
      <c r="FA153" s="336">
        <f t="shared" ref="FA153" si="1064">IF(CI153=1,($BC153*CI153),0)</f>
        <v>0</v>
      </c>
      <c r="FB153" s="336">
        <f t="shared" ref="FB153" si="1065">IF(CJ153=1,($BC153*CJ153),0)</f>
        <v>0</v>
      </c>
      <c r="FC153" s="336">
        <f t="shared" ref="FC153" si="1066">IF(CK153=1,($BC153*CK153),0)</f>
        <v>0</v>
      </c>
      <c r="FD153" s="336">
        <f t="shared" ref="FD153" si="1067">IF(CL153=1,($BC153*CL153),0)</f>
        <v>0</v>
      </c>
      <c r="FE153" s="336">
        <f t="shared" ref="FE153" si="1068">IF(CM153=1,($BC153*CM153),0)</f>
        <v>0</v>
      </c>
      <c r="FF153" s="336">
        <f t="shared" ref="FF153" si="1069">IF(CN153=1,($BC153*CN153),0)</f>
        <v>0</v>
      </c>
      <c r="FG153" s="336">
        <f t="shared" ref="FG153" si="1070">IF(CO153=1,($BC153*CO153),0)</f>
        <v>0</v>
      </c>
      <c r="FH153" s="336">
        <f t="shared" ref="FH153" si="1071">IF(CP153=1,($BC153*CP153),0)</f>
        <v>0</v>
      </c>
      <c r="FI153" s="336">
        <f t="shared" ref="FI153" si="1072">IF(CQ153=1,($BC153*CQ153),0)</f>
        <v>0</v>
      </c>
      <c r="FJ153" s="336">
        <f t="shared" ref="FJ153" si="1073">IF(CR153=1,($BC153*CR153),0)</f>
        <v>0</v>
      </c>
      <c r="FK153" s="336">
        <f t="shared" ref="FK153" si="1074">IF(CS153=1,($BC153*CS153),0)</f>
        <v>0</v>
      </c>
      <c r="FL153" s="336">
        <f t="shared" ref="FL153" si="1075">IF(CT153=1,($BC153*CT153),0)</f>
        <v>0</v>
      </c>
      <c r="FM153" s="336">
        <f t="shared" ref="FM153" si="1076">IF(CU153=1,($BC153*CU153),0)</f>
        <v>0</v>
      </c>
      <c r="FN153" s="336">
        <f t="shared" ref="FN153" si="1077">IF(CV153=1,($BC153*CV153),0)</f>
        <v>0</v>
      </c>
      <c r="FO153" s="336">
        <f t="shared" ref="FO153" si="1078">IF(CW153=1,($BC153*CW153),0)</f>
        <v>0</v>
      </c>
      <c r="FP153" s="336">
        <f t="shared" ref="FP153" si="1079">IF(CX153=1,($BC153*CX153),0)</f>
        <v>0</v>
      </c>
      <c r="FQ153" s="336">
        <f t="shared" ref="FQ153" si="1080">IF(CY153=1,($BC153*CY153),0)</f>
        <v>0</v>
      </c>
      <c r="FR153" s="336">
        <f t="shared" ref="FR153" si="1081">IF(CZ153=1,($BC153*CZ153),0)</f>
        <v>0</v>
      </c>
      <c r="FS153" s="336">
        <f t="shared" ref="FS153" si="1082">IF(DA153=1,($BC153*DA153),0)</f>
        <v>0</v>
      </c>
      <c r="FT153" s="336">
        <f t="shared" ref="FT153" si="1083">IF(DB153=1,($BC153*DB153),0)</f>
        <v>0</v>
      </c>
      <c r="FU153" s="336">
        <f t="shared" si="860"/>
        <v>0</v>
      </c>
      <c r="FV153" s="336">
        <f t="shared" si="861"/>
        <v>0</v>
      </c>
      <c r="FW153" s="336">
        <f t="shared" si="862"/>
        <v>0</v>
      </c>
      <c r="FX153" s="336">
        <f t="shared" si="863"/>
        <v>0</v>
      </c>
      <c r="FY153" s="336">
        <f t="shared" ref="FY153" si="1084">IF(DG153=1,($BC153*DG153),0)</f>
        <v>0</v>
      </c>
      <c r="FZ153" s="336">
        <f t="shared" ref="FZ153" si="1085">IF(DH153=1,($BC153*DH153),0)</f>
        <v>0</v>
      </c>
      <c r="GA153" s="336">
        <f t="shared" ref="GA153" si="1086">IF(DI153=1,($BC153*DI153),0)</f>
        <v>0</v>
      </c>
      <c r="GB153" s="336">
        <f t="shared" ref="GB153" si="1087">IF(DJ153=1,($BC153*DJ153),0)</f>
        <v>0</v>
      </c>
      <c r="GC153" s="336">
        <f t="shared" ref="GC153" si="1088">IF(DK153=1,($BC153*DK153),0)</f>
        <v>0</v>
      </c>
      <c r="GD153" s="336">
        <f t="shared" ref="GD153" si="1089">IF(DL153=1,($BC153*DL153),0)</f>
        <v>0</v>
      </c>
      <c r="GE153" s="336">
        <f t="shared" ref="GE153" si="1090">IF(DM153=1,($BC153*DM153),0)</f>
        <v>0</v>
      </c>
      <c r="GF153" s="336">
        <f t="shared" ref="GF153" si="1091">IF(DN153=1,($BC153*DN153),0)</f>
        <v>0</v>
      </c>
      <c r="GG153" s="336">
        <f t="shared" ref="GG153" si="1092">IF(DO153=1,($BC153*DO153),0)</f>
        <v>0</v>
      </c>
      <c r="GH153" s="336">
        <f t="shared" ref="GH153" si="1093">IF(DP153=1,($BC153*DP153),0)</f>
        <v>0</v>
      </c>
      <c r="GI153" s="336">
        <f t="shared" ref="GI153" si="1094">IF(DQ153=1,($BC153*DQ153),0)</f>
        <v>0</v>
      </c>
      <c r="GJ153" s="336">
        <f t="shared" ref="GJ153" si="1095">IF(DR153=1,($BC153*DR153),0)</f>
        <v>0</v>
      </c>
      <c r="GK153" s="336">
        <f t="shared" ref="GK153" si="1096">IF(DS153=1,($BC153*DS153),0)</f>
        <v>0</v>
      </c>
      <c r="GL153" s="336">
        <f t="shared" si="975"/>
        <v>0</v>
      </c>
      <c r="GM153" s="336">
        <f t="shared" ref="GM153" si="1097">IF(DU153=1,($BC153*DU153),0)</f>
        <v>0</v>
      </c>
    </row>
    <row r="154" spans="1:195" ht="38.25" customHeight="1">
      <c r="A154" s="388">
        <f>1+A152</f>
        <v>111</v>
      </c>
      <c r="B154" s="388" t="s">
        <v>527</v>
      </c>
      <c r="C154" s="388" t="s">
        <v>489</v>
      </c>
      <c r="D154" s="787" t="s">
        <v>1666</v>
      </c>
      <c r="E154" s="502" t="s">
        <v>625</v>
      </c>
      <c r="F154" s="578" t="s">
        <v>29</v>
      </c>
      <c r="G154" s="390" t="s">
        <v>350</v>
      </c>
      <c r="H154" s="418">
        <v>25</v>
      </c>
      <c r="I154" s="388" t="s">
        <v>330</v>
      </c>
      <c r="J154" s="388" t="s">
        <v>331</v>
      </c>
      <c r="K154" s="434">
        <v>400</v>
      </c>
      <c r="L154" s="401">
        <v>0.85</v>
      </c>
      <c r="M154" s="418">
        <v>0.95</v>
      </c>
      <c r="N154" s="392">
        <f t="shared" si="901"/>
        <v>44.687864206093288</v>
      </c>
      <c r="O154" s="392">
        <f t="shared" si="1017"/>
        <v>268.12718523655974</v>
      </c>
      <c r="P154" s="401">
        <f t="shared" si="902"/>
        <v>0.2</v>
      </c>
      <c r="Q154" s="418">
        <v>65</v>
      </c>
      <c r="R154" s="418">
        <v>0</v>
      </c>
      <c r="S154" s="418">
        <f t="shared" si="903"/>
        <v>0</v>
      </c>
      <c r="T154" s="401" t="s">
        <v>131</v>
      </c>
      <c r="U154" s="418" t="s">
        <v>333</v>
      </c>
      <c r="V154" s="401">
        <v>95</v>
      </c>
      <c r="W154" s="401" t="str">
        <f t="shared" si="904"/>
        <v>3C X 95</v>
      </c>
      <c r="X154" s="401" t="str">
        <f t="shared" si="905"/>
        <v>3C X 95+PE</v>
      </c>
      <c r="Y154" s="401" t="s">
        <v>358</v>
      </c>
      <c r="Z154" s="393">
        <f>IF(T154="AIR",VLOOKUP(W154,'Catalogue Aluminium'!$B$9:$G$93,2,FALSE),IF(T154="GROUND",VLOOKUP(W154,'Catalogue Aluminium'!$B$9:$G$93,3,FALSE),IF(T154="DUCT",VLOOKUP(W154,'Catalogue Aluminium'!$B$9:$G$93,4,FALSE),IF(T154="TRENCH",VLOOKUP(W154,'Catalogue Aluminium'!$B$9:$G$93,2,FALSE)))))</f>
        <v>221</v>
      </c>
      <c r="AA154" s="402">
        <f>VLOOKUP(W154,'Catalogue Aluminium'!$B$9:$G$93,5,FALSE)</f>
        <v>0.41</v>
      </c>
      <c r="AB154" s="402">
        <f>VLOOKUP(W154,'Catalogue Aluminium'!$B$9:$G$93,6,FALSE)</f>
        <v>7.3400000000000007E-2</v>
      </c>
      <c r="AC154" s="401">
        <f t="shared" ref="AC154:AC155" si="1098">17+3</f>
        <v>20</v>
      </c>
      <c r="AD154" s="401">
        <f>40+50+38+50+17+(80)</f>
        <v>275</v>
      </c>
      <c r="AE154" s="401">
        <f t="shared" si="1019"/>
        <v>38</v>
      </c>
      <c r="AF154" s="401">
        <v>8</v>
      </c>
      <c r="AG154" s="401">
        <f t="shared" si="906"/>
        <v>35</v>
      </c>
      <c r="AH154" s="436">
        <f t="shared" si="907"/>
        <v>376</v>
      </c>
      <c r="AI154" s="393">
        <f>IF(T154="AIR",'Catalogue Aluminium'!$K$9,IF(T154="TRENCH",'Catalogue Aluminium'!$K$12,"NA"))</f>
        <v>0.89</v>
      </c>
      <c r="AJ154" s="392">
        <f>IF(T154="Air",(IF(U154="1C",'Catalogue Aluminium'!$L$9,'Catalogue Aluminium'!$M$9)),IF(T154="DUCT",(IF($U154="1C",'Catalogue Aluminium'!$L$10,'Catalogue Aluminium'!$M$10)),IF(T154="GROUND",(IF($U154="1C",'Catalogue Aluminium'!$L$11,'Catalogue Aluminium'!$M$11)),IF(T154="TRENCH",(IF($U154="1C",'Catalogue Aluminium'!$L$12,'Catalogue Aluminium'!$M$12))))))</f>
        <v>0.66</v>
      </c>
      <c r="AK154" s="393" t="str">
        <f>IF(T154="Air",'Catalogue Aluminium'!$N$9,IF(T154="GROUND",'Catalogue Aluminium'!$N$10,IF(T154="DUCT",'Catalogue Aluminium'!$N$11,IF(T154="TRENCH",'Catalogue Aluminium'!$N$12,"NA"))))</f>
        <v>NA</v>
      </c>
      <c r="AL154" s="393" t="str">
        <f>IF(T154="Air",(IF(U154="1C",'Catalogue Aluminium'!$O$9,'Catalogue Aluminium'!$P$9)),IF(T154="DUCT",(IF($U154="1C",'Catalogue Aluminium'!$O$10,'Catalogue Aluminium'!$P$10)),IF(T154="GROUND",(IF($U154="1C",'Catalogue Aluminium'!$O$11,'Catalogue Aluminium'!$P$11)),IF(T154="TRENCH",(IF($U154="1C",'Catalogue Aluminium'!$O$12,'Catalogue Aluminium'!$P$12))))))</f>
        <v>NA</v>
      </c>
      <c r="AM154" s="393" t="str">
        <f>IF(T154="AIR","NA",IF(T154="TRENCH","NA",IF(T154="DUCT",IF(U154="1C",VLOOKUP(V154,'Catalogue Aluminium'!$Q$9:$S$28,2,FALSE),VLOOKUP(V154,'Catalogue Aluminium'!$Q$9:$S$28,3)),IF(T154="GROUND",IF(U154="1C",VLOOKUP(V154,'Catalogue Aluminium'!$Q$9:$S$28,2,FALSE),VLOOKUP(V154,'Catalogue Aluminium'!$Q$9:$S$28,3))))))</f>
        <v>NA</v>
      </c>
      <c r="AN154" s="437">
        <f t="shared" si="908"/>
        <v>0.58740000000000003</v>
      </c>
      <c r="AO154" s="418">
        <f t="shared" si="909"/>
        <v>129.81540000000001</v>
      </c>
      <c r="AP154" s="434">
        <f t="shared" si="1020"/>
        <v>1</v>
      </c>
      <c r="AQ154" s="418" t="str">
        <f t="shared" si="910"/>
        <v>YES</v>
      </c>
      <c r="AR154" s="437">
        <f t="shared" si="911"/>
        <v>2.8169239492209877</v>
      </c>
      <c r="AS154" s="401" t="str">
        <f t="shared" si="912"/>
        <v>YES</v>
      </c>
      <c r="AT154" s="437">
        <f t="shared" si="1021"/>
        <v>6.7191753208624929</v>
      </c>
      <c r="AU154" s="401" t="str">
        <f t="shared" si="914"/>
        <v>YES</v>
      </c>
      <c r="AV154" s="503" t="str">
        <f t="shared" si="1011"/>
        <v>1R x 0.6/1kV x 3C x 95 Sqmm</v>
      </c>
      <c r="AW154" s="503" t="str">
        <f t="shared" si="916"/>
        <v>1R x 0.6/1kV x 3C x 95+PE Sqmm</v>
      </c>
      <c r="AX154" s="401">
        <f t="shared" si="1022"/>
        <v>376</v>
      </c>
      <c r="AY154" s="504"/>
      <c r="AZ154" s="504">
        <f t="shared" si="1023"/>
        <v>2</v>
      </c>
      <c r="BA154" s="438" t="str">
        <f t="shared" si="1024"/>
        <v>ACDEE1E2</v>
      </c>
      <c r="BB154" s="505">
        <f>VLOOKUP(W154,'Catalogue Aluminium'!$B$9:$H$93,7,FALSE)</f>
        <v>33</v>
      </c>
      <c r="BC154" s="439">
        <f t="shared" si="1025"/>
        <v>33</v>
      </c>
      <c r="BE154" s="527"/>
      <c r="BF154" s="336">
        <v>1</v>
      </c>
      <c r="BG154" s="336"/>
      <c r="BH154" s="336"/>
      <c r="BI154" s="336">
        <v>1</v>
      </c>
      <c r="BJ154" s="336">
        <v>1</v>
      </c>
      <c r="BK154" s="336"/>
      <c r="BL154" s="336"/>
      <c r="BM154" s="336"/>
      <c r="BN154" s="336">
        <v>1</v>
      </c>
      <c r="BO154" s="336"/>
      <c r="BP154" s="336">
        <v>1</v>
      </c>
      <c r="BQ154" s="336">
        <v>1</v>
      </c>
      <c r="BR154" s="527"/>
      <c r="BS154" s="527"/>
      <c r="BT154" s="527"/>
      <c r="BU154" s="527"/>
      <c r="BV154" s="527"/>
      <c r="BW154" s="527"/>
      <c r="BX154" s="527"/>
      <c r="BY154" s="527"/>
      <c r="BZ154" s="527"/>
      <c r="CA154" s="527"/>
      <c r="CB154" s="527"/>
      <c r="CC154" s="527"/>
      <c r="CD154" s="527"/>
      <c r="CE154" s="527"/>
      <c r="CF154" s="527"/>
      <c r="CG154" s="527"/>
      <c r="CH154" s="527"/>
      <c r="CI154" s="527"/>
      <c r="CJ154" s="527"/>
      <c r="CK154" s="527"/>
      <c r="CL154" s="527"/>
      <c r="CM154" s="527"/>
      <c r="CN154" s="527"/>
      <c r="CO154" s="527"/>
      <c r="CP154" s="527"/>
      <c r="CQ154" s="527"/>
      <c r="CR154" s="527"/>
      <c r="CS154" s="527"/>
      <c r="CT154" s="527"/>
      <c r="CU154" s="527"/>
      <c r="CV154" s="527"/>
      <c r="CW154" s="527"/>
      <c r="CX154" s="527"/>
      <c r="CY154" s="527"/>
      <c r="CZ154" s="527"/>
      <c r="DA154" s="527"/>
      <c r="DB154" s="527"/>
      <c r="DC154" s="527"/>
      <c r="DD154" s="527"/>
      <c r="DE154" s="527"/>
      <c r="DF154" s="527"/>
      <c r="DG154" s="527"/>
      <c r="DH154" s="527"/>
      <c r="DI154" s="527"/>
      <c r="DJ154" s="527"/>
      <c r="DK154" s="527"/>
      <c r="DL154" s="527"/>
      <c r="DM154" s="527"/>
      <c r="DN154" s="527"/>
      <c r="DO154" s="527"/>
      <c r="DP154" s="527"/>
      <c r="DQ154" s="527"/>
      <c r="DR154" s="527"/>
      <c r="DS154" s="527"/>
      <c r="DT154" s="527"/>
      <c r="DU154" s="527"/>
      <c r="DW154" s="336">
        <f t="shared" si="1012"/>
        <v>0</v>
      </c>
      <c r="DX154" s="336">
        <f t="shared" si="1004"/>
        <v>33</v>
      </c>
      <c r="DY154" s="336">
        <f t="shared" si="1005"/>
        <v>0</v>
      </c>
      <c r="DZ154" s="336">
        <f t="shared" si="1006"/>
        <v>0</v>
      </c>
      <c r="EA154" s="336">
        <f t="shared" si="1007"/>
        <v>33</v>
      </c>
      <c r="EB154" s="336">
        <f t="shared" si="1008"/>
        <v>33</v>
      </c>
      <c r="EC154" s="336">
        <f t="shared" si="1009"/>
        <v>0</v>
      </c>
      <c r="ED154" s="336">
        <f t="shared" si="919"/>
        <v>0</v>
      </c>
      <c r="EE154" s="336">
        <f t="shared" si="920"/>
        <v>0</v>
      </c>
      <c r="EF154" s="336">
        <f t="shared" si="921"/>
        <v>33</v>
      </c>
      <c r="EG154" s="336">
        <f t="shared" si="922"/>
        <v>0</v>
      </c>
      <c r="EH154" s="336">
        <f t="shared" si="923"/>
        <v>33</v>
      </c>
      <c r="EI154" s="336">
        <f t="shared" si="924"/>
        <v>33</v>
      </c>
      <c r="EJ154" s="336">
        <f t="shared" si="925"/>
        <v>0</v>
      </c>
      <c r="EK154" s="336">
        <f t="shared" si="926"/>
        <v>0</v>
      </c>
      <c r="EL154" s="336">
        <f t="shared" si="927"/>
        <v>0</v>
      </c>
      <c r="EM154" s="336">
        <f t="shared" si="928"/>
        <v>0</v>
      </c>
      <c r="EN154" s="336">
        <f t="shared" si="929"/>
        <v>0</v>
      </c>
      <c r="EO154" s="336">
        <f t="shared" si="930"/>
        <v>0</v>
      </c>
      <c r="EP154" s="336">
        <f t="shared" si="931"/>
        <v>0</v>
      </c>
      <c r="EQ154" s="336">
        <f t="shared" si="932"/>
        <v>0</v>
      </c>
      <c r="ER154" s="336">
        <f t="shared" si="933"/>
        <v>0</v>
      </c>
      <c r="ES154" s="336">
        <f t="shared" si="934"/>
        <v>0</v>
      </c>
      <c r="ET154" s="336">
        <f t="shared" si="934"/>
        <v>0</v>
      </c>
      <c r="EU154" s="336">
        <f t="shared" si="935"/>
        <v>0</v>
      </c>
      <c r="EV154" s="336">
        <f t="shared" si="936"/>
        <v>0</v>
      </c>
      <c r="EW154" s="336">
        <f t="shared" si="937"/>
        <v>0</v>
      </c>
      <c r="EX154" s="336">
        <f t="shared" si="938"/>
        <v>0</v>
      </c>
      <c r="EY154" s="336">
        <f t="shared" si="939"/>
        <v>0</v>
      </c>
      <c r="EZ154" s="336">
        <f t="shared" si="940"/>
        <v>0</v>
      </c>
      <c r="FA154" s="336">
        <f t="shared" si="941"/>
        <v>0</v>
      </c>
      <c r="FB154" s="336">
        <f t="shared" si="942"/>
        <v>0</v>
      </c>
      <c r="FC154" s="336">
        <f t="shared" si="943"/>
        <v>0</v>
      </c>
      <c r="FD154" s="336">
        <f t="shared" si="944"/>
        <v>0</v>
      </c>
      <c r="FE154" s="336">
        <f t="shared" si="945"/>
        <v>0</v>
      </c>
      <c r="FF154" s="336">
        <f t="shared" si="946"/>
        <v>0</v>
      </c>
      <c r="FG154" s="336">
        <f t="shared" si="947"/>
        <v>0</v>
      </c>
      <c r="FH154" s="336">
        <f t="shared" si="948"/>
        <v>0</v>
      </c>
      <c r="FI154" s="336">
        <f t="shared" si="949"/>
        <v>0</v>
      </c>
      <c r="FJ154" s="336">
        <f t="shared" si="950"/>
        <v>0</v>
      </c>
      <c r="FK154" s="336">
        <f t="shared" si="951"/>
        <v>0</v>
      </c>
      <c r="FL154" s="336">
        <f t="shared" si="952"/>
        <v>0</v>
      </c>
      <c r="FM154" s="336">
        <f t="shared" si="953"/>
        <v>0</v>
      </c>
      <c r="FN154" s="336">
        <f t="shared" si="954"/>
        <v>0</v>
      </c>
      <c r="FO154" s="336">
        <f t="shared" si="955"/>
        <v>0</v>
      </c>
      <c r="FP154" s="336">
        <f t="shared" si="956"/>
        <v>0</v>
      </c>
      <c r="FQ154" s="336">
        <f t="shared" si="957"/>
        <v>0</v>
      </c>
      <c r="FR154" s="336">
        <f t="shared" si="958"/>
        <v>0</v>
      </c>
      <c r="FS154" s="336">
        <f t="shared" si="959"/>
        <v>0</v>
      </c>
      <c r="FT154" s="336">
        <f t="shared" si="960"/>
        <v>0</v>
      </c>
      <c r="FU154" s="336">
        <f t="shared" si="860"/>
        <v>0</v>
      </c>
      <c r="FV154" s="336">
        <f t="shared" si="861"/>
        <v>0</v>
      </c>
      <c r="FW154" s="336">
        <f t="shared" si="862"/>
        <v>0</v>
      </c>
      <c r="FX154" s="336">
        <f t="shared" si="863"/>
        <v>0</v>
      </c>
      <c r="FY154" s="336">
        <f t="shared" si="961"/>
        <v>0</v>
      </c>
      <c r="FZ154" s="336">
        <f t="shared" si="962"/>
        <v>0</v>
      </c>
      <c r="GA154" s="336">
        <f t="shared" si="963"/>
        <v>0</v>
      </c>
      <c r="GB154" s="336">
        <f t="shared" si="964"/>
        <v>0</v>
      </c>
      <c r="GC154" s="336">
        <f t="shared" si="965"/>
        <v>0</v>
      </c>
      <c r="GD154" s="336">
        <f t="shared" si="966"/>
        <v>0</v>
      </c>
      <c r="GE154" s="336">
        <f t="shared" si="967"/>
        <v>0</v>
      </c>
      <c r="GF154" s="336">
        <f t="shared" si="968"/>
        <v>0</v>
      </c>
      <c r="GG154" s="336">
        <f t="shared" si="969"/>
        <v>0</v>
      </c>
      <c r="GH154" s="336">
        <f t="shared" si="970"/>
        <v>0</v>
      </c>
      <c r="GI154" s="336">
        <f t="shared" si="971"/>
        <v>0</v>
      </c>
      <c r="GJ154" s="336">
        <f t="shared" si="972"/>
        <v>0</v>
      </c>
      <c r="GK154" s="336">
        <f>IF(DS154=1,($BC154*DS154),0)</f>
        <v>0</v>
      </c>
      <c r="GL154" s="336">
        <f t="shared" si="975"/>
        <v>0</v>
      </c>
      <c r="GM154" s="336">
        <f t="shared" si="973"/>
        <v>0</v>
      </c>
    </row>
    <row r="155" spans="1:195" ht="38.25" customHeight="1">
      <c r="A155" s="337">
        <f>1+A153</f>
        <v>112</v>
      </c>
      <c r="B155" s="388" t="s">
        <v>527</v>
      </c>
      <c r="C155" s="388" t="s">
        <v>489</v>
      </c>
      <c r="D155" s="787" t="s">
        <v>1667</v>
      </c>
      <c r="E155" s="502" t="s">
        <v>625</v>
      </c>
      <c r="F155" s="578" t="s">
        <v>29</v>
      </c>
      <c r="G155" s="390" t="s">
        <v>329</v>
      </c>
      <c r="H155" s="396">
        <v>0.2</v>
      </c>
      <c r="I155" s="388" t="s">
        <v>330</v>
      </c>
      <c r="J155" s="388" t="s">
        <v>357</v>
      </c>
      <c r="K155" s="434">
        <v>230</v>
      </c>
      <c r="L155" s="401">
        <v>0.85</v>
      </c>
      <c r="M155" s="418">
        <v>0.95</v>
      </c>
      <c r="N155" s="392">
        <f t="shared" si="901"/>
        <v>1.0768609503297888</v>
      </c>
      <c r="O155" s="392">
        <f t="shared" si="1017"/>
        <v>0</v>
      </c>
      <c r="P155" s="401" t="str">
        <f t="shared" si="902"/>
        <v>0.00</v>
      </c>
      <c r="Q155" s="418">
        <v>65</v>
      </c>
      <c r="R155" s="418">
        <v>0</v>
      </c>
      <c r="S155" s="418">
        <f t="shared" si="903"/>
        <v>0</v>
      </c>
      <c r="T155" s="401" t="s">
        <v>131</v>
      </c>
      <c r="U155" s="418" t="s">
        <v>333</v>
      </c>
      <c r="V155" s="401">
        <v>2.5</v>
      </c>
      <c r="W155" s="401" t="str">
        <f t="shared" si="904"/>
        <v>3C X 2.5</v>
      </c>
      <c r="X155" s="401" t="str">
        <f t="shared" ref="X155" si="1099">(IF(J155="1Ph",W155,IF(J155="3Ph",(IF(G155="MOTOR",(CONCATENATE(W155,"+PE")),W155)))))</f>
        <v>3C X 2.5</v>
      </c>
      <c r="Y155" s="401" t="s">
        <v>358</v>
      </c>
      <c r="Z155" s="393">
        <f>IF(T155="AIR",VLOOKUP(W155,'Catalogue Aluminium'!$B$9:$G$93,2,FALSE),IF(T155="GROUND",VLOOKUP(W155,'Catalogue Aluminium'!$B$9:$G$93,3,FALSE),IF(T155="DUCT",VLOOKUP(W155,'Catalogue Aluminium'!$B$9:$G$93,4,FALSE),IF(T155="TRENCH",VLOOKUP(W155,'Catalogue Aluminium'!$B$9:$G$93,2,FALSE)))))</f>
        <v>28</v>
      </c>
      <c r="AA155" s="402">
        <f>VLOOKUP(W155,'Catalogue Aluminium'!$B$9:$G$93,5,FALSE)</f>
        <v>9.48</v>
      </c>
      <c r="AB155" s="402">
        <f>VLOOKUP(W155,'Catalogue Aluminium'!$B$9:$G$93,6,FALSE)</f>
        <v>0.1007</v>
      </c>
      <c r="AC155" s="401">
        <f t="shared" si="1098"/>
        <v>20</v>
      </c>
      <c r="AD155" s="401">
        <f>40+50+38+50+17+(80)</f>
        <v>275</v>
      </c>
      <c r="AE155" s="401">
        <f t="shared" si="1019"/>
        <v>38</v>
      </c>
      <c r="AF155" s="401">
        <v>8</v>
      </c>
      <c r="AG155" s="401">
        <f t="shared" ref="AG155" si="1100">ROUNDUP((SUM(AC155:AF155)*0.1),0)</f>
        <v>35</v>
      </c>
      <c r="AH155" s="436">
        <f t="shared" ref="AH155" si="1101">SUM(AC155:AG155)</f>
        <v>376</v>
      </c>
      <c r="AI155" s="393">
        <f>IF(T155="AIR",'Catalogue Aluminium'!$K$9,IF(T155="TRENCH",'Catalogue Aluminium'!$K$12,"NA"))</f>
        <v>0.89</v>
      </c>
      <c r="AJ155" s="392">
        <f>IF(T155="Air",(IF(U155="1C",'Catalogue Aluminium'!$L$9,'Catalogue Aluminium'!$M$9)),IF(T155="DUCT",(IF($U155="1C",'Catalogue Aluminium'!$L$10,'Catalogue Aluminium'!$M$10)),IF(T155="GROUND",(IF($U155="1C",'Catalogue Aluminium'!$L$11,'Catalogue Aluminium'!$M$11)),IF(T155="TRENCH",(IF($U155="1C",'Catalogue Aluminium'!$L$12,'Catalogue Aluminium'!$M$12))))))</f>
        <v>0.66</v>
      </c>
      <c r="AK155" s="393" t="str">
        <f>IF(T155="Air",'Catalogue Aluminium'!$N$9,IF(T155="GROUND",'Catalogue Aluminium'!$N$10,IF(T155="DUCT",'Catalogue Aluminium'!$N$11,IF(T155="TRENCH",'Catalogue Aluminium'!$N$12,"NA"))))</f>
        <v>NA</v>
      </c>
      <c r="AL155" s="393" t="str">
        <f>IF(T155="Air",(IF(U155="1C",'Catalogue Aluminium'!$O$9,'Catalogue Aluminium'!$P$9)),IF(T155="DUCT",(IF($U155="1C",'Catalogue Aluminium'!$O$10,'Catalogue Aluminium'!$P$10)),IF(T155="GROUND",(IF($U155="1C",'Catalogue Aluminium'!$O$11,'Catalogue Aluminium'!$P$11)),IF(T155="TRENCH",(IF($U155="1C",'Catalogue Aluminium'!$O$12,'Catalogue Aluminium'!$P$12))))))</f>
        <v>NA</v>
      </c>
      <c r="AM155" s="393" t="str">
        <f>IF(T155="AIR","NA",IF(T155="TRENCH","NA",IF(T155="DUCT",IF(U155="1C",VLOOKUP(V155,'Catalogue Aluminium'!$Q$9:$S$28,2,FALSE),VLOOKUP(V155,'Catalogue Aluminium'!$Q$9:$S$28,3)),IF(T155="GROUND",IF(U155="1C",VLOOKUP(V155,'Catalogue Aluminium'!$Q$9:$S$28,2,FALSE),VLOOKUP(V155,'Catalogue Aluminium'!$Q$9:$S$28,3))))))</f>
        <v>NA</v>
      </c>
      <c r="AN155" s="437">
        <f t="shared" ref="AN155" si="1102">IF(T155="AIR",AI155*AJ155,IF(T155="TRENCH",AI155*AJ155,IF(T155="DUCT",AJ155*AK155*AL155*AM155,IF(T155="GROUND",AJ155*AK155*AL155*AM155))))</f>
        <v>0.58740000000000003</v>
      </c>
      <c r="AO155" s="418">
        <f t="shared" ref="AO155" si="1103">Z155*AN155</f>
        <v>16.447200000000002</v>
      </c>
      <c r="AP155" s="434">
        <f t="shared" ref="AP155" si="1104">CEILING(((N155)/AO155),1)</f>
        <v>1</v>
      </c>
      <c r="AQ155" s="418" t="str">
        <f t="shared" ref="AQ155" si="1105">IF(AO155*AP155&gt;=N155,"YES","NO")</f>
        <v>YES</v>
      </c>
      <c r="AR155" s="437">
        <f t="shared" ref="AR155" si="1106">SQRT(3)*AH155*N155*((AA155*L155)+(AB155*SIN(ACOS(L155))))*100/(AP155*K155*1000)</f>
        <v>2.4731883026279964</v>
      </c>
      <c r="AS155" s="401" t="str">
        <f t="shared" ref="AS155" si="1107">IF(G155="INCOMER",(IF(AR155&lt;=2,"YES","NO")),IF(G155="POWER",(IF(AR155&lt;=2.5,"YES","NO")),IF(G155="MOTOR",(IF(AR155&lt;=3,"YES","NO")))))</f>
        <v>YES</v>
      </c>
      <c r="AT155" s="437" t="str">
        <f t="shared" si="1021"/>
        <v>NA</v>
      </c>
      <c r="AU155" s="401" t="str">
        <f t="shared" si="914"/>
        <v>NA</v>
      </c>
      <c r="AV155" s="503" t="str">
        <f t="shared" si="1011"/>
        <v>1R x 0.6/1kV x 3C x 2.5 Sqmm</v>
      </c>
      <c r="AW155" s="503" t="str">
        <f t="shared" si="916"/>
        <v>1R x 0.6/1kV x 3C x 2.5 Sqmm</v>
      </c>
      <c r="AX155" s="401">
        <f t="shared" si="1022"/>
        <v>376</v>
      </c>
      <c r="AY155" s="504"/>
      <c r="AZ155" s="504">
        <f t="shared" si="1023"/>
        <v>2</v>
      </c>
      <c r="BA155" s="438" t="str">
        <f t="shared" si="1024"/>
        <v>ACDEE1E2</v>
      </c>
      <c r="BB155" s="505">
        <f>VLOOKUP(W155,'Catalogue Aluminium'!$B$9:$H$93,7,FALSE)</f>
        <v>14</v>
      </c>
      <c r="BC155" s="439">
        <f t="shared" si="1025"/>
        <v>14</v>
      </c>
      <c r="BE155" s="527"/>
      <c r="BF155" s="336">
        <v>1</v>
      </c>
      <c r="BG155" s="336"/>
      <c r="BH155" s="336"/>
      <c r="BI155" s="336">
        <v>1</v>
      </c>
      <c r="BJ155" s="336">
        <v>1</v>
      </c>
      <c r="BK155" s="336"/>
      <c r="BL155" s="336"/>
      <c r="BM155" s="336"/>
      <c r="BN155" s="336">
        <v>1</v>
      </c>
      <c r="BO155" s="336"/>
      <c r="BP155" s="336">
        <v>1</v>
      </c>
      <c r="BQ155" s="336">
        <v>1</v>
      </c>
      <c r="BR155" s="527"/>
      <c r="BS155" s="527"/>
      <c r="BT155" s="527"/>
      <c r="BU155" s="527"/>
      <c r="BV155" s="527"/>
      <c r="BW155" s="527"/>
      <c r="BX155" s="527"/>
      <c r="BY155" s="527"/>
      <c r="BZ155" s="527"/>
      <c r="CA155" s="527"/>
      <c r="CB155" s="527"/>
      <c r="CC155" s="527"/>
      <c r="CD155" s="527"/>
      <c r="CE155" s="527"/>
      <c r="CF155" s="527"/>
      <c r="CG155" s="527"/>
      <c r="CH155" s="527"/>
      <c r="CI155" s="527"/>
      <c r="CJ155" s="527"/>
      <c r="CK155" s="527"/>
      <c r="CL155" s="527"/>
      <c r="CM155" s="527"/>
      <c r="CN155" s="527"/>
      <c r="CO155" s="527"/>
      <c r="CP155" s="527"/>
      <c r="CQ155" s="527"/>
      <c r="CR155" s="527"/>
      <c r="CS155" s="527"/>
      <c r="CT155" s="527"/>
      <c r="CU155" s="527"/>
      <c r="CV155" s="527"/>
      <c r="CW155" s="527"/>
      <c r="CX155" s="527"/>
      <c r="CY155" s="527"/>
      <c r="CZ155" s="527"/>
      <c r="DA155" s="527"/>
      <c r="DB155" s="527"/>
      <c r="DC155" s="527"/>
      <c r="DD155" s="527"/>
      <c r="DE155" s="527"/>
      <c r="DF155" s="527"/>
      <c r="DG155" s="527"/>
      <c r="DH155" s="527"/>
      <c r="DI155" s="527"/>
      <c r="DJ155" s="527"/>
      <c r="DK155" s="527"/>
      <c r="DL155" s="527"/>
      <c r="DM155" s="527"/>
      <c r="DN155" s="527"/>
      <c r="DO155" s="527"/>
      <c r="DP155" s="527"/>
      <c r="DQ155" s="527"/>
      <c r="DR155" s="527"/>
      <c r="DS155" s="527"/>
      <c r="DT155" s="527"/>
      <c r="DU155" s="527"/>
      <c r="DW155" s="336">
        <f t="shared" ref="DW155" si="1108">IF(BE155=1,($BC155*BE155),0)</f>
        <v>0</v>
      </c>
      <c r="DX155" s="336">
        <f t="shared" ref="DX155" si="1109">IF(BF155=1,($BC155*BF155),0)</f>
        <v>14</v>
      </c>
      <c r="DY155" s="336">
        <f t="shared" ref="DY155" si="1110">IF(BG155=1,($BC155*BG155),0)</f>
        <v>0</v>
      </c>
      <c r="DZ155" s="336">
        <f t="shared" ref="DZ155" si="1111">IF(BH155=1,($BC155*BH155),0)</f>
        <v>0</v>
      </c>
      <c r="EA155" s="336">
        <f t="shared" ref="EA155" si="1112">IF(BI155=1,($BC155*BI155),0)</f>
        <v>14</v>
      </c>
      <c r="EB155" s="336">
        <f t="shared" ref="EB155" si="1113">IF(BJ155=1,($BC155*BJ155),0)</f>
        <v>14</v>
      </c>
      <c r="EC155" s="336">
        <f t="shared" ref="EC155" si="1114">IF(BK155=1,($BC155*BK155),0)</f>
        <v>0</v>
      </c>
      <c r="ED155" s="336">
        <f t="shared" ref="ED155" si="1115">IF(BL155=1,($BC155*BL155),0)</f>
        <v>0</v>
      </c>
      <c r="EE155" s="336">
        <f t="shared" ref="EE155" si="1116">IF(BM155=1,($BC155*BM155),0)</f>
        <v>0</v>
      </c>
      <c r="EF155" s="336">
        <f t="shared" ref="EF155" si="1117">IF(BN155=1,($BC155*BN155),0)</f>
        <v>14</v>
      </c>
      <c r="EG155" s="336">
        <f t="shared" ref="EG155" si="1118">IF(BO155=1,($BC155*BO155),0)</f>
        <v>0</v>
      </c>
      <c r="EH155" s="336">
        <f t="shared" ref="EH155" si="1119">IF(BP155=1,($BC155*BP155),0)</f>
        <v>14</v>
      </c>
      <c r="EI155" s="336">
        <f t="shared" ref="EI155" si="1120">IF(BQ155=1,($BC155*BQ155),0)</f>
        <v>14</v>
      </c>
      <c r="EJ155" s="336">
        <f t="shared" ref="EJ155" si="1121">IF(BR155=1,($BC155*BR155),0)</f>
        <v>0</v>
      </c>
      <c r="EK155" s="336">
        <f t="shared" ref="EK155" si="1122">IF(BS155=1,($BC155*BS155),0)</f>
        <v>0</v>
      </c>
      <c r="EL155" s="336">
        <f t="shared" ref="EL155" si="1123">IF(BT155=1,($BC155*BT155),0)</f>
        <v>0</v>
      </c>
      <c r="EM155" s="336">
        <f t="shared" ref="EM155" si="1124">IF(BU155=1,($BC155*BU155),0)</f>
        <v>0</v>
      </c>
      <c r="EN155" s="336">
        <f t="shared" ref="EN155" si="1125">IF(BV155=1,($BC155*BV155),0)</f>
        <v>0</v>
      </c>
      <c r="EO155" s="336">
        <f t="shared" ref="EO155" si="1126">IF(BW155=1,($BC155*BW155),0)</f>
        <v>0</v>
      </c>
      <c r="EP155" s="336">
        <f t="shared" ref="EP155" si="1127">IF(BX155=1,($BC155*BX155),0)</f>
        <v>0</v>
      </c>
      <c r="EQ155" s="336">
        <f t="shared" ref="EQ155" si="1128">IF(BY155=1,($BC155*BY155),0)</f>
        <v>0</v>
      </c>
      <c r="ER155" s="336">
        <f t="shared" ref="ER155" si="1129">IF(BZ155=1,($BC155*BZ155),0)</f>
        <v>0</v>
      </c>
      <c r="ES155" s="336">
        <f t="shared" ref="ES155" si="1130">IF(CA155=1,($BC155*CA155),0)</f>
        <v>0</v>
      </c>
      <c r="ET155" s="336">
        <f t="shared" si="934"/>
        <v>0</v>
      </c>
      <c r="EU155" s="336">
        <f t="shared" ref="EU155" si="1131">IF(CC155=1,($BC155*CC155),0)</f>
        <v>0</v>
      </c>
      <c r="EV155" s="336">
        <f t="shared" ref="EV155" si="1132">IF(CD155=1,($BC155*CD155),0)</f>
        <v>0</v>
      </c>
      <c r="EW155" s="336">
        <f t="shared" ref="EW155" si="1133">IF(CE155=1,($BC155*CE155),0)</f>
        <v>0</v>
      </c>
      <c r="EX155" s="336">
        <f t="shared" ref="EX155" si="1134">IF(CF155=1,($BC155*CF155),0)</f>
        <v>0</v>
      </c>
      <c r="EY155" s="336">
        <f t="shared" ref="EY155" si="1135">IF(CG155=1,($BC155*CG155),0)</f>
        <v>0</v>
      </c>
      <c r="EZ155" s="336">
        <f t="shared" ref="EZ155" si="1136">IF(CH155=1,($BC155*CH155),0)</f>
        <v>0</v>
      </c>
      <c r="FA155" s="336">
        <f t="shared" ref="FA155" si="1137">IF(CI155=1,($BC155*CI155),0)</f>
        <v>0</v>
      </c>
      <c r="FB155" s="336">
        <f t="shared" ref="FB155" si="1138">IF(CJ155=1,($BC155*CJ155),0)</f>
        <v>0</v>
      </c>
      <c r="FC155" s="336">
        <f t="shared" ref="FC155" si="1139">IF(CK155=1,($BC155*CK155),0)</f>
        <v>0</v>
      </c>
      <c r="FD155" s="336">
        <f t="shared" ref="FD155" si="1140">IF(CL155=1,($BC155*CL155),0)</f>
        <v>0</v>
      </c>
      <c r="FE155" s="336">
        <f t="shared" ref="FE155" si="1141">IF(CM155=1,($BC155*CM155),0)</f>
        <v>0</v>
      </c>
      <c r="FF155" s="336">
        <f t="shared" ref="FF155" si="1142">IF(CN155=1,($BC155*CN155),0)</f>
        <v>0</v>
      </c>
      <c r="FG155" s="336">
        <f t="shared" ref="FG155" si="1143">IF(CO155=1,($BC155*CO155),0)</f>
        <v>0</v>
      </c>
      <c r="FH155" s="336">
        <f t="shared" ref="FH155" si="1144">IF(CP155=1,($BC155*CP155),0)</f>
        <v>0</v>
      </c>
      <c r="FI155" s="336">
        <f t="shared" ref="FI155" si="1145">IF(CQ155=1,($BC155*CQ155),0)</f>
        <v>0</v>
      </c>
      <c r="FJ155" s="336">
        <f t="shared" ref="FJ155" si="1146">IF(CR155=1,($BC155*CR155),0)</f>
        <v>0</v>
      </c>
      <c r="FK155" s="336">
        <f t="shared" ref="FK155" si="1147">IF(CS155=1,($BC155*CS155),0)</f>
        <v>0</v>
      </c>
      <c r="FL155" s="336">
        <f t="shared" ref="FL155" si="1148">IF(CT155=1,($BC155*CT155),0)</f>
        <v>0</v>
      </c>
      <c r="FM155" s="336">
        <f t="shared" ref="FM155" si="1149">IF(CU155=1,($BC155*CU155),0)</f>
        <v>0</v>
      </c>
      <c r="FN155" s="336">
        <f t="shared" ref="FN155" si="1150">IF(CV155=1,($BC155*CV155),0)</f>
        <v>0</v>
      </c>
      <c r="FO155" s="336">
        <f t="shared" ref="FO155" si="1151">IF(CW155=1,($BC155*CW155),0)</f>
        <v>0</v>
      </c>
      <c r="FP155" s="336">
        <f t="shared" ref="FP155" si="1152">IF(CX155=1,($BC155*CX155),0)</f>
        <v>0</v>
      </c>
      <c r="FQ155" s="336">
        <f t="shared" ref="FQ155" si="1153">IF(CY155=1,($BC155*CY155),0)</f>
        <v>0</v>
      </c>
      <c r="FR155" s="336">
        <f t="shared" ref="FR155" si="1154">IF(CZ155=1,($BC155*CZ155),0)</f>
        <v>0</v>
      </c>
      <c r="FS155" s="336">
        <f t="shared" ref="FS155" si="1155">IF(DA155=1,($BC155*DA155),0)</f>
        <v>0</v>
      </c>
      <c r="FT155" s="336">
        <f t="shared" ref="FT155" si="1156">IF(DB155=1,($BC155*DB155),0)</f>
        <v>0</v>
      </c>
      <c r="FU155" s="336">
        <f t="shared" si="860"/>
        <v>0</v>
      </c>
      <c r="FV155" s="336">
        <f t="shared" si="861"/>
        <v>0</v>
      </c>
      <c r="FW155" s="336">
        <f t="shared" si="862"/>
        <v>0</v>
      </c>
      <c r="FX155" s="336">
        <f t="shared" si="863"/>
        <v>0</v>
      </c>
      <c r="FY155" s="336">
        <f t="shared" ref="FY155" si="1157">IF(DG155=1,($BC155*DG155),0)</f>
        <v>0</v>
      </c>
      <c r="FZ155" s="336">
        <f t="shared" ref="FZ155" si="1158">IF(DH155=1,($BC155*DH155),0)</f>
        <v>0</v>
      </c>
      <c r="GA155" s="336">
        <f t="shared" ref="GA155" si="1159">IF(DI155=1,($BC155*DI155),0)</f>
        <v>0</v>
      </c>
      <c r="GB155" s="336">
        <f t="shared" ref="GB155" si="1160">IF(DJ155=1,($BC155*DJ155),0)</f>
        <v>0</v>
      </c>
      <c r="GC155" s="336">
        <f t="shared" ref="GC155" si="1161">IF(DK155=1,($BC155*DK155),0)</f>
        <v>0</v>
      </c>
      <c r="GD155" s="336">
        <f t="shared" ref="GD155" si="1162">IF(DL155=1,($BC155*DL155),0)</f>
        <v>0</v>
      </c>
      <c r="GE155" s="336">
        <f t="shared" ref="GE155" si="1163">IF(DM155=1,($BC155*DM155),0)</f>
        <v>0</v>
      </c>
      <c r="GF155" s="336">
        <f t="shared" ref="GF155" si="1164">IF(DN155=1,($BC155*DN155),0)</f>
        <v>0</v>
      </c>
      <c r="GG155" s="336">
        <f t="shared" ref="GG155" si="1165">IF(DO155=1,($BC155*DO155),0)</f>
        <v>0</v>
      </c>
      <c r="GH155" s="336">
        <f t="shared" ref="GH155" si="1166">IF(DP155=1,($BC155*DP155),0)</f>
        <v>0</v>
      </c>
      <c r="GI155" s="336">
        <f t="shared" ref="GI155" si="1167">IF(DQ155=1,($BC155*DQ155),0)</f>
        <v>0</v>
      </c>
      <c r="GJ155" s="336">
        <f t="shared" ref="GJ155" si="1168">IF(DR155=1,($BC155*DR155),0)</f>
        <v>0</v>
      </c>
      <c r="GK155" s="336">
        <f t="shared" ref="GK155" si="1169">IF(DS155=1,($BC155*DS155),0)</f>
        <v>0</v>
      </c>
      <c r="GL155" s="336">
        <f t="shared" si="975"/>
        <v>0</v>
      </c>
      <c r="GM155" s="336">
        <f t="shared" ref="GM155" si="1170">IF(DU155=1,($BC155*DU155),0)</f>
        <v>0</v>
      </c>
    </row>
    <row r="156" spans="1:195" ht="38.25" customHeight="1">
      <c r="A156" s="388">
        <f>1+A154</f>
        <v>112</v>
      </c>
      <c r="B156" s="388" t="s">
        <v>527</v>
      </c>
      <c r="C156" s="388" t="s">
        <v>489</v>
      </c>
      <c r="D156" s="787" t="s">
        <v>1668</v>
      </c>
      <c r="E156" s="528" t="s">
        <v>626</v>
      </c>
      <c r="F156" s="571" t="s">
        <v>28</v>
      </c>
      <c r="G156" s="390" t="s">
        <v>350</v>
      </c>
      <c r="H156" s="418">
        <v>5</v>
      </c>
      <c r="I156" s="388" t="s">
        <v>330</v>
      </c>
      <c r="J156" s="388" t="s">
        <v>331</v>
      </c>
      <c r="K156" s="434">
        <v>400</v>
      </c>
      <c r="L156" s="401">
        <v>0.85</v>
      </c>
      <c r="M156" s="418">
        <v>0.95</v>
      </c>
      <c r="N156" s="392">
        <f t="shared" si="901"/>
        <v>8.9375728412186568</v>
      </c>
      <c r="O156" s="392">
        <f t="shared" si="1017"/>
        <v>53.625437047311941</v>
      </c>
      <c r="P156" s="401">
        <f t="shared" si="902"/>
        <v>0.2</v>
      </c>
      <c r="Q156" s="418">
        <v>65</v>
      </c>
      <c r="R156" s="418">
        <v>0</v>
      </c>
      <c r="S156" s="418">
        <f t="shared" si="903"/>
        <v>0</v>
      </c>
      <c r="T156" s="401" t="s">
        <v>131</v>
      </c>
      <c r="U156" s="418" t="s">
        <v>333</v>
      </c>
      <c r="V156" s="401">
        <v>4</v>
      </c>
      <c r="W156" s="401" t="str">
        <f t="shared" si="904"/>
        <v>3C X 4</v>
      </c>
      <c r="X156" s="401" t="str">
        <f t="shared" si="905"/>
        <v>3C X 4+PE</v>
      </c>
      <c r="Y156" s="401" t="s">
        <v>358</v>
      </c>
      <c r="Z156" s="393">
        <f>IF(T156="AIR",VLOOKUP(W156,'Catalogue Aluminium'!$B$9:$G$93,2,FALSE),IF(T156="GROUND",VLOOKUP(W156,'Catalogue Aluminium'!$B$9:$G$93,3,FALSE),IF(T156="DUCT",VLOOKUP(W156,'Catalogue Aluminium'!$B$9:$G$93,4,FALSE),IF(T156="TRENCH",VLOOKUP(W156,'Catalogue Aluminium'!$B$9:$G$93,2,FALSE)))))</f>
        <v>38</v>
      </c>
      <c r="AA156" s="402">
        <f>VLOOKUP(W156,'Catalogue Aluminium'!$B$9:$G$93,5,FALSE)</f>
        <v>5.9</v>
      </c>
      <c r="AB156" s="402">
        <f>VLOOKUP(W156,'Catalogue Aluminium'!$B$9:$G$93,6,FALSE)</f>
        <v>9.4700000000000006E-2</v>
      </c>
      <c r="AC156" s="435">
        <f>26+3</f>
        <v>29</v>
      </c>
      <c r="AD156" s="435">
        <v>0</v>
      </c>
      <c r="AE156" s="401">
        <v>5</v>
      </c>
      <c r="AF156" s="401">
        <v>8</v>
      </c>
      <c r="AG156" s="401">
        <f t="shared" si="906"/>
        <v>5</v>
      </c>
      <c r="AH156" s="436">
        <f t="shared" si="907"/>
        <v>47</v>
      </c>
      <c r="AI156" s="393">
        <f>IF(T156="AIR",'Catalogue Aluminium'!$K$9,IF(T156="TRENCH",'Catalogue Aluminium'!$K$12,"NA"))</f>
        <v>0.89</v>
      </c>
      <c r="AJ156" s="392">
        <f>IF(T156="Air",(IF(U156="1C",'Catalogue Aluminium'!$L$9,'Catalogue Aluminium'!$M$9)),IF(T156="DUCT",(IF($U156="1C",'Catalogue Aluminium'!$L$10,'Catalogue Aluminium'!$M$10)),IF(T156="GROUND",(IF($U156="1C",'Catalogue Aluminium'!$L$11,'Catalogue Aluminium'!$M$11)),IF(T156="TRENCH",(IF($U156="1C",'Catalogue Aluminium'!$L$12,'Catalogue Aluminium'!$M$12))))))</f>
        <v>0.66</v>
      </c>
      <c r="AK156" s="393" t="str">
        <f>IF(T156="Air",'Catalogue Aluminium'!$N$9,IF(T156="GROUND",'Catalogue Aluminium'!$N$10,IF(T156="DUCT",'Catalogue Aluminium'!$N$11,IF(T156="TRENCH",'Catalogue Aluminium'!$N$12,"NA"))))</f>
        <v>NA</v>
      </c>
      <c r="AL156" s="393" t="str">
        <f>IF(T156="Air",(IF(U156="1C",'Catalogue Aluminium'!$O$9,'Catalogue Aluminium'!$P$9)),IF(T156="DUCT",(IF($U156="1C",'Catalogue Aluminium'!$O$10,'Catalogue Aluminium'!$P$10)),IF(T156="GROUND",(IF($U156="1C",'Catalogue Aluminium'!$O$11,'Catalogue Aluminium'!$P$11)),IF(T156="TRENCH",(IF($U156="1C",'Catalogue Aluminium'!$O$12,'Catalogue Aluminium'!$P$12))))))</f>
        <v>NA</v>
      </c>
      <c r="AM156" s="393" t="str">
        <f>IF(T156="AIR","NA",IF(T156="TRENCH","NA",IF(T156="DUCT",IF(U156="1C",VLOOKUP(V156,'Catalogue Aluminium'!$Q$9:$S$28,2,FALSE),VLOOKUP(V156,'Catalogue Aluminium'!$Q$9:$S$28,3)),IF(T156="GROUND",IF(U156="1C",VLOOKUP(V156,'Catalogue Aluminium'!$Q$9:$S$28,2,FALSE),VLOOKUP(V156,'Catalogue Aluminium'!$Q$9:$S$28,3))))))</f>
        <v>NA</v>
      </c>
      <c r="AN156" s="437">
        <f t="shared" si="908"/>
        <v>0.58740000000000003</v>
      </c>
      <c r="AO156" s="418">
        <f t="shared" si="909"/>
        <v>22.321200000000001</v>
      </c>
      <c r="AP156" s="434">
        <f t="shared" si="1020"/>
        <v>1</v>
      </c>
      <c r="AQ156" s="418" t="str">
        <f t="shared" si="910"/>
        <v>YES</v>
      </c>
      <c r="AR156" s="437">
        <f t="shared" si="911"/>
        <v>0.92127182725087842</v>
      </c>
      <c r="AS156" s="401" t="str">
        <f t="shared" si="912"/>
        <v>YES</v>
      </c>
      <c r="AT156" s="437">
        <f t="shared" si="1021"/>
        <v>1.3890726405007408</v>
      </c>
      <c r="AU156" s="401" t="str">
        <f t="shared" si="914"/>
        <v>YES</v>
      </c>
      <c r="AV156" s="503" t="str">
        <f t="shared" si="1011"/>
        <v>1R x 0.6/1kV x 3C x 4 Sqmm</v>
      </c>
      <c r="AW156" s="503" t="str">
        <f t="shared" si="916"/>
        <v>1R x 0.6/1kV x 3C x 4+PE Sqmm</v>
      </c>
      <c r="AX156" s="401">
        <f t="shared" si="1022"/>
        <v>47</v>
      </c>
      <c r="AY156" s="855" t="s">
        <v>1617</v>
      </c>
      <c r="AZ156" s="504">
        <f t="shared" si="1023"/>
        <v>2</v>
      </c>
      <c r="BA156" s="438" t="str">
        <f t="shared" si="1024"/>
        <v/>
      </c>
      <c r="BB156" s="505">
        <f>VLOOKUP(W156,'Catalogue Aluminium'!$B$9:$H$93,7,FALSE)</f>
        <v>15</v>
      </c>
      <c r="BC156" s="439">
        <f t="shared" si="1025"/>
        <v>15</v>
      </c>
      <c r="BE156" s="527"/>
      <c r="BF156" s="527"/>
      <c r="BG156" s="527"/>
      <c r="BH156" s="527"/>
      <c r="BI156" s="527"/>
      <c r="BJ156" s="527"/>
      <c r="BK156" s="527"/>
      <c r="BL156" s="527"/>
      <c r="BM156" s="527"/>
      <c r="BN156" s="527"/>
      <c r="BO156" s="527"/>
      <c r="BP156" s="527"/>
      <c r="BQ156" s="527"/>
      <c r="BR156" s="527"/>
      <c r="BS156" s="527"/>
      <c r="BT156" s="527"/>
      <c r="BU156" s="527"/>
      <c r="BV156" s="527"/>
      <c r="BW156" s="527"/>
      <c r="BX156" s="527"/>
      <c r="BY156" s="527"/>
      <c r="BZ156" s="527"/>
      <c r="CA156" s="527"/>
      <c r="CB156" s="527"/>
      <c r="CC156" s="527"/>
      <c r="CD156" s="527"/>
      <c r="CE156" s="527"/>
      <c r="CF156" s="527"/>
      <c r="CG156" s="527"/>
      <c r="CH156" s="527"/>
      <c r="CI156" s="527"/>
      <c r="CJ156" s="527"/>
      <c r="CK156" s="527"/>
      <c r="CL156" s="527"/>
      <c r="CM156" s="527"/>
      <c r="CN156" s="527"/>
      <c r="CO156" s="527"/>
      <c r="CP156" s="527"/>
      <c r="CQ156" s="527"/>
      <c r="CR156" s="527"/>
      <c r="CS156" s="527"/>
      <c r="CT156" s="527"/>
      <c r="CU156" s="527"/>
      <c r="CV156" s="527"/>
      <c r="CW156" s="527"/>
      <c r="CX156" s="527"/>
      <c r="CY156" s="527"/>
      <c r="CZ156" s="527"/>
      <c r="DA156" s="527"/>
      <c r="DB156" s="527"/>
      <c r="DC156" s="527"/>
      <c r="DD156" s="527"/>
      <c r="DE156" s="527"/>
      <c r="DF156" s="527"/>
      <c r="DG156" s="527"/>
      <c r="DH156" s="527"/>
      <c r="DI156" s="527"/>
      <c r="DJ156" s="527"/>
      <c r="DK156" s="527"/>
      <c r="DL156" s="527"/>
      <c r="DM156" s="527"/>
      <c r="DN156" s="527"/>
      <c r="DO156" s="527"/>
      <c r="DP156" s="527"/>
      <c r="DQ156" s="527"/>
      <c r="DR156" s="527"/>
      <c r="DS156" s="527"/>
      <c r="DT156" s="527"/>
      <c r="DU156" s="527"/>
      <c r="DW156" s="336">
        <f t="shared" si="1012"/>
        <v>0</v>
      </c>
      <c r="DX156" s="336">
        <f t="shared" si="1004"/>
        <v>0</v>
      </c>
      <c r="DY156" s="336">
        <f t="shared" si="1005"/>
        <v>0</v>
      </c>
      <c r="DZ156" s="336">
        <f t="shared" si="1006"/>
        <v>0</v>
      </c>
      <c r="EA156" s="336">
        <f t="shared" si="1007"/>
        <v>0</v>
      </c>
      <c r="EB156" s="336">
        <f t="shared" si="1008"/>
        <v>0</v>
      </c>
      <c r="EC156" s="336">
        <f t="shared" si="1009"/>
        <v>0</v>
      </c>
      <c r="ED156" s="336">
        <f t="shared" si="919"/>
        <v>0</v>
      </c>
      <c r="EE156" s="336">
        <f t="shared" si="920"/>
        <v>0</v>
      </c>
      <c r="EF156" s="336">
        <f t="shared" si="921"/>
        <v>0</v>
      </c>
      <c r="EG156" s="336">
        <f t="shared" si="922"/>
        <v>0</v>
      </c>
      <c r="EH156" s="336">
        <f t="shared" si="923"/>
        <v>0</v>
      </c>
      <c r="EI156" s="336">
        <f t="shared" si="924"/>
        <v>0</v>
      </c>
      <c r="EJ156" s="336">
        <f t="shared" si="925"/>
        <v>0</v>
      </c>
      <c r="EK156" s="336">
        <f t="shared" si="926"/>
        <v>0</v>
      </c>
      <c r="EL156" s="336">
        <f t="shared" si="927"/>
        <v>0</v>
      </c>
      <c r="EM156" s="336">
        <f t="shared" si="928"/>
        <v>0</v>
      </c>
      <c r="EN156" s="336">
        <f t="shared" si="929"/>
        <v>0</v>
      </c>
      <c r="EO156" s="336">
        <f t="shared" si="930"/>
        <v>0</v>
      </c>
      <c r="EP156" s="336">
        <f t="shared" si="931"/>
        <v>0</v>
      </c>
      <c r="EQ156" s="336">
        <f t="shared" si="932"/>
        <v>0</v>
      </c>
      <c r="ER156" s="336">
        <f t="shared" si="933"/>
        <v>0</v>
      </c>
      <c r="ES156" s="336">
        <f t="shared" si="934"/>
        <v>0</v>
      </c>
      <c r="ET156" s="336">
        <f t="shared" si="934"/>
        <v>0</v>
      </c>
      <c r="EU156" s="336">
        <f t="shared" si="935"/>
        <v>0</v>
      </c>
      <c r="EV156" s="336">
        <f t="shared" si="936"/>
        <v>0</v>
      </c>
      <c r="EW156" s="336">
        <f t="shared" si="937"/>
        <v>0</v>
      </c>
      <c r="EX156" s="336">
        <f t="shared" si="938"/>
        <v>0</v>
      </c>
      <c r="EY156" s="336">
        <f t="shared" si="939"/>
        <v>0</v>
      </c>
      <c r="EZ156" s="336">
        <f t="shared" si="940"/>
        <v>0</v>
      </c>
      <c r="FA156" s="336">
        <f t="shared" si="941"/>
        <v>0</v>
      </c>
      <c r="FB156" s="336">
        <f t="shared" si="942"/>
        <v>0</v>
      </c>
      <c r="FC156" s="336">
        <f t="shared" si="943"/>
        <v>0</v>
      </c>
      <c r="FD156" s="336">
        <f t="shared" si="944"/>
        <v>0</v>
      </c>
      <c r="FE156" s="336">
        <f t="shared" si="945"/>
        <v>0</v>
      </c>
      <c r="FF156" s="336">
        <f t="shared" si="946"/>
        <v>0</v>
      </c>
      <c r="FG156" s="336">
        <f t="shared" si="947"/>
        <v>0</v>
      </c>
      <c r="FH156" s="336">
        <f t="shared" si="948"/>
        <v>0</v>
      </c>
      <c r="FI156" s="336">
        <f t="shared" si="949"/>
        <v>0</v>
      </c>
      <c r="FJ156" s="336">
        <f t="shared" si="950"/>
        <v>0</v>
      </c>
      <c r="FK156" s="336">
        <f t="shared" si="951"/>
        <v>0</v>
      </c>
      <c r="FL156" s="336">
        <f t="shared" si="952"/>
        <v>0</v>
      </c>
      <c r="FM156" s="336">
        <f t="shared" si="953"/>
        <v>0</v>
      </c>
      <c r="FN156" s="336">
        <f t="shared" si="954"/>
        <v>0</v>
      </c>
      <c r="FO156" s="336">
        <f t="shared" si="955"/>
        <v>0</v>
      </c>
      <c r="FP156" s="336">
        <f t="shared" si="956"/>
        <v>0</v>
      </c>
      <c r="FQ156" s="336">
        <f t="shared" si="957"/>
        <v>0</v>
      </c>
      <c r="FR156" s="336">
        <f t="shared" si="958"/>
        <v>0</v>
      </c>
      <c r="FS156" s="336">
        <f t="shared" si="959"/>
        <v>0</v>
      </c>
      <c r="FT156" s="336">
        <f t="shared" si="960"/>
        <v>0</v>
      </c>
      <c r="FU156" s="336">
        <f t="shared" si="860"/>
        <v>0</v>
      </c>
      <c r="FV156" s="336">
        <f t="shared" si="861"/>
        <v>0</v>
      </c>
      <c r="FW156" s="336">
        <f t="shared" si="862"/>
        <v>0</v>
      </c>
      <c r="FX156" s="336">
        <f t="shared" si="863"/>
        <v>0</v>
      </c>
      <c r="FY156" s="336">
        <f t="shared" si="961"/>
        <v>0</v>
      </c>
      <c r="FZ156" s="336">
        <f t="shared" si="962"/>
        <v>0</v>
      </c>
      <c r="GA156" s="336">
        <f t="shared" si="963"/>
        <v>0</v>
      </c>
      <c r="GB156" s="336">
        <f t="shared" si="964"/>
        <v>0</v>
      </c>
      <c r="GC156" s="336">
        <f t="shared" si="965"/>
        <v>0</v>
      </c>
      <c r="GD156" s="336">
        <f t="shared" si="966"/>
        <v>0</v>
      </c>
      <c r="GE156" s="336">
        <f t="shared" si="967"/>
        <v>0</v>
      </c>
      <c r="GF156" s="336">
        <f t="shared" si="968"/>
        <v>0</v>
      </c>
      <c r="GG156" s="336">
        <f t="shared" si="969"/>
        <v>0</v>
      </c>
      <c r="GH156" s="336">
        <f t="shared" si="970"/>
        <v>0</v>
      </c>
      <c r="GI156" s="336">
        <f t="shared" si="971"/>
        <v>0</v>
      </c>
      <c r="GJ156" s="336">
        <f t="shared" si="972"/>
        <v>0</v>
      </c>
      <c r="GK156" s="336">
        <f t="shared" ref="GK156:GK167" si="1171">IF(DS156=1,($BC156*DS156),0)</f>
        <v>0</v>
      </c>
      <c r="GL156" s="336">
        <f t="shared" si="975"/>
        <v>0</v>
      </c>
      <c r="GM156" s="336">
        <f t="shared" si="973"/>
        <v>0</v>
      </c>
    </row>
    <row r="157" spans="1:195" ht="38.25" customHeight="1">
      <c r="A157" s="388">
        <f t="shared" si="918"/>
        <v>113</v>
      </c>
      <c r="B157" s="388" t="s">
        <v>527</v>
      </c>
      <c r="C157" s="388" t="s">
        <v>489</v>
      </c>
      <c r="D157" s="787" t="s">
        <v>1669</v>
      </c>
      <c r="E157" s="502" t="s">
        <v>627</v>
      </c>
      <c r="F157" s="578" t="s">
        <v>29</v>
      </c>
      <c r="G157" s="390" t="s">
        <v>350</v>
      </c>
      <c r="H157" s="418">
        <v>8</v>
      </c>
      <c r="I157" s="388" t="s">
        <v>330</v>
      </c>
      <c r="J157" s="388" t="s">
        <v>331</v>
      </c>
      <c r="K157" s="434">
        <v>400</v>
      </c>
      <c r="L157" s="401">
        <v>0.85</v>
      </c>
      <c r="M157" s="418">
        <v>0.95</v>
      </c>
      <c r="N157" s="392">
        <f t="shared" si="901"/>
        <v>14.300116545949852</v>
      </c>
      <c r="O157" s="392">
        <f t="shared" si="1017"/>
        <v>85.800699275699117</v>
      </c>
      <c r="P157" s="401">
        <f t="shared" si="902"/>
        <v>0.2</v>
      </c>
      <c r="Q157" s="418">
        <v>65</v>
      </c>
      <c r="R157" s="418">
        <v>0</v>
      </c>
      <c r="S157" s="418">
        <f t="shared" si="903"/>
        <v>0</v>
      </c>
      <c r="T157" s="401" t="s">
        <v>131</v>
      </c>
      <c r="U157" s="418" t="s">
        <v>333</v>
      </c>
      <c r="V157" s="401">
        <v>25</v>
      </c>
      <c r="W157" s="401" t="str">
        <f t="shared" si="904"/>
        <v>3C X 25</v>
      </c>
      <c r="X157" s="401" t="str">
        <f t="shared" si="905"/>
        <v>3C X 25+PE</v>
      </c>
      <c r="Y157" s="401" t="s">
        <v>358</v>
      </c>
      <c r="Z157" s="393">
        <f>IF(T157="AIR",VLOOKUP(W157,'Catalogue Aluminium'!$B$9:$G$93,2,FALSE),IF(T157="GROUND",VLOOKUP(W157,'Catalogue Aluminium'!$B$9:$G$93,3,FALSE),IF(T157="DUCT",VLOOKUP(W157,'Catalogue Aluminium'!$B$9:$G$93,4,FALSE),IF(T157="TRENCH",VLOOKUP(W157,'Catalogue Aluminium'!$B$9:$G$93,2,FALSE)))))</f>
        <v>95</v>
      </c>
      <c r="AA157" s="402">
        <f>VLOOKUP(W157,'Catalogue Aluminium'!$B$9:$G$93,5,FALSE)</f>
        <v>1.54</v>
      </c>
      <c r="AB157" s="402">
        <f>VLOOKUP(W157,'Catalogue Aluminium'!$B$9:$G$93,6,FALSE)</f>
        <v>8.1600000000000006E-2</v>
      </c>
      <c r="AC157" s="401">
        <f t="shared" ref="AC157" si="1172">17+3</f>
        <v>20</v>
      </c>
      <c r="AD157" s="401">
        <f>42+73+36+17</f>
        <v>168</v>
      </c>
      <c r="AE157" s="401">
        <f t="shared" si="1019"/>
        <v>38</v>
      </c>
      <c r="AF157" s="401">
        <v>8</v>
      </c>
      <c r="AG157" s="401">
        <f t="shared" si="906"/>
        <v>24</v>
      </c>
      <c r="AH157" s="436">
        <f t="shared" si="907"/>
        <v>258</v>
      </c>
      <c r="AI157" s="393">
        <f>IF(T157="AIR",'Catalogue Aluminium'!$K$9,IF(T157="TRENCH",'Catalogue Aluminium'!$K$12,"NA"))</f>
        <v>0.89</v>
      </c>
      <c r="AJ157" s="392">
        <f>IF(T157="Air",(IF(U157="1C",'Catalogue Aluminium'!$L$9,'Catalogue Aluminium'!$M$9)),IF(T157="DUCT",(IF($U157="1C",'Catalogue Aluminium'!$L$10,'Catalogue Aluminium'!$M$10)),IF(T157="GROUND",(IF($U157="1C",'Catalogue Aluminium'!$L$11,'Catalogue Aluminium'!$M$11)),IF(T157="TRENCH",(IF($U157="1C",'Catalogue Aluminium'!$L$12,'Catalogue Aluminium'!$M$12))))))</f>
        <v>0.66</v>
      </c>
      <c r="AK157" s="393" t="str">
        <f>IF(T157="Air",'Catalogue Aluminium'!$N$9,IF(T157="GROUND",'Catalogue Aluminium'!$N$10,IF(T157="DUCT",'Catalogue Aluminium'!$N$11,IF(T157="TRENCH",'Catalogue Aluminium'!$N$12,"NA"))))</f>
        <v>NA</v>
      </c>
      <c r="AL157" s="393" t="str">
        <f>IF(T157="Air",(IF(U157="1C",'Catalogue Aluminium'!$O$9,'Catalogue Aluminium'!$P$9)),IF(T157="DUCT",(IF($U157="1C",'Catalogue Aluminium'!$O$10,'Catalogue Aluminium'!$P$10)),IF(T157="GROUND",(IF($U157="1C",'Catalogue Aluminium'!$O$11,'Catalogue Aluminium'!$P$11)),IF(T157="TRENCH",(IF($U157="1C",'Catalogue Aluminium'!$O$12,'Catalogue Aluminium'!$P$12))))))</f>
        <v>NA</v>
      </c>
      <c r="AM157" s="393" t="str">
        <f>IF(T157="AIR","NA",IF(T157="TRENCH","NA",IF(T157="DUCT",IF(U157="1C",VLOOKUP(V157,'Catalogue Aluminium'!$Q$9:$S$28,2,FALSE),VLOOKUP(V157,'Catalogue Aluminium'!$Q$9:$S$28,3)),IF(T157="GROUND",IF(U157="1C",VLOOKUP(V157,'Catalogue Aluminium'!$Q$9:$S$28,2,FALSE),VLOOKUP(V157,'Catalogue Aluminium'!$Q$9:$S$28,3))))))</f>
        <v>NA</v>
      </c>
      <c r="AN157" s="437">
        <f t="shared" si="908"/>
        <v>0.58740000000000003</v>
      </c>
      <c r="AO157" s="418">
        <f t="shared" si="909"/>
        <v>55.803000000000004</v>
      </c>
      <c r="AP157" s="434">
        <f t="shared" si="1020"/>
        <v>1</v>
      </c>
      <c r="AQ157" s="418" t="str">
        <f t="shared" si="910"/>
        <v>YES</v>
      </c>
      <c r="AR157" s="437">
        <f t="shared" si="911"/>
        <v>2.1598915346293617</v>
      </c>
      <c r="AS157" s="401" t="str">
        <f t="shared" si="912"/>
        <v>YES</v>
      </c>
      <c r="AT157" s="437">
        <f t="shared" si="1021"/>
        <v>3.7186767755189281</v>
      </c>
      <c r="AU157" s="401" t="str">
        <f t="shared" si="914"/>
        <v>YES</v>
      </c>
      <c r="AV157" s="503" t="str">
        <f t="shared" si="1011"/>
        <v>1R x 0.6/1kV x 3C x 25 Sqmm</v>
      </c>
      <c r="AW157" s="503" t="str">
        <f t="shared" si="916"/>
        <v>1R x 0.6/1kV x 3C x 25+PE Sqmm</v>
      </c>
      <c r="AX157" s="401">
        <f t="shared" si="1022"/>
        <v>258</v>
      </c>
      <c r="AY157" s="504"/>
      <c r="AZ157" s="504">
        <f t="shared" si="1023"/>
        <v>2</v>
      </c>
      <c r="BA157" s="438" t="str">
        <f t="shared" si="1024"/>
        <v>ACDEE1E2</v>
      </c>
      <c r="BB157" s="505">
        <f>VLOOKUP(W157,'Catalogue Aluminium'!$B$9:$H$93,7,FALSE)</f>
        <v>21</v>
      </c>
      <c r="BC157" s="439">
        <f t="shared" si="1025"/>
        <v>21</v>
      </c>
      <c r="BE157" s="527"/>
      <c r="BF157" s="336">
        <v>1</v>
      </c>
      <c r="BG157" s="336"/>
      <c r="BH157" s="336"/>
      <c r="BI157" s="336">
        <v>1</v>
      </c>
      <c r="BJ157" s="336">
        <v>1</v>
      </c>
      <c r="BK157" s="336"/>
      <c r="BL157" s="336"/>
      <c r="BM157" s="336"/>
      <c r="BN157" s="336">
        <v>1</v>
      </c>
      <c r="BO157" s="336"/>
      <c r="BP157" s="336">
        <v>1</v>
      </c>
      <c r="BQ157" s="336">
        <v>1</v>
      </c>
      <c r="BR157" s="527"/>
      <c r="BS157" s="527"/>
      <c r="BT157" s="527"/>
      <c r="BU157" s="527"/>
      <c r="BV157" s="527"/>
      <c r="BW157" s="527"/>
      <c r="BX157" s="527"/>
      <c r="BY157" s="527"/>
      <c r="BZ157" s="527"/>
      <c r="CA157" s="527"/>
      <c r="CB157" s="527"/>
      <c r="CC157" s="527"/>
      <c r="CD157" s="527"/>
      <c r="CE157" s="527"/>
      <c r="CF157" s="527"/>
      <c r="CG157" s="527"/>
      <c r="CH157" s="527"/>
      <c r="CI157" s="527"/>
      <c r="CJ157" s="527"/>
      <c r="CK157" s="527"/>
      <c r="CL157" s="527"/>
      <c r="CM157" s="527"/>
      <c r="CN157" s="527"/>
      <c r="CO157" s="527"/>
      <c r="CP157" s="527"/>
      <c r="CQ157" s="527"/>
      <c r="CR157" s="527"/>
      <c r="CS157" s="527"/>
      <c r="CT157" s="527"/>
      <c r="CU157" s="527"/>
      <c r="CV157" s="527"/>
      <c r="CW157" s="527"/>
      <c r="CX157" s="527"/>
      <c r="CY157" s="527"/>
      <c r="CZ157" s="527"/>
      <c r="DA157" s="527"/>
      <c r="DB157" s="527"/>
      <c r="DC157" s="527"/>
      <c r="DD157" s="527"/>
      <c r="DE157" s="527"/>
      <c r="DF157" s="527"/>
      <c r="DG157" s="527"/>
      <c r="DH157" s="527"/>
      <c r="DI157" s="527"/>
      <c r="DJ157" s="527"/>
      <c r="DK157" s="527"/>
      <c r="DL157" s="527"/>
      <c r="DM157" s="527"/>
      <c r="DN157" s="527"/>
      <c r="DO157" s="527"/>
      <c r="DP157" s="527"/>
      <c r="DQ157" s="527"/>
      <c r="DR157" s="527"/>
      <c r="DS157" s="527"/>
      <c r="DT157" s="527"/>
      <c r="DU157" s="527"/>
      <c r="DW157" s="336">
        <f t="shared" si="1012"/>
        <v>0</v>
      </c>
      <c r="DX157" s="336">
        <f t="shared" si="1004"/>
        <v>21</v>
      </c>
      <c r="DY157" s="336">
        <f t="shared" si="1005"/>
        <v>0</v>
      </c>
      <c r="DZ157" s="336">
        <f t="shared" si="1006"/>
        <v>0</v>
      </c>
      <c r="EA157" s="336">
        <f t="shared" si="1007"/>
        <v>21</v>
      </c>
      <c r="EB157" s="336">
        <f t="shared" si="1008"/>
        <v>21</v>
      </c>
      <c r="EC157" s="336">
        <f t="shared" si="1009"/>
        <v>0</v>
      </c>
      <c r="ED157" s="336">
        <f t="shared" si="919"/>
        <v>0</v>
      </c>
      <c r="EE157" s="336">
        <f t="shared" si="920"/>
        <v>0</v>
      </c>
      <c r="EF157" s="336">
        <f t="shared" si="921"/>
        <v>21</v>
      </c>
      <c r="EG157" s="336">
        <f t="shared" si="922"/>
        <v>0</v>
      </c>
      <c r="EH157" s="336">
        <f t="shared" si="923"/>
        <v>21</v>
      </c>
      <c r="EI157" s="336">
        <f t="shared" si="924"/>
        <v>21</v>
      </c>
      <c r="EJ157" s="336">
        <f t="shared" si="925"/>
        <v>0</v>
      </c>
      <c r="EK157" s="336">
        <f t="shared" si="926"/>
        <v>0</v>
      </c>
      <c r="EL157" s="336">
        <f t="shared" si="927"/>
        <v>0</v>
      </c>
      <c r="EM157" s="336">
        <f t="shared" si="928"/>
        <v>0</v>
      </c>
      <c r="EN157" s="336">
        <f t="shared" si="929"/>
        <v>0</v>
      </c>
      <c r="EO157" s="336">
        <f t="shared" si="930"/>
        <v>0</v>
      </c>
      <c r="EP157" s="336">
        <f t="shared" si="931"/>
        <v>0</v>
      </c>
      <c r="EQ157" s="336">
        <f t="shared" si="932"/>
        <v>0</v>
      </c>
      <c r="ER157" s="336">
        <f t="shared" si="933"/>
        <v>0</v>
      </c>
      <c r="ES157" s="336">
        <f t="shared" si="934"/>
        <v>0</v>
      </c>
      <c r="ET157" s="336">
        <f t="shared" si="934"/>
        <v>0</v>
      </c>
      <c r="EU157" s="336">
        <f t="shared" si="935"/>
        <v>0</v>
      </c>
      <c r="EV157" s="336">
        <f t="shared" si="936"/>
        <v>0</v>
      </c>
      <c r="EW157" s="336">
        <f t="shared" si="937"/>
        <v>0</v>
      </c>
      <c r="EX157" s="336">
        <f t="shared" si="938"/>
        <v>0</v>
      </c>
      <c r="EY157" s="336">
        <f t="shared" si="939"/>
        <v>0</v>
      </c>
      <c r="EZ157" s="336">
        <f t="shared" si="940"/>
        <v>0</v>
      </c>
      <c r="FA157" s="336">
        <f t="shared" si="941"/>
        <v>0</v>
      </c>
      <c r="FB157" s="336">
        <f t="shared" si="942"/>
        <v>0</v>
      </c>
      <c r="FC157" s="336">
        <f t="shared" si="943"/>
        <v>0</v>
      </c>
      <c r="FD157" s="336">
        <f t="shared" si="944"/>
        <v>0</v>
      </c>
      <c r="FE157" s="336">
        <f t="shared" si="945"/>
        <v>0</v>
      </c>
      <c r="FF157" s="336">
        <f t="shared" si="946"/>
        <v>0</v>
      </c>
      <c r="FG157" s="336">
        <f t="shared" si="947"/>
        <v>0</v>
      </c>
      <c r="FH157" s="336">
        <f t="shared" si="948"/>
        <v>0</v>
      </c>
      <c r="FI157" s="336">
        <f t="shared" si="949"/>
        <v>0</v>
      </c>
      <c r="FJ157" s="336">
        <f t="shared" si="950"/>
        <v>0</v>
      </c>
      <c r="FK157" s="336">
        <f t="shared" si="951"/>
        <v>0</v>
      </c>
      <c r="FL157" s="336">
        <f t="shared" si="952"/>
        <v>0</v>
      </c>
      <c r="FM157" s="336">
        <f t="shared" si="953"/>
        <v>0</v>
      </c>
      <c r="FN157" s="336">
        <f t="shared" si="954"/>
        <v>0</v>
      </c>
      <c r="FO157" s="336">
        <f t="shared" si="955"/>
        <v>0</v>
      </c>
      <c r="FP157" s="336">
        <f t="shared" si="956"/>
        <v>0</v>
      </c>
      <c r="FQ157" s="336">
        <f t="shared" si="957"/>
        <v>0</v>
      </c>
      <c r="FR157" s="336">
        <f t="shared" si="958"/>
        <v>0</v>
      </c>
      <c r="FS157" s="336">
        <f t="shared" si="959"/>
        <v>0</v>
      </c>
      <c r="FT157" s="336">
        <f t="shared" si="960"/>
        <v>0</v>
      </c>
      <c r="FU157" s="336">
        <f t="shared" si="860"/>
        <v>0</v>
      </c>
      <c r="FV157" s="336">
        <f t="shared" si="861"/>
        <v>0</v>
      </c>
      <c r="FW157" s="336">
        <f t="shared" si="862"/>
        <v>0</v>
      </c>
      <c r="FX157" s="336">
        <f t="shared" si="863"/>
        <v>0</v>
      </c>
      <c r="FY157" s="336">
        <f t="shared" si="961"/>
        <v>0</v>
      </c>
      <c r="FZ157" s="336">
        <f t="shared" si="962"/>
        <v>0</v>
      </c>
      <c r="GA157" s="336">
        <f t="shared" si="963"/>
        <v>0</v>
      </c>
      <c r="GB157" s="336">
        <f t="shared" si="964"/>
        <v>0</v>
      </c>
      <c r="GC157" s="336">
        <f t="shared" si="965"/>
        <v>0</v>
      </c>
      <c r="GD157" s="336">
        <f t="shared" si="966"/>
        <v>0</v>
      </c>
      <c r="GE157" s="336">
        <f t="shared" si="967"/>
        <v>0</v>
      </c>
      <c r="GF157" s="336">
        <f t="shared" si="968"/>
        <v>0</v>
      </c>
      <c r="GG157" s="336">
        <f t="shared" si="969"/>
        <v>0</v>
      </c>
      <c r="GH157" s="336">
        <f t="shared" si="970"/>
        <v>0</v>
      </c>
      <c r="GI157" s="336">
        <f t="shared" si="971"/>
        <v>0</v>
      </c>
      <c r="GJ157" s="336">
        <f t="shared" si="972"/>
        <v>0</v>
      </c>
      <c r="GK157" s="336">
        <f t="shared" si="1171"/>
        <v>0</v>
      </c>
      <c r="GL157" s="336">
        <f t="shared" si="975"/>
        <v>0</v>
      </c>
      <c r="GM157" s="336">
        <f t="shared" si="973"/>
        <v>0</v>
      </c>
    </row>
    <row r="158" spans="1:195" s="869" customFormat="1" ht="38.25" customHeight="1">
      <c r="A158" s="406">
        <f t="shared" si="918"/>
        <v>114</v>
      </c>
      <c r="B158" s="406" t="s">
        <v>527</v>
      </c>
      <c r="C158" s="406" t="s">
        <v>489</v>
      </c>
      <c r="D158" s="787" t="s">
        <v>1663</v>
      </c>
      <c r="E158" s="580" t="s">
        <v>1670</v>
      </c>
      <c r="F158" s="581" t="s">
        <v>29</v>
      </c>
      <c r="G158" s="405" t="s">
        <v>350</v>
      </c>
      <c r="H158" s="583">
        <v>15</v>
      </c>
      <c r="I158" s="406" t="s">
        <v>330</v>
      </c>
      <c r="J158" s="406" t="s">
        <v>331</v>
      </c>
      <c r="K158" s="585">
        <v>400</v>
      </c>
      <c r="L158" s="409">
        <v>0.85</v>
      </c>
      <c r="M158" s="583">
        <v>0.95</v>
      </c>
      <c r="N158" s="407">
        <f t="shared" ref="N158" si="1173">IF(I158="kVA",IF(J158="3Ph",(H158*1000/(1.732*M158*K158)),(H158*1000/(M158*K158))),IF(I158="kW",IF(J158="3Ph",(H158*1000/(1.732*M158*K158*L158)),(H158*1000/(M158*K158*L158)))))</f>
        <v>26.81271852365597</v>
      </c>
      <c r="O158" s="407">
        <f t="shared" ref="O158" si="1174">IF(G158="MOTOR",(6*N158),IF(G158="VFD",(1*N158),0))</f>
        <v>160.87631114193582</v>
      </c>
      <c r="P158" s="409">
        <f t="shared" ref="P158" si="1175">IF(G158="MOTOR",0.2,"0.00")</f>
        <v>0.2</v>
      </c>
      <c r="Q158" s="583">
        <v>65</v>
      </c>
      <c r="R158" s="583">
        <v>0</v>
      </c>
      <c r="S158" s="583">
        <f t="shared" ref="S158" si="1176">(Q158*1000*SQRT(R158)/143)</f>
        <v>0</v>
      </c>
      <c r="T158" s="409" t="s">
        <v>131</v>
      </c>
      <c r="U158" s="583" t="s">
        <v>333</v>
      </c>
      <c r="V158" s="409">
        <v>35</v>
      </c>
      <c r="W158" s="409" t="str">
        <f t="shared" ref="W158" si="1177">CONCATENATE(U158," X ",V158)</f>
        <v>3C X 35</v>
      </c>
      <c r="X158" s="409" t="str">
        <f t="shared" ref="X158" si="1178">(IF(J158="1Ph",W158,IF(J158="3Ph",(IF(G158="MOTOR",(CONCATENATE(W158,"+PE")),W158)))))</f>
        <v>3C X 35+PE</v>
      </c>
      <c r="Y158" s="409" t="s">
        <v>358</v>
      </c>
      <c r="Z158" s="408">
        <f>IF(T158="AIR",VLOOKUP(W158,'Catalogue Aluminium'!$B$9:$G$93,2,FALSE),IF(T158="GROUND",VLOOKUP(W158,'Catalogue Aluminium'!$B$9:$G$93,3,FALSE),IF(T158="DUCT",VLOOKUP(W158,'Catalogue Aluminium'!$B$9:$G$93,4,FALSE),IF(T158="TRENCH",VLOOKUP(W158,'Catalogue Aluminium'!$B$9:$G$93,2,FALSE)))))</f>
        <v>117</v>
      </c>
      <c r="AA158" s="410">
        <f>VLOOKUP(W158,'Catalogue Aluminium'!$B$9:$G$93,5,FALSE)</f>
        <v>1.1100000000000001</v>
      </c>
      <c r="AB158" s="410">
        <f>VLOOKUP(W158,'Catalogue Aluminium'!$B$9:$G$93,6,FALSE)</f>
        <v>7.9399999999999998E-2</v>
      </c>
      <c r="AC158" s="409">
        <f>26+3</f>
        <v>29</v>
      </c>
      <c r="AD158" s="409">
        <f t="shared" ref="AD158" si="1179">40+50+22+30</f>
        <v>142</v>
      </c>
      <c r="AE158" s="409">
        <f t="shared" si="1019"/>
        <v>38</v>
      </c>
      <c r="AF158" s="409">
        <v>8</v>
      </c>
      <c r="AG158" s="409">
        <f t="shared" ref="AG158" si="1180">ROUNDUP((SUM(AC158:AF158)*0.1),0)</f>
        <v>22</v>
      </c>
      <c r="AH158" s="865">
        <f t="shared" ref="AH158" si="1181">SUM(AC158:AG158)</f>
        <v>239</v>
      </c>
      <c r="AI158" s="408">
        <f>IF(T158="AIR",'Catalogue Aluminium'!$K$9,IF(T158="TRENCH",'Catalogue Aluminium'!$K$12,"NA"))</f>
        <v>0.89</v>
      </c>
      <c r="AJ158" s="407">
        <f>IF(T158="Air",(IF(U158="1C",'Catalogue Aluminium'!$L$9,'Catalogue Aluminium'!$M$9)),IF(T158="DUCT",(IF($U158="1C",'Catalogue Aluminium'!$L$10,'Catalogue Aluminium'!$M$10)),IF(T158="GROUND",(IF($U158="1C",'Catalogue Aluminium'!$L$11,'Catalogue Aluminium'!$M$11)),IF(T158="TRENCH",(IF($U158="1C",'Catalogue Aluminium'!$L$12,'Catalogue Aluminium'!$M$12))))))</f>
        <v>0.66</v>
      </c>
      <c r="AK158" s="408" t="str">
        <f>IF(T158="Air",'Catalogue Aluminium'!$N$9,IF(T158="GROUND",'Catalogue Aluminium'!$N$10,IF(T158="DUCT",'Catalogue Aluminium'!$N$11,IF(T158="TRENCH",'Catalogue Aluminium'!$N$12,"NA"))))</f>
        <v>NA</v>
      </c>
      <c r="AL158" s="408" t="str">
        <f>IF(T158="Air",(IF(U158="1C",'Catalogue Aluminium'!$O$9,'Catalogue Aluminium'!$P$9)),IF(T158="DUCT",(IF($U158="1C",'Catalogue Aluminium'!$O$10,'Catalogue Aluminium'!$P$10)),IF(T158="GROUND",(IF($U158="1C",'Catalogue Aluminium'!$O$11,'Catalogue Aluminium'!$P$11)),IF(T158="TRENCH",(IF($U158="1C",'Catalogue Aluminium'!$O$12,'Catalogue Aluminium'!$P$12))))))</f>
        <v>NA</v>
      </c>
      <c r="AM158" s="408" t="str">
        <f>IF(T158="AIR","NA",IF(T158="TRENCH","NA",IF(T158="DUCT",IF(U158="1C",VLOOKUP(V158,'Catalogue Aluminium'!$Q$9:$S$28,2,FALSE),VLOOKUP(V158,'Catalogue Aluminium'!$Q$9:$S$28,3)),IF(T158="GROUND",IF(U158="1C",VLOOKUP(V158,'Catalogue Aluminium'!$Q$9:$S$28,2,FALSE),VLOOKUP(V158,'Catalogue Aluminium'!$Q$9:$S$28,3))))))</f>
        <v>NA</v>
      </c>
      <c r="AN158" s="584">
        <f t="shared" ref="AN158" si="1182">IF(T158="AIR",AI158*AJ158,IF(T158="TRENCH",AI158*AJ158,IF(T158="DUCT",AJ158*AK158*AL158*AM158,IF(T158="GROUND",AJ158*AK158*AL158*AM158))))</f>
        <v>0.58740000000000003</v>
      </c>
      <c r="AO158" s="583">
        <f t="shared" ref="AO158" si="1183">Z158*AN158</f>
        <v>68.725800000000007</v>
      </c>
      <c r="AP158" s="585">
        <f t="shared" ref="AP158" si="1184">CEILING(((N158)/AO158),1)</f>
        <v>1</v>
      </c>
      <c r="AQ158" s="583" t="str">
        <f t="shared" ref="AQ158" si="1185">IF(AO158*AP158&gt;=N158,"YES","NO")</f>
        <v>YES</v>
      </c>
      <c r="AR158" s="584">
        <f t="shared" ref="AR158" si="1186">SQRT(3)*AH158*N158*((AA158*L158)+(AB158*SIN(ACOS(L158))))*100/(AP158*K158*1000)</f>
        <v>2.7341325748867424</v>
      </c>
      <c r="AS158" s="409" t="str">
        <f t="shared" ref="AS158" si="1187">IF(G158="INCOMER",(IF(AR158&lt;=2,"YES","NO")),IF(G158="POWER",(IF(AR158&lt;=2.5,"YES","NO")),IF(G158="MOTOR",(IF(AR158&lt;=3,"YES","NO")))))</f>
        <v>YES</v>
      </c>
      <c r="AT158" s="584">
        <f t="shared" ref="AT158" si="1188">IF(G158="MOTOR",(SQRT(3)*AH158*O158*((AA158*P158)+(AB158*SIN(ACOS(P158))))*100/(AP158*K158*1000)),"NA")</f>
        <v>4.9913287162400248</v>
      </c>
      <c r="AU158" s="409" t="str">
        <f t="shared" ref="AU158" si="1189">IF(G158="MOTOR",IF(AT158&lt;=15,"YES","NO"),"NA")</f>
        <v>YES</v>
      </c>
      <c r="AV158" s="586" t="str">
        <f t="shared" ref="AV158" si="1190">IF(U158="1C",CONCATENATE(AP158,"R x ",Y158,"kV x ",U158," x ",V158," Sqmm/Phase"),CONCATENATE(AP158,"R x ",0.6,"/1kV x ",U158," x ",V158," Sqmm"))</f>
        <v>1R x 0.6/1kV x 3C x 35 Sqmm</v>
      </c>
      <c r="AW158" s="586" t="str">
        <f t="shared" ref="AW158" si="1191">IF(U158="1C",CONCATENATE(AP158,"R x ",Y158,"kV x ",U158," x ",V158," Sqmm/Phase"),CONCATENATE(AP158,"R x ",0.6,"/1kV x ",U158," x ",V158,(IF(G158="MOTOR","+PE",""))," Sqmm"))</f>
        <v>1R x 0.6/1kV x 3C x 35+PE Sqmm</v>
      </c>
      <c r="AX158" s="409">
        <f t="shared" ref="AX158" si="1192">(IF(K158=400,(IF(U158="1C",(4*AH158*AP158),(AH158*AP158))),IF(K158=230,(AH158*AP158))))</f>
        <v>239</v>
      </c>
      <c r="AY158" s="866"/>
      <c r="AZ158" s="866">
        <f t="shared" ref="AZ158" si="1193">IF(U158="1C",(3*AP158*2),(AP158*2))</f>
        <v>2</v>
      </c>
      <c r="BA158" s="867" t="str">
        <f t="shared" ref="BA158" si="1194">CONCATENATE(IF(BE158=1,BE$4,""),IF(BF158=1,BF$4,""),IF(BG158=1,BG$4,""),IF(BH158=1,BH$4,""),IF(BI158=1,BI$4,""),IF(BJ158=1,BJ$4,""),IF(BK158=1,BK$4,""),IF(BL158=1,BL$4,""),IF(BM158=1,BM$4,""),IF(BN158=1,BN$4,""),IF(BO158=1,BO$4,""),IF(BP158=1,BP$4,""),IF(BQ158=1,BQ$4,""),IF(BR158=1,BR$4,""),IF(BS158=1,BS$4,""),IF(BT158=1,BT$4,""),IF(BU158=1,BU$4,""),IF(BV158=1,BV$4,""),IF(BW158=1,BW$4,""),IF(BX158=1,BX$4,""),IF(BY158=1,BY$4,""),IF(BZ158=1,BZ$4,""),IF(CA158=1,CA$4,""),IF(CB158=1,CB$4,""),IF(CC158=1,CC$4,""),IF(CD158=1,CD$4,""),IF(CE158=1,CE$4,""),IF(CF158=1,CF$4,""),IF(CG158=1,CG$4,""),IF(CH158=1,CH$4,""),IF(CI158=1,CI$4,""),IF(CJ158=1,CJ$4,""),IF(CK158=1,CK$4,""),IF(CL158=1,CL$4,""),IF(CM158=1,CM$4,""),IF(CN158=1,CN$4,""),IF(CO158=1,CO$4,""),IF(CP158=1,CP$4,""),IF(CQ158=1,CQ$4,""),IF(CR158=1,CR$4,""),IF(CS158=1,CS$4,""),IF(CT158=1,CT$4,""),IF(CU158=1,CU$4,""),IF(CV158=1,CV$4,""),IF(CW158=1,CW$4,""),IF(CX158=1,CX$4,""),IF(CY158=1,CY$4,""),IF(CZ158=1,CZ$4,""),IF(DA158=1,DA$4,""),IF(DB158=1,DB$4,""),IF(DC158=1,DC$4,""),IF(DD158=1,DD$4,""),IF(DE158=1,DE$4,""),IF(DF158=1,DF$4,""),IF(DG158=1,DG$4,""),IF(DH158=1,DH$4,""),IF(DI158=1,DI$4,""),IF(DJ158=1,DJ$4,""),IF(DK158=1,DK$4,""),IF(DL158=1,DL$4,""),IF(DM158=1,DM$4,""),IF(DN158=1,DN$4,""),IF(DO158=1,DO$4,""),IF(DP158=1,DP$4,""),IF(DQ158=1,DQ$4,""),IF(DR158=1,DR$4,""),IF(DS158=1,DS$4,""),IF(DT158=1,DT$4,""),IF(DU158=1,DU$4,""))</f>
        <v>ACDEE1E2</v>
      </c>
      <c r="BB158" s="868">
        <f>VLOOKUP(W158,'Catalogue Aluminium'!$B$9:$H$93,7,FALSE)</f>
        <v>23</v>
      </c>
      <c r="BC158" s="789">
        <f t="shared" ref="BC158" si="1195">AP158*BB158</f>
        <v>23</v>
      </c>
      <c r="BE158" s="892"/>
      <c r="BF158" s="587">
        <v>1</v>
      </c>
      <c r="BG158" s="587"/>
      <c r="BH158" s="587"/>
      <c r="BI158" s="587">
        <v>1</v>
      </c>
      <c r="BJ158" s="587">
        <v>1</v>
      </c>
      <c r="BK158" s="587"/>
      <c r="BL158" s="587"/>
      <c r="BM158" s="587"/>
      <c r="BN158" s="587">
        <v>1</v>
      </c>
      <c r="BO158" s="587"/>
      <c r="BP158" s="587">
        <v>1</v>
      </c>
      <c r="BQ158" s="587">
        <v>1</v>
      </c>
      <c r="BR158" s="892"/>
      <c r="BS158" s="892"/>
      <c r="BT158" s="892"/>
      <c r="BU158" s="892"/>
      <c r="BV158" s="892"/>
      <c r="BW158" s="892"/>
      <c r="BX158" s="892"/>
      <c r="BY158" s="892"/>
      <c r="BZ158" s="892"/>
      <c r="CA158" s="892"/>
      <c r="CB158" s="892"/>
      <c r="CC158" s="892"/>
      <c r="CD158" s="892"/>
      <c r="CE158" s="892"/>
      <c r="CF158" s="892"/>
      <c r="CG158" s="892"/>
      <c r="CH158" s="892"/>
      <c r="CI158" s="892"/>
      <c r="CJ158" s="892"/>
      <c r="CK158" s="892"/>
      <c r="CL158" s="892"/>
      <c r="CM158" s="892"/>
      <c r="CN158" s="892"/>
      <c r="CO158" s="892"/>
      <c r="CP158" s="892"/>
      <c r="CQ158" s="892"/>
      <c r="CR158" s="892"/>
      <c r="CS158" s="892"/>
      <c r="CT158" s="892"/>
      <c r="CU158" s="892"/>
      <c r="CV158" s="892"/>
      <c r="CW158" s="892"/>
      <c r="CX158" s="892"/>
      <c r="CY158" s="892"/>
      <c r="CZ158" s="892"/>
      <c r="DA158" s="892"/>
      <c r="DB158" s="892"/>
      <c r="DC158" s="892"/>
      <c r="DD158" s="892"/>
      <c r="DE158" s="892"/>
      <c r="DF158" s="892"/>
      <c r="DG158" s="892"/>
      <c r="DH158" s="892"/>
      <c r="DI158" s="892"/>
      <c r="DJ158" s="892"/>
      <c r="DK158" s="892"/>
      <c r="DL158" s="892"/>
      <c r="DM158" s="892"/>
      <c r="DN158" s="892"/>
      <c r="DO158" s="892"/>
      <c r="DP158" s="892"/>
      <c r="DQ158" s="892"/>
      <c r="DR158" s="892"/>
      <c r="DS158" s="892"/>
      <c r="DT158" s="892"/>
      <c r="DU158" s="892"/>
      <c r="DW158" s="587">
        <f t="shared" ref="DW158" si="1196">IF(BE158=1,($BC158*BE158),0)</f>
        <v>0</v>
      </c>
      <c r="DX158" s="587">
        <f t="shared" ref="DX158" si="1197">IF(BF158=1,($BC158*BF158),0)</f>
        <v>23</v>
      </c>
      <c r="DY158" s="587">
        <f t="shared" ref="DY158" si="1198">IF(BG158=1,($BC158*BG158),0)</f>
        <v>0</v>
      </c>
      <c r="DZ158" s="587">
        <f t="shared" ref="DZ158" si="1199">IF(BH158=1,($BC158*BH158),0)</f>
        <v>0</v>
      </c>
      <c r="EA158" s="587">
        <f t="shared" ref="EA158" si="1200">IF(BI158=1,($BC158*BI158),0)</f>
        <v>23</v>
      </c>
      <c r="EB158" s="587">
        <f t="shared" ref="EB158" si="1201">IF(BJ158=1,($BC158*BJ158),0)</f>
        <v>23</v>
      </c>
      <c r="EC158" s="587">
        <f t="shared" ref="EC158" si="1202">IF(BK158=1,($BC158*BK158),0)</f>
        <v>0</v>
      </c>
      <c r="ED158" s="587">
        <f t="shared" ref="ED158" si="1203">IF(BL158=1,($BC158*BL158),0)</f>
        <v>0</v>
      </c>
      <c r="EE158" s="587">
        <f t="shared" ref="EE158" si="1204">IF(BM158=1,($BC158*BM158),0)</f>
        <v>0</v>
      </c>
      <c r="EF158" s="587">
        <f t="shared" ref="EF158" si="1205">IF(BN158=1,($BC158*BN158),0)</f>
        <v>23</v>
      </c>
      <c r="EG158" s="587">
        <f t="shared" ref="EG158" si="1206">IF(BO158=1,($BC158*BO158),0)</f>
        <v>0</v>
      </c>
      <c r="EH158" s="587">
        <f t="shared" ref="EH158" si="1207">IF(BP158=1,($BC158*BP158),0)</f>
        <v>23</v>
      </c>
      <c r="EI158" s="587">
        <f t="shared" ref="EI158" si="1208">IF(BQ158=1,($BC158*BQ158),0)</f>
        <v>23</v>
      </c>
      <c r="EJ158" s="587">
        <f t="shared" ref="EJ158" si="1209">IF(BR158=1,($BC158*BR158),0)</f>
        <v>0</v>
      </c>
      <c r="EK158" s="587">
        <f t="shared" ref="EK158" si="1210">IF(BS158=1,($BC158*BS158),0)</f>
        <v>0</v>
      </c>
      <c r="EL158" s="587">
        <f t="shared" ref="EL158" si="1211">IF(BT158=1,($BC158*BT158),0)</f>
        <v>0</v>
      </c>
      <c r="EM158" s="587">
        <f t="shared" ref="EM158" si="1212">IF(BU158=1,($BC158*BU158),0)</f>
        <v>0</v>
      </c>
      <c r="EN158" s="587">
        <f t="shared" ref="EN158" si="1213">IF(BV158=1,($BC158*BV158),0)</f>
        <v>0</v>
      </c>
      <c r="EO158" s="587">
        <f t="shared" ref="EO158" si="1214">IF(BW158=1,($BC158*BW158),0)</f>
        <v>0</v>
      </c>
      <c r="EP158" s="587">
        <f t="shared" ref="EP158" si="1215">IF(BX158=1,($BC158*BX158),0)</f>
        <v>0</v>
      </c>
      <c r="EQ158" s="587">
        <f t="shared" ref="EQ158" si="1216">IF(BY158=1,($BC158*BY158),0)</f>
        <v>0</v>
      </c>
      <c r="ER158" s="587">
        <f t="shared" ref="ER158" si="1217">IF(BZ158=1,($BC158*BZ158),0)</f>
        <v>0</v>
      </c>
      <c r="ES158" s="587">
        <f t="shared" ref="ES158" si="1218">IF(CA158=1,($BC158*CA158),0)</f>
        <v>0</v>
      </c>
      <c r="ET158" s="587">
        <f t="shared" ref="ET158" si="1219">IF(CB158=1,($BC158*CB158),0)</f>
        <v>0</v>
      </c>
      <c r="EU158" s="587">
        <f t="shared" ref="EU158" si="1220">IF(CC158=1,($BC158*CC158),0)</f>
        <v>0</v>
      </c>
      <c r="EV158" s="587">
        <f t="shared" ref="EV158" si="1221">IF(CD158=1,($BC158*CD158),0)</f>
        <v>0</v>
      </c>
      <c r="EW158" s="587">
        <f t="shared" ref="EW158" si="1222">IF(CE158=1,($BC158*CE158),0)</f>
        <v>0</v>
      </c>
      <c r="EX158" s="587">
        <f t="shared" ref="EX158" si="1223">IF(CF158=1,($BC158*CF158),0)</f>
        <v>0</v>
      </c>
      <c r="EY158" s="587">
        <f t="shared" ref="EY158" si="1224">IF(CG158=1,($BC158*CG158),0)</f>
        <v>0</v>
      </c>
      <c r="EZ158" s="587">
        <f t="shared" ref="EZ158" si="1225">IF(CH158=1,($BC158*CH158),0)</f>
        <v>0</v>
      </c>
      <c r="FA158" s="587">
        <f t="shared" ref="FA158" si="1226">IF(CI158=1,($BC158*CI158),0)</f>
        <v>0</v>
      </c>
      <c r="FB158" s="587">
        <f t="shared" ref="FB158" si="1227">IF(CJ158=1,($BC158*CJ158),0)</f>
        <v>0</v>
      </c>
      <c r="FC158" s="587">
        <f t="shared" ref="FC158" si="1228">IF(CK158=1,($BC158*CK158),0)</f>
        <v>0</v>
      </c>
      <c r="FD158" s="587">
        <f t="shared" ref="FD158" si="1229">IF(CL158=1,($BC158*CL158),0)</f>
        <v>0</v>
      </c>
      <c r="FE158" s="587">
        <f t="shared" ref="FE158" si="1230">IF(CM158=1,($BC158*CM158),0)</f>
        <v>0</v>
      </c>
      <c r="FF158" s="587">
        <f t="shared" ref="FF158" si="1231">IF(CN158=1,($BC158*CN158),0)</f>
        <v>0</v>
      </c>
      <c r="FG158" s="587">
        <f t="shared" ref="FG158" si="1232">IF(CO158=1,($BC158*CO158),0)</f>
        <v>0</v>
      </c>
      <c r="FH158" s="587">
        <f t="shared" ref="FH158" si="1233">IF(CP158=1,($BC158*CP158),0)</f>
        <v>0</v>
      </c>
      <c r="FI158" s="587">
        <f t="shared" ref="FI158" si="1234">IF(CQ158=1,($BC158*CQ158),0)</f>
        <v>0</v>
      </c>
      <c r="FJ158" s="587">
        <f t="shared" ref="FJ158" si="1235">IF(CR158=1,($BC158*CR158),0)</f>
        <v>0</v>
      </c>
      <c r="FK158" s="587">
        <f t="shared" ref="FK158" si="1236">IF(CS158=1,($BC158*CS158),0)</f>
        <v>0</v>
      </c>
      <c r="FL158" s="587">
        <f t="shared" ref="FL158" si="1237">IF(CT158=1,($BC158*CT158),0)</f>
        <v>0</v>
      </c>
      <c r="FM158" s="587">
        <f t="shared" ref="FM158" si="1238">IF(CU158=1,($BC158*CU158),0)</f>
        <v>0</v>
      </c>
      <c r="FN158" s="587">
        <f t="shared" ref="FN158" si="1239">IF(CV158=1,($BC158*CV158),0)</f>
        <v>0</v>
      </c>
      <c r="FO158" s="587">
        <f t="shared" ref="FO158" si="1240">IF(CW158=1,($BC158*CW158),0)</f>
        <v>0</v>
      </c>
      <c r="FP158" s="587">
        <f t="shared" ref="FP158" si="1241">IF(CX158=1,($BC158*CX158),0)</f>
        <v>0</v>
      </c>
      <c r="FQ158" s="587">
        <f t="shared" ref="FQ158" si="1242">IF(CY158=1,($BC158*CY158),0)</f>
        <v>0</v>
      </c>
      <c r="FR158" s="587">
        <f t="shared" ref="FR158" si="1243">IF(CZ158=1,($BC158*CZ158),0)</f>
        <v>0</v>
      </c>
      <c r="FS158" s="587">
        <f t="shared" ref="FS158" si="1244">IF(DA158=1,($BC158*DA158),0)</f>
        <v>0</v>
      </c>
      <c r="FT158" s="587">
        <f t="shared" ref="FT158" si="1245">IF(DB158=1,($BC158*DB158),0)</f>
        <v>0</v>
      </c>
      <c r="FU158" s="587">
        <f t="shared" ref="FU158" si="1246">IF(DC158=1,($BC158*DC158),0)</f>
        <v>0</v>
      </c>
      <c r="FV158" s="587">
        <f t="shared" ref="FV158" si="1247">IF(DD158=1,($BC158*DD158),0)</f>
        <v>0</v>
      </c>
      <c r="FW158" s="587">
        <f t="shared" ref="FW158" si="1248">IF(DE158=1,($BC158*DE158),0)</f>
        <v>0</v>
      </c>
      <c r="FX158" s="587">
        <f t="shared" ref="FX158" si="1249">IF(DF158=1,($BC158*DF158),0)</f>
        <v>0</v>
      </c>
      <c r="FY158" s="587">
        <f t="shared" ref="FY158" si="1250">IF(DG158=1,($BC158*DG158),0)</f>
        <v>0</v>
      </c>
      <c r="FZ158" s="587">
        <f t="shared" ref="FZ158" si="1251">IF(DH158=1,($BC158*DH158),0)</f>
        <v>0</v>
      </c>
      <c r="GA158" s="587">
        <f t="shared" ref="GA158" si="1252">IF(DI158=1,($BC158*DI158),0)</f>
        <v>0</v>
      </c>
      <c r="GB158" s="587">
        <f t="shared" ref="GB158" si="1253">IF(DJ158=1,($BC158*DJ158),0)</f>
        <v>0</v>
      </c>
      <c r="GC158" s="587">
        <f t="shared" ref="GC158" si="1254">IF(DK158=1,($BC158*DK158),0)</f>
        <v>0</v>
      </c>
      <c r="GD158" s="587">
        <f t="shared" ref="GD158" si="1255">IF(DL158=1,($BC158*DL158),0)</f>
        <v>0</v>
      </c>
      <c r="GE158" s="587">
        <f t="shared" ref="GE158" si="1256">IF(DM158=1,($BC158*DM158),0)</f>
        <v>0</v>
      </c>
      <c r="GF158" s="587">
        <f t="shared" ref="GF158" si="1257">IF(DN158=1,($BC158*DN158),0)</f>
        <v>0</v>
      </c>
      <c r="GG158" s="587">
        <f t="shared" ref="GG158" si="1258">IF(DO158=1,($BC158*DO158),0)</f>
        <v>0</v>
      </c>
      <c r="GH158" s="587">
        <f t="shared" ref="GH158" si="1259">IF(DP158=1,($BC158*DP158),0)</f>
        <v>0</v>
      </c>
      <c r="GI158" s="587">
        <f t="shared" ref="GI158" si="1260">IF(DQ158=1,($BC158*DQ158),0)</f>
        <v>0</v>
      </c>
      <c r="GJ158" s="587">
        <f t="shared" ref="GJ158" si="1261">IF(DR158=1,($BC158*DR158),0)</f>
        <v>0</v>
      </c>
      <c r="GK158" s="587">
        <f t="shared" ref="GK158" si="1262">IF(DS158=1,($BC158*DS158),0)</f>
        <v>0</v>
      </c>
      <c r="GL158" s="587">
        <f t="shared" ref="GL158" si="1263">IF(DT158=1,($BC158*DT158),0)</f>
        <v>0</v>
      </c>
      <c r="GM158" s="587">
        <f t="shared" ref="GM158" si="1264">IF(DU158=1,($BC158*DU158),0)</f>
        <v>0</v>
      </c>
    </row>
    <row r="159" spans="1:195" ht="20.100000000000001" customHeight="1">
      <c r="A159" s="337">
        <f>1+A157</f>
        <v>114</v>
      </c>
      <c r="B159" s="337" t="s">
        <v>628</v>
      </c>
      <c r="C159" s="337" t="str">
        <f>$D$6</f>
        <v>PMCC-1</v>
      </c>
      <c r="D159" s="372" t="s">
        <v>629</v>
      </c>
      <c r="E159" s="500" t="s">
        <v>608</v>
      </c>
      <c r="F159" s="570"/>
      <c r="G159" s="340" t="s">
        <v>337</v>
      </c>
      <c r="H159" s="350">
        <v>3150</v>
      </c>
      <c r="I159" s="337" t="s">
        <v>414</v>
      </c>
      <c r="J159" s="337" t="s">
        <v>331</v>
      </c>
      <c r="K159" s="349">
        <v>400</v>
      </c>
      <c r="L159" s="343">
        <v>0.85042738957114017</v>
      </c>
      <c r="M159" s="350">
        <v>0.91224782738987142</v>
      </c>
      <c r="N159" s="342">
        <f t="shared" si="901"/>
        <v>4984.1354587362466</v>
      </c>
      <c r="O159" s="924" t="s">
        <v>630</v>
      </c>
      <c r="P159" s="925"/>
      <c r="Q159" s="925"/>
      <c r="R159" s="925"/>
      <c r="S159" s="925"/>
      <c r="T159" s="925"/>
      <c r="U159" s="925"/>
      <c r="V159" s="925"/>
      <c r="W159" s="925"/>
      <c r="X159" s="925"/>
      <c r="Y159" s="925"/>
      <c r="Z159" s="925"/>
      <c r="AA159" s="925"/>
      <c r="AB159" s="925"/>
      <c r="AC159" s="1021"/>
      <c r="AD159" s="1021"/>
      <c r="AE159" s="1021"/>
      <c r="AF159" s="1021"/>
      <c r="AG159" s="1021"/>
      <c r="AH159" s="925"/>
      <c r="AI159" s="925"/>
      <c r="AJ159" s="925"/>
      <c r="AK159" s="925"/>
      <c r="AL159" s="925"/>
      <c r="AM159" s="925"/>
      <c r="AN159" s="925"/>
      <c r="AO159" s="925"/>
      <c r="AP159" s="925"/>
      <c r="AQ159" s="925"/>
      <c r="AR159" s="925"/>
      <c r="AS159" s="925"/>
      <c r="AT159" s="925"/>
      <c r="AU159" s="925"/>
      <c r="AV159" s="925"/>
      <c r="AW159" s="925"/>
      <c r="AX159" s="925"/>
      <c r="AY159" s="925"/>
      <c r="AZ159" s="925"/>
      <c r="BA159" s="925"/>
      <c r="BB159" s="925"/>
      <c r="BC159" s="1019"/>
      <c r="BE159" s="527"/>
      <c r="BF159" s="336"/>
      <c r="BG159" s="336"/>
      <c r="BH159" s="336"/>
      <c r="BI159" s="336"/>
      <c r="BJ159" s="336"/>
      <c r="BK159" s="336"/>
      <c r="BL159" s="336"/>
      <c r="BM159" s="336"/>
      <c r="BN159" s="336"/>
      <c r="BO159" s="336"/>
      <c r="BP159" s="336"/>
      <c r="BQ159" s="336"/>
      <c r="BR159" s="527"/>
      <c r="BS159" s="530"/>
      <c r="BT159" s="530"/>
      <c r="BU159" s="530"/>
      <c r="BV159" s="530"/>
      <c r="BW159" s="530"/>
      <c r="BX159" s="530"/>
      <c r="BY159" s="530"/>
      <c r="BZ159" s="530"/>
      <c r="CA159" s="530"/>
      <c r="CB159" s="530"/>
      <c r="CC159" s="530"/>
      <c r="CD159" s="530"/>
      <c r="CE159" s="530"/>
      <c r="CF159" s="530"/>
      <c r="CG159" s="530"/>
      <c r="CH159" s="530"/>
      <c r="CI159" s="530"/>
      <c r="CJ159" s="530"/>
      <c r="CK159" s="530"/>
      <c r="CL159" s="530"/>
      <c r="CM159" s="530"/>
      <c r="CN159" s="530"/>
      <c r="CO159" s="530"/>
      <c r="CP159" s="530"/>
      <c r="CQ159" s="530"/>
      <c r="CR159" s="530"/>
      <c r="CS159" s="530"/>
      <c r="CT159" s="530"/>
      <c r="CU159" s="530"/>
      <c r="CV159" s="530"/>
      <c r="CW159" s="530"/>
      <c r="CX159" s="530"/>
      <c r="CY159" s="530"/>
      <c r="CZ159" s="530"/>
      <c r="DA159" s="530"/>
      <c r="DB159" s="530"/>
      <c r="DC159" s="530"/>
      <c r="DD159" s="530"/>
      <c r="DE159" s="530"/>
      <c r="DF159" s="530"/>
      <c r="DG159" s="530"/>
      <c r="DH159" s="530"/>
      <c r="DI159" s="530"/>
      <c r="DJ159" s="530"/>
      <c r="DK159" s="530"/>
      <c r="DL159" s="530"/>
      <c r="DM159" s="530"/>
      <c r="DN159" s="530"/>
      <c r="DO159" s="530"/>
      <c r="DP159" s="530"/>
      <c r="DQ159" s="530"/>
      <c r="DR159" s="530"/>
      <c r="DS159" s="530"/>
      <c r="DT159" s="530"/>
      <c r="DU159" s="530"/>
      <c r="DW159" s="336">
        <f t="shared" si="1012"/>
        <v>0</v>
      </c>
      <c r="DX159" s="336">
        <f t="shared" si="1004"/>
        <v>0</v>
      </c>
      <c r="DY159" s="336">
        <f t="shared" si="1005"/>
        <v>0</v>
      </c>
      <c r="DZ159" s="336">
        <f t="shared" si="1006"/>
        <v>0</v>
      </c>
      <c r="EA159" s="336">
        <f t="shared" si="1007"/>
        <v>0</v>
      </c>
      <c r="EB159" s="336">
        <f t="shared" si="1008"/>
        <v>0</v>
      </c>
      <c r="EC159" s="336">
        <f t="shared" si="1009"/>
        <v>0</v>
      </c>
      <c r="ED159" s="336">
        <f t="shared" si="919"/>
        <v>0</v>
      </c>
      <c r="EE159" s="336">
        <f t="shared" si="920"/>
        <v>0</v>
      </c>
      <c r="EF159" s="336">
        <f t="shared" si="921"/>
        <v>0</v>
      </c>
      <c r="EG159" s="336">
        <f t="shared" si="922"/>
        <v>0</v>
      </c>
      <c r="EH159" s="336">
        <f t="shared" si="923"/>
        <v>0</v>
      </c>
      <c r="EI159" s="336">
        <f t="shared" si="924"/>
        <v>0</v>
      </c>
      <c r="EJ159" s="336">
        <f t="shared" si="925"/>
        <v>0</v>
      </c>
      <c r="EK159" s="336">
        <f t="shared" si="926"/>
        <v>0</v>
      </c>
      <c r="EL159" s="336">
        <f t="shared" si="927"/>
        <v>0</v>
      </c>
      <c r="EM159" s="336">
        <f t="shared" si="928"/>
        <v>0</v>
      </c>
      <c r="EN159" s="336">
        <f t="shared" si="929"/>
        <v>0</v>
      </c>
      <c r="EO159" s="336">
        <f t="shared" si="930"/>
        <v>0</v>
      </c>
      <c r="EP159" s="336">
        <f t="shared" si="931"/>
        <v>0</v>
      </c>
      <c r="EQ159" s="336">
        <f t="shared" si="932"/>
        <v>0</v>
      </c>
      <c r="ER159" s="336">
        <f t="shared" si="933"/>
        <v>0</v>
      </c>
      <c r="ES159" s="336">
        <f t="shared" si="934"/>
        <v>0</v>
      </c>
      <c r="ET159" s="336">
        <f t="shared" si="934"/>
        <v>0</v>
      </c>
      <c r="EU159" s="336">
        <f t="shared" si="935"/>
        <v>0</v>
      </c>
      <c r="EV159" s="336">
        <f t="shared" si="936"/>
        <v>0</v>
      </c>
      <c r="EW159" s="336">
        <f t="shared" si="937"/>
        <v>0</v>
      </c>
      <c r="EX159" s="336">
        <f t="shared" si="938"/>
        <v>0</v>
      </c>
      <c r="EY159" s="336">
        <f t="shared" si="939"/>
        <v>0</v>
      </c>
      <c r="EZ159" s="336">
        <f t="shared" si="940"/>
        <v>0</v>
      </c>
      <c r="FA159" s="336">
        <f t="shared" si="941"/>
        <v>0</v>
      </c>
      <c r="FB159" s="336">
        <f t="shared" si="942"/>
        <v>0</v>
      </c>
      <c r="FC159" s="336">
        <f t="shared" si="943"/>
        <v>0</v>
      </c>
      <c r="FD159" s="336">
        <f t="shared" si="944"/>
        <v>0</v>
      </c>
      <c r="FE159" s="336">
        <f t="shared" si="945"/>
        <v>0</v>
      </c>
      <c r="FF159" s="336">
        <f t="shared" si="946"/>
        <v>0</v>
      </c>
      <c r="FG159" s="336">
        <f t="shared" si="947"/>
        <v>0</v>
      </c>
      <c r="FH159" s="336">
        <f t="shared" si="948"/>
        <v>0</v>
      </c>
      <c r="FI159" s="336">
        <f t="shared" si="949"/>
        <v>0</v>
      </c>
      <c r="FJ159" s="336">
        <f t="shared" si="950"/>
        <v>0</v>
      </c>
      <c r="FK159" s="336">
        <f t="shared" si="951"/>
        <v>0</v>
      </c>
      <c r="FL159" s="336">
        <f t="shared" si="952"/>
        <v>0</v>
      </c>
      <c r="FM159" s="336">
        <f t="shared" si="953"/>
        <v>0</v>
      </c>
      <c r="FN159" s="336">
        <f t="shared" si="954"/>
        <v>0</v>
      </c>
      <c r="FO159" s="336">
        <f t="shared" si="955"/>
        <v>0</v>
      </c>
      <c r="FP159" s="336">
        <f t="shared" si="956"/>
        <v>0</v>
      </c>
      <c r="FQ159" s="336">
        <f t="shared" si="957"/>
        <v>0</v>
      </c>
      <c r="FR159" s="336">
        <f t="shared" si="958"/>
        <v>0</v>
      </c>
      <c r="FS159" s="336">
        <f t="shared" si="959"/>
        <v>0</v>
      </c>
      <c r="FT159" s="336">
        <f t="shared" si="960"/>
        <v>0</v>
      </c>
      <c r="FU159" s="336">
        <f t="shared" si="860"/>
        <v>0</v>
      </c>
      <c r="FV159" s="336">
        <f t="shared" si="861"/>
        <v>0</v>
      </c>
      <c r="FW159" s="336">
        <f t="shared" si="862"/>
        <v>0</v>
      </c>
      <c r="FX159" s="336">
        <f t="shared" si="863"/>
        <v>0</v>
      </c>
      <c r="FY159" s="336">
        <f t="shared" si="961"/>
        <v>0</v>
      </c>
      <c r="FZ159" s="336">
        <f t="shared" si="962"/>
        <v>0</v>
      </c>
      <c r="GA159" s="336">
        <f t="shared" si="963"/>
        <v>0</v>
      </c>
      <c r="GB159" s="336">
        <f t="shared" si="964"/>
        <v>0</v>
      </c>
      <c r="GC159" s="336">
        <f t="shared" si="965"/>
        <v>0</v>
      </c>
      <c r="GD159" s="336">
        <f t="shared" si="966"/>
        <v>0</v>
      </c>
      <c r="GE159" s="336">
        <f t="shared" si="967"/>
        <v>0</v>
      </c>
      <c r="GF159" s="336">
        <f t="shared" si="968"/>
        <v>0</v>
      </c>
      <c r="GG159" s="336">
        <f t="shared" si="969"/>
        <v>0</v>
      </c>
      <c r="GH159" s="336">
        <f t="shared" si="970"/>
        <v>0</v>
      </c>
      <c r="GI159" s="336">
        <f t="shared" si="971"/>
        <v>0</v>
      </c>
      <c r="GJ159" s="336">
        <f t="shared" si="972"/>
        <v>0</v>
      </c>
      <c r="GK159" s="336">
        <f t="shared" si="1171"/>
        <v>0</v>
      </c>
      <c r="GL159" s="336">
        <f t="shared" si="975"/>
        <v>0</v>
      </c>
      <c r="GM159" s="336">
        <f t="shared" si="973"/>
        <v>0</v>
      </c>
    </row>
    <row r="160" spans="1:195" ht="20.100000000000001" customHeight="1">
      <c r="A160" s="337">
        <f t="shared" si="918"/>
        <v>115</v>
      </c>
      <c r="B160" s="337" t="s">
        <v>628</v>
      </c>
      <c r="C160" s="337" t="str">
        <f>$D$6</f>
        <v>PMCC-1</v>
      </c>
      <c r="D160" s="372" t="s">
        <v>631</v>
      </c>
      <c r="E160" s="500" t="s">
        <v>608</v>
      </c>
      <c r="F160" s="570"/>
      <c r="G160" s="340" t="s">
        <v>337</v>
      </c>
      <c r="H160" s="350">
        <v>3150</v>
      </c>
      <c r="I160" s="337" t="s">
        <v>414</v>
      </c>
      <c r="J160" s="337" t="s">
        <v>331</v>
      </c>
      <c r="K160" s="349">
        <v>400</v>
      </c>
      <c r="L160" s="343">
        <v>0.85042738957114017</v>
      </c>
      <c r="M160" s="350">
        <v>0.91224782738987142</v>
      </c>
      <c r="N160" s="342">
        <f t="shared" si="901"/>
        <v>4984.1354587362466</v>
      </c>
      <c r="O160" s="924" t="s">
        <v>630</v>
      </c>
      <c r="P160" s="925"/>
      <c r="Q160" s="925"/>
      <c r="R160" s="925"/>
      <c r="S160" s="925"/>
      <c r="T160" s="925"/>
      <c r="U160" s="925"/>
      <c r="V160" s="925"/>
      <c r="W160" s="925"/>
      <c r="X160" s="925"/>
      <c r="Y160" s="925"/>
      <c r="Z160" s="925"/>
      <c r="AA160" s="925"/>
      <c r="AB160" s="925"/>
      <c r="AC160" s="1021"/>
      <c r="AD160" s="1021"/>
      <c r="AE160" s="1021"/>
      <c r="AF160" s="1021"/>
      <c r="AG160" s="1021"/>
      <c r="AH160" s="925"/>
      <c r="AI160" s="925"/>
      <c r="AJ160" s="925"/>
      <c r="AK160" s="925"/>
      <c r="AL160" s="925"/>
      <c r="AM160" s="925"/>
      <c r="AN160" s="925"/>
      <c r="AO160" s="925"/>
      <c r="AP160" s="925"/>
      <c r="AQ160" s="925"/>
      <c r="AR160" s="925"/>
      <c r="AS160" s="925"/>
      <c r="AT160" s="925"/>
      <c r="AU160" s="925"/>
      <c r="AV160" s="925"/>
      <c r="AW160" s="925"/>
      <c r="AX160" s="925"/>
      <c r="AY160" s="925"/>
      <c r="AZ160" s="925"/>
      <c r="BA160" s="925"/>
      <c r="BB160" s="925"/>
      <c r="BC160" s="1019"/>
      <c r="BE160" s="530"/>
      <c r="BF160" s="530"/>
      <c r="BG160" s="530"/>
      <c r="BH160" s="530"/>
      <c r="BI160" s="530"/>
      <c r="BJ160" s="530"/>
      <c r="BK160" s="530"/>
      <c r="BL160" s="530"/>
      <c r="BM160" s="530"/>
      <c r="BN160" s="530"/>
      <c r="BO160" s="530"/>
      <c r="BP160" s="530"/>
      <c r="BQ160" s="530"/>
      <c r="BR160" s="530"/>
      <c r="BS160" s="530"/>
      <c r="BT160" s="530"/>
      <c r="BU160" s="530"/>
      <c r="BV160" s="530"/>
      <c r="BW160" s="530"/>
      <c r="BX160" s="530"/>
      <c r="BY160" s="530"/>
      <c r="BZ160" s="530"/>
      <c r="CA160" s="530"/>
      <c r="CB160" s="530"/>
      <c r="CC160" s="530"/>
      <c r="CD160" s="530"/>
      <c r="CE160" s="530"/>
      <c r="CF160" s="530"/>
      <c r="CG160" s="530"/>
      <c r="CH160" s="530"/>
      <c r="CI160" s="530"/>
      <c r="CJ160" s="530"/>
      <c r="CK160" s="530"/>
      <c r="CL160" s="530"/>
      <c r="CM160" s="530"/>
      <c r="CN160" s="530"/>
      <c r="CO160" s="530"/>
      <c r="CP160" s="530"/>
      <c r="CQ160" s="530"/>
      <c r="CR160" s="530"/>
      <c r="CS160" s="530"/>
      <c r="CT160" s="530"/>
      <c r="CU160" s="530"/>
      <c r="CV160" s="530"/>
      <c r="CW160" s="530"/>
      <c r="CX160" s="530"/>
      <c r="CY160" s="530"/>
      <c r="CZ160" s="530"/>
      <c r="DA160" s="530"/>
      <c r="DB160" s="530"/>
      <c r="DC160" s="530"/>
      <c r="DD160" s="530"/>
      <c r="DE160" s="530"/>
      <c r="DF160" s="530"/>
      <c r="DG160" s="530"/>
      <c r="DH160" s="530"/>
      <c r="DI160" s="530"/>
      <c r="DJ160" s="530"/>
      <c r="DK160" s="530"/>
      <c r="DL160" s="530"/>
      <c r="DM160" s="530"/>
      <c r="DN160" s="530"/>
      <c r="DO160" s="530"/>
      <c r="DP160" s="530"/>
      <c r="DQ160" s="530"/>
      <c r="DR160" s="530"/>
      <c r="DS160" s="530"/>
      <c r="DT160" s="530"/>
      <c r="DU160" s="530"/>
      <c r="DW160" s="336">
        <f t="shared" si="1012"/>
        <v>0</v>
      </c>
      <c r="DX160" s="336">
        <f t="shared" si="1004"/>
        <v>0</v>
      </c>
      <c r="DY160" s="336">
        <f t="shared" si="1005"/>
        <v>0</v>
      </c>
      <c r="DZ160" s="336">
        <f t="shared" si="1006"/>
        <v>0</v>
      </c>
      <c r="EA160" s="336">
        <f t="shared" si="1007"/>
        <v>0</v>
      </c>
      <c r="EB160" s="336">
        <f t="shared" si="1008"/>
        <v>0</v>
      </c>
      <c r="EC160" s="336">
        <f t="shared" si="1009"/>
        <v>0</v>
      </c>
      <c r="ED160" s="336">
        <f t="shared" si="919"/>
        <v>0</v>
      </c>
      <c r="EE160" s="336">
        <f t="shared" si="920"/>
        <v>0</v>
      </c>
      <c r="EF160" s="336">
        <f t="shared" si="921"/>
        <v>0</v>
      </c>
      <c r="EG160" s="336">
        <f t="shared" si="922"/>
        <v>0</v>
      </c>
      <c r="EH160" s="336">
        <f t="shared" si="923"/>
        <v>0</v>
      </c>
      <c r="EI160" s="336">
        <f t="shared" si="924"/>
        <v>0</v>
      </c>
      <c r="EJ160" s="336">
        <f t="shared" si="925"/>
        <v>0</v>
      </c>
      <c r="EK160" s="336">
        <f t="shared" si="926"/>
        <v>0</v>
      </c>
      <c r="EL160" s="336">
        <f t="shared" si="927"/>
        <v>0</v>
      </c>
      <c r="EM160" s="336">
        <f t="shared" si="928"/>
        <v>0</v>
      </c>
      <c r="EN160" s="336">
        <f t="shared" si="929"/>
        <v>0</v>
      </c>
      <c r="EO160" s="336">
        <f t="shared" si="930"/>
        <v>0</v>
      </c>
      <c r="EP160" s="336">
        <f t="shared" si="931"/>
        <v>0</v>
      </c>
      <c r="EQ160" s="336">
        <f t="shared" si="932"/>
        <v>0</v>
      </c>
      <c r="ER160" s="336">
        <f t="shared" si="933"/>
        <v>0</v>
      </c>
      <c r="ES160" s="336">
        <f t="shared" si="934"/>
        <v>0</v>
      </c>
      <c r="ET160" s="336">
        <f t="shared" si="934"/>
        <v>0</v>
      </c>
      <c r="EU160" s="336">
        <f t="shared" si="935"/>
        <v>0</v>
      </c>
      <c r="EV160" s="336">
        <f t="shared" si="936"/>
        <v>0</v>
      </c>
      <c r="EW160" s="336">
        <f t="shared" si="937"/>
        <v>0</v>
      </c>
      <c r="EX160" s="336">
        <f t="shared" si="938"/>
        <v>0</v>
      </c>
      <c r="EY160" s="336">
        <f t="shared" si="939"/>
        <v>0</v>
      </c>
      <c r="EZ160" s="336">
        <f t="shared" si="940"/>
        <v>0</v>
      </c>
      <c r="FA160" s="336">
        <f t="shared" si="941"/>
        <v>0</v>
      </c>
      <c r="FB160" s="336">
        <f t="shared" si="942"/>
        <v>0</v>
      </c>
      <c r="FC160" s="336">
        <f t="shared" si="943"/>
        <v>0</v>
      </c>
      <c r="FD160" s="336">
        <f t="shared" si="944"/>
        <v>0</v>
      </c>
      <c r="FE160" s="336">
        <f t="shared" si="945"/>
        <v>0</v>
      </c>
      <c r="FF160" s="336">
        <f t="shared" si="946"/>
        <v>0</v>
      </c>
      <c r="FG160" s="336">
        <f t="shared" si="947"/>
        <v>0</v>
      </c>
      <c r="FH160" s="336">
        <f t="shared" si="948"/>
        <v>0</v>
      </c>
      <c r="FI160" s="336">
        <f t="shared" si="949"/>
        <v>0</v>
      </c>
      <c r="FJ160" s="336">
        <f t="shared" si="950"/>
        <v>0</v>
      </c>
      <c r="FK160" s="336">
        <f t="shared" si="951"/>
        <v>0</v>
      </c>
      <c r="FL160" s="336">
        <f t="shared" si="952"/>
        <v>0</v>
      </c>
      <c r="FM160" s="336">
        <f t="shared" si="953"/>
        <v>0</v>
      </c>
      <c r="FN160" s="336">
        <f t="shared" si="954"/>
        <v>0</v>
      </c>
      <c r="FO160" s="336">
        <f t="shared" si="955"/>
        <v>0</v>
      </c>
      <c r="FP160" s="336">
        <f t="shared" si="956"/>
        <v>0</v>
      </c>
      <c r="FQ160" s="336">
        <f t="shared" si="957"/>
        <v>0</v>
      </c>
      <c r="FR160" s="336">
        <f t="shared" si="958"/>
        <v>0</v>
      </c>
      <c r="FS160" s="336">
        <f t="shared" si="959"/>
        <v>0</v>
      </c>
      <c r="FT160" s="336">
        <f t="shared" si="960"/>
        <v>0</v>
      </c>
      <c r="FU160" s="336">
        <f t="shared" si="860"/>
        <v>0</v>
      </c>
      <c r="FV160" s="336">
        <f t="shared" si="861"/>
        <v>0</v>
      </c>
      <c r="FW160" s="336">
        <f t="shared" si="862"/>
        <v>0</v>
      </c>
      <c r="FX160" s="336">
        <f t="shared" si="863"/>
        <v>0</v>
      </c>
      <c r="FY160" s="336">
        <f t="shared" si="961"/>
        <v>0</v>
      </c>
      <c r="FZ160" s="336">
        <f t="shared" si="962"/>
        <v>0</v>
      </c>
      <c r="GA160" s="336">
        <f t="shared" si="963"/>
        <v>0</v>
      </c>
      <c r="GB160" s="336">
        <f t="shared" si="964"/>
        <v>0</v>
      </c>
      <c r="GC160" s="336">
        <f t="shared" si="965"/>
        <v>0</v>
      </c>
      <c r="GD160" s="336">
        <f t="shared" si="966"/>
        <v>0</v>
      </c>
      <c r="GE160" s="336">
        <f t="shared" si="967"/>
        <v>0</v>
      </c>
      <c r="GF160" s="336">
        <f t="shared" si="968"/>
        <v>0</v>
      </c>
      <c r="GG160" s="336">
        <f t="shared" si="969"/>
        <v>0</v>
      </c>
      <c r="GH160" s="336">
        <f t="shared" si="970"/>
        <v>0</v>
      </c>
      <c r="GI160" s="336">
        <f t="shared" si="971"/>
        <v>0</v>
      </c>
      <c r="GJ160" s="336">
        <f t="shared" si="972"/>
        <v>0</v>
      </c>
      <c r="GK160" s="336">
        <f t="shared" si="1171"/>
        <v>0</v>
      </c>
      <c r="GL160" s="336">
        <f t="shared" si="975"/>
        <v>0</v>
      </c>
      <c r="GM160" s="336">
        <f t="shared" si="973"/>
        <v>0</v>
      </c>
    </row>
    <row r="161" spans="1:195" s="76" customFormat="1" ht="37.5" customHeight="1">
      <c r="A161" s="531"/>
      <c r="B161" s="531"/>
      <c r="C161" s="531"/>
      <c r="D161" s="532" t="s">
        <v>632</v>
      </c>
      <c r="E161" s="533"/>
      <c r="F161" s="857"/>
      <c r="G161" s="531"/>
      <c r="H161" s="534"/>
      <c r="I161" s="531"/>
      <c r="J161" s="531"/>
      <c r="K161" s="535"/>
      <c r="L161" s="536"/>
      <c r="M161" s="534"/>
      <c r="N161" s="537"/>
      <c r="O161" s="537"/>
      <c r="P161" s="536"/>
      <c r="Q161" s="534"/>
      <c r="R161" s="534"/>
      <c r="S161" s="534"/>
      <c r="T161" s="536"/>
      <c r="U161" s="534"/>
      <c r="V161" s="536"/>
      <c r="W161" s="536"/>
      <c r="X161" s="536"/>
      <c r="Y161" s="536"/>
      <c r="Z161" s="538"/>
      <c r="AA161" s="539"/>
      <c r="AB161" s="539"/>
      <c r="AC161" s="861"/>
      <c r="AD161" s="861"/>
      <c r="AE161" s="861"/>
      <c r="AF161" s="861"/>
      <c r="AG161" s="861"/>
      <c r="AH161" s="540"/>
      <c r="AI161" s="538"/>
      <c r="AJ161" s="537"/>
      <c r="AK161" s="538"/>
      <c r="AL161" s="538"/>
      <c r="AM161" s="538"/>
      <c r="AN161" s="541"/>
      <c r="AO161" s="534"/>
      <c r="AP161" s="535"/>
      <c r="AQ161" s="534"/>
      <c r="AR161" s="541"/>
      <c r="AS161" s="536"/>
      <c r="AT161" s="541"/>
      <c r="AU161" s="541"/>
      <c r="AV161" s="542"/>
      <c r="AW161" s="542"/>
      <c r="AX161" s="536"/>
      <c r="AY161" s="543"/>
      <c r="AZ161" s="543"/>
      <c r="BA161" s="536"/>
      <c r="BB161" s="536"/>
      <c r="BC161" s="536"/>
      <c r="BE161" s="536"/>
      <c r="BF161" s="536"/>
      <c r="BG161" s="536"/>
      <c r="BH161" s="536"/>
      <c r="BI161" s="536"/>
      <c r="BJ161" s="536"/>
      <c r="BK161" s="536"/>
      <c r="BL161" s="536"/>
      <c r="BM161" s="536"/>
      <c r="BN161" s="536"/>
      <c r="BO161" s="536"/>
      <c r="BP161" s="536"/>
      <c r="BQ161" s="536"/>
      <c r="BR161" s="536"/>
      <c r="BS161" s="536"/>
      <c r="BT161" s="536"/>
      <c r="BU161" s="536"/>
      <c r="BV161" s="536"/>
      <c r="BW161" s="536"/>
      <c r="BX161" s="536"/>
      <c r="BY161" s="536"/>
      <c r="BZ161" s="536"/>
      <c r="CA161" s="536"/>
      <c r="CB161" s="536"/>
      <c r="CC161" s="536"/>
      <c r="CD161" s="536"/>
      <c r="CE161" s="536"/>
      <c r="CF161" s="536"/>
      <c r="CG161" s="536"/>
      <c r="CH161" s="536"/>
      <c r="CI161" s="536"/>
      <c r="CJ161" s="536"/>
      <c r="CK161" s="536"/>
      <c r="CL161" s="536"/>
      <c r="CM161" s="536"/>
      <c r="CN161" s="536"/>
      <c r="CO161" s="536"/>
      <c r="CP161" s="536"/>
      <c r="CQ161" s="536"/>
      <c r="CR161" s="536"/>
      <c r="CS161" s="536"/>
      <c r="CT161" s="536"/>
      <c r="CU161" s="536"/>
      <c r="CV161" s="536"/>
      <c r="CW161" s="536"/>
      <c r="CX161" s="536"/>
      <c r="CY161" s="536"/>
      <c r="CZ161" s="536"/>
      <c r="DA161" s="536"/>
      <c r="DB161" s="536"/>
      <c r="DC161" s="536"/>
      <c r="DD161" s="536"/>
      <c r="DE161" s="536"/>
      <c r="DF161" s="536"/>
      <c r="DG161" s="536"/>
      <c r="DH161" s="536"/>
      <c r="DI161" s="536"/>
      <c r="DJ161" s="536"/>
      <c r="DK161" s="536"/>
      <c r="DL161" s="536"/>
      <c r="DM161" s="536"/>
      <c r="DN161" s="536"/>
      <c r="DO161" s="536"/>
      <c r="DP161" s="536"/>
      <c r="DQ161" s="536"/>
      <c r="DR161" s="536"/>
      <c r="DS161" s="536"/>
      <c r="DT161" s="536"/>
      <c r="DU161" s="536"/>
      <c r="DV161" s="61"/>
      <c r="DW161" s="336">
        <f t="shared" si="1012"/>
        <v>0</v>
      </c>
      <c r="DX161" s="336">
        <f t="shared" si="1004"/>
        <v>0</v>
      </c>
      <c r="DY161" s="336">
        <f t="shared" si="1005"/>
        <v>0</v>
      </c>
      <c r="DZ161" s="336">
        <f t="shared" si="1006"/>
        <v>0</v>
      </c>
      <c r="EA161" s="336">
        <f t="shared" si="1007"/>
        <v>0</v>
      </c>
      <c r="EB161" s="336">
        <f t="shared" si="1008"/>
        <v>0</v>
      </c>
      <c r="EC161" s="336">
        <f t="shared" si="1009"/>
        <v>0</v>
      </c>
      <c r="ED161" s="336">
        <f t="shared" si="919"/>
        <v>0</v>
      </c>
      <c r="EE161" s="336">
        <f t="shared" si="920"/>
        <v>0</v>
      </c>
      <c r="EF161" s="336">
        <f t="shared" si="921"/>
        <v>0</v>
      </c>
      <c r="EG161" s="336">
        <f t="shared" si="922"/>
        <v>0</v>
      </c>
      <c r="EH161" s="336">
        <f t="shared" si="923"/>
        <v>0</v>
      </c>
      <c r="EI161" s="336">
        <f t="shared" si="924"/>
        <v>0</v>
      </c>
      <c r="EJ161" s="336">
        <f t="shared" si="925"/>
        <v>0</v>
      </c>
      <c r="EK161" s="336">
        <f t="shared" si="926"/>
        <v>0</v>
      </c>
      <c r="EL161" s="336">
        <f t="shared" si="927"/>
        <v>0</v>
      </c>
      <c r="EM161" s="336">
        <f t="shared" si="928"/>
        <v>0</v>
      </c>
      <c r="EN161" s="336">
        <f t="shared" si="929"/>
        <v>0</v>
      </c>
      <c r="EO161" s="336">
        <f t="shared" si="930"/>
        <v>0</v>
      </c>
      <c r="EP161" s="336">
        <f t="shared" si="931"/>
        <v>0</v>
      </c>
      <c r="EQ161" s="336">
        <f t="shared" si="932"/>
        <v>0</v>
      </c>
      <c r="ER161" s="336">
        <f t="shared" si="933"/>
        <v>0</v>
      </c>
      <c r="ES161" s="336">
        <f t="shared" si="934"/>
        <v>0</v>
      </c>
      <c r="ET161" s="336">
        <f t="shared" si="934"/>
        <v>0</v>
      </c>
      <c r="EU161" s="336">
        <f t="shared" si="935"/>
        <v>0</v>
      </c>
      <c r="EV161" s="336">
        <f t="shared" si="936"/>
        <v>0</v>
      </c>
      <c r="EW161" s="336">
        <f t="shared" si="937"/>
        <v>0</v>
      </c>
      <c r="EX161" s="336">
        <f t="shared" si="938"/>
        <v>0</v>
      </c>
      <c r="EY161" s="336">
        <f t="shared" si="939"/>
        <v>0</v>
      </c>
      <c r="EZ161" s="336">
        <f t="shared" si="940"/>
        <v>0</v>
      </c>
      <c r="FA161" s="336">
        <f t="shared" si="941"/>
        <v>0</v>
      </c>
      <c r="FB161" s="336">
        <f t="shared" si="942"/>
        <v>0</v>
      </c>
      <c r="FC161" s="336">
        <f t="shared" si="943"/>
        <v>0</v>
      </c>
      <c r="FD161" s="336">
        <f t="shared" si="944"/>
        <v>0</v>
      </c>
      <c r="FE161" s="336">
        <f t="shared" si="945"/>
        <v>0</v>
      </c>
      <c r="FF161" s="336">
        <f t="shared" si="946"/>
        <v>0</v>
      </c>
      <c r="FG161" s="336">
        <f t="shared" si="947"/>
        <v>0</v>
      </c>
      <c r="FH161" s="336">
        <f t="shared" si="948"/>
        <v>0</v>
      </c>
      <c r="FI161" s="336">
        <f t="shared" si="949"/>
        <v>0</v>
      </c>
      <c r="FJ161" s="336">
        <f t="shared" si="950"/>
        <v>0</v>
      </c>
      <c r="FK161" s="336">
        <f t="shared" si="951"/>
        <v>0</v>
      </c>
      <c r="FL161" s="336">
        <f t="shared" si="952"/>
        <v>0</v>
      </c>
      <c r="FM161" s="336">
        <f t="shared" si="953"/>
        <v>0</v>
      </c>
      <c r="FN161" s="336">
        <f t="shared" si="954"/>
        <v>0</v>
      </c>
      <c r="FO161" s="492">
        <f t="shared" si="955"/>
        <v>0</v>
      </c>
      <c r="FP161" s="492">
        <f t="shared" si="956"/>
        <v>0</v>
      </c>
      <c r="FQ161" s="492">
        <f t="shared" si="957"/>
        <v>0</v>
      </c>
      <c r="FR161" s="492">
        <f t="shared" si="958"/>
        <v>0</v>
      </c>
      <c r="FS161" s="492">
        <f t="shared" si="959"/>
        <v>0</v>
      </c>
      <c r="FT161" s="492">
        <f t="shared" si="960"/>
        <v>0</v>
      </c>
      <c r="FU161" s="336">
        <f t="shared" si="860"/>
        <v>0</v>
      </c>
      <c r="FV161" s="336">
        <f t="shared" si="861"/>
        <v>0</v>
      </c>
      <c r="FW161" s="336">
        <f t="shared" si="862"/>
        <v>0</v>
      </c>
      <c r="FX161" s="336">
        <f t="shared" si="863"/>
        <v>0</v>
      </c>
      <c r="FY161" s="492">
        <f t="shared" si="961"/>
        <v>0</v>
      </c>
      <c r="FZ161" s="492">
        <f t="shared" si="962"/>
        <v>0</v>
      </c>
      <c r="GA161" s="492">
        <f t="shared" si="963"/>
        <v>0</v>
      </c>
      <c r="GB161" s="492">
        <f t="shared" si="964"/>
        <v>0</v>
      </c>
      <c r="GC161" s="492">
        <f t="shared" si="965"/>
        <v>0</v>
      </c>
      <c r="GD161" s="492">
        <f t="shared" si="966"/>
        <v>0</v>
      </c>
      <c r="GE161" s="492">
        <f t="shared" si="967"/>
        <v>0</v>
      </c>
      <c r="GF161" s="492">
        <f t="shared" si="968"/>
        <v>0</v>
      </c>
      <c r="GG161" s="492">
        <f t="shared" si="969"/>
        <v>0</v>
      </c>
      <c r="GH161" s="492">
        <f t="shared" si="970"/>
        <v>0</v>
      </c>
      <c r="GI161" s="492">
        <f t="shared" si="971"/>
        <v>0</v>
      </c>
      <c r="GJ161" s="492">
        <f t="shared" si="972"/>
        <v>0</v>
      </c>
      <c r="GK161" s="492">
        <f t="shared" si="1171"/>
        <v>0</v>
      </c>
      <c r="GL161" s="336">
        <f t="shared" si="975"/>
        <v>0</v>
      </c>
      <c r="GM161" s="492">
        <f t="shared" si="973"/>
        <v>0</v>
      </c>
    </row>
    <row r="162" spans="1:195" ht="24.75" customHeight="1">
      <c r="A162" s="337">
        <f>1+A160</f>
        <v>116</v>
      </c>
      <c r="B162" s="337" t="s">
        <v>615</v>
      </c>
      <c r="C162" s="337" t="s">
        <v>633</v>
      </c>
      <c r="D162" s="544" t="s">
        <v>634</v>
      </c>
      <c r="E162" s="502" t="s">
        <v>401</v>
      </c>
      <c r="F162" s="516" t="s">
        <v>29</v>
      </c>
      <c r="G162" s="337" t="s">
        <v>329</v>
      </c>
      <c r="H162" s="350">
        <f>CEILING(691.42,10)</f>
        <v>700</v>
      </c>
      <c r="I162" s="337" t="s">
        <v>330</v>
      </c>
      <c r="J162" s="337" t="s">
        <v>331</v>
      </c>
      <c r="K162" s="349">
        <v>400</v>
      </c>
      <c r="L162" s="343">
        <v>0.84664865012052015</v>
      </c>
      <c r="M162" s="350">
        <v>0.92832394366197268</v>
      </c>
      <c r="N162" s="342">
        <f>IF(I162="kVA",IF(J162="3Ph",(H162*1000/(1.732*M162*K162)),(H162*1000/(M162*K162))),IF(I162="kW",IF(J162="3Ph",(H162*1000/(1.732*M162*K162*L162)),(H162*1000/(M162*K162*L162)))))</f>
        <v>1285.5453110843207</v>
      </c>
      <c r="O162" s="342">
        <f>IF(G162="MOTOR",(6*N162),IF(G162="VFD",(1*N162),0))</f>
        <v>0</v>
      </c>
      <c r="P162" s="343" t="str">
        <f t="shared" ref="P162" si="1265">IF(G162="MOTOR",0.2,"0.00")</f>
        <v>0.00</v>
      </c>
      <c r="Q162" s="350">
        <v>50</v>
      </c>
      <c r="R162" s="350">
        <v>1</v>
      </c>
      <c r="S162" s="350">
        <f t="shared" ref="S162" si="1266">(Q162*1000*SQRT(R162)/143)</f>
        <v>349.65034965034965</v>
      </c>
      <c r="T162" s="343" t="s">
        <v>131</v>
      </c>
      <c r="U162" s="350" t="s">
        <v>336</v>
      </c>
      <c r="V162" s="343">
        <v>630</v>
      </c>
      <c r="W162" s="343" t="str">
        <f t="shared" ref="W162" si="1267">CONCATENATE(U162," X ",V162)</f>
        <v>1C X 630</v>
      </c>
      <c r="X162" s="343" t="str">
        <f t="shared" ref="X162" si="1268">(IF(J162="1Ph",W162,IF(J162="3Ph",(IF(G162="MOTOR",(CONCATENATE(W162,"+PE")),W162)))))</f>
        <v>1C X 630</v>
      </c>
      <c r="Y162" s="343" t="s">
        <v>358</v>
      </c>
      <c r="Z162" s="344">
        <f>IF(T162="AIR",VLOOKUP(W162,'Catalogue Aluminium'!$B$9:$G$93,2,FALSE),IF(T162="GROUND",VLOOKUP(W162,'Catalogue Aluminium'!$B$9:$G$93,3,FALSE),IF(T162="DUCT",VLOOKUP(W162,'Catalogue Aluminium'!$B$9:$G$93,4,FALSE),IF(T162="TRENCH",VLOOKUP(W162,'Catalogue Aluminium'!$B$9:$G$93,2,FALSE)))))</f>
        <v>822</v>
      </c>
      <c r="AA162" s="345">
        <f>VLOOKUP(W162,'Catalogue Aluminium'!$B$9:$G$93,5,FALSE)</f>
        <v>0.06</v>
      </c>
      <c r="AB162" s="345">
        <f>VLOOKUP(W162,'Catalogue Aluminium'!$B$9:$G$93,6,FALSE)</f>
        <v>8.43E-2</v>
      </c>
      <c r="AC162" s="401">
        <f>10</f>
        <v>10</v>
      </c>
      <c r="AD162" s="401">
        <v>0</v>
      </c>
      <c r="AE162" s="401">
        <v>5</v>
      </c>
      <c r="AF162" s="401">
        <v>8</v>
      </c>
      <c r="AG162" s="401">
        <f t="shared" ref="AG162" si="1269">ROUNDUP((SUM(AC162:AF162)*0.1),0)</f>
        <v>3</v>
      </c>
      <c r="AH162" s="347">
        <f t="shared" ref="AH162" si="1270">SUM(AC162:AG162)</f>
        <v>26</v>
      </c>
      <c r="AI162" s="344">
        <f>IF(T162="AIR",'Catalogue Aluminium'!$K$9,IF(T162="TRENCH",'Catalogue Aluminium'!$K$12,"NA"))</f>
        <v>0.89</v>
      </c>
      <c r="AJ162" s="342">
        <f>IF(T162="Air",(IF(U162="1C",'Catalogue Aluminium'!$L$9,'Catalogue Aluminium'!$M$9)),IF(T162="DUCT",(IF($U162="1C",'Catalogue Aluminium'!$L$10,'Catalogue Aluminium'!$M$10)),IF(T162="GROUND",(IF($U162="1C",'Catalogue Aluminium'!$L$11,'Catalogue Aluminium'!$M$11)),IF(T162="TRENCH",(IF($U162="1C",'Catalogue Aluminium'!$L$12,'Catalogue Aluminium'!$M$12))))))</f>
        <v>0.81</v>
      </c>
      <c r="AK162" s="344" t="str">
        <f>IF(T162="Air",'Catalogue Aluminium'!$N$9,IF(T162="GROUND",'Catalogue Aluminium'!$N$10,IF(T162="DUCT",'Catalogue Aluminium'!$N$11,IF(T162="TRENCH",'Catalogue Aluminium'!$N$12,"NA"))))</f>
        <v>NA</v>
      </c>
      <c r="AL162" s="344" t="str">
        <f>IF(T162="Air",(IF(U162="1C",'Catalogue Aluminium'!$O$9,'Catalogue Aluminium'!$P$9)),IF(T162="DUCT",(IF($U162="1C",'Catalogue Aluminium'!$O$10,'Catalogue Aluminium'!$P$10)),IF(T162="GROUND",(IF($U162="1C",'Catalogue Aluminium'!$O$11,'Catalogue Aluminium'!$P$11)),IF(T162="TRENCH",(IF($U162="1C",'Catalogue Aluminium'!$O$12,'Catalogue Aluminium'!$P$12))))))</f>
        <v>NA</v>
      </c>
      <c r="AM162" s="344" t="str">
        <f>IF(T162="AIR","NA",IF(T162="TRENCH","NA",IF(T162="DUCT",IF(U162="1C",VLOOKUP(V162,'Catalogue Aluminium'!$Q$9:$S$28,2,FALSE),VLOOKUP(V162,'Catalogue Aluminium'!$Q$9:$S$28,3)),IF(T162="GROUND",IF(U162="1C",VLOOKUP(V162,'Catalogue Aluminium'!$Q$9:$S$28,2,FALSE),VLOOKUP(V162,'Catalogue Aluminium'!$Q$9:$S$28,3))))))</f>
        <v>NA</v>
      </c>
      <c r="AN162" s="351">
        <f t="shared" ref="AN162" si="1271">IF(T162="AIR",AI162*AJ162,IF(T162="TRENCH",AI162*AJ162,IF(T162="DUCT",AJ162*AK162*AL162*AM162,IF(T162="GROUND",AJ162*AK162*AL162*AM162))))</f>
        <v>0.7209000000000001</v>
      </c>
      <c r="AO162" s="350">
        <f t="shared" ref="AO162" si="1272">Z162*AN162</f>
        <v>592.57980000000009</v>
      </c>
      <c r="AP162" s="349">
        <f t="shared" ref="AP162" si="1273">CEILING(((N162)/AO162),1)</f>
        <v>3</v>
      </c>
      <c r="AQ162" s="350" t="str">
        <f t="shared" ref="AQ162" si="1274">IF(AO162*AP162&gt;=N162,"YES","NO")</f>
        <v>YES</v>
      </c>
      <c r="AR162" s="351">
        <f t="shared" ref="AR162" si="1275">SQRT(3)*AH162*N162*((AA162*L162)+(AB162*SIN(ACOS(L162))))*100/(AP162*K162*1000)</f>
        <v>0.46149561278286788</v>
      </c>
      <c r="AS162" s="343" t="str">
        <f t="shared" ref="AS162" si="1276">IF(G162="INCOMER",(IF(AR162&lt;=2,"YES","NO")),IF(G162="POWER",(IF(AR162&lt;=2.5,"YES","NO")),IF(G162="MOTOR",(IF(AR162&lt;=3,"YES","NO")))))</f>
        <v>YES</v>
      </c>
      <c r="AT162" s="351" t="str">
        <f>IF(G162="MOTOR",(SQRT(3)*AH162*O162*((AA162*P162)+(AB162*SIN(ACOS(P162))))*100/(AP162*K162*1000)),"NA")</f>
        <v>NA</v>
      </c>
      <c r="AU162" s="343" t="str">
        <f>IF(G162="MOTOR",IF(AT162&lt;=15,"YES","NO"),"NA")</f>
        <v>NA</v>
      </c>
      <c r="AV162" s="354" t="str">
        <f>IF(U162="1C",CONCATENATE(AP162,"R x ",Y162,"kV x ",U162," x ",V162," Sqmm/Phase"),CONCATENATE(AP162,"R x ",0.6,"/1kV x ",U162," x ",V162," Sqmm"))</f>
        <v>3R x 0.6/1.0kV x 1C x 630 Sqmm/Phase</v>
      </c>
      <c r="AW162" s="354" t="str">
        <f>IF(U162="1C",CONCATENATE(AP162,"R x ",Y162,"kV x ",U162," x ",V162," Sqmm/Phase"),CONCATENATE(AP162,"R x ",0.6,"/1kV x ",U162," x ",V162,(IF(G162="MOTOR","+PE",""))," Sqmm"))</f>
        <v>3R x 0.6/1.0kV x 1C x 630 Sqmm/Phase</v>
      </c>
      <c r="AX162" s="525">
        <f>(IF(K162=400,(IF(U162="1C",(3*AH162*AP162),(AH162*AP162))),IF(K162=230,(AH162*AP162))))</f>
        <v>234</v>
      </c>
      <c r="AY162" s="804"/>
      <c r="AZ162" s="355">
        <f>IF(U162="1C",(3*AP162*2),(AP162*2))</f>
        <v>18</v>
      </c>
      <c r="BA162" s="356" t="str">
        <f t="shared" ref="BA162:BA216" si="1277">CONCATENATE(IF(BE162=1,BE$4,""),IF(BF162=1,BF$4,""),IF(BG162=1,BG$4,""),IF(BH162=1,BH$4,""),IF(BI162=1,BI$4,""),IF(BJ162=1,BJ$4,""),IF(BK162=1,BK$4,""),IF(BL162=1,BL$4,""),IF(BM162=1,BM$4,""),IF(BN162=1,BN$4,""),IF(BO162=1,BO$4,""),IF(BP162=1,BP$4,""),IF(BQ162=1,BQ$4,""),IF(BR162=1,BR$4,""),IF(BS162=1,BS$4,""),IF(BT162=1,BT$4,""),IF(BU162=1,BU$4,""),IF(BV162=1,BV$4,""),IF(BW162=1,BW$4,""),IF(BX162=1,BX$4,""),IF(BY162=1,BY$4,""),IF(BZ162=1,BZ$4,""),IF(CA162=1,CA$4,""),IF(CC162=1,CC$4,""),IF(CD162=1,CD$4,""),IF(CE162=1,CE$4,""),IF(CF162=1,CF$4,""),IF(CG162=1,CG$4,""),IF(CH162=1,CH$4,""),IF(CI162=1,CI$4,""),IF(CJ162=1,CJ$4,""),IF(CK162=1,CK$4,""),IF(CL162=1,CL$4,""),IF(CM162=1,CM$4,""),IF(CN162=1,CN$4,""),IF(CO162=1,CO$4,""),IF(CP162=1,CP$4,""),IF(CQ162=1,CQ$4,""),IF(CR162=1,CR$4,""),IF(CS162=1,CS$4,""),IF(CT162=1,CT$4,""),IF(CU162=1,CU$4,""),IF(CV162=1,CV$4,""),IF(CW162=1,CW$4,""),IF(CX162=1,CX$4,""),IF(CY162=1,CY$4,""),IF(CZ162=1,CZ$4,""),IF(DA162=1,DA$4,""),IF(DB162=1,DB$4,""),IF(DC162=1,DC$4,""),IF(DD162=1,DD$4,""),IF(DE162=1,DE$4,""),IF(DF162=1,DF$4,""),IF(DG162=1,DG$4,""),IF(DH162=1,DH$4,""),IF(DI162=1,DI$4,""),IF(DJ162=1,DJ$4,""),IF(DK162=1,DK$4,""),IF(DL162=1,DL$4,""),IF(DM162=1,DM$4,""),IF(DN162=1,DN$4,""),IF(DO162=1,DO$4,""),IF(DP162=1,DP$4,""),IF(DQ162=1,DQ$4,""),IF(DR162=1,DR$4,""),IF(DS162=1,DS$4,""),IF(DT162=1,DT$4,""),IF(DU162=1,DU$4,""))</f>
        <v/>
      </c>
      <c r="BB162" s="501">
        <f>VLOOKUP(W162,'Catalogue Aluminium'!$B$9:$H$93,7,FALSE)</f>
        <v>42</v>
      </c>
      <c r="BC162" s="328">
        <f>IF(U162="1C",(3*AP162*BB162),(AP162*BB162))</f>
        <v>378</v>
      </c>
      <c r="BE162" s="336"/>
      <c r="BF162" s="336"/>
      <c r="BG162" s="336"/>
      <c r="BH162" s="336"/>
      <c r="BI162" s="336"/>
      <c r="BJ162" s="336"/>
      <c r="BK162" s="336"/>
      <c r="BL162" s="336"/>
      <c r="BM162" s="336"/>
      <c r="BN162" s="336"/>
      <c r="BO162" s="336"/>
      <c r="BP162" s="336"/>
      <c r="BQ162" s="336"/>
      <c r="BR162" s="336"/>
      <c r="BS162" s="336"/>
      <c r="BT162" s="336"/>
      <c r="BU162" s="336"/>
      <c r="BV162" s="336"/>
      <c r="BW162" s="336"/>
      <c r="BX162" s="336"/>
      <c r="BY162" s="336"/>
      <c r="BZ162" s="336"/>
      <c r="CA162" s="336"/>
      <c r="CB162" s="336"/>
      <c r="CC162" s="336"/>
      <c r="CD162" s="336"/>
      <c r="CE162" s="336"/>
      <c r="CF162" s="336"/>
      <c r="CG162" s="336"/>
      <c r="CH162" s="336"/>
      <c r="CI162" s="336"/>
      <c r="CJ162" s="336"/>
      <c r="CK162" s="336"/>
      <c r="CL162" s="336"/>
      <c r="CM162" s="336"/>
      <c r="CN162" s="336"/>
      <c r="CO162" s="336"/>
      <c r="CP162" s="336"/>
      <c r="CQ162" s="336"/>
      <c r="CR162" s="336"/>
      <c r="CS162" s="336"/>
      <c r="CT162" s="336"/>
      <c r="CU162" s="336"/>
      <c r="CV162" s="336"/>
      <c r="CW162" s="336"/>
      <c r="CX162" s="336"/>
      <c r="CY162" s="336"/>
      <c r="CZ162" s="336"/>
      <c r="DA162" s="336"/>
      <c r="DB162" s="336"/>
      <c r="DC162" s="336"/>
      <c r="DD162" s="336"/>
      <c r="DE162" s="336"/>
      <c r="DF162" s="336"/>
      <c r="DG162" s="336"/>
      <c r="DH162" s="336"/>
      <c r="DI162" s="336"/>
      <c r="DJ162" s="336"/>
      <c r="DK162" s="336"/>
      <c r="DL162" s="336"/>
      <c r="DM162" s="336"/>
      <c r="DN162" s="336"/>
      <c r="DO162" s="336"/>
      <c r="DP162" s="336"/>
      <c r="DQ162" s="336"/>
      <c r="DR162" s="336"/>
      <c r="DS162" s="336"/>
      <c r="DT162" s="336"/>
      <c r="DU162" s="336"/>
      <c r="DW162" s="336">
        <f t="shared" si="1012"/>
        <v>0</v>
      </c>
      <c r="DX162" s="336">
        <f t="shared" si="1004"/>
        <v>0</v>
      </c>
      <c r="DY162" s="336">
        <f t="shared" si="1005"/>
        <v>0</v>
      </c>
      <c r="DZ162" s="336">
        <f t="shared" si="1006"/>
        <v>0</v>
      </c>
      <c r="EA162" s="336">
        <f t="shared" si="1007"/>
        <v>0</v>
      </c>
      <c r="EB162" s="336">
        <f t="shared" si="1008"/>
        <v>0</v>
      </c>
      <c r="EC162" s="336">
        <f t="shared" si="1009"/>
        <v>0</v>
      </c>
      <c r="ED162" s="336">
        <f t="shared" si="919"/>
        <v>0</v>
      </c>
      <c r="EE162" s="336">
        <f t="shared" si="920"/>
        <v>0</v>
      </c>
      <c r="EF162" s="336">
        <f t="shared" si="921"/>
        <v>0</v>
      </c>
      <c r="EG162" s="336">
        <f t="shared" si="922"/>
        <v>0</v>
      </c>
      <c r="EH162" s="336">
        <f t="shared" si="923"/>
        <v>0</v>
      </c>
      <c r="EI162" s="336">
        <f t="shared" si="924"/>
        <v>0</v>
      </c>
      <c r="EJ162" s="336">
        <f t="shared" si="925"/>
        <v>0</v>
      </c>
      <c r="EK162" s="336">
        <f t="shared" si="926"/>
        <v>0</v>
      </c>
      <c r="EL162" s="336">
        <f t="shared" si="927"/>
        <v>0</v>
      </c>
      <c r="EM162" s="336">
        <f t="shared" si="928"/>
        <v>0</v>
      </c>
      <c r="EN162" s="336">
        <f t="shared" si="929"/>
        <v>0</v>
      </c>
      <c r="EO162" s="336">
        <f t="shared" si="930"/>
        <v>0</v>
      </c>
      <c r="EP162" s="336">
        <f t="shared" si="931"/>
        <v>0</v>
      </c>
      <c r="EQ162" s="336">
        <f t="shared" si="932"/>
        <v>0</v>
      </c>
      <c r="ER162" s="336">
        <f t="shared" si="933"/>
        <v>0</v>
      </c>
      <c r="ES162" s="336">
        <f t="shared" si="934"/>
        <v>0</v>
      </c>
      <c r="ET162" s="336">
        <f t="shared" si="934"/>
        <v>0</v>
      </c>
      <c r="EU162" s="336">
        <f t="shared" si="935"/>
        <v>0</v>
      </c>
      <c r="EV162" s="336">
        <f t="shared" si="936"/>
        <v>0</v>
      </c>
      <c r="EW162" s="336">
        <f t="shared" si="937"/>
        <v>0</v>
      </c>
      <c r="EX162" s="336">
        <f t="shared" si="938"/>
        <v>0</v>
      </c>
      <c r="EY162" s="336">
        <f t="shared" si="939"/>
        <v>0</v>
      </c>
      <c r="EZ162" s="336">
        <f t="shared" si="940"/>
        <v>0</v>
      </c>
      <c r="FA162" s="336">
        <f t="shared" si="941"/>
        <v>0</v>
      </c>
      <c r="FB162" s="336">
        <f t="shared" si="942"/>
        <v>0</v>
      </c>
      <c r="FC162" s="336">
        <f t="shared" si="943"/>
        <v>0</v>
      </c>
      <c r="FD162" s="336">
        <f t="shared" si="944"/>
        <v>0</v>
      </c>
      <c r="FE162" s="336">
        <f t="shared" si="945"/>
        <v>0</v>
      </c>
      <c r="FF162" s="336">
        <f t="shared" si="946"/>
        <v>0</v>
      </c>
      <c r="FG162" s="336">
        <f t="shared" si="947"/>
        <v>0</v>
      </c>
      <c r="FH162" s="336">
        <f t="shared" si="948"/>
        <v>0</v>
      </c>
      <c r="FI162" s="336">
        <f t="shared" si="949"/>
        <v>0</v>
      </c>
      <c r="FJ162" s="336">
        <f t="shared" si="950"/>
        <v>0</v>
      </c>
      <c r="FK162" s="336">
        <f t="shared" si="951"/>
        <v>0</v>
      </c>
      <c r="FL162" s="336">
        <f t="shared" si="952"/>
        <v>0</v>
      </c>
      <c r="FM162" s="336">
        <f t="shared" si="953"/>
        <v>0</v>
      </c>
      <c r="FN162" s="336">
        <f t="shared" si="954"/>
        <v>0</v>
      </c>
      <c r="FO162" s="336">
        <f t="shared" si="955"/>
        <v>0</v>
      </c>
      <c r="FP162" s="336">
        <f t="shared" si="956"/>
        <v>0</v>
      </c>
      <c r="FQ162" s="336">
        <f t="shared" si="957"/>
        <v>0</v>
      </c>
      <c r="FR162" s="336">
        <f t="shared" si="958"/>
        <v>0</v>
      </c>
      <c r="FS162" s="336">
        <f t="shared" si="959"/>
        <v>0</v>
      </c>
      <c r="FT162" s="336">
        <f t="shared" si="960"/>
        <v>0</v>
      </c>
      <c r="FU162" s="336">
        <f t="shared" si="860"/>
        <v>0</v>
      </c>
      <c r="FV162" s="336">
        <f t="shared" si="861"/>
        <v>0</v>
      </c>
      <c r="FW162" s="336">
        <f t="shared" si="862"/>
        <v>0</v>
      </c>
      <c r="FX162" s="336">
        <f t="shared" si="863"/>
        <v>0</v>
      </c>
      <c r="FY162" s="336">
        <f t="shared" si="961"/>
        <v>0</v>
      </c>
      <c r="FZ162" s="336">
        <f t="shared" si="962"/>
        <v>0</v>
      </c>
      <c r="GA162" s="336">
        <f t="shared" si="963"/>
        <v>0</v>
      </c>
      <c r="GB162" s="336">
        <f t="shared" si="964"/>
        <v>0</v>
      </c>
      <c r="GC162" s="336">
        <f t="shared" si="965"/>
        <v>0</v>
      </c>
      <c r="GD162" s="336">
        <f t="shared" si="966"/>
        <v>0</v>
      </c>
      <c r="GE162" s="336">
        <f t="shared" si="967"/>
        <v>0</v>
      </c>
      <c r="GF162" s="336">
        <f t="shared" si="968"/>
        <v>0</v>
      </c>
      <c r="GG162" s="336">
        <f t="shared" si="969"/>
        <v>0</v>
      </c>
      <c r="GH162" s="336">
        <f t="shared" si="970"/>
        <v>0</v>
      </c>
      <c r="GI162" s="336">
        <f t="shared" si="971"/>
        <v>0</v>
      </c>
      <c r="GJ162" s="336">
        <f t="shared" si="972"/>
        <v>0</v>
      </c>
      <c r="GK162" s="336">
        <f t="shared" si="1171"/>
        <v>0</v>
      </c>
      <c r="GL162" s="336">
        <f t="shared" si="975"/>
        <v>0</v>
      </c>
      <c r="GM162" s="336">
        <f t="shared" si="973"/>
        <v>0</v>
      </c>
    </row>
    <row r="163" spans="1:195" ht="26.25" customHeight="1">
      <c r="A163" s="337">
        <f t="shared" ref="A163" si="1278">1+A162</f>
        <v>117</v>
      </c>
      <c r="B163" s="337" t="s">
        <v>615</v>
      </c>
      <c r="C163" s="337" t="s">
        <v>633</v>
      </c>
      <c r="D163" s="544" t="s">
        <v>635</v>
      </c>
      <c r="E163" s="502" t="s">
        <v>401</v>
      </c>
      <c r="F163" s="516" t="s">
        <v>29</v>
      </c>
      <c r="G163" s="337" t="s">
        <v>329</v>
      </c>
      <c r="H163" s="350">
        <f>CEILING(691.42,10)/1.732</f>
        <v>404.15704387990763</v>
      </c>
      <c r="I163" s="337" t="s">
        <v>330</v>
      </c>
      <c r="J163" s="337" t="s">
        <v>331</v>
      </c>
      <c r="K163" s="349">
        <v>400</v>
      </c>
      <c r="L163" s="343">
        <v>0.84664865012052015</v>
      </c>
      <c r="M163" s="350">
        <v>0.92832394366197268</v>
      </c>
      <c r="N163" s="342">
        <f>IF(I163="kVA",IF(J163="3Ph",(H163*1000/(1.732*M163*K163)),(H163*1000/(M163*K163))),IF(I163="kW",IF(J163="3Ph",(H163*1000/(1.732*M163*K163*L163)),(H163*1000/(M163*K163*L163)))))</f>
        <v>742.23170385930769</v>
      </c>
      <c r="O163" s="342">
        <f>IF(G163="MOTOR",(6*N163),IF(G163="VFD",(1*N163),0))</f>
        <v>0</v>
      </c>
      <c r="P163" s="343" t="str">
        <f t="shared" ref="P163" si="1279">IF(G163="MOTOR",0.2,"0.00")</f>
        <v>0.00</v>
      </c>
      <c r="Q163" s="350">
        <v>50</v>
      </c>
      <c r="R163" s="350">
        <v>1</v>
      </c>
      <c r="S163" s="350">
        <f t="shared" ref="S163" si="1280">(Q163*1000*SQRT(R163)/143)</f>
        <v>349.65034965034965</v>
      </c>
      <c r="T163" s="343" t="s">
        <v>131</v>
      </c>
      <c r="U163" s="350" t="s">
        <v>336</v>
      </c>
      <c r="V163" s="343">
        <v>630</v>
      </c>
      <c r="W163" s="343" t="str">
        <f t="shared" ref="W163" si="1281">CONCATENATE(U163," X ",V163)</f>
        <v>1C X 630</v>
      </c>
      <c r="X163" s="343" t="str">
        <f t="shared" ref="X163" si="1282">(IF(J163="1Ph",W163,IF(J163="3Ph",(IF(G163="MOTOR",(CONCATENATE(W163,"+PE")),W163)))))</f>
        <v>1C X 630</v>
      </c>
      <c r="Y163" s="343" t="s">
        <v>358</v>
      </c>
      <c r="Z163" s="344">
        <f>IF(T163="AIR",VLOOKUP(W163,'Catalogue Aluminium'!$B$9:$G$93,2,FALSE),IF(T163="GROUND",VLOOKUP(W163,'Catalogue Aluminium'!$B$9:$G$93,3,FALSE),IF(T163="DUCT",VLOOKUP(W163,'Catalogue Aluminium'!$B$9:$G$93,4,FALSE),IF(T163="TRENCH",VLOOKUP(W163,'Catalogue Aluminium'!$B$9:$G$93,2,FALSE)))))</f>
        <v>822</v>
      </c>
      <c r="AA163" s="345">
        <f>VLOOKUP(W163,'Catalogue Aluminium'!$B$9:$G$93,5,FALSE)</f>
        <v>0.06</v>
      </c>
      <c r="AB163" s="345">
        <f>VLOOKUP(W163,'Catalogue Aluminium'!$B$9:$G$93,6,FALSE)</f>
        <v>8.43E-2</v>
      </c>
      <c r="AC163" s="401">
        <f>10</f>
        <v>10</v>
      </c>
      <c r="AD163" s="401">
        <v>0</v>
      </c>
      <c r="AE163" s="401">
        <v>5</v>
      </c>
      <c r="AF163" s="401">
        <v>8</v>
      </c>
      <c r="AG163" s="401">
        <f t="shared" ref="AG163" si="1283">ROUNDUP((SUM(AC163:AF163)*0.1),0)</f>
        <v>3</v>
      </c>
      <c r="AH163" s="347">
        <f t="shared" ref="AH163" si="1284">SUM(AC163:AG163)</f>
        <v>26</v>
      </c>
      <c r="AI163" s="344">
        <f>IF(T163="AIR",'Catalogue Aluminium'!$K$9,IF(T163="TRENCH",'Catalogue Aluminium'!$K$12,"NA"))</f>
        <v>0.89</v>
      </c>
      <c r="AJ163" s="342">
        <f>IF(T163="Air",(IF(U163="1C",'Catalogue Aluminium'!$L$9,'Catalogue Aluminium'!$M$9)),IF(T163="DUCT",(IF($U163="1C",'Catalogue Aluminium'!$L$10,'Catalogue Aluminium'!$M$10)),IF(T163="GROUND",(IF($U163="1C",'Catalogue Aluminium'!$L$11,'Catalogue Aluminium'!$M$11)),IF(T163="TRENCH",(IF($U163="1C",'Catalogue Aluminium'!$L$12,'Catalogue Aluminium'!$M$12))))))</f>
        <v>0.81</v>
      </c>
      <c r="AK163" s="344" t="str">
        <f>IF(T163="Air",'Catalogue Aluminium'!$N$9,IF(T163="GROUND",'Catalogue Aluminium'!$N$10,IF(T163="DUCT",'Catalogue Aluminium'!$N$11,IF(T163="TRENCH",'Catalogue Aluminium'!$N$12,"NA"))))</f>
        <v>NA</v>
      </c>
      <c r="AL163" s="344" t="str">
        <f>IF(T163="Air",(IF(U163="1C",'Catalogue Aluminium'!$O$9,'Catalogue Aluminium'!$P$9)),IF(T163="DUCT",(IF($U163="1C",'Catalogue Aluminium'!$O$10,'Catalogue Aluminium'!$P$10)),IF(T163="GROUND",(IF($U163="1C",'Catalogue Aluminium'!$O$11,'Catalogue Aluminium'!$P$11)),IF(T163="TRENCH",(IF($U163="1C",'Catalogue Aluminium'!$O$12,'Catalogue Aluminium'!$P$12))))))</f>
        <v>NA</v>
      </c>
      <c r="AM163" s="344" t="str">
        <f>IF(T163="AIR","NA",IF(T163="TRENCH","NA",IF(T163="DUCT",IF(U163="1C",VLOOKUP(V163,'Catalogue Aluminium'!$Q$9:$S$28,2,FALSE),VLOOKUP(V163,'Catalogue Aluminium'!$Q$9:$S$28,3)),IF(T163="GROUND",IF(U163="1C",VLOOKUP(V163,'Catalogue Aluminium'!$Q$9:$S$28,2,FALSE),VLOOKUP(V163,'Catalogue Aluminium'!$Q$9:$S$28,3))))))</f>
        <v>NA</v>
      </c>
      <c r="AN163" s="351">
        <f t="shared" ref="AN163" si="1285">IF(T163="AIR",AI163*AJ163,IF(T163="TRENCH",AI163*AJ163,IF(T163="DUCT",AJ163*AK163*AL163*AM163,IF(T163="GROUND",AJ163*AK163*AL163*AM163))))</f>
        <v>0.7209000000000001</v>
      </c>
      <c r="AO163" s="350">
        <f t="shared" ref="AO163" si="1286">Z163*AN163</f>
        <v>592.57980000000009</v>
      </c>
      <c r="AP163" s="349">
        <f t="shared" ref="AP163" si="1287">CEILING(((N163)/AO163),1)</f>
        <v>2</v>
      </c>
      <c r="AQ163" s="350" t="str">
        <f t="shared" ref="AQ163" si="1288">IF(AO163*AP163&gt;=N163,"YES","NO")</f>
        <v>YES</v>
      </c>
      <c r="AR163" s="351">
        <f t="shared" ref="AR163" si="1289">SQRT(3)*AH163*N163*((AA163*L163)+(AB163*SIN(ACOS(L163))))*100/(AP163*K163*1000)</f>
        <v>0.39967864848400803</v>
      </c>
      <c r="AS163" s="343" t="str">
        <f t="shared" ref="AS163" si="1290">IF(G163="INCOMER",(IF(AR163&lt;=2,"YES","NO")),IF(G163="POWER",(IF(AR163&lt;=2.5,"YES","NO")),IF(G163="MOTOR",(IF(AR163&lt;=3,"YES","NO")))))</f>
        <v>YES</v>
      </c>
      <c r="AT163" s="351" t="str">
        <f>IF(G163="MOTOR",(SQRT(3)*AH163*O163*((AA163*P163)+(AB163*SIN(ACOS(P163))))*100/(AP163*K163*1000)),"NA")</f>
        <v>NA</v>
      </c>
      <c r="AU163" s="343" t="str">
        <f>IF(G163="MOTOR",IF(AT163&lt;=15,"YES","NO"),"NA")</f>
        <v>NA</v>
      </c>
      <c r="AV163" s="354" t="s">
        <v>618</v>
      </c>
      <c r="AW163" s="354" t="str">
        <f>IF(U163="1C",CONCATENATE(AP163,"R x ",Y163,"kV x ",U163," x ",V163," Sqmm/Phase"),CONCATENATE(AP163,"R x ",0.6,"/1kV x ",U163," x ",V163,(IF(G163="MOTOR","+PE",""))," Sqmm"))</f>
        <v>2R x 0.6/1.0kV x 1C x 630 Sqmm/Phase</v>
      </c>
      <c r="AX163" s="525">
        <f>(IF(K163=400,(IF(U163="1C",(AH163*AP163),(AH163*AP163))),IF(K163=230,(AH163*AP163))))</f>
        <v>52</v>
      </c>
      <c r="AY163" s="804"/>
      <c r="AZ163" s="355">
        <f>IF(U163="1C",(AP163*2),(AP163*2))</f>
        <v>4</v>
      </c>
      <c r="BA163" s="356" t="str">
        <f t="shared" si="1277"/>
        <v/>
      </c>
      <c r="BB163" s="501">
        <f>VLOOKUP(W163,'Catalogue Aluminium'!$B$9:$H$93,7,FALSE)</f>
        <v>42</v>
      </c>
      <c r="BC163" s="328">
        <f>IF(U163="1C",(AP163*BB163),(AP163*BB163))</f>
        <v>84</v>
      </c>
      <c r="BE163" s="336"/>
      <c r="BF163" s="336"/>
      <c r="BG163" s="336"/>
      <c r="BH163" s="336"/>
      <c r="BI163" s="336"/>
      <c r="BJ163" s="336"/>
      <c r="BK163" s="336"/>
      <c r="BL163" s="336"/>
      <c r="BM163" s="336"/>
      <c r="BN163" s="336"/>
      <c r="BO163" s="336"/>
      <c r="BP163" s="336"/>
      <c r="BQ163" s="336"/>
      <c r="BR163" s="336"/>
      <c r="BS163" s="336"/>
      <c r="BT163" s="336"/>
      <c r="BU163" s="336"/>
      <c r="BV163" s="336"/>
      <c r="BW163" s="336"/>
      <c r="BX163" s="336"/>
      <c r="BY163" s="336"/>
      <c r="BZ163" s="336"/>
      <c r="CA163" s="336"/>
      <c r="CB163" s="336"/>
      <c r="CC163" s="336"/>
      <c r="CD163" s="336"/>
      <c r="CE163" s="336"/>
      <c r="CF163" s="336"/>
      <c r="CG163" s="336"/>
      <c r="CH163" s="336"/>
      <c r="CI163" s="336"/>
      <c r="CJ163" s="336"/>
      <c r="CK163" s="336"/>
      <c r="CL163" s="336"/>
      <c r="CM163" s="336"/>
      <c r="CN163" s="336"/>
      <c r="CO163" s="336"/>
      <c r="CP163" s="336"/>
      <c r="CQ163" s="336"/>
      <c r="CR163" s="336"/>
      <c r="CS163" s="336"/>
      <c r="CT163" s="336"/>
      <c r="CU163" s="336"/>
      <c r="CV163" s="336"/>
      <c r="CW163" s="336"/>
      <c r="CX163" s="336"/>
      <c r="CY163" s="336"/>
      <c r="CZ163" s="336"/>
      <c r="DA163" s="336"/>
      <c r="DB163" s="336"/>
      <c r="DC163" s="336"/>
      <c r="DD163" s="336"/>
      <c r="DE163" s="336"/>
      <c r="DF163" s="336"/>
      <c r="DG163" s="336"/>
      <c r="DH163" s="336"/>
      <c r="DI163" s="336"/>
      <c r="DJ163" s="336"/>
      <c r="DK163" s="336"/>
      <c r="DL163" s="336"/>
      <c r="DM163" s="336"/>
      <c r="DN163" s="336"/>
      <c r="DO163" s="336"/>
      <c r="DP163" s="336"/>
      <c r="DQ163" s="336"/>
      <c r="DR163" s="336"/>
      <c r="DS163" s="336"/>
      <c r="DT163" s="336"/>
      <c r="DU163" s="336"/>
      <c r="DW163" s="336">
        <f t="shared" si="1012"/>
        <v>0</v>
      </c>
      <c r="DX163" s="336">
        <f t="shared" si="1004"/>
        <v>0</v>
      </c>
      <c r="DY163" s="336">
        <f t="shared" si="1005"/>
        <v>0</v>
      </c>
      <c r="DZ163" s="336">
        <f t="shared" si="1006"/>
        <v>0</v>
      </c>
      <c r="EA163" s="336">
        <f t="shared" si="1007"/>
        <v>0</v>
      </c>
      <c r="EB163" s="336">
        <f t="shared" si="1008"/>
        <v>0</v>
      </c>
      <c r="EC163" s="336">
        <f t="shared" si="1009"/>
        <v>0</v>
      </c>
      <c r="ED163" s="336">
        <f t="shared" si="919"/>
        <v>0</v>
      </c>
      <c r="EE163" s="336">
        <f t="shared" si="920"/>
        <v>0</v>
      </c>
      <c r="EF163" s="336">
        <f t="shared" si="921"/>
        <v>0</v>
      </c>
      <c r="EG163" s="336">
        <f t="shared" si="922"/>
        <v>0</v>
      </c>
      <c r="EH163" s="336">
        <f t="shared" si="923"/>
        <v>0</v>
      </c>
      <c r="EI163" s="336">
        <f t="shared" si="924"/>
        <v>0</v>
      </c>
      <c r="EJ163" s="336">
        <f t="shared" si="925"/>
        <v>0</v>
      </c>
      <c r="EK163" s="336">
        <f t="shared" si="926"/>
        <v>0</v>
      </c>
      <c r="EL163" s="336">
        <f t="shared" si="927"/>
        <v>0</v>
      </c>
      <c r="EM163" s="336">
        <f t="shared" si="928"/>
        <v>0</v>
      </c>
      <c r="EN163" s="336">
        <f t="shared" si="929"/>
        <v>0</v>
      </c>
      <c r="EO163" s="336">
        <f t="shared" si="930"/>
        <v>0</v>
      </c>
      <c r="EP163" s="336">
        <f t="shared" si="931"/>
        <v>0</v>
      </c>
      <c r="EQ163" s="336">
        <f t="shared" si="932"/>
        <v>0</v>
      </c>
      <c r="ER163" s="336">
        <f t="shared" si="933"/>
        <v>0</v>
      </c>
      <c r="ES163" s="336">
        <f t="shared" si="934"/>
        <v>0</v>
      </c>
      <c r="ET163" s="336">
        <f t="shared" si="934"/>
        <v>0</v>
      </c>
      <c r="EU163" s="336">
        <f t="shared" si="935"/>
        <v>0</v>
      </c>
      <c r="EV163" s="336">
        <f t="shared" si="936"/>
        <v>0</v>
      </c>
      <c r="EW163" s="336">
        <f t="shared" si="937"/>
        <v>0</v>
      </c>
      <c r="EX163" s="336">
        <f t="shared" si="938"/>
        <v>0</v>
      </c>
      <c r="EY163" s="336">
        <f t="shared" si="939"/>
        <v>0</v>
      </c>
      <c r="EZ163" s="336">
        <f t="shared" si="940"/>
        <v>0</v>
      </c>
      <c r="FA163" s="336">
        <f t="shared" si="941"/>
        <v>0</v>
      </c>
      <c r="FB163" s="336">
        <f t="shared" si="942"/>
        <v>0</v>
      </c>
      <c r="FC163" s="336">
        <f t="shared" si="943"/>
        <v>0</v>
      </c>
      <c r="FD163" s="336">
        <f t="shared" si="944"/>
        <v>0</v>
      </c>
      <c r="FE163" s="336">
        <f t="shared" si="945"/>
        <v>0</v>
      </c>
      <c r="FF163" s="336">
        <f t="shared" si="946"/>
        <v>0</v>
      </c>
      <c r="FG163" s="336">
        <f t="shared" si="947"/>
        <v>0</v>
      </c>
      <c r="FH163" s="336">
        <f t="shared" si="948"/>
        <v>0</v>
      </c>
      <c r="FI163" s="336">
        <f t="shared" si="949"/>
        <v>0</v>
      </c>
      <c r="FJ163" s="336">
        <f t="shared" si="950"/>
        <v>0</v>
      </c>
      <c r="FK163" s="336">
        <f t="shared" si="951"/>
        <v>0</v>
      </c>
      <c r="FL163" s="336">
        <f t="shared" si="952"/>
        <v>0</v>
      </c>
      <c r="FM163" s="336">
        <f t="shared" si="953"/>
        <v>0</v>
      </c>
      <c r="FN163" s="336">
        <f t="shared" si="954"/>
        <v>0</v>
      </c>
      <c r="FO163" s="336">
        <f t="shared" si="955"/>
        <v>0</v>
      </c>
      <c r="FP163" s="336">
        <f t="shared" si="956"/>
        <v>0</v>
      </c>
      <c r="FQ163" s="336">
        <f t="shared" si="957"/>
        <v>0</v>
      </c>
      <c r="FR163" s="336">
        <f t="shared" si="958"/>
        <v>0</v>
      </c>
      <c r="FS163" s="336">
        <f t="shared" si="959"/>
        <v>0</v>
      </c>
      <c r="FT163" s="336">
        <f t="shared" si="960"/>
        <v>0</v>
      </c>
      <c r="FU163" s="336">
        <f t="shared" si="860"/>
        <v>0</v>
      </c>
      <c r="FV163" s="336">
        <f t="shared" si="861"/>
        <v>0</v>
      </c>
      <c r="FW163" s="336">
        <f t="shared" si="862"/>
        <v>0</v>
      </c>
      <c r="FX163" s="336">
        <f t="shared" si="863"/>
        <v>0</v>
      </c>
      <c r="FY163" s="336">
        <f t="shared" si="961"/>
        <v>0</v>
      </c>
      <c r="FZ163" s="336">
        <f t="shared" si="962"/>
        <v>0</v>
      </c>
      <c r="GA163" s="336">
        <f t="shared" si="963"/>
        <v>0</v>
      </c>
      <c r="GB163" s="336">
        <f t="shared" si="964"/>
        <v>0</v>
      </c>
      <c r="GC163" s="336">
        <f t="shared" si="965"/>
        <v>0</v>
      </c>
      <c r="GD163" s="336">
        <f t="shared" si="966"/>
        <v>0</v>
      </c>
      <c r="GE163" s="336">
        <f t="shared" si="967"/>
        <v>0</v>
      </c>
      <c r="GF163" s="336">
        <f t="shared" si="968"/>
        <v>0</v>
      </c>
      <c r="GG163" s="336">
        <f t="shared" si="969"/>
        <v>0</v>
      </c>
      <c r="GH163" s="336">
        <f t="shared" si="970"/>
        <v>0</v>
      </c>
      <c r="GI163" s="336">
        <f t="shared" si="971"/>
        <v>0</v>
      </c>
      <c r="GJ163" s="336">
        <f t="shared" si="972"/>
        <v>0</v>
      </c>
      <c r="GK163" s="336">
        <f t="shared" si="1171"/>
        <v>0</v>
      </c>
      <c r="GL163" s="336">
        <f t="shared" si="975"/>
        <v>0</v>
      </c>
      <c r="GM163" s="336">
        <f t="shared" si="973"/>
        <v>0</v>
      </c>
    </row>
    <row r="164" spans="1:195" s="76" customFormat="1" ht="26.25" customHeight="1">
      <c r="A164" s="531"/>
      <c r="B164" s="531"/>
      <c r="C164" s="531"/>
      <c r="D164" s="330" t="s">
        <v>636</v>
      </c>
      <c r="E164" s="533"/>
      <c r="F164" s="857"/>
      <c r="G164" s="531"/>
      <c r="H164" s="534"/>
      <c r="I164" s="531"/>
      <c r="J164" s="531"/>
      <c r="K164" s="535"/>
      <c r="L164" s="536"/>
      <c r="M164" s="534"/>
      <c r="N164" s="537"/>
      <c r="O164" s="537"/>
      <c r="P164" s="536"/>
      <c r="Q164" s="534"/>
      <c r="R164" s="534"/>
      <c r="S164" s="534"/>
      <c r="T164" s="536"/>
      <c r="U164" s="534"/>
      <c r="V164" s="536"/>
      <c r="W164" s="536"/>
      <c r="X164" s="536"/>
      <c r="Y164" s="536"/>
      <c r="Z164" s="538"/>
      <c r="AA164" s="539"/>
      <c r="AB164" s="539"/>
      <c r="AC164" s="491"/>
      <c r="AD164" s="491"/>
      <c r="AE164" s="491"/>
      <c r="AF164" s="491"/>
      <c r="AG164" s="491"/>
      <c r="AH164" s="540"/>
      <c r="AI164" s="538"/>
      <c r="AJ164" s="537"/>
      <c r="AK164" s="538"/>
      <c r="AL164" s="538"/>
      <c r="AM164" s="538"/>
      <c r="AN164" s="541"/>
      <c r="AO164" s="534"/>
      <c r="AP164" s="535"/>
      <c r="AQ164" s="534"/>
      <c r="AR164" s="541"/>
      <c r="AS164" s="536"/>
      <c r="AT164" s="541"/>
      <c r="AU164" s="541"/>
      <c r="AV164" s="542"/>
      <c r="AW164" s="542"/>
      <c r="AX164" s="536"/>
      <c r="AY164" s="543"/>
      <c r="AZ164" s="543"/>
      <c r="BA164" s="536" t="str">
        <f t="shared" si="1277"/>
        <v/>
      </c>
      <c r="BB164" s="536"/>
      <c r="BC164" s="536"/>
      <c r="BE164" s="536"/>
      <c r="BF164" s="536"/>
      <c r="BG164" s="536"/>
      <c r="BH164" s="536"/>
      <c r="BI164" s="536"/>
      <c r="BJ164" s="536"/>
      <c r="BK164" s="536"/>
      <c r="BL164" s="536"/>
      <c r="BM164" s="536"/>
      <c r="BN164" s="536"/>
      <c r="BO164" s="536"/>
      <c r="BP164" s="536"/>
      <c r="BQ164" s="536"/>
      <c r="BR164" s="536"/>
      <c r="BS164" s="536"/>
      <c r="BT164" s="536"/>
      <c r="BU164" s="536"/>
      <c r="BV164" s="536"/>
      <c r="BW164" s="536"/>
      <c r="BX164" s="536"/>
      <c r="BY164" s="536"/>
      <c r="BZ164" s="536"/>
      <c r="CA164" s="536"/>
      <c r="CB164" s="536"/>
      <c r="CC164" s="536"/>
      <c r="CD164" s="536"/>
      <c r="CE164" s="536"/>
      <c r="CF164" s="536"/>
      <c r="CG164" s="536"/>
      <c r="CH164" s="536"/>
      <c r="CI164" s="536"/>
      <c r="CJ164" s="536"/>
      <c r="CK164" s="536"/>
      <c r="CL164" s="536"/>
      <c r="CM164" s="536"/>
      <c r="CN164" s="536"/>
      <c r="CO164" s="536"/>
      <c r="CP164" s="536"/>
      <c r="CQ164" s="536"/>
      <c r="CR164" s="536"/>
      <c r="CS164" s="536"/>
      <c r="CT164" s="536"/>
      <c r="CU164" s="536"/>
      <c r="CV164" s="536"/>
      <c r="CW164" s="536"/>
      <c r="CX164" s="536"/>
      <c r="CY164" s="536"/>
      <c r="CZ164" s="536"/>
      <c r="DA164" s="536"/>
      <c r="DB164" s="536"/>
      <c r="DC164" s="536"/>
      <c r="DD164" s="536"/>
      <c r="DE164" s="536"/>
      <c r="DF164" s="536"/>
      <c r="DG164" s="536"/>
      <c r="DH164" s="536"/>
      <c r="DI164" s="536"/>
      <c r="DJ164" s="536"/>
      <c r="DK164" s="536"/>
      <c r="DL164" s="536"/>
      <c r="DM164" s="536"/>
      <c r="DN164" s="536"/>
      <c r="DO164" s="536"/>
      <c r="DP164" s="536"/>
      <c r="DQ164" s="536"/>
      <c r="DR164" s="536"/>
      <c r="DS164" s="536"/>
      <c r="DT164" s="536"/>
      <c r="DU164" s="536"/>
      <c r="DV164" s="61"/>
      <c r="DW164" s="336">
        <f t="shared" si="1012"/>
        <v>0</v>
      </c>
      <c r="DX164" s="336">
        <f t="shared" si="1004"/>
        <v>0</v>
      </c>
      <c r="DY164" s="336">
        <f t="shared" si="1005"/>
        <v>0</v>
      </c>
      <c r="DZ164" s="336">
        <f t="shared" si="1006"/>
        <v>0</v>
      </c>
      <c r="EA164" s="336">
        <f t="shared" si="1007"/>
        <v>0</v>
      </c>
      <c r="EB164" s="336">
        <f t="shared" si="1008"/>
        <v>0</v>
      </c>
      <c r="EC164" s="336">
        <f t="shared" si="1009"/>
        <v>0</v>
      </c>
      <c r="ED164" s="336">
        <f t="shared" si="919"/>
        <v>0</v>
      </c>
      <c r="EE164" s="336">
        <f t="shared" si="920"/>
        <v>0</v>
      </c>
      <c r="EF164" s="336">
        <f t="shared" si="921"/>
        <v>0</v>
      </c>
      <c r="EG164" s="336">
        <f t="shared" si="922"/>
        <v>0</v>
      </c>
      <c r="EH164" s="336">
        <f t="shared" si="923"/>
        <v>0</v>
      </c>
      <c r="EI164" s="336">
        <f t="shared" si="924"/>
        <v>0</v>
      </c>
      <c r="EJ164" s="336">
        <f t="shared" si="925"/>
        <v>0</v>
      </c>
      <c r="EK164" s="336">
        <f t="shared" si="926"/>
        <v>0</v>
      </c>
      <c r="EL164" s="336">
        <f t="shared" si="927"/>
        <v>0</v>
      </c>
      <c r="EM164" s="336">
        <f t="shared" si="928"/>
        <v>0</v>
      </c>
      <c r="EN164" s="336">
        <f t="shared" si="929"/>
        <v>0</v>
      </c>
      <c r="EO164" s="336">
        <f t="shared" si="930"/>
        <v>0</v>
      </c>
      <c r="EP164" s="336">
        <f t="shared" si="931"/>
        <v>0</v>
      </c>
      <c r="EQ164" s="336">
        <f t="shared" si="932"/>
        <v>0</v>
      </c>
      <c r="ER164" s="336">
        <f t="shared" si="933"/>
        <v>0</v>
      </c>
      <c r="ES164" s="336">
        <f t="shared" si="934"/>
        <v>0</v>
      </c>
      <c r="ET164" s="336">
        <f t="shared" si="934"/>
        <v>0</v>
      </c>
      <c r="EU164" s="336">
        <f t="shared" si="935"/>
        <v>0</v>
      </c>
      <c r="EV164" s="336">
        <f t="shared" si="936"/>
        <v>0</v>
      </c>
      <c r="EW164" s="336">
        <f t="shared" si="937"/>
        <v>0</v>
      </c>
      <c r="EX164" s="336">
        <f t="shared" si="938"/>
        <v>0</v>
      </c>
      <c r="EY164" s="336">
        <f t="shared" si="939"/>
        <v>0</v>
      </c>
      <c r="EZ164" s="336">
        <f t="shared" si="940"/>
        <v>0</v>
      </c>
      <c r="FA164" s="336">
        <f t="shared" si="941"/>
        <v>0</v>
      </c>
      <c r="FB164" s="336">
        <f t="shared" si="942"/>
        <v>0</v>
      </c>
      <c r="FC164" s="336">
        <f t="shared" si="943"/>
        <v>0</v>
      </c>
      <c r="FD164" s="336">
        <f t="shared" si="944"/>
        <v>0</v>
      </c>
      <c r="FE164" s="336">
        <f t="shared" si="945"/>
        <v>0</v>
      </c>
      <c r="FF164" s="336">
        <f t="shared" si="946"/>
        <v>0</v>
      </c>
      <c r="FG164" s="336">
        <f t="shared" si="947"/>
        <v>0</v>
      </c>
      <c r="FH164" s="336">
        <f t="shared" si="948"/>
        <v>0</v>
      </c>
      <c r="FI164" s="336">
        <f t="shared" si="949"/>
        <v>0</v>
      </c>
      <c r="FJ164" s="336">
        <f t="shared" si="950"/>
        <v>0</v>
      </c>
      <c r="FK164" s="336">
        <f t="shared" si="951"/>
        <v>0</v>
      </c>
      <c r="FL164" s="336">
        <f t="shared" si="952"/>
        <v>0</v>
      </c>
      <c r="FM164" s="336">
        <f t="shared" si="953"/>
        <v>0</v>
      </c>
      <c r="FN164" s="336">
        <f t="shared" si="954"/>
        <v>0</v>
      </c>
      <c r="FO164" s="492">
        <f t="shared" si="955"/>
        <v>0</v>
      </c>
      <c r="FP164" s="492">
        <f t="shared" si="956"/>
        <v>0</v>
      </c>
      <c r="FQ164" s="492">
        <f t="shared" si="957"/>
        <v>0</v>
      </c>
      <c r="FR164" s="492">
        <f t="shared" si="958"/>
        <v>0</v>
      </c>
      <c r="FS164" s="492">
        <f t="shared" si="959"/>
        <v>0</v>
      </c>
      <c r="FT164" s="492">
        <f t="shared" si="960"/>
        <v>0</v>
      </c>
      <c r="FU164" s="336">
        <f t="shared" si="860"/>
        <v>0</v>
      </c>
      <c r="FV164" s="336">
        <f t="shared" si="861"/>
        <v>0</v>
      </c>
      <c r="FW164" s="336">
        <f t="shared" si="862"/>
        <v>0</v>
      </c>
      <c r="FX164" s="336">
        <f t="shared" si="863"/>
        <v>0</v>
      </c>
      <c r="FY164" s="492">
        <f t="shared" si="961"/>
        <v>0</v>
      </c>
      <c r="FZ164" s="492">
        <f t="shared" si="962"/>
        <v>0</v>
      </c>
      <c r="GA164" s="492">
        <f t="shared" si="963"/>
        <v>0</v>
      </c>
      <c r="GB164" s="492">
        <f t="shared" si="964"/>
        <v>0</v>
      </c>
      <c r="GC164" s="492">
        <f t="shared" si="965"/>
        <v>0</v>
      </c>
      <c r="GD164" s="492">
        <f t="shared" si="966"/>
        <v>0</v>
      </c>
      <c r="GE164" s="492">
        <f t="shared" si="967"/>
        <v>0</v>
      </c>
      <c r="GF164" s="492">
        <f t="shared" si="968"/>
        <v>0</v>
      </c>
      <c r="GG164" s="492">
        <f t="shared" si="969"/>
        <v>0</v>
      </c>
      <c r="GH164" s="492">
        <f t="shared" si="970"/>
        <v>0</v>
      </c>
      <c r="GI164" s="492">
        <f t="shared" si="971"/>
        <v>0</v>
      </c>
      <c r="GJ164" s="492">
        <f t="shared" si="972"/>
        <v>0</v>
      </c>
      <c r="GK164" s="492">
        <f t="shared" si="1171"/>
        <v>0</v>
      </c>
      <c r="GL164" s="336">
        <f t="shared" si="975"/>
        <v>0</v>
      </c>
      <c r="GM164" s="492">
        <f t="shared" si="973"/>
        <v>0</v>
      </c>
    </row>
    <row r="165" spans="1:195" ht="20.100000000000001" customHeight="1">
      <c r="A165" s="337">
        <f>1+A163</f>
        <v>118</v>
      </c>
      <c r="B165" s="526" t="s">
        <v>637</v>
      </c>
      <c r="C165" s="337" t="str">
        <f t="shared" ref="C165:C170" si="1291">$D$164</f>
        <v>EPMCC-1</v>
      </c>
      <c r="D165" s="787" t="s">
        <v>1671</v>
      </c>
      <c r="E165" s="893" t="s">
        <v>1673</v>
      </c>
      <c r="F165" s="337" t="s">
        <v>28</v>
      </c>
      <c r="G165" s="337" t="s">
        <v>350</v>
      </c>
      <c r="H165" s="583">
        <v>11</v>
      </c>
      <c r="I165" s="337" t="s">
        <v>330</v>
      </c>
      <c r="J165" s="337" t="s">
        <v>331</v>
      </c>
      <c r="K165" s="349">
        <v>400</v>
      </c>
      <c r="L165" s="343">
        <v>0.75</v>
      </c>
      <c r="M165" s="350">
        <v>0.85299999999999998</v>
      </c>
      <c r="N165" s="342">
        <f t="shared" ref="N165:N174" si="1292">IF(I165="kVA",IF(J165="3Ph",(H165*1000/(1.732*M165*K165)),(H165*1000/(M165*K165))),IF(I165="kW",IF(J165="3Ph",(H165*1000/(1.732*M165*K165*L165)),(H165*1000/(M165*K165*L165)))))</f>
        <v>24.818441816998739</v>
      </c>
      <c r="O165" s="342">
        <f t="shared" ref="O165:O208" si="1293">IF(G165="MOTOR",(6*N165),IF(G165="VFD",(1*N165),0))</f>
        <v>148.91065090199243</v>
      </c>
      <c r="P165" s="343">
        <f t="shared" ref="P165:P174" si="1294">IF(G165="MOTOR",0.2,"0.00")</f>
        <v>0.2</v>
      </c>
      <c r="Q165" s="350">
        <v>50</v>
      </c>
      <c r="R165" s="350">
        <v>0</v>
      </c>
      <c r="S165" s="350">
        <f t="shared" ref="S165:S174" si="1295">(Q165*1000*SQRT(R165)/143)</f>
        <v>0</v>
      </c>
      <c r="T165" s="343" t="s">
        <v>131</v>
      </c>
      <c r="U165" s="350" t="s">
        <v>333</v>
      </c>
      <c r="V165" s="343">
        <v>25</v>
      </c>
      <c r="W165" s="343" t="str">
        <f t="shared" ref="W165:W174" si="1296">CONCATENATE(U165," X ",V165)</f>
        <v>3C X 25</v>
      </c>
      <c r="X165" s="343" t="str">
        <f t="shared" ref="X165:X173" si="1297">(IF(J165="1Ph",W165,IF(J165="3Ph",(IF(G165="MOTOR",(CONCATENATE(W165,"+PE")),W165)))))</f>
        <v>3C X 25+PE</v>
      </c>
      <c r="Y165" s="343" t="s">
        <v>358</v>
      </c>
      <c r="Z165" s="344">
        <f>IF(T165="AIR",VLOOKUP(W165,'Catalogue Aluminium'!$B$9:$G$93,2,FALSE),IF(T165="GROUND",VLOOKUP(W165,'Catalogue Aluminium'!$B$9:$G$93,3,FALSE),IF(T165="DUCT",VLOOKUP(W165,'Catalogue Aluminium'!$B$9:$G$93,4,FALSE),IF(T165="TRENCH",VLOOKUP(W165,'Catalogue Aluminium'!$B$9:$G$93,2,FALSE)))))</f>
        <v>95</v>
      </c>
      <c r="AA165" s="345">
        <f>VLOOKUP(W165,'Catalogue Aluminium'!$B$9:$G$93,5,FALSE)</f>
        <v>1.54</v>
      </c>
      <c r="AB165" s="345">
        <f>VLOOKUP(W165,'Catalogue Aluminium'!$B$9:$G$93,6,FALSE)</f>
        <v>8.1600000000000006E-2</v>
      </c>
      <c r="AC165" s="919">
        <f t="shared" ref="AC165:AC172" si="1298">32+6</f>
        <v>38</v>
      </c>
      <c r="AD165" s="918">
        <f>40+30+28+29+10+15</f>
        <v>152</v>
      </c>
      <c r="AE165" s="401">
        <v>10</v>
      </c>
      <c r="AF165" s="401">
        <v>8</v>
      </c>
      <c r="AG165" s="401">
        <f t="shared" ref="AG165:AG173" si="1299">ROUNDUP((SUM(AC165:AF165)*0.1),0)</f>
        <v>21</v>
      </c>
      <c r="AH165" s="347">
        <f t="shared" ref="AH165:AH173" si="1300">SUM(AC165:AG165)</f>
        <v>229</v>
      </c>
      <c r="AI165" s="344">
        <f>IF(T165="AIR",'Catalogue Aluminium'!$K$9,IF(T165="TRENCH",'Catalogue Aluminium'!$K$12,"NA"))</f>
        <v>0.89</v>
      </c>
      <c r="AJ165" s="342">
        <f>IF(T165="Air",(IF(U165="1C",'Catalogue Aluminium'!$L$9,'Catalogue Aluminium'!$M$9)),IF(T165="DUCT",(IF($U165="1C",'Catalogue Aluminium'!$L$10,'Catalogue Aluminium'!$M$10)),IF(T165="GROUND",(IF($U165="1C",'Catalogue Aluminium'!$L$11,'Catalogue Aluminium'!$M$11)),IF(T165="TRENCH",(IF($U165="1C",'Catalogue Aluminium'!$L$12,'Catalogue Aluminium'!$M$12))))))</f>
        <v>0.66</v>
      </c>
      <c r="AK165" s="344" t="str">
        <f>IF(T165="Air",'Catalogue Aluminium'!$N$9,IF(T165="GROUND",'Catalogue Aluminium'!$N$10,IF(T165="DUCT",'Catalogue Aluminium'!$N$11,IF(T165="TRENCH",'Catalogue Aluminium'!$N$12,"NA"))))</f>
        <v>NA</v>
      </c>
      <c r="AL165" s="344" t="str">
        <f>IF(T165="Air",(IF(U165="1C",'Catalogue Aluminium'!$O$9,'Catalogue Aluminium'!$P$9)),IF(T165="DUCT",(IF($U165="1C",'Catalogue Aluminium'!$O$10,'Catalogue Aluminium'!$P$10)),IF(T165="GROUND",(IF($U165="1C",'Catalogue Aluminium'!$O$11,'Catalogue Aluminium'!$P$11)),IF(T165="TRENCH",(IF($U165="1C",'Catalogue Aluminium'!$O$12,'Catalogue Aluminium'!$P$12))))))</f>
        <v>NA</v>
      </c>
      <c r="AM165" s="344" t="str">
        <f>IF(T165="AIR","NA",IF(T165="TRENCH","NA",IF(T165="DUCT",IF(U165="1C",VLOOKUP(V165,'Catalogue Aluminium'!$Q$9:$S$28,2,FALSE),VLOOKUP(V165,'Catalogue Aluminium'!$Q$9:$S$28,3)),IF(T165="GROUND",IF(U165="1C",VLOOKUP(V165,'Catalogue Aluminium'!$Q$9:$S$28,2,FALSE),VLOOKUP(V165,'Catalogue Aluminium'!$Q$9:$S$28,3))))))</f>
        <v>NA</v>
      </c>
      <c r="AN165" s="351">
        <f t="shared" ref="AN165:AN173" si="1301">IF(T165="AIR",AI165*AJ165,IF(T165="TRENCH",AI165*AJ165,IF(T165="DUCT",AJ165*AK165*AL165*AM165,IF(T165="GROUND",AJ165*AK165*AL165*AM165))))</f>
        <v>0.58740000000000003</v>
      </c>
      <c r="AO165" s="350">
        <f t="shared" ref="AO165:AO173" si="1302">Z165*AN165</f>
        <v>55.803000000000004</v>
      </c>
      <c r="AP165" s="349">
        <f t="shared" ref="AP165:AP236" si="1303">CEILING(((N165)/AO165),1)</f>
        <v>1</v>
      </c>
      <c r="AQ165" s="350" t="str">
        <f t="shared" ref="AQ165:AQ173" si="1304">IF(AO165*AP165&gt;=N165,"YES","NO")</f>
        <v>YES</v>
      </c>
      <c r="AR165" s="351">
        <f t="shared" ref="AR165:AR173" si="1305">SQRT(3)*AH165*N165*((AA165*L165)+(AB165*SIN(ACOS(L165))))*100/(AP165*K165*1000)</f>
        <v>2.9752766176713088</v>
      </c>
      <c r="AS165" s="343" t="str">
        <f t="shared" ref="AS165:AS173" si="1306">IF(G165="INCOMER",(IF(AR165&lt;=2,"YES","NO")),IF(G165="POWER",(IF(AR165&lt;=2.5,"YES","NO")),IF(G165="MOTOR",(IF(AR165&lt;=3,"YES","NO")))))</f>
        <v>YES</v>
      </c>
      <c r="AT165" s="351">
        <f t="shared" ref="AT165:AT174" si="1307">IF(G165="MOTOR",(SQRT(3)*AH165*O165*((AA165*P165)+(AB165*SIN(ACOS(P165))))*100/(AP165*K165*1000)),"NA")</f>
        <v>5.7284765874260737</v>
      </c>
      <c r="AU165" s="343" t="str">
        <f t="shared" ref="AU165:AU174" si="1308">IF(G165="MOTOR",IF(AT165&lt;=15,"YES","NO"),"NA")</f>
        <v>YES</v>
      </c>
      <c r="AV165" s="354" t="str">
        <f t="shared" ref="AV165:AV174" si="1309">IF(U165="1C",CONCATENATE(AP165,"R x ",Y165,"kV x ",U165," x ",V165," Sqmm/Phase"),CONCATENATE(AP165,"R x ",0.6,"/1kV x ",U165," x ",V165," Sqmm"))</f>
        <v>1R x 0.6/1kV x 3C x 25 Sqmm</v>
      </c>
      <c r="AW165" s="354" t="str">
        <f t="shared" ref="AW165:AW174" si="1310">IF(U165="1C",CONCATENATE(AP165,"R x ",Y165,"kV x ",U165," x ",V165," Sqmm/Phase"),CONCATENATE(AP165,"R x ",0.6,"/1kV x ",U165," x ",V165,(IF(G165="MOTOR","+PE",""))," Sqmm"))</f>
        <v>1R x 0.6/1kV x 3C x 25+PE Sqmm</v>
      </c>
      <c r="AX165" s="343">
        <f t="shared" ref="AX165:AX174" si="1311">(IF(K165=400,(IF(U165="1C",(4*AH165*AP165),(AH165*AP165))),IF(K165=230,(AH165*AP165))))</f>
        <v>229</v>
      </c>
      <c r="AY165" s="355"/>
      <c r="AZ165" s="355">
        <f t="shared" ref="AZ165:AZ174" si="1312">IF(U165="1C",(3*AP165*2),(AP165*2))</f>
        <v>2</v>
      </c>
      <c r="BA165" s="356" t="str">
        <f t="shared" ref="BA165:BA174" si="1313">CONCATENATE(IF(BE165=1,BE$4,""),IF(BF165=1,BF$4,""),IF(BG165=1,BG$4,""),IF(BH165=1,BH$4,""),IF(BI165=1,BI$4,""),IF(BJ165=1,BJ$4,""),IF(BK165=1,BK$4,""),IF(BL165=1,BL$4,""),IF(BM165=1,BM$4,""),IF(BN165=1,BN$4,""),IF(BO165=1,BO$4,""),IF(BP165=1,BP$4,""),IF(BQ165=1,BQ$4,""),IF(BR165=1,BR$4,""),IF(BS165=1,BS$4,""),IF(BT165=1,BT$4,""),IF(BU165=1,BU$4,""),IF(BV165=1,BV$4,""),IF(BW165=1,BW$4,""),IF(BX165=1,BX$4,""),IF(BY165=1,BY$4,""),IF(BZ165=1,BZ$4,""),IF(CA165=1,CA$4,""),IF(CB165=1,CB$4,""),IF(CC165=1,CC$4,""),IF(CD165=1,CD$4,""),IF(CE165=1,CE$4,""),IF(CF165=1,CF$4,""),IF(CG165=1,CG$4,""),IF(CH165=1,CH$4,""),IF(CI165=1,CI$4,""),IF(CJ165=1,CJ$4,""),IF(CK165=1,CK$4,""),IF(CL165=1,CL$4,""),IF(CM165=1,CM$4,""),IF(CN165=1,CN$4,""),IF(CO165=1,CO$4,""),IF(CP165=1,CP$4,""),IF(CQ165=1,CQ$4,""),IF(CR165=1,CR$4,""),IF(CS165=1,CS$4,""),IF(CT165=1,CT$4,""),IF(CU165=1,CU$4,""),IF(CV165=1,CV$4,""),IF(CW165=1,CW$4,""),IF(CX165=1,CX$4,""),IF(CY165=1,CY$4,""),IF(CZ165=1,CZ$4,""),IF(DA165=1,DA$4,""),IF(DB165=1,DB$4,""),IF(DC165=1,DC$4,""),IF(DD165=1,DD$4,""),IF(DE165=1,DE$4,""),IF(DF165=1,DF$4,""),IF(DG165=1,DG$4,""),IF(DH165=1,DH$4,""),IF(DI165=1,DI$4,""),IF(DJ165=1,DJ$4,""),IF(DK165=1,DK$4,""),IF(DL165=1,DL$4,""),IF(DM165=1,DM$4,""),IF(DN165=1,DN$4,""),IF(DO165=1,DO$4,""),IF(DP165=1,DP$4,""),IF(DQ165=1,DQ$4,""),IF(DR165=1,DR$4,""),IF(DS165=1,DS$4,""),IF(DT165=1,DT$4,""),IF(DU165=1,DU$4,""))</f>
        <v>ACDEE1E2</v>
      </c>
      <c r="BB165" s="501">
        <f>VLOOKUP(W165,'Catalogue Aluminium'!$B$9:$H$93,7,FALSE)</f>
        <v>21</v>
      </c>
      <c r="BC165" s="328">
        <f t="shared" ref="BC165:BC174" si="1314">AP165*BB165</f>
        <v>21</v>
      </c>
      <c r="BE165" s="336"/>
      <c r="BF165" s="336">
        <v>1</v>
      </c>
      <c r="BG165" s="336"/>
      <c r="BH165" s="336"/>
      <c r="BI165" s="336">
        <v>1</v>
      </c>
      <c r="BJ165" s="336">
        <v>1</v>
      </c>
      <c r="BK165" s="336"/>
      <c r="BL165" s="336"/>
      <c r="BM165" s="336"/>
      <c r="BN165" s="336">
        <v>1</v>
      </c>
      <c r="BO165" s="336"/>
      <c r="BP165" s="336">
        <v>1</v>
      </c>
      <c r="BQ165" s="336">
        <v>1</v>
      </c>
      <c r="BR165" s="336"/>
      <c r="BS165" s="336"/>
      <c r="BT165" s="336"/>
      <c r="BU165" s="336"/>
      <c r="BV165" s="336"/>
      <c r="BW165" s="336"/>
      <c r="BX165" s="336"/>
      <c r="BY165" s="336"/>
      <c r="BZ165" s="336"/>
      <c r="CA165" s="336"/>
      <c r="CB165" s="336"/>
      <c r="CC165" s="336"/>
      <c r="CD165" s="336"/>
      <c r="CE165" s="336"/>
      <c r="CF165" s="336"/>
      <c r="CG165" s="336"/>
      <c r="CH165" s="336"/>
      <c r="CI165" s="336"/>
      <c r="CJ165" s="336"/>
      <c r="CK165" s="336"/>
      <c r="CL165" s="336"/>
      <c r="CM165" s="336"/>
      <c r="CN165" s="336"/>
      <c r="CO165" s="336"/>
      <c r="CP165" s="336"/>
      <c r="CQ165" s="336"/>
      <c r="CR165" s="336"/>
      <c r="CS165" s="336"/>
      <c r="CT165" s="336"/>
      <c r="CU165" s="336"/>
      <c r="CV165" s="336"/>
      <c r="CW165" s="336"/>
      <c r="CX165" s="336"/>
      <c r="CY165" s="336"/>
      <c r="CZ165" s="336"/>
      <c r="DA165" s="336"/>
      <c r="DB165" s="336"/>
      <c r="DC165" s="336"/>
      <c r="DD165" s="336"/>
      <c r="DE165" s="336"/>
      <c r="DF165" s="336"/>
      <c r="DG165" s="336"/>
      <c r="DH165" s="336"/>
      <c r="DI165" s="336"/>
      <c r="DJ165" s="336"/>
      <c r="DK165" s="336"/>
      <c r="DL165" s="336"/>
      <c r="DM165" s="336"/>
      <c r="DN165" s="336"/>
      <c r="DO165" s="336"/>
      <c r="DP165" s="336"/>
      <c r="DQ165" s="336"/>
      <c r="DR165" s="336"/>
      <c r="DS165" s="336"/>
      <c r="DT165" s="336"/>
      <c r="DU165" s="336"/>
      <c r="DW165" s="336">
        <f t="shared" si="1012"/>
        <v>0</v>
      </c>
      <c r="DX165" s="336">
        <f t="shared" si="1004"/>
        <v>21</v>
      </c>
      <c r="DY165" s="336">
        <f t="shared" si="1005"/>
        <v>0</v>
      </c>
      <c r="DZ165" s="336">
        <f t="shared" si="1006"/>
        <v>0</v>
      </c>
      <c r="EA165" s="336">
        <f t="shared" si="1007"/>
        <v>21</v>
      </c>
      <c r="EB165" s="336">
        <f t="shared" si="1008"/>
        <v>21</v>
      </c>
      <c r="EC165" s="336">
        <f t="shared" si="1009"/>
        <v>0</v>
      </c>
      <c r="ED165" s="336">
        <f t="shared" si="919"/>
        <v>0</v>
      </c>
      <c r="EE165" s="336">
        <f t="shared" si="920"/>
        <v>0</v>
      </c>
      <c r="EF165" s="336">
        <f t="shared" si="921"/>
        <v>21</v>
      </c>
      <c r="EG165" s="336">
        <f t="shared" si="922"/>
        <v>0</v>
      </c>
      <c r="EH165" s="336">
        <f t="shared" si="923"/>
        <v>21</v>
      </c>
      <c r="EI165" s="336">
        <f t="shared" si="924"/>
        <v>21</v>
      </c>
      <c r="EJ165" s="336">
        <f t="shared" si="925"/>
        <v>0</v>
      </c>
      <c r="EK165" s="336">
        <f t="shared" si="926"/>
        <v>0</v>
      </c>
      <c r="EL165" s="336">
        <f t="shared" si="927"/>
        <v>0</v>
      </c>
      <c r="EM165" s="336">
        <f t="shared" si="928"/>
        <v>0</v>
      </c>
      <c r="EN165" s="336">
        <f t="shared" si="929"/>
        <v>0</v>
      </c>
      <c r="EO165" s="336">
        <f t="shared" si="930"/>
        <v>0</v>
      </c>
      <c r="EP165" s="336">
        <f t="shared" si="931"/>
        <v>0</v>
      </c>
      <c r="EQ165" s="336">
        <f t="shared" si="932"/>
        <v>0</v>
      </c>
      <c r="ER165" s="336">
        <f t="shared" si="933"/>
        <v>0</v>
      </c>
      <c r="ES165" s="336">
        <f t="shared" si="934"/>
        <v>0</v>
      </c>
      <c r="ET165" s="336">
        <f t="shared" si="934"/>
        <v>0</v>
      </c>
      <c r="EU165" s="336">
        <f t="shared" si="935"/>
        <v>0</v>
      </c>
      <c r="EV165" s="336">
        <f t="shared" si="936"/>
        <v>0</v>
      </c>
      <c r="EW165" s="336">
        <f t="shared" si="937"/>
        <v>0</v>
      </c>
      <c r="EX165" s="336">
        <f t="shared" si="938"/>
        <v>0</v>
      </c>
      <c r="EY165" s="336">
        <f t="shared" si="939"/>
        <v>0</v>
      </c>
      <c r="EZ165" s="336">
        <f t="shared" si="940"/>
        <v>0</v>
      </c>
      <c r="FA165" s="336">
        <f t="shared" si="941"/>
        <v>0</v>
      </c>
      <c r="FB165" s="336">
        <f t="shared" si="942"/>
        <v>0</v>
      </c>
      <c r="FC165" s="336">
        <f t="shared" si="943"/>
        <v>0</v>
      </c>
      <c r="FD165" s="336">
        <f t="shared" si="944"/>
        <v>0</v>
      </c>
      <c r="FE165" s="336">
        <f t="shared" si="945"/>
        <v>0</v>
      </c>
      <c r="FF165" s="336">
        <f t="shared" si="946"/>
        <v>0</v>
      </c>
      <c r="FG165" s="336">
        <f t="shared" si="947"/>
        <v>0</v>
      </c>
      <c r="FH165" s="336">
        <f t="shared" si="948"/>
        <v>0</v>
      </c>
      <c r="FI165" s="336">
        <f t="shared" si="949"/>
        <v>0</v>
      </c>
      <c r="FJ165" s="336">
        <f t="shared" si="950"/>
        <v>0</v>
      </c>
      <c r="FK165" s="336">
        <f t="shared" si="951"/>
        <v>0</v>
      </c>
      <c r="FL165" s="336">
        <f t="shared" si="952"/>
        <v>0</v>
      </c>
      <c r="FM165" s="336">
        <f t="shared" si="953"/>
        <v>0</v>
      </c>
      <c r="FN165" s="336">
        <f t="shared" si="954"/>
        <v>0</v>
      </c>
      <c r="FO165" s="336">
        <f t="shared" si="955"/>
        <v>0</v>
      </c>
      <c r="FP165" s="336">
        <f t="shared" si="956"/>
        <v>0</v>
      </c>
      <c r="FQ165" s="336">
        <f t="shared" si="957"/>
        <v>0</v>
      </c>
      <c r="FR165" s="336">
        <f t="shared" si="958"/>
        <v>0</v>
      </c>
      <c r="FS165" s="336">
        <f t="shared" si="959"/>
        <v>0</v>
      </c>
      <c r="FT165" s="336">
        <f t="shared" si="960"/>
        <v>0</v>
      </c>
      <c r="FU165" s="336">
        <f t="shared" si="860"/>
        <v>0</v>
      </c>
      <c r="FV165" s="336">
        <f t="shared" si="861"/>
        <v>0</v>
      </c>
      <c r="FW165" s="336">
        <f t="shared" si="862"/>
        <v>0</v>
      </c>
      <c r="FX165" s="336">
        <f t="shared" si="863"/>
        <v>0</v>
      </c>
      <c r="FY165" s="336">
        <f t="shared" si="961"/>
        <v>0</v>
      </c>
      <c r="FZ165" s="336">
        <f t="shared" si="962"/>
        <v>0</v>
      </c>
      <c r="GA165" s="336">
        <f t="shared" si="963"/>
        <v>0</v>
      </c>
      <c r="GB165" s="336">
        <f t="shared" si="964"/>
        <v>0</v>
      </c>
      <c r="GC165" s="336">
        <f t="shared" si="965"/>
        <v>0</v>
      </c>
      <c r="GD165" s="336">
        <f t="shared" si="966"/>
        <v>0</v>
      </c>
      <c r="GE165" s="336">
        <f t="shared" si="967"/>
        <v>0</v>
      </c>
      <c r="GF165" s="336">
        <f t="shared" si="968"/>
        <v>0</v>
      </c>
      <c r="GG165" s="336">
        <f t="shared" si="969"/>
        <v>0</v>
      </c>
      <c r="GH165" s="336">
        <f t="shared" si="970"/>
        <v>0</v>
      </c>
      <c r="GI165" s="336">
        <f t="shared" si="971"/>
        <v>0</v>
      </c>
      <c r="GJ165" s="336">
        <f t="shared" si="972"/>
        <v>0</v>
      </c>
      <c r="GK165" s="336">
        <f t="shared" si="1171"/>
        <v>0</v>
      </c>
      <c r="GL165" s="336">
        <f t="shared" si="975"/>
        <v>0</v>
      </c>
      <c r="GM165" s="336">
        <f t="shared" si="973"/>
        <v>0</v>
      </c>
    </row>
    <row r="166" spans="1:195" ht="20.100000000000001" customHeight="1">
      <c r="A166" s="337">
        <f t="shared" ref="A166:A174" si="1315">1+A165</f>
        <v>119</v>
      </c>
      <c r="B166" s="526" t="s">
        <v>638</v>
      </c>
      <c r="C166" s="337" t="str">
        <f t="shared" si="1291"/>
        <v>EPMCC-1</v>
      </c>
      <c r="D166" s="787" t="s">
        <v>1672</v>
      </c>
      <c r="E166" s="893" t="s">
        <v>1673</v>
      </c>
      <c r="F166" s="337" t="s">
        <v>29</v>
      </c>
      <c r="G166" s="337" t="s">
        <v>350</v>
      </c>
      <c r="H166" s="583">
        <v>11</v>
      </c>
      <c r="I166" s="337" t="s">
        <v>330</v>
      </c>
      <c r="J166" s="337" t="s">
        <v>331</v>
      </c>
      <c r="K166" s="349">
        <v>400</v>
      </c>
      <c r="L166" s="343">
        <v>0.75</v>
      </c>
      <c r="M166" s="350">
        <v>0.85299999999999998</v>
      </c>
      <c r="N166" s="342">
        <f t="shared" si="1292"/>
        <v>24.818441816998739</v>
      </c>
      <c r="O166" s="342">
        <f t="shared" si="1293"/>
        <v>148.91065090199243</v>
      </c>
      <c r="P166" s="343">
        <f t="shared" si="1294"/>
        <v>0.2</v>
      </c>
      <c r="Q166" s="350">
        <v>50</v>
      </c>
      <c r="R166" s="350">
        <v>0</v>
      </c>
      <c r="S166" s="350">
        <f t="shared" si="1295"/>
        <v>0</v>
      </c>
      <c r="T166" s="343" t="s">
        <v>131</v>
      </c>
      <c r="U166" s="350" t="s">
        <v>333</v>
      </c>
      <c r="V166" s="343">
        <v>25</v>
      </c>
      <c r="W166" s="343" t="str">
        <f t="shared" si="1296"/>
        <v>3C X 25</v>
      </c>
      <c r="X166" s="343" t="str">
        <f t="shared" si="1297"/>
        <v>3C X 25+PE</v>
      </c>
      <c r="Y166" s="343" t="s">
        <v>358</v>
      </c>
      <c r="Z166" s="344">
        <f>IF(T166="AIR",VLOOKUP(W166,'Catalogue Aluminium'!$B$9:$G$93,2,FALSE),IF(T166="GROUND",VLOOKUP(W166,'Catalogue Aluminium'!$B$9:$G$93,3,FALSE),IF(T166="DUCT",VLOOKUP(W166,'Catalogue Aluminium'!$B$9:$G$93,4,FALSE),IF(T166="TRENCH",VLOOKUP(W166,'Catalogue Aluminium'!$B$9:$G$93,2,FALSE)))))</f>
        <v>95</v>
      </c>
      <c r="AA166" s="345">
        <f>VLOOKUP(W166,'Catalogue Aluminium'!$B$9:$G$93,5,FALSE)</f>
        <v>1.54</v>
      </c>
      <c r="AB166" s="345">
        <f>VLOOKUP(W166,'Catalogue Aluminium'!$B$9:$G$93,6,FALSE)</f>
        <v>8.1600000000000006E-2</v>
      </c>
      <c r="AC166" s="919">
        <f>24+6</f>
        <v>30</v>
      </c>
      <c r="AD166" s="918">
        <f>40+30+28+29+10+15+10</f>
        <v>162</v>
      </c>
      <c r="AE166" s="401">
        <v>10</v>
      </c>
      <c r="AF166" s="401">
        <v>8</v>
      </c>
      <c r="AG166" s="401">
        <f t="shared" si="1299"/>
        <v>21</v>
      </c>
      <c r="AH166" s="347">
        <v>230</v>
      </c>
      <c r="AI166" s="344">
        <f>IF(T166="AIR",'Catalogue Aluminium'!$K$9,IF(T166="TRENCH",'Catalogue Aluminium'!$K$12,"NA"))</f>
        <v>0.89</v>
      </c>
      <c r="AJ166" s="342">
        <f>IF(T166="Air",(IF(U166="1C",'Catalogue Aluminium'!$L$9,'Catalogue Aluminium'!$M$9)),IF(T166="DUCT",(IF($U166="1C",'Catalogue Aluminium'!$L$10,'Catalogue Aluminium'!$M$10)),IF(T166="GROUND",(IF($U166="1C",'Catalogue Aluminium'!$L$11,'Catalogue Aluminium'!$M$11)),IF(T166="TRENCH",(IF($U166="1C",'Catalogue Aluminium'!$L$12,'Catalogue Aluminium'!$M$12))))))</f>
        <v>0.66</v>
      </c>
      <c r="AK166" s="344" t="str">
        <f>IF(T166="Air",'Catalogue Aluminium'!$N$9,IF(T166="GROUND",'Catalogue Aluminium'!$N$10,IF(T166="DUCT",'Catalogue Aluminium'!$N$11,IF(T166="TRENCH",'Catalogue Aluminium'!$N$12,"NA"))))</f>
        <v>NA</v>
      </c>
      <c r="AL166" s="344" t="str">
        <f>IF(T166="Air",(IF(U166="1C",'Catalogue Aluminium'!$O$9,'Catalogue Aluminium'!$P$9)),IF(T166="DUCT",(IF($U166="1C",'Catalogue Aluminium'!$O$10,'Catalogue Aluminium'!$P$10)),IF(T166="GROUND",(IF($U166="1C",'Catalogue Aluminium'!$O$11,'Catalogue Aluminium'!$P$11)),IF(T166="TRENCH",(IF($U166="1C",'Catalogue Aluminium'!$O$12,'Catalogue Aluminium'!$P$12))))))</f>
        <v>NA</v>
      </c>
      <c r="AM166" s="344" t="str">
        <f>IF(T166="AIR","NA",IF(T166="TRENCH","NA",IF(T166="DUCT",IF(U166="1C",VLOOKUP(V166,'Catalogue Aluminium'!$Q$9:$S$28,2,FALSE),VLOOKUP(V166,'Catalogue Aluminium'!$Q$9:$S$28,3)),IF(T166="GROUND",IF(U166="1C",VLOOKUP(V166,'Catalogue Aluminium'!$Q$9:$S$28,2,FALSE),VLOOKUP(V166,'Catalogue Aluminium'!$Q$9:$S$28,3))))))</f>
        <v>NA</v>
      </c>
      <c r="AN166" s="351">
        <f t="shared" si="1301"/>
        <v>0.58740000000000003</v>
      </c>
      <c r="AO166" s="350">
        <f t="shared" si="1302"/>
        <v>55.803000000000004</v>
      </c>
      <c r="AP166" s="349">
        <f t="shared" si="1303"/>
        <v>1</v>
      </c>
      <c r="AQ166" s="350" t="str">
        <f t="shared" si="1304"/>
        <v>YES</v>
      </c>
      <c r="AR166" s="351">
        <f t="shared" si="1305"/>
        <v>2.988269091984284</v>
      </c>
      <c r="AS166" s="343" t="str">
        <f t="shared" si="1306"/>
        <v>YES</v>
      </c>
      <c r="AT166" s="351">
        <f t="shared" si="1307"/>
        <v>5.7534917690305551</v>
      </c>
      <c r="AU166" s="343" t="str">
        <f t="shared" si="1308"/>
        <v>YES</v>
      </c>
      <c r="AV166" s="354" t="str">
        <f t="shared" si="1309"/>
        <v>1R x 0.6/1kV x 3C x 25 Sqmm</v>
      </c>
      <c r="AW166" s="354" t="str">
        <f t="shared" si="1310"/>
        <v>1R x 0.6/1kV x 3C x 25+PE Sqmm</v>
      </c>
      <c r="AX166" s="343">
        <f t="shared" si="1311"/>
        <v>230</v>
      </c>
      <c r="AY166" s="355"/>
      <c r="AZ166" s="355">
        <f t="shared" si="1312"/>
        <v>2</v>
      </c>
      <c r="BA166" s="356" t="str">
        <f t="shared" si="1313"/>
        <v>ACDEE1E2</v>
      </c>
      <c r="BB166" s="501">
        <f>VLOOKUP(W166,'Catalogue Aluminium'!$B$9:$H$93,7,FALSE)</f>
        <v>21</v>
      </c>
      <c r="BC166" s="328">
        <f t="shared" si="1314"/>
        <v>21</v>
      </c>
      <c r="BE166" s="336"/>
      <c r="BF166" s="336">
        <v>1</v>
      </c>
      <c r="BG166" s="336"/>
      <c r="BH166" s="336"/>
      <c r="BI166" s="336">
        <v>1</v>
      </c>
      <c r="BJ166" s="336">
        <v>1</v>
      </c>
      <c r="BK166" s="336"/>
      <c r="BL166" s="336"/>
      <c r="BM166" s="336"/>
      <c r="BN166" s="336">
        <v>1</v>
      </c>
      <c r="BO166" s="336"/>
      <c r="BP166" s="336">
        <v>1</v>
      </c>
      <c r="BQ166" s="336">
        <v>1</v>
      </c>
      <c r="BR166" s="336"/>
      <c r="BS166" s="336"/>
      <c r="BT166" s="336"/>
      <c r="BU166" s="336"/>
      <c r="BV166" s="336"/>
      <c r="BW166" s="336"/>
      <c r="BX166" s="336"/>
      <c r="BY166" s="336"/>
      <c r="BZ166" s="336"/>
      <c r="CA166" s="336"/>
      <c r="CB166" s="336"/>
      <c r="CC166" s="336"/>
      <c r="CD166" s="336"/>
      <c r="CE166" s="336"/>
      <c r="CF166" s="336"/>
      <c r="CG166" s="336"/>
      <c r="CH166" s="336"/>
      <c r="CI166" s="336"/>
      <c r="CJ166" s="336"/>
      <c r="CK166" s="336"/>
      <c r="CL166" s="336"/>
      <c r="CM166" s="336"/>
      <c r="CN166" s="336"/>
      <c r="CO166" s="336"/>
      <c r="CP166" s="336"/>
      <c r="CQ166" s="336"/>
      <c r="CR166" s="336"/>
      <c r="CS166" s="336"/>
      <c r="CT166" s="336"/>
      <c r="CU166" s="336"/>
      <c r="CV166" s="336"/>
      <c r="CW166" s="336"/>
      <c r="CX166" s="336"/>
      <c r="CY166" s="336"/>
      <c r="CZ166" s="336"/>
      <c r="DA166" s="336"/>
      <c r="DB166" s="336"/>
      <c r="DC166" s="336"/>
      <c r="DD166" s="336"/>
      <c r="DE166" s="336"/>
      <c r="DF166" s="336"/>
      <c r="DG166" s="336"/>
      <c r="DH166" s="336"/>
      <c r="DI166" s="336"/>
      <c r="DJ166" s="336"/>
      <c r="DK166" s="336"/>
      <c r="DL166" s="336"/>
      <c r="DM166" s="336"/>
      <c r="DN166" s="336"/>
      <c r="DO166" s="336"/>
      <c r="DP166" s="336"/>
      <c r="DQ166" s="336"/>
      <c r="DR166" s="336"/>
      <c r="DS166" s="336"/>
      <c r="DT166" s="336"/>
      <c r="DU166" s="336"/>
      <c r="DW166" s="336">
        <f t="shared" si="1012"/>
        <v>0</v>
      </c>
      <c r="DX166" s="336">
        <f t="shared" si="1004"/>
        <v>21</v>
      </c>
      <c r="DY166" s="336">
        <f t="shared" si="1005"/>
        <v>0</v>
      </c>
      <c r="DZ166" s="336">
        <f t="shared" si="1006"/>
        <v>0</v>
      </c>
      <c r="EA166" s="336">
        <f t="shared" si="1007"/>
        <v>21</v>
      </c>
      <c r="EB166" s="336">
        <f t="shared" si="1008"/>
        <v>21</v>
      </c>
      <c r="EC166" s="336">
        <f t="shared" si="1009"/>
        <v>0</v>
      </c>
      <c r="ED166" s="336">
        <f t="shared" si="919"/>
        <v>0</v>
      </c>
      <c r="EE166" s="336">
        <f t="shared" si="920"/>
        <v>0</v>
      </c>
      <c r="EF166" s="336">
        <f t="shared" si="921"/>
        <v>21</v>
      </c>
      <c r="EG166" s="336">
        <f t="shared" si="922"/>
        <v>0</v>
      </c>
      <c r="EH166" s="336">
        <f t="shared" si="923"/>
        <v>21</v>
      </c>
      <c r="EI166" s="336">
        <f t="shared" si="924"/>
        <v>21</v>
      </c>
      <c r="EJ166" s="336">
        <f t="shared" si="925"/>
        <v>0</v>
      </c>
      <c r="EK166" s="336">
        <f t="shared" si="926"/>
        <v>0</v>
      </c>
      <c r="EL166" s="336">
        <f t="shared" si="927"/>
        <v>0</v>
      </c>
      <c r="EM166" s="336">
        <f t="shared" si="928"/>
        <v>0</v>
      </c>
      <c r="EN166" s="336">
        <f t="shared" si="929"/>
        <v>0</v>
      </c>
      <c r="EO166" s="336">
        <f t="shared" si="930"/>
        <v>0</v>
      </c>
      <c r="EP166" s="336">
        <f t="shared" si="931"/>
        <v>0</v>
      </c>
      <c r="EQ166" s="336">
        <f t="shared" si="932"/>
        <v>0</v>
      </c>
      <c r="ER166" s="336">
        <f t="shared" si="933"/>
        <v>0</v>
      </c>
      <c r="ES166" s="336">
        <f t="shared" si="934"/>
        <v>0</v>
      </c>
      <c r="ET166" s="336">
        <f t="shared" si="934"/>
        <v>0</v>
      </c>
      <c r="EU166" s="336">
        <f t="shared" si="935"/>
        <v>0</v>
      </c>
      <c r="EV166" s="336">
        <f t="shared" si="936"/>
        <v>0</v>
      </c>
      <c r="EW166" s="336">
        <f t="shared" si="937"/>
        <v>0</v>
      </c>
      <c r="EX166" s="336">
        <f t="shared" si="938"/>
        <v>0</v>
      </c>
      <c r="EY166" s="336">
        <f t="shared" si="939"/>
        <v>0</v>
      </c>
      <c r="EZ166" s="336">
        <f t="shared" si="940"/>
        <v>0</v>
      </c>
      <c r="FA166" s="336">
        <f t="shared" si="941"/>
        <v>0</v>
      </c>
      <c r="FB166" s="336">
        <f t="shared" si="942"/>
        <v>0</v>
      </c>
      <c r="FC166" s="336">
        <f t="shared" si="943"/>
        <v>0</v>
      </c>
      <c r="FD166" s="336">
        <f t="shared" si="944"/>
        <v>0</v>
      </c>
      <c r="FE166" s="336">
        <f t="shared" si="945"/>
        <v>0</v>
      </c>
      <c r="FF166" s="336">
        <f t="shared" si="946"/>
        <v>0</v>
      </c>
      <c r="FG166" s="336">
        <f t="shared" si="947"/>
        <v>0</v>
      </c>
      <c r="FH166" s="336">
        <f t="shared" si="948"/>
        <v>0</v>
      </c>
      <c r="FI166" s="336">
        <f t="shared" si="949"/>
        <v>0</v>
      </c>
      <c r="FJ166" s="336">
        <f t="shared" si="950"/>
        <v>0</v>
      </c>
      <c r="FK166" s="336">
        <f t="shared" si="951"/>
        <v>0</v>
      </c>
      <c r="FL166" s="336">
        <f t="shared" si="952"/>
        <v>0</v>
      </c>
      <c r="FM166" s="336">
        <f t="shared" si="953"/>
        <v>0</v>
      </c>
      <c r="FN166" s="336">
        <f t="shared" si="954"/>
        <v>0</v>
      </c>
      <c r="FO166" s="336">
        <f t="shared" si="955"/>
        <v>0</v>
      </c>
      <c r="FP166" s="336">
        <f t="shared" si="956"/>
        <v>0</v>
      </c>
      <c r="FQ166" s="336">
        <f t="shared" si="957"/>
        <v>0</v>
      </c>
      <c r="FR166" s="336">
        <f t="shared" si="958"/>
        <v>0</v>
      </c>
      <c r="FS166" s="336">
        <f t="shared" si="959"/>
        <v>0</v>
      </c>
      <c r="FT166" s="336">
        <f t="shared" si="960"/>
        <v>0</v>
      </c>
      <c r="FU166" s="336">
        <f t="shared" si="860"/>
        <v>0</v>
      </c>
      <c r="FV166" s="336">
        <f t="shared" si="861"/>
        <v>0</v>
      </c>
      <c r="FW166" s="336">
        <f t="shared" si="862"/>
        <v>0</v>
      </c>
      <c r="FX166" s="336">
        <f t="shared" si="863"/>
        <v>0</v>
      </c>
      <c r="FY166" s="336">
        <f t="shared" si="961"/>
        <v>0</v>
      </c>
      <c r="FZ166" s="336">
        <f t="shared" si="962"/>
        <v>0</v>
      </c>
      <c r="GA166" s="336">
        <f t="shared" si="963"/>
        <v>0</v>
      </c>
      <c r="GB166" s="336">
        <f t="shared" si="964"/>
        <v>0</v>
      </c>
      <c r="GC166" s="336">
        <f t="shared" si="965"/>
        <v>0</v>
      </c>
      <c r="GD166" s="336">
        <f t="shared" si="966"/>
        <v>0</v>
      </c>
      <c r="GE166" s="336">
        <f t="shared" si="967"/>
        <v>0</v>
      </c>
      <c r="GF166" s="336">
        <f t="shared" si="968"/>
        <v>0</v>
      </c>
      <c r="GG166" s="336">
        <f t="shared" si="969"/>
        <v>0</v>
      </c>
      <c r="GH166" s="336">
        <f t="shared" si="970"/>
        <v>0</v>
      </c>
      <c r="GI166" s="336">
        <f t="shared" si="971"/>
        <v>0</v>
      </c>
      <c r="GJ166" s="336">
        <f t="shared" si="972"/>
        <v>0</v>
      </c>
      <c r="GK166" s="336">
        <f t="shared" si="1171"/>
        <v>0</v>
      </c>
      <c r="GL166" s="336">
        <f t="shared" si="975"/>
        <v>0</v>
      </c>
      <c r="GM166" s="336">
        <f t="shared" si="973"/>
        <v>0</v>
      </c>
    </row>
    <row r="167" spans="1:195" ht="42.75" customHeight="1">
      <c r="A167" s="337">
        <f t="shared" si="1315"/>
        <v>120</v>
      </c>
      <c r="B167" s="545" t="s">
        <v>639</v>
      </c>
      <c r="C167" s="337" t="str">
        <f t="shared" si="1291"/>
        <v>EPMCC-1</v>
      </c>
      <c r="D167" s="427" t="s">
        <v>640</v>
      </c>
      <c r="E167" s="453" t="s">
        <v>345</v>
      </c>
      <c r="F167" s="337" t="s">
        <v>28</v>
      </c>
      <c r="G167" s="337" t="s">
        <v>350</v>
      </c>
      <c r="H167" s="350">
        <v>22</v>
      </c>
      <c r="I167" s="337" t="s">
        <v>330</v>
      </c>
      <c r="J167" s="337" t="s">
        <v>331</v>
      </c>
      <c r="K167" s="349">
        <v>400</v>
      </c>
      <c r="L167" s="343">
        <v>0.84</v>
      </c>
      <c r="M167" s="350">
        <v>0.92700000000000005</v>
      </c>
      <c r="N167" s="342">
        <f t="shared" si="1292"/>
        <v>40.780803802396221</v>
      </c>
      <c r="O167" s="342">
        <f t="shared" si="1293"/>
        <v>244.68482281437733</v>
      </c>
      <c r="P167" s="343">
        <f t="shared" si="1294"/>
        <v>0.2</v>
      </c>
      <c r="Q167" s="350">
        <v>50</v>
      </c>
      <c r="R167" s="350">
        <v>0</v>
      </c>
      <c r="S167" s="350">
        <f t="shared" si="1295"/>
        <v>0</v>
      </c>
      <c r="T167" s="343" t="s">
        <v>131</v>
      </c>
      <c r="U167" s="350" t="s">
        <v>333</v>
      </c>
      <c r="V167" s="343">
        <v>95</v>
      </c>
      <c r="W167" s="343" t="str">
        <f t="shared" si="1296"/>
        <v>3C X 95</v>
      </c>
      <c r="X167" s="343" t="str">
        <f t="shared" si="1297"/>
        <v>3C X 95+PE</v>
      </c>
      <c r="Y167" s="343" t="s">
        <v>358</v>
      </c>
      <c r="Z167" s="344">
        <f>IF(T167="AIR",VLOOKUP(W167,'Catalogue Aluminium'!$B$9:$G$93,2,FALSE),IF(T167="GROUND",VLOOKUP(W167,'Catalogue Aluminium'!$B$9:$G$93,3,FALSE),IF(T167="DUCT",VLOOKUP(W167,'Catalogue Aluminium'!$B$9:$G$93,4,FALSE),IF(T167="TRENCH",VLOOKUP(W167,'Catalogue Aluminium'!$B$9:$G$93,2,FALSE)))))</f>
        <v>221</v>
      </c>
      <c r="AA167" s="345">
        <f>VLOOKUP(W167,'Catalogue Aluminium'!$B$9:$G$93,5,FALSE)</f>
        <v>0.41</v>
      </c>
      <c r="AB167" s="345">
        <f>VLOOKUP(W167,'Catalogue Aluminium'!$B$9:$G$93,6,FALSE)</f>
        <v>7.3400000000000007E-2</v>
      </c>
      <c r="AC167" s="457">
        <f t="shared" si="1298"/>
        <v>38</v>
      </c>
      <c r="AD167" s="401">
        <v>317</v>
      </c>
      <c r="AE167" s="401">
        <f t="shared" ref="AE167:AE174" si="1316">11+8+8+11</f>
        <v>38</v>
      </c>
      <c r="AF167" s="401">
        <v>8</v>
      </c>
      <c r="AG167" s="401">
        <f t="shared" si="1299"/>
        <v>41</v>
      </c>
      <c r="AH167" s="347">
        <f t="shared" si="1300"/>
        <v>442</v>
      </c>
      <c r="AI167" s="344">
        <f>IF(T167="AIR",'Catalogue Aluminium'!$K$9,IF(T167="TRENCH",'Catalogue Aluminium'!$K$12,"NA"))</f>
        <v>0.89</v>
      </c>
      <c r="AJ167" s="342">
        <f>IF(T167="Air",(IF(U167="1C",'Catalogue Aluminium'!$L$9,'Catalogue Aluminium'!$M$9)),IF(T167="DUCT",(IF($U167="1C",'Catalogue Aluminium'!$L$10,'Catalogue Aluminium'!$M$10)),IF(T167="GROUND",(IF($U167="1C",'Catalogue Aluminium'!$L$11,'Catalogue Aluminium'!$M$11)),IF(T167="TRENCH",(IF($U167="1C",'Catalogue Aluminium'!$L$12,'Catalogue Aluminium'!$M$12))))))</f>
        <v>0.66</v>
      </c>
      <c r="AK167" s="344" t="str">
        <f>IF(T167="Air",'Catalogue Aluminium'!$N$9,IF(T167="GROUND",'Catalogue Aluminium'!$N$10,IF(T167="DUCT",'Catalogue Aluminium'!$N$11,IF(T167="TRENCH",'Catalogue Aluminium'!$N$12,"NA"))))</f>
        <v>NA</v>
      </c>
      <c r="AL167" s="344" t="str">
        <f>IF(T167="Air",(IF(U167="1C",'Catalogue Aluminium'!$O$9,'Catalogue Aluminium'!$P$9)),IF(T167="DUCT",(IF($U167="1C",'Catalogue Aluminium'!$O$10,'Catalogue Aluminium'!$P$10)),IF(T167="GROUND",(IF($U167="1C",'Catalogue Aluminium'!$O$11,'Catalogue Aluminium'!$P$11)),IF(T167="TRENCH",(IF($U167="1C",'Catalogue Aluminium'!$O$12,'Catalogue Aluminium'!$P$12))))))</f>
        <v>NA</v>
      </c>
      <c r="AM167" s="344" t="str">
        <f>IF(T167="AIR","NA",IF(T167="TRENCH","NA",IF(T167="DUCT",IF(U167="1C",VLOOKUP(V167,'Catalogue Aluminium'!$Q$9:$S$28,2,FALSE),VLOOKUP(V167,'Catalogue Aluminium'!$Q$9:$S$28,3)),IF(T167="GROUND",IF(U167="1C",VLOOKUP(V167,'Catalogue Aluminium'!$Q$9:$S$28,2,FALSE),VLOOKUP(V167,'Catalogue Aluminium'!$Q$9:$S$28,3))))))</f>
        <v>NA</v>
      </c>
      <c r="AN167" s="351">
        <f t="shared" si="1301"/>
        <v>0.58740000000000003</v>
      </c>
      <c r="AO167" s="350">
        <f t="shared" si="1302"/>
        <v>129.81540000000001</v>
      </c>
      <c r="AP167" s="349">
        <f t="shared" si="1303"/>
        <v>1</v>
      </c>
      <c r="AQ167" s="350" t="str">
        <f t="shared" si="1304"/>
        <v>YES</v>
      </c>
      <c r="AR167" s="351">
        <f t="shared" si="1305"/>
        <v>2.9989226035467222</v>
      </c>
      <c r="AS167" s="343" t="str">
        <f t="shared" si="1306"/>
        <v>YES</v>
      </c>
      <c r="AT167" s="351">
        <f t="shared" si="1307"/>
        <v>7.2080299164494415</v>
      </c>
      <c r="AU167" s="343" t="str">
        <f t="shared" si="1308"/>
        <v>YES</v>
      </c>
      <c r="AV167" s="354" t="str">
        <f t="shared" si="1309"/>
        <v>1R x 0.6/1kV x 3C x 95 Sqmm</v>
      </c>
      <c r="AW167" s="354" t="str">
        <f t="shared" si="1310"/>
        <v>1R x 0.6/1kV x 3C x 95+PE Sqmm</v>
      </c>
      <c r="AX167" s="343">
        <f t="shared" si="1311"/>
        <v>442</v>
      </c>
      <c r="AY167" s="855" t="s">
        <v>1616</v>
      </c>
      <c r="AZ167" s="355">
        <f t="shared" si="1312"/>
        <v>2</v>
      </c>
      <c r="BA167" s="356" t="str">
        <f t="shared" si="1313"/>
        <v>ACDEE1E2E3E4E5</v>
      </c>
      <c r="BB167" s="501">
        <f>VLOOKUP(W167,'Catalogue Aluminium'!$B$9:$H$93,7,FALSE)</f>
        <v>33</v>
      </c>
      <c r="BC167" s="328">
        <f t="shared" si="1314"/>
        <v>33</v>
      </c>
      <c r="BE167" s="336"/>
      <c r="BF167" s="336">
        <v>1</v>
      </c>
      <c r="BG167" s="336"/>
      <c r="BH167" s="336"/>
      <c r="BI167" s="336">
        <v>1</v>
      </c>
      <c r="BJ167" s="336">
        <v>1</v>
      </c>
      <c r="BK167" s="336"/>
      <c r="BL167" s="336"/>
      <c r="BM167" s="336"/>
      <c r="BN167" s="336">
        <v>1</v>
      </c>
      <c r="BO167" s="336"/>
      <c r="BP167" s="336">
        <v>1</v>
      </c>
      <c r="BQ167" s="336">
        <v>1</v>
      </c>
      <c r="BR167" s="336">
        <v>1</v>
      </c>
      <c r="BS167" s="336">
        <v>1</v>
      </c>
      <c r="BT167" s="336">
        <v>1</v>
      </c>
      <c r="BU167" s="336"/>
      <c r="BV167" s="336"/>
      <c r="BW167" s="336"/>
      <c r="BX167" s="336"/>
      <c r="BY167" s="336"/>
      <c r="BZ167" s="336"/>
      <c r="CA167" s="336"/>
      <c r="CB167" s="336"/>
      <c r="CC167" s="336"/>
      <c r="CD167" s="336"/>
      <c r="CE167" s="336"/>
      <c r="CF167" s="336"/>
      <c r="CG167" s="336"/>
      <c r="CH167" s="336"/>
      <c r="CI167" s="336"/>
      <c r="CJ167" s="336"/>
      <c r="CK167" s="336"/>
      <c r="CL167" s="336"/>
      <c r="CM167" s="336"/>
      <c r="CN167" s="336"/>
      <c r="CO167" s="336"/>
      <c r="CP167" s="336"/>
      <c r="CQ167" s="336"/>
      <c r="CR167" s="336"/>
      <c r="CS167" s="336"/>
      <c r="CT167" s="336"/>
      <c r="CU167" s="336"/>
      <c r="CV167" s="336"/>
      <c r="CW167" s="336"/>
      <c r="CX167" s="336"/>
      <c r="CY167" s="336"/>
      <c r="CZ167" s="336"/>
      <c r="DA167" s="336"/>
      <c r="DB167" s="336"/>
      <c r="DC167" s="336"/>
      <c r="DD167" s="336"/>
      <c r="DE167" s="336"/>
      <c r="DF167" s="336"/>
      <c r="DG167" s="336"/>
      <c r="DH167" s="336"/>
      <c r="DI167" s="336"/>
      <c r="DJ167" s="336"/>
      <c r="DK167" s="336"/>
      <c r="DL167" s="336"/>
      <c r="DM167" s="336"/>
      <c r="DN167" s="336"/>
      <c r="DO167" s="336"/>
      <c r="DP167" s="336"/>
      <c r="DQ167" s="336"/>
      <c r="DR167" s="336"/>
      <c r="DS167" s="336"/>
      <c r="DT167" s="336"/>
      <c r="DU167" s="336"/>
      <c r="DW167" s="336">
        <f t="shared" si="1012"/>
        <v>0</v>
      </c>
      <c r="DX167" s="336">
        <f t="shared" si="1004"/>
        <v>33</v>
      </c>
      <c r="DY167" s="336">
        <f t="shared" si="1005"/>
        <v>0</v>
      </c>
      <c r="DZ167" s="336">
        <f t="shared" si="1006"/>
        <v>0</v>
      </c>
      <c r="EA167" s="336">
        <f t="shared" si="1007"/>
        <v>33</v>
      </c>
      <c r="EB167" s="336">
        <f t="shared" si="1008"/>
        <v>33</v>
      </c>
      <c r="EC167" s="336">
        <f t="shared" si="1009"/>
        <v>0</v>
      </c>
      <c r="ED167" s="336">
        <f t="shared" si="919"/>
        <v>0</v>
      </c>
      <c r="EE167" s="336">
        <f t="shared" si="920"/>
        <v>0</v>
      </c>
      <c r="EF167" s="336">
        <f t="shared" si="921"/>
        <v>33</v>
      </c>
      <c r="EG167" s="336">
        <f t="shared" si="922"/>
        <v>0</v>
      </c>
      <c r="EH167" s="336">
        <f t="shared" si="923"/>
        <v>33</v>
      </c>
      <c r="EI167" s="336">
        <f t="shared" si="924"/>
        <v>33</v>
      </c>
      <c r="EJ167" s="336">
        <f t="shared" si="925"/>
        <v>33</v>
      </c>
      <c r="EK167" s="336">
        <f t="shared" si="926"/>
        <v>33</v>
      </c>
      <c r="EL167" s="336">
        <f t="shared" si="927"/>
        <v>33</v>
      </c>
      <c r="EM167" s="336">
        <f t="shared" si="928"/>
        <v>0</v>
      </c>
      <c r="EN167" s="336">
        <f t="shared" si="929"/>
        <v>0</v>
      </c>
      <c r="EO167" s="336">
        <f t="shared" si="930"/>
        <v>0</v>
      </c>
      <c r="EP167" s="336">
        <f t="shared" si="931"/>
        <v>0</v>
      </c>
      <c r="EQ167" s="336">
        <f t="shared" si="932"/>
        <v>0</v>
      </c>
      <c r="ER167" s="336">
        <f t="shared" si="933"/>
        <v>0</v>
      </c>
      <c r="ES167" s="336">
        <f t="shared" si="934"/>
        <v>0</v>
      </c>
      <c r="ET167" s="336">
        <f t="shared" si="934"/>
        <v>0</v>
      </c>
      <c r="EU167" s="336">
        <f t="shared" si="935"/>
        <v>0</v>
      </c>
      <c r="EV167" s="336">
        <f t="shared" si="936"/>
        <v>0</v>
      </c>
      <c r="EW167" s="336">
        <f t="shared" si="937"/>
        <v>0</v>
      </c>
      <c r="EX167" s="336">
        <f t="shared" si="938"/>
        <v>0</v>
      </c>
      <c r="EY167" s="336">
        <f t="shared" si="939"/>
        <v>0</v>
      </c>
      <c r="EZ167" s="336">
        <f t="shared" si="940"/>
        <v>0</v>
      </c>
      <c r="FA167" s="336">
        <f t="shared" si="941"/>
        <v>0</v>
      </c>
      <c r="FB167" s="336">
        <f t="shared" si="942"/>
        <v>0</v>
      </c>
      <c r="FC167" s="336">
        <f t="shared" si="943"/>
        <v>0</v>
      </c>
      <c r="FD167" s="336">
        <f t="shared" si="944"/>
        <v>0</v>
      </c>
      <c r="FE167" s="336">
        <f t="shared" si="945"/>
        <v>0</v>
      </c>
      <c r="FF167" s="336">
        <f t="shared" si="946"/>
        <v>0</v>
      </c>
      <c r="FG167" s="336">
        <f t="shared" si="947"/>
        <v>0</v>
      </c>
      <c r="FH167" s="336">
        <f t="shared" si="948"/>
        <v>0</v>
      </c>
      <c r="FI167" s="336">
        <f t="shared" si="949"/>
        <v>0</v>
      </c>
      <c r="FJ167" s="336">
        <f t="shared" si="950"/>
        <v>0</v>
      </c>
      <c r="FK167" s="336">
        <f t="shared" si="951"/>
        <v>0</v>
      </c>
      <c r="FL167" s="336">
        <f t="shared" si="952"/>
        <v>0</v>
      </c>
      <c r="FM167" s="336">
        <f t="shared" si="953"/>
        <v>0</v>
      </c>
      <c r="FN167" s="336">
        <f t="shared" si="954"/>
        <v>0</v>
      </c>
      <c r="FO167" s="336">
        <f t="shared" si="955"/>
        <v>0</v>
      </c>
      <c r="FP167" s="336">
        <f t="shared" si="956"/>
        <v>0</v>
      </c>
      <c r="FQ167" s="336">
        <f t="shared" si="957"/>
        <v>0</v>
      </c>
      <c r="FR167" s="336">
        <f t="shared" si="958"/>
        <v>0</v>
      </c>
      <c r="FS167" s="336">
        <f t="shared" si="959"/>
        <v>0</v>
      </c>
      <c r="FT167" s="336">
        <f t="shared" si="960"/>
        <v>0</v>
      </c>
      <c r="FU167" s="336">
        <f t="shared" si="860"/>
        <v>0</v>
      </c>
      <c r="FV167" s="336">
        <f t="shared" si="861"/>
        <v>0</v>
      </c>
      <c r="FW167" s="336">
        <f t="shared" si="862"/>
        <v>0</v>
      </c>
      <c r="FX167" s="336">
        <f t="shared" si="863"/>
        <v>0</v>
      </c>
      <c r="FY167" s="336">
        <f t="shared" si="961"/>
        <v>0</v>
      </c>
      <c r="FZ167" s="336">
        <f t="shared" si="962"/>
        <v>0</v>
      </c>
      <c r="GA167" s="336">
        <f t="shared" si="963"/>
        <v>0</v>
      </c>
      <c r="GB167" s="336">
        <f t="shared" si="964"/>
        <v>0</v>
      </c>
      <c r="GC167" s="336">
        <f t="shared" si="965"/>
        <v>0</v>
      </c>
      <c r="GD167" s="336">
        <f t="shared" si="966"/>
        <v>0</v>
      </c>
      <c r="GE167" s="336">
        <f t="shared" si="967"/>
        <v>0</v>
      </c>
      <c r="GF167" s="336">
        <f t="shared" si="968"/>
        <v>0</v>
      </c>
      <c r="GG167" s="336">
        <f t="shared" si="969"/>
        <v>0</v>
      </c>
      <c r="GH167" s="336">
        <f t="shared" si="970"/>
        <v>0</v>
      </c>
      <c r="GI167" s="336">
        <f t="shared" si="971"/>
        <v>0</v>
      </c>
      <c r="GJ167" s="336">
        <f t="shared" si="972"/>
        <v>0</v>
      </c>
      <c r="GK167" s="336">
        <f t="shared" si="1171"/>
        <v>0</v>
      </c>
      <c r="GL167" s="336">
        <f t="shared" si="975"/>
        <v>0</v>
      </c>
      <c r="GM167" s="336">
        <f t="shared" si="973"/>
        <v>0</v>
      </c>
    </row>
    <row r="168" spans="1:195" s="869" customFormat="1" ht="20.100000000000001" customHeight="1">
      <c r="A168" s="406">
        <f t="shared" si="1315"/>
        <v>121</v>
      </c>
      <c r="B168" s="894"/>
      <c r="C168" s="406" t="str">
        <f t="shared" si="1291"/>
        <v>EPMCC-1</v>
      </c>
      <c r="D168" s="895" t="s">
        <v>1674</v>
      </c>
      <c r="E168" s="893" t="s">
        <v>345</v>
      </c>
      <c r="F168" s="406" t="s">
        <v>28</v>
      </c>
      <c r="G168" s="406" t="s">
        <v>329</v>
      </c>
      <c r="H168" s="864">
        <v>0.06</v>
      </c>
      <c r="I168" s="406" t="s">
        <v>330</v>
      </c>
      <c r="J168" s="406" t="s">
        <v>357</v>
      </c>
      <c r="K168" s="585">
        <v>230</v>
      </c>
      <c r="L168" s="409">
        <v>0.85</v>
      </c>
      <c r="M168" s="583">
        <v>0.95</v>
      </c>
      <c r="N168" s="407">
        <f t="shared" ref="N168" si="1317">IF(I168="kVA",IF(J168="3Ph",(H168*1000/(1.732*M168*K168)),(H168*1000/(M168*K168))),IF(I168="kW",IF(J168="3Ph",(H168*1000/(1.732*M168*K168*L168)),(H168*1000/(M168*K168*L168)))))</f>
        <v>0.32305828509893664</v>
      </c>
      <c r="O168" s="407">
        <f t="shared" ref="O168" si="1318">IF(G168="MOTOR",(6*N168),IF(G168="VFD",(1*N168),0))</f>
        <v>0</v>
      </c>
      <c r="P168" s="409" t="str">
        <f t="shared" ref="P168" si="1319">IF(G168="MOTOR",0.2,"0.00")</f>
        <v>0.00</v>
      </c>
      <c r="Q168" s="583">
        <v>65</v>
      </c>
      <c r="R168" s="583">
        <v>0</v>
      </c>
      <c r="S168" s="583">
        <f t="shared" ref="S168" si="1320">(Q168*1000*SQRT(R168)/143)</f>
        <v>0</v>
      </c>
      <c r="T168" s="409" t="s">
        <v>131</v>
      </c>
      <c r="U168" s="583" t="s">
        <v>333</v>
      </c>
      <c r="V168" s="409">
        <v>2.5</v>
      </c>
      <c r="W168" s="409" t="str">
        <f t="shared" ref="W168" si="1321">CONCATENATE(U168," X ",V168)</f>
        <v>3C X 2.5</v>
      </c>
      <c r="X168" s="409" t="str">
        <f t="shared" ref="X168" si="1322">(IF(J168="1Ph",W168,IF(J168="3Ph",(IF(G168="MOTOR",(CONCATENATE(W168,"+PE")),W168)))))</f>
        <v>3C X 2.5</v>
      </c>
      <c r="Y168" s="409" t="s">
        <v>358</v>
      </c>
      <c r="Z168" s="408">
        <f>IF(T168="AIR",VLOOKUP(W168,'Catalogue Aluminium'!$B$9:$G$93,2,FALSE),IF(T168="GROUND",VLOOKUP(W168,'Catalogue Aluminium'!$B$9:$G$93,3,FALSE),IF(T168="DUCT",VLOOKUP(W168,'Catalogue Aluminium'!$B$9:$G$93,4,FALSE),IF(T168="TRENCH",VLOOKUP(W168,'Catalogue Aluminium'!$B$9:$G$93,2,FALSE)))))</f>
        <v>28</v>
      </c>
      <c r="AA168" s="410">
        <f>VLOOKUP(W168,'Catalogue Aluminium'!$B$9:$G$93,5,FALSE)</f>
        <v>9.48</v>
      </c>
      <c r="AB168" s="410">
        <f>VLOOKUP(W168,'Catalogue Aluminium'!$B$9:$G$93,6,FALSE)</f>
        <v>0.1007</v>
      </c>
      <c r="AC168" s="896">
        <f t="shared" si="1298"/>
        <v>38</v>
      </c>
      <c r="AD168" s="409">
        <f>40+50+38+50+17+(27+30+9+18+40+3.5)</f>
        <v>322.5</v>
      </c>
      <c r="AE168" s="409">
        <f t="shared" si="1316"/>
        <v>38</v>
      </c>
      <c r="AF168" s="409">
        <v>8</v>
      </c>
      <c r="AG168" s="409">
        <f t="shared" ref="AG168" si="1323">ROUNDUP((SUM(AC168:AF168)*0.1),0)</f>
        <v>41</v>
      </c>
      <c r="AH168" s="865">
        <f t="shared" ref="AH168" si="1324">SUM(AC168:AG168)</f>
        <v>447.5</v>
      </c>
      <c r="AI168" s="408">
        <f>IF(T168="AIR",'Catalogue Aluminium'!$K$9,IF(T168="TRENCH",'Catalogue Aluminium'!$K$12,"NA"))</f>
        <v>0.89</v>
      </c>
      <c r="AJ168" s="407">
        <f>IF(T168="Air",(IF(U168="1C",'Catalogue Aluminium'!$L$9,'Catalogue Aluminium'!$M$9)),IF(T168="DUCT",(IF($U168="1C",'Catalogue Aluminium'!$L$10,'Catalogue Aluminium'!$M$10)),IF(T168="GROUND",(IF($U168="1C",'Catalogue Aluminium'!$L$11,'Catalogue Aluminium'!$M$11)),IF(T168="TRENCH",(IF($U168="1C",'Catalogue Aluminium'!$L$12,'Catalogue Aluminium'!$M$12))))))</f>
        <v>0.66</v>
      </c>
      <c r="AK168" s="408" t="str">
        <f>IF(T168="Air",'Catalogue Aluminium'!$N$9,IF(T168="GROUND",'Catalogue Aluminium'!$N$10,IF(T168="DUCT",'Catalogue Aluminium'!$N$11,IF(T168="TRENCH",'Catalogue Aluminium'!$N$12,"NA"))))</f>
        <v>NA</v>
      </c>
      <c r="AL168" s="408" t="str">
        <f>IF(T168="Air",(IF(U168="1C",'Catalogue Aluminium'!$O$9,'Catalogue Aluminium'!$P$9)),IF(T168="DUCT",(IF($U168="1C",'Catalogue Aluminium'!$O$10,'Catalogue Aluminium'!$P$10)),IF(T168="GROUND",(IF($U168="1C",'Catalogue Aluminium'!$O$11,'Catalogue Aluminium'!$P$11)),IF(T168="TRENCH",(IF($U168="1C",'Catalogue Aluminium'!$O$12,'Catalogue Aluminium'!$P$12))))))</f>
        <v>NA</v>
      </c>
      <c r="AM168" s="408" t="str">
        <f>IF(T168="AIR","NA",IF(T168="TRENCH","NA",IF(T168="DUCT",IF(U168="1C",VLOOKUP(V168,'Catalogue Aluminium'!$Q$9:$S$28,2,FALSE),VLOOKUP(V168,'Catalogue Aluminium'!$Q$9:$S$28,3)),IF(T168="GROUND",IF(U168="1C",VLOOKUP(V168,'Catalogue Aluminium'!$Q$9:$S$28,2,FALSE),VLOOKUP(V168,'Catalogue Aluminium'!$Q$9:$S$28,3))))))</f>
        <v>NA</v>
      </c>
      <c r="AN168" s="584">
        <f t="shared" ref="AN168" si="1325">IF(T168="AIR",AI168*AJ168,IF(T168="TRENCH",AI168*AJ168,IF(T168="DUCT",AJ168*AK168*AL168*AM168,IF(T168="GROUND",AJ168*AK168*AL168*AM168))))</f>
        <v>0.58740000000000003</v>
      </c>
      <c r="AO168" s="583">
        <f t="shared" ref="AO168" si="1326">Z168*AN168</f>
        <v>16.447200000000002</v>
      </c>
      <c r="AP168" s="585">
        <f t="shared" si="1303"/>
        <v>1</v>
      </c>
      <c r="AQ168" s="583" t="str">
        <f t="shared" ref="AQ168" si="1327">IF(AO168*AP168&gt;=N168,"YES","NO")</f>
        <v>YES</v>
      </c>
      <c r="AR168" s="584">
        <f t="shared" ref="AR168" si="1328">SQRT(3)*AH168*N168*((AA168*L168)+(AB168*SIN(ACOS(L168))))*100/(AP168*K168*1000)</f>
        <v>0.88304662135055467</v>
      </c>
      <c r="AS168" s="409" t="str">
        <f t="shared" ref="AS168" si="1329">IF(G168="INCOMER",(IF(AR168&lt;=2,"YES","NO")),IF(G168="POWER",(IF(AR168&lt;=2.5,"YES","NO")),IF(G168="MOTOR",(IF(AR168&lt;=3,"YES","NO")))))</f>
        <v>YES</v>
      </c>
      <c r="AT168" s="584" t="str">
        <f t="shared" si="1307"/>
        <v>NA</v>
      </c>
      <c r="AU168" s="409" t="str">
        <f t="shared" si="1308"/>
        <v>NA</v>
      </c>
      <c r="AV168" s="586" t="str">
        <f t="shared" si="1309"/>
        <v>1R x 0.6/1kV x 3C x 2.5 Sqmm</v>
      </c>
      <c r="AW168" s="586" t="str">
        <f t="shared" si="1310"/>
        <v>1R x 0.6/1kV x 3C x 2.5 Sqmm</v>
      </c>
      <c r="AX168" s="409">
        <f t="shared" si="1311"/>
        <v>447.5</v>
      </c>
      <c r="AY168" s="866"/>
      <c r="AZ168" s="866">
        <f t="shared" si="1312"/>
        <v>2</v>
      </c>
      <c r="BA168" s="867" t="str">
        <f t="shared" si="1313"/>
        <v>ACDEE1E2E3E4E5</v>
      </c>
      <c r="BB168" s="868">
        <f>VLOOKUP(W168,'Catalogue Aluminium'!$B$9:$H$93,7,FALSE)</f>
        <v>14</v>
      </c>
      <c r="BC168" s="789">
        <f t="shared" si="1314"/>
        <v>14</v>
      </c>
      <c r="BE168" s="587"/>
      <c r="BF168" s="587">
        <v>1</v>
      </c>
      <c r="BG168" s="587"/>
      <c r="BH168" s="587"/>
      <c r="BI168" s="587">
        <v>1</v>
      </c>
      <c r="BJ168" s="587">
        <v>1</v>
      </c>
      <c r="BK168" s="587"/>
      <c r="BL168" s="587"/>
      <c r="BM168" s="587"/>
      <c r="BN168" s="587">
        <v>1</v>
      </c>
      <c r="BO168" s="587"/>
      <c r="BP168" s="587">
        <v>1</v>
      </c>
      <c r="BQ168" s="587">
        <v>1</v>
      </c>
      <c r="BR168" s="587">
        <v>1</v>
      </c>
      <c r="BS168" s="587">
        <v>1</v>
      </c>
      <c r="BT168" s="587">
        <v>1</v>
      </c>
      <c r="BU168" s="587"/>
      <c r="BV168" s="587"/>
      <c r="BW168" s="587"/>
      <c r="BX168" s="587"/>
      <c r="BY168" s="587"/>
      <c r="BZ168" s="587"/>
      <c r="CA168" s="587"/>
      <c r="CB168" s="587"/>
      <c r="CC168" s="587"/>
      <c r="CD168" s="587"/>
      <c r="CE168" s="587"/>
      <c r="CF168" s="587"/>
      <c r="CG168" s="587"/>
      <c r="CH168" s="587"/>
      <c r="CI168" s="587"/>
      <c r="CJ168" s="587"/>
      <c r="CK168" s="587"/>
      <c r="CL168" s="587"/>
      <c r="CM168" s="587"/>
      <c r="CN168" s="587"/>
      <c r="CO168" s="587"/>
      <c r="CP168" s="587"/>
      <c r="CQ168" s="587"/>
      <c r="CR168" s="587"/>
      <c r="CS168" s="587"/>
      <c r="CT168" s="587"/>
      <c r="CU168" s="587"/>
      <c r="CV168" s="587"/>
      <c r="CW168" s="587"/>
      <c r="CX168" s="587"/>
      <c r="CY168" s="587"/>
      <c r="CZ168" s="587"/>
      <c r="DA168" s="587"/>
      <c r="DB168" s="587"/>
      <c r="DC168" s="587"/>
      <c r="DD168" s="587"/>
      <c r="DE168" s="587"/>
      <c r="DF168" s="587"/>
      <c r="DG168" s="587"/>
      <c r="DH168" s="587"/>
      <c r="DI168" s="587"/>
      <c r="DJ168" s="587"/>
      <c r="DK168" s="587"/>
      <c r="DL168" s="587"/>
      <c r="DM168" s="587"/>
      <c r="DN168" s="587"/>
      <c r="DO168" s="587"/>
      <c r="DP168" s="587"/>
      <c r="DQ168" s="587"/>
      <c r="DR168" s="587"/>
      <c r="DS168" s="587"/>
      <c r="DT168" s="587"/>
      <c r="DU168" s="587"/>
      <c r="DW168" s="587">
        <f t="shared" ref="DW168" si="1330">IF(BE168=1,($BC168*BE168),0)</f>
        <v>0</v>
      </c>
      <c r="DX168" s="587">
        <f t="shared" ref="DX168" si="1331">IF(BF168=1,($BC168*BF168),0)</f>
        <v>14</v>
      </c>
      <c r="DY168" s="587">
        <f t="shared" ref="DY168" si="1332">IF(BG168=1,($BC168*BG168),0)</f>
        <v>0</v>
      </c>
      <c r="DZ168" s="587">
        <f t="shared" ref="DZ168" si="1333">IF(BH168=1,($BC168*BH168),0)</f>
        <v>0</v>
      </c>
      <c r="EA168" s="587">
        <f t="shared" ref="EA168" si="1334">IF(BI168=1,($BC168*BI168),0)</f>
        <v>14</v>
      </c>
      <c r="EB168" s="587">
        <f t="shared" ref="EB168" si="1335">IF(BJ168=1,($BC168*BJ168),0)</f>
        <v>14</v>
      </c>
      <c r="EC168" s="587">
        <f t="shared" ref="EC168" si="1336">IF(BK168=1,($BC168*BK168),0)</f>
        <v>0</v>
      </c>
      <c r="ED168" s="587">
        <f t="shared" ref="ED168" si="1337">IF(BL168=1,($BC168*BL168),0)</f>
        <v>0</v>
      </c>
      <c r="EE168" s="587">
        <f t="shared" ref="EE168" si="1338">IF(BM168=1,($BC168*BM168),0)</f>
        <v>0</v>
      </c>
      <c r="EF168" s="587">
        <f t="shared" ref="EF168" si="1339">IF(BN168=1,($BC168*BN168),0)</f>
        <v>14</v>
      </c>
      <c r="EG168" s="587">
        <f t="shared" ref="EG168" si="1340">IF(BO168=1,($BC168*BO168),0)</f>
        <v>0</v>
      </c>
      <c r="EH168" s="587">
        <f t="shared" ref="EH168" si="1341">IF(BP168=1,($BC168*BP168),0)</f>
        <v>14</v>
      </c>
      <c r="EI168" s="587">
        <f t="shared" ref="EI168" si="1342">IF(BQ168=1,($BC168*BQ168),0)</f>
        <v>14</v>
      </c>
      <c r="EJ168" s="587">
        <f t="shared" ref="EJ168" si="1343">IF(BR168=1,($BC168*BR168),0)</f>
        <v>14</v>
      </c>
      <c r="EK168" s="587">
        <f t="shared" ref="EK168" si="1344">IF(BS168=1,($BC168*BS168),0)</f>
        <v>14</v>
      </c>
      <c r="EL168" s="587">
        <f t="shared" ref="EL168" si="1345">IF(BT168=1,($BC168*BT168),0)</f>
        <v>14</v>
      </c>
      <c r="EM168" s="587">
        <f t="shared" ref="EM168" si="1346">IF(BU168=1,($BC168*BU168),0)</f>
        <v>0</v>
      </c>
      <c r="EN168" s="587">
        <f t="shared" ref="EN168" si="1347">IF(BV168=1,($BC168*BV168),0)</f>
        <v>0</v>
      </c>
      <c r="EO168" s="587">
        <f t="shared" ref="EO168" si="1348">IF(BW168=1,($BC168*BW168),0)</f>
        <v>0</v>
      </c>
      <c r="EP168" s="587">
        <f t="shared" ref="EP168" si="1349">IF(BX168=1,($BC168*BX168),0)</f>
        <v>0</v>
      </c>
      <c r="EQ168" s="587">
        <f t="shared" ref="EQ168" si="1350">IF(BY168=1,($BC168*BY168),0)</f>
        <v>0</v>
      </c>
      <c r="ER168" s="587">
        <f t="shared" ref="ER168" si="1351">IF(BZ168=1,($BC168*BZ168),0)</f>
        <v>0</v>
      </c>
      <c r="ES168" s="587">
        <f t="shared" ref="ES168" si="1352">IF(CA168=1,($BC168*CA168),0)</f>
        <v>0</v>
      </c>
      <c r="ET168" s="587">
        <f t="shared" si="934"/>
        <v>0</v>
      </c>
      <c r="EU168" s="587">
        <f t="shared" ref="EU168" si="1353">IF(CC168=1,($BC168*CC168),0)</f>
        <v>0</v>
      </c>
      <c r="EV168" s="587">
        <f t="shared" ref="EV168" si="1354">IF(CD168=1,($BC168*CD168),0)</f>
        <v>0</v>
      </c>
      <c r="EW168" s="587">
        <f t="shared" ref="EW168" si="1355">IF(CE168=1,($BC168*CE168),0)</f>
        <v>0</v>
      </c>
      <c r="EX168" s="587">
        <f t="shared" ref="EX168" si="1356">IF(CF168=1,($BC168*CF168),0)</f>
        <v>0</v>
      </c>
      <c r="EY168" s="587">
        <f t="shared" ref="EY168" si="1357">IF(CG168=1,($BC168*CG168),0)</f>
        <v>0</v>
      </c>
      <c r="EZ168" s="587">
        <f t="shared" ref="EZ168" si="1358">IF(CH168=1,($BC168*CH168),0)</f>
        <v>0</v>
      </c>
      <c r="FA168" s="587">
        <f t="shared" ref="FA168" si="1359">IF(CI168=1,($BC168*CI168),0)</f>
        <v>0</v>
      </c>
      <c r="FB168" s="587">
        <f t="shared" ref="FB168" si="1360">IF(CJ168=1,($BC168*CJ168),0)</f>
        <v>0</v>
      </c>
      <c r="FC168" s="587">
        <f t="shared" ref="FC168" si="1361">IF(CK168=1,($BC168*CK168),0)</f>
        <v>0</v>
      </c>
      <c r="FD168" s="587">
        <f t="shared" ref="FD168" si="1362">IF(CL168=1,($BC168*CL168),0)</f>
        <v>0</v>
      </c>
      <c r="FE168" s="587">
        <f t="shared" ref="FE168" si="1363">IF(CM168=1,($BC168*CM168),0)</f>
        <v>0</v>
      </c>
      <c r="FF168" s="587">
        <f t="shared" ref="FF168" si="1364">IF(CN168=1,($BC168*CN168),0)</f>
        <v>0</v>
      </c>
      <c r="FG168" s="587">
        <f t="shared" ref="FG168" si="1365">IF(CO168=1,($BC168*CO168),0)</f>
        <v>0</v>
      </c>
      <c r="FH168" s="587">
        <f t="shared" ref="FH168" si="1366">IF(CP168=1,($BC168*CP168),0)</f>
        <v>0</v>
      </c>
      <c r="FI168" s="587">
        <f t="shared" ref="FI168" si="1367">IF(CQ168=1,($BC168*CQ168),0)</f>
        <v>0</v>
      </c>
      <c r="FJ168" s="587">
        <f t="shared" ref="FJ168" si="1368">IF(CR168=1,($BC168*CR168),0)</f>
        <v>0</v>
      </c>
      <c r="FK168" s="587">
        <f t="shared" ref="FK168" si="1369">IF(CS168=1,($BC168*CS168),0)</f>
        <v>0</v>
      </c>
      <c r="FL168" s="587">
        <f t="shared" ref="FL168" si="1370">IF(CT168=1,($BC168*CT168),0)</f>
        <v>0</v>
      </c>
      <c r="FM168" s="587">
        <f t="shared" ref="FM168" si="1371">IF(CU168=1,($BC168*CU168),0)</f>
        <v>0</v>
      </c>
      <c r="FN168" s="587">
        <f t="shared" ref="FN168" si="1372">IF(CV168=1,($BC168*CV168),0)</f>
        <v>0</v>
      </c>
      <c r="FO168" s="587">
        <f t="shared" ref="FO168" si="1373">IF(CW168=1,($BC168*CW168),0)</f>
        <v>0</v>
      </c>
      <c r="FP168" s="587">
        <f t="shared" ref="FP168" si="1374">IF(CX168=1,($BC168*CX168),0)</f>
        <v>0</v>
      </c>
      <c r="FQ168" s="587">
        <f t="shared" ref="FQ168" si="1375">IF(CY168=1,($BC168*CY168),0)</f>
        <v>0</v>
      </c>
      <c r="FR168" s="587">
        <f t="shared" ref="FR168" si="1376">IF(CZ168=1,($BC168*CZ168),0)</f>
        <v>0</v>
      </c>
      <c r="FS168" s="587">
        <f t="shared" ref="FS168" si="1377">IF(DA168=1,($BC168*DA168),0)</f>
        <v>0</v>
      </c>
      <c r="FT168" s="587">
        <f t="shared" ref="FT168" si="1378">IF(DB168=1,($BC168*DB168),0)</f>
        <v>0</v>
      </c>
      <c r="FU168" s="587">
        <f t="shared" si="860"/>
        <v>0</v>
      </c>
      <c r="FV168" s="587">
        <f t="shared" si="861"/>
        <v>0</v>
      </c>
      <c r="FW168" s="587">
        <f t="shared" si="862"/>
        <v>0</v>
      </c>
      <c r="FX168" s="587">
        <f t="shared" si="863"/>
        <v>0</v>
      </c>
      <c r="FY168" s="587">
        <f t="shared" ref="FY168" si="1379">IF(DG168=1,($BC168*DG168),0)</f>
        <v>0</v>
      </c>
      <c r="FZ168" s="587">
        <f t="shared" ref="FZ168" si="1380">IF(DH168=1,($BC168*DH168),0)</f>
        <v>0</v>
      </c>
      <c r="GA168" s="587">
        <f t="shared" ref="GA168" si="1381">IF(DI168=1,($BC168*DI168),0)</f>
        <v>0</v>
      </c>
      <c r="GB168" s="587">
        <f t="shared" ref="GB168" si="1382">IF(DJ168=1,($BC168*DJ168),0)</f>
        <v>0</v>
      </c>
      <c r="GC168" s="587">
        <f t="shared" ref="GC168" si="1383">IF(DK168=1,($BC168*DK168),0)</f>
        <v>0</v>
      </c>
      <c r="GD168" s="587">
        <f t="shared" ref="GD168" si="1384">IF(DL168=1,($BC168*DL168),0)</f>
        <v>0</v>
      </c>
      <c r="GE168" s="587">
        <f t="shared" ref="GE168" si="1385">IF(DM168=1,($BC168*DM168),0)</f>
        <v>0</v>
      </c>
      <c r="GF168" s="587">
        <f t="shared" ref="GF168" si="1386">IF(DN168=1,($BC168*DN168),0)</f>
        <v>0</v>
      </c>
      <c r="GG168" s="587">
        <f t="shared" ref="GG168" si="1387">IF(DO168=1,($BC168*DO168),0)</f>
        <v>0</v>
      </c>
      <c r="GH168" s="587">
        <f t="shared" ref="GH168" si="1388">IF(DP168=1,($BC168*DP168),0)</f>
        <v>0</v>
      </c>
      <c r="GI168" s="587">
        <f t="shared" ref="GI168" si="1389">IF(DQ168=1,($BC168*DQ168),0)</f>
        <v>0</v>
      </c>
      <c r="GJ168" s="587">
        <f t="shared" ref="GJ168" si="1390">IF(DR168=1,($BC168*DR168),0)</f>
        <v>0</v>
      </c>
      <c r="GK168" s="587">
        <f t="shared" ref="GK168" si="1391">IF(DS168=1,($BC168*DS168),0)</f>
        <v>0</v>
      </c>
      <c r="GL168" s="587">
        <f t="shared" si="975"/>
        <v>0</v>
      </c>
      <c r="GM168" s="587">
        <f t="shared" ref="GM168" si="1392">IF(DU168=1,($BC168*DU168),0)</f>
        <v>0</v>
      </c>
    </row>
    <row r="169" spans="1:195" ht="19.5" customHeight="1">
      <c r="A169" s="337">
        <f>1+A168</f>
        <v>122</v>
      </c>
      <c r="B169" s="545" t="s">
        <v>641</v>
      </c>
      <c r="C169" s="337" t="str">
        <f t="shared" si="1291"/>
        <v>EPMCC-1</v>
      </c>
      <c r="D169" s="427" t="s">
        <v>642</v>
      </c>
      <c r="E169" s="453" t="s">
        <v>345</v>
      </c>
      <c r="F169" s="337" t="s">
        <v>29</v>
      </c>
      <c r="G169" s="337" t="s">
        <v>350</v>
      </c>
      <c r="H169" s="350">
        <v>22</v>
      </c>
      <c r="I169" s="337" t="s">
        <v>330</v>
      </c>
      <c r="J169" s="337" t="s">
        <v>331</v>
      </c>
      <c r="K169" s="349">
        <v>400</v>
      </c>
      <c r="L169" s="343">
        <v>0.84</v>
      </c>
      <c r="M169" s="350">
        <v>0.92700000000000005</v>
      </c>
      <c r="N169" s="342">
        <f t="shared" si="1292"/>
        <v>40.780803802396221</v>
      </c>
      <c r="O169" s="342">
        <f t="shared" si="1293"/>
        <v>244.68482281437733</v>
      </c>
      <c r="P169" s="343">
        <f t="shared" si="1294"/>
        <v>0.2</v>
      </c>
      <c r="Q169" s="350">
        <v>50</v>
      </c>
      <c r="R169" s="350">
        <v>0</v>
      </c>
      <c r="S169" s="350">
        <f t="shared" si="1295"/>
        <v>0</v>
      </c>
      <c r="T169" s="343" t="s">
        <v>131</v>
      </c>
      <c r="U169" s="350" t="s">
        <v>333</v>
      </c>
      <c r="V169" s="343">
        <v>95</v>
      </c>
      <c r="W169" s="343" t="str">
        <f t="shared" si="1296"/>
        <v>3C X 95</v>
      </c>
      <c r="X169" s="343" t="str">
        <f t="shared" si="1297"/>
        <v>3C X 95+PE</v>
      </c>
      <c r="Y169" s="343" t="s">
        <v>358</v>
      </c>
      <c r="Z169" s="344">
        <f>IF(T169="AIR",VLOOKUP(W169,'Catalogue Aluminium'!$B$9:$G$93,2,FALSE),IF(T169="GROUND",VLOOKUP(W169,'Catalogue Aluminium'!$B$9:$G$93,3,FALSE),IF(T169="DUCT",VLOOKUP(W169,'Catalogue Aluminium'!$B$9:$G$93,4,FALSE),IF(T169="TRENCH",VLOOKUP(W169,'Catalogue Aluminium'!$B$9:$G$93,2,FALSE)))))</f>
        <v>221</v>
      </c>
      <c r="AA169" s="345">
        <f>VLOOKUP(W169,'Catalogue Aluminium'!$B$9:$G$93,5,FALSE)</f>
        <v>0.41</v>
      </c>
      <c r="AB169" s="345">
        <f>VLOOKUP(W169,'Catalogue Aluminium'!$B$9:$G$93,6,FALSE)</f>
        <v>7.3400000000000007E-2</v>
      </c>
      <c r="AC169" s="457">
        <f>24+6</f>
        <v>30</v>
      </c>
      <c r="AD169" s="401">
        <f>40+50+38+50+17+(27+30+9+18+40+3.5)</f>
        <v>322.5</v>
      </c>
      <c r="AE169" s="401">
        <f t="shared" si="1316"/>
        <v>38</v>
      </c>
      <c r="AF169" s="401">
        <v>8</v>
      </c>
      <c r="AG169" s="401">
        <f t="shared" si="1299"/>
        <v>40</v>
      </c>
      <c r="AH169" s="347">
        <f t="shared" si="1300"/>
        <v>438.5</v>
      </c>
      <c r="AI169" s="344">
        <f>IF(T169="AIR",'Catalogue Aluminium'!$K$9,IF(T169="TRENCH",'Catalogue Aluminium'!$K$12,"NA"))</f>
        <v>0.89</v>
      </c>
      <c r="AJ169" s="342">
        <f>IF(T169="Air",(IF(U169="1C",'Catalogue Aluminium'!$L$9,'Catalogue Aluminium'!$M$9)),IF(T169="DUCT",(IF($U169="1C",'Catalogue Aluminium'!$L$10,'Catalogue Aluminium'!$M$10)),IF(T169="GROUND",(IF($U169="1C",'Catalogue Aluminium'!$L$11,'Catalogue Aluminium'!$M$11)),IF(T169="TRENCH",(IF($U169="1C",'Catalogue Aluminium'!$L$12,'Catalogue Aluminium'!$M$12))))))</f>
        <v>0.66</v>
      </c>
      <c r="AK169" s="344" t="str">
        <f>IF(T169="Air",'Catalogue Aluminium'!$N$9,IF(T169="GROUND",'Catalogue Aluminium'!$N$10,IF(T169="DUCT",'Catalogue Aluminium'!$N$11,IF(T169="TRENCH",'Catalogue Aluminium'!$N$12,"NA"))))</f>
        <v>NA</v>
      </c>
      <c r="AL169" s="344" t="str">
        <f>IF(T169="Air",(IF(U169="1C",'Catalogue Aluminium'!$O$9,'Catalogue Aluminium'!$P$9)),IF(T169="DUCT",(IF($U169="1C",'Catalogue Aluminium'!$O$10,'Catalogue Aluminium'!$P$10)),IF(T169="GROUND",(IF($U169="1C",'Catalogue Aluminium'!$O$11,'Catalogue Aluminium'!$P$11)),IF(T169="TRENCH",(IF($U169="1C",'Catalogue Aluminium'!$O$12,'Catalogue Aluminium'!$P$12))))))</f>
        <v>NA</v>
      </c>
      <c r="AM169" s="344" t="str">
        <f>IF(T169="AIR","NA",IF(T169="TRENCH","NA",IF(T169="DUCT",IF(U169="1C",VLOOKUP(V169,'Catalogue Aluminium'!$Q$9:$S$28,2,FALSE),VLOOKUP(V169,'Catalogue Aluminium'!$Q$9:$S$28,3)),IF(T169="GROUND",IF(U169="1C",VLOOKUP(V169,'Catalogue Aluminium'!$Q$9:$S$28,2,FALSE),VLOOKUP(V169,'Catalogue Aluminium'!$Q$9:$S$28,3))))))</f>
        <v>NA</v>
      </c>
      <c r="AN169" s="351">
        <f t="shared" si="1301"/>
        <v>0.58740000000000003</v>
      </c>
      <c r="AO169" s="350">
        <f t="shared" si="1302"/>
        <v>129.81540000000001</v>
      </c>
      <c r="AP169" s="349">
        <f t="shared" si="1303"/>
        <v>1</v>
      </c>
      <c r="AQ169" s="350" t="str">
        <f t="shared" si="1304"/>
        <v>YES</v>
      </c>
      <c r="AR169" s="351">
        <f t="shared" si="1305"/>
        <v>2.9751754788580032</v>
      </c>
      <c r="AS169" s="343" t="str">
        <f t="shared" si="1306"/>
        <v>YES</v>
      </c>
      <c r="AT169" s="351">
        <f t="shared" si="1307"/>
        <v>7.1509527564775572</v>
      </c>
      <c r="AU169" s="343" t="str">
        <f t="shared" si="1308"/>
        <v>YES</v>
      </c>
      <c r="AV169" s="354" t="str">
        <f t="shared" si="1309"/>
        <v>1R x 0.6/1kV x 3C x 95 Sqmm</v>
      </c>
      <c r="AW169" s="354" t="str">
        <f t="shared" si="1310"/>
        <v>1R x 0.6/1kV x 3C x 95+PE Sqmm</v>
      </c>
      <c r="AX169" s="343">
        <f t="shared" si="1311"/>
        <v>438.5</v>
      </c>
      <c r="AY169" s="355"/>
      <c r="AZ169" s="355">
        <f t="shared" si="1312"/>
        <v>2</v>
      </c>
      <c r="BA169" s="356" t="str">
        <f t="shared" si="1313"/>
        <v>ACDEE1E2E3E4E5</v>
      </c>
      <c r="BB169" s="501">
        <f>VLOOKUP(W169,'Catalogue Aluminium'!$B$9:$H$93,7,FALSE)</f>
        <v>33</v>
      </c>
      <c r="BC169" s="328">
        <f t="shared" si="1314"/>
        <v>33</v>
      </c>
      <c r="BE169" s="336"/>
      <c r="BF169" s="336">
        <v>1</v>
      </c>
      <c r="BG169" s="336"/>
      <c r="BH169" s="336"/>
      <c r="BI169" s="336">
        <v>1</v>
      </c>
      <c r="BJ169" s="336">
        <v>1</v>
      </c>
      <c r="BK169" s="336"/>
      <c r="BL169" s="336"/>
      <c r="BM169" s="336"/>
      <c r="BN169" s="336">
        <v>1</v>
      </c>
      <c r="BO169" s="336"/>
      <c r="BP169" s="336">
        <v>1</v>
      </c>
      <c r="BQ169" s="336">
        <v>1</v>
      </c>
      <c r="BR169" s="336">
        <v>1</v>
      </c>
      <c r="BS169" s="336">
        <v>1</v>
      </c>
      <c r="BT169" s="336">
        <v>1</v>
      </c>
      <c r="BU169" s="336"/>
      <c r="BV169" s="336"/>
      <c r="BW169" s="336"/>
      <c r="BX169" s="336"/>
      <c r="BY169" s="336"/>
      <c r="BZ169" s="336"/>
      <c r="CA169" s="336"/>
      <c r="CB169" s="336"/>
      <c r="CC169" s="336"/>
      <c r="CD169" s="336"/>
      <c r="CE169" s="336"/>
      <c r="CF169" s="336"/>
      <c r="CG169" s="336"/>
      <c r="CH169" s="336"/>
      <c r="CI169" s="336"/>
      <c r="CJ169" s="336"/>
      <c r="CK169" s="336"/>
      <c r="CL169" s="336"/>
      <c r="CM169" s="336"/>
      <c r="CN169" s="336"/>
      <c r="CO169" s="336"/>
      <c r="CP169" s="336"/>
      <c r="CQ169" s="336"/>
      <c r="CR169" s="336"/>
      <c r="CS169" s="336"/>
      <c r="CT169" s="336"/>
      <c r="CU169" s="336"/>
      <c r="CV169" s="336"/>
      <c r="CW169" s="336"/>
      <c r="CX169" s="336"/>
      <c r="CY169" s="336"/>
      <c r="CZ169" s="336"/>
      <c r="DA169" s="336"/>
      <c r="DB169" s="336"/>
      <c r="DC169" s="336"/>
      <c r="DD169" s="336"/>
      <c r="DE169" s="336"/>
      <c r="DF169" s="336"/>
      <c r="DG169" s="336"/>
      <c r="DH169" s="336"/>
      <c r="DI169" s="336"/>
      <c r="DJ169" s="336"/>
      <c r="DK169" s="336"/>
      <c r="DL169" s="336"/>
      <c r="DM169" s="336"/>
      <c r="DN169" s="336"/>
      <c r="DO169" s="336"/>
      <c r="DP169" s="336"/>
      <c r="DQ169" s="336"/>
      <c r="DR169" s="336"/>
      <c r="DS169" s="336"/>
      <c r="DT169" s="336"/>
      <c r="DU169" s="336"/>
      <c r="DW169" s="336">
        <f t="shared" si="1012"/>
        <v>0</v>
      </c>
      <c r="DX169" s="336">
        <f t="shared" si="1004"/>
        <v>33</v>
      </c>
      <c r="DY169" s="336">
        <f t="shared" si="1005"/>
        <v>0</v>
      </c>
      <c r="DZ169" s="336">
        <f t="shared" si="1006"/>
        <v>0</v>
      </c>
      <c r="EA169" s="336">
        <f t="shared" si="1007"/>
        <v>33</v>
      </c>
      <c r="EB169" s="336">
        <f t="shared" si="1008"/>
        <v>33</v>
      </c>
      <c r="EC169" s="336">
        <f t="shared" si="1009"/>
        <v>0</v>
      </c>
      <c r="ED169" s="336">
        <f t="shared" si="919"/>
        <v>0</v>
      </c>
      <c r="EE169" s="336">
        <f t="shared" si="920"/>
        <v>0</v>
      </c>
      <c r="EF169" s="336">
        <f t="shared" si="921"/>
        <v>33</v>
      </c>
      <c r="EG169" s="336">
        <f t="shared" si="922"/>
        <v>0</v>
      </c>
      <c r="EH169" s="336">
        <f t="shared" si="923"/>
        <v>33</v>
      </c>
      <c r="EI169" s="336">
        <f t="shared" si="924"/>
        <v>33</v>
      </c>
      <c r="EJ169" s="336">
        <f t="shared" si="925"/>
        <v>33</v>
      </c>
      <c r="EK169" s="336">
        <f t="shared" si="926"/>
        <v>33</v>
      </c>
      <c r="EL169" s="336">
        <f t="shared" si="927"/>
        <v>33</v>
      </c>
      <c r="EM169" s="336">
        <f t="shared" si="928"/>
        <v>0</v>
      </c>
      <c r="EN169" s="336">
        <f t="shared" si="929"/>
        <v>0</v>
      </c>
      <c r="EO169" s="336">
        <f t="shared" si="930"/>
        <v>0</v>
      </c>
      <c r="EP169" s="336">
        <f t="shared" si="931"/>
        <v>0</v>
      </c>
      <c r="EQ169" s="336">
        <f t="shared" si="932"/>
        <v>0</v>
      </c>
      <c r="ER169" s="336">
        <f t="shared" si="933"/>
        <v>0</v>
      </c>
      <c r="ES169" s="336">
        <f t="shared" si="934"/>
        <v>0</v>
      </c>
      <c r="ET169" s="336">
        <f t="shared" si="934"/>
        <v>0</v>
      </c>
      <c r="EU169" s="336">
        <f t="shared" si="935"/>
        <v>0</v>
      </c>
      <c r="EV169" s="336">
        <f t="shared" si="936"/>
        <v>0</v>
      </c>
      <c r="EW169" s="336">
        <f t="shared" si="937"/>
        <v>0</v>
      </c>
      <c r="EX169" s="336">
        <f t="shared" si="938"/>
        <v>0</v>
      </c>
      <c r="EY169" s="336">
        <f t="shared" si="939"/>
        <v>0</v>
      </c>
      <c r="EZ169" s="336">
        <f t="shared" si="940"/>
        <v>0</v>
      </c>
      <c r="FA169" s="336">
        <f t="shared" si="941"/>
        <v>0</v>
      </c>
      <c r="FB169" s="336">
        <f t="shared" si="942"/>
        <v>0</v>
      </c>
      <c r="FC169" s="336">
        <f t="shared" si="943"/>
        <v>0</v>
      </c>
      <c r="FD169" s="336">
        <f t="shared" si="944"/>
        <v>0</v>
      </c>
      <c r="FE169" s="336">
        <f t="shared" si="945"/>
        <v>0</v>
      </c>
      <c r="FF169" s="336">
        <f t="shared" si="946"/>
        <v>0</v>
      </c>
      <c r="FG169" s="336">
        <f t="shared" si="947"/>
        <v>0</v>
      </c>
      <c r="FH169" s="336">
        <f t="shared" si="948"/>
        <v>0</v>
      </c>
      <c r="FI169" s="336">
        <f t="shared" si="949"/>
        <v>0</v>
      </c>
      <c r="FJ169" s="336">
        <f t="shared" si="950"/>
        <v>0</v>
      </c>
      <c r="FK169" s="336">
        <f t="shared" si="951"/>
        <v>0</v>
      </c>
      <c r="FL169" s="336">
        <f t="shared" si="952"/>
        <v>0</v>
      </c>
      <c r="FM169" s="336">
        <f t="shared" si="953"/>
        <v>0</v>
      </c>
      <c r="FN169" s="336">
        <f t="shared" si="954"/>
        <v>0</v>
      </c>
      <c r="FO169" s="336">
        <f t="shared" si="955"/>
        <v>0</v>
      </c>
      <c r="FP169" s="336">
        <f t="shared" si="956"/>
        <v>0</v>
      </c>
      <c r="FQ169" s="336">
        <f t="shared" si="957"/>
        <v>0</v>
      </c>
      <c r="FR169" s="336">
        <f t="shared" si="958"/>
        <v>0</v>
      </c>
      <c r="FS169" s="336">
        <f t="shared" si="959"/>
        <v>0</v>
      </c>
      <c r="FT169" s="336">
        <f t="shared" si="960"/>
        <v>0</v>
      </c>
      <c r="FU169" s="336">
        <f t="shared" si="860"/>
        <v>0</v>
      </c>
      <c r="FV169" s="336">
        <f t="shared" si="861"/>
        <v>0</v>
      </c>
      <c r="FW169" s="336">
        <f t="shared" si="862"/>
        <v>0</v>
      </c>
      <c r="FX169" s="336">
        <f t="shared" si="863"/>
        <v>0</v>
      </c>
      <c r="FY169" s="336">
        <f t="shared" si="961"/>
        <v>0</v>
      </c>
      <c r="FZ169" s="336">
        <f t="shared" si="962"/>
        <v>0</v>
      </c>
      <c r="GA169" s="336">
        <f t="shared" si="963"/>
        <v>0</v>
      </c>
      <c r="GB169" s="336">
        <f t="shared" si="964"/>
        <v>0</v>
      </c>
      <c r="GC169" s="336">
        <f t="shared" si="965"/>
        <v>0</v>
      </c>
      <c r="GD169" s="336">
        <f t="shared" si="966"/>
        <v>0</v>
      </c>
      <c r="GE169" s="336">
        <f t="shared" si="967"/>
        <v>0</v>
      </c>
      <c r="GF169" s="336">
        <f t="shared" si="968"/>
        <v>0</v>
      </c>
      <c r="GG169" s="336">
        <f t="shared" si="969"/>
        <v>0</v>
      </c>
      <c r="GH169" s="336">
        <f t="shared" si="970"/>
        <v>0</v>
      </c>
      <c r="GI169" s="336">
        <f t="shared" si="971"/>
        <v>0</v>
      </c>
      <c r="GJ169" s="336">
        <f t="shared" si="972"/>
        <v>0</v>
      </c>
      <c r="GK169" s="336">
        <f>IF(DS169=1,($BC169*DS169),0)</f>
        <v>0</v>
      </c>
      <c r="GL169" s="336">
        <f t="shared" si="975"/>
        <v>0</v>
      </c>
      <c r="GM169" s="336">
        <f t="shared" si="973"/>
        <v>0</v>
      </c>
    </row>
    <row r="170" spans="1:195" s="869" customFormat="1" ht="25.5" customHeight="1">
      <c r="A170" s="406">
        <f>1+A169</f>
        <v>123</v>
      </c>
      <c r="B170" s="894"/>
      <c r="C170" s="406" t="str">
        <f t="shared" si="1291"/>
        <v>EPMCC-1</v>
      </c>
      <c r="D170" s="895" t="s">
        <v>1675</v>
      </c>
      <c r="E170" s="893" t="s">
        <v>345</v>
      </c>
      <c r="F170" s="406" t="s">
        <v>29</v>
      </c>
      <c r="G170" s="406" t="s">
        <v>329</v>
      </c>
      <c r="H170" s="864">
        <v>0.06</v>
      </c>
      <c r="I170" s="406" t="s">
        <v>330</v>
      </c>
      <c r="J170" s="406" t="s">
        <v>357</v>
      </c>
      <c r="K170" s="585">
        <v>230</v>
      </c>
      <c r="L170" s="409">
        <v>0.85</v>
      </c>
      <c r="M170" s="583">
        <v>0.95</v>
      </c>
      <c r="N170" s="407">
        <f t="shared" ref="N170" si="1393">IF(I170="kVA",IF(J170="3Ph",(H170*1000/(1.732*M170*K170)),(H170*1000/(M170*K170))),IF(I170="kW",IF(J170="3Ph",(H170*1000/(1.732*M170*K170*L170)),(H170*1000/(M170*K170*L170)))))</f>
        <v>0.32305828509893664</v>
      </c>
      <c r="O170" s="407">
        <f t="shared" ref="O170" si="1394">IF(G170="MOTOR",(6*N170),IF(G170="VFD",(1*N170),0))</f>
        <v>0</v>
      </c>
      <c r="P170" s="409" t="str">
        <f t="shared" ref="P170" si="1395">IF(G170="MOTOR",0.2,"0.00")</f>
        <v>0.00</v>
      </c>
      <c r="Q170" s="583">
        <v>65</v>
      </c>
      <c r="R170" s="583">
        <v>0</v>
      </c>
      <c r="S170" s="583">
        <f t="shared" ref="S170" si="1396">(Q170*1000*SQRT(R170)/143)</f>
        <v>0</v>
      </c>
      <c r="T170" s="409" t="s">
        <v>131</v>
      </c>
      <c r="U170" s="583" t="s">
        <v>333</v>
      </c>
      <c r="V170" s="409">
        <v>2.5</v>
      </c>
      <c r="W170" s="409" t="str">
        <f t="shared" ref="W170" si="1397">CONCATENATE(U170," X ",V170)</f>
        <v>3C X 2.5</v>
      </c>
      <c r="X170" s="409" t="str">
        <f t="shared" ref="X170" si="1398">(IF(J170="1Ph",W170,IF(J170="3Ph",(IF(G170="MOTOR",(CONCATENATE(W170,"+PE")),W170)))))</f>
        <v>3C X 2.5</v>
      </c>
      <c r="Y170" s="409" t="s">
        <v>358</v>
      </c>
      <c r="Z170" s="408">
        <f>IF(T170="AIR",VLOOKUP(W170,'Catalogue Aluminium'!$B$9:$G$93,2,FALSE),IF(T170="GROUND",VLOOKUP(W170,'Catalogue Aluminium'!$B$9:$G$93,3,FALSE),IF(T170="DUCT",VLOOKUP(W170,'Catalogue Aluminium'!$B$9:$G$93,4,FALSE),IF(T170="TRENCH",VLOOKUP(W170,'Catalogue Aluminium'!$B$9:$G$93,2,FALSE)))))</f>
        <v>28</v>
      </c>
      <c r="AA170" s="410">
        <f>VLOOKUP(W170,'Catalogue Aluminium'!$B$9:$G$93,5,FALSE)</f>
        <v>9.48</v>
      </c>
      <c r="AB170" s="410">
        <f>VLOOKUP(W170,'Catalogue Aluminium'!$B$9:$G$93,6,FALSE)</f>
        <v>0.1007</v>
      </c>
      <c r="AC170" s="896">
        <f>24+6</f>
        <v>30</v>
      </c>
      <c r="AD170" s="409">
        <f>40+50+38+50+17+(27+30+9+18+40+3.5)</f>
        <v>322.5</v>
      </c>
      <c r="AE170" s="409">
        <f t="shared" si="1316"/>
        <v>38</v>
      </c>
      <c r="AF170" s="409">
        <v>8</v>
      </c>
      <c r="AG170" s="409">
        <f t="shared" ref="AG170" si="1399">ROUNDUP((SUM(AC170:AF170)*0.1),0)</f>
        <v>40</v>
      </c>
      <c r="AH170" s="865">
        <f t="shared" ref="AH170" si="1400">SUM(AC170:AG170)</f>
        <v>438.5</v>
      </c>
      <c r="AI170" s="408">
        <f>IF(T170="AIR",'Catalogue Aluminium'!$K$9,IF(T170="TRENCH",'Catalogue Aluminium'!$K$12,"NA"))</f>
        <v>0.89</v>
      </c>
      <c r="AJ170" s="407">
        <f>IF(T170="Air",(IF(U170="1C",'Catalogue Aluminium'!$L$9,'Catalogue Aluminium'!$M$9)),IF(T170="DUCT",(IF($U170="1C",'Catalogue Aluminium'!$L$10,'Catalogue Aluminium'!$M$10)),IF(T170="GROUND",(IF($U170="1C",'Catalogue Aluminium'!$L$11,'Catalogue Aluminium'!$M$11)),IF(T170="TRENCH",(IF($U170="1C",'Catalogue Aluminium'!$L$12,'Catalogue Aluminium'!$M$12))))))</f>
        <v>0.66</v>
      </c>
      <c r="AK170" s="408" t="str">
        <f>IF(T170="Air",'Catalogue Aluminium'!$N$9,IF(T170="GROUND",'Catalogue Aluminium'!$N$10,IF(T170="DUCT",'Catalogue Aluminium'!$N$11,IF(T170="TRENCH",'Catalogue Aluminium'!$N$12,"NA"))))</f>
        <v>NA</v>
      </c>
      <c r="AL170" s="408" t="str">
        <f>IF(T170="Air",(IF(U170="1C",'Catalogue Aluminium'!$O$9,'Catalogue Aluminium'!$P$9)),IF(T170="DUCT",(IF($U170="1C",'Catalogue Aluminium'!$O$10,'Catalogue Aluminium'!$P$10)),IF(T170="GROUND",(IF($U170="1C",'Catalogue Aluminium'!$O$11,'Catalogue Aluminium'!$P$11)),IF(T170="TRENCH",(IF($U170="1C",'Catalogue Aluminium'!$O$12,'Catalogue Aluminium'!$P$12))))))</f>
        <v>NA</v>
      </c>
      <c r="AM170" s="408" t="str">
        <f>IF(T170="AIR","NA",IF(T170="TRENCH","NA",IF(T170="DUCT",IF(U170="1C",VLOOKUP(V170,'Catalogue Aluminium'!$Q$9:$S$28,2,FALSE),VLOOKUP(V170,'Catalogue Aluminium'!$Q$9:$S$28,3)),IF(T170="GROUND",IF(U170="1C",VLOOKUP(V170,'Catalogue Aluminium'!$Q$9:$S$28,2,FALSE),VLOOKUP(V170,'Catalogue Aluminium'!$Q$9:$S$28,3))))))</f>
        <v>NA</v>
      </c>
      <c r="AN170" s="584">
        <f t="shared" ref="AN170" si="1401">IF(T170="AIR",AI170*AJ170,IF(T170="TRENCH",AI170*AJ170,IF(T170="DUCT",AJ170*AK170*AL170*AM170,IF(T170="GROUND",AJ170*AK170*AL170*AM170))))</f>
        <v>0.58740000000000003</v>
      </c>
      <c r="AO170" s="583">
        <f t="shared" ref="AO170" si="1402">Z170*AN170</f>
        <v>16.447200000000002</v>
      </c>
      <c r="AP170" s="585">
        <f t="shared" si="1303"/>
        <v>1</v>
      </c>
      <c r="AQ170" s="583" t="str">
        <f t="shared" ref="AQ170" si="1403">IF(AO170*AP170&gt;=N170,"YES","NO")</f>
        <v>YES</v>
      </c>
      <c r="AR170" s="584">
        <f t="shared" ref="AR170" si="1404">SQRT(3)*AH170*N170*((AA170*L170)+(AB170*SIN(ACOS(L170))))*100/(AP170*K170*1000)</f>
        <v>0.86528702449657713</v>
      </c>
      <c r="AS170" s="409" t="str">
        <f t="shared" ref="AS170" si="1405">IF(G170="INCOMER",(IF(AR170&lt;=2,"YES","NO")),IF(G170="POWER",(IF(AR170&lt;=2.5,"YES","NO")),IF(G170="MOTOR",(IF(AR170&lt;=3,"YES","NO")))))</f>
        <v>YES</v>
      </c>
      <c r="AT170" s="584" t="str">
        <f t="shared" si="1307"/>
        <v>NA</v>
      </c>
      <c r="AU170" s="409" t="str">
        <f t="shared" si="1308"/>
        <v>NA</v>
      </c>
      <c r="AV170" s="586" t="str">
        <f t="shared" si="1309"/>
        <v>1R x 0.6/1kV x 3C x 2.5 Sqmm</v>
      </c>
      <c r="AW170" s="586" t="str">
        <f t="shared" si="1310"/>
        <v>1R x 0.6/1kV x 3C x 2.5 Sqmm</v>
      </c>
      <c r="AX170" s="409">
        <f t="shared" si="1311"/>
        <v>438.5</v>
      </c>
      <c r="AY170" s="866"/>
      <c r="AZ170" s="866">
        <f t="shared" si="1312"/>
        <v>2</v>
      </c>
      <c r="BA170" s="867" t="str">
        <f t="shared" si="1313"/>
        <v>ACDEE1E2E3E4E5</v>
      </c>
      <c r="BB170" s="868">
        <f>VLOOKUP(W170,'Catalogue Aluminium'!$B$9:$H$93,7,FALSE)</f>
        <v>14</v>
      </c>
      <c r="BC170" s="789">
        <f t="shared" si="1314"/>
        <v>14</v>
      </c>
      <c r="BE170" s="587"/>
      <c r="BF170" s="587">
        <v>1</v>
      </c>
      <c r="BG170" s="587"/>
      <c r="BH170" s="587"/>
      <c r="BI170" s="587">
        <v>1</v>
      </c>
      <c r="BJ170" s="587">
        <v>1</v>
      </c>
      <c r="BK170" s="587"/>
      <c r="BL170" s="587"/>
      <c r="BM170" s="587"/>
      <c r="BN170" s="587">
        <v>1</v>
      </c>
      <c r="BO170" s="587"/>
      <c r="BP170" s="587">
        <v>1</v>
      </c>
      <c r="BQ170" s="587">
        <v>1</v>
      </c>
      <c r="BR170" s="587">
        <v>1</v>
      </c>
      <c r="BS170" s="587">
        <v>1</v>
      </c>
      <c r="BT170" s="587">
        <v>1</v>
      </c>
      <c r="BU170" s="587"/>
      <c r="BV170" s="587"/>
      <c r="BW170" s="587"/>
      <c r="BX170" s="587"/>
      <c r="BY170" s="587"/>
      <c r="BZ170" s="587"/>
      <c r="CA170" s="587"/>
      <c r="CB170" s="587"/>
      <c r="CC170" s="587"/>
      <c r="CD170" s="587"/>
      <c r="CE170" s="587"/>
      <c r="CF170" s="587"/>
      <c r="CG170" s="587"/>
      <c r="CH170" s="587"/>
      <c r="CI170" s="587"/>
      <c r="CJ170" s="587"/>
      <c r="CK170" s="587"/>
      <c r="CL170" s="587"/>
      <c r="CM170" s="587"/>
      <c r="CN170" s="587"/>
      <c r="CO170" s="587"/>
      <c r="CP170" s="587"/>
      <c r="CQ170" s="587"/>
      <c r="CR170" s="587"/>
      <c r="CS170" s="587"/>
      <c r="CT170" s="587"/>
      <c r="CU170" s="587"/>
      <c r="CV170" s="587"/>
      <c r="CW170" s="587"/>
      <c r="CX170" s="587"/>
      <c r="CY170" s="587"/>
      <c r="CZ170" s="587"/>
      <c r="DA170" s="587"/>
      <c r="DB170" s="587"/>
      <c r="DC170" s="587"/>
      <c r="DD170" s="587"/>
      <c r="DE170" s="587"/>
      <c r="DF170" s="587"/>
      <c r="DG170" s="587"/>
      <c r="DH170" s="587"/>
      <c r="DI170" s="587"/>
      <c r="DJ170" s="587"/>
      <c r="DK170" s="587"/>
      <c r="DL170" s="587"/>
      <c r="DM170" s="587"/>
      <c r="DN170" s="587"/>
      <c r="DO170" s="587"/>
      <c r="DP170" s="587"/>
      <c r="DQ170" s="587"/>
      <c r="DR170" s="587"/>
      <c r="DS170" s="587"/>
      <c r="DT170" s="587"/>
      <c r="DU170" s="587"/>
      <c r="DW170" s="587">
        <f t="shared" ref="DW170" si="1406">IF(BE170=1,($BC170*BE170),0)</f>
        <v>0</v>
      </c>
      <c r="DX170" s="587">
        <f t="shared" ref="DX170" si="1407">IF(BF170=1,($BC170*BF170),0)</f>
        <v>14</v>
      </c>
      <c r="DY170" s="587">
        <f t="shared" ref="DY170" si="1408">IF(BG170=1,($BC170*BG170),0)</f>
        <v>0</v>
      </c>
      <c r="DZ170" s="587">
        <f t="shared" ref="DZ170" si="1409">IF(BH170=1,($BC170*BH170),0)</f>
        <v>0</v>
      </c>
      <c r="EA170" s="587">
        <f t="shared" ref="EA170" si="1410">IF(BI170=1,($BC170*BI170),0)</f>
        <v>14</v>
      </c>
      <c r="EB170" s="587">
        <f t="shared" ref="EB170" si="1411">IF(BJ170=1,($BC170*BJ170),0)</f>
        <v>14</v>
      </c>
      <c r="EC170" s="587">
        <f t="shared" ref="EC170" si="1412">IF(BK170=1,($BC170*BK170),0)</f>
        <v>0</v>
      </c>
      <c r="ED170" s="587">
        <f t="shared" ref="ED170" si="1413">IF(BL170=1,($BC170*BL170),0)</f>
        <v>0</v>
      </c>
      <c r="EE170" s="587">
        <f t="shared" ref="EE170" si="1414">IF(BM170=1,($BC170*BM170),0)</f>
        <v>0</v>
      </c>
      <c r="EF170" s="587">
        <f t="shared" ref="EF170" si="1415">IF(BN170=1,($BC170*BN170),0)</f>
        <v>14</v>
      </c>
      <c r="EG170" s="587">
        <f t="shared" ref="EG170" si="1416">IF(BO170=1,($BC170*BO170),0)</f>
        <v>0</v>
      </c>
      <c r="EH170" s="587">
        <f t="shared" ref="EH170" si="1417">IF(BP170=1,($BC170*BP170),0)</f>
        <v>14</v>
      </c>
      <c r="EI170" s="587">
        <f t="shared" ref="EI170" si="1418">IF(BQ170=1,($BC170*BQ170),0)</f>
        <v>14</v>
      </c>
      <c r="EJ170" s="587">
        <f t="shared" ref="EJ170" si="1419">IF(BR170=1,($BC170*BR170),0)</f>
        <v>14</v>
      </c>
      <c r="EK170" s="587">
        <f t="shared" ref="EK170" si="1420">IF(BS170=1,($BC170*BS170),0)</f>
        <v>14</v>
      </c>
      <c r="EL170" s="587">
        <f t="shared" ref="EL170" si="1421">IF(BT170=1,($BC170*BT170),0)</f>
        <v>14</v>
      </c>
      <c r="EM170" s="587">
        <f t="shared" ref="EM170" si="1422">IF(BU170=1,($BC170*BU170),0)</f>
        <v>0</v>
      </c>
      <c r="EN170" s="587">
        <f t="shared" ref="EN170" si="1423">IF(BV170=1,($BC170*BV170),0)</f>
        <v>0</v>
      </c>
      <c r="EO170" s="587">
        <f t="shared" ref="EO170" si="1424">IF(BW170=1,($BC170*BW170),0)</f>
        <v>0</v>
      </c>
      <c r="EP170" s="587">
        <f t="shared" ref="EP170" si="1425">IF(BX170=1,($BC170*BX170),0)</f>
        <v>0</v>
      </c>
      <c r="EQ170" s="587">
        <f t="shared" ref="EQ170" si="1426">IF(BY170=1,($BC170*BY170),0)</f>
        <v>0</v>
      </c>
      <c r="ER170" s="587">
        <f t="shared" ref="ER170" si="1427">IF(BZ170=1,($BC170*BZ170),0)</f>
        <v>0</v>
      </c>
      <c r="ES170" s="587">
        <f t="shared" ref="ES170" si="1428">IF(CA170=1,($BC170*CA170),0)</f>
        <v>0</v>
      </c>
      <c r="ET170" s="587">
        <f t="shared" si="934"/>
        <v>0</v>
      </c>
      <c r="EU170" s="587">
        <f t="shared" ref="EU170" si="1429">IF(CC170=1,($BC170*CC170),0)</f>
        <v>0</v>
      </c>
      <c r="EV170" s="587">
        <f t="shared" ref="EV170" si="1430">IF(CD170=1,($BC170*CD170),0)</f>
        <v>0</v>
      </c>
      <c r="EW170" s="587">
        <f t="shared" ref="EW170" si="1431">IF(CE170=1,($BC170*CE170),0)</f>
        <v>0</v>
      </c>
      <c r="EX170" s="587">
        <f t="shared" ref="EX170" si="1432">IF(CF170=1,($BC170*CF170),0)</f>
        <v>0</v>
      </c>
      <c r="EY170" s="587">
        <f t="shared" ref="EY170" si="1433">IF(CG170=1,($BC170*CG170),0)</f>
        <v>0</v>
      </c>
      <c r="EZ170" s="587">
        <f t="shared" ref="EZ170" si="1434">IF(CH170=1,($BC170*CH170),0)</f>
        <v>0</v>
      </c>
      <c r="FA170" s="587">
        <f t="shared" ref="FA170" si="1435">IF(CI170=1,($BC170*CI170),0)</f>
        <v>0</v>
      </c>
      <c r="FB170" s="587">
        <f t="shared" ref="FB170" si="1436">IF(CJ170=1,($BC170*CJ170),0)</f>
        <v>0</v>
      </c>
      <c r="FC170" s="587">
        <f t="shared" ref="FC170" si="1437">IF(CK170=1,($BC170*CK170),0)</f>
        <v>0</v>
      </c>
      <c r="FD170" s="587">
        <f t="shared" ref="FD170" si="1438">IF(CL170=1,($BC170*CL170),0)</f>
        <v>0</v>
      </c>
      <c r="FE170" s="587">
        <f t="shared" ref="FE170" si="1439">IF(CM170=1,($BC170*CM170),0)</f>
        <v>0</v>
      </c>
      <c r="FF170" s="587">
        <f t="shared" ref="FF170" si="1440">IF(CN170=1,($BC170*CN170),0)</f>
        <v>0</v>
      </c>
      <c r="FG170" s="587">
        <f t="shared" ref="FG170" si="1441">IF(CO170=1,($BC170*CO170),0)</f>
        <v>0</v>
      </c>
      <c r="FH170" s="587">
        <f t="shared" ref="FH170" si="1442">IF(CP170=1,($BC170*CP170),0)</f>
        <v>0</v>
      </c>
      <c r="FI170" s="587">
        <f t="shared" ref="FI170" si="1443">IF(CQ170=1,($BC170*CQ170),0)</f>
        <v>0</v>
      </c>
      <c r="FJ170" s="587">
        <f t="shared" ref="FJ170" si="1444">IF(CR170=1,($BC170*CR170),0)</f>
        <v>0</v>
      </c>
      <c r="FK170" s="587">
        <f t="shared" ref="FK170" si="1445">IF(CS170=1,($BC170*CS170),0)</f>
        <v>0</v>
      </c>
      <c r="FL170" s="587">
        <f t="shared" ref="FL170" si="1446">IF(CT170=1,($BC170*CT170),0)</f>
        <v>0</v>
      </c>
      <c r="FM170" s="587">
        <f t="shared" ref="FM170" si="1447">IF(CU170=1,($BC170*CU170),0)</f>
        <v>0</v>
      </c>
      <c r="FN170" s="587">
        <f t="shared" ref="FN170" si="1448">IF(CV170=1,($BC170*CV170),0)</f>
        <v>0</v>
      </c>
      <c r="FO170" s="587">
        <f t="shared" ref="FO170" si="1449">IF(CW170=1,($BC170*CW170),0)</f>
        <v>0</v>
      </c>
      <c r="FP170" s="587">
        <f t="shared" ref="FP170" si="1450">IF(CX170=1,($BC170*CX170),0)</f>
        <v>0</v>
      </c>
      <c r="FQ170" s="587">
        <f t="shared" ref="FQ170" si="1451">IF(CY170=1,($BC170*CY170),0)</f>
        <v>0</v>
      </c>
      <c r="FR170" s="587">
        <f t="shared" ref="FR170" si="1452">IF(CZ170=1,($BC170*CZ170),0)</f>
        <v>0</v>
      </c>
      <c r="FS170" s="587">
        <f t="shared" ref="FS170" si="1453">IF(DA170=1,($BC170*DA170),0)</f>
        <v>0</v>
      </c>
      <c r="FT170" s="587">
        <f t="shared" ref="FT170" si="1454">IF(DB170=1,($BC170*DB170),0)</f>
        <v>0</v>
      </c>
      <c r="FU170" s="587">
        <f t="shared" si="860"/>
        <v>0</v>
      </c>
      <c r="FV170" s="587">
        <f t="shared" si="861"/>
        <v>0</v>
      </c>
      <c r="FW170" s="587">
        <f t="shared" si="862"/>
        <v>0</v>
      </c>
      <c r="FX170" s="587">
        <f t="shared" si="863"/>
        <v>0</v>
      </c>
      <c r="FY170" s="587">
        <f t="shared" ref="FY170" si="1455">IF(DG170=1,($BC170*DG170),0)</f>
        <v>0</v>
      </c>
      <c r="FZ170" s="587">
        <f t="shared" ref="FZ170" si="1456">IF(DH170=1,($BC170*DH170),0)</f>
        <v>0</v>
      </c>
      <c r="GA170" s="587">
        <f t="shared" ref="GA170" si="1457">IF(DI170=1,($BC170*DI170),0)</f>
        <v>0</v>
      </c>
      <c r="GB170" s="587">
        <f t="shared" ref="GB170" si="1458">IF(DJ170=1,($BC170*DJ170),0)</f>
        <v>0</v>
      </c>
      <c r="GC170" s="587">
        <f t="shared" ref="GC170" si="1459">IF(DK170=1,($BC170*DK170),0)</f>
        <v>0</v>
      </c>
      <c r="GD170" s="587">
        <f t="shared" ref="GD170" si="1460">IF(DL170=1,($BC170*DL170),0)</f>
        <v>0</v>
      </c>
      <c r="GE170" s="587">
        <f t="shared" ref="GE170" si="1461">IF(DM170=1,($BC170*DM170),0)</f>
        <v>0</v>
      </c>
      <c r="GF170" s="587">
        <f t="shared" ref="GF170" si="1462">IF(DN170=1,($BC170*DN170),0)</f>
        <v>0</v>
      </c>
      <c r="GG170" s="587">
        <f t="shared" ref="GG170" si="1463">IF(DO170=1,($BC170*DO170),0)</f>
        <v>0</v>
      </c>
      <c r="GH170" s="587">
        <f t="shared" ref="GH170" si="1464">IF(DP170=1,($BC170*DP170),0)</f>
        <v>0</v>
      </c>
      <c r="GI170" s="587">
        <f t="shared" ref="GI170" si="1465">IF(DQ170=1,($BC170*DQ170),0)</f>
        <v>0</v>
      </c>
      <c r="GJ170" s="587">
        <f t="shared" ref="GJ170" si="1466">IF(DR170=1,($BC170*DR170),0)</f>
        <v>0</v>
      </c>
      <c r="GK170" s="587">
        <f t="shared" ref="GK170" si="1467">IF(DS170=1,($BC170*DS170),0)</f>
        <v>0</v>
      </c>
      <c r="GL170" s="587">
        <f t="shared" si="975"/>
        <v>0</v>
      </c>
      <c r="GM170" s="587">
        <f t="shared" ref="GM170" si="1468">IF(DU170=1,($BC170*DU170),0)</f>
        <v>0</v>
      </c>
    </row>
    <row r="171" spans="1:195" ht="20.100000000000001" customHeight="1">
      <c r="A171" s="337">
        <f>1+A170</f>
        <v>124</v>
      </c>
      <c r="B171" s="545" t="s">
        <v>490</v>
      </c>
      <c r="C171" s="337" t="s">
        <v>636</v>
      </c>
      <c r="D171" s="427" t="s">
        <v>491</v>
      </c>
      <c r="E171" s="453" t="s">
        <v>345</v>
      </c>
      <c r="F171" s="337" t="s">
        <v>28</v>
      </c>
      <c r="G171" s="337" t="s">
        <v>350</v>
      </c>
      <c r="H171" s="350">
        <v>75</v>
      </c>
      <c r="I171" s="337" t="s">
        <v>330</v>
      </c>
      <c r="J171" s="337" t="s">
        <v>331</v>
      </c>
      <c r="K171" s="349">
        <v>400</v>
      </c>
      <c r="L171" s="343">
        <v>0.85</v>
      </c>
      <c r="M171" s="350">
        <v>0.95</v>
      </c>
      <c r="N171" s="342">
        <f t="shared" si="1292"/>
        <v>134.06359261827987</v>
      </c>
      <c r="O171" s="342">
        <f t="shared" si="1293"/>
        <v>804.38155570967922</v>
      </c>
      <c r="P171" s="343">
        <f t="shared" si="1294"/>
        <v>0.2</v>
      </c>
      <c r="Q171" s="350">
        <v>65</v>
      </c>
      <c r="R171" s="350">
        <v>0</v>
      </c>
      <c r="S171" s="350">
        <f t="shared" si="1295"/>
        <v>0</v>
      </c>
      <c r="T171" s="343" t="s">
        <v>131</v>
      </c>
      <c r="U171" s="350" t="s">
        <v>333</v>
      </c>
      <c r="V171" s="343">
        <v>150</v>
      </c>
      <c r="W171" s="343" t="str">
        <f t="shared" si="1296"/>
        <v>3C X 150</v>
      </c>
      <c r="X171" s="343" t="str">
        <f t="shared" si="1297"/>
        <v>3C X 150+PE</v>
      </c>
      <c r="Y171" s="343" t="s">
        <v>358</v>
      </c>
      <c r="Z171" s="344">
        <f>IF(T171="AIR",VLOOKUP(W171,'Catalogue Aluminium'!$B$9:$G$93,2,FALSE),IF(T171="GROUND",VLOOKUP(W171,'Catalogue Aluminium'!$B$9:$G$93,3,FALSE),IF(T171="DUCT",VLOOKUP(W171,'Catalogue Aluminium'!$B$9:$G$93,4,FALSE),IF(T171="TRENCH",VLOOKUP(W171,'Catalogue Aluminium'!$B$9:$G$93,2,FALSE)))))</f>
        <v>293</v>
      </c>
      <c r="AA171" s="345">
        <f>VLOOKUP(W171,'Catalogue Aluminium'!$B$9:$G$93,5,FALSE)</f>
        <v>0.26400000000000001</v>
      </c>
      <c r="AB171" s="345">
        <f>VLOOKUP(W171,'Catalogue Aluminium'!$B$9:$G$93,6,FALSE)</f>
        <v>7.3200000000000001E-2</v>
      </c>
      <c r="AC171" s="457">
        <f t="shared" si="1298"/>
        <v>38</v>
      </c>
      <c r="AD171" s="401">
        <f>40+50+38+50+17+(27+30+5)</f>
        <v>257</v>
      </c>
      <c r="AE171" s="401">
        <f t="shared" si="1316"/>
        <v>38</v>
      </c>
      <c r="AF171" s="401">
        <v>8</v>
      </c>
      <c r="AG171" s="401">
        <f t="shared" si="1299"/>
        <v>35</v>
      </c>
      <c r="AH171" s="347">
        <f t="shared" si="1300"/>
        <v>376</v>
      </c>
      <c r="AI171" s="344">
        <f>IF(T171="AIR",'Catalogue Aluminium'!$K$9,IF(T171="TRENCH",'Catalogue Aluminium'!$K$12,"NA"))</f>
        <v>0.89</v>
      </c>
      <c r="AJ171" s="342">
        <f>IF(T171="Air",(IF(U171="1C",'Catalogue Aluminium'!$L$9,'Catalogue Aluminium'!$M$9)),IF(T171="DUCT",(IF($U171="1C",'Catalogue Aluminium'!$L$10,'Catalogue Aluminium'!$M$10)),IF(T171="GROUND",(IF($U171="1C",'Catalogue Aluminium'!$L$11,'Catalogue Aluminium'!$M$11)),IF(T171="TRENCH",(IF($U171="1C",'Catalogue Aluminium'!$L$12,'Catalogue Aluminium'!$M$12))))))</f>
        <v>0.66</v>
      </c>
      <c r="AK171" s="344" t="str">
        <f>IF(T171="Air",'Catalogue Aluminium'!$N$9,IF(T171="GROUND",'Catalogue Aluminium'!$N$10,IF(T171="DUCT",'Catalogue Aluminium'!$N$11,IF(T171="TRENCH",'Catalogue Aluminium'!$N$12,"NA"))))</f>
        <v>NA</v>
      </c>
      <c r="AL171" s="344" t="str">
        <f>IF(T171="Air",(IF(U171="1C",'Catalogue Aluminium'!$O$9,'Catalogue Aluminium'!$P$9)),IF(T171="DUCT",(IF($U171="1C",'Catalogue Aluminium'!$O$10,'Catalogue Aluminium'!$P$10)),IF(T171="GROUND",(IF($U171="1C",'Catalogue Aluminium'!$O$11,'Catalogue Aluminium'!$P$11)),IF(T171="TRENCH",(IF($U171="1C",'Catalogue Aluminium'!$O$12,'Catalogue Aluminium'!$P$12))))))</f>
        <v>NA</v>
      </c>
      <c r="AM171" s="344" t="str">
        <f>IF(T171="AIR","NA",IF(T171="TRENCH","NA",IF(T171="DUCT",IF(U171="1C",VLOOKUP(V171,'Catalogue Aluminium'!$Q$9:$S$28,2,FALSE),VLOOKUP(V171,'Catalogue Aluminium'!$Q$9:$S$28,3)),IF(T171="GROUND",IF(U171="1C",VLOOKUP(V171,'Catalogue Aluminium'!$Q$9:$S$28,2,FALSE),VLOOKUP(V171,'Catalogue Aluminium'!$Q$9:$S$28,3))))))</f>
        <v>NA</v>
      </c>
      <c r="AN171" s="351">
        <f t="shared" si="1301"/>
        <v>0.58740000000000003</v>
      </c>
      <c r="AO171" s="350">
        <f t="shared" si="1302"/>
        <v>172.10820000000001</v>
      </c>
      <c r="AP171" s="349">
        <v>2</v>
      </c>
      <c r="AQ171" s="350" t="str">
        <f t="shared" si="1304"/>
        <v>YES</v>
      </c>
      <c r="AR171" s="351">
        <f t="shared" si="1305"/>
        <v>2.869854266884837</v>
      </c>
      <c r="AS171" s="343" t="str">
        <f t="shared" si="1306"/>
        <v>YES</v>
      </c>
      <c r="AT171" s="351">
        <f t="shared" si="1307"/>
        <v>8.1538627500233307</v>
      </c>
      <c r="AU171" s="343" t="str">
        <f t="shared" si="1308"/>
        <v>YES</v>
      </c>
      <c r="AV171" s="354" t="str">
        <f t="shared" si="1309"/>
        <v>2R x 0.6/1kV x 3C x 150 Sqmm</v>
      </c>
      <c r="AW171" s="354" t="str">
        <f t="shared" si="1310"/>
        <v>2R x 0.6/1kV x 3C x 150+PE Sqmm</v>
      </c>
      <c r="AX171" s="343">
        <f t="shared" si="1311"/>
        <v>752</v>
      </c>
      <c r="AY171" s="355"/>
      <c r="AZ171" s="355">
        <f t="shared" si="1312"/>
        <v>4</v>
      </c>
      <c r="BA171" s="356" t="str">
        <f t="shared" si="1313"/>
        <v>ACDEE1E2E3</v>
      </c>
      <c r="BB171" s="501">
        <f>VLOOKUP(W171,'Catalogue Aluminium'!$B$9:$H$93,7,FALSE)</f>
        <v>39</v>
      </c>
      <c r="BC171" s="328">
        <f t="shared" si="1314"/>
        <v>78</v>
      </c>
      <c r="BE171" s="336"/>
      <c r="BF171" s="336">
        <v>1</v>
      </c>
      <c r="BG171" s="336"/>
      <c r="BH171" s="336"/>
      <c r="BI171" s="336">
        <v>1</v>
      </c>
      <c r="BJ171" s="336">
        <v>1</v>
      </c>
      <c r="BK171" s="336"/>
      <c r="BL171" s="336"/>
      <c r="BM171" s="336"/>
      <c r="BN171" s="336">
        <v>1</v>
      </c>
      <c r="BO171" s="336"/>
      <c r="BP171" s="336">
        <v>1</v>
      </c>
      <c r="BQ171" s="336">
        <v>1</v>
      </c>
      <c r="BR171" s="336">
        <v>1</v>
      </c>
      <c r="BS171" s="336"/>
      <c r="BT171" s="336"/>
      <c r="BU171" s="336"/>
      <c r="BV171" s="336"/>
      <c r="BW171" s="336"/>
      <c r="BX171" s="336"/>
      <c r="BY171" s="336"/>
      <c r="BZ171" s="336"/>
      <c r="CA171" s="336"/>
      <c r="CB171" s="336"/>
      <c r="CC171" s="336"/>
      <c r="CD171" s="336"/>
      <c r="CE171" s="336"/>
      <c r="CF171" s="336"/>
      <c r="CG171" s="336"/>
      <c r="CH171" s="336"/>
      <c r="CI171" s="336"/>
      <c r="CJ171" s="336"/>
      <c r="CK171" s="336"/>
      <c r="CL171" s="336"/>
      <c r="CM171" s="336"/>
      <c r="CN171" s="336"/>
      <c r="CO171" s="336"/>
      <c r="CP171" s="336"/>
      <c r="CQ171" s="336"/>
      <c r="CR171" s="336"/>
      <c r="CS171" s="336"/>
      <c r="CT171" s="336"/>
      <c r="CU171" s="336"/>
      <c r="CV171" s="336"/>
      <c r="CW171" s="336"/>
      <c r="CX171" s="336"/>
      <c r="CY171" s="336"/>
      <c r="CZ171" s="336"/>
      <c r="DA171" s="336"/>
      <c r="DB171" s="336"/>
      <c r="DC171" s="336"/>
      <c r="DD171" s="336"/>
      <c r="DE171" s="336"/>
      <c r="DF171" s="336"/>
      <c r="DG171" s="336"/>
      <c r="DH171" s="336"/>
      <c r="DI171" s="336"/>
      <c r="DJ171" s="336"/>
      <c r="DK171" s="336"/>
      <c r="DL171" s="336"/>
      <c r="DM171" s="336"/>
      <c r="DN171" s="336"/>
      <c r="DO171" s="336"/>
      <c r="DP171" s="336"/>
      <c r="DQ171" s="336"/>
      <c r="DR171" s="336"/>
      <c r="DS171" s="336"/>
      <c r="DT171" s="336"/>
      <c r="DU171" s="336"/>
      <c r="DW171" s="336">
        <f t="shared" si="1012"/>
        <v>0</v>
      </c>
      <c r="DX171" s="336">
        <f t="shared" si="1004"/>
        <v>78</v>
      </c>
      <c r="DY171" s="336">
        <f t="shared" si="1005"/>
        <v>0</v>
      </c>
      <c r="DZ171" s="336">
        <f t="shared" si="1006"/>
        <v>0</v>
      </c>
      <c r="EA171" s="336">
        <f t="shared" si="1007"/>
        <v>78</v>
      </c>
      <c r="EB171" s="336">
        <f t="shared" si="1008"/>
        <v>78</v>
      </c>
      <c r="EC171" s="336">
        <f t="shared" si="1009"/>
        <v>0</v>
      </c>
      <c r="ED171" s="336">
        <f t="shared" si="919"/>
        <v>0</v>
      </c>
      <c r="EE171" s="336">
        <f t="shared" si="920"/>
        <v>0</v>
      </c>
      <c r="EF171" s="336">
        <f t="shared" si="921"/>
        <v>78</v>
      </c>
      <c r="EG171" s="336">
        <f t="shared" si="922"/>
        <v>0</v>
      </c>
      <c r="EH171" s="336">
        <f t="shared" si="923"/>
        <v>78</v>
      </c>
      <c r="EI171" s="336">
        <f t="shared" si="924"/>
        <v>78</v>
      </c>
      <c r="EJ171" s="336">
        <f t="shared" si="925"/>
        <v>78</v>
      </c>
      <c r="EK171" s="336">
        <f t="shared" si="926"/>
        <v>0</v>
      </c>
      <c r="EL171" s="336">
        <f t="shared" si="927"/>
        <v>0</v>
      </c>
      <c r="EM171" s="336">
        <f t="shared" si="928"/>
        <v>0</v>
      </c>
      <c r="EN171" s="336">
        <f t="shared" si="929"/>
        <v>0</v>
      </c>
      <c r="EO171" s="336">
        <f t="shared" si="930"/>
        <v>0</v>
      </c>
      <c r="EP171" s="336">
        <f t="shared" si="931"/>
        <v>0</v>
      </c>
      <c r="EQ171" s="336">
        <f t="shared" si="932"/>
        <v>0</v>
      </c>
      <c r="ER171" s="336">
        <f t="shared" si="933"/>
        <v>0</v>
      </c>
      <c r="ES171" s="336">
        <f t="shared" si="934"/>
        <v>0</v>
      </c>
      <c r="ET171" s="336">
        <f t="shared" si="934"/>
        <v>0</v>
      </c>
      <c r="EU171" s="336">
        <f t="shared" si="935"/>
        <v>0</v>
      </c>
      <c r="EV171" s="336">
        <f t="shared" si="936"/>
        <v>0</v>
      </c>
      <c r="EW171" s="336">
        <f t="shared" si="937"/>
        <v>0</v>
      </c>
      <c r="EX171" s="336">
        <f t="shared" si="938"/>
        <v>0</v>
      </c>
      <c r="EY171" s="336">
        <f t="shared" si="939"/>
        <v>0</v>
      </c>
      <c r="EZ171" s="336">
        <f t="shared" si="940"/>
        <v>0</v>
      </c>
      <c r="FA171" s="336">
        <f t="shared" si="941"/>
        <v>0</v>
      </c>
      <c r="FB171" s="336">
        <f t="shared" si="942"/>
        <v>0</v>
      </c>
      <c r="FC171" s="336">
        <f t="shared" si="943"/>
        <v>0</v>
      </c>
      <c r="FD171" s="336">
        <f t="shared" si="944"/>
        <v>0</v>
      </c>
      <c r="FE171" s="336">
        <f t="shared" si="945"/>
        <v>0</v>
      </c>
      <c r="FF171" s="336">
        <f t="shared" si="946"/>
        <v>0</v>
      </c>
      <c r="FG171" s="336">
        <f t="shared" si="947"/>
        <v>0</v>
      </c>
      <c r="FH171" s="336">
        <f t="shared" si="948"/>
        <v>0</v>
      </c>
      <c r="FI171" s="336">
        <f t="shared" si="949"/>
        <v>0</v>
      </c>
      <c r="FJ171" s="336">
        <f t="shared" si="950"/>
        <v>0</v>
      </c>
      <c r="FK171" s="336">
        <f t="shared" si="951"/>
        <v>0</v>
      </c>
      <c r="FL171" s="336">
        <f t="shared" si="952"/>
        <v>0</v>
      </c>
      <c r="FM171" s="336">
        <f t="shared" si="953"/>
        <v>0</v>
      </c>
      <c r="FN171" s="336">
        <f t="shared" si="954"/>
        <v>0</v>
      </c>
      <c r="FO171" s="336">
        <f t="shared" si="955"/>
        <v>0</v>
      </c>
      <c r="FP171" s="336">
        <f t="shared" si="956"/>
        <v>0</v>
      </c>
      <c r="FQ171" s="336">
        <f t="shared" si="957"/>
        <v>0</v>
      </c>
      <c r="FR171" s="336">
        <f t="shared" si="958"/>
        <v>0</v>
      </c>
      <c r="FS171" s="336">
        <f t="shared" si="959"/>
        <v>0</v>
      </c>
      <c r="FT171" s="336">
        <f t="shared" si="960"/>
        <v>0</v>
      </c>
      <c r="FU171" s="336">
        <f t="shared" si="860"/>
        <v>0</v>
      </c>
      <c r="FV171" s="336">
        <f t="shared" si="861"/>
        <v>0</v>
      </c>
      <c r="FW171" s="336">
        <f t="shared" si="862"/>
        <v>0</v>
      </c>
      <c r="FX171" s="336">
        <f t="shared" si="863"/>
        <v>0</v>
      </c>
      <c r="FY171" s="336">
        <f t="shared" si="961"/>
        <v>0</v>
      </c>
      <c r="FZ171" s="336">
        <f t="shared" si="962"/>
        <v>0</v>
      </c>
      <c r="GA171" s="336">
        <f t="shared" si="963"/>
        <v>0</v>
      </c>
      <c r="GB171" s="336">
        <f t="shared" si="964"/>
        <v>0</v>
      </c>
      <c r="GC171" s="336">
        <f t="shared" si="965"/>
        <v>0</v>
      </c>
      <c r="GD171" s="336">
        <f t="shared" si="966"/>
        <v>0</v>
      </c>
      <c r="GE171" s="336">
        <f t="shared" si="967"/>
        <v>0</v>
      </c>
      <c r="GF171" s="336">
        <f t="shared" si="968"/>
        <v>0</v>
      </c>
      <c r="GG171" s="336">
        <f t="shared" si="969"/>
        <v>0</v>
      </c>
      <c r="GH171" s="336">
        <f t="shared" si="970"/>
        <v>0</v>
      </c>
      <c r="GI171" s="336">
        <f t="shared" si="971"/>
        <v>0</v>
      </c>
      <c r="GJ171" s="336">
        <f t="shared" si="972"/>
        <v>0</v>
      </c>
      <c r="GK171" s="336">
        <f t="shared" ref="GK171:GK202" si="1469">IF(DS171=1,($BC171*DS171),0)</f>
        <v>0</v>
      </c>
      <c r="GL171" s="336">
        <f t="shared" si="975"/>
        <v>0</v>
      </c>
      <c r="GM171" s="336">
        <f t="shared" si="973"/>
        <v>0</v>
      </c>
    </row>
    <row r="172" spans="1:195" s="869" customFormat="1" ht="20.100000000000001" customHeight="1">
      <c r="A172" s="406">
        <f t="shared" si="1315"/>
        <v>125</v>
      </c>
      <c r="B172" s="894"/>
      <c r="C172" s="406" t="s">
        <v>636</v>
      </c>
      <c r="D172" s="895" t="s">
        <v>1676</v>
      </c>
      <c r="E172" s="893" t="s">
        <v>345</v>
      </c>
      <c r="F172" s="406" t="s">
        <v>28</v>
      </c>
      <c r="G172" s="406" t="s">
        <v>329</v>
      </c>
      <c r="H172" s="864">
        <v>0.06</v>
      </c>
      <c r="I172" s="406" t="s">
        <v>330</v>
      </c>
      <c r="J172" s="406" t="s">
        <v>357</v>
      </c>
      <c r="K172" s="585">
        <v>230</v>
      </c>
      <c r="L172" s="409">
        <v>0.85</v>
      </c>
      <c r="M172" s="583">
        <v>0.95</v>
      </c>
      <c r="N172" s="407">
        <f t="shared" si="1292"/>
        <v>0.32305828509893664</v>
      </c>
      <c r="O172" s="407">
        <f t="shared" si="1293"/>
        <v>0</v>
      </c>
      <c r="P172" s="409" t="str">
        <f t="shared" si="1294"/>
        <v>0.00</v>
      </c>
      <c r="Q172" s="583">
        <v>65</v>
      </c>
      <c r="R172" s="583">
        <v>0</v>
      </c>
      <c r="S172" s="583">
        <f t="shared" si="1295"/>
        <v>0</v>
      </c>
      <c r="T172" s="409" t="s">
        <v>131</v>
      </c>
      <c r="U172" s="583" t="s">
        <v>333</v>
      </c>
      <c r="V172" s="409">
        <v>2.5</v>
      </c>
      <c r="W172" s="409" t="str">
        <f t="shared" si="1296"/>
        <v>3C X 2.5</v>
      </c>
      <c r="X172" s="409" t="str">
        <f t="shared" ref="X172" si="1470">(IF(J172="1Ph",W172,IF(J172="3Ph",(IF(G172="MOTOR",(CONCATENATE(W172,"+PE")),W172)))))</f>
        <v>3C X 2.5</v>
      </c>
      <c r="Y172" s="409" t="s">
        <v>358</v>
      </c>
      <c r="Z172" s="408">
        <f>IF(T172="AIR",VLOOKUP(W172,'Catalogue Aluminium'!$B$9:$G$93,2,FALSE),IF(T172="GROUND",VLOOKUP(W172,'Catalogue Aluminium'!$B$9:$G$93,3,FALSE),IF(T172="DUCT",VLOOKUP(W172,'Catalogue Aluminium'!$B$9:$G$93,4,FALSE),IF(T172="TRENCH",VLOOKUP(W172,'Catalogue Aluminium'!$B$9:$G$93,2,FALSE)))))</f>
        <v>28</v>
      </c>
      <c r="AA172" s="410">
        <f>VLOOKUP(W172,'Catalogue Aluminium'!$B$9:$G$93,5,FALSE)</f>
        <v>9.48</v>
      </c>
      <c r="AB172" s="410">
        <f>VLOOKUP(W172,'Catalogue Aluminium'!$B$9:$G$93,6,FALSE)</f>
        <v>0.1007</v>
      </c>
      <c r="AC172" s="896">
        <f t="shared" si="1298"/>
        <v>38</v>
      </c>
      <c r="AD172" s="409">
        <f>40+50+38+50+17+(27+30+5)</f>
        <v>257</v>
      </c>
      <c r="AE172" s="409">
        <f t="shared" si="1316"/>
        <v>38</v>
      </c>
      <c r="AF172" s="409">
        <v>8</v>
      </c>
      <c r="AG172" s="409">
        <f t="shared" ref="AG172" si="1471">ROUNDUP((SUM(AC172:AF172)*0.1),0)</f>
        <v>35</v>
      </c>
      <c r="AH172" s="865">
        <f t="shared" ref="AH172" si="1472">SUM(AC172:AG172)</f>
        <v>376</v>
      </c>
      <c r="AI172" s="408">
        <f>IF(T172="AIR",'Catalogue Aluminium'!$K$9,IF(T172="TRENCH",'Catalogue Aluminium'!$K$12,"NA"))</f>
        <v>0.89</v>
      </c>
      <c r="AJ172" s="407">
        <f>IF(T172="Air",(IF(U172="1C",'Catalogue Aluminium'!$L$9,'Catalogue Aluminium'!$M$9)),IF(T172="DUCT",(IF($U172="1C",'Catalogue Aluminium'!$L$10,'Catalogue Aluminium'!$M$10)),IF(T172="GROUND",(IF($U172="1C",'Catalogue Aluminium'!$L$11,'Catalogue Aluminium'!$M$11)),IF(T172="TRENCH",(IF($U172="1C",'Catalogue Aluminium'!$L$12,'Catalogue Aluminium'!$M$12))))))</f>
        <v>0.66</v>
      </c>
      <c r="AK172" s="408" t="str">
        <f>IF(T172="Air",'Catalogue Aluminium'!$N$9,IF(T172="GROUND",'Catalogue Aluminium'!$N$10,IF(T172="DUCT",'Catalogue Aluminium'!$N$11,IF(T172="TRENCH",'Catalogue Aluminium'!$N$12,"NA"))))</f>
        <v>NA</v>
      </c>
      <c r="AL172" s="408" t="str">
        <f>IF(T172="Air",(IF(U172="1C",'Catalogue Aluminium'!$O$9,'Catalogue Aluminium'!$P$9)),IF(T172="DUCT",(IF($U172="1C",'Catalogue Aluminium'!$O$10,'Catalogue Aluminium'!$P$10)),IF(T172="GROUND",(IF($U172="1C",'Catalogue Aluminium'!$O$11,'Catalogue Aluminium'!$P$11)),IF(T172="TRENCH",(IF($U172="1C",'Catalogue Aluminium'!$O$12,'Catalogue Aluminium'!$P$12))))))</f>
        <v>NA</v>
      </c>
      <c r="AM172" s="408" t="str">
        <f>IF(T172="AIR","NA",IF(T172="TRENCH","NA",IF(T172="DUCT",IF(U172="1C",VLOOKUP(V172,'Catalogue Aluminium'!$Q$9:$S$28,2,FALSE),VLOOKUP(V172,'Catalogue Aluminium'!$Q$9:$S$28,3)),IF(T172="GROUND",IF(U172="1C",VLOOKUP(V172,'Catalogue Aluminium'!$Q$9:$S$28,2,FALSE),VLOOKUP(V172,'Catalogue Aluminium'!$Q$9:$S$28,3))))))</f>
        <v>NA</v>
      </c>
      <c r="AN172" s="584">
        <f t="shared" ref="AN172" si="1473">IF(T172="AIR",AI172*AJ172,IF(T172="TRENCH",AI172*AJ172,IF(T172="DUCT",AJ172*AK172*AL172*AM172,IF(T172="GROUND",AJ172*AK172*AL172*AM172))))</f>
        <v>0.58740000000000003</v>
      </c>
      <c r="AO172" s="583">
        <f t="shared" ref="AO172" si="1474">Z172*AN172</f>
        <v>16.447200000000002</v>
      </c>
      <c r="AP172" s="585">
        <f t="shared" si="1303"/>
        <v>1</v>
      </c>
      <c r="AQ172" s="583" t="str">
        <f t="shared" ref="AQ172" si="1475">IF(AO172*AP172&gt;=N172,"YES","NO")</f>
        <v>YES</v>
      </c>
      <c r="AR172" s="584">
        <f t="shared" ref="AR172" si="1476">SQRT(3)*AH172*N172*((AA172*L172)+(AB172*SIN(ACOS(L172))))*100/(AP172*K172*1000)</f>
        <v>0.74195649078839909</v>
      </c>
      <c r="AS172" s="409" t="str">
        <f t="shared" ref="AS172" si="1477">IF(G172="INCOMER",(IF(AR172&lt;=2,"YES","NO")),IF(G172="POWER",(IF(AR172&lt;=2.5,"YES","NO")),IF(G172="MOTOR",(IF(AR172&lt;=3,"YES","NO")))))</f>
        <v>YES</v>
      </c>
      <c r="AT172" s="584" t="str">
        <f t="shared" si="1307"/>
        <v>NA</v>
      </c>
      <c r="AU172" s="409" t="str">
        <f t="shared" si="1308"/>
        <v>NA</v>
      </c>
      <c r="AV172" s="586" t="str">
        <f t="shared" si="1309"/>
        <v>1R x 0.6/1kV x 3C x 2.5 Sqmm</v>
      </c>
      <c r="AW172" s="586" t="str">
        <f t="shared" si="1310"/>
        <v>1R x 0.6/1kV x 3C x 2.5 Sqmm</v>
      </c>
      <c r="AX172" s="409">
        <f t="shared" si="1311"/>
        <v>376</v>
      </c>
      <c r="AY172" s="866"/>
      <c r="AZ172" s="866">
        <f t="shared" si="1312"/>
        <v>2</v>
      </c>
      <c r="BA172" s="867" t="str">
        <f t="shared" si="1313"/>
        <v>ACDEE1E2E3</v>
      </c>
      <c r="BB172" s="868">
        <f>VLOOKUP(W172,'Catalogue Aluminium'!$B$9:$H$93,7,FALSE)</f>
        <v>14</v>
      </c>
      <c r="BC172" s="789">
        <f t="shared" si="1314"/>
        <v>14</v>
      </c>
      <c r="BE172" s="587"/>
      <c r="BF172" s="587">
        <v>1</v>
      </c>
      <c r="BG172" s="587"/>
      <c r="BH172" s="587"/>
      <c r="BI172" s="587">
        <v>1</v>
      </c>
      <c r="BJ172" s="587">
        <v>1</v>
      </c>
      <c r="BK172" s="587"/>
      <c r="BL172" s="587"/>
      <c r="BM172" s="587"/>
      <c r="BN172" s="587">
        <v>1</v>
      </c>
      <c r="BO172" s="587"/>
      <c r="BP172" s="587">
        <v>1</v>
      </c>
      <c r="BQ172" s="587">
        <v>1</v>
      </c>
      <c r="BR172" s="587">
        <v>1</v>
      </c>
      <c r="BS172" s="587"/>
      <c r="BT172" s="587"/>
      <c r="BU172" s="587"/>
      <c r="BV172" s="587"/>
      <c r="BW172" s="587"/>
      <c r="BX172" s="587"/>
      <c r="BY172" s="587"/>
      <c r="BZ172" s="587"/>
      <c r="CA172" s="587"/>
      <c r="CB172" s="587"/>
      <c r="CC172" s="587"/>
      <c r="CD172" s="587"/>
      <c r="CE172" s="587"/>
      <c r="CF172" s="587"/>
      <c r="CG172" s="587"/>
      <c r="CH172" s="587"/>
      <c r="CI172" s="587"/>
      <c r="CJ172" s="587"/>
      <c r="CK172" s="587"/>
      <c r="CL172" s="587"/>
      <c r="CM172" s="587"/>
      <c r="CN172" s="587"/>
      <c r="CO172" s="587"/>
      <c r="CP172" s="587"/>
      <c r="CQ172" s="587"/>
      <c r="CR172" s="587"/>
      <c r="CS172" s="587"/>
      <c r="CT172" s="587"/>
      <c r="CU172" s="587"/>
      <c r="CV172" s="587"/>
      <c r="CW172" s="587"/>
      <c r="CX172" s="587"/>
      <c r="CY172" s="587"/>
      <c r="CZ172" s="587"/>
      <c r="DA172" s="587"/>
      <c r="DB172" s="587"/>
      <c r="DC172" s="587"/>
      <c r="DD172" s="587"/>
      <c r="DE172" s="587"/>
      <c r="DF172" s="587"/>
      <c r="DG172" s="587"/>
      <c r="DH172" s="587"/>
      <c r="DI172" s="587"/>
      <c r="DJ172" s="587"/>
      <c r="DK172" s="587"/>
      <c r="DL172" s="587"/>
      <c r="DM172" s="587"/>
      <c r="DN172" s="587"/>
      <c r="DO172" s="587"/>
      <c r="DP172" s="587"/>
      <c r="DQ172" s="587"/>
      <c r="DR172" s="587"/>
      <c r="DS172" s="587"/>
      <c r="DT172" s="587"/>
      <c r="DU172" s="587"/>
      <c r="DW172" s="587">
        <f t="shared" ref="DW172" si="1478">IF(BE172=1,($BC172*BE172),0)</f>
        <v>0</v>
      </c>
      <c r="DX172" s="587">
        <f t="shared" ref="DX172" si="1479">IF(BF172=1,($BC172*BF172),0)</f>
        <v>14</v>
      </c>
      <c r="DY172" s="587">
        <f t="shared" ref="DY172" si="1480">IF(BG172=1,($BC172*BG172),0)</f>
        <v>0</v>
      </c>
      <c r="DZ172" s="587">
        <f t="shared" ref="DZ172" si="1481">IF(BH172=1,($BC172*BH172),0)</f>
        <v>0</v>
      </c>
      <c r="EA172" s="587">
        <f t="shared" ref="EA172" si="1482">IF(BI172=1,($BC172*BI172),0)</f>
        <v>14</v>
      </c>
      <c r="EB172" s="587">
        <f t="shared" ref="EB172" si="1483">IF(BJ172=1,($BC172*BJ172),0)</f>
        <v>14</v>
      </c>
      <c r="EC172" s="587">
        <f t="shared" ref="EC172" si="1484">IF(BK172=1,($BC172*BK172),0)</f>
        <v>0</v>
      </c>
      <c r="ED172" s="587">
        <f t="shared" si="919"/>
        <v>0</v>
      </c>
      <c r="EE172" s="587">
        <f t="shared" si="920"/>
        <v>0</v>
      </c>
      <c r="EF172" s="587">
        <f t="shared" si="921"/>
        <v>14</v>
      </c>
      <c r="EG172" s="587">
        <f t="shared" si="922"/>
        <v>0</v>
      </c>
      <c r="EH172" s="587">
        <f t="shared" si="923"/>
        <v>14</v>
      </c>
      <c r="EI172" s="587">
        <f t="shared" si="924"/>
        <v>14</v>
      </c>
      <c r="EJ172" s="587">
        <f t="shared" si="925"/>
        <v>14</v>
      </c>
      <c r="EK172" s="587">
        <f t="shared" si="926"/>
        <v>0</v>
      </c>
      <c r="EL172" s="587">
        <f t="shared" si="927"/>
        <v>0</v>
      </c>
      <c r="EM172" s="587">
        <f t="shared" si="928"/>
        <v>0</v>
      </c>
      <c r="EN172" s="587">
        <f t="shared" si="929"/>
        <v>0</v>
      </c>
      <c r="EO172" s="587">
        <f t="shared" si="930"/>
        <v>0</v>
      </c>
      <c r="EP172" s="587">
        <f t="shared" si="931"/>
        <v>0</v>
      </c>
      <c r="EQ172" s="587">
        <f t="shared" si="932"/>
        <v>0</v>
      </c>
      <c r="ER172" s="587">
        <f t="shared" si="933"/>
        <v>0</v>
      </c>
      <c r="ES172" s="587">
        <f t="shared" si="934"/>
        <v>0</v>
      </c>
      <c r="ET172" s="587">
        <f t="shared" si="934"/>
        <v>0</v>
      </c>
      <c r="EU172" s="587">
        <f t="shared" si="935"/>
        <v>0</v>
      </c>
      <c r="EV172" s="587">
        <f t="shared" si="936"/>
        <v>0</v>
      </c>
      <c r="EW172" s="587">
        <f t="shared" si="937"/>
        <v>0</v>
      </c>
      <c r="EX172" s="587">
        <f t="shared" si="938"/>
        <v>0</v>
      </c>
      <c r="EY172" s="587">
        <f t="shared" si="939"/>
        <v>0</v>
      </c>
      <c r="EZ172" s="587">
        <f t="shared" si="940"/>
        <v>0</v>
      </c>
      <c r="FA172" s="587">
        <f t="shared" si="941"/>
        <v>0</v>
      </c>
      <c r="FB172" s="587">
        <f t="shared" si="942"/>
        <v>0</v>
      </c>
      <c r="FC172" s="587">
        <f t="shared" si="943"/>
        <v>0</v>
      </c>
      <c r="FD172" s="587">
        <f t="shared" si="944"/>
        <v>0</v>
      </c>
      <c r="FE172" s="587">
        <f t="shared" si="945"/>
        <v>0</v>
      </c>
      <c r="FF172" s="587">
        <f t="shared" si="946"/>
        <v>0</v>
      </c>
      <c r="FG172" s="587">
        <f t="shared" si="947"/>
        <v>0</v>
      </c>
      <c r="FH172" s="587">
        <f t="shared" si="948"/>
        <v>0</v>
      </c>
      <c r="FI172" s="587">
        <f t="shared" si="949"/>
        <v>0</v>
      </c>
      <c r="FJ172" s="587">
        <f t="shared" si="950"/>
        <v>0</v>
      </c>
      <c r="FK172" s="587">
        <f t="shared" si="951"/>
        <v>0</v>
      </c>
      <c r="FL172" s="587">
        <f t="shared" si="952"/>
        <v>0</v>
      </c>
      <c r="FM172" s="587">
        <f t="shared" si="953"/>
        <v>0</v>
      </c>
      <c r="FN172" s="587">
        <f t="shared" si="954"/>
        <v>0</v>
      </c>
      <c r="FO172" s="587">
        <f t="shared" si="955"/>
        <v>0</v>
      </c>
      <c r="FP172" s="587">
        <f t="shared" si="956"/>
        <v>0</v>
      </c>
      <c r="FQ172" s="587">
        <f t="shared" si="957"/>
        <v>0</v>
      </c>
      <c r="FR172" s="587">
        <f t="shared" si="958"/>
        <v>0</v>
      </c>
      <c r="FS172" s="587">
        <f t="shared" si="959"/>
        <v>0</v>
      </c>
      <c r="FT172" s="587">
        <f t="shared" si="960"/>
        <v>0</v>
      </c>
      <c r="FU172" s="587">
        <f t="shared" si="860"/>
        <v>0</v>
      </c>
      <c r="FV172" s="587">
        <f t="shared" si="861"/>
        <v>0</v>
      </c>
      <c r="FW172" s="587">
        <f t="shared" si="862"/>
        <v>0</v>
      </c>
      <c r="FX172" s="587">
        <f t="shared" si="863"/>
        <v>0</v>
      </c>
      <c r="FY172" s="587">
        <f t="shared" si="961"/>
        <v>0</v>
      </c>
      <c r="FZ172" s="587">
        <f t="shared" si="962"/>
        <v>0</v>
      </c>
      <c r="GA172" s="587">
        <f t="shared" si="963"/>
        <v>0</v>
      </c>
      <c r="GB172" s="587">
        <f t="shared" si="964"/>
        <v>0</v>
      </c>
      <c r="GC172" s="587">
        <f t="shared" si="965"/>
        <v>0</v>
      </c>
      <c r="GD172" s="587">
        <f t="shared" si="966"/>
        <v>0</v>
      </c>
      <c r="GE172" s="587">
        <f t="shared" si="967"/>
        <v>0</v>
      </c>
      <c r="GF172" s="587">
        <f t="shared" si="968"/>
        <v>0</v>
      </c>
      <c r="GG172" s="587">
        <f t="shared" si="969"/>
        <v>0</v>
      </c>
      <c r="GH172" s="587">
        <f t="shared" si="970"/>
        <v>0</v>
      </c>
      <c r="GI172" s="587">
        <f t="shared" si="971"/>
        <v>0</v>
      </c>
      <c r="GJ172" s="587">
        <f t="shared" si="972"/>
        <v>0</v>
      </c>
      <c r="GK172" s="587">
        <f t="shared" si="1469"/>
        <v>0</v>
      </c>
      <c r="GL172" s="587">
        <f t="shared" si="975"/>
        <v>0</v>
      </c>
      <c r="GM172" s="587">
        <f t="shared" si="973"/>
        <v>0</v>
      </c>
    </row>
    <row r="173" spans="1:195" ht="20.100000000000001" customHeight="1">
      <c r="A173" s="337">
        <f t="shared" si="1315"/>
        <v>126</v>
      </c>
      <c r="B173" s="545" t="s">
        <v>492</v>
      </c>
      <c r="C173" s="337" t="s">
        <v>636</v>
      </c>
      <c r="D173" s="427" t="s">
        <v>493</v>
      </c>
      <c r="E173" s="453" t="s">
        <v>345</v>
      </c>
      <c r="F173" s="337" t="s">
        <v>29</v>
      </c>
      <c r="G173" s="337" t="s">
        <v>350</v>
      </c>
      <c r="H173" s="350">
        <v>75</v>
      </c>
      <c r="I173" s="337" t="s">
        <v>330</v>
      </c>
      <c r="J173" s="337" t="s">
        <v>331</v>
      </c>
      <c r="K173" s="349">
        <v>400</v>
      </c>
      <c r="L173" s="343">
        <v>0.85</v>
      </c>
      <c r="M173" s="350">
        <v>0.95</v>
      </c>
      <c r="N173" s="342">
        <f t="shared" si="1292"/>
        <v>134.06359261827987</v>
      </c>
      <c r="O173" s="342">
        <f t="shared" si="1293"/>
        <v>804.38155570967922</v>
      </c>
      <c r="P173" s="343">
        <f t="shared" si="1294"/>
        <v>0.2</v>
      </c>
      <c r="Q173" s="350">
        <v>65</v>
      </c>
      <c r="R173" s="350">
        <v>0</v>
      </c>
      <c r="S173" s="350">
        <f t="shared" si="1295"/>
        <v>0</v>
      </c>
      <c r="T173" s="343" t="s">
        <v>131</v>
      </c>
      <c r="U173" s="350" t="s">
        <v>333</v>
      </c>
      <c r="V173" s="343">
        <v>150</v>
      </c>
      <c r="W173" s="343" t="str">
        <f t="shared" si="1296"/>
        <v>3C X 150</v>
      </c>
      <c r="X173" s="343" t="str">
        <f t="shared" si="1297"/>
        <v>3C X 150+PE</v>
      </c>
      <c r="Y173" s="343" t="s">
        <v>358</v>
      </c>
      <c r="Z173" s="344">
        <f>IF(T173="AIR",VLOOKUP(W173,'Catalogue Aluminium'!$B$9:$G$93,2,FALSE),IF(T173="GROUND",VLOOKUP(W173,'Catalogue Aluminium'!$B$9:$G$93,3,FALSE),IF(T173="DUCT",VLOOKUP(W173,'Catalogue Aluminium'!$B$9:$G$93,4,FALSE),IF(T173="TRENCH",VLOOKUP(W173,'Catalogue Aluminium'!$B$9:$G$93,2,FALSE)))))</f>
        <v>293</v>
      </c>
      <c r="AA173" s="345">
        <f>VLOOKUP(W173,'Catalogue Aluminium'!$B$9:$G$93,5,FALSE)</f>
        <v>0.26400000000000001</v>
      </c>
      <c r="AB173" s="345">
        <f>VLOOKUP(W173,'Catalogue Aluminium'!$B$9:$G$93,6,FALSE)</f>
        <v>7.3200000000000001E-2</v>
      </c>
      <c r="AC173" s="457">
        <f>24+6</f>
        <v>30</v>
      </c>
      <c r="AD173" s="401">
        <f>40+50+38+50+17+(27+30+6)</f>
        <v>258</v>
      </c>
      <c r="AE173" s="401">
        <f t="shared" si="1316"/>
        <v>38</v>
      </c>
      <c r="AF173" s="401">
        <v>8</v>
      </c>
      <c r="AG173" s="401">
        <f t="shared" si="1299"/>
        <v>34</v>
      </c>
      <c r="AH173" s="347">
        <f t="shared" si="1300"/>
        <v>368</v>
      </c>
      <c r="AI173" s="344">
        <f>IF(T173="AIR",'Catalogue Aluminium'!$K$9,IF(T173="TRENCH",'Catalogue Aluminium'!$K$12,"NA"))</f>
        <v>0.89</v>
      </c>
      <c r="AJ173" s="342">
        <f>IF(T173="Air",(IF(U173="1C",'Catalogue Aluminium'!$L$9,'Catalogue Aluminium'!$M$9)),IF(T173="DUCT",(IF($U173="1C",'Catalogue Aluminium'!$L$10,'Catalogue Aluminium'!$M$10)),IF(T173="GROUND",(IF($U173="1C",'Catalogue Aluminium'!$L$11,'Catalogue Aluminium'!$M$11)),IF(T173="TRENCH",(IF($U173="1C",'Catalogue Aluminium'!$L$12,'Catalogue Aluminium'!$M$12))))))</f>
        <v>0.66</v>
      </c>
      <c r="AK173" s="344" t="str">
        <f>IF(T173="Air",'Catalogue Aluminium'!$N$9,IF(T173="GROUND",'Catalogue Aluminium'!$N$10,IF(T173="DUCT",'Catalogue Aluminium'!$N$11,IF(T173="TRENCH",'Catalogue Aluminium'!$N$12,"NA"))))</f>
        <v>NA</v>
      </c>
      <c r="AL173" s="344" t="str">
        <f>IF(T173="Air",(IF(U173="1C",'Catalogue Aluminium'!$O$9,'Catalogue Aluminium'!$P$9)),IF(T173="DUCT",(IF($U173="1C",'Catalogue Aluminium'!$O$10,'Catalogue Aluminium'!$P$10)),IF(T173="GROUND",(IF($U173="1C",'Catalogue Aluminium'!$O$11,'Catalogue Aluminium'!$P$11)),IF(T173="TRENCH",(IF($U173="1C",'Catalogue Aluminium'!$O$12,'Catalogue Aluminium'!$P$12))))))</f>
        <v>NA</v>
      </c>
      <c r="AM173" s="344" t="str">
        <f>IF(T173="AIR","NA",IF(T173="TRENCH","NA",IF(T173="DUCT",IF(U173="1C",VLOOKUP(V173,'Catalogue Aluminium'!$Q$9:$S$28,2,FALSE),VLOOKUP(V173,'Catalogue Aluminium'!$Q$9:$S$28,3)),IF(T173="GROUND",IF(U173="1C",VLOOKUP(V173,'Catalogue Aluminium'!$Q$9:$S$28,2,FALSE),VLOOKUP(V173,'Catalogue Aluminium'!$Q$9:$S$28,3))))))</f>
        <v>NA</v>
      </c>
      <c r="AN173" s="351">
        <f t="shared" si="1301"/>
        <v>0.58740000000000003</v>
      </c>
      <c r="AO173" s="350">
        <f t="shared" si="1302"/>
        <v>172.10820000000001</v>
      </c>
      <c r="AP173" s="349">
        <v>2</v>
      </c>
      <c r="AQ173" s="350" t="str">
        <f t="shared" si="1304"/>
        <v>YES</v>
      </c>
      <c r="AR173" s="351">
        <f t="shared" si="1305"/>
        <v>2.8087935378021807</v>
      </c>
      <c r="AS173" s="343" t="str">
        <f t="shared" si="1306"/>
        <v>YES</v>
      </c>
      <c r="AT173" s="351">
        <f t="shared" si="1307"/>
        <v>7.9803763085334714</v>
      </c>
      <c r="AU173" s="343" t="str">
        <f t="shared" si="1308"/>
        <v>YES</v>
      </c>
      <c r="AV173" s="354" t="str">
        <f t="shared" si="1309"/>
        <v>2R x 0.6/1kV x 3C x 150 Sqmm</v>
      </c>
      <c r="AW173" s="354" t="str">
        <f t="shared" si="1310"/>
        <v>2R x 0.6/1kV x 3C x 150+PE Sqmm</v>
      </c>
      <c r="AX173" s="343">
        <f t="shared" si="1311"/>
        <v>736</v>
      </c>
      <c r="AY173" s="355"/>
      <c r="AZ173" s="355">
        <f t="shared" si="1312"/>
        <v>4</v>
      </c>
      <c r="BA173" s="356" t="str">
        <f t="shared" si="1313"/>
        <v>ACDEE1E2E3</v>
      </c>
      <c r="BB173" s="501">
        <f>VLOOKUP(W173,'Catalogue Aluminium'!$B$9:$H$93,7,FALSE)</f>
        <v>39</v>
      </c>
      <c r="BC173" s="328">
        <f t="shared" si="1314"/>
        <v>78</v>
      </c>
      <c r="BE173" s="336"/>
      <c r="BF173" s="336">
        <v>1</v>
      </c>
      <c r="BG173" s="336"/>
      <c r="BH173" s="336"/>
      <c r="BI173" s="336">
        <v>1</v>
      </c>
      <c r="BJ173" s="336">
        <v>1</v>
      </c>
      <c r="BK173" s="336"/>
      <c r="BL173" s="336"/>
      <c r="BM173" s="336"/>
      <c r="BN173" s="336">
        <v>1</v>
      </c>
      <c r="BO173" s="336"/>
      <c r="BP173" s="336">
        <v>1</v>
      </c>
      <c r="BQ173" s="336">
        <v>1</v>
      </c>
      <c r="BR173" s="336">
        <v>1</v>
      </c>
      <c r="BS173" s="336"/>
      <c r="BT173" s="336"/>
      <c r="BU173" s="336"/>
      <c r="BV173" s="336"/>
      <c r="BW173" s="336"/>
      <c r="BX173" s="336"/>
      <c r="BY173" s="336"/>
      <c r="BZ173" s="336"/>
      <c r="CA173" s="336"/>
      <c r="CB173" s="336"/>
      <c r="CC173" s="336"/>
      <c r="CD173" s="336"/>
      <c r="CE173" s="336"/>
      <c r="CF173" s="336"/>
      <c r="CG173" s="336"/>
      <c r="CH173" s="336"/>
      <c r="CI173" s="336"/>
      <c r="CJ173" s="336"/>
      <c r="CK173" s="336"/>
      <c r="CL173" s="336"/>
      <c r="CM173" s="336"/>
      <c r="CN173" s="336"/>
      <c r="CO173" s="336"/>
      <c r="CP173" s="336"/>
      <c r="CQ173" s="336"/>
      <c r="CR173" s="336"/>
      <c r="CS173" s="336"/>
      <c r="CT173" s="336"/>
      <c r="CU173" s="336"/>
      <c r="CV173" s="336"/>
      <c r="CW173" s="336"/>
      <c r="CX173" s="336"/>
      <c r="CY173" s="336"/>
      <c r="CZ173" s="336"/>
      <c r="DA173" s="336"/>
      <c r="DB173" s="336"/>
      <c r="DC173" s="336"/>
      <c r="DD173" s="336"/>
      <c r="DE173" s="336"/>
      <c r="DF173" s="336"/>
      <c r="DG173" s="336"/>
      <c r="DH173" s="336"/>
      <c r="DI173" s="336"/>
      <c r="DJ173" s="336"/>
      <c r="DK173" s="336"/>
      <c r="DL173" s="336"/>
      <c r="DM173" s="336"/>
      <c r="DN173" s="336"/>
      <c r="DO173" s="336"/>
      <c r="DP173" s="336"/>
      <c r="DQ173" s="336"/>
      <c r="DR173" s="336"/>
      <c r="DS173" s="336"/>
      <c r="DT173" s="336"/>
      <c r="DU173" s="336"/>
      <c r="DW173" s="336">
        <f t="shared" si="1012"/>
        <v>0</v>
      </c>
      <c r="DX173" s="336">
        <f t="shared" si="1004"/>
        <v>78</v>
      </c>
      <c r="DY173" s="336">
        <f t="shared" si="1005"/>
        <v>0</v>
      </c>
      <c r="DZ173" s="336">
        <f t="shared" si="1006"/>
        <v>0</v>
      </c>
      <c r="EA173" s="336">
        <f t="shared" si="1007"/>
        <v>78</v>
      </c>
      <c r="EB173" s="336">
        <f t="shared" si="1008"/>
        <v>78</v>
      </c>
      <c r="EC173" s="336">
        <f t="shared" si="1009"/>
        <v>0</v>
      </c>
      <c r="ED173" s="336">
        <f t="shared" si="919"/>
        <v>0</v>
      </c>
      <c r="EE173" s="336">
        <f t="shared" si="920"/>
        <v>0</v>
      </c>
      <c r="EF173" s="336">
        <f t="shared" si="921"/>
        <v>78</v>
      </c>
      <c r="EG173" s="336">
        <f t="shared" si="922"/>
        <v>0</v>
      </c>
      <c r="EH173" s="336">
        <f t="shared" si="923"/>
        <v>78</v>
      </c>
      <c r="EI173" s="336">
        <f t="shared" si="924"/>
        <v>78</v>
      </c>
      <c r="EJ173" s="336">
        <f t="shared" si="925"/>
        <v>78</v>
      </c>
      <c r="EK173" s="336">
        <f t="shared" si="926"/>
        <v>0</v>
      </c>
      <c r="EL173" s="336">
        <f t="shared" si="927"/>
        <v>0</v>
      </c>
      <c r="EM173" s="336">
        <f t="shared" si="928"/>
        <v>0</v>
      </c>
      <c r="EN173" s="336">
        <f t="shared" si="929"/>
        <v>0</v>
      </c>
      <c r="EO173" s="336">
        <f t="shared" si="930"/>
        <v>0</v>
      </c>
      <c r="EP173" s="336">
        <f t="shared" si="931"/>
        <v>0</v>
      </c>
      <c r="EQ173" s="336">
        <f t="shared" si="932"/>
        <v>0</v>
      </c>
      <c r="ER173" s="336">
        <f t="shared" si="933"/>
        <v>0</v>
      </c>
      <c r="ES173" s="336">
        <f t="shared" si="934"/>
        <v>0</v>
      </c>
      <c r="ET173" s="336">
        <f t="shared" si="934"/>
        <v>0</v>
      </c>
      <c r="EU173" s="336">
        <f t="shared" si="935"/>
        <v>0</v>
      </c>
      <c r="EV173" s="336">
        <f t="shared" si="936"/>
        <v>0</v>
      </c>
      <c r="EW173" s="336">
        <f t="shared" si="937"/>
        <v>0</v>
      </c>
      <c r="EX173" s="336">
        <f t="shared" si="938"/>
        <v>0</v>
      </c>
      <c r="EY173" s="336">
        <f t="shared" si="939"/>
        <v>0</v>
      </c>
      <c r="EZ173" s="336">
        <f t="shared" si="940"/>
        <v>0</v>
      </c>
      <c r="FA173" s="336">
        <f t="shared" si="941"/>
        <v>0</v>
      </c>
      <c r="FB173" s="336">
        <f t="shared" si="942"/>
        <v>0</v>
      </c>
      <c r="FC173" s="336">
        <f t="shared" si="943"/>
        <v>0</v>
      </c>
      <c r="FD173" s="336">
        <f t="shared" si="944"/>
        <v>0</v>
      </c>
      <c r="FE173" s="336">
        <f t="shared" si="945"/>
        <v>0</v>
      </c>
      <c r="FF173" s="336">
        <f t="shared" si="946"/>
        <v>0</v>
      </c>
      <c r="FG173" s="336">
        <f t="shared" si="947"/>
        <v>0</v>
      </c>
      <c r="FH173" s="336">
        <f t="shared" si="948"/>
        <v>0</v>
      </c>
      <c r="FI173" s="336">
        <f t="shared" si="949"/>
        <v>0</v>
      </c>
      <c r="FJ173" s="336">
        <f t="shared" si="950"/>
        <v>0</v>
      </c>
      <c r="FK173" s="336">
        <f t="shared" si="951"/>
        <v>0</v>
      </c>
      <c r="FL173" s="336">
        <f t="shared" si="952"/>
        <v>0</v>
      </c>
      <c r="FM173" s="336">
        <f t="shared" si="953"/>
        <v>0</v>
      </c>
      <c r="FN173" s="336">
        <f t="shared" si="954"/>
        <v>0</v>
      </c>
      <c r="FO173" s="336">
        <f t="shared" si="955"/>
        <v>0</v>
      </c>
      <c r="FP173" s="336">
        <f t="shared" si="956"/>
        <v>0</v>
      </c>
      <c r="FQ173" s="336">
        <f t="shared" si="957"/>
        <v>0</v>
      </c>
      <c r="FR173" s="336">
        <f t="shared" si="958"/>
        <v>0</v>
      </c>
      <c r="FS173" s="336">
        <f t="shared" si="959"/>
        <v>0</v>
      </c>
      <c r="FT173" s="336">
        <f t="shared" si="960"/>
        <v>0</v>
      </c>
      <c r="FU173" s="336">
        <f t="shared" si="860"/>
        <v>0</v>
      </c>
      <c r="FV173" s="336">
        <f t="shared" si="861"/>
        <v>0</v>
      </c>
      <c r="FW173" s="336">
        <f t="shared" si="862"/>
        <v>0</v>
      </c>
      <c r="FX173" s="336">
        <f t="shared" si="863"/>
        <v>0</v>
      </c>
      <c r="FY173" s="336">
        <f t="shared" si="961"/>
        <v>0</v>
      </c>
      <c r="FZ173" s="336">
        <f t="shared" si="962"/>
        <v>0</v>
      </c>
      <c r="GA173" s="336">
        <f t="shared" si="963"/>
        <v>0</v>
      </c>
      <c r="GB173" s="336">
        <f t="shared" si="964"/>
        <v>0</v>
      </c>
      <c r="GC173" s="336">
        <f t="shared" si="965"/>
        <v>0</v>
      </c>
      <c r="GD173" s="336">
        <f t="shared" si="966"/>
        <v>0</v>
      </c>
      <c r="GE173" s="336">
        <f t="shared" si="967"/>
        <v>0</v>
      </c>
      <c r="GF173" s="336">
        <f t="shared" si="968"/>
        <v>0</v>
      </c>
      <c r="GG173" s="336">
        <f t="shared" si="969"/>
        <v>0</v>
      </c>
      <c r="GH173" s="336">
        <f t="shared" si="970"/>
        <v>0</v>
      </c>
      <c r="GI173" s="336">
        <f t="shared" si="971"/>
        <v>0</v>
      </c>
      <c r="GJ173" s="336">
        <f t="shared" si="972"/>
        <v>0</v>
      </c>
      <c r="GK173" s="336">
        <f t="shared" si="1469"/>
        <v>0</v>
      </c>
      <c r="GL173" s="336">
        <f t="shared" si="975"/>
        <v>0</v>
      </c>
      <c r="GM173" s="336">
        <f t="shared" si="973"/>
        <v>0</v>
      </c>
    </row>
    <row r="174" spans="1:195" s="869" customFormat="1" ht="20.100000000000001" customHeight="1">
      <c r="A174" s="406">
        <f t="shared" si="1315"/>
        <v>127</v>
      </c>
      <c r="B174" s="894"/>
      <c r="C174" s="406" t="s">
        <v>636</v>
      </c>
      <c r="D174" s="895" t="s">
        <v>1677</v>
      </c>
      <c r="E174" s="893" t="s">
        <v>345</v>
      </c>
      <c r="F174" s="406" t="s">
        <v>29</v>
      </c>
      <c r="G174" s="406" t="s">
        <v>329</v>
      </c>
      <c r="H174" s="864">
        <v>0.06</v>
      </c>
      <c r="I174" s="406" t="s">
        <v>330</v>
      </c>
      <c r="J174" s="406" t="s">
        <v>357</v>
      </c>
      <c r="K174" s="585">
        <v>230</v>
      </c>
      <c r="L174" s="409">
        <v>0.85</v>
      </c>
      <c r="M174" s="583">
        <v>0.95</v>
      </c>
      <c r="N174" s="407">
        <f t="shared" si="1292"/>
        <v>0.32305828509893664</v>
      </c>
      <c r="O174" s="407">
        <f t="shared" si="1293"/>
        <v>0</v>
      </c>
      <c r="P174" s="409" t="str">
        <f t="shared" si="1294"/>
        <v>0.00</v>
      </c>
      <c r="Q174" s="583">
        <v>65</v>
      </c>
      <c r="R174" s="583">
        <v>0</v>
      </c>
      <c r="S174" s="583">
        <f t="shared" si="1295"/>
        <v>0</v>
      </c>
      <c r="T174" s="409" t="s">
        <v>131</v>
      </c>
      <c r="U174" s="583" t="s">
        <v>333</v>
      </c>
      <c r="V174" s="409">
        <v>2.5</v>
      </c>
      <c r="W174" s="409" t="str">
        <f t="shared" si="1296"/>
        <v>3C X 2.5</v>
      </c>
      <c r="X174" s="409" t="str">
        <f t="shared" ref="X174" si="1485">(IF(J174="1Ph",W174,IF(J174="3Ph",(IF(G174="MOTOR",(CONCATENATE(W174,"+PE")),W174)))))</f>
        <v>3C X 2.5</v>
      </c>
      <c r="Y174" s="409" t="s">
        <v>358</v>
      </c>
      <c r="Z174" s="408">
        <f>IF(T174="AIR",VLOOKUP(W174,'Catalogue Aluminium'!$B$9:$G$93,2,FALSE),IF(T174="GROUND",VLOOKUP(W174,'Catalogue Aluminium'!$B$9:$G$93,3,FALSE),IF(T174="DUCT",VLOOKUP(W174,'Catalogue Aluminium'!$B$9:$G$93,4,FALSE),IF(T174="TRENCH",VLOOKUP(W174,'Catalogue Aluminium'!$B$9:$G$93,2,FALSE)))))</f>
        <v>28</v>
      </c>
      <c r="AA174" s="410">
        <f>VLOOKUP(W174,'Catalogue Aluminium'!$B$9:$G$93,5,FALSE)</f>
        <v>9.48</v>
      </c>
      <c r="AB174" s="410">
        <f>VLOOKUP(W174,'Catalogue Aluminium'!$B$9:$G$93,6,FALSE)</f>
        <v>0.1007</v>
      </c>
      <c r="AC174" s="896">
        <f>24+6</f>
        <v>30</v>
      </c>
      <c r="AD174" s="409">
        <f>40+50+38+50+17+(27+30+6)</f>
        <v>258</v>
      </c>
      <c r="AE174" s="409">
        <f t="shared" si="1316"/>
        <v>38</v>
      </c>
      <c r="AF174" s="409">
        <v>8</v>
      </c>
      <c r="AG174" s="409">
        <f t="shared" ref="AG174" si="1486">ROUNDUP((SUM(AC174:AF174)*0.1),0)</f>
        <v>34</v>
      </c>
      <c r="AH174" s="865">
        <f t="shared" ref="AH174" si="1487">SUM(AC174:AG174)</f>
        <v>368</v>
      </c>
      <c r="AI174" s="408">
        <f>IF(T174="AIR",'Catalogue Aluminium'!$K$9,IF(T174="TRENCH",'Catalogue Aluminium'!$K$12,"NA"))</f>
        <v>0.89</v>
      </c>
      <c r="AJ174" s="407">
        <f>IF(T174="Air",(IF(U174="1C",'Catalogue Aluminium'!$L$9,'Catalogue Aluminium'!$M$9)),IF(T174="DUCT",(IF($U174="1C",'Catalogue Aluminium'!$L$10,'Catalogue Aluminium'!$M$10)),IF(T174="GROUND",(IF($U174="1C",'Catalogue Aluminium'!$L$11,'Catalogue Aluminium'!$M$11)),IF(T174="TRENCH",(IF($U174="1C",'Catalogue Aluminium'!$L$12,'Catalogue Aluminium'!$M$12))))))</f>
        <v>0.66</v>
      </c>
      <c r="AK174" s="408" t="str">
        <f>IF(T174="Air",'Catalogue Aluminium'!$N$9,IF(T174="GROUND",'Catalogue Aluminium'!$N$10,IF(T174="DUCT",'Catalogue Aluminium'!$N$11,IF(T174="TRENCH",'Catalogue Aluminium'!$N$12,"NA"))))</f>
        <v>NA</v>
      </c>
      <c r="AL174" s="408" t="str">
        <f>IF(T174="Air",(IF(U174="1C",'Catalogue Aluminium'!$O$9,'Catalogue Aluminium'!$P$9)),IF(T174="DUCT",(IF($U174="1C",'Catalogue Aluminium'!$O$10,'Catalogue Aluminium'!$P$10)),IF(T174="GROUND",(IF($U174="1C",'Catalogue Aluminium'!$O$11,'Catalogue Aluminium'!$P$11)),IF(T174="TRENCH",(IF($U174="1C",'Catalogue Aluminium'!$O$12,'Catalogue Aluminium'!$P$12))))))</f>
        <v>NA</v>
      </c>
      <c r="AM174" s="408" t="str">
        <f>IF(T174="AIR","NA",IF(T174="TRENCH","NA",IF(T174="DUCT",IF(U174="1C",VLOOKUP(V174,'Catalogue Aluminium'!$Q$9:$S$28,2,FALSE),VLOOKUP(V174,'Catalogue Aluminium'!$Q$9:$S$28,3)),IF(T174="GROUND",IF(U174="1C",VLOOKUP(V174,'Catalogue Aluminium'!$Q$9:$S$28,2,FALSE),VLOOKUP(V174,'Catalogue Aluminium'!$Q$9:$S$28,3))))))</f>
        <v>NA</v>
      </c>
      <c r="AN174" s="584">
        <f t="shared" ref="AN174" si="1488">IF(T174="AIR",AI174*AJ174,IF(T174="TRENCH",AI174*AJ174,IF(T174="DUCT",AJ174*AK174*AL174*AM174,IF(T174="GROUND",AJ174*AK174*AL174*AM174))))</f>
        <v>0.58740000000000003</v>
      </c>
      <c r="AO174" s="583">
        <f t="shared" ref="AO174" si="1489">Z174*AN174</f>
        <v>16.447200000000002</v>
      </c>
      <c r="AP174" s="585">
        <f t="shared" si="1303"/>
        <v>1</v>
      </c>
      <c r="AQ174" s="583" t="str">
        <f t="shared" ref="AQ174" si="1490">IF(AO174*AP174&gt;=N174,"YES","NO")</f>
        <v>YES</v>
      </c>
      <c r="AR174" s="584">
        <f t="shared" ref="AR174" si="1491">SQRT(3)*AH174*N174*((AA174*L174)+(AB174*SIN(ACOS(L174))))*100/(AP174*K174*1000)</f>
        <v>0.72617018247375209</v>
      </c>
      <c r="AS174" s="409" t="str">
        <f t="shared" ref="AS174" si="1492">IF(G174="INCOMER",(IF(AR174&lt;=2,"YES","NO")),IF(G174="POWER",(IF(AR174&lt;=2.5,"YES","NO")),IF(G174="MOTOR",(IF(AR174&lt;=3,"YES","NO")))))</f>
        <v>YES</v>
      </c>
      <c r="AT174" s="584" t="str">
        <f t="shared" si="1307"/>
        <v>NA</v>
      </c>
      <c r="AU174" s="409" t="str">
        <f t="shared" si="1308"/>
        <v>NA</v>
      </c>
      <c r="AV174" s="586" t="str">
        <f t="shared" si="1309"/>
        <v>1R x 0.6/1kV x 3C x 2.5 Sqmm</v>
      </c>
      <c r="AW174" s="586" t="str">
        <f t="shared" si="1310"/>
        <v>1R x 0.6/1kV x 3C x 2.5 Sqmm</v>
      </c>
      <c r="AX174" s="409">
        <f t="shared" si="1311"/>
        <v>368</v>
      </c>
      <c r="AY174" s="866"/>
      <c r="AZ174" s="866">
        <f t="shared" si="1312"/>
        <v>2</v>
      </c>
      <c r="BA174" s="867" t="str">
        <f t="shared" si="1313"/>
        <v>ACDEE1E2E3</v>
      </c>
      <c r="BB174" s="868">
        <f>VLOOKUP(W174,'Catalogue Aluminium'!$B$9:$H$93,7,FALSE)</f>
        <v>14</v>
      </c>
      <c r="BC174" s="789">
        <f t="shared" si="1314"/>
        <v>14</v>
      </c>
      <c r="BE174" s="587"/>
      <c r="BF174" s="587">
        <v>1</v>
      </c>
      <c r="BG174" s="587"/>
      <c r="BH174" s="587"/>
      <c r="BI174" s="587">
        <v>1</v>
      </c>
      <c r="BJ174" s="587">
        <v>1</v>
      </c>
      <c r="BK174" s="587"/>
      <c r="BL174" s="587"/>
      <c r="BM174" s="587"/>
      <c r="BN174" s="587">
        <v>1</v>
      </c>
      <c r="BO174" s="587"/>
      <c r="BP174" s="587">
        <v>1</v>
      </c>
      <c r="BQ174" s="587">
        <v>1</v>
      </c>
      <c r="BR174" s="587">
        <v>1</v>
      </c>
      <c r="BS174" s="587"/>
      <c r="BT174" s="587"/>
      <c r="BU174" s="587"/>
      <c r="BV174" s="587"/>
      <c r="BW174" s="587"/>
      <c r="BX174" s="587"/>
      <c r="BY174" s="587"/>
      <c r="BZ174" s="587"/>
      <c r="CA174" s="587"/>
      <c r="CB174" s="587"/>
      <c r="CC174" s="587"/>
      <c r="CD174" s="587"/>
      <c r="CE174" s="587"/>
      <c r="CF174" s="587"/>
      <c r="CG174" s="587"/>
      <c r="CH174" s="587"/>
      <c r="CI174" s="587"/>
      <c r="CJ174" s="587"/>
      <c r="CK174" s="587"/>
      <c r="CL174" s="587"/>
      <c r="CM174" s="587"/>
      <c r="CN174" s="587"/>
      <c r="CO174" s="587"/>
      <c r="CP174" s="587"/>
      <c r="CQ174" s="587"/>
      <c r="CR174" s="587"/>
      <c r="CS174" s="587"/>
      <c r="CT174" s="587"/>
      <c r="CU174" s="587"/>
      <c r="CV174" s="587"/>
      <c r="CW174" s="587"/>
      <c r="CX174" s="587"/>
      <c r="CY174" s="587"/>
      <c r="CZ174" s="587"/>
      <c r="DA174" s="587"/>
      <c r="DB174" s="587"/>
      <c r="DC174" s="587"/>
      <c r="DD174" s="587"/>
      <c r="DE174" s="587"/>
      <c r="DF174" s="587"/>
      <c r="DG174" s="587"/>
      <c r="DH174" s="587"/>
      <c r="DI174" s="587"/>
      <c r="DJ174" s="587"/>
      <c r="DK174" s="587"/>
      <c r="DL174" s="587"/>
      <c r="DM174" s="587"/>
      <c r="DN174" s="587"/>
      <c r="DO174" s="587"/>
      <c r="DP174" s="587"/>
      <c r="DQ174" s="587"/>
      <c r="DR174" s="587"/>
      <c r="DS174" s="587"/>
      <c r="DT174" s="587"/>
      <c r="DU174" s="587"/>
      <c r="DW174" s="587">
        <f t="shared" ref="DW174" si="1493">IF(BE174=1,($BC174*BE174),0)</f>
        <v>0</v>
      </c>
      <c r="DX174" s="587">
        <f t="shared" ref="DX174" si="1494">IF(BF174=1,($BC174*BF174),0)</f>
        <v>14</v>
      </c>
      <c r="DY174" s="587">
        <f t="shared" ref="DY174" si="1495">IF(BG174=1,($BC174*BG174),0)</f>
        <v>0</v>
      </c>
      <c r="DZ174" s="587">
        <f t="shared" ref="DZ174" si="1496">IF(BH174=1,($BC174*BH174),0)</f>
        <v>0</v>
      </c>
      <c r="EA174" s="587">
        <f t="shared" ref="EA174" si="1497">IF(BI174=1,($BC174*BI174),0)</f>
        <v>14</v>
      </c>
      <c r="EB174" s="587">
        <f t="shared" ref="EB174" si="1498">IF(BJ174=1,($BC174*BJ174),0)</f>
        <v>14</v>
      </c>
      <c r="EC174" s="587">
        <f t="shared" ref="EC174" si="1499">IF(BK174=1,($BC174*BK174),0)</f>
        <v>0</v>
      </c>
      <c r="ED174" s="587">
        <f t="shared" si="919"/>
        <v>0</v>
      </c>
      <c r="EE174" s="587">
        <f t="shared" si="920"/>
        <v>0</v>
      </c>
      <c r="EF174" s="587">
        <f t="shared" si="921"/>
        <v>14</v>
      </c>
      <c r="EG174" s="587">
        <f t="shared" si="922"/>
        <v>0</v>
      </c>
      <c r="EH174" s="587">
        <f t="shared" si="923"/>
        <v>14</v>
      </c>
      <c r="EI174" s="587">
        <f t="shared" si="924"/>
        <v>14</v>
      </c>
      <c r="EJ174" s="587">
        <f t="shared" si="925"/>
        <v>14</v>
      </c>
      <c r="EK174" s="587">
        <f t="shared" si="926"/>
        <v>0</v>
      </c>
      <c r="EL174" s="587">
        <f t="shared" si="927"/>
        <v>0</v>
      </c>
      <c r="EM174" s="587">
        <f t="shared" si="928"/>
        <v>0</v>
      </c>
      <c r="EN174" s="587">
        <f t="shared" si="929"/>
        <v>0</v>
      </c>
      <c r="EO174" s="587">
        <f t="shared" si="930"/>
        <v>0</v>
      </c>
      <c r="EP174" s="587">
        <f t="shared" si="931"/>
        <v>0</v>
      </c>
      <c r="EQ174" s="587">
        <f t="shared" si="932"/>
        <v>0</v>
      </c>
      <c r="ER174" s="587">
        <f t="shared" si="933"/>
        <v>0</v>
      </c>
      <c r="ES174" s="587">
        <f t="shared" si="934"/>
        <v>0</v>
      </c>
      <c r="ET174" s="587">
        <f t="shared" si="934"/>
        <v>0</v>
      </c>
      <c r="EU174" s="587">
        <f t="shared" si="935"/>
        <v>0</v>
      </c>
      <c r="EV174" s="587">
        <f t="shared" si="936"/>
        <v>0</v>
      </c>
      <c r="EW174" s="587">
        <f t="shared" si="937"/>
        <v>0</v>
      </c>
      <c r="EX174" s="587">
        <f t="shared" si="938"/>
        <v>0</v>
      </c>
      <c r="EY174" s="587">
        <f t="shared" si="939"/>
        <v>0</v>
      </c>
      <c r="EZ174" s="587">
        <f t="shared" si="940"/>
        <v>0</v>
      </c>
      <c r="FA174" s="587">
        <f t="shared" si="941"/>
        <v>0</v>
      </c>
      <c r="FB174" s="587">
        <f t="shared" si="942"/>
        <v>0</v>
      </c>
      <c r="FC174" s="587">
        <f t="shared" si="943"/>
        <v>0</v>
      </c>
      <c r="FD174" s="587">
        <f t="shared" si="944"/>
        <v>0</v>
      </c>
      <c r="FE174" s="587">
        <f t="shared" si="945"/>
        <v>0</v>
      </c>
      <c r="FF174" s="587">
        <f t="shared" si="946"/>
        <v>0</v>
      </c>
      <c r="FG174" s="587">
        <f t="shared" si="947"/>
        <v>0</v>
      </c>
      <c r="FH174" s="587">
        <f t="shared" si="948"/>
        <v>0</v>
      </c>
      <c r="FI174" s="587">
        <f t="shared" si="949"/>
        <v>0</v>
      </c>
      <c r="FJ174" s="587">
        <f t="shared" si="950"/>
        <v>0</v>
      </c>
      <c r="FK174" s="587">
        <f t="shared" si="951"/>
        <v>0</v>
      </c>
      <c r="FL174" s="587">
        <f t="shared" si="952"/>
        <v>0</v>
      </c>
      <c r="FM174" s="587">
        <f t="shared" si="953"/>
        <v>0</v>
      </c>
      <c r="FN174" s="587">
        <f t="shared" si="954"/>
        <v>0</v>
      </c>
      <c r="FO174" s="587">
        <f t="shared" si="955"/>
        <v>0</v>
      </c>
      <c r="FP174" s="587">
        <f t="shared" si="956"/>
        <v>0</v>
      </c>
      <c r="FQ174" s="587">
        <f t="shared" si="957"/>
        <v>0</v>
      </c>
      <c r="FR174" s="587">
        <f t="shared" si="958"/>
        <v>0</v>
      </c>
      <c r="FS174" s="587">
        <f t="shared" si="959"/>
        <v>0</v>
      </c>
      <c r="FT174" s="587">
        <f t="shared" si="960"/>
        <v>0</v>
      </c>
      <c r="FU174" s="587">
        <f t="shared" si="860"/>
        <v>0</v>
      </c>
      <c r="FV174" s="587">
        <f t="shared" si="861"/>
        <v>0</v>
      </c>
      <c r="FW174" s="587">
        <f t="shared" si="862"/>
        <v>0</v>
      </c>
      <c r="FX174" s="587">
        <f t="shared" si="863"/>
        <v>0</v>
      </c>
      <c r="FY174" s="587">
        <f t="shared" si="961"/>
        <v>0</v>
      </c>
      <c r="FZ174" s="587">
        <f t="shared" si="962"/>
        <v>0</v>
      </c>
      <c r="GA174" s="587">
        <f t="shared" si="963"/>
        <v>0</v>
      </c>
      <c r="GB174" s="587">
        <f t="shared" si="964"/>
        <v>0</v>
      </c>
      <c r="GC174" s="587">
        <f t="shared" si="965"/>
        <v>0</v>
      </c>
      <c r="GD174" s="587">
        <f t="shared" si="966"/>
        <v>0</v>
      </c>
      <c r="GE174" s="587">
        <f t="shared" si="967"/>
        <v>0</v>
      </c>
      <c r="GF174" s="587">
        <f t="shared" si="968"/>
        <v>0</v>
      </c>
      <c r="GG174" s="587">
        <f t="shared" si="969"/>
        <v>0</v>
      </c>
      <c r="GH174" s="587">
        <f t="shared" si="970"/>
        <v>0</v>
      </c>
      <c r="GI174" s="587">
        <f t="shared" si="971"/>
        <v>0</v>
      </c>
      <c r="GJ174" s="587">
        <f t="shared" si="972"/>
        <v>0</v>
      </c>
      <c r="GK174" s="587">
        <f t="shared" si="1469"/>
        <v>0</v>
      </c>
      <c r="GL174" s="587">
        <f t="shared" si="975"/>
        <v>0</v>
      </c>
      <c r="GM174" s="587">
        <f t="shared" si="973"/>
        <v>0</v>
      </c>
    </row>
    <row r="175" spans="1:195" s="76" customFormat="1" ht="20.100000000000001" customHeight="1">
      <c r="A175" s="373"/>
      <c r="B175" s="373"/>
      <c r="C175" s="373"/>
      <c r="D175" s="508" t="s">
        <v>643</v>
      </c>
      <c r="E175" s="509"/>
      <c r="F175" s="510"/>
      <c r="G175" s="373"/>
      <c r="H175" s="382"/>
      <c r="I175" s="373"/>
      <c r="J175" s="373"/>
      <c r="K175" s="381"/>
      <c r="L175" s="376"/>
      <c r="M175" s="382"/>
      <c r="N175" s="375"/>
      <c r="O175" s="375"/>
      <c r="P175" s="376"/>
      <c r="Q175" s="382"/>
      <c r="R175" s="382"/>
      <c r="S175" s="382"/>
      <c r="T175" s="376"/>
      <c r="U175" s="382"/>
      <c r="V175" s="376"/>
      <c r="W175" s="376"/>
      <c r="X175" s="376"/>
      <c r="Y175" s="376"/>
      <c r="Z175" s="377"/>
      <c r="AA175" s="378"/>
      <c r="AB175" s="378"/>
      <c r="AC175" s="379"/>
      <c r="AD175" s="379"/>
      <c r="AE175" s="379"/>
      <c r="AF175" s="379"/>
      <c r="AG175" s="379"/>
      <c r="AH175" s="380"/>
      <c r="AI175" s="377"/>
      <c r="AJ175" s="375"/>
      <c r="AK175" s="377"/>
      <c r="AL175" s="377"/>
      <c r="AM175" s="377"/>
      <c r="AN175" s="383"/>
      <c r="AO175" s="382"/>
      <c r="AP175" s="381"/>
      <c r="AQ175" s="382"/>
      <c r="AR175" s="383"/>
      <c r="AS175" s="376"/>
      <c r="AT175" s="383"/>
      <c r="AU175" s="383"/>
      <c r="AV175" s="384"/>
      <c r="AW175" s="384"/>
      <c r="AX175" s="376"/>
      <c r="AY175" s="385"/>
      <c r="AZ175" s="385"/>
      <c r="BA175" s="513" t="str">
        <f t="shared" si="1277"/>
        <v/>
      </c>
      <c r="BB175" s="513"/>
      <c r="BC175" s="513"/>
      <c r="BE175" s="513"/>
      <c r="BF175" s="513"/>
      <c r="BG175" s="513"/>
      <c r="BH175" s="513"/>
      <c r="BI175" s="513"/>
      <c r="BJ175" s="513"/>
      <c r="BK175" s="513"/>
      <c r="BL175" s="513"/>
      <c r="BM175" s="513"/>
      <c r="BN175" s="513"/>
      <c r="BO175" s="513"/>
      <c r="BP175" s="513"/>
      <c r="BQ175" s="513"/>
      <c r="BR175" s="513"/>
      <c r="BS175" s="513"/>
      <c r="BT175" s="513"/>
      <c r="BU175" s="513"/>
      <c r="BV175" s="513"/>
      <c r="BW175" s="513"/>
      <c r="BX175" s="513"/>
      <c r="BY175" s="513"/>
      <c r="BZ175" s="513"/>
      <c r="CA175" s="513"/>
      <c r="CB175" s="513"/>
      <c r="CC175" s="513"/>
      <c r="CD175" s="513"/>
      <c r="CE175" s="513"/>
      <c r="CF175" s="513"/>
      <c r="CG175" s="513"/>
      <c r="CH175" s="513"/>
      <c r="CI175" s="513"/>
      <c r="CJ175" s="513"/>
      <c r="CK175" s="513"/>
      <c r="CL175" s="513"/>
      <c r="CM175" s="513"/>
      <c r="CN175" s="513"/>
      <c r="CO175" s="513"/>
      <c r="CP175" s="513"/>
      <c r="CQ175" s="513"/>
      <c r="CR175" s="513"/>
      <c r="CS175" s="513"/>
      <c r="CT175" s="513"/>
      <c r="CU175" s="513"/>
      <c r="CV175" s="513"/>
      <c r="CW175" s="513"/>
      <c r="CX175" s="513"/>
      <c r="CY175" s="513"/>
      <c r="CZ175" s="513"/>
      <c r="DA175" s="513"/>
      <c r="DB175" s="513"/>
      <c r="DC175" s="513"/>
      <c r="DD175" s="513"/>
      <c r="DE175" s="513"/>
      <c r="DF175" s="513"/>
      <c r="DG175" s="513"/>
      <c r="DH175" s="513"/>
      <c r="DI175" s="513"/>
      <c r="DJ175" s="513"/>
      <c r="DK175" s="513"/>
      <c r="DL175" s="513"/>
      <c r="DM175" s="513"/>
      <c r="DN175" s="513"/>
      <c r="DO175" s="513"/>
      <c r="DP175" s="513"/>
      <c r="DQ175" s="513"/>
      <c r="DR175" s="513"/>
      <c r="DS175" s="513"/>
      <c r="DT175" s="513"/>
      <c r="DU175" s="513"/>
      <c r="DV175" s="61"/>
      <c r="DW175" s="336">
        <f t="shared" si="1012"/>
        <v>0</v>
      </c>
      <c r="DX175" s="336">
        <f t="shared" si="1004"/>
        <v>0</v>
      </c>
      <c r="DY175" s="336">
        <f t="shared" si="1005"/>
        <v>0</v>
      </c>
      <c r="DZ175" s="336">
        <f t="shared" si="1006"/>
        <v>0</v>
      </c>
      <c r="EA175" s="336">
        <f t="shared" si="1007"/>
        <v>0</v>
      </c>
      <c r="EB175" s="336">
        <f t="shared" si="1008"/>
        <v>0</v>
      </c>
      <c r="EC175" s="336">
        <f t="shared" si="1009"/>
        <v>0</v>
      </c>
      <c r="ED175" s="336">
        <f t="shared" si="919"/>
        <v>0</v>
      </c>
      <c r="EE175" s="336">
        <f t="shared" si="920"/>
        <v>0</v>
      </c>
      <c r="EF175" s="336">
        <f t="shared" si="921"/>
        <v>0</v>
      </c>
      <c r="EG175" s="336">
        <f t="shared" si="922"/>
        <v>0</v>
      </c>
      <c r="EH175" s="336">
        <f t="shared" si="923"/>
        <v>0</v>
      </c>
      <c r="EI175" s="336">
        <f t="shared" si="924"/>
        <v>0</v>
      </c>
      <c r="EJ175" s="336">
        <f t="shared" si="925"/>
        <v>0</v>
      </c>
      <c r="EK175" s="336">
        <f t="shared" si="926"/>
        <v>0</v>
      </c>
      <c r="EL175" s="336">
        <f t="shared" si="927"/>
        <v>0</v>
      </c>
      <c r="EM175" s="336">
        <f t="shared" si="928"/>
        <v>0</v>
      </c>
      <c r="EN175" s="336">
        <f t="shared" si="929"/>
        <v>0</v>
      </c>
      <c r="EO175" s="336">
        <f t="shared" si="930"/>
        <v>0</v>
      </c>
      <c r="EP175" s="336">
        <f t="shared" si="931"/>
        <v>0</v>
      </c>
      <c r="EQ175" s="336">
        <f t="shared" si="932"/>
        <v>0</v>
      </c>
      <c r="ER175" s="336">
        <f t="shared" si="933"/>
        <v>0</v>
      </c>
      <c r="ES175" s="336">
        <f t="shared" si="934"/>
        <v>0</v>
      </c>
      <c r="ET175" s="336">
        <f t="shared" si="934"/>
        <v>0</v>
      </c>
      <c r="EU175" s="336">
        <f t="shared" si="935"/>
        <v>0</v>
      </c>
      <c r="EV175" s="336">
        <f t="shared" si="936"/>
        <v>0</v>
      </c>
      <c r="EW175" s="336">
        <f t="shared" si="937"/>
        <v>0</v>
      </c>
      <c r="EX175" s="336">
        <f t="shared" si="938"/>
        <v>0</v>
      </c>
      <c r="EY175" s="336">
        <f t="shared" si="939"/>
        <v>0</v>
      </c>
      <c r="EZ175" s="336">
        <f t="shared" si="940"/>
        <v>0</v>
      </c>
      <c r="FA175" s="336">
        <f t="shared" si="941"/>
        <v>0</v>
      </c>
      <c r="FB175" s="336">
        <f t="shared" si="942"/>
        <v>0</v>
      </c>
      <c r="FC175" s="336">
        <f t="shared" si="943"/>
        <v>0</v>
      </c>
      <c r="FD175" s="336">
        <f t="shared" si="944"/>
        <v>0</v>
      </c>
      <c r="FE175" s="336">
        <f t="shared" si="945"/>
        <v>0</v>
      </c>
      <c r="FF175" s="336">
        <f t="shared" si="946"/>
        <v>0</v>
      </c>
      <c r="FG175" s="336">
        <f t="shared" si="947"/>
        <v>0</v>
      </c>
      <c r="FH175" s="336">
        <f t="shared" si="948"/>
        <v>0</v>
      </c>
      <c r="FI175" s="336">
        <f t="shared" si="949"/>
        <v>0</v>
      </c>
      <c r="FJ175" s="336">
        <f t="shared" si="950"/>
        <v>0</v>
      </c>
      <c r="FK175" s="336">
        <f t="shared" si="951"/>
        <v>0</v>
      </c>
      <c r="FL175" s="336">
        <f t="shared" si="952"/>
        <v>0</v>
      </c>
      <c r="FM175" s="336">
        <f t="shared" si="953"/>
        <v>0</v>
      </c>
      <c r="FN175" s="336">
        <f t="shared" si="954"/>
        <v>0</v>
      </c>
      <c r="FO175" s="492">
        <f t="shared" si="955"/>
        <v>0</v>
      </c>
      <c r="FP175" s="492">
        <f t="shared" si="956"/>
        <v>0</v>
      </c>
      <c r="FQ175" s="492">
        <f t="shared" si="957"/>
        <v>0</v>
      </c>
      <c r="FR175" s="492">
        <f t="shared" si="958"/>
        <v>0</v>
      </c>
      <c r="FS175" s="492">
        <f t="shared" si="959"/>
        <v>0</v>
      </c>
      <c r="FT175" s="492">
        <f t="shared" si="960"/>
        <v>0</v>
      </c>
      <c r="FU175" s="336">
        <f t="shared" si="860"/>
        <v>0</v>
      </c>
      <c r="FV175" s="336">
        <f t="shared" si="861"/>
        <v>0</v>
      </c>
      <c r="FW175" s="336">
        <f t="shared" si="862"/>
        <v>0</v>
      </c>
      <c r="FX175" s="336">
        <f t="shared" si="863"/>
        <v>0</v>
      </c>
      <c r="FY175" s="492">
        <f t="shared" si="961"/>
        <v>0</v>
      </c>
      <c r="FZ175" s="492">
        <f t="shared" si="962"/>
        <v>0</v>
      </c>
      <c r="GA175" s="492">
        <f t="shared" si="963"/>
        <v>0</v>
      </c>
      <c r="GB175" s="492">
        <f t="shared" si="964"/>
        <v>0</v>
      </c>
      <c r="GC175" s="492">
        <f t="shared" si="965"/>
        <v>0</v>
      </c>
      <c r="GD175" s="492">
        <f t="shared" si="966"/>
        <v>0</v>
      </c>
      <c r="GE175" s="492">
        <f t="shared" si="967"/>
        <v>0</v>
      </c>
      <c r="GF175" s="492">
        <f t="shared" si="968"/>
        <v>0</v>
      </c>
      <c r="GG175" s="492">
        <f t="shared" si="969"/>
        <v>0</v>
      </c>
      <c r="GH175" s="492">
        <f t="shared" si="970"/>
        <v>0</v>
      </c>
      <c r="GI175" s="492">
        <f t="shared" si="971"/>
        <v>0</v>
      </c>
      <c r="GJ175" s="492">
        <f t="shared" si="972"/>
        <v>0</v>
      </c>
      <c r="GK175" s="492">
        <f t="shared" si="1469"/>
        <v>0</v>
      </c>
      <c r="GL175" s="336">
        <f t="shared" si="975"/>
        <v>0</v>
      </c>
      <c r="GM175" s="492">
        <f t="shared" si="973"/>
        <v>0</v>
      </c>
    </row>
    <row r="176" spans="1:195" ht="20.100000000000001" customHeight="1">
      <c r="A176" s="337">
        <f>1+A174</f>
        <v>128</v>
      </c>
      <c r="B176" s="545" t="s">
        <v>644</v>
      </c>
      <c r="C176" s="337" t="s">
        <v>636</v>
      </c>
      <c r="D176" s="895" t="s">
        <v>1678</v>
      </c>
      <c r="E176" s="453" t="s">
        <v>355</v>
      </c>
      <c r="F176" s="337" t="s">
        <v>29</v>
      </c>
      <c r="G176" s="337" t="s">
        <v>329</v>
      </c>
      <c r="H176" s="350">
        <v>0.5</v>
      </c>
      <c r="I176" s="337" t="s">
        <v>330</v>
      </c>
      <c r="J176" s="337" t="s">
        <v>331</v>
      </c>
      <c r="K176" s="349">
        <v>400</v>
      </c>
      <c r="L176" s="343">
        <v>0.85</v>
      </c>
      <c r="M176" s="350">
        <v>0.95</v>
      </c>
      <c r="N176" s="342">
        <f>IF(I176="kVA",IF(J176="3Ph",(H176*1000/(1.732*M176*K176)),(H176*1000/(M176*K176))),IF(I176="kW",IF(J176="3Ph",(H176*1000/(1.732*M176*K176*L176)),(H176*1000/(M176*K176*L176)))))</f>
        <v>0.89375728412186572</v>
      </c>
      <c r="O176" s="342">
        <f t="shared" si="1293"/>
        <v>0</v>
      </c>
      <c r="P176" s="343" t="str">
        <f>IF(G176="MOTOR",0.2,"0.00")</f>
        <v>0.00</v>
      </c>
      <c r="Q176" s="350">
        <v>65</v>
      </c>
      <c r="R176" s="350">
        <v>0</v>
      </c>
      <c r="S176" s="350">
        <f>(Q176*1000*SQRT(R176)/143)</f>
        <v>0</v>
      </c>
      <c r="T176" s="343" t="s">
        <v>131</v>
      </c>
      <c r="U176" s="350" t="s">
        <v>522</v>
      </c>
      <c r="V176" s="343">
        <v>4</v>
      </c>
      <c r="W176" s="343" t="str">
        <f>CONCATENATE(U176," X ",V176)</f>
        <v>4C X 4</v>
      </c>
      <c r="X176" s="343" t="str">
        <f>(IF(J176="1Ph",W176,IF(J176="3Ph",(IF(G176="MOTOR",(CONCATENATE(W176,"+PE")),W176)))))</f>
        <v>4C X 4</v>
      </c>
      <c r="Y176" s="343" t="s">
        <v>358</v>
      </c>
      <c r="Z176" s="344">
        <f>IF(T176="AIR",VLOOKUP(W176,'Catalogue Aluminium'!$B$9:$G$93,2,FALSE),IF(T176="GROUND",VLOOKUP(W176,'Catalogue Aluminium'!$B$9:$G$93,3,FALSE),IF(T176="DUCT",VLOOKUP(W176,'Catalogue Aluminium'!$B$9:$G$93,4,FALSE),IF(T176="TRENCH",VLOOKUP(W176,'Catalogue Aluminium'!$B$9:$G$93,2,FALSE)))))</f>
        <v>38</v>
      </c>
      <c r="AA176" s="345">
        <f>VLOOKUP(W176,'Catalogue Aluminium'!$B$9:$G$93,5,FALSE)</f>
        <v>5.9</v>
      </c>
      <c r="AB176" s="345">
        <f>VLOOKUP(W176,'Catalogue Aluminium'!$B$9:$G$93,6,FALSE)</f>
        <v>9.4700000000000006E-2</v>
      </c>
      <c r="AC176" s="401">
        <f t="shared" ref="AC176:AC180" si="1500">26+3</f>
        <v>29</v>
      </c>
      <c r="AD176" s="401">
        <f>40+50+38+50+58+60+17+64+23+24</f>
        <v>424</v>
      </c>
      <c r="AE176" s="401">
        <f t="shared" ref="AE176:AE180" si="1501">11+8+8+11</f>
        <v>38</v>
      </c>
      <c r="AF176" s="401">
        <v>8</v>
      </c>
      <c r="AG176" s="401">
        <f t="shared" ref="AG176:AG180" si="1502">ROUNDUP((SUM(AC176:AF176)*0.1),0)</f>
        <v>50</v>
      </c>
      <c r="AH176" s="347">
        <f t="shared" ref="AH176:AH180" si="1503">SUM(AC176:AG176)</f>
        <v>549</v>
      </c>
      <c r="AI176" s="344">
        <f>IF(T176="AIR",'Catalogue Aluminium'!$K$9,IF(T176="TRENCH",'Catalogue Aluminium'!$K$12,"NA"))</f>
        <v>0.89</v>
      </c>
      <c r="AJ176" s="342">
        <f>IF(T176="Air",(IF(U176="1C",'Catalogue Aluminium'!$L$9,'Catalogue Aluminium'!$M$9)),IF(T176="DUCT",(IF($U176="1C",'Catalogue Aluminium'!$L$10,'Catalogue Aluminium'!$M$10)),IF(T176="GROUND",(IF($U176="1C",'Catalogue Aluminium'!$L$11,'Catalogue Aluminium'!$M$11)),IF(T176="TRENCH",(IF($U176="1C",'Catalogue Aluminium'!$L$12,'Catalogue Aluminium'!$M$12))))))</f>
        <v>0.66</v>
      </c>
      <c r="AK176" s="344" t="str">
        <f>IF(T176="Air",'Catalogue Aluminium'!$N$9,IF(T176="GROUND",'Catalogue Aluminium'!$N$10,IF(T176="DUCT",'Catalogue Aluminium'!$N$11,IF(T176="TRENCH",'Catalogue Aluminium'!$N$12,"NA"))))</f>
        <v>NA</v>
      </c>
      <c r="AL176" s="344" t="str">
        <f>IF(T176="Air",(IF(U176="1C",'Catalogue Aluminium'!$O$9,'Catalogue Aluminium'!$P$9)),IF(T176="DUCT",(IF($U176="1C",'Catalogue Aluminium'!$O$10,'Catalogue Aluminium'!$P$10)),IF(T176="GROUND",(IF($U176="1C",'Catalogue Aluminium'!$O$11,'Catalogue Aluminium'!$P$11)),IF(T176="TRENCH",(IF($U176="1C",'Catalogue Aluminium'!$O$12,'Catalogue Aluminium'!$P$12))))))</f>
        <v>NA</v>
      </c>
      <c r="AM176" s="344" t="str">
        <f>IF(T176="AIR","NA",IF(T176="TRENCH","NA",IF(T176="DUCT",IF(U176="1C",VLOOKUP(V176,'Catalogue Aluminium'!$Q$9:$S$28,2,FALSE),VLOOKUP(V176,'Catalogue Aluminium'!$Q$9:$S$28,3)),IF(T176="GROUND",IF(U176="1C",VLOOKUP(V176,'Catalogue Aluminium'!$Q$9:$S$28,2,FALSE),VLOOKUP(V176,'Catalogue Aluminium'!$Q$9:$S$28,3))))))</f>
        <v>NA</v>
      </c>
      <c r="AN176" s="351">
        <f>IF(T176="AIR",AI176*AJ176,IF(T176="TRENCH",AI176*AJ176,IF(T176="DUCT",AJ176*AK176*AL176*AM176,IF(T176="GROUND",AJ176*AK176*AL176*AM176))))</f>
        <v>0.58740000000000003</v>
      </c>
      <c r="AO176" s="350">
        <f>Z176*AN176</f>
        <v>22.321200000000001</v>
      </c>
      <c r="AP176" s="349">
        <f t="shared" si="1303"/>
        <v>1</v>
      </c>
      <c r="AQ176" s="350" t="str">
        <f>IF(AO176*AP176&gt;=N176,"YES","NO")</f>
        <v>YES</v>
      </c>
      <c r="AR176" s="351">
        <f>SQRT(3)*AH176*N176*((AA176*L176)+(AB176*SIN(ACOS(L176))))*100/(AP176*K176*1000)</f>
        <v>1.0761239003419836</v>
      </c>
      <c r="AS176" s="343" t="str">
        <f>IF(G176="INCOMER",(IF(AR176&lt;=2,"YES","NO")),IF(G176="POWER",(IF(AR176&lt;=2.5,"YES","NO")),IF(G176="MOTOR",(IF(AR176&lt;=3,"YES","NO")))))</f>
        <v>YES</v>
      </c>
      <c r="AT176" s="351" t="str">
        <f>IF(G176="MOTOR",(SQRT(3)*AH176*O176*((AA176*P176)+(AB176*SIN(ACOS(P176))))*100/(AP176*K176*1000)),"NA")</f>
        <v>NA</v>
      </c>
      <c r="AU176" s="343" t="str">
        <f>IF(G176="MOTOR",IF(AT176&lt;=15,"YES","NO"),"NA")</f>
        <v>NA</v>
      </c>
      <c r="AV176" s="354" t="str">
        <f>IF(U176="1C",CONCATENATE(AP176,"R x ",Y176,"kV x ",U176," x ",V176," Sqmm/Phase"),CONCATENATE(AP176,"R x ",0.6,"/1kV x ",U176," x ",V176," Sqmm"))</f>
        <v>1R x 0.6/1kV x 4C x 4 Sqmm</v>
      </c>
      <c r="AW176" s="354" t="str">
        <f>IF(U176="1C",CONCATENATE(AP176,"R x ",Y176,"kV x ",U176," x ",V176," Sqmm/Phase"),CONCATENATE(AP176,"R x ",0.6,"/1kV x ",U176," x ",V176,(IF(G176="MOTOR","+PE",""))," Sqmm"))</f>
        <v>1R x 0.6/1kV x 4C x 4 Sqmm</v>
      </c>
      <c r="AX176" s="343">
        <f>(IF(K176=400,(IF(U176="1C",(4*AH176*AP176),(AH176*AP176))),IF(K176=230,(AH176*AP176))))</f>
        <v>549</v>
      </c>
      <c r="AY176" s="355"/>
      <c r="AZ176" s="355">
        <f>IF(U176="1C",(3*AP176*2),(AP176*2))</f>
        <v>2</v>
      </c>
      <c r="BA176" s="356" t="str">
        <f t="shared" ref="BA176:BA180" si="1504">CONCATENATE(IF(BE176=1,BE$4,""),IF(BF176=1,BF$4,""),IF(BG176=1,BG$4,""),IF(BH176=1,BH$4,""),IF(BI176=1,BI$4,""),IF(BJ176=1,BJ$4,""),IF(BK176=1,BK$4,""),IF(BL176=1,BL$4,""),IF(BM176=1,BM$4,""),IF(BN176=1,BN$4,""),IF(BO176=1,BO$4,""),IF(BP176=1,BP$4,""),IF(BQ176=1,BQ$4,""),IF(BR176=1,BR$4,""),IF(BS176=1,BS$4,""),IF(BT176=1,BT$4,""),IF(BU176=1,BU$4,""),IF(BV176=1,BV$4,""),IF(BW176=1,BW$4,""),IF(BX176=1,BX$4,""),IF(BY176=1,BY$4,""),IF(BZ176=1,BZ$4,""),IF(CA176=1,CA$4,""),IF(CB176=1,CB$4,""),IF(CC176=1,CC$4,""),IF(CD176=1,CD$4,""),IF(CE176=1,CE$4,""),IF(CF176=1,CF$4,""),IF(CG176=1,CG$4,""),IF(CH176=1,CH$4,""),IF(CI176=1,CI$4,""),IF(CJ176=1,CJ$4,""),IF(CK176=1,CK$4,""),IF(CL176=1,CL$4,""),IF(CM176=1,CM$4,""),IF(CN176=1,CN$4,""),IF(CO176=1,CO$4,""),IF(CP176=1,CP$4,""),IF(CQ176=1,CQ$4,""),IF(CR176=1,CR$4,""),IF(CS176=1,CS$4,""),IF(CT176=1,CT$4,""),IF(CU176=1,CU$4,""),IF(CV176=1,CV$4,""),IF(CW176=1,CW$4,""),IF(CX176=1,CX$4,""),IF(CY176=1,CY$4,""),IF(CZ176=1,CZ$4,""),IF(DA176=1,DA$4,""),IF(DB176=1,DB$4,""),IF(DC176=1,DC$4,""),IF(DD176=1,DD$4,""),IF(DE176=1,DE$4,""),IF(DF176=1,DF$4,""),IF(DG176=1,DG$4,""),IF(DH176=1,DH$4,""),IF(DI176=1,DI$4,""),IF(DJ176=1,DJ$4,""),IF(DK176=1,DK$4,""),IF(DL176=1,DL$4,""),IF(DM176=1,DM$4,""),IF(DN176=1,DN$4,""),IF(DO176=1,DO$4,""),IF(DP176=1,DP$4,""),IF(DQ176=1,DQ$4,""),IF(DR176=1,DR$4,""),IF(DS176=1,DS$4,""),IF(DT176=1,DT$4,""),IF(DU176=1,DU$4,""))</f>
        <v>ACDEFGHIJ</v>
      </c>
      <c r="BB176" s="501">
        <f>VLOOKUP(W176,'Catalogue Aluminium'!$B$9:$H$93,7,FALSE)</f>
        <v>16</v>
      </c>
      <c r="BC176" s="328">
        <f>AP176*BB176</f>
        <v>16</v>
      </c>
      <c r="BE176" s="336"/>
      <c r="BF176" s="336">
        <v>1</v>
      </c>
      <c r="BG176" s="336"/>
      <c r="BH176" s="336"/>
      <c r="BI176" s="336">
        <v>1</v>
      </c>
      <c r="BJ176" s="336">
        <v>1</v>
      </c>
      <c r="BK176" s="336"/>
      <c r="BL176" s="336"/>
      <c r="BM176" s="336"/>
      <c r="BN176" s="336">
        <v>1</v>
      </c>
      <c r="BO176" s="336"/>
      <c r="BP176" s="336"/>
      <c r="BQ176" s="336"/>
      <c r="BR176" s="336"/>
      <c r="BS176" s="336"/>
      <c r="BT176" s="336"/>
      <c r="BU176" s="336"/>
      <c r="BV176" s="336">
        <v>1</v>
      </c>
      <c r="BW176" s="336">
        <v>1</v>
      </c>
      <c r="BX176" s="336">
        <v>1</v>
      </c>
      <c r="BY176" s="336"/>
      <c r="BZ176" s="336">
        <v>1</v>
      </c>
      <c r="CA176" s="336"/>
      <c r="CB176" s="336"/>
      <c r="CC176" s="336"/>
      <c r="CD176" s="336">
        <v>1</v>
      </c>
      <c r="CE176" s="336"/>
      <c r="CF176" s="336"/>
      <c r="CG176" s="336"/>
      <c r="CH176" s="336"/>
      <c r="CI176" s="336"/>
      <c r="CJ176" s="336"/>
      <c r="CK176" s="336"/>
      <c r="CL176" s="336"/>
      <c r="CM176" s="336"/>
      <c r="CN176" s="336"/>
      <c r="CO176" s="336"/>
      <c r="CP176" s="336"/>
      <c r="CQ176" s="336"/>
      <c r="CR176" s="336"/>
      <c r="CS176" s="336"/>
      <c r="CT176" s="336"/>
      <c r="CU176" s="336"/>
      <c r="CV176" s="336"/>
      <c r="CW176" s="336"/>
      <c r="CX176" s="336"/>
      <c r="CY176" s="336"/>
      <c r="CZ176" s="336"/>
      <c r="DA176" s="336"/>
      <c r="DB176" s="336"/>
      <c r="DC176" s="336"/>
      <c r="DD176" s="336"/>
      <c r="DE176" s="336"/>
      <c r="DF176" s="336"/>
      <c r="DG176" s="336"/>
      <c r="DH176" s="336"/>
      <c r="DI176" s="336"/>
      <c r="DJ176" s="336"/>
      <c r="DK176" s="336"/>
      <c r="DL176" s="336"/>
      <c r="DM176" s="336"/>
      <c r="DN176" s="336"/>
      <c r="DO176" s="336"/>
      <c r="DP176" s="336"/>
      <c r="DQ176" s="336"/>
      <c r="DR176" s="336"/>
      <c r="DS176" s="336"/>
      <c r="DT176" s="336"/>
      <c r="DU176" s="336"/>
      <c r="DW176" s="336">
        <f t="shared" si="1012"/>
        <v>0</v>
      </c>
      <c r="DX176" s="336">
        <f t="shared" si="1004"/>
        <v>16</v>
      </c>
      <c r="DY176" s="336">
        <f t="shared" si="1005"/>
        <v>0</v>
      </c>
      <c r="DZ176" s="336">
        <f t="shared" si="1006"/>
        <v>0</v>
      </c>
      <c r="EA176" s="336">
        <f t="shared" si="1007"/>
        <v>16</v>
      </c>
      <c r="EB176" s="336">
        <f t="shared" si="1008"/>
        <v>16</v>
      </c>
      <c r="EC176" s="336">
        <f t="shared" si="1009"/>
        <v>0</v>
      </c>
      <c r="ED176" s="336">
        <f t="shared" si="919"/>
        <v>0</v>
      </c>
      <c r="EE176" s="336">
        <f t="shared" si="920"/>
        <v>0</v>
      </c>
      <c r="EF176" s="336">
        <f t="shared" si="921"/>
        <v>16</v>
      </c>
      <c r="EG176" s="336">
        <f t="shared" si="922"/>
        <v>0</v>
      </c>
      <c r="EH176" s="336">
        <f t="shared" si="923"/>
        <v>0</v>
      </c>
      <c r="EI176" s="336">
        <f t="shared" si="924"/>
        <v>0</v>
      </c>
      <c r="EJ176" s="336">
        <f t="shared" si="925"/>
        <v>0</v>
      </c>
      <c r="EK176" s="336">
        <f t="shared" si="926"/>
        <v>0</v>
      </c>
      <c r="EL176" s="336">
        <f t="shared" si="927"/>
        <v>0</v>
      </c>
      <c r="EM176" s="336">
        <f t="shared" si="928"/>
        <v>0</v>
      </c>
      <c r="EN176" s="336">
        <f t="shared" si="929"/>
        <v>16</v>
      </c>
      <c r="EO176" s="336">
        <f t="shared" si="930"/>
        <v>16</v>
      </c>
      <c r="EP176" s="336">
        <f t="shared" si="931"/>
        <v>16</v>
      </c>
      <c r="EQ176" s="336">
        <f t="shared" si="932"/>
        <v>0</v>
      </c>
      <c r="ER176" s="336">
        <f t="shared" si="933"/>
        <v>16</v>
      </c>
      <c r="ES176" s="336">
        <f t="shared" si="934"/>
        <v>0</v>
      </c>
      <c r="ET176" s="336">
        <f t="shared" si="934"/>
        <v>0</v>
      </c>
      <c r="EU176" s="336">
        <f t="shared" si="935"/>
        <v>0</v>
      </c>
      <c r="EV176" s="336">
        <f t="shared" si="936"/>
        <v>16</v>
      </c>
      <c r="EW176" s="336">
        <f t="shared" si="937"/>
        <v>0</v>
      </c>
      <c r="EX176" s="336">
        <f t="shared" si="938"/>
        <v>0</v>
      </c>
      <c r="EY176" s="336">
        <f t="shared" si="939"/>
        <v>0</v>
      </c>
      <c r="EZ176" s="336">
        <f t="shared" si="940"/>
        <v>0</v>
      </c>
      <c r="FA176" s="336">
        <f t="shared" si="941"/>
        <v>0</v>
      </c>
      <c r="FB176" s="336">
        <f t="shared" si="942"/>
        <v>0</v>
      </c>
      <c r="FC176" s="336">
        <f t="shared" si="943"/>
        <v>0</v>
      </c>
      <c r="FD176" s="336">
        <f t="shared" si="944"/>
        <v>0</v>
      </c>
      <c r="FE176" s="336">
        <f t="shared" si="945"/>
        <v>0</v>
      </c>
      <c r="FF176" s="336">
        <f t="shared" si="946"/>
        <v>0</v>
      </c>
      <c r="FG176" s="336">
        <f t="shared" si="947"/>
        <v>0</v>
      </c>
      <c r="FH176" s="336">
        <f t="shared" si="948"/>
        <v>0</v>
      </c>
      <c r="FI176" s="336">
        <f t="shared" si="949"/>
        <v>0</v>
      </c>
      <c r="FJ176" s="336">
        <f t="shared" si="950"/>
        <v>0</v>
      </c>
      <c r="FK176" s="336">
        <f t="shared" si="951"/>
        <v>0</v>
      </c>
      <c r="FL176" s="336">
        <f t="shared" si="952"/>
        <v>0</v>
      </c>
      <c r="FM176" s="336">
        <f t="shared" si="953"/>
        <v>0</v>
      </c>
      <c r="FN176" s="336">
        <f t="shared" si="954"/>
        <v>0</v>
      </c>
      <c r="FO176" s="336">
        <f t="shared" si="955"/>
        <v>0</v>
      </c>
      <c r="FP176" s="336">
        <f t="shared" si="956"/>
        <v>0</v>
      </c>
      <c r="FQ176" s="336">
        <f t="shared" si="957"/>
        <v>0</v>
      </c>
      <c r="FR176" s="336">
        <f t="shared" si="958"/>
        <v>0</v>
      </c>
      <c r="FS176" s="336">
        <f t="shared" si="959"/>
        <v>0</v>
      </c>
      <c r="FT176" s="336">
        <f t="shared" si="960"/>
        <v>0</v>
      </c>
      <c r="FU176" s="336">
        <f t="shared" si="860"/>
        <v>0</v>
      </c>
      <c r="FV176" s="336">
        <f t="shared" si="861"/>
        <v>0</v>
      </c>
      <c r="FW176" s="336">
        <f t="shared" si="862"/>
        <v>0</v>
      </c>
      <c r="FX176" s="336">
        <f t="shared" si="863"/>
        <v>0</v>
      </c>
      <c r="FY176" s="336">
        <f t="shared" si="961"/>
        <v>0</v>
      </c>
      <c r="FZ176" s="336">
        <f t="shared" si="962"/>
        <v>0</v>
      </c>
      <c r="GA176" s="336">
        <f t="shared" si="963"/>
        <v>0</v>
      </c>
      <c r="GB176" s="336">
        <f t="shared" si="964"/>
        <v>0</v>
      </c>
      <c r="GC176" s="336">
        <f t="shared" si="965"/>
        <v>0</v>
      </c>
      <c r="GD176" s="336">
        <f t="shared" si="966"/>
        <v>0</v>
      </c>
      <c r="GE176" s="336">
        <f t="shared" si="967"/>
        <v>0</v>
      </c>
      <c r="GF176" s="336">
        <f t="shared" si="968"/>
        <v>0</v>
      </c>
      <c r="GG176" s="336">
        <f t="shared" si="969"/>
        <v>0</v>
      </c>
      <c r="GH176" s="336">
        <f t="shared" si="970"/>
        <v>0</v>
      </c>
      <c r="GI176" s="336">
        <f t="shared" si="971"/>
        <v>0</v>
      </c>
      <c r="GJ176" s="336">
        <f t="shared" si="972"/>
        <v>0</v>
      </c>
      <c r="GK176" s="336">
        <f t="shared" si="1469"/>
        <v>0</v>
      </c>
      <c r="GL176" s="336">
        <f t="shared" si="975"/>
        <v>0</v>
      </c>
      <c r="GM176" s="336">
        <f t="shared" si="973"/>
        <v>0</v>
      </c>
    </row>
    <row r="177" spans="1:195" ht="20.100000000000001" customHeight="1">
      <c r="A177" s="337">
        <f t="shared" ref="A177:A180" si="1505">1+A176</f>
        <v>129</v>
      </c>
      <c r="B177" s="545" t="s">
        <v>645</v>
      </c>
      <c r="C177" s="337" t="s">
        <v>636</v>
      </c>
      <c r="D177" s="427" t="s">
        <v>646</v>
      </c>
      <c r="E177" s="453" t="s">
        <v>355</v>
      </c>
      <c r="F177" s="337" t="s">
        <v>29</v>
      </c>
      <c r="G177" s="337" t="s">
        <v>329</v>
      </c>
      <c r="H177" s="350">
        <v>1</v>
      </c>
      <c r="I177" s="337" t="s">
        <v>330</v>
      </c>
      <c r="J177" s="337" t="s">
        <v>331</v>
      </c>
      <c r="K177" s="349">
        <v>400</v>
      </c>
      <c r="L177" s="343">
        <v>0.85</v>
      </c>
      <c r="M177" s="350">
        <v>0.95</v>
      </c>
      <c r="N177" s="342">
        <f>IF(I177="kVA",IF(J177="3Ph",(H177*1000/(1.732*M177*K177)),(H177*1000/(M177*K177))),IF(I177="kW",IF(J177="3Ph",(H177*1000/(1.732*M177*K177*L177)),(H177*1000/(M177*K177*L177)))))</f>
        <v>1.7875145682437314</v>
      </c>
      <c r="O177" s="342">
        <f t="shared" si="1293"/>
        <v>0</v>
      </c>
      <c r="P177" s="343" t="str">
        <f>IF(G177="MOTOR",0.2,"0.00")</f>
        <v>0.00</v>
      </c>
      <c r="Q177" s="350">
        <v>65</v>
      </c>
      <c r="R177" s="350">
        <v>0</v>
      </c>
      <c r="S177" s="350">
        <f>(Q177*1000*SQRT(R177)/143)</f>
        <v>0</v>
      </c>
      <c r="T177" s="343" t="s">
        <v>131</v>
      </c>
      <c r="U177" s="350" t="s">
        <v>522</v>
      </c>
      <c r="V177" s="343">
        <v>4</v>
      </c>
      <c r="W177" s="343" t="str">
        <f>CONCATENATE(U177," X ",V177)</f>
        <v>4C X 4</v>
      </c>
      <c r="X177" s="343" t="str">
        <f>(IF(J177="1Ph",W177,IF(J177="3Ph",(IF(G177="MOTOR",(CONCATENATE(W177,"+PE")),W177)))))</f>
        <v>4C X 4</v>
      </c>
      <c r="Y177" s="343" t="s">
        <v>358</v>
      </c>
      <c r="Z177" s="344">
        <f>IF(T177="AIR",VLOOKUP(W177,'Catalogue Aluminium'!$B$9:$G$93,2,FALSE),IF(T177="GROUND",VLOOKUP(W177,'Catalogue Aluminium'!$B$9:$G$93,3,FALSE),IF(T177="DUCT",VLOOKUP(W177,'Catalogue Aluminium'!$B$9:$G$93,4,FALSE),IF(T177="TRENCH",VLOOKUP(W177,'Catalogue Aluminium'!$B$9:$G$93,2,FALSE)))))</f>
        <v>38</v>
      </c>
      <c r="AA177" s="345">
        <f>VLOOKUP(W177,'Catalogue Aluminium'!$B$9:$G$93,5,FALSE)</f>
        <v>5.9</v>
      </c>
      <c r="AB177" s="345">
        <f>VLOOKUP(W177,'Catalogue Aluminium'!$B$9:$G$93,6,FALSE)</f>
        <v>9.4700000000000006E-2</v>
      </c>
      <c r="AC177" s="401">
        <f t="shared" si="1500"/>
        <v>29</v>
      </c>
      <c r="AD177" s="401">
        <f>40+50+38+50+58+60+17+28+18+3</f>
        <v>362</v>
      </c>
      <c r="AE177" s="401">
        <f t="shared" si="1501"/>
        <v>38</v>
      </c>
      <c r="AF177" s="401">
        <v>8</v>
      </c>
      <c r="AG177" s="401">
        <f t="shared" si="1502"/>
        <v>44</v>
      </c>
      <c r="AH177" s="347">
        <f t="shared" si="1503"/>
        <v>481</v>
      </c>
      <c r="AI177" s="344">
        <f>IF(T177="AIR",'Catalogue Aluminium'!$K$9,IF(T177="TRENCH",'Catalogue Aluminium'!$K$12,"NA"))</f>
        <v>0.89</v>
      </c>
      <c r="AJ177" s="342">
        <f>IF(T177="Air",(IF(U177="1C",'Catalogue Aluminium'!$L$9,'Catalogue Aluminium'!$M$9)),IF(T177="DUCT",(IF($U177="1C",'Catalogue Aluminium'!$L$10,'Catalogue Aluminium'!$M$10)),IF(T177="GROUND",(IF($U177="1C",'Catalogue Aluminium'!$L$11,'Catalogue Aluminium'!$M$11)),IF(T177="TRENCH",(IF($U177="1C",'Catalogue Aluminium'!$L$12,'Catalogue Aluminium'!$M$12))))))</f>
        <v>0.66</v>
      </c>
      <c r="AK177" s="344" t="str">
        <f>IF(T177="Air",'Catalogue Aluminium'!$N$9,IF(T177="GROUND",'Catalogue Aluminium'!$N$10,IF(T177="DUCT",'Catalogue Aluminium'!$N$11,IF(T177="TRENCH",'Catalogue Aluminium'!$N$12,"NA"))))</f>
        <v>NA</v>
      </c>
      <c r="AL177" s="344" t="str">
        <f>IF(T177="Air",(IF(U177="1C",'Catalogue Aluminium'!$O$9,'Catalogue Aluminium'!$P$9)),IF(T177="DUCT",(IF($U177="1C",'Catalogue Aluminium'!$O$10,'Catalogue Aluminium'!$P$10)),IF(T177="GROUND",(IF($U177="1C",'Catalogue Aluminium'!$O$11,'Catalogue Aluminium'!$P$11)),IF(T177="TRENCH",(IF($U177="1C",'Catalogue Aluminium'!$O$12,'Catalogue Aluminium'!$P$12))))))</f>
        <v>NA</v>
      </c>
      <c r="AM177" s="344" t="str">
        <f>IF(T177="AIR","NA",IF(T177="TRENCH","NA",IF(T177="DUCT",IF(U177="1C",VLOOKUP(V177,'Catalogue Aluminium'!$Q$9:$S$28,2,FALSE),VLOOKUP(V177,'Catalogue Aluminium'!$Q$9:$S$28,3)),IF(T177="GROUND",IF(U177="1C",VLOOKUP(V177,'Catalogue Aluminium'!$Q$9:$S$28,2,FALSE),VLOOKUP(V177,'Catalogue Aluminium'!$Q$9:$S$28,3))))))</f>
        <v>NA</v>
      </c>
      <c r="AN177" s="351">
        <f>IF(T177="AIR",AI177*AJ177,IF(T177="TRENCH",AI177*AJ177,IF(T177="DUCT",AJ177*AK177*AL177*AM177,IF(T177="GROUND",AJ177*AK177*AL177*AM177))))</f>
        <v>0.58740000000000003</v>
      </c>
      <c r="AO177" s="350">
        <f>Z177*AN177</f>
        <v>22.321200000000001</v>
      </c>
      <c r="AP177" s="349">
        <f t="shared" si="1303"/>
        <v>1</v>
      </c>
      <c r="AQ177" s="350" t="str">
        <f>IF(AO177*AP177&gt;=N177,"YES","NO")</f>
        <v>YES</v>
      </c>
      <c r="AR177" s="351">
        <f>SQRT(3)*AH177*N177*((AA177*L177)+(AB177*SIN(ACOS(L177))))*100/(AP177*K177*1000)</f>
        <v>1.8856670166283935</v>
      </c>
      <c r="AS177" s="343" t="str">
        <f>IF(G177="INCOMER",(IF(AR177&lt;=2,"YES","NO")),IF(G177="POWER",(IF(AR177&lt;=2.5,"YES","NO")),IF(G177="MOTOR",(IF(AR177&lt;=3,"YES","NO")))))</f>
        <v>YES</v>
      </c>
      <c r="AT177" s="351" t="str">
        <f>IF(G177="MOTOR",(SQRT(3)*AH177*O177*((AA177*P177)+(AB177*SIN(ACOS(P177))))*100/(AP177*K177*1000)),"NA")</f>
        <v>NA</v>
      </c>
      <c r="AU177" s="343" t="str">
        <f>IF(G177="MOTOR",IF(AT177&lt;=15,"YES","NO"),"NA")</f>
        <v>NA</v>
      </c>
      <c r="AV177" s="354" t="str">
        <f>IF(U177="1C",CONCATENATE(AP177,"R x ",Y177,"kV x ",U177," x ",V177," Sqmm/Phase"),CONCATENATE(AP177,"R x ",0.6,"/1kV x ",U177," x ",V177," Sqmm"))</f>
        <v>1R x 0.6/1kV x 4C x 4 Sqmm</v>
      </c>
      <c r="AW177" s="354" t="str">
        <f>IF(U177="1C",CONCATENATE(AP177,"R x ",Y177,"kV x ",U177," x ",V177," Sqmm/Phase"),CONCATENATE(AP177,"R x ",0.6,"/1kV x ",U177," x ",V177,(IF(G177="MOTOR","+PE",""))," Sqmm"))</f>
        <v>1R x 0.6/1kV x 4C x 4 Sqmm</v>
      </c>
      <c r="AX177" s="343">
        <f>(IF(K177=400,(IF(U177="1C",(4*AH177*AP177),(AH177*AP177))),IF(K177=230,(AH177*AP177))))</f>
        <v>481</v>
      </c>
      <c r="AY177" s="355"/>
      <c r="AZ177" s="355">
        <f>IF(U177="1C",(3*AP177*2),(AP177*2))</f>
        <v>2</v>
      </c>
      <c r="BA177" s="356" t="str">
        <f t="shared" si="1504"/>
        <v>ACDEFGHIJ</v>
      </c>
      <c r="BB177" s="501">
        <f>VLOOKUP(W177,'Catalogue Aluminium'!$B$9:$H$93,7,FALSE)</f>
        <v>16</v>
      </c>
      <c r="BC177" s="328">
        <f>AP177*BB177</f>
        <v>16</v>
      </c>
      <c r="BE177" s="336"/>
      <c r="BF177" s="336">
        <v>1</v>
      </c>
      <c r="BG177" s="336"/>
      <c r="BH177" s="336"/>
      <c r="BI177" s="336">
        <v>1</v>
      </c>
      <c r="BJ177" s="336">
        <v>1</v>
      </c>
      <c r="BK177" s="336"/>
      <c r="BL177" s="336"/>
      <c r="BM177" s="336"/>
      <c r="BN177" s="336">
        <v>1</v>
      </c>
      <c r="BO177" s="336"/>
      <c r="BP177" s="336"/>
      <c r="BQ177" s="336"/>
      <c r="BR177" s="336"/>
      <c r="BS177" s="336"/>
      <c r="BT177" s="336"/>
      <c r="BU177" s="336"/>
      <c r="BV177" s="336">
        <v>1</v>
      </c>
      <c r="BW177" s="336">
        <v>1</v>
      </c>
      <c r="BX177" s="336">
        <v>1</v>
      </c>
      <c r="BY177" s="336"/>
      <c r="BZ177" s="336">
        <v>1</v>
      </c>
      <c r="CA177" s="336"/>
      <c r="CB177" s="336"/>
      <c r="CC177" s="336"/>
      <c r="CD177" s="336">
        <v>1</v>
      </c>
      <c r="CE177" s="336"/>
      <c r="CF177" s="336"/>
      <c r="CG177" s="336"/>
      <c r="CH177" s="336"/>
      <c r="CI177" s="336"/>
      <c r="CJ177" s="336"/>
      <c r="CK177" s="336"/>
      <c r="CL177" s="336"/>
      <c r="CM177" s="336"/>
      <c r="CN177" s="336"/>
      <c r="CO177" s="336"/>
      <c r="CP177" s="336"/>
      <c r="CQ177" s="336"/>
      <c r="CR177" s="336"/>
      <c r="CS177" s="336"/>
      <c r="CT177" s="336"/>
      <c r="CU177" s="336"/>
      <c r="CV177" s="336"/>
      <c r="CW177" s="336"/>
      <c r="CX177" s="336"/>
      <c r="CY177" s="336"/>
      <c r="CZ177" s="336"/>
      <c r="DA177" s="336"/>
      <c r="DB177" s="336"/>
      <c r="DC177" s="336"/>
      <c r="DD177" s="336"/>
      <c r="DE177" s="336"/>
      <c r="DF177" s="336"/>
      <c r="DG177" s="336"/>
      <c r="DH177" s="336"/>
      <c r="DI177" s="336"/>
      <c r="DJ177" s="336"/>
      <c r="DK177" s="336"/>
      <c r="DL177" s="336"/>
      <c r="DM177" s="336"/>
      <c r="DN177" s="336"/>
      <c r="DO177" s="336"/>
      <c r="DP177" s="336"/>
      <c r="DQ177" s="336"/>
      <c r="DR177" s="336"/>
      <c r="DS177" s="336"/>
      <c r="DT177" s="336"/>
      <c r="DU177" s="336"/>
      <c r="DW177" s="336">
        <f t="shared" si="1012"/>
        <v>0</v>
      </c>
      <c r="DX177" s="336">
        <f t="shared" si="1004"/>
        <v>16</v>
      </c>
      <c r="DY177" s="336">
        <f t="shared" si="1005"/>
        <v>0</v>
      </c>
      <c r="DZ177" s="336">
        <f t="shared" si="1006"/>
        <v>0</v>
      </c>
      <c r="EA177" s="336">
        <f t="shared" si="1007"/>
        <v>16</v>
      </c>
      <c r="EB177" s="336">
        <f t="shared" si="1008"/>
        <v>16</v>
      </c>
      <c r="EC177" s="336">
        <f t="shared" si="1009"/>
        <v>0</v>
      </c>
      <c r="ED177" s="336">
        <f t="shared" si="919"/>
        <v>0</v>
      </c>
      <c r="EE177" s="336">
        <f t="shared" si="920"/>
        <v>0</v>
      </c>
      <c r="EF177" s="336">
        <f t="shared" si="921"/>
        <v>16</v>
      </c>
      <c r="EG177" s="336">
        <f t="shared" si="922"/>
        <v>0</v>
      </c>
      <c r="EH177" s="336">
        <f t="shared" si="923"/>
        <v>0</v>
      </c>
      <c r="EI177" s="336">
        <f t="shared" si="924"/>
        <v>0</v>
      </c>
      <c r="EJ177" s="336">
        <f t="shared" si="925"/>
        <v>0</v>
      </c>
      <c r="EK177" s="336">
        <f t="shared" si="926"/>
        <v>0</v>
      </c>
      <c r="EL177" s="336">
        <f t="shared" si="927"/>
        <v>0</v>
      </c>
      <c r="EM177" s="336">
        <f t="shared" si="928"/>
        <v>0</v>
      </c>
      <c r="EN177" s="336">
        <f t="shared" si="929"/>
        <v>16</v>
      </c>
      <c r="EO177" s="336">
        <f t="shared" si="930"/>
        <v>16</v>
      </c>
      <c r="EP177" s="336">
        <f t="shared" si="931"/>
        <v>16</v>
      </c>
      <c r="EQ177" s="336">
        <f t="shared" si="932"/>
        <v>0</v>
      </c>
      <c r="ER177" s="336">
        <f t="shared" si="933"/>
        <v>16</v>
      </c>
      <c r="ES177" s="336">
        <f t="shared" si="934"/>
        <v>0</v>
      </c>
      <c r="ET177" s="336">
        <f t="shared" si="934"/>
        <v>0</v>
      </c>
      <c r="EU177" s="336">
        <f t="shared" si="935"/>
        <v>0</v>
      </c>
      <c r="EV177" s="336">
        <f t="shared" si="936"/>
        <v>16</v>
      </c>
      <c r="EW177" s="336">
        <f t="shared" si="937"/>
        <v>0</v>
      </c>
      <c r="EX177" s="336">
        <f t="shared" si="938"/>
        <v>0</v>
      </c>
      <c r="EY177" s="336">
        <f t="shared" si="939"/>
        <v>0</v>
      </c>
      <c r="EZ177" s="336">
        <f t="shared" si="940"/>
        <v>0</v>
      </c>
      <c r="FA177" s="336">
        <f t="shared" si="941"/>
        <v>0</v>
      </c>
      <c r="FB177" s="336">
        <f t="shared" si="942"/>
        <v>0</v>
      </c>
      <c r="FC177" s="336">
        <f t="shared" si="943"/>
        <v>0</v>
      </c>
      <c r="FD177" s="336">
        <f t="shared" si="944"/>
        <v>0</v>
      </c>
      <c r="FE177" s="336">
        <f t="shared" si="945"/>
        <v>0</v>
      </c>
      <c r="FF177" s="336">
        <f t="shared" si="946"/>
        <v>0</v>
      </c>
      <c r="FG177" s="336">
        <f t="shared" si="947"/>
        <v>0</v>
      </c>
      <c r="FH177" s="336">
        <f t="shared" si="948"/>
        <v>0</v>
      </c>
      <c r="FI177" s="336">
        <f t="shared" si="949"/>
        <v>0</v>
      </c>
      <c r="FJ177" s="336">
        <f t="shared" si="950"/>
        <v>0</v>
      </c>
      <c r="FK177" s="336">
        <f t="shared" si="951"/>
        <v>0</v>
      </c>
      <c r="FL177" s="336">
        <f t="shared" si="952"/>
        <v>0</v>
      </c>
      <c r="FM177" s="336">
        <f t="shared" si="953"/>
        <v>0</v>
      </c>
      <c r="FN177" s="336">
        <f t="shared" si="954"/>
        <v>0</v>
      </c>
      <c r="FO177" s="336">
        <f t="shared" si="955"/>
        <v>0</v>
      </c>
      <c r="FP177" s="336">
        <f t="shared" si="956"/>
        <v>0</v>
      </c>
      <c r="FQ177" s="336">
        <f t="shared" si="957"/>
        <v>0</v>
      </c>
      <c r="FR177" s="336">
        <f t="shared" si="958"/>
        <v>0</v>
      </c>
      <c r="FS177" s="336">
        <f t="shared" si="959"/>
        <v>0</v>
      </c>
      <c r="FT177" s="336">
        <f t="shared" si="960"/>
        <v>0</v>
      </c>
      <c r="FU177" s="336">
        <f t="shared" si="860"/>
        <v>0</v>
      </c>
      <c r="FV177" s="336">
        <f t="shared" si="861"/>
        <v>0</v>
      </c>
      <c r="FW177" s="336">
        <f t="shared" si="862"/>
        <v>0</v>
      </c>
      <c r="FX177" s="336">
        <f t="shared" si="863"/>
        <v>0</v>
      </c>
      <c r="FY177" s="336">
        <f t="shared" si="961"/>
        <v>0</v>
      </c>
      <c r="FZ177" s="336">
        <f t="shared" si="962"/>
        <v>0</v>
      </c>
      <c r="GA177" s="336">
        <f t="shared" si="963"/>
        <v>0</v>
      </c>
      <c r="GB177" s="336">
        <f t="shared" si="964"/>
        <v>0</v>
      </c>
      <c r="GC177" s="336">
        <f t="shared" si="965"/>
        <v>0</v>
      </c>
      <c r="GD177" s="336">
        <f t="shared" si="966"/>
        <v>0</v>
      </c>
      <c r="GE177" s="336">
        <f t="shared" si="967"/>
        <v>0</v>
      </c>
      <c r="GF177" s="336">
        <f t="shared" si="968"/>
        <v>0</v>
      </c>
      <c r="GG177" s="336">
        <f t="shared" si="969"/>
        <v>0</v>
      </c>
      <c r="GH177" s="336">
        <f t="shared" si="970"/>
        <v>0</v>
      </c>
      <c r="GI177" s="336">
        <f t="shared" si="971"/>
        <v>0</v>
      </c>
      <c r="GJ177" s="336">
        <f t="shared" si="972"/>
        <v>0</v>
      </c>
      <c r="GK177" s="336">
        <f t="shared" si="1469"/>
        <v>0</v>
      </c>
      <c r="GL177" s="336">
        <f t="shared" si="975"/>
        <v>0</v>
      </c>
      <c r="GM177" s="336">
        <f t="shared" si="973"/>
        <v>0</v>
      </c>
    </row>
    <row r="178" spans="1:195" ht="20.100000000000001" customHeight="1">
      <c r="A178" s="337">
        <f t="shared" si="1505"/>
        <v>130</v>
      </c>
      <c r="B178" s="545" t="s">
        <v>647</v>
      </c>
      <c r="C178" s="337" t="s">
        <v>636</v>
      </c>
      <c r="D178" s="427" t="s">
        <v>648</v>
      </c>
      <c r="E178" s="453" t="s">
        <v>355</v>
      </c>
      <c r="F178" s="337" t="s">
        <v>29</v>
      </c>
      <c r="G178" s="337" t="s">
        <v>329</v>
      </c>
      <c r="H178" s="350">
        <v>1</v>
      </c>
      <c r="I178" s="337" t="s">
        <v>330</v>
      </c>
      <c r="J178" s="337" t="s">
        <v>331</v>
      </c>
      <c r="K178" s="349">
        <v>400</v>
      </c>
      <c r="L178" s="343">
        <v>0.85</v>
      </c>
      <c r="M178" s="350">
        <v>0.95</v>
      </c>
      <c r="N178" s="342">
        <f>IF(I178="kVA",IF(J178="3Ph",(H178*1000/(1.732*M178*K178)),(H178*1000/(M178*K178))),IF(I178="kW",IF(J178="3Ph",(H178*1000/(1.732*M178*K178*L178)),(H178*1000/(M178*K178*L178)))))</f>
        <v>1.7875145682437314</v>
      </c>
      <c r="O178" s="342">
        <f t="shared" si="1293"/>
        <v>0</v>
      </c>
      <c r="P178" s="343" t="str">
        <f>IF(G178="MOTOR",0.2,"0.00")</f>
        <v>0.00</v>
      </c>
      <c r="Q178" s="350">
        <v>65</v>
      </c>
      <c r="R178" s="350">
        <v>0</v>
      </c>
      <c r="S178" s="350">
        <f>(Q178*1000*SQRT(R178)/143)</f>
        <v>0</v>
      </c>
      <c r="T178" s="343" t="s">
        <v>131</v>
      </c>
      <c r="U178" s="350" t="s">
        <v>522</v>
      </c>
      <c r="V178" s="343">
        <v>4</v>
      </c>
      <c r="W178" s="343" t="str">
        <f>CONCATENATE(U178," X ",V178)</f>
        <v>4C X 4</v>
      </c>
      <c r="X178" s="343" t="str">
        <f>(IF(J178="1Ph",W178,IF(J178="3Ph",(IF(G178="MOTOR",(CONCATENATE(W178,"+PE")),W178)))))</f>
        <v>4C X 4</v>
      </c>
      <c r="Y178" s="343" t="s">
        <v>358</v>
      </c>
      <c r="Z178" s="344">
        <f>IF(T178="AIR",VLOOKUP(W178,'Catalogue Aluminium'!$B$9:$G$93,2,FALSE),IF(T178="GROUND",VLOOKUP(W178,'Catalogue Aluminium'!$B$9:$G$93,3,FALSE),IF(T178="DUCT",VLOOKUP(W178,'Catalogue Aluminium'!$B$9:$G$93,4,FALSE),IF(T178="TRENCH",VLOOKUP(W178,'Catalogue Aluminium'!$B$9:$G$93,2,FALSE)))))</f>
        <v>38</v>
      </c>
      <c r="AA178" s="345">
        <f>VLOOKUP(W178,'Catalogue Aluminium'!$B$9:$G$93,5,FALSE)</f>
        <v>5.9</v>
      </c>
      <c r="AB178" s="345">
        <f>VLOOKUP(W178,'Catalogue Aluminium'!$B$9:$G$93,6,FALSE)</f>
        <v>9.4700000000000006E-2</v>
      </c>
      <c r="AC178" s="401">
        <f t="shared" si="1500"/>
        <v>29</v>
      </c>
      <c r="AD178" s="401">
        <f t="shared" ref="AD178:AD180" si="1506">40+50+38+50+58+60+17+28+18+3</f>
        <v>362</v>
      </c>
      <c r="AE178" s="401">
        <f t="shared" si="1501"/>
        <v>38</v>
      </c>
      <c r="AF178" s="401">
        <v>8</v>
      </c>
      <c r="AG178" s="401">
        <f t="shared" si="1502"/>
        <v>44</v>
      </c>
      <c r="AH178" s="347">
        <f t="shared" si="1503"/>
        <v>481</v>
      </c>
      <c r="AI178" s="344">
        <f>IF(T178="AIR",'Catalogue Aluminium'!$K$9,IF(T178="TRENCH",'Catalogue Aluminium'!$K$12,"NA"))</f>
        <v>0.89</v>
      </c>
      <c r="AJ178" s="342">
        <f>IF(T178="Air",(IF(U178="1C",'Catalogue Aluminium'!$L$9,'Catalogue Aluminium'!$M$9)),IF(T178="DUCT",(IF($U178="1C",'Catalogue Aluminium'!$L$10,'Catalogue Aluminium'!$M$10)),IF(T178="GROUND",(IF($U178="1C",'Catalogue Aluminium'!$L$11,'Catalogue Aluminium'!$M$11)),IF(T178="TRENCH",(IF($U178="1C",'Catalogue Aluminium'!$L$12,'Catalogue Aluminium'!$M$12))))))</f>
        <v>0.66</v>
      </c>
      <c r="AK178" s="344" t="str">
        <f>IF(T178="Air",'Catalogue Aluminium'!$N$9,IF(T178="GROUND",'Catalogue Aluminium'!$N$10,IF(T178="DUCT",'Catalogue Aluminium'!$N$11,IF(T178="TRENCH",'Catalogue Aluminium'!$N$12,"NA"))))</f>
        <v>NA</v>
      </c>
      <c r="AL178" s="344" t="str">
        <f>IF(T178="Air",(IF(U178="1C",'Catalogue Aluminium'!$O$9,'Catalogue Aluminium'!$P$9)),IF(T178="DUCT",(IF($U178="1C",'Catalogue Aluminium'!$O$10,'Catalogue Aluminium'!$P$10)),IF(T178="GROUND",(IF($U178="1C",'Catalogue Aluminium'!$O$11,'Catalogue Aluminium'!$P$11)),IF(T178="TRENCH",(IF($U178="1C",'Catalogue Aluminium'!$O$12,'Catalogue Aluminium'!$P$12))))))</f>
        <v>NA</v>
      </c>
      <c r="AM178" s="344" t="str">
        <f>IF(T178="AIR","NA",IF(T178="TRENCH","NA",IF(T178="DUCT",IF(U178="1C",VLOOKUP(V178,'Catalogue Aluminium'!$Q$9:$S$28,2,FALSE),VLOOKUP(V178,'Catalogue Aluminium'!$Q$9:$S$28,3)),IF(T178="GROUND",IF(U178="1C",VLOOKUP(V178,'Catalogue Aluminium'!$Q$9:$S$28,2,FALSE),VLOOKUP(V178,'Catalogue Aluminium'!$Q$9:$S$28,3))))))</f>
        <v>NA</v>
      </c>
      <c r="AN178" s="351">
        <f>IF(T178="AIR",AI178*AJ178,IF(T178="TRENCH",AI178*AJ178,IF(T178="DUCT",AJ178*AK178*AL178*AM178,IF(T178="GROUND",AJ178*AK178*AL178*AM178))))</f>
        <v>0.58740000000000003</v>
      </c>
      <c r="AO178" s="350">
        <f>Z178*AN178</f>
        <v>22.321200000000001</v>
      </c>
      <c r="AP178" s="349">
        <f t="shared" si="1303"/>
        <v>1</v>
      </c>
      <c r="AQ178" s="350" t="str">
        <f>IF(AO178*AP178&gt;=N178,"YES","NO")</f>
        <v>YES</v>
      </c>
      <c r="AR178" s="351">
        <f>SQRT(3)*AH178*N178*((AA178*L178)+(AB178*SIN(ACOS(L178))))*100/(AP178*K178*1000)</f>
        <v>1.8856670166283935</v>
      </c>
      <c r="AS178" s="343" t="str">
        <f>IF(G178="INCOMER",(IF(AR178&lt;=2,"YES","NO")),IF(G178="POWER",(IF(AR178&lt;=2.5,"YES","NO")),IF(G178="MOTOR",(IF(AR178&lt;=3,"YES","NO")))))</f>
        <v>YES</v>
      </c>
      <c r="AT178" s="351" t="str">
        <f>IF(G178="MOTOR",(SQRT(3)*AH178*O178*((AA178*P178)+(AB178*SIN(ACOS(P178))))*100/(AP178*K178*1000)),"NA")</f>
        <v>NA</v>
      </c>
      <c r="AU178" s="343" t="str">
        <f>IF(G178="MOTOR",IF(AT178&lt;=15,"YES","NO"),"NA")</f>
        <v>NA</v>
      </c>
      <c r="AV178" s="354" t="str">
        <f>IF(U178="1C",CONCATENATE(AP178,"R x ",Y178,"kV x ",U178," x ",V178," Sqmm/Phase"),CONCATENATE(AP178,"R x ",0.6,"/1kV x ",U178," x ",V178," Sqmm"))</f>
        <v>1R x 0.6/1kV x 4C x 4 Sqmm</v>
      </c>
      <c r="AW178" s="354" t="str">
        <f>IF(U178="1C",CONCATENATE(AP178,"R x ",Y178,"kV x ",U178," x ",V178," Sqmm/Phase"),CONCATENATE(AP178,"R x ",0.6,"/1kV x ",U178," x ",V178,(IF(G178="MOTOR","+PE",""))," Sqmm"))</f>
        <v>1R x 0.6/1kV x 4C x 4 Sqmm</v>
      </c>
      <c r="AX178" s="343">
        <f>(IF(K178=400,(IF(U178="1C",(4*AH178*AP178),(AH178*AP178))),IF(K178=230,(AH178*AP178))))</f>
        <v>481</v>
      </c>
      <c r="AY178" s="355"/>
      <c r="AZ178" s="355">
        <f>IF(U178="1C",(3*AP178*2),(AP178*2))</f>
        <v>2</v>
      </c>
      <c r="BA178" s="356" t="str">
        <f t="shared" si="1504"/>
        <v>ACDEFGHIJ</v>
      </c>
      <c r="BB178" s="501">
        <f>VLOOKUP(W178,'Catalogue Aluminium'!$B$9:$H$93,7,FALSE)</f>
        <v>16</v>
      </c>
      <c r="BC178" s="328">
        <f>AP178*BB178</f>
        <v>16</v>
      </c>
      <c r="BE178" s="336"/>
      <c r="BF178" s="336">
        <v>1</v>
      </c>
      <c r="BG178" s="336"/>
      <c r="BH178" s="336"/>
      <c r="BI178" s="336">
        <v>1</v>
      </c>
      <c r="BJ178" s="336">
        <v>1</v>
      </c>
      <c r="BK178" s="336"/>
      <c r="BL178" s="336"/>
      <c r="BM178" s="336"/>
      <c r="BN178" s="336">
        <v>1</v>
      </c>
      <c r="BO178" s="336"/>
      <c r="BP178" s="336"/>
      <c r="BQ178" s="336"/>
      <c r="BR178" s="336"/>
      <c r="BS178" s="336"/>
      <c r="BT178" s="336"/>
      <c r="BU178" s="336"/>
      <c r="BV178" s="336">
        <v>1</v>
      </c>
      <c r="BW178" s="336">
        <v>1</v>
      </c>
      <c r="BX178" s="336">
        <v>1</v>
      </c>
      <c r="BY178" s="336"/>
      <c r="BZ178" s="336">
        <v>1</v>
      </c>
      <c r="CA178" s="336"/>
      <c r="CB178" s="336"/>
      <c r="CC178" s="336"/>
      <c r="CD178" s="336">
        <v>1</v>
      </c>
      <c r="CE178" s="336"/>
      <c r="CF178" s="336"/>
      <c r="CG178" s="336"/>
      <c r="CH178" s="336"/>
      <c r="CI178" s="336"/>
      <c r="CJ178" s="336"/>
      <c r="CK178" s="336"/>
      <c r="CL178" s="336"/>
      <c r="CM178" s="336"/>
      <c r="CN178" s="336"/>
      <c r="CO178" s="336"/>
      <c r="CP178" s="336"/>
      <c r="CQ178" s="336"/>
      <c r="CR178" s="336"/>
      <c r="CS178" s="336"/>
      <c r="CT178" s="336"/>
      <c r="CU178" s="336"/>
      <c r="CV178" s="336"/>
      <c r="CW178" s="336"/>
      <c r="CX178" s="336"/>
      <c r="CY178" s="336"/>
      <c r="CZ178" s="336"/>
      <c r="DA178" s="336"/>
      <c r="DB178" s="336"/>
      <c r="DC178" s="336"/>
      <c r="DD178" s="336"/>
      <c r="DE178" s="336"/>
      <c r="DF178" s="336"/>
      <c r="DG178" s="336"/>
      <c r="DH178" s="336"/>
      <c r="DI178" s="336"/>
      <c r="DJ178" s="336"/>
      <c r="DK178" s="336"/>
      <c r="DL178" s="336"/>
      <c r="DM178" s="336"/>
      <c r="DN178" s="336"/>
      <c r="DO178" s="336"/>
      <c r="DP178" s="336"/>
      <c r="DQ178" s="336"/>
      <c r="DR178" s="336"/>
      <c r="DS178" s="336"/>
      <c r="DT178" s="336"/>
      <c r="DU178" s="336"/>
      <c r="DW178" s="336">
        <f t="shared" si="1012"/>
        <v>0</v>
      </c>
      <c r="DX178" s="336">
        <f t="shared" si="1004"/>
        <v>16</v>
      </c>
      <c r="DY178" s="336">
        <f t="shared" si="1005"/>
        <v>0</v>
      </c>
      <c r="DZ178" s="336">
        <f t="shared" si="1006"/>
        <v>0</v>
      </c>
      <c r="EA178" s="336">
        <f t="shared" si="1007"/>
        <v>16</v>
      </c>
      <c r="EB178" s="336">
        <f t="shared" si="1008"/>
        <v>16</v>
      </c>
      <c r="EC178" s="336">
        <f t="shared" si="1009"/>
        <v>0</v>
      </c>
      <c r="ED178" s="336">
        <f t="shared" si="919"/>
        <v>0</v>
      </c>
      <c r="EE178" s="336">
        <f t="shared" si="920"/>
        <v>0</v>
      </c>
      <c r="EF178" s="336">
        <f t="shared" si="921"/>
        <v>16</v>
      </c>
      <c r="EG178" s="336">
        <f t="shared" si="922"/>
        <v>0</v>
      </c>
      <c r="EH178" s="336">
        <f t="shared" si="923"/>
        <v>0</v>
      </c>
      <c r="EI178" s="336">
        <f t="shared" si="924"/>
        <v>0</v>
      </c>
      <c r="EJ178" s="336">
        <f t="shared" si="925"/>
        <v>0</v>
      </c>
      <c r="EK178" s="336">
        <f t="shared" si="926"/>
        <v>0</v>
      </c>
      <c r="EL178" s="336">
        <f t="shared" si="927"/>
        <v>0</v>
      </c>
      <c r="EM178" s="336">
        <f t="shared" si="928"/>
        <v>0</v>
      </c>
      <c r="EN178" s="336">
        <f t="shared" si="929"/>
        <v>16</v>
      </c>
      <c r="EO178" s="336">
        <f t="shared" si="930"/>
        <v>16</v>
      </c>
      <c r="EP178" s="336">
        <f t="shared" si="931"/>
        <v>16</v>
      </c>
      <c r="EQ178" s="336">
        <f t="shared" si="932"/>
        <v>0</v>
      </c>
      <c r="ER178" s="336">
        <f t="shared" si="933"/>
        <v>16</v>
      </c>
      <c r="ES178" s="336">
        <f t="shared" si="934"/>
        <v>0</v>
      </c>
      <c r="ET178" s="336">
        <f t="shared" si="934"/>
        <v>0</v>
      </c>
      <c r="EU178" s="336">
        <f t="shared" si="935"/>
        <v>0</v>
      </c>
      <c r="EV178" s="336">
        <f t="shared" si="936"/>
        <v>16</v>
      </c>
      <c r="EW178" s="336">
        <f t="shared" si="937"/>
        <v>0</v>
      </c>
      <c r="EX178" s="336">
        <f t="shared" si="938"/>
        <v>0</v>
      </c>
      <c r="EY178" s="336">
        <f t="shared" si="939"/>
        <v>0</v>
      </c>
      <c r="EZ178" s="336">
        <f t="shared" si="940"/>
        <v>0</v>
      </c>
      <c r="FA178" s="336">
        <f t="shared" si="941"/>
        <v>0</v>
      </c>
      <c r="FB178" s="336">
        <f t="shared" si="942"/>
        <v>0</v>
      </c>
      <c r="FC178" s="336">
        <f t="shared" si="943"/>
        <v>0</v>
      </c>
      <c r="FD178" s="336">
        <f t="shared" si="944"/>
        <v>0</v>
      </c>
      <c r="FE178" s="336">
        <f t="shared" si="945"/>
        <v>0</v>
      </c>
      <c r="FF178" s="336">
        <f t="shared" si="946"/>
        <v>0</v>
      </c>
      <c r="FG178" s="336">
        <f t="shared" si="947"/>
        <v>0</v>
      </c>
      <c r="FH178" s="336">
        <f t="shared" si="948"/>
        <v>0</v>
      </c>
      <c r="FI178" s="336">
        <f t="shared" si="949"/>
        <v>0</v>
      </c>
      <c r="FJ178" s="336">
        <f t="shared" si="950"/>
        <v>0</v>
      </c>
      <c r="FK178" s="336">
        <f t="shared" si="951"/>
        <v>0</v>
      </c>
      <c r="FL178" s="336">
        <f t="shared" si="952"/>
        <v>0</v>
      </c>
      <c r="FM178" s="336">
        <f t="shared" si="953"/>
        <v>0</v>
      </c>
      <c r="FN178" s="336">
        <f t="shared" si="954"/>
        <v>0</v>
      </c>
      <c r="FO178" s="336">
        <f t="shared" si="955"/>
        <v>0</v>
      </c>
      <c r="FP178" s="336">
        <f t="shared" si="956"/>
        <v>0</v>
      </c>
      <c r="FQ178" s="336">
        <f t="shared" si="957"/>
        <v>0</v>
      </c>
      <c r="FR178" s="336">
        <f t="shared" si="958"/>
        <v>0</v>
      </c>
      <c r="FS178" s="336">
        <f t="shared" si="959"/>
        <v>0</v>
      </c>
      <c r="FT178" s="336">
        <f t="shared" si="960"/>
        <v>0</v>
      </c>
      <c r="FU178" s="336">
        <f t="shared" si="860"/>
        <v>0</v>
      </c>
      <c r="FV178" s="336">
        <f t="shared" si="861"/>
        <v>0</v>
      </c>
      <c r="FW178" s="336">
        <f t="shared" si="862"/>
        <v>0</v>
      </c>
      <c r="FX178" s="336">
        <f t="shared" si="863"/>
        <v>0</v>
      </c>
      <c r="FY178" s="336">
        <f t="shared" si="961"/>
        <v>0</v>
      </c>
      <c r="FZ178" s="336">
        <f t="shared" si="962"/>
        <v>0</v>
      </c>
      <c r="GA178" s="336">
        <f t="shared" si="963"/>
        <v>0</v>
      </c>
      <c r="GB178" s="336">
        <f t="shared" si="964"/>
        <v>0</v>
      </c>
      <c r="GC178" s="336">
        <f t="shared" si="965"/>
        <v>0</v>
      </c>
      <c r="GD178" s="336">
        <f t="shared" si="966"/>
        <v>0</v>
      </c>
      <c r="GE178" s="336">
        <f t="shared" si="967"/>
        <v>0</v>
      </c>
      <c r="GF178" s="336">
        <f t="shared" si="968"/>
        <v>0</v>
      </c>
      <c r="GG178" s="336">
        <f t="shared" si="969"/>
        <v>0</v>
      </c>
      <c r="GH178" s="336">
        <f t="shared" si="970"/>
        <v>0</v>
      </c>
      <c r="GI178" s="336">
        <f t="shared" si="971"/>
        <v>0</v>
      </c>
      <c r="GJ178" s="336">
        <f t="shared" si="972"/>
        <v>0</v>
      </c>
      <c r="GK178" s="336">
        <f t="shared" si="1469"/>
        <v>0</v>
      </c>
      <c r="GL178" s="336">
        <f t="shared" si="975"/>
        <v>0</v>
      </c>
      <c r="GM178" s="336">
        <f t="shared" si="973"/>
        <v>0</v>
      </c>
    </row>
    <row r="179" spans="1:195" ht="20.100000000000001" customHeight="1">
      <c r="A179" s="337">
        <f t="shared" si="1505"/>
        <v>131</v>
      </c>
      <c r="B179" s="545" t="s">
        <v>649</v>
      </c>
      <c r="C179" s="337" t="s">
        <v>636</v>
      </c>
      <c r="D179" s="427" t="s">
        <v>650</v>
      </c>
      <c r="E179" s="453" t="s">
        <v>355</v>
      </c>
      <c r="F179" s="337" t="s">
        <v>29</v>
      </c>
      <c r="G179" s="337" t="s">
        <v>329</v>
      </c>
      <c r="H179" s="350">
        <v>1</v>
      </c>
      <c r="I179" s="337" t="s">
        <v>330</v>
      </c>
      <c r="J179" s="337" t="s">
        <v>331</v>
      </c>
      <c r="K179" s="349">
        <v>400</v>
      </c>
      <c r="L179" s="343">
        <v>0.85</v>
      </c>
      <c r="M179" s="350">
        <v>0.95</v>
      </c>
      <c r="N179" s="342">
        <f>IF(I179="kVA",IF(J179="3Ph",(H179*1000/(1.732*M179*K179)),(H179*1000/(M179*K179))),IF(I179="kW",IF(J179="3Ph",(H179*1000/(1.732*M179*K179*L179)),(H179*1000/(M179*K179*L179)))))</f>
        <v>1.7875145682437314</v>
      </c>
      <c r="O179" s="342">
        <f t="shared" si="1293"/>
        <v>0</v>
      </c>
      <c r="P179" s="343" t="str">
        <f>IF(G179="MOTOR",0.2,"0.00")</f>
        <v>0.00</v>
      </c>
      <c r="Q179" s="350">
        <v>65</v>
      </c>
      <c r="R179" s="350">
        <v>0</v>
      </c>
      <c r="S179" s="350">
        <f>(Q179*1000*SQRT(R179)/143)</f>
        <v>0</v>
      </c>
      <c r="T179" s="343" t="s">
        <v>131</v>
      </c>
      <c r="U179" s="350" t="s">
        <v>522</v>
      </c>
      <c r="V179" s="343">
        <v>4</v>
      </c>
      <c r="W179" s="343" t="str">
        <f>CONCATENATE(U179," X ",V179)</f>
        <v>4C X 4</v>
      </c>
      <c r="X179" s="343" t="str">
        <f>(IF(J179="1Ph",W179,IF(J179="3Ph",(IF(G179="MOTOR",(CONCATENATE(W179,"+PE")),W179)))))</f>
        <v>4C X 4</v>
      </c>
      <c r="Y179" s="343" t="s">
        <v>358</v>
      </c>
      <c r="Z179" s="344">
        <f>IF(T179="AIR",VLOOKUP(W179,'Catalogue Aluminium'!$B$9:$G$93,2,FALSE),IF(T179="GROUND",VLOOKUP(W179,'Catalogue Aluminium'!$B$9:$G$93,3,FALSE),IF(T179="DUCT",VLOOKUP(W179,'Catalogue Aluminium'!$B$9:$G$93,4,FALSE),IF(T179="TRENCH",VLOOKUP(W179,'Catalogue Aluminium'!$B$9:$G$93,2,FALSE)))))</f>
        <v>38</v>
      </c>
      <c r="AA179" s="345">
        <f>VLOOKUP(W179,'Catalogue Aluminium'!$B$9:$G$93,5,FALSE)</f>
        <v>5.9</v>
      </c>
      <c r="AB179" s="345">
        <f>VLOOKUP(W179,'Catalogue Aluminium'!$B$9:$G$93,6,FALSE)</f>
        <v>9.4700000000000006E-2</v>
      </c>
      <c r="AC179" s="401">
        <f t="shared" si="1500"/>
        <v>29</v>
      </c>
      <c r="AD179" s="401">
        <f t="shared" si="1506"/>
        <v>362</v>
      </c>
      <c r="AE179" s="401">
        <f t="shared" si="1501"/>
        <v>38</v>
      </c>
      <c r="AF179" s="401">
        <v>8</v>
      </c>
      <c r="AG179" s="401">
        <f t="shared" si="1502"/>
        <v>44</v>
      </c>
      <c r="AH179" s="347">
        <f t="shared" si="1503"/>
        <v>481</v>
      </c>
      <c r="AI179" s="344">
        <f>IF(T179="AIR",'Catalogue Aluminium'!$K$9,IF(T179="TRENCH",'Catalogue Aluminium'!$K$12,"NA"))</f>
        <v>0.89</v>
      </c>
      <c r="AJ179" s="342">
        <f>IF(T179="Air",(IF(U179="1C",'Catalogue Aluminium'!$L$9,'Catalogue Aluminium'!$M$9)),IF(T179="DUCT",(IF($U179="1C",'Catalogue Aluminium'!$L$10,'Catalogue Aluminium'!$M$10)),IF(T179="GROUND",(IF($U179="1C",'Catalogue Aluminium'!$L$11,'Catalogue Aluminium'!$M$11)),IF(T179="TRENCH",(IF($U179="1C",'Catalogue Aluminium'!$L$12,'Catalogue Aluminium'!$M$12))))))</f>
        <v>0.66</v>
      </c>
      <c r="AK179" s="344" t="str">
        <f>IF(T179="Air",'Catalogue Aluminium'!$N$9,IF(T179="GROUND",'Catalogue Aluminium'!$N$10,IF(T179="DUCT",'Catalogue Aluminium'!$N$11,IF(T179="TRENCH",'Catalogue Aluminium'!$N$12,"NA"))))</f>
        <v>NA</v>
      </c>
      <c r="AL179" s="344" t="str">
        <f>IF(T179="Air",(IF(U179="1C",'Catalogue Aluminium'!$O$9,'Catalogue Aluminium'!$P$9)),IF(T179="DUCT",(IF($U179="1C",'Catalogue Aluminium'!$O$10,'Catalogue Aluminium'!$P$10)),IF(T179="GROUND",(IF($U179="1C",'Catalogue Aluminium'!$O$11,'Catalogue Aluminium'!$P$11)),IF(T179="TRENCH",(IF($U179="1C",'Catalogue Aluminium'!$O$12,'Catalogue Aluminium'!$P$12))))))</f>
        <v>NA</v>
      </c>
      <c r="AM179" s="344" t="str">
        <f>IF(T179="AIR","NA",IF(T179="TRENCH","NA",IF(T179="DUCT",IF(U179="1C",VLOOKUP(V179,'Catalogue Aluminium'!$Q$9:$S$28,2,FALSE),VLOOKUP(V179,'Catalogue Aluminium'!$Q$9:$S$28,3)),IF(T179="GROUND",IF(U179="1C",VLOOKUP(V179,'Catalogue Aluminium'!$Q$9:$S$28,2,FALSE),VLOOKUP(V179,'Catalogue Aluminium'!$Q$9:$S$28,3))))))</f>
        <v>NA</v>
      </c>
      <c r="AN179" s="351">
        <f>IF(T179="AIR",AI179*AJ179,IF(T179="TRENCH",AI179*AJ179,IF(T179="DUCT",AJ179*AK179*AL179*AM179,IF(T179="GROUND",AJ179*AK179*AL179*AM179))))</f>
        <v>0.58740000000000003</v>
      </c>
      <c r="AO179" s="350">
        <f>Z179*AN179</f>
        <v>22.321200000000001</v>
      </c>
      <c r="AP179" s="349">
        <f t="shared" si="1303"/>
        <v>1</v>
      </c>
      <c r="AQ179" s="350" t="str">
        <f>IF(AO179*AP179&gt;=N179,"YES","NO")</f>
        <v>YES</v>
      </c>
      <c r="AR179" s="351">
        <f>SQRT(3)*AH179*N179*((AA179*L179)+(AB179*SIN(ACOS(L179))))*100/(AP179*K179*1000)</f>
        <v>1.8856670166283935</v>
      </c>
      <c r="AS179" s="343" t="str">
        <f>IF(G179="INCOMER",(IF(AR179&lt;=2,"YES","NO")),IF(G179="POWER",(IF(AR179&lt;=2.5,"YES","NO")),IF(G179="MOTOR",(IF(AR179&lt;=3,"YES","NO")))))</f>
        <v>YES</v>
      </c>
      <c r="AT179" s="351" t="str">
        <f>IF(G179="MOTOR",(SQRT(3)*AH179*O179*((AA179*P179)+(AB179*SIN(ACOS(P179))))*100/(AP179*K179*1000)),"NA")</f>
        <v>NA</v>
      </c>
      <c r="AU179" s="343" t="str">
        <f>IF(G179="MOTOR",IF(AT179&lt;=15,"YES","NO"),"NA")</f>
        <v>NA</v>
      </c>
      <c r="AV179" s="354" t="str">
        <f>IF(U179="1C",CONCATENATE(AP179,"R x ",Y179,"kV x ",U179," x ",V179," Sqmm/Phase"),CONCATENATE(AP179,"R x ",0.6,"/1kV x ",U179," x ",V179," Sqmm"))</f>
        <v>1R x 0.6/1kV x 4C x 4 Sqmm</v>
      </c>
      <c r="AW179" s="354" t="str">
        <f>IF(U179="1C",CONCATENATE(AP179,"R x ",Y179,"kV x ",U179," x ",V179," Sqmm/Phase"),CONCATENATE(AP179,"R x ",0.6,"/1kV x ",U179," x ",V179,(IF(G179="MOTOR","+PE",""))," Sqmm"))</f>
        <v>1R x 0.6/1kV x 4C x 4 Sqmm</v>
      </c>
      <c r="AX179" s="343">
        <f>(IF(K179=400,(IF(U179="1C",(4*AH179*AP179),(AH179*AP179))),IF(K179=230,(AH179*AP179))))</f>
        <v>481</v>
      </c>
      <c r="AY179" s="355"/>
      <c r="AZ179" s="355">
        <f>IF(U179="1C",(3*AP179*2),(AP179*2))</f>
        <v>2</v>
      </c>
      <c r="BA179" s="356" t="str">
        <f t="shared" si="1504"/>
        <v>ACDEFGHIJ</v>
      </c>
      <c r="BB179" s="501">
        <f>VLOOKUP(W179,'Catalogue Aluminium'!$B$9:$H$93,7,FALSE)</f>
        <v>16</v>
      </c>
      <c r="BC179" s="328">
        <f>AP179*BB179</f>
        <v>16</v>
      </c>
      <c r="BE179" s="336"/>
      <c r="BF179" s="336">
        <v>1</v>
      </c>
      <c r="BG179" s="336"/>
      <c r="BH179" s="336"/>
      <c r="BI179" s="336">
        <v>1</v>
      </c>
      <c r="BJ179" s="336">
        <v>1</v>
      </c>
      <c r="BK179" s="336"/>
      <c r="BL179" s="336"/>
      <c r="BM179" s="336"/>
      <c r="BN179" s="336">
        <v>1</v>
      </c>
      <c r="BO179" s="336"/>
      <c r="BP179" s="336"/>
      <c r="BQ179" s="336"/>
      <c r="BR179" s="336"/>
      <c r="BS179" s="336"/>
      <c r="BT179" s="336"/>
      <c r="BU179" s="336"/>
      <c r="BV179" s="336">
        <v>1</v>
      </c>
      <c r="BW179" s="336">
        <v>1</v>
      </c>
      <c r="BX179" s="336">
        <v>1</v>
      </c>
      <c r="BY179" s="336"/>
      <c r="BZ179" s="336">
        <v>1</v>
      </c>
      <c r="CA179" s="336"/>
      <c r="CB179" s="336"/>
      <c r="CC179" s="336"/>
      <c r="CD179" s="336">
        <v>1</v>
      </c>
      <c r="CE179" s="336"/>
      <c r="CF179" s="336"/>
      <c r="CG179" s="336"/>
      <c r="CH179" s="336"/>
      <c r="CI179" s="336"/>
      <c r="CJ179" s="336"/>
      <c r="CK179" s="336"/>
      <c r="CL179" s="336"/>
      <c r="CM179" s="336"/>
      <c r="CN179" s="336"/>
      <c r="CO179" s="336"/>
      <c r="CP179" s="336"/>
      <c r="CQ179" s="336"/>
      <c r="CR179" s="336"/>
      <c r="CS179" s="336"/>
      <c r="CT179" s="336"/>
      <c r="CU179" s="336"/>
      <c r="CV179" s="336"/>
      <c r="CW179" s="336"/>
      <c r="CX179" s="336"/>
      <c r="CY179" s="336"/>
      <c r="CZ179" s="336"/>
      <c r="DA179" s="336"/>
      <c r="DB179" s="336"/>
      <c r="DC179" s="336"/>
      <c r="DD179" s="336"/>
      <c r="DE179" s="336"/>
      <c r="DF179" s="336"/>
      <c r="DG179" s="336"/>
      <c r="DH179" s="336"/>
      <c r="DI179" s="336"/>
      <c r="DJ179" s="336"/>
      <c r="DK179" s="336"/>
      <c r="DL179" s="336"/>
      <c r="DM179" s="336"/>
      <c r="DN179" s="336"/>
      <c r="DO179" s="336"/>
      <c r="DP179" s="336"/>
      <c r="DQ179" s="336"/>
      <c r="DR179" s="336"/>
      <c r="DS179" s="336"/>
      <c r="DT179" s="336"/>
      <c r="DU179" s="336"/>
      <c r="DW179" s="336">
        <f t="shared" si="1012"/>
        <v>0</v>
      </c>
      <c r="DX179" s="336">
        <f t="shared" si="1004"/>
        <v>16</v>
      </c>
      <c r="DY179" s="336">
        <f t="shared" si="1005"/>
        <v>0</v>
      </c>
      <c r="DZ179" s="336">
        <f t="shared" si="1006"/>
        <v>0</v>
      </c>
      <c r="EA179" s="336">
        <f t="shared" si="1007"/>
        <v>16</v>
      </c>
      <c r="EB179" s="336">
        <f t="shared" si="1008"/>
        <v>16</v>
      </c>
      <c r="EC179" s="336">
        <f t="shared" si="1009"/>
        <v>0</v>
      </c>
      <c r="ED179" s="336">
        <f t="shared" si="919"/>
        <v>0</v>
      </c>
      <c r="EE179" s="336">
        <f t="shared" si="920"/>
        <v>0</v>
      </c>
      <c r="EF179" s="336">
        <f t="shared" si="921"/>
        <v>16</v>
      </c>
      <c r="EG179" s="336">
        <f t="shared" si="922"/>
        <v>0</v>
      </c>
      <c r="EH179" s="336">
        <f t="shared" si="923"/>
        <v>0</v>
      </c>
      <c r="EI179" s="336">
        <f t="shared" si="924"/>
        <v>0</v>
      </c>
      <c r="EJ179" s="336">
        <f t="shared" si="925"/>
        <v>0</v>
      </c>
      <c r="EK179" s="336">
        <f t="shared" si="926"/>
        <v>0</v>
      </c>
      <c r="EL179" s="336">
        <f t="shared" si="927"/>
        <v>0</v>
      </c>
      <c r="EM179" s="336">
        <f t="shared" si="928"/>
        <v>0</v>
      </c>
      <c r="EN179" s="336">
        <f t="shared" si="929"/>
        <v>16</v>
      </c>
      <c r="EO179" s="336">
        <f t="shared" si="930"/>
        <v>16</v>
      </c>
      <c r="EP179" s="336">
        <f t="shared" si="931"/>
        <v>16</v>
      </c>
      <c r="EQ179" s="336">
        <f t="shared" si="932"/>
        <v>0</v>
      </c>
      <c r="ER179" s="336">
        <f t="shared" si="933"/>
        <v>16</v>
      </c>
      <c r="ES179" s="336">
        <f t="shared" si="934"/>
        <v>0</v>
      </c>
      <c r="ET179" s="336">
        <f t="shared" si="934"/>
        <v>0</v>
      </c>
      <c r="EU179" s="336">
        <f t="shared" si="935"/>
        <v>0</v>
      </c>
      <c r="EV179" s="336">
        <f t="shared" si="936"/>
        <v>16</v>
      </c>
      <c r="EW179" s="336">
        <f t="shared" si="937"/>
        <v>0</v>
      </c>
      <c r="EX179" s="336">
        <f t="shared" si="938"/>
        <v>0</v>
      </c>
      <c r="EY179" s="336">
        <f t="shared" si="939"/>
        <v>0</v>
      </c>
      <c r="EZ179" s="336">
        <f t="shared" si="940"/>
        <v>0</v>
      </c>
      <c r="FA179" s="336">
        <f t="shared" si="941"/>
        <v>0</v>
      </c>
      <c r="FB179" s="336">
        <f t="shared" si="942"/>
        <v>0</v>
      </c>
      <c r="FC179" s="336">
        <f t="shared" si="943"/>
        <v>0</v>
      </c>
      <c r="FD179" s="336">
        <f t="shared" si="944"/>
        <v>0</v>
      </c>
      <c r="FE179" s="336">
        <f t="shared" si="945"/>
        <v>0</v>
      </c>
      <c r="FF179" s="336">
        <f t="shared" si="946"/>
        <v>0</v>
      </c>
      <c r="FG179" s="336">
        <f t="shared" si="947"/>
        <v>0</v>
      </c>
      <c r="FH179" s="336">
        <f t="shared" si="948"/>
        <v>0</v>
      </c>
      <c r="FI179" s="336">
        <f t="shared" si="949"/>
        <v>0</v>
      </c>
      <c r="FJ179" s="336">
        <f t="shared" si="950"/>
        <v>0</v>
      </c>
      <c r="FK179" s="336">
        <f t="shared" si="951"/>
        <v>0</v>
      </c>
      <c r="FL179" s="336">
        <f t="shared" si="952"/>
        <v>0</v>
      </c>
      <c r="FM179" s="336">
        <f t="shared" si="953"/>
        <v>0</v>
      </c>
      <c r="FN179" s="336">
        <f t="shared" si="954"/>
        <v>0</v>
      </c>
      <c r="FO179" s="336">
        <f t="shared" si="955"/>
        <v>0</v>
      </c>
      <c r="FP179" s="336">
        <f t="shared" si="956"/>
        <v>0</v>
      </c>
      <c r="FQ179" s="336">
        <f t="shared" si="957"/>
        <v>0</v>
      </c>
      <c r="FR179" s="336">
        <f t="shared" si="958"/>
        <v>0</v>
      </c>
      <c r="FS179" s="336">
        <f t="shared" si="959"/>
        <v>0</v>
      </c>
      <c r="FT179" s="336">
        <f t="shared" si="960"/>
        <v>0</v>
      </c>
      <c r="FU179" s="336">
        <f t="shared" ref="FU179:FU185" si="1507">IF(DC179=1,($BC179*DC179),0)</f>
        <v>0</v>
      </c>
      <c r="FV179" s="336">
        <f t="shared" ref="FV179:FV185" si="1508">IF(DD179=1,($BC179*DD179),0)</f>
        <v>0</v>
      </c>
      <c r="FW179" s="336">
        <f t="shared" ref="FW179:FW185" si="1509">IF(DE179=1,($BC179*DE179),0)</f>
        <v>0</v>
      </c>
      <c r="FX179" s="336">
        <f t="shared" ref="FX179:FX185" si="1510">IF(DF179=1,($BC179*DF179),0)</f>
        <v>0</v>
      </c>
      <c r="FY179" s="336">
        <f t="shared" si="961"/>
        <v>0</v>
      </c>
      <c r="FZ179" s="336">
        <f t="shared" si="962"/>
        <v>0</v>
      </c>
      <c r="GA179" s="336">
        <f t="shared" si="963"/>
        <v>0</v>
      </c>
      <c r="GB179" s="336">
        <f t="shared" si="964"/>
        <v>0</v>
      </c>
      <c r="GC179" s="336">
        <f t="shared" si="965"/>
        <v>0</v>
      </c>
      <c r="GD179" s="336">
        <f t="shared" si="966"/>
        <v>0</v>
      </c>
      <c r="GE179" s="336">
        <f t="shared" si="967"/>
        <v>0</v>
      </c>
      <c r="GF179" s="336">
        <f t="shared" si="968"/>
        <v>0</v>
      </c>
      <c r="GG179" s="336">
        <f t="shared" si="969"/>
        <v>0</v>
      </c>
      <c r="GH179" s="336">
        <f t="shared" si="970"/>
        <v>0</v>
      </c>
      <c r="GI179" s="336">
        <f t="shared" si="971"/>
        <v>0</v>
      </c>
      <c r="GJ179" s="336">
        <f t="shared" si="972"/>
        <v>0</v>
      </c>
      <c r="GK179" s="336">
        <f t="shared" si="1469"/>
        <v>0</v>
      </c>
      <c r="GL179" s="336">
        <f t="shared" ref="GL179:GL185" si="1511">IF(DT179=1,($BC179*DT179),0)</f>
        <v>0</v>
      </c>
      <c r="GM179" s="336">
        <f t="shared" si="973"/>
        <v>0</v>
      </c>
    </row>
    <row r="180" spans="1:195" ht="20.100000000000001" customHeight="1">
      <c r="A180" s="337">
        <f t="shared" si="1505"/>
        <v>132</v>
      </c>
      <c r="B180" s="545" t="s">
        <v>651</v>
      </c>
      <c r="C180" s="337" t="s">
        <v>636</v>
      </c>
      <c r="D180" s="427" t="s">
        <v>652</v>
      </c>
      <c r="E180" s="453" t="s">
        <v>355</v>
      </c>
      <c r="F180" s="337" t="s">
        <v>29</v>
      </c>
      <c r="G180" s="337" t="s">
        <v>329</v>
      </c>
      <c r="H180" s="350">
        <v>1</v>
      </c>
      <c r="I180" s="337" t="s">
        <v>330</v>
      </c>
      <c r="J180" s="337" t="s">
        <v>331</v>
      </c>
      <c r="K180" s="349">
        <v>400</v>
      </c>
      <c r="L180" s="343">
        <v>0.85</v>
      </c>
      <c r="M180" s="350">
        <v>0.95</v>
      </c>
      <c r="N180" s="342">
        <f>IF(I180="kVA",IF(J180="3Ph",(H180*1000/(1.732*M180*K180)),(H180*1000/(M180*K180))),IF(I180="kW",IF(J180="3Ph",(H180*1000/(1.732*M180*K180*L180)),(H180*1000/(M180*K180*L180)))))</f>
        <v>1.7875145682437314</v>
      </c>
      <c r="O180" s="342">
        <f t="shared" si="1293"/>
        <v>0</v>
      </c>
      <c r="P180" s="343" t="str">
        <f>IF(G180="MOTOR",0.2,"0.00")</f>
        <v>0.00</v>
      </c>
      <c r="Q180" s="350">
        <v>65</v>
      </c>
      <c r="R180" s="350">
        <v>0</v>
      </c>
      <c r="S180" s="350">
        <f>(Q180*1000*SQRT(R180)/143)</f>
        <v>0</v>
      </c>
      <c r="T180" s="343" t="s">
        <v>131</v>
      </c>
      <c r="U180" s="350" t="s">
        <v>522</v>
      </c>
      <c r="V180" s="343">
        <v>4</v>
      </c>
      <c r="W180" s="343" t="str">
        <f>CONCATENATE(U180," X ",V180)</f>
        <v>4C X 4</v>
      </c>
      <c r="X180" s="343" t="str">
        <f>(IF(J180="1Ph",W180,IF(J180="3Ph",(IF(G180="MOTOR",(CONCATENATE(W180,"+PE")),W180)))))</f>
        <v>4C X 4</v>
      </c>
      <c r="Y180" s="343" t="s">
        <v>358</v>
      </c>
      <c r="Z180" s="344">
        <f>IF(T180="AIR",VLOOKUP(W180,'Catalogue Aluminium'!$B$9:$G$93,2,FALSE),IF(T180="GROUND",VLOOKUP(W180,'Catalogue Aluminium'!$B$9:$G$93,3,FALSE),IF(T180="DUCT",VLOOKUP(W180,'Catalogue Aluminium'!$B$9:$G$93,4,FALSE),IF(T180="TRENCH",VLOOKUP(W180,'Catalogue Aluminium'!$B$9:$G$93,2,FALSE)))))</f>
        <v>38</v>
      </c>
      <c r="AA180" s="345">
        <f>VLOOKUP(W180,'Catalogue Aluminium'!$B$9:$G$93,5,FALSE)</f>
        <v>5.9</v>
      </c>
      <c r="AB180" s="345">
        <f>VLOOKUP(W180,'Catalogue Aluminium'!$B$9:$G$93,6,FALSE)</f>
        <v>9.4700000000000006E-2</v>
      </c>
      <c r="AC180" s="401">
        <f t="shared" si="1500"/>
        <v>29</v>
      </c>
      <c r="AD180" s="401">
        <f t="shared" si="1506"/>
        <v>362</v>
      </c>
      <c r="AE180" s="401">
        <f t="shared" si="1501"/>
        <v>38</v>
      </c>
      <c r="AF180" s="401">
        <v>8</v>
      </c>
      <c r="AG180" s="401">
        <f t="shared" si="1502"/>
        <v>44</v>
      </c>
      <c r="AH180" s="347">
        <f t="shared" si="1503"/>
        <v>481</v>
      </c>
      <c r="AI180" s="344">
        <f>IF(T180="AIR",'Catalogue Aluminium'!$K$9,IF(T180="TRENCH",'Catalogue Aluminium'!$K$12,"NA"))</f>
        <v>0.89</v>
      </c>
      <c r="AJ180" s="342">
        <f>IF(T180="Air",(IF(U180="1C",'Catalogue Aluminium'!$L$9,'Catalogue Aluminium'!$M$9)),IF(T180="DUCT",(IF($U180="1C",'Catalogue Aluminium'!$L$10,'Catalogue Aluminium'!$M$10)),IF(T180="GROUND",(IF($U180="1C",'Catalogue Aluminium'!$L$11,'Catalogue Aluminium'!$M$11)),IF(T180="TRENCH",(IF($U180="1C",'Catalogue Aluminium'!$L$12,'Catalogue Aluminium'!$M$12))))))</f>
        <v>0.66</v>
      </c>
      <c r="AK180" s="344" t="str">
        <f>IF(T180="Air",'Catalogue Aluminium'!$N$9,IF(T180="GROUND",'Catalogue Aluminium'!$N$10,IF(T180="DUCT",'Catalogue Aluminium'!$N$11,IF(T180="TRENCH",'Catalogue Aluminium'!$N$12,"NA"))))</f>
        <v>NA</v>
      </c>
      <c r="AL180" s="344" t="str">
        <f>IF(T180="Air",(IF(U180="1C",'Catalogue Aluminium'!$O$9,'Catalogue Aluminium'!$P$9)),IF(T180="DUCT",(IF($U180="1C",'Catalogue Aluminium'!$O$10,'Catalogue Aluminium'!$P$10)),IF(T180="GROUND",(IF($U180="1C",'Catalogue Aluminium'!$O$11,'Catalogue Aluminium'!$P$11)),IF(T180="TRENCH",(IF($U180="1C",'Catalogue Aluminium'!$O$12,'Catalogue Aluminium'!$P$12))))))</f>
        <v>NA</v>
      </c>
      <c r="AM180" s="344" t="str">
        <f>IF(T180="AIR","NA",IF(T180="TRENCH","NA",IF(T180="DUCT",IF(U180="1C",VLOOKUP(V180,'Catalogue Aluminium'!$Q$9:$S$28,2,FALSE),VLOOKUP(V180,'Catalogue Aluminium'!$Q$9:$S$28,3)),IF(T180="GROUND",IF(U180="1C",VLOOKUP(V180,'Catalogue Aluminium'!$Q$9:$S$28,2,FALSE),VLOOKUP(V180,'Catalogue Aluminium'!$Q$9:$S$28,3))))))</f>
        <v>NA</v>
      </c>
      <c r="AN180" s="351">
        <f>IF(T180="AIR",AI180*AJ180,IF(T180="TRENCH",AI180*AJ180,IF(T180="DUCT",AJ180*AK180*AL180*AM180,IF(T180="GROUND",AJ180*AK180*AL180*AM180))))</f>
        <v>0.58740000000000003</v>
      </c>
      <c r="AO180" s="350">
        <f>Z180*AN180</f>
        <v>22.321200000000001</v>
      </c>
      <c r="AP180" s="349">
        <f t="shared" si="1303"/>
        <v>1</v>
      </c>
      <c r="AQ180" s="350" t="str">
        <f>IF(AO180*AP180&gt;=N180,"YES","NO")</f>
        <v>YES</v>
      </c>
      <c r="AR180" s="351">
        <f>SQRT(3)*AH180*N180*((AA180*L180)+(AB180*SIN(ACOS(L180))))*100/(AP180*K180*1000)</f>
        <v>1.8856670166283935</v>
      </c>
      <c r="AS180" s="343" t="str">
        <f>IF(G180="INCOMER",(IF(AR180&lt;=2,"YES","NO")),IF(G180="POWER",(IF(AR180&lt;=2.5,"YES","NO")),IF(G180="MOTOR",(IF(AR180&lt;=3,"YES","NO")))))</f>
        <v>YES</v>
      </c>
      <c r="AT180" s="351" t="str">
        <f>IF(G180="MOTOR",(SQRT(3)*AH180*O180*((AA180*P180)+(AB180*SIN(ACOS(P180))))*100/(AP180*K180*1000)),"NA")</f>
        <v>NA</v>
      </c>
      <c r="AU180" s="343" t="str">
        <f>IF(G180="MOTOR",IF(AT180&lt;=15,"YES","NO"),"NA")</f>
        <v>NA</v>
      </c>
      <c r="AV180" s="354" t="str">
        <f>IF(U180="1C",CONCATENATE(AP180,"R x ",Y180,"kV x ",U180," x ",V180," Sqmm/Phase"),CONCATENATE(AP180,"R x ",0.6,"/1kV x ",U180," x ",V180," Sqmm"))</f>
        <v>1R x 0.6/1kV x 4C x 4 Sqmm</v>
      </c>
      <c r="AW180" s="354" t="str">
        <f>IF(U180="1C",CONCATENATE(AP180,"R x ",Y180,"kV x ",U180," x ",V180," Sqmm/Phase"),CONCATENATE(AP180,"R x ",0.6,"/1kV x ",U180," x ",V180,(IF(G180="MOTOR","+PE",""))," Sqmm"))</f>
        <v>1R x 0.6/1kV x 4C x 4 Sqmm</v>
      </c>
      <c r="AX180" s="343">
        <f>(IF(K180=400,(IF(U180="1C",(4*AH180*AP180),(AH180*AP180))),IF(K180=230,(AH180*AP180))))</f>
        <v>481</v>
      </c>
      <c r="AY180" s="355"/>
      <c r="AZ180" s="355">
        <f>IF(U180="1C",(3*AP180*2),(AP180*2))</f>
        <v>2</v>
      </c>
      <c r="BA180" s="356" t="str">
        <f t="shared" si="1504"/>
        <v>ACDEFGHIJ</v>
      </c>
      <c r="BB180" s="501">
        <f>VLOOKUP(W180,'Catalogue Aluminium'!$B$9:$H$93,7,FALSE)</f>
        <v>16</v>
      </c>
      <c r="BC180" s="328">
        <f>AP180*BB180</f>
        <v>16</v>
      </c>
      <c r="BE180" s="336"/>
      <c r="BF180" s="336">
        <v>1</v>
      </c>
      <c r="BG180" s="336"/>
      <c r="BH180" s="336"/>
      <c r="BI180" s="336">
        <v>1</v>
      </c>
      <c r="BJ180" s="336">
        <v>1</v>
      </c>
      <c r="BK180" s="336"/>
      <c r="BL180" s="336"/>
      <c r="BM180" s="336"/>
      <c r="BN180" s="336">
        <v>1</v>
      </c>
      <c r="BO180" s="336"/>
      <c r="BP180" s="336"/>
      <c r="BQ180" s="336"/>
      <c r="BR180" s="336"/>
      <c r="BS180" s="336"/>
      <c r="BT180" s="336"/>
      <c r="BU180" s="336"/>
      <c r="BV180" s="336">
        <v>1</v>
      </c>
      <c r="BW180" s="336">
        <v>1</v>
      </c>
      <c r="BX180" s="336">
        <v>1</v>
      </c>
      <c r="BY180" s="336"/>
      <c r="BZ180" s="336">
        <v>1</v>
      </c>
      <c r="CA180" s="336"/>
      <c r="CB180" s="336"/>
      <c r="CC180" s="336"/>
      <c r="CD180" s="336">
        <v>1</v>
      </c>
      <c r="CE180" s="336"/>
      <c r="CF180" s="336"/>
      <c r="CG180" s="336"/>
      <c r="CH180" s="336"/>
      <c r="CI180" s="336"/>
      <c r="CJ180" s="336"/>
      <c r="CK180" s="336"/>
      <c r="CL180" s="336"/>
      <c r="CM180" s="336"/>
      <c r="CN180" s="336"/>
      <c r="CO180" s="336"/>
      <c r="CP180" s="336"/>
      <c r="CQ180" s="336"/>
      <c r="CR180" s="336"/>
      <c r="CS180" s="336"/>
      <c r="CT180" s="336"/>
      <c r="CU180" s="336"/>
      <c r="CV180" s="336"/>
      <c r="CW180" s="336"/>
      <c r="CX180" s="336"/>
      <c r="CY180" s="336"/>
      <c r="CZ180" s="336"/>
      <c r="DA180" s="336"/>
      <c r="DB180" s="336"/>
      <c r="DC180" s="336"/>
      <c r="DD180" s="336"/>
      <c r="DE180" s="336"/>
      <c r="DF180" s="336"/>
      <c r="DG180" s="336"/>
      <c r="DH180" s="336"/>
      <c r="DI180" s="336"/>
      <c r="DJ180" s="336"/>
      <c r="DK180" s="336"/>
      <c r="DL180" s="336"/>
      <c r="DM180" s="336"/>
      <c r="DN180" s="336"/>
      <c r="DO180" s="336"/>
      <c r="DP180" s="336"/>
      <c r="DQ180" s="336"/>
      <c r="DR180" s="336"/>
      <c r="DS180" s="336"/>
      <c r="DT180" s="336"/>
      <c r="DU180" s="336"/>
      <c r="DW180" s="336">
        <f t="shared" si="1012"/>
        <v>0</v>
      </c>
      <c r="DX180" s="336">
        <f t="shared" si="1004"/>
        <v>16</v>
      </c>
      <c r="DY180" s="336">
        <f t="shared" si="1005"/>
        <v>0</v>
      </c>
      <c r="DZ180" s="336">
        <f t="shared" si="1006"/>
        <v>0</v>
      </c>
      <c r="EA180" s="336">
        <f t="shared" si="1007"/>
        <v>16</v>
      </c>
      <c r="EB180" s="336">
        <f t="shared" si="1008"/>
        <v>16</v>
      </c>
      <c r="EC180" s="336">
        <f t="shared" si="1009"/>
        <v>0</v>
      </c>
      <c r="ED180" s="336">
        <f t="shared" si="919"/>
        <v>0</v>
      </c>
      <c r="EE180" s="336">
        <f t="shared" si="920"/>
        <v>0</v>
      </c>
      <c r="EF180" s="336">
        <f t="shared" si="921"/>
        <v>16</v>
      </c>
      <c r="EG180" s="336">
        <f t="shared" si="922"/>
        <v>0</v>
      </c>
      <c r="EH180" s="336">
        <f t="shared" si="923"/>
        <v>0</v>
      </c>
      <c r="EI180" s="336">
        <f t="shared" si="924"/>
        <v>0</v>
      </c>
      <c r="EJ180" s="336">
        <f t="shared" si="925"/>
        <v>0</v>
      </c>
      <c r="EK180" s="336">
        <f t="shared" si="926"/>
        <v>0</v>
      </c>
      <c r="EL180" s="336">
        <f t="shared" si="927"/>
        <v>0</v>
      </c>
      <c r="EM180" s="336">
        <f t="shared" si="928"/>
        <v>0</v>
      </c>
      <c r="EN180" s="336">
        <f t="shared" si="929"/>
        <v>16</v>
      </c>
      <c r="EO180" s="336">
        <f t="shared" si="930"/>
        <v>16</v>
      </c>
      <c r="EP180" s="336">
        <f t="shared" si="931"/>
        <v>16</v>
      </c>
      <c r="EQ180" s="336">
        <f t="shared" si="932"/>
        <v>0</v>
      </c>
      <c r="ER180" s="336">
        <f t="shared" si="933"/>
        <v>16</v>
      </c>
      <c r="ES180" s="336">
        <f t="shared" si="934"/>
        <v>0</v>
      </c>
      <c r="ET180" s="336">
        <f t="shared" si="934"/>
        <v>0</v>
      </c>
      <c r="EU180" s="336">
        <f t="shared" si="935"/>
        <v>0</v>
      </c>
      <c r="EV180" s="336">
        <f t="shared" si="936"/>
        <v>16</v>
      </c>
      <c r="EW180" s="336">
        <f t="shared" si="937"/>
        <v>0</v>
      </c>
      <c r="EX180" s="336">
        <f t="shared" si="938"/>
        <v>0</v>
      </c>
      <c r="EY180" s="336">
        <f t="shared" si="939"/>
        <v>0</v>
      </c>
      <c r="EZ180" s="336">
        <f t="shared" si="940"/>
        <v>0</v>
      </c>
      <c r="FA180" s="336">
        <f t="shared" si="941"/>
        <v>0</v>
      </c>
      <c r="FB180" s="336">
        <f t="shared" si="942"/>
        <v>0</v>
      </c>
      <c r="FC180" s="336">
        <f t="shared" si="943"/>
        <v>0</v>
      </c>
      <c r="FD180" s="336">
        <f t="shared" si="944"/>
        <v>0</v>
      </c>
      <c r="FE180" s="336">
        <f t="shared" si="945"/>
        <v>0</v>
      </c>
      <c r="FF180" s="336">
        <f t="shared" si="946"/>
        <v>0</v>
      </c>
      <c r="FG180" s="336">
        <f t="shared" si="947"/>
        <v>0</v>
      </c>
      <c r="FH180" s="336">
        <f t="shared" si="948"/>
        <v>0</v>
      </c>
      <c r="FI180" s="336">
        <f t="shared" si="949"/>
        <v>0</v>
      </c>
      <c r="FJ180" s="336">
        <f t="shared" si="950"/>
        <v>0</v>
      </c>
      <c r="FK180" s="336">
        <f t="shared" si="951"/>
        <v>0</v>
      </c>
      <c r="FL180" s="336">
        <f t="shared" si="952"/>
        <v>0</v>
      </c>
      <c r="FM180" s="336">
        <f t="shared" si="953"/>
        <v>0</v>
      </c>
      <c r="FN180" s="336">
        <f t="shared" si="954"/>
        <v>0</v>
      </c>
      <c r="FO180" s="336">
        <f t="shared" si="955"/>
        <v>0</v>
      </c>
      <c r="FP180" s="336">
        <f t="shared" si="956"/>
        <v>0</v>
      </c>
      <c r="FQ180" s="336">
        <f t="shared" si="957"/>
        <v>0</v>
      </c>
      <c r="FR180" s="336">
        <f t="shared" si="958"/>
        <v>0</v>
      </c>
      <c r="FS180" s="336">
        <f t="shared" si="959"/>
        <v>0</v>
      </c>
      <c r="FT180" s="336">
        <f t="shared" si="960"/>
        <v>0</v>
      </c>
      <c r="FU180" s="336">
        <f t="shared" si="1507"/>
        <v>0</v>
      </c>
      <c r="FV180" s="336">
        <f t="shared" si="1508"/>
        <v>0</v>
      </c>
      <c r="FW180" s="336">
        <f t="shared" si="1509"/>
        <v>0</v>
      </c>
      <c r="FX180" s="336">
        <f t="shared" si="1510"/>
        <v>0</v>
      </c>
      <c r="FY180" s="336">
        <f t="shared" si="961"/>
        <v>0</v>
      </c>
      <c r="FZ180" s="336">
        <f t="shared" si="962"/>
        <v>0</v>
      </c>
      <c r="GA180" s="336">
        <f t="shared" si="963"/>
        <v>0</v>
      </c>
      <c r="GB180" s="336">
        <f t="shared" si="964"/>
        <v>0</v>
      </c>
      <c r="GC180" s="336">
        <f t="shared" si="965"/>
        <v>0</v>
      </c>
      <c r="GD180" s="336">
        <f t="shared" si="966"/>
        <v>0</v>
      </c>
      <c r="GE180" s="336">
        <f t="shared" si="967"/>
        <v>0</v>
      </c>
      <c r="GF180" s="336">
        <f t="shared" si="968"/>
        <v>0</v>
      </c>
      <c r="GG180" s="336">
        <f t="shared" si="969"/>
        <v>0</v>
      </c>
      <c r="GH180" s="336">
        <f t="shared" si="970"/>
        <v>0</v>
      </c>
      <c r="GI180" s="336">
        <f t="shared" si="971"/>
        <v>0</v>
      </c>
      <c r="GJ180" s="336">
        <f t="shared" si="972"/>
        <v>0</v>
      </c>
      <c r="GK180" s="336">
        <f t="shared" si="1469"/>
        <v>0</v>
      </c>
      <c r="GL180" s="336">
        <f t="shared" si="1511"/>
        <v>0</v>
      </c>
      <c r="GM180" s="336">
        <f t="shared" si="973"/>
        <v>0</v>
      </c>
    </row>
    <row r="181" spans="1:195" s="76" customFormat="1" ht="20.100000000000001" customHeight="1">
      <c r="A181" s="373"/>
      <c r="B181" s="373"/>
      <c r="C181" s="373"/>
      <c r="D181" s="508"/>
      <c r="E181" s="509"/>
      <c r="F181" s="510"/>
      <c r="G181" s="373"/>
      <c r="H181" s="382"/>
      <c r="I181" s="373"/>
      <c r="J181" s="373"/>
      <c r="K181" s="381"/>
      <c r="L181" s="376"/>
      <c r="M181" s="382"/>
      <c r="N181" s="375"/>
      <c r="O181" s="375"/>
      <c r="P181" s="376"/>
      <c r="Q181" s="382"/>
      <c r="R181" s="382"/>
      <c r="S181" s="382"/>
      <c r="T181" s="376"/>
      <c r="U181" s="382"/>
      <c r="V181" s="376"/>
      <c r="W181" s="376"/>
      <c r="X181" s="376"/>
      <c r="Y181" s="376"/>
      <c r="Z181" s="377"/>
      <c r="AA181" s="378"/>
      <c r="AB181" s="378"/>
      <c r="AC181" s="378"/>
      <c r="AD181" s="378"/>
      <c r="AE181" s="378"/>
      <c r="AF181" s="378"/>
      <c r="AG181" s="378"/>
      <c r="AH181" s="378"/>
      <c r="AI181" s="377"/>
      <c r="AJ181" s="375"/>
      <c r="AK181" s="377"/>
      <c r="AL181" s="377"/>
      <c r="AM181" s="377"/>
      <c r="AN181" s="383"/>
      <c r="AO181" s="382"/>
      <c r="AP181" s="381"/>
      <c r="AQ181" s="382"/>
      <c r="AR181" s="383"/>
      <c r="AS181" s="376"/>
      <c r="AT181" s="383"/>
      <c r="AU181" s="383"/>
      <c r="AV181" s="384"/>
      <c r="AW181" s="384"/>
      <c r="AX181" s="376"/>
      <c r="AY181" s="385"/>
      <c r="AZ181" s="385"/>
      <c r="BA181" s="513" t="str">
        <f t="shared" si="1277"/>
        <v/>
      </c>
      <c r="BB181" s="513"/>
      <c r="BC181" s="513"/>
      <c r="BE181" s="513"/>
      <c r="BF181" s="513"/>
      <c r="BG181" s="513"/>
      <c r="BH181" s="513"/>
      <c r="BI181" s="513"/>
      <c r="BJ181" s="513"/>
      <c r="BK181" s="513"/>
      <c r="BL181" s="513"/>
      <c r="BM181" s="513"/>
      <c r="BN181" s="513"/>
      <c r="BO181" s="513"/>
      <c r="BP181" s="513"/>
      <c r="BQ181" s="513"/>
      <c r="BR181" s="513"/>
      <c r="BS181" s="513"/>
      <c r="BT181" s="513"/>
      <c r="BU181" s="513"/>
      <c r="BV181" s="513"/>
      <c r="BW181" s="513"/>
      <c r="BX181" s="513"/>
      <c r="BY181" s="513"/>
      <c r="BZ181" s="513"/>
      <c r="CA181" s="513"/>
      <c r="CB181" s="513"/>
      <c r="CC181" s="513"/>
      <c r="CD181" s="513"/>
      <c r="CE181" s="513"/>
      <c r="CF181" s="513"/>
      <c r="CG181" s="513"/>
      <c r="CH181" s="513"/>
      <c r="CI181" s="513"/>
      <c r="CJ181" s="513"/>
      <c r="CK181" s="513"/>
      <c r="CL181" s="513"/>
      <c r="CM181" s="513"/>
      <c r="CN181" s="513"/>
      <c r="CO181" s="513"/>
      <c r="CP181" s="513"/>
      <c r="CQ181" s="513"/>
      <c r="CR181" s="513"/>
      <c r="CS181" s="513"/>
      <c r="CT181" s="513"/>
      <c r="CU181" s="513"/>
      <c r="CV181" s="513"/>
      <c r="CW181" s="513"/>
      <c r="CX181" s="513"/>
      <c r="CY181" s="513"/>
      <c r="CZ181" s="513"/>
      <c r="DA181" s="513"/>
      <c r="DB181" s="513"/>
      <c r="DC181" s="513"/>
      <c r="DD181" s="513"/>
      <c r="DE181" s="513"/>
      <c r="DF181" s="513"/>
      <c r="DG181" s="513"/>
      <c r="DH181" s="513"/>
      <c r="DI181" s="513"/>
      <c r="DJ181" s="513"/>
      <c r="DK181" s="513"/>
      <c r="DL181" s="513"/>
      <c r="DM181" s="513"/>
      <c r="DN181" s="513"/>
      <c r="DO181" s="513"/>
      <c r="DP181" s="513"/>
      <c r="DQ181" s="513"/>
      <c r="DR181" s="513"/>
      <c r="DS181" s="513"/>
      <c r="DT181" s="513"/>
      <c r="DU181" s="513"/>
      <c r="DV181" s="61"/>
      <c r="DW181" s="336">
        <f t="shared" si="1012"/>
        <v>0</v>
      </c>
      <c r="DX181" s="336">
        <f t="shared" si="1004"/>
        <v>0</v>
      </c>
      <c r="DY181" s="336">
        <f t="shared" si="1005"/>
        <v>0</v>
      </c>
      <c r="DZ181" s="336">
        <f t="shared" si="1006"/>
        <v>0</v>
      </c>
      <c r="EA181" s="336">
        <f t="shared" si="1007"/>
        <v>0</v>
      </c>
      <c r="EB181" s="336">
        <f t="shared" si="1008"/>
        <v>0</v>
      </c>
      <c r="EC181" s="336">
        <f t="shared" si="1009"/>
        <v>0</v>
      </c>
      <c r="ED181" s="336">
        <f t="shared" si="919"/>
        <v>0</v>
      </c>
      <c r="EE181" s="336">
        <f t="shared" si="920"/>
        <v>0</v>
      </c>
      <c r="EF181" s="336">
        <f t="shared" si="921"/>
        <v>0</v>
      </c>
      <c r="EG181" s="336">
        <f t="shared" si="922"/>
        <v>0</v>
      </c>
      <c r="EH181" s="336">
        <f t="shared" si="923"/>
        <v>0</v>
      </c>
      <c r="EI181" s="336">
        <f t="shared" si="924"/>
        <v>0</v>
      </c>
      <c r="EJ181" s="336">
        <f t="shared" si="925"/>
        <v>0</v>
      </c>
      <c r="EK181" s="336">
        <f t="shared" si="926"/>
        <v>0</v>
      </c>
      <c r="EL181" s="336">
        <f t="shared" si="927"/>
        <v>0</v>
      </c>
      <c r="EM181" s="336">
        <f t="shared" si="928"/>
        <v>0</v>
      </c>
      <c r="EN181" s="336">
        <f t="shared" si="929"/>
        <v>0</v>
      </c>
      <c r="EO181" s="336">
        <f t="shared" si="930"/>
        <v>0</v>
      </c>
      <c r="EP181" s="336">
        <f t="shared" si="931"/>
        <v>0</v>
      </c>
      <c r="EQ181" s="336">
        <f t="shared" si="932"/>
        <v>0</v>
      </c>
      <c r="ER181" s="336">
        <f t="shared" si="933"/>
        <v>0</v>
      </c>
      <c r="ES181" s="336">
        <f t="shared" si="934"/>
        <v>0</v>
      </c>
      <c r="ET181" s="336">
        <f t="shared" si="934"/>
        <v>0</v>
      </c>
      <c r="EU181" s="336">
        <f t="shared" si="935"/>
        <v>0</v>
      </c>
      <c r="EV181" s="336">
        <f t="shared" si="936"/>
        <v>0</v>
      </c>
      <c r="EW181" s="336">
        <f t="shared" si="937"/>
        <v>0</v>
      </c>
      <c r="EX181" s="336">
        <f t="shared" si="938"/>
        <v>0</v>
      </c>
      <c r="EY181" s="336">
        <f t="shared" si="939"/>
        <v>0</v>
      </c>
      <c r="EZ181" s="336">
        <f t="shared" si="940"/>
        <v>0</v>
      </c>
      <c r="FA181" s="336">
        <f t="shared" si="941"/>
        <v>0</v>
      </c>
      <c r="FB181" s="336">
        <f t="shared" si="942"/>
        <v>0</v>
      </c>
      <c r="FC181" s="336">
        <f t="shared" si="943"/>
        <v>0</v>
      </c>
      <c r="FD181" s="336">
        <f t="shared" si="944"/>
        <v>0</v>
      </c>
      <c r="FE181" s="336">
        <f t="shared" si="945"/>
        <v>0</v>
      </c>
      <c r="FF181" s="336">
        <f t="shared" si="946"/>
        <v>0</v>
      </c>
      <c r="FG181" s="336">
        <f t="shared" si="947"/>
        <v>0</v>
      </c>
      <c r="FH181" s="336">
        <f t="shared" si="948"/>
        <v>0</v>
      </c>
      <c r="FI181" s="336">
        <f t="shared" si="949"/>
        <v>0</v>
      </c>
      <c r="FJ181" s="336">
        <f t="shared" si="950"/>
        <v>0</v>
      </c>
      <c r="FK181" s="336">
        <f t="shared" si="951"/>
        <v>0</v>
      </c>
      <c r="FL181" s="336">
        <f t="shared" si="952"/>
        <v>0</v>
      </c>
      <c r="FM181" s="336">
        <f t="shared" si="953"/>
        <v>0</v>
      </c>
      <c r="FN181" s="336">
        <f t="shared" si="954"/>
        <v>0</v>
      </c>
      <c r="FO181" s="492">
        <f t="shared" si="955"/>
        <v>0</v>
      </c>
      <c r="FP181" s="492">
        <f t="shared" si="956"/>
        <v>0</v>
      </c>
      <c r="FQ181" s="492">
        <f t="shared" si="957"/>
        <v>0</v>
      </c>
      <c r="FR181" s="492">
        <f t="shared" si="958"/>
        <v>0</v>
      </c>
      <c r="FS181" s="492">
        <f t="shared" si="959"/>
        <v>0</v>
      </c>
      <c r="FT181" s="492">
        <f t="shared" si="960"/>
        <v>0</v>
      </c>
      <c r="FU181" s="336">
        <f t="shared" si="1507"/>
        <v>0</v>
      </c>
      <c r="FV181" s="336">
        <f t="shared" si="1508"/>
        <v>0</v>
      </c>
      <c r="FW181" s="336">
        <f t="shared" si="1509"/>
        <v>0</v>
      </c>
      <c r="FX181" s="336">
        <f t="shared" si="1510"/>
        <v>0</v>
      </c>
      <c r="FY181" s="492">
        <f t="shared" si="961"/>
        <v>0</v>
      </c>
      <c r="FZ181" s="492">
        <f t="shared" si="962"/>
        <v>0</v>
      </c>
      <c r="GA181" s="492">
        <f t="shared" si="963"/>
        <v>0</v>
      </c>
      <c r="GB181" s="492">
        <f t="shared" si="964"/>
        <v>0</v>
      </c>
      <c r="GC181" s="492">
        <f t="shared" si="965"/>
        <v>0</v>
      </c>
      <c r="GD181" s="492">
        <f t="shared" si="966"/>
        <v>0</v>
      </c>
      <c r="GE181" s="492">
        <f t="shared" si="967"/>
        <v>0</v>
      </c>
      <c r="GF181" s="492">
        <f t="shared" si="968"/>
        <v>0</v>
      </c>
      <c r="GG181" s="492">
        <f t="shared" si="969"/>
        <v>0</v>
      </c>
      <c r="GH181" s="492">
        <f t="shared" si="970"/>
        <v>0</v>
      </c>
      <c r="GI181" s="492">
        <f t="shared" si="971"/>
        <v>0</v>
      </c>
      <c r="GJ181" s="492">
        <f t="shared" si="972"/>
        <v>0</v>
      </c>
      <c r="GK181" s="492">
        <f t="shared" si="1469"/>
        <v>0</v>
      </c>
      <c r="GL181" s="336">
        <f t="shared" si="1511"/>
        <v>0</v>
      </c>
      <c r="GM181" s="492">
        <f t="shared" si="973"/>
        <v>0</v>
      </c>
    </row>
    <row r="182" spans="1:195" ht="20.100000000000001" customHeight="1">
      <c r="A182" s="337">
        <f>1+A180</f>
        <v>133</v>
      </c>
      <c r="B182" s="545" t="s">
        <v>653</v>
      </c>
      <c r="C182" s="337" t="s">
        <v>636</v>
      </c>
      <c r="D182" s="427" t="s">
        <v>654</v>
      </c>
      <c r="E182" s="372" t="s">
        <v>345</v>
      </c>
      <c r="F182" s="337" t="s">
        <v>28</v>
      </c>
      <c r="G182" s="337" t="s">
        <v>329</v>
      </c>
      <c r="H182" s="350">
        <v>2.2999999999999998</v>
      </c>
      <c r="I182" s="337" t="s">
        <v>330</v>
      </c>
      <c r="J182" s="337" t="s">
        <v>357</v>
      </c>
      <c r="K182" s="349">
        <v>230</v>
      </c>
      <c r="L182" s="343">
        <v>0.85</v>
      </c>
      <c r="M182" s="350">
        <v>0.95</v>
      </c>
      <c r="N182" s="342">
        <f>IF(I182="kVA",IF(J182="3Ph",(H182*1000/(1.732*M182*K182)),(H182*1000/(M182*K182))),IF(I182="kW",IF(J182="3Ph",(H182*1000/(1.732*M182*K182*L182)),(H182*1000/(M182*K182*L182)))))</f>
        <v>12.383900928792571</v>
      </c>
      <c r="O182" s="342">
        <f t="shared" si="1293"/>
        <v>0</v>
      </c>
      <c r="P182" s="343" t="str">
        <f>IF(G182="MOTOR",0.2,"0.00")</f>
        <v>0.00</v>
      </c>
      <c r="Q182" s="350">
        <v>65</v>
      </c>
      <c r="R182" s="350">
        <v>0</v>
      </c>
      <c r="S182" s="350">
        <f>(Q182*1000*SQRT(R182)/143)</f>
        <v>0</v>
      </c>
      <c r="T182" s="343" t="s">
        <v>131</v>
      </c>
      <c r="U182" s="350" t="s">
        <v>333</v>
      </c>
      <c r="V182" s="343">
        <v>95</v>
      </c>
      <c r="W182" s="343" t="str">
        <f>CONCATENATE(U182," X ",V182)</f>
        <v>3C X 95</v>
      </c>
      <c r="X182" s="343" t="str">
        <f>(IF(J182="1Ph",W182,IF(J182="3Ph",(IF(G182="MOTOR",(CONCATENATE(W182,"+PE")),W182)))))</f>
        <v>3C X 95</v>
      </c>
      <c r="Y182" s="343" t="s">
        <v>358</v>
      </c>
      <c r="Z182" s="344">
        <f>IF(T182="AIR",VLOOKUP(W182,'Catalogue Aluminium'!$B$9:$G$93,2,FALSE),IF(T182="GROUND",VLOOKUP(W182,'Catalogue Aluminium'!$B$9:$G$93,3,FALSE),IF(T182="DUCT",VLOOKUP(W182,'Catalogue Aluminium'!$B$9:$G$93,4,FALSE),IF(T182="TRENCH",VLOOKUP(W182,'Catalogue Aluminium'!$B$9:$G$93,2,FALSE)))))</f>
        <v>221</v>
      </c>
      <c r="AA182" s="345">
        <f>VLOOKUP(W182,'Catalogue Aluminium'!$B$9:$G$93,5,FALSE)</f>
        <v>0.41</v>
      </c>
      <c r="AB182" s="345">
        <f>VLOOKUP(W182,'Catalogue Aluminium'!$B$9:$G$93,6,FALSE)</f>
        <v>7.3400000000000007E-2</v>
      </c>
      <c r="AC182" s="457">
        <f t="shared" ref="AC182" si="1512">32+6</f>
        <v>38</v>
      </c>
      <c r="AD182" s="401">
        <f>42+73+92+196+100</f>
        <v>503</v>
      </c>
      <c r="AE182" s="401">
        <f t="shared" ref="AE182" si="1513">11+8+8+11</f>
        <v>38</v>
      </c>
      <c r="AF182" s="401">
        <v>8</v>
      </c>
      <c r="AG182" s="401">
        <f t="shared" ref="AG182" si="1514">ROUNDUP((SUM(AC182:AF182)*0.1),0)</f>
        <v>59</v>
      </c>
      <c r="AH182" s="347">
        <f t="shared" ref="AH182" si="1515">SUM(AC182:AG182)</f>
        <v>646</v>
      </c>
      <c r="AI182" s="344">
        <f>IF(T182="AIR",'Catalogue Aluminium'!$K$9,IF(T182="TRENCH",'Catalogue Aluminium'!$K$12,"NA"))</f>
        <v>0.89</v>
      </c>
      <c r="AJ182" s="342">
        <f>IF(T182="Air",(IF(U182="1C",'Catalogue Aluminium'!$L$9,'Catalogue Aluminium'!$M$9)),IF(T182="DUCT",(IF($U182="1C",'Catalogue Aluminium'!$L$10,'Catalogue Aluminium'!$M$10)),IF(T182="GROUND",(IF($U182="1C",'Catalogue Aluminium'!$L$11,'Catalogue Aluminium'!$M$11)),IF(T182="TRENCH",(IF($U182="1C",'Catalogue Aluminium'!$L$12,'Catalogue Aluminium'!$M$12))))))</f>
        <v>0.66</v>
      </c>
      <c r="AK182" s="344" t="str">
        <f>IF(T182="Air",'Catalogue Aluminium'!$N$9,IF(T182="GROUND",'Catalogue Aluminium'!$N$10,IF(T182="DUCT",'Catalogue Aluminium'!$N$11,IF(T182="TRENCH",'Catalogue Aluminium'!$N$12,"NA"))))</f>
        <v>NA</v>
      </c>
      <c r="AL182" s="344" t="str">
        <f>IF(T182="Air",(IF(U182="1C",'Catalogue Aluminium'!$O$9,'Catalogue Aluminium'!$P$9)),IF(T182="DUCT",(IF($U182="1C",'Catalogue Aluminium'!$O$10,'Catalogue Aluminium'!$P$10)),IF(T182="GROUND",(IF($U182="1C",'Catalogue Aluminium'!$O$11,'Catalogue Aluminium'!$P$11)),IF(T182="TRENCH",(IF($U182="1C",'Catalogue Aluminium'!$O$12,'Catalogue Aluminium'!$P$12))))))</f>
        <v>NA</v>
      </c>
      <c r="AM182" s="344" t="str">
        <f>IF(T182="AIR","NA",IF(T182="TRENCH","NA",IF(T182="DUCT",IF(U182="1C",VLOOKUP(V182,'Catalogue Aluminium'!$Q$9:$S$28,2,FALSE),VLOOKUP(V182,'Catalogue Aluminium'!$Q$9:$S$28,3)),IF(T182="GROUND",IF(U182="1C",VLOOKUP(V182,'Catalogue Aluminium'!$Q$9:$S$28,2,FALSE),VLOOKUP(V182,'Catalogue Aluminium'!$Q$9:$S$28,3))))))</f>
        <v>NA</v>
      </c>
      <c r="AN182" s="351">
        <f>IF(T182="AIR",AI182*AJ182,IF(T182="TRENCH",AI182*AJ182,IF(T182="DUCT",AJ182*AK182*AL182*AM182,IF(T182="GROUND",AJ182*AK182*AL182*AM182))))</f>
        <v>0.58740000000000003</v>
      </c>
      <c r="AO182" s="350">
        <f>Z182*AN182</f>
        <v>129.81540000000001</v>
      </c>
      <c r="AP182" s="349">
        <f t="shared" si="1303"/>
        <v>1</v>
      </c>
      <c r="AQ182" s="350" t="str">
        <f>IF(AO182*AP182&gt;=N182,"YES","NO")</f>
        <v>YES</v>
      </c>
      <c r="AR182" s="351">
        <f>SQRT(3)*AH182*N182*((AA182*L182)+(AB182*SIN(ACOS(L182))))*100/(AP182*K182*1000)</f>
        <v>2.3324901631176944</v>
      </c>
      <c r="AS182" s="343" t="str">
        <f>IF(G182="INCOMER",(IF(AR182&lt;=2,"YES","NO")),IF(G182="POWER",(IF(AR182&lt;=2.5,"YES","NO")),IF(G182="MOTOR",(IF(AR182&lt;=3,"YES","NO")))))</f>
        <v>YES</v>
      </c>
      <c r="AT182" s="351" t="str">
        <f>IF(G182="MOTOR",(SQRT(3)*AH182*O182*((AA182*P182)+(AB182*SIN(ACOS(P182))))*100/(AP182*K182*1000)),"NA")</f>
        <v>NA</v>
      </c>
      <c r="AU182" s="343" t="str">
        <f>IF(G182="MOTOR",IF(AT182&lt;=15,"YES","NO"),"NA")</f>
        <v>NA</v>
      </c>
      <c r="AV182" s="354" t="str">
        <f>IF(U182="1C",CONCATENATE(AP182,"R x ",Y182,"kV x ",U182," x ",V182," Sqmm/Phase"),CONCATENATE(AP182,"R x ",0.6,"/1kV x ",U182," x ",V182," Sqmm"))</f>
        <v>1R x 0.6/1kV x 3C x 95 Sqmm</v>
      </c>
      <c r="AW182" s="354" t="str">
        <f>IF(U182="1C",CONCATENATE(AP182,"R x ",Y182,"kV x ",U182," x ",V182," Sqmm/Phase"),CONCATENATE(AP182,"R x ",0.6,"/1kV x ",U182," x ",V182,(IF(G182="MOTOR","+PE",""))," Sqmm"))</f>
        <v>1R x 0.6/1kV x 3C x 95 Sqmm</v>
      </c>
      <c r="AX182" s="343">
        <f>(IF(K182=400,(IF(U182="1C",(4*AH182*AP182),(AH182*AP182))),IF(K182=230,(AH182*AP182))))</f>
        <v>646</v>
      </c>
      <c r="AY182" s="355"/>
      <c r="AZ182" s="355">
        <f>IF(U182="1C",(3*AP182*2),(AP182*2))</f>
        <v>2</v>
      </c>
      <c r="BA182" s="356" t="str">
        <f t="shared" ref="BA182" si="1516">CONCATENATE(IF(BE182=1,BE$4,""),IF(BF182=1,BF$4,""),IF(BG182=1,BG$4,""),IF(BH182=1,BH$4,""),IF(BI182=1,BI$4,""),IF(BJ182=1,BJ$4,""),IF(BK182=1,BK$4,""),IF(BL182=1,BL$4,""),IF(BM182=1,BM$4,""),IF(BN182=1,BN$4,""),IF(BO182=1,BO$4,""),IF(BP182=1,BP$4,""),IF(BQ182=1,BQ$4,""),IF(BR182=1,BR$4,""),IF(BS182=1,BS$4,""),IF(BT182=1,BT$4,""),IF(BU182=1,BU$4,""),IF(BV182=1,BV$4,""),IF(BW182=1,BW$4,""),IF(BX182=1,BX$4,""),IF(BY182=1,BY$4,""),IF(BZ182=1,BZ$4,""),IF(CA182=1,CA$4,""),IF(CB182=1,CB$4,""),IF(CC182=1,CC$4,""),IF(CD182=1,CD$4,""),IF(CE182=1,CE$4,""),IF(CF182=1,CF$4,""),IF(CG182=1,CG$4,""),IF(CH182=1,CH$4,""),IF(CI182=1,CI$4,""),IF(CJ182=1,CJ$4,""),IF(CK182=1,CK$4,""),IF(CL182=1,CL$4,""),IF(CM182=1,CM$4,""),IF(CN182=1,CN$4,""),IF(CO182=1,CO$4,""),IF(CP182=1,CP$4,""),IF(CQ182=1,CQ$4,""),IF(CR182=1,CR$4,""),IF(CS182=1,CS$4,""),IF(CT182=1,CT$4,""),IF(CU182=1,CU$4,""),IF(CV182=1,CV$4,""),IF(CW182=1,CW$4,""),IF(CX182=1,CX$4,""),IF(CY182=1,CY$4,""),IF(CZ182=1,CZ$4,""),IF(DA182=1,DA$4,""),IF(DB182=1,DB$4,""),IF(DC182=1,DC$4,""),IF(DD182=1,DD$4,""),IF(DE182=1,DE$4,""),IF(DF182=1,DF$4,""),IF(DG182=1,DG$4,""),IF(DH182=1,DH$4,""),IF(DI182=1,DI$4,""),IF(DJ182=1,DJ$4,""),IF(DK182=1,DK$4,""),IF(DL182=1,DL$4,""),IF(DM182=1,DM$4,""),IF(DN182=1,DN$4,""),IF(DO182=1,DO$4,""),IF(DP182=1,DP$4,""),IF(DQ182=1,DQ$4,""),IF(DR182=1,DR$4,""),IF(DS182=1,DS$4,""),IF(DT182=1,DT$4,""),IF(DU182=1,DU$4,""))</f>
        <v>LMM1NO</v>
      </c>
      <c r="BB182" s="501">
        <f>VLOOKUP(W182,'Catalogue Aluminium'!$B$9:$H$93,7,FALSE)</f>
        <v>33</v>
      </c>
      <c r="BC182" s="328">
        <f>AP182*BB182</f>
        <v>33</v>
      </c>
      <c r="BE182" s="336"/>
      <c r="BF182" s="336"/>
      <c r="BG182" s="336"/>
      <c r="BH182" s="336"/>
      <c r="BI182" s="336"/>
      <c r="BJ182" s="336"/>
      <c r="BK182" s="336"/>
      <c r="BL182" s="336"/>
      <c r="BM182" s="336"/>
      <c r="BN182" s="336"/>
      <c r="BO182" s="336"/>
      <c r="BP182" s="336"/>
      <c r="BQ182" s="336"/>
      <c r="BR182" s="336"/>
      <c r="BS182" s="336"/>
      <c r="BT182" s="336"/>
      <c r="BU182" s="336"/>
      <c r="BV182" s="336"/>
      <c r="BW182" s="336"/>
      <c r="BX182" s="336"/>
      <c r="BY182" s="336"/>
      <c r="BZ182" s="336"/>
      <c r="CA182" s="336"/>
      <c r="CB182" s="336"/>
      <c r="CC182" s="336"/>
      <c r="CD182" s="336"/>
      <c r="CE182" s="336"/>
      <c r="CF182" s="336">
        <v>1</v>
      </c>
      <c r="CG182" s="336"/>
      <c r="CH182" s="336"/>
      <c r="CI182" s="336"/>
      <c r="CJ182" s="336"/>
      <c r="CK182" s="336"/>
      <c r="CL182" s="336"/>
      <c r="CM182" s="336"/>
      <c r="CN182" s="336"/>
      <c r="CO182" s="336"/>
      <c r="CP182" s="336">
        <v>1</v>
      </c>
      <c r="CQ182" s="336">
        <v>1</v>
      </c>
      <c r="CR182" s="336">
        <v>1</v>
      </c>
      <c r="CS182" s="336"/>
      <c r="CT182" s="336"/>
      <c r="CU182" s="336">
        <v>1</v>
      </c>
      <c r="CV182" s="336"/>
      <c r="CW182" s="336"/>
      <c r="CX182" s="336"/>
      <c r="CY182" s="336"/>
      <c r="CZ182" s="336"/>
      <c r="DA182" s="336"/>
      <c r="DB182" s="336"/>
      <c r="DC182" s="336"/>
      <c r="DD182" s="336"/>
      <c r="DE182" s="336"/>
      <c r="DF182" s="336"/>
      <c r="DG182" s="336"/>
      <c r="DH182" s="336"/>
      <c r="DI182" s="336"/>
      <c r="DJ182" s="336"/>
      <c r="DK182" s="336"/>
      <c r="DL182" s="336"/>
      <c r="DM182" s="336"/>
      <c r="DN182" s="336"/>
      <c r="DO182" s="336"/>
      <c r="DP182" s="336"/>
      <c r="DQ182" s="336"/>
      <c r="DR182" s="336"/>
      <c r="DS182" s="336"/>
      <c r="DT182" s="336"/>
      <c r="DU182" s="336"/>
      <c r="DW182" s="336">
        <f t="shared" si="1012"/>
        <v>0</v>
      </c>
      <c r="DX182" s="336">
        <f t="shared" si="1004"/>
        <v>0</v>
      </c>
      <c r="DY182" s="336">
        <f t="shared" si="1005"/>
        <v>0</v>
      </c>
      <c r="DZ182" s="336">
        <f t="shared" si="1006"/>
        <v>0</v>
      </c>
      <c r="EA182" s="336">
        <f t="shared" si="1007"/>
        <v>0</v>
      </c>
      <c r="EB182" s="336">
        <f t="shared" si="1008"/>
        <v>0</v>
      </c>
      <c r="EC182" s="336">
        <f t="shared" si="1009"/>
        <v>0</v>
      </c>
      <c r="ED182" s="336">
        <f t="shared" si="919"/>
        <v>0</v>
      </c>
      <c r="EE182" s="336">
        <f t="shared" si="920"/>
        <v>0</v>
      </c>
      <c r="EF182" s="336">
        <f t="shared" si="921"/>
        <v>0</v>
      </c>
      <c r="EG182" s="336">
        <f t="shared" si="922"/>
        <v>0</v>
      </c>
      <c r="EH182" s="336">
        <f t="shared" si="923"/>
        <v>0</v>
      </c>
      <c r="EI182" s="336">
        <f t="shared" si="924"/>
        <v>0</v>
      </c>
      <c r="EJ182" s="336">
        <f t="shared" si="925"/>
        <v>0</v>
      </c>
      <c r="EK182" s="336">
        <f t="shared" si="926"/>
        <v>0</v>
      </c>
      <c r="EL182" s="336">
        <f t="shared" si="927"/>
        <v>0</v>
      </c>
      <c r="EM182" s="336">
        <f t="shared" si="928"/>
        <v>0</v>
      </c>
      <c r="EN182" s="336">
        <f t="shared" si="929"/>
        <v>0</v>
      </c>
      <c r="EO182" s="336">
        <f t="shared" si="930"/>
        <v>0</v>
      </c>
      <c r="EP182" s="336">
        <f t="shared" si="931"/>
        <v>0</v>
      </c>
      <c r="EQ182" s="336">
        <f t="shared" si="932"/>
        <v>0</v>
      </c>
      <c r="ER182" s="336">
        <f t="shared" si="933"/>
        <v>0</v>
      </c>
      <c r="ES182" s="336">
        <f t="shared" si="934"/>
        <v>0</v>
      </c>
      <c r="ET182" s="336">
        <f t="shared" si="934"/>
        <v>0</v>
      </c>
      <c r="EU182" s="336">
        <f t="shared" si="935"/>
        <v>0</v>
      </c>
      <c r="EV182" s="336">
        <f t="shared" si="936"/>
        <v>0</v>
      </c>
      <c r="EW182" s="336">
        <f t="shared" si="937"/>
        <v>0</v>
      </c>
      <c r="EX182" s="336">
        <f t="shared" si="938"/>
        <v>33</v>
      </c>
      <c r="EY182" s="336">
        <f t="shared" si="939"/>
        <v>0</v>
      </c>
      <c r="EZ182" s="336">
        <f t="shared" si="940"/>
        <v>0</v>
      </c>
      <c r="FA182" s="336">
        <f t="shared" si="941"/>
        <v>0</v>
      </c>
      <c r="FB182" s="336">
        <f t="shared" si="942"/>
        <v>0</v>
      </c>
      <c r="FC182" s="336">
        <f t="shared" si="943"/>
        <v>0</v>
      </c>
      <c r="FD182" s="336">
        <f t="shared" si="944"/>
        <v>0</v>
      </c>
      <c r="FE182" s="336">
        <f t="shared" si="945"/>
        <v>0</v>
      </c>
      <c r="FF182" s="336">
        <f t="shared" si="946"/>
        <v>0</v>
      </c>
      <c r="FG182" s="336">
        <f t="shared" si="947"/>
        <v>0</v>
      </c>
      <c r="FH182" s="336">
        <f t="shared" si="948"/>
        <v>33</v>
      </c>
      <c r="FI182" s="336">
        <f t="shared" si="949"/>
        <v>33</v>
      </c>
      <c r="FJ182" s="336">
        <f t="shared" si="950"/>
        <v>33</v>
      </c>
      <c r="FK182" s="336">
        <f t="shared" si="951"/>
        <v>0</v>
      </c>
      <c r="FL182" s="336">
        <f t="shared" si="952"/>
        <v>0</v>
      </c>
      <c r="FM182" s="336">
        <f t="shared" si="953"/>
        <v>33</v>
      </c>
      <c r="FN182" s="336">
        <f t="shared" si="954"/>
        <v>0</v>
      </c>
      <c r="FO182" s="336">
        <f t="shared" si="955"/>
        <v>0</v>
      </c>
      <c r="FP182" s="336">
        <f t="shared" si="956"/>
        <v>0</v>
      </c>
      <c r="FQ182" s="336">
        <f t="shared" si="957"/>
        <v>0</v>
      </c>
      <c r="FR182" s="336">
        <f t="shared" si="958"/>
        <v>0</v>
      </c>
      <c r="FS182" s="336">
        <f t="shared" si="959"/>
        <v>0</v>
      </c>
      <c r="FT182" s="336">
        <f t="shared" si="960"/>
        <v>0</v>
      </c>
      <c r="FU182" s="336">
        <f t="shared" si="1507"/>
        <v>0</v>
      </c>
      <c r="FV182" s="336">
        <f t="shared" si="1508"/>
        <v>0</v>
      </c>
      <c r="FW182" s="336">
        <f t="shared" si="1509"/>
        <v>0</v>
      </c>
      <c r="FX182" s="336">
        <f t="shared" si="1510"/>
        <v>0</v>
      </c>
      <c r="FY182" s="336">
        <f t="shared" si="961"/>
        <v>0</v>
      </c>
      <c r="FZ182" s="336">
        <f t="shared" si="962"/>
        <v>0</v>
      </c>
      <c r="GA182" s="336">
        <f t="shared" si="963"/>
        <v>0</v>
      </c>
      <c r="GB182" s="336">
        <f t="shared" si="964"/>
        <v>0</v>
      </c>
      <c r="GC182" s="336">
        <f t="shared" si="965"/>
        <v>0</v>
      </c>
      <c r="GD182" s="336">
        <f t="shared" si="966"/>
        <v>0</v>
      </c>
      <c r="GE182" s="336">
        <f t="shared" si="967"/>
        <v>0</v>
      </c>
      <c r="GF182" s="336">
        <f t="shared" si="968"/>
        <v>0</v>
      </c>
      <c r="GG182" s="336">
        <f t="shared" si="969"/>
        <v>0</v>
      </c>
      <c r="GH182" s="336">
        <f t="shared" si="970"/>
        <v>0</v>
      </c>
      <c r="GI182" s="336">
        <f t="shared" si="971"/>
        <v>0</v>
      </c>
      <c r="GJ182" s="336">
        <f t="shared" si="972"/>
        <v>0</v>
      </c>
      <c r="GK182" s="336">
        <f t="shared" si="1469"/>
        <v>0</v>
      </c>
      <c r="GL182" s="336">
        <f t="shared" si="1511"/>
        <v>0</v>
      </c>
      <c r="GM182" s="336">
        <f t="shared" si="973"/>
        <v>0</v>
      </c>
    </row>
    <row r="183" spans="1:195" s="76" customFormat="1" ht="20.100000000000001" customHeight="1">
      <c r="A183" s="373"/>
      <c r="B183" s="373"/>
      <c r="C183" s="373"/>
      <c r="D183" s="508" t="s">
        <v>365</v>
      </c>
      <c r="E183" s="373"/>
      <c r="F183" s="510"/>
      <c r="G183" s="373"/>
      <c r="H183" s="382"/>
      <c r="I183" s="373"/>
      <c r="J183" s="373"/>
      <c r="K183" s="381"/>
      <c r="L183" s="376"/>
      <c r="M183" s="382"/>
      <c r="N183" s="375"/>
      <c r="O183" s="375"/>
      <c r="P183" s="376"/>
      <c r="Q183" s="382"/>
      <c r="R183" s="382"/>
      <c r="S183" s="382"/>
      <c r="T183" s="376"/>
      <c r="U183" s="382"/>
      <c r="V183" s="376"/>
      <c r="W183" s="376"/>
      <c r="X183" s="376"/>
      <c r="Y183" s="376"/>
      <c r="Z183" s="377"/>
      <c r="AA183" s="378"/>
      <c r="AB183" s="378"/>
      <c r="AC183" s="457"/>
      <c r="AD183" s="457"/>
      <c r="AE183" s="457"/>
      <c r="AF183" s="457"/>
      <c r="AG183" s="457"/>
      <c r="AH183" s="380"/>
      <c r="AI183" s="377"/>
      <c r="AJ183" s="375"/>
      <c r="AK183" s="377"/>
      <c r="AL183" s="377"/>
      <c r="AM183" s="377"/>
      <c r="AN183" s="383"/>
      <c r="AO183" s="382"/>
      <c r="AP183" s="381"/>
      <c r="AQ183" s="382"/>
      <c r="AR183" s="383"/>
      <c r="AS183" s="376"/>
      <c r="AT183" s="383"/>
      <c r="AU183" s="383"/>
      <c r="AV183" s="384"/>
      <c r="AW183" s="384"/>
      <c r="AX183" s="376"/>
      <c r="AY183" s="385"/>
      <c r="AZ183" s="385"/>
      <c r="BA183" s="513" t="str">
        <f t="shared" si="1277"/>
        <v/>
      </c>
      <c r="BB183" s="513"/>
      <c r="BC183" s="513"/>
      <c r="BE183" s="513"/>
      <c r="BF183" s="513"/>
      <c r="BG183" s="513"/>
      <c r="BH183" s="513"/>
      <c r="BI183" s="513"/>
      <c r="BJ183" s="513"/>
      <c r="BK183" s="513"/>
      <c r="BL183" s="513"/>
      <c r="BM183" s="513"/>
      <c r="BN183" s="513"/>
      <c r="BO183" s="513"/>
      <c r="BP183" s="513"/>
      <c r="BQ183" s="513"/>
      <c r="BR183" s="513"/>
      <c r="BS183" s="513"/>
      <c r="BT183" s="513"/>
      <c r="BU183" s="513"/>
      <c r="BV183" s="513"/>
      <c r="BW183" s="513"/>
      <c r="BX183" s="513"/>
      <c r="BY183" s="513"/>
      <c r="BZ183" s="513"/>
      <c r="CA183" s="513"/>
      <c r="CB183" s="513"/>
      <c r="CC183" s="513"/>
      <c r="CD183" s="513"/>
      <c r="CE183" s="513"/>
      <c r="CF183" s="513"/>
      <c r="CG183" s="513"/>
      <c r="CH183" s="513"/>
      <c r="CI183" s="513"/>
      <c r="CJ183" s="513"/>
      <c r="CK183" s="513"/>
      <c r="CL183" s="513"/>
      <c r="CM183" s="513"/>
      <c r="CN183" s="513"/>
      <c r="CO183" s="513"/>
      <c r="CP183" s="513"/>
      <c r="CQ183" s="513"/>
      <c r="CR183" s="513"/>
      <c r="CS183" s="513"/>
      <c r="CT183" s="513"/>
      <c r="CU183" s="513"/>
      <c r="CV183" s="513"/>
      <c r="CW183" s="513"/>
      <c r="CX183" s="513"/>
      <c r="CY183" s="513"/>
      <c r="CZ183" s="513"/>
      <c r="DA183" s="513"/>
      <c r="DB183" s="513"/>
      <c r="DC183" s="513"/>
      <c r="DD183" s="513"/>
      <c r="DE183" s="513"/>
      <c r="DF183" s="513"/>
      <c r="DG183" s="513"/>
      <c r="DH183" s="513"/>
      <c r="DI183" s="513"/>
      <c r="DJ183" s="513"/>
      <c r="DK183" s="513"/>
      <c r="DL183" s="513"/>
      <c r="DM183" s="513"/>
      <c r="DN183" s="513"/>
      <c r="DO183" s="513"/>
      <c r="DP183" s="513"/>
      <c r="DQ183" s="513"/>
      <c r="DR183" s="513"/>
      <c r="DS183" s="513"/>
      <c r="DT183" s="513"/>
      <c r="DU183" s="513"/>
      <c r="DV183" s="61"/>
      <c r="DW183" s="336">
        <f t="shared" si="1012"/>
        <v>0</v>
      </c>
      <c r="DX183" s="336">
        <f t="shared" si="1004"/>
        <v>0</v>
      </c>
      <c r="DY183" s="336">
        <f t="shared" si="1005"/>
        <v>0</v>
      </c>
      <c r="DZ183" s="336">
        <f t="shared" si="1006"/>
        <v>0</v>
      </c>
      <c r="EA183" s="336">
        <f t="shared" si="1007"/>
        <v>0</v>
      </c>
      <c r="EB183" s="336">
        <f t="shared" si="1008"/>
        <v>0</v>
      </c>
      <c r="EC183" s="336">
        <f t="shared" si="1009"/>
        <v>0</v>
      </c>
      <c r="ED183" s="336">
        <f t="shared" si="919"/>
        <v>0</v>
      </c>
      <c r="EE183" s="336">
        <f t="shared" si="920"/>
        <v>0</v>
      </c>
      <c r="EF183" s="336">
        <f t="shared" si="921"/>
        <v>0</v>
      </c>
      <c r="EG183" s="336">
        <f t="shared" si="922"/>
        <v>0</v>
      </c>
      <c r="EH183" s="336">
        <f t="shared" si="923"/>
        <v>0</v>
      </c>
      <c r="EI183" s="336">
        <f t="shared" si="924"/>
        <v>0</v>
      </c>
      <c r="EJ183" s="336">
        <f t="shared" si="925"/>
        <v>0</v>
      </c>
      <c r="EK183" s="336">
        <f t="shared" si="926"/>
        <v>0</v>
      </c>
      <c r="EL183" s="336">
        <f t="shared" si="927"/>
        <v>0</v>
      </c>
      <c r="EM183" s="336">
        <f t="shared" si="928"/>
        <v>0</v>
      </c>
      <c r="EN183" s="336">
        <f t="shared" si="929"/>
        <v>0</v>
      </c>
      <c r="EO183" s="336">
        <f t="shared" si="930"/>
        <v>0</v>
      </c>
      <c r="EP183" s="336">
        <f t="shared" si="931"/>
        <v>0</v>
      </c>
      <c r="EQ183" s="336">
        <f t="shared" si="932"/>
        <v>0</v>
      </c>
      <c r="ER183" s="336">
        <f t="shared" si="933"/>
        <v>0</v>
      </c>
      <c r="ES183" s="336">
        <f t="shared" si="934"/>
        <v>0</v>
      </c>
      <c r="ET183" s="336">
        <f t="shared" si="934"/>
        <v>0</v>
      </c>
      <c r="EU183" s="336">
        <f t="shared" si="935"/>
        <v>0</v>
      </c>
      <c r="EV183" s="336">
        <f t="shared" si="936"/>
        <v>0</v>
      </c>
      <c r="EW183" s="336">
        <f t="shared" si="937"/>
        <v>0</v>
      </c>
      <c r="EX183" s="336">
        <f t="shared" si="938"/>
        <v>0</v>
      </c>
      <c r="EY183" s="336">
        <f t="shared" si="939"/>
        <v>0</v>
      </c>
      <c r="EZ183" s="336">
        <f t="shared" si="940"/>
        <v>0</v>
      </c>
      <c r="FA183" s="336">
        <f t="shared" si="941"/>
        <v>0</v>
      </c>
      <c r="FB183" s="336">
        <f t="shared" si="942"/>
        <v>0</v>
      </c>
      <c r="FC183" s="336">
        <f t="shared" si="943"/>
        <v>0</v>
      </c>
      <c r="FD183" s="336">
        <f t="shared" si="944"/>
        <v>0</v>
      </c>
      <c r="FE183" s="336">
        <f t="shared" si="945"/>
        <v>0</v>
      </c>
      <c r="FF183" s="336">
        <f t="shared" si="946"/>
        <v>0</v>
      </c>
      <c r="FG183" s="336">
        <f t="shared" si="947"/>
        <v>0</v>
      </c>
      <c r="FH183" s="336">
        <f t="shared" si="948"/>
        <v>0</v>
      </c>
      <c r="FI183" s="336">
        <f t="shared" si="949"/>
        <v>0</v>
      </c>
      <c r="FJ183" s="336">
        <f t="shared" si="950"/>
        <v>0</v>
      </c>
      <c r="FK183" s="336">
        <f t="shared" si="951"/>
        <v>0</v>
      </c>
      <c r="FL183" s="336">
        <f t="shared" si="952"/>
        <v>0</v>
      </c>
      <c r="FM183" s="336">
        <f t="shared" si="953"/>
        <v>0</v>
      </c>
      <c r="FN183" s="336">
        <f t="shared" si="954"/>
        <v>0</v>
      </c>
      <c r="FO183" s="492">
        <f t="shared" si="955"/>
        <v>0</v>
      </c>
      <c r="FP183" s="492">
        <f t="shared" si="956"/>
        <v>0</v>
      </c>
      <c r="FQ183" s="492">
        <f t="shared" si="957"/>
        <v>0</v>
      </c>
      <c r="FR183" s="492">
        <f t="shared" si="958"/>
        <v>0</v>
      </c>
      <c r="FS183" s="492">
        <f t="shared" si="959"/>
        <v>0</v>
      </c>
      <c r="FT183" s="492">
        <f t="shared" si="960"/>
        <v>0</v>
      </c>
      <c r="FU183" s="336">
        <f t="shared" si="1507"/>
        <v>0</v>
      </c>
      <c r="FV183" s="336">
        <f t="shared" si="1508"/>
        <v>0</v>
      </c>
      <c r="FW183" s="336">
        <f t="shared" si="1509"/>
        <v>0</v>
      </c>
      <c r="FX183" s="336">
        <f t="shared" si="1510"/>
        <v>0</v>
      </c>
      <c r="FY183" s="492">
        <f t="shared" si="961"/>
        <v>0</v>
      </c>
      <c r="FZ183" s="492">
        <f t="shared" si="962"/>
        <v>0</v>
      </c>
      <c r="GA183" s="492">
        <f t="shared" si="963"/>
        <v>0</v>
      </c>
      <c r="GB183" s="492">
        <f t="shared" si="964"/>
        <v>0</v>
      </c>
      <c r="GC183" s="492">
        <f t="shared" si="965"/>
        <v>0</v>
      </c>
      <c r="GD183" s="492">
        <f t="shared" si="966"/>
        <v>0</v>
      </c>
      <c r="GE183" s="492">
        <f t="shared" si="967"/>
        <v>0</v>
      </c>
      <c r="GF183" s="492">
        <f t="shared" si="968"/>
        <v>0</v>
      </c>
      <c r="GG183" s="492">
        <f t="shared" si="969"/>
        <v>0</v>
      </c>
      <c r="GH183" s="492">
        <f t="shared" si="970"/>
        <v>0</v>
      </c>
      <c r="GI183" s="492">
        <f t="shared" si="971"/>
        <v>0</v>
      </c>
      <c r="GJ183" s="492">
        <f t="shared" si="972"/>
        <v>0</v>
      </c>
      <c r="GK183" s="492">
        <f t="shared" si="1469"/>
        <v>0</v>
      </c>
      <c r="GL183" s="336">
        <f t="shared" si="1511"/>
        <v>0</v>
      </c>
      <c r="GM183" s="492">
        <f t="shared" si="973"/>
        <v>0</v>
      </c>
    </row>
    <row r="184" spans="1:195" ht="20.100000000000001" customHeight="1">
      <c r="A184" s="337">
        <f>1+A182</f>
        <v>134</v>
      </c>
      <c r="B184" s="894" t="s">
        <v>1679</v>
      </c>
      <c r="C184" s="337" t="s">
        <v>636</v>
      </c>
      <c r="D184" s="427" t="s">
        <v>655</v>
      </c>
      <c r="E184" s="372" t="s">
        <v>345</v>
      </c>
      <c r="F184" s="337" t="s">
        <v>28</v>
      </c>
      <c r="G184" s="337" t="s">
        <v>329</v>
      </c>
      <c r="H184" s="350">
        <v>2.2000000000000002</v>
      </c>
      <c r="I184" s="337" t="s">
        <v>330</v>
      </c>
      <c r="J184" s="337" t="s">
        <v>357</v>
      </c>
      <c r="K184" s="349">
        <v>230</v>
      </c>
      <c r="L184" s="343">
        <v>0.85</v>
      </c>
      <c r="M184" s="350">
        <v>0.95</v>
      </c>
      <c r="N184" s="342">
        <f>IF(I184="kVA",IF(J184="3Ph",(H184*1000/(1.732*M184*K184)),(H184*1000/(M184*K184))),IF(I184="kW",IF(J184="3Ph",(H184*1000/(1.732*M184*K184*L184)),(H184*1000/(M184*K184*L184)))))</f>
        <v>11.845470453627676</v>
      </c>
      <c r="O184" s="342">
        <f t="shared" si="1293"/>
        <v>0</v>
      </c>
      <c r="P184" s="343" t="str">
        <f>IF(G184="MOTOR",0.2,"0.00")</f>
        <v>0.00</v>
      </c>
      <c r="Q184" s="350">
        <v>65</v>
      </c>
      <c r="R184" s="350">
        <v>0</v>
      </c>
      <c r="S184" s="350">
        <f>(Q184*1000*SQRT(R184)/143)</f>
        <v>0</v>
      </c>
      <c r="T184" s="343" t="s">
        <v>131</v>
      </c>
      <c r="U184" s="350" t="s">
        <v>333</v>
      </c>
      <c r="V184" s="343">
        <v>70</v>
      </c>
      <c r="W184" s="343" t="str">
        <f>CONCATENATE(U184," X ",V184)</f>
        <v>3C X 70</v>
      </c>
      <c r="X184" s="343" t="str">
        <f>(IF(J184="1Ph",W184,IF(J184="3Ph",(IF(G184="MOTOR",(CONCATENATE(W184,"+PE")),W184)))))</f>
        <v>3C X 70</v>
      </c>
      <c r="Y184" s="343" t="s">
        <v>358</v>
      </c>
      <c r="Z184" s="344">
        <f>IF(T184="AIR",VLOOKUP(W184,'Catalogue Aluminium'!$B$9:$G$93,2,FALSE),IF(T184="GROUND",VLOOKUP(W184,'Catalogue Aluminium'!$B$9:$G$93,3,FALSE),IF(T184="DUCT",VLOOKUP(W184,'Catalogue Aluminium'!$B$9:$G$93,4,FALSE),IF(T184="TRENCH",VLOOKUP(W184,'Catalogue Aluminium'!$B$9:$G$93,2,FALSE)))))</f>
        <v>177</v>
      </c>
      <c r="AA184" s="345">
        <f>VLOOKUP(W184,'Catalogue Aluminium'!$B$9:$G$93,5,FALSE)</f>
        <v>0.56699999999999995</v>
      </c>
      <c r="AB184" s="345">
        <f>VLOOKUP(W184,'Catalogue Aluminium'!$B$9:$G$93,6,FALSE)</f>
        <v>7.5200000000000003E-2</v>
      </c>
      <c r="AC184" s="457">
        <f t="shared" ref="AC184:AC185" si="1517">32+6</f>
        <v>38</v>
      </c>
      <c r="AD184" s="401">
        <f>40+50+38+50+17+(27+42+30+21+20)</f>
        <v>335</v>
      </c>
      <c r="AE184" s="401">
        <f t="shared" ref="AE184:AE185" si="1518">11+8+8+11</f>
        <v>38</v>
      </c>
      <c r="AF184" s="401">
        <v>8</v>
      </c>
      <c r="AG184" s="401">
        <f t="shared" ref="AG184:AG185" si="1519">ROUNDUP((SUM(AC184:AF184)*0.1),0)</f>
        <v>42</v>
      </c>
      <c r="AH184" s="347">
        <f t="shared" ref="AH184:AH185" si="1520">SUM(AC184:AG184)</f>
        <v>461</v>
      </c>
      <c r="AI184" s="344">
        <f>IF(T184="AIR",'Catalogue Aluminium'!$K$9,IF(T184="TRENCH",'Catalogue Aluminium'!$K$12,"NA"))</f>
        <v>0.89</v>
      </c>
      <c r="AJ184" s="342">
        <f>IF(T184="Air",(IF(U184="1C",'Catalogue Aluminium'!$L$9,'Catalogue Aluminium'!$M$9)),IF(T184="DUCT",(IF($U184="1C",'Catalogue Aluminium'!$L$10,'Catalogue Aluminium'!$M$10)),IF(T184="GROUND",(IF($U184="1C",'Catalogue Aluminium'!$L$11,'Catalogue Aluminium'!$M$11)),IF(T184="TRENCH",(IF($U184="1C",'Catalogue Aluminium'!$L$12,'Catalogue Aluminium'!$M$12))))))</f>
        <v>0.66</v>
      </c>
      <c r="AK184" s="344" t="str">
        <f>IF(T184="Air",'Catalogue Aluminium'!$N$9,IF(T184="GROUND",'Catalogue Aluminium'!$N$10,IF(T184="DUCT",'Catalogue Aluminium'!$N$11,IF(T184="TRENCH",'Catalogue Aluminium'!$N$12,"NA"))))</f>
        <v>NA</v>
      </c>
      <c r="AL184" s="344" t="str">
        <f>IF(T184="Air",(IF(U184="1C",'Catalogue Aluminium'!$O$9,'Catalogue Aluminium'!$P$9)),IF(T184="DUCT",(IF($U184="1C",'Catalogue Aluminium'!$O$10,'Catalogue Aluminium'!$P$10)),IF(T184="GROUND",(IF($U184="1C",'Catalogue Aluminium'!$O$11,'Catalogue Aluminium'!$P$11)),IF(T184="TRENCH",(IF($U184="1C",'Catalogue Aluminium'!$O$12,'Catalogue Aluminium'!$P$12))))))</f>
        <v>NA</v>
      </c>
      <c r="AM184" s="344" t="str">
        <f>IF(T184="AIR","NA",IF(T184="TRENCH","NA",IF(T184="DUCT",IF(U184="1C",VLOOKUP(V184,'Catalogue Aluminium'!$Q$9:$S$28,2,FALSE),VLOOKUP(V184,'Catalogue Aluminium'!$Q$9:$S$28,3)),IF(T184="GROUND",IF(U184="1C",VLOOKUP(V184,'Catalogue Aluminium'!$Q$9:$S$28,2,FALSE),VLOOKUP(V184,'Catalogue Aluminium'!$Q$9:$S$28,3))))))</f>
        <v>NA</v>
      </c>
      <c r="AN184" s="351">
        <f>IF(T184="AIR",AI184*AJ184,IF(T184="TRENCH",AI184*AJ184,IF(T184="DUCT",AJ184*AK184*AL184*AM184,IF(T184="GROUND",AJ184*AK184*AL184*AM184))))</f>
        <v>0.58740000000000003</v>
      </c>
      <c r="AO184" s="350">
        <f>Z184*AN184</f>
        <v>103.96980000000001</v>
      </c>
      <c r="AP184" s="349">
        <f t="shared" si="1303"/>
        <v>1</v>
      </c>
      <c r="AQ184" s="350" t="str">
        <f>IF(AO184*AP184&gt;=N184,"YES","NO")</f>
        <v>YES</v>
      </c>
      <c r="AR184" s="351">
        <f>SQRT(3)*AH184*N184*((AA184*L184)+(AB184*SIN(ACOS(L184))))*100/(AP184*K184*1000)</f>
        <v>2.1448340040192391</v>
      </c>
      <c r="AS184" s="343" t="str">
        <f>IF(G184="INCOMER",(IF(AR184&lt;=2,"YES","NO")),IF(G184="POWER",(IF(AR184&lt;=2.5,"YES","NO")),IF(G184="MOTOR",(IF(AR184&lt;=3,"YES","NO")))))</f>
        <v>YES</v>
      </c>
      <c r="AT184" s="351" t="str">
        <f>IF(G184="MOTOR",(SQRT(3)*AH184*O184*((AA184*P184)+(AB184*SIN(ACOS(P184))))*100/(AP184*K184*1000)),"NA")</f>
        <v>NA</v>
      </c>
      <c r="AU184" s="343" t="str">
        <f>IF(G184="MOTOR",IF(AT184&lt;=15,"YES","NO"),"NA")</f>
        <v>NA</v>
      </c>
      <c r="AV184" s="354" t="str">
        <f>IF(U184="1C",CONCATENATE(AP184,"R x ",Y184,"kV x ",U184," x ",V184," Sqmm/Phase"),CONCATENATE(AP184,"R x ",0.6,"/1kV x ",U184," x ",V184," Sqmm"))</f>
        <v>1R x 0.6/1kV x 3C x 70 Sqmm</v>
      </c>
      <c r="AW184" s="354" t="str">
        <f>IF(U184="1C",CONCATENATE(AP184,"R x ",Y184,"kV x ",U184," x ",V184," Sqmm/Phase"),CONCATENATE(AP184,"R x ",0.6,"/1kV x ",U184," x ",V184,(IF(G184="MOTOR","+PE",""))," Sqmm"))</f>
        <v>1R x 0.6/1kV x 3C x 70 Sqmm</v>
      </c>
      <c r="AX184" s="343">
        <f>(IF(K184=400,(IF(U184="1C",(4*AH184*AP184),(AH184*AP184))),IF(K184=230,(AH184*AP184))))</f>
        <v>461</v>
      </c>
      <c r="AY184" s="355"/>
      <c r="AZ184" s="355">
        <f>IF(U184="1C",(3*AP184*2),(AP184*2))</f>
        <v>2</v>
      </c>
      <c r="BA184" s="356" t="str">
        <f t="shared" ref="BA184:BA185" si="1521">CONCATENATE(IF(BE184=1,BE$4,""),IF(BF184=1,BF$4,""),IF(BG184=1,BG$4,""),IF(BH184=1,BH$4,""),IF(BI184=1,BI$4,""),IF(BJ184=1,BJ$4,""),IF(BK184=1,BK$4,""),IF(BL184=1,BL$4,""),IF(BM184=1,BM$4,""),IF(BN184=1,BN$4,""),IF(BO184=1,BO$4,""),IF(BP184=1,BP$4,""),IF(BQ184=1,BQ$4,""),IF(BR184=1,BR$4,""),IF(BS184=1,BS$4,""),IF(BT184=1,BT$4,""),IF(BU184=1,BU$4,""),IF(BV184=1,BV$4,""),IF(BW184=1,BW$4,""),IF(BX184=1,BX$4,""),IF(BY184=1,BY$4,""),IF(BZ184=1,BZ$4,""),IF(CA184=1,CA$4,""),IF(CB184=1,CB$4,""),IF(CC184=1,CC$4,""),IF(CD184=1,CD$4,""),IF(CE184=1,CE$4,""),IF(CF184=1,CF$4,""),IF(CG184=1,CG$4,""),IF(CH184=1,CH$4,""),IF(CI184=1,CI$4,""),IF(CJ184=1,CJ$4,""),IF(CK184=1,CK$4,""),IF(CL184=1,CL$4,""),IF(CM184=1,CM$4,""),IF(CN184=1,CN$4,""),IF(CO184=1,CO$4,""),IF(CP184=1,CP$4,""),IF(CQ184=1,CQ$4,""),IF(CR184=1,CR$4,""),IF(CS184=1,CS$4,""),IF(CT184=1,CT$4,""),IF(CU184=1,CU$4,""),IF(CV184=1,CV$4,""),IF(CW184=1,CW$4,""),IF(CX184=1,CX$4,""),IF(CY184=1,CY$4,""),IF(CZ184=1,CZ$4,""),IF(DA184=1,DA$4,""),IF(DB184=1,DB$4,""),IF(DC184=1,DC$4,""),IF(DD184=1,DD$4,""),IF(DE184=1,DE$4,""),IF(DF184=1,DF$4,""),IF(DG184=1,DG$4,""),IF(DH184=1,DH$4,""),IF(DI184=1,DI$4,""),IF(DJ184=1,DJ$4,""),IF(DK184=1,DK$4,""),IF(DL184=1,DL$4,""),IF(DM184=1,DM$4,""),IF(DN184=1,DN$4,""),IF(DO184=1,DO$4,""),IF(DP184=1,DP$4,""),IF(DQ184=1,DQ$4,""),IF(DR184=1,DR$4,""),IF(DS184=1,DS$4,""),IF(DT184=1,DT$4,""),IF(DU184=1,DU$4,""))</f>
        <v>ACDEE1E2E3E4E5</v>
      </c>
      <c r="BB184" s="501">
        <f>VLOOKUP(W184,'Catalogue Aluminium'!$B$9:$H$93,7,FALSE)</f>
        <v>30</v>
      </c>
      <c r="BC184" s="328">
        <f>AP184*BB184</f>
        <v>30</v>
      </c>
      <c r="BE184" s="336"/>
      <c r="BF184" s="336">
        <v>1</v>
      </c>
      <c r="BG184" s="336"/>
      <c r="BH184" s="336"/>
      <c r="BI184" s="336">
        <v>1</v>
      </c>
      <c r="BJ184" s="336">
        <v>1</v>
      </c>
      <c r="BK184" s="336"/>
      <c r="BL184" s="336"/>
      <c r="BM184" s="336"/>
      <c r="BN184" s="336">
        <v>1</v>
      </c>
      <c r="BO184" s="336"/>
      <c r="BP184" s="336">
        <v>1</v>
      </c>
      <c r="BQ184" s="336">
        <v>1</v>
      </c>
      <c r="BR184" s="336">
        <v>1</v>
      </c>
      <c r="BS184" s="336">
        <v>1</v>
      </c>
      <c r="BT184" s="336">
        <v>1</v>
      </c>
      <c r="BU184" s="336"/>
      <c r="BV184" s="336"/>
      <c r="BW184" s="336"/>
      <c r="BX184" s="336"/>
      <c r="BY184" s="336"/>
      <c r="BZ184" s="336"/>
      <c r="CA184" s="336"/>
      <c r="CB184" s="336"/>
      <c r="CC184" s="336"/>
      <c r="CD184" s="336"/>
      <c r="CE184" s="336"/>
      <c r="CF184" s="336"/>
      <c r="CG184" s="336"/>
      <c r="CH184" s="336"/>
      <c r="CI184" s="336"/>
      <c r="CJ184" s="336"/>
      <c r="CK184" s="336"/>
      <c r="CL184" s="336"/>
      <c r="CM184" s="336"/>
      <c r="CN184" s="336"/>
      <c r="CO184" s="336"/>
      <c r="CP184" s="336"/>
      <c r="CQ184" s="336"/>
      <c r="CR184" s="336"/>
      <c r="CS184" s="336"/>
      <c r="CT184" s="336"/>
      <c r="CU184" s="336"/>
      <c r="CV184" s="336"/>
      <c r="CW184" s="336"/>
      <c r="CX184" s="336"/>
      <c r="CY184" s="336"/>
      <c r="CZ184" s="336"/>
      <c r="DA184" s="336"/>
      <c r="DB184" s="336"/>
      <c r="DC184" s="336"/>
      <c r="DD184" s="336"/>
      <c r="DE184" s="336"/>
      <c r="DF184" s="336"/>
      <c r="DG184" s="336"/>
      <c r="DH184" s="336"/>
      <c r="DI184" s="336"/>
      <c r="DJ184" s="336"/>
      <c r="DK184" s="336"/>
      <c r="DL184" s="336"/>
      <c r="DM184" s="336"/>
      <c r="DN184" s="336"/>
      <c r="DO184" s="336"/>
      <c r="DP184" s="336"/>
      <c r="DQ184" s="336"/>
      <c r="DR184" s="336"/>
      <c r="DS184" s="336"/>
      <c r="DT184" s="336"/>
      <c r="DU184" s="336"/>
      <c r="DW184" s="336">
        <f t="shared" si="1012"/>
        <v>0</v>
      </c>
      <c r="DX184" s="336">
        <f t="shared" si="1004"/>
        <v>30</v>
      </c>
      <c r="DY184" s="336">
        <f t="shared" si="1005"/>
        <v>0</v>
      </c>
      <c r="DZ184" s="336">
        <f t="shared" si="1006"/>
        <v>0</v>
      </c>
      <c r="EA184" s="336">
        <f t="shared" si="1007"/>
        <v>30</v>
      </c>
      <c r="EB184" s="336">
        <f t="shared" si="1008"/>
        <v>30</v>
      </c>
      <c r="EC184" s="336">
        <f t="shared" si="1009"/>
        <v>0</v>
      </c>
      <c r="ED184" s="336">
        <f t="shared" si="919"/>
        <v>0</v>
      </c>
      <c r="EE184" s="336">
        <f t="shared" si="920"/>
        <v>0</v>
      </c>
      <c r="EF184" s="336">
        <f t="shared" si="921"/>
        <v>30</v>
      </c>
      <c r="EG184" s="336">
        <f t="shared" si="922"/>
        <v>0</v>
      </c>
      <c r="EH184" s="336">
        <f t="shared" si="923"/>
        <v>30</v>
      </c>
      <c r="EI184" s="336">
        <f t="shared" si="924"/>
        <v>30</v>
      </c>
      <c r="EJ184" s="336">
        <f t="shared" si="925"/>
        <v>30</v>
      </c>
      <c r="EK184" s="336">
        <f t="shared" si="926"/>
        <v>30</v>
      </c>
      <c r="EL184" s="336">
        <f t="shared" si="927"/>
        <v>30</v>
      </c>
      <c r="EM184" s="336">
        <f t="shared" si="928"/>
        <v>0</v>
      </c>
      <c r="EN184" s="336">
        <f t="shared" si="929"/>
        <v>0</v>
      </c>
      <c r="EO184" s="336">
        <f t="shared" si="930"/>
        <v>0</v>
      </c>
      <c r="EP184" s="336">
        <f t="shared" si="931"/>
        <v>0</v>
      </c>
      <c r="EQ184" s="336">
        <f t="shared" si="932"/>
        <v>0</v>
      </c>
      <c r="ER184" s="336">
        <f t="shared" si="933"/>
        <v>0</v>
      </c>
      <c r="ES184" s="336">
        <f t="shared" si="934"/>
        <v>0</v>
      </c>
      <c r="ET184" s="336">
        <f t="shared" si="934"/>
        <v>0</v>
      </c>
      <c r="EU184" s="336">
        <f t="shared" si="935"/>
        <v>0</v>
      </c>
      <c r="EV184" s="336">
        <f t="shared" si="936"/>
        <v>0</v>
      </c>
      <c r="EW184" s="336">
        <f t="shared" si="937"/>
        <v>0</v>
      </c>
      <c r="EX184" s="336">
        <f t="shared" si="938"/>
        <v>0</v>
      </c>
      <c r="EY184" s="336">
        <f t="shared" si="939"/>
        <v>0</v>
      </c>
      <c r="EZ184" s="336">
        <f t="shared" si="940"/>
        <v>0</v>
      </c>
      <c r="FA184" s="336">
        <f t="shared" si="941"/>
        <v>0</v>
      </c>
      <c r="FB184" s="336">
        <f t="shared" si="942"/>
        <v>0</v>
      </c>
      <c r="FC184" s="336">
        <f t="shared" si="943"/>
        <v>0</v>
      </c>
      <c r="FD184" s="336">
        <f t="shared" si="944"/>
        <v>0</v>
      </c>
      <c r="FE184" s="336">
        <f t="shared" si="945"/>
        <v>0</v>
      </c>
      <c r="FF184" s="336">
        <f t="shared" si="946"/>
        <v>0</v>
      </c>
      <c r="FG184" s="336">
        <f t="shared" si="947"/>
        <v>0</v>
      </c>
      <c r="FH184" s="336">
        <f t="shared" si="948"/>
        <v>0</v>
      </c>
      <c r="FI184" s="336">
        <f t="shared" si="949"/>
        <v>0</v>
      </c>
      <c r="FJ184" s="336">
        <f t="shared" si="950"/>
        <v>0</v>
      </c>
      <c r="FK184" s="336">
        <f t="shared" si="951"/>
        <v>0</v>
      </c>
      <c r="FL184" s="336">
        <f t="shared" si="952"/>
        <v>0</v>
      </c>
      <c r="FM184" s="336">
        <f t="shared" si="953"/>
        <v>0</v>
      </c>
      <c r="FN184" s="336">
        <f t="shared" si="954"/>
        <v>0</v>
      </c>
      <c r="FO184" s="336">
        <f t="shared" si="955"/>
        <v>0</v>
      </c>
      <c r="FP184" s="336">
        <f t="shared" si="956"/>
        <v>0</v>
      </c>
      <c r="FQ184" s="336">
        <f t="shared" si="957"/>
        <v>0</v>
      </c>
      <c r="FR184" s="336">
        <f t="shared" si="958"/>
        <v>0</v>
      </c>
      <c r="FS184" s="336">
        <f t="shared" si="959"/>
        <v>0</v>
      </c>
      <c r="FT184" s="336">
        <f t="shared" si="960"/>
        <v>0</v>
      </c>
      <c r="FU184" s="336">
        <f t="shared" si="1507"/>
        <v>0</v>
      </c>
      <c r="FV184" s="336">
        <f t="shared" si="1508"/>
        <v>0</v>
      </c>
      <c r="FW184" s="336">
        <f t="shared" si="1509"/>
        <v>0</v>
      </c>
      <c r="FX184" s="336">
        <f t="shared" si="1510"/>
        <v>0</v>
      </c>
      <c r="FY184" s="336">
        <f t="shared" si="961"/>
        <v>0</v>
      </c>
      <c r="FZ184" s="336">
        <f t="shared" si="962"/>
        <v>0</v>
      </c>
      <c r="GA184" s="336">
        <f t="shared" si="963"/>
        <v>0</v>
      </c>
      <c r="GB184" s="336">
        <f t="shared" si="964"/>
        <v>0</v>
      </c>
      <c r="GC184" s="336">
        <f t="shared" si="965"/>
        <v>0</v>
      </c>
      <c r="GD184" s="336">
        <f t="shared" si="966"/>
        <v>0</v>
      </c>
      <c r="GE184" s="336">
        <f t="shared" si="967"/>
        <v>0</v>
      </c>
      <c r="GF184" s="336">
        <f t="shared" si="968"/>
        <v>0</v>
      </c>
      <c r="GG184" s="336">
        <f t="shared" si="969"/>
        <v>0</v>
      </c>
      <c r="GH184" s="336">
        <f t="shared" si="970"/>
        <v>0</v>
      </c>
      <c r="GI184" s="336">
        <f t="shared" si="971"/>
        <v>0</v>
      </c>
      <c r="GJ184" s="336">
        <f t="shared" si="972"/>
        <v>0</v>
      </c>
      <c r="GK184" s="336">
        <f t="shared" si="1469"/>
        <v>0</v>
      </c>
      <c r="GL184" s="336">
        <f t="shared" si="1511"/>
        <v>0</v>
      </c>
      <c r="GM184" s="336">
        <f t="shared" si="973"/>
        <v>0</v>
      </c>
    </row>
    <row r="185" spans="1:195" ht="20.100000000000001" customHeight="1">
      <c r="A185" s="337">
        <f t="shared" ref="A185" si="1522">1+A184</f>
        <v>135</v>
      </c>
      <c r="B185" s="545" t="s">
        <v>527</v>
      </c>
      <c r="C185" s="337" t="s">
        <v>636</v>
      </c>
      <c r="D185" s="427" t="s">
        <v>656</v>
      </c>
      <c r="E185" s="372" t="s">
        <v>345</v>
      </c>
      <c r="F185" s="337" t="s">
        <v>28</v>
      </c>
      <c r="G185" s="337" t="s">
        <v>329</v>
      </c>
      <c r="H185" s="350">
        <v>1.5</v>
      </c>
      <c r="I185" s="337" t="s">
        <v>330</v>
      </c>
      <c r="J185" s="337" t="s">
        <v>357</v>
      </c>
      <c r="K185" s="349">
        <v>230</v>
      </c>
      <c r="L185" s="343">
        <v>0.85</v>
      </c>
      <c r="M185" s="350">
        <v>0.95</v>
      </c>
      <c r="N185" s="342">
        <f>IF(I185="kVA",IF(J185="3Ph",(H185*1000/(1.732*M185*K185)),(H185*1000/(M185*K185))),IF(I185="kW",IF(J185="3Ph",(H185*1000/(1.732*M185*K185*L185)),(H185*1000/(M185*K185*L185)))))</f>
        <v>8.0764571274734145</v>
      </c>
      <c r="O185" s="342">
        <f t="shared" si="1293"/>
        <v>0</v>
      </c>
      <c r="P185" s="343" t="str">
        <f>IF(G185="MOTOR",0.2,"0.00")</f>
        <v>0.00</v>
      </c>
      <c r="Q185" s="350">
        <v>65</v>
      </c>
      <c r="R185" s="350">
        <v>0</v>
      </c>
      <c r="S185" s="350">
        <f>(Q185*1000*SQRT(R185)/143)</f>
        <v>0</v>
      </c>
      <c r="T185" s="343" t="s">
        <v>131</v>
      </c>
      <c r="U185" s="350" t="s">
        <v>333</v>
      </c>
      <c r="V185" s="343">
        <v>50</v>
      </c>
      <c r="W185" s="343" t="str">
        <f>CONCATENATE(U185," X ",V185)</f>
        <v>3C X 50</v>
      </c>
      <c r="X185" s="343" t="str">
        <f>(IF(J185="1Ph",W185,IF(J185="3Ph",(IF(G185="MOTOR",(CONCATENATE(W185,"+PE")),W185)))))</f>
        <v>3C X 50</v>
      </c>
      <c r="Y185" s="343" t="s">
        <v>358</v>
      </c>
      <c r="Z185" s="344">
        <f>IF(T185="AIR",VLOOKUP(W185,'Catalogue Aluminium'!$B$9:$G$93,2,FALSE),IF(T185="GROUND",VLOOKUP(W185,'Catalogue Aluminium'!$B$9:$G$93,3,FALSE),IF(T185="DUCT",VLOOKUP(W185,'Catalogue Aluminium'!$B$9:$G$93,4,FALSE),IF(T185="TRENCH",VLOOKUP(W185,'Catalogue Aluminium'!$B$9:$G$93,2,FALSE)))))</f>
        <v>141</v>
      </c>
      <c r="AA185" s="345">
        <f>VLOOKUP(W185,'Catalogue Aluminium'!$B$9:$G$93,5,FALSE)</f>
        <v>0.82</v>
      </c>
      <c r="AB185" s="345">
        <f>VLOOKUP(W185,'Catalogue Aluminium'!$B$9:$G$93,6,FALSE)</f>
        <v>7.9200000000000007E-2</v>
      </c>
      <c r="AC185" s="457">
        <f t="shared" si="1517"/>
        <v>38</v>
      </c>
      <c r="AD185" s="401">
        <f>40+50+38+50+17+(27+42+30+21+20)</f>
        <v>335</v>
      </c>
      <c r="AE185" s="401">
        <f t="shared" si="1518"/>
        <v>38</v>
      </c>
      <c r="AF185" s="401">
        <v>8</v>
      </c>
      <c r="AG185" s="401">
        <f t="shared" si="1519"/>
        <v>42</v>
      </c>
      <c r="AH185" s="347">
        <f t="shared" si="1520"/>
        <v>461</v>
      </c>
      <c r="AI185" s="344">
        <f>IF(T185="AIR",'Catalogue Aluminium'!$K$9,IF(T185="TRENCH",'Catalogue Aluminium'!$K$12,"NA"))</f>
        <v>0.89</v>
      </c>
      <c r="AJ185" s="342">
        <f>IF(T185="Air",(IF(U185="1C",'Catalogue Aluminium'!$L$9,'Catalogue Aluminium'!$M$9)),IF(T185="DUCT",(IF($U185="1C",'Catalogue Aluminium'!$L$10,'Catalogue Aluminium'!$M$10)),IF(T185="GROUND",(IF($U185="1C",'Catalogue Aluminium'!$L$11,'Catalogue Aluminium'!$M$11)),IF(T185="TRENCH",(IF($U185="1C",'Catalogue Aluminium'!$L$12,'Catalogue Aluminium'!$M$12))))))</f>
        <v>0.66</v>
      </c>
      <c r="AK185" s="344" t="str">
        <f>IF(T185="Air",'Catalogue Aluminium'!$N$9,IF(T185="GROUND",'Catalogue Aluminium'!$N$10,IF(T185="DUCT",'Catalogue Aluminium'!$N$11,IF(T185="TRENCH",'Catalogue Aluminium'!$N$12,"NA"))))</f>
        <v>NA</v>
      </c>
      <c r="AL185" s="344" t="str">
        <f>IF(T185="Air",(IF(U185="1C",'Catalogue Aluminium'!$O$9,'Catalogue Aluminium'!$P$9)),IF(T185="DUCT",(IF($U185="1C",'Catalogue Aluminium'!$O$10,'Catalogue Aluminium'!$P$10)),IF(T185="GROUND",(IF($U185="1C",'Catalogue Aluminium'!$O$11,'Catalogue Aluminium'!$P$11)),IF(T185="TRENCH",(IF($U185="1C",'Catalogue Aluminium'!$O$12,'Catalogue Aluminium'!$P$12))))))</f>
        <v>NA</v>
      </c>
      <c r="AM185" s="344" t="str">
        <f>IF(T185="AIR","NA",IF(T185="TRENCH","NA",IF(T185="DUCT",IF(U185="1C",VLOOKUP(V185,'Catalogue Aluminium'!$Q$9:$S$28,2,FALSE),VLOOKUP(V185,'Catalogue Aluminium'!$Q$9:$S$28,3)),IF(T185="GROUND",IF(U185="1C",VLOOKUP(V185,'Catalogue Aluminium'!$Q$9:$S$28,2,FALSE),VLOOKUP(V185,'Catalogue Aluminium'!$Q$9:$S$28,3))))))</f>
        <v>NA</v>
      </c>
      <c r="AN185" s="351">
        <f>IF(T185="AIR",AI185*AJ185,IF(T185="TRENCH",AI185*AJ185,IF(T185="DUCT",AJ185*AK185*AL185*AM185,IF(T185="GROUND",AJ185*AK185*AL185*AM185))))</f>
        <v>0.58740000000000003</v>
      </c>
      <c r="AO185" s="350">
        <f>Z185*AN185</f>
        <v>82.823400000000007</v>
      </c>
      <c r="AP185" s="349">
        <f t="shared" si="1303"/>
        <v>1</v>
      </c>
      <c r="AQ185" s="350" t="str">
        <f>IF(AO185*AP185&gt;=N185,"YES","NO")</f>
        <v>YES</v>
      </c>
      <c r="AR185" s="351">
        <f>SQRT(3)*AH185*N185*((AA185*L185)+(AB185*SIN(ACOS(L185))))*100/(AP185*K185*1000)</f>
        <v>2.071262607396545</v>
      </c>
      <c r="AS185" s="343" t="str">
        <f>IF(G185="INCOMER",(IF(AR185&lt;=2,"YES","NO")),IF(G185="POWER",(IF(AR185&lt;=2.5,"YES","NO")),IF(G185="MOTOR",(IF(AR185&lt;=3,"YES","NO")))))</f>
        <v>YES</v>
      </c>
      <c r="AT185" s="351" t="str">
        <f>IF(G185="MOTOR",(SQRT(3)*AH185*O185*((AA185*P185)+(AB185*SIN(ACOS(P185))))*100/(AP185*K185*1000)),"NA")</f>
        <v>NA</v>
      </c>
      <c r="AU185" s="343" t="str">
        <f>IF(G185="MOTOR",IF(AT185&lt;=15,"YES","NO"),"NA")</f>
        <v>NA</v>
      </c>
      <c r="AV185" s="354" t="str">
        <f>IF(U185="1C",CONCATENATE(AP185,"R x ",Y185,"kV x ",U185," x ",V185," Sqmm/Phase"),CONCATENATE(AP185,"R x ",0.6,"/1kV x ",U185," x ",V185," Sqmm"))</f>
        <v>1R x 0.6/1kV x 3C x 50 Sqmm</v>
      </c>
      <c r="AW185" s="354" t="str">
        <f>IF(U185="1C",CONCATENATE(AP185,"R x ",Y185,"kV x ",U185," x ",V185," Sqmm/Phase"),CONCATENATE(AP185,"R x ",0.6,"/1kV x ",U185," x ",V185,(IF(G185="MOTOR","+PE",""))," Sqmm"))</f>
        <v>1R x 0.6/1kV x 3C x 50 Sqmm</v>
      </c>
      <c r="AX185" s="343">
        <f>(IF(K185=400,(IF(U185="1C",(4*AH185*AP185),(AH185*AP185))),IF(K185=230,(AH185*AP185))))</f>
        <v>461</v>
      </c>
      <c r="AY185" s="355"/>
      <c r="AZ185" s="355">
        <f>IF(U185="1C",(3*AP185*2),(AP185*2))</f>
        <v>2</v>
      </c>
      <c r="BA185" s="356" t="str">
        <f t="shared" si="1521"/>
        <v>ACDEE1E2E3E4E5</v>
      </c>
      <c r="BB185" s="501">
        <f>VLOOKUP(W185,'Catalogue Aluminium'!$B$9:$H$93,7,FALSE)</f>
        <v>26</v>
      </c>
      <c r="BC185" s="328">
        <f>AP185*BB185</f>
        <v>26</v>
      </c>
      <c r="BE185" s="336"/>
      <c r="BF185" s="336">
        <v>1</v>
      </c>
      <c r="BG185" s="336"/>
      <c r="BH185" s="336"/>
      <c r="BI185" s="336">
        <v>1</v>
      </c>
      <c r="BJ185" s="336">
        <v>1</v>
      </c>
      <c r="BK185" s="336"/>
      <c r="BL185" s="336"/>
      <c r="BM185" s="336"/>
      <c r="BN185" s="336">
        <v>1</v>
      </c>
      <c r="BO185" s="336"/>
      <c r="BP185" s="336">
        <v>1</v>
      </c>
      <c r="BQ185" s="336">
        <v>1</v>
      </c>
      <c r="BR185" s="336">
        <v>1</v>
      </c>
      <c r="BS185" s="336">
        <v>1</v>
      </c>
      <c r="BT185" s="336">
        <v>1</v>
      </c>
      <c r="BU185" s="336"/>
      <c r="BV185" s="336"/>
      <c r="BW185" s="336"/>
      <c r="BX185" s="336"/>
      <c r="BY185" s="336"/>
      <c r="BZ185" s="336"/>
      <c r="CA185" s="336"/>
      <c r="CB185" s="336"/>
      <c r="CC185" s="336"/>
      <c r="CD185" s="336"/>
      <c r="CE185" s="336"/>
      <c r="CF185" s="336"/>
      <c r="CG185" s="336"/>
      <c r="CH185" s="336"/>
      <c r="CI185" s="336"/>
      <c r="CJ185" s="336"/>
      <c r="CK185" s="336"/>
      <c r="CL185" s="336"/>
      <c r="CM185" s="336"/>
      <c r="CN185" s="336"/>
      <c r="CO185" s="336"/>
      <c r="CP185" s="336"/>
      <c r="CQ185" s="336"/>
      <c r="CR185" s="336"/>
      <c r="CS185" s="336"/>
      <c r="CT185" s="336"/>
      <c r="CU185" s="336"/>
      <c r="CV185" s="336"/>
      <c r="CW185" s="336"/>
      <c r="CX185" s="336"/>
      <c r="CY185" s="336"/>
      <c r="CZ185" s="336"/>
      <c r="DA185" s="336"/>
      <c r="DB185" s="336"/>
      <c r="DC185" s="336"/>
      <c r="DD185" s="336"/>
      <c r="DE185" s="336"/>
      <c r="DF185" s="336"/>
      <c r="DG185" s="336"/>
      <c r="DH185" s="336"/>
      <c r="DI185" s="336"/>
      <c r="DJ185" s="336"/>
      <c r="DK185" s="336"/>
      <c r="DL185" s="336"/>
      <c r="DM185" s="336"/>
      <c r="DN185" s="336"/>
      <c r="DO185" s="336"/>
      <c r="DP185" s="336"/>
      <c r="DQ185" s="336"/>
      <c r="DR185" s="336"/>
      <c r="DS185" s="336"/>
      <c r="DT185" s="336"/>
      <c r="DU185" s="336"/>
      <c r="DW185" s="336">
        <f t="shared" si="1012"/>
        <v>0</v>
      </c>
      <c r="DX185" s="336">
        <f t="shared" si="1004"/>
        <v>26</v>
      </c>
      <c r="DY185" s="336">
        <f t="shared" si="1005"/>
        <v>0</v>
      </c>
      <c r="DZ185" s="336">
        <f t="shared" si="1006"/>
        <v>0</v>
      </c>
      <c r="EA185" s="336">
        <f t="shared" si="1007"/>
        <v>26</v>
      </c>
      <c r="EB185" s="336">
        <f t="shared" si="1008"/>
        <v>26</v>
      </c>
      <c r="EC185" s="336">
        <f t="shared" si="1009"/>
        <v>0</v>
      </c>
      <c r="ED185" s="336">
        <f t="shared" si="919"/>
        <v>0</v>
      </c>
      <c r="EE185" s="336">
        <f t="shared" si="920"/>
        <v>0</v>
      </c>
      <c r="EF185" s="336">
        <f t="shared" si="921"/>
        <v>26</v>
      </c>
      <c r="EG185" s="336">
        <f t="shared" si="922"/>
        <v>0</v>
      </c>
      <c r="EH185" s="336">
        <f t="shared" si="923"/>
        <v>26</v>
      </c>
      <c r="EI185" s="336">
        <f t="shared" si="924"/>
        <v>26</v>
      </c>
      <c r="EJ185" s="336">
        <f t="shared" si="925"/>
        <v>26</v>
      </c>
      <c r="EK185" s="336">
        <f t="shared" si="926"/>
        <v>26</v>
      </c>
      <c r="EL185" s="336">
        <f t="shared" si="927"/>
        <v>26</v>
      </c>
      <c r="EM185" s="336">
        <f t="shared" si="928"/>
        <v>0</v>
      </c>
      <c r="EN185" s="336">
        <f t="shared" si="929"/>
        <v>0</v>
      </c>
      <c r="EO185" s="336">
        <f t="shared" si="930"/>
        <v>0</v>
      </c>
      <c r="EP185" s="336">
        <f t="shared" si="931"/>
        <v>0</v>
      </c>
      <c r="EQ185" s="336">
        <f t="shared" si="932"/>
        <v>0</v>
      </c>
      <c r="ER185" s="336">
        <f t="shared" si="933"/>
        <v>0</v>
      </c>
      <c r="ES185" s="336">
        <f t="shared" si="934"/>
        <v>0</v>
      </c>
      <c r="ET185" s="336">
        <f t="shared" si="934"/>
        <v>0</v>
      </c>
      <c r="EU185" s="336">
        <f t="shared" si="935"/>
        <v>0</v>
      </c>
      <c r="EV185" s="336">
        <f t="shared" si="936"/>
        <v>0</v>
      </c>
      <c r="EW185" s="336">
        <f t="shared" si="937"/>
        <v>0</v>
      </c>
      <c r="EX185" s="336">
        <f t="shared" si="938"/>
        <v>0</v>
      </c>
      <c r="EY185" s="336">
        <f t="shared" si="939"/>
        <v>0</v>
      </c>
      <c r="EZ185" s="336">
        <f t="shared" si="940"/>
        <v>0</v>
      </c>
      <c r="FA185" s="336">
        <f t="shared" si="941"/>
        <v>0</v>
      </c>
      <c r="FB185" s="336">
        <f t="shared" si="942"/>
        <v>0</v>
      </c>
      <c r="FC185" s="336">
        <f t="shared" si="943"/>
        <v>0</v>
      </c>
      <c r="FD185" s="336">
        <f t="shared" si="944"/>
        <v>0</v>
      </c>
      <c r="FE185" s="336">
        <f t="shared" si="945"/>
        <v>0</v>
      </c>
      <c r="FF185" s="336">
        <f t="shared" si="946"/>
        <v>0</v>
      </c>
      <c r="FG185" s="336">
        <f t="shared" si="947"/>
        <v>0</v>
      </c>
      <c r="FH185" s="336">
        <f t="shared" si="948"/>
        <v>0</v>
      </c>
      <c r="FI185" s="336">
        <f t="shared" si="949"/>
        <v>0</v>
      </c>
      <c r="FJ185" s="336">
        <f t="shared" si="950"/>
        <v>0</v>
      </c>
      <c r="FK185" s="336">
        <f t="shared" si="951"/>
        <v>0</v>
      </c>
      <c r="FL185" s="336">
        <f t="shared" si="952"/>
        <v>0</v>
      </c>
      <c r="FM185" s="336">
        <f t="shared" si="953"/>
        <v>0</v>
      </c>
      <c r="FN185" s="336">
        <f t="shared" si="954"/>
        <v>0</v>
      </c>
      <c r="FO185" s="336">
        <f t="shared" si="955"/>
        <v>0</v>
      </c>
      <c r="FP185" s="336">
        <f t="shared" si="956"/>
        <v>0</v>
      </c>
      <c r="FQ185" s="336">
        <f t="shared" si="957"/>
        <v>0</v>
      </c>
      <c r="FR185" s="336">
        <f t="shared" si="958"/>
        <v>0</v>
      </c>
      <c r="FS185" s="336">
        <f t="shared" si="959"/>
        <v>0</v>
      </c>
      <c r="FT185" s="336">
        <f t="shared" si="960"/>
        <v>0</v>
      </c>
      <c r="FU185" s="336">
        <f t="shared" si="1507"/>
        <v>0</v>
      </c>
      <c r="FV185" s="336">
        <f t="shared" si="1508"/>
        <v>0</v>
      </c>
      <c r="FW185" s="336">
        <f t="shared" si="1509"/>
        <v>0</v>
      </c>
      <c r="FX185" s="336">
        <f t="shared" si="1510"/>
        <v>0</v>
      </c>
      <c r="FY185" s="336">
        <f t="shared" si="961"/>
        <v>0</v>
      </c>
      <c r="FZ185" s="336">
        <f t="shared" si="962"/>
        <v>0</v>
      </c>
      <c r="GA185" s="336">
        <f t="shared" si="963"/>
        <v>0</v>
      </c>
      <c r="GB185" s="336">
        <f t="shared" si="964"/>
        <v>0</v>
      </c>
      <c r="GC185" s="336">
        <f t="shared" si="965"/>
        <v>0</v>
      </c>
      <c r="GD185" s="336">
        <f t="shared" si="966"/>
        <v>0</v>
      </c>
      <c r="GE185" s="336">
        <f t="shared" si="967"/>
        <v>0</v>
      </c>
      <c r="GF185" s="336">
        <f t="shared" si="968"/>
        <v>0</v>
      </c>
      <c r="GG185" s="336">
        <f t="shared" si="969"/>
        <v>0</v>
      </c>
      <c r="GH185" s="336">
        <f t="shared" si="970"/>
        <v>0</v>
      </c>
      <c r="GI185" s="336">
        <f t="shared" si="971"/>
        <v>0</v>
      </c>
      <c r="GJ185" s="336">
        <f t="shared" si="972"/>
        <v>0</v>
      </c>
      <c r="GK185" s="336">
        <f t="shared" si="1469"/>
        <v>0</v>
      </c>
      <c r="GL185" s="336">
        <f t="shared" si="1511"/>
        <v>0</v>
      </c>
      <c r="GM185" s="336">
        <f t="shared" si="973"/>
        <v>0</v>
      </c>
    </row>
    <row r="186" spans="1:195" s="171" customFormat="1" ht="20.100000000000001" hidden="1" customHeight="1">
      <c r="A186" s="507" t="s">
        <v>334</v>
      </c>
      <c r="B186" s="546"/>
      <c r="C186" s="546"/>
      <c r="D186" s="547" t="s">
        <v>657</v>
      </c>
      <c r="E186" s="548"/>
      <c r="F186" s="549"/>
      <c r="G186" s="546"/>
      <c r="H186" s="511"/>
      <c r="I186" s="546"/>
      <c r="J186" s="546"/>
      <c r="K186" s="512"/>
      <c r="L186" s="550"/>
      <c r="M186" s="511"/>
      <c r="N186" s="551"/>
      <c r="O186" s="551"/>
      <c r="P186" s="550"/>
      <c r="Q186" s="511"/>
      <c r="R186" s="511"/>
      <c r="S186" s="511"/>
      <c r="T186" s="550"/>
      <c r="U186" s="511"/>
      <c r="V186" s="550"/>
      <c r="W186" s="550"/>
      <c r="X186" s="550"/>
      <c r="Y186" s="550"/>
      <c r="Z186" s="552"/>
      <c r="AA186" s="553"/>
      <c r="AB186" s="553"/>
      <c r="AC186" s="554"/>
      <c r="AD186" s="554"/>
      <c r="AE186" s="554"/>
      <c r="AF186" s="554"/>
      <c r="AG186" s="554"/>
      <c r="AH186" s="555"/>
      <c r="AI186" s="552"/>
      <c r="AJ186" s="551"/>
      <c r="AK186" s="552"/>
      <c r="AL186" s="552"/>
      <c r="AM186" s="552"/>
      <c r="AN186" s="556"/>
      <c r="AO186" s="511"/>
      <c r="AP186" s="512"/>
      <c r="AQ186" s="511"/>
      <c r="AR186" s="556"/>
      <c r="AS186" s="550"/>
      <c r="AT186" s="556"/>
      <c r="AU186" s="556"/>
      <c r="AV186" s="557"/>
      <c r="AW186" s="557"/>
      <c r="AX186" s="550"/>
      <c r="AY186" s="558"/>
      <c r="AZ186" s="558"/>
      <c r="BA186" s="559" t="str">
        <f t="shared" si="1277"/>
        <v/>
      </c>
      <c r="BB186" s="559"/>
      <c r="BC186" s="559"/>
      <c r="BE186" s="559"/>
      <c r="BF186" s="559"/>
      <c r="BG186" s="559"/>
      <c r="BH186" s="559"/>
      <c r="BI186" s="559"/>
      <c r="BJ186" s="559"/>
      <c r="BK186" s="559"/>
      <c r="BL186" s="559"/>
      <c r="BM186" s="559"/>
      <c r="BN186" s="559"/>
      <c r="BO186" s="559"/>
      <c r="BP186" s="559"/>
      <c r="BQ186" s="559"/>
      <c r="BR186" s="559"/>
      <c r="BS186" s="559"/>
      <c r="BT186" s="559"/>
      <c r="BU186" s="559"/>
      <c r="BV186" s="559"/>
      <c r="BW186" s="559"/>
      <c r="BX186" s="559"/>
      <c r="BY186" s="559"/>
      <c r="BZ186" s="559"/>
      <c r="CA186" s="559"/>
      <c r="CB186" s="559"/>
      <c r="CC186" s="559"/>
      <c r="CD186" s="559"/>
      <c r="CE186" s="559"/>
      <c r="CF186" s="559"/>
      <c r="CG186" s="559"/>
      <c r="CH186" s="559"/>
      <c r="CI186" s="559"/>
      <c r="CJ186" s="559"/>
      <c r="CK186" s="559"/>
      <c r="CL186" s="559"/>
      <c r="CM186" s="559"/>
      <c r="CN186" s="559"/>
      <c r="CO186" s="559"/>
      <c r="CP186" s="559"/>
      <c r="CQ186" s="559"/>
      <c r="CR186" s="559"/>
      <c r="CS186" s="559"/>
      <c r="CT186" s="559"/>
      <c r="CU186" s="559"/>
      <c r="CV186" s="559"/>
      <c r="CW186" s="559"/>
      <c r="CX186" s="559"/>
      <c r="CY186" s="559"/>
      <c r="CZ186" s="559"/>
      <c r="DA186" s="559"/>
      <c r="DB186" s="559"/>
      <c r="DC186" s="559"/>
      <c r="DD186" s="559"/>
      <c r="DE186" s="559"/>
      <c r="DF186" s="559"/>
      <c r="DG186" s="559"/>
      <c r="DH186" s="559"/>
      <c r="DI186" s="559"/>
      <c r="DJ186" s="559"/>
      <c r="DK186" s="559"/>
      <c r="DL186" s="559"/>
      <c r="DM186" s="559"/>
      <c r="DN186" s="559"/>
      <c r="DO186" s="559"/>
      <c r="DP186" s="559"/>
      <c r="DQ186" s="559"/>
      <c r="DR186" s="559"/>
      <c r="DS186" s="559"/>
      <c r="DT186" s="559"/>
      <c r="DU186" s="559"/>
      <c r="DV186" s="64"/>
      <c r="DW186" s="560">
        <f t="shared" si="1012"/>
        <v>0</v>
      </c>
      <c r="DX186" s="560">
        <f t="shared" si="1004"/>
        <v>0</v>
      </c>
      <c r="DY186" s="560">
        <f t="shared" si="1005"/>
        <v>0</v>
      </c>
      <c r="DZ186" s="560">
        <f t="shared" si="1006"/>
        <v>0</v>
      </c>
      <c r="EA186" s="560">
        <f t="shared" si="1007"/>
        <v>0</v>
      </c>
      <c r="EB186" s="560">
        <f t="shared" si="1008"/>
        <v>0</v>
      </c>
      <c r="EC186" s="560">
        <f t="shared" si="1009"/>
        <v>0</v>
      </c>
      <c r="ED186" s="560">
        <f t="shared" si="919"/>
        <v>0</v>
      </c>
      <c r="EE186" s="560">
        <f t="shared" si="920"/>
        <v>0</v>
      </c>
      <c r="EF186" s="560">
        <f t="shared" si="921"/>
        <v>0</v>
      </c>
      <c r="EG186" s="560">
        <f t="shared" si="922"/>
        <v>0</v>
      </c>
      <c r="EH186" s="560">
        <f t="shared" si="923"/>
        <v>0</v>
      </c>
      <c r="EI186" s="560">
        <f t="shared" si="924"/>
        <v>0</v>
      </c>
      <c r="EJ186" s="560">
        <f t="shared" si="925"/>
        <v>0</v>
      </c>
      <c r="EK186" s="560">
        <f t="shared" si="926"/>
        <v>0</v>
      </c>
      <c r="EL186" s="560">
        <f t="shared" si="927"/>
        <v>0</v>
      </c>
      <c r="EM186" s="560">
        <f t="shared" si="928"/>
        <v>0</v>
      </c>
      <c r="EN186" s="560">
        <f t="shared" si="929"/>
        <v>0</v>
      </c>
      <c r="EO186" s="560">
        <f t="shared" si="930"/>
        <v>0</v>
      </c>
      <c r="EP186" s="560">
        <f t="shared" si="931"/>
        <v>0</v>
      </c>
      <c r="EQ186" s="560">
        <f t="shared" si="932"/>
        <v>0</v>
      </c>
      <c r="ER186" s="560">
        <f t="shared" si="933"/>
        <v>0</v>
      </c>
      <c r="ES186" s="560">
        <f t="shared" si="934"/>
        <v>0</v>
      </c>
      <c r="ET186" s="560">
        <f t="shared" si="934"/>
        <v>0</v>
      </c>
      <c r="EU186" s="560">
        <f t="shared" si="935"/>
        <v>0</v>
      </c>
      <c r="EV186" s="560">
        <f t="shared" si="936"/>
        <v>0</v>
      </c>
      <c r="EW186" s="560">
        <f t="shared" si="937"/>
        <v>0</v>
      </c>
      <c r="EX186" s="560">
        <f t="shared" si="938"/>
        <v>0</v>
      </c>
      <c r="EY186" s="560">
        <f t="shared" si="939"/>
        <v>0</v>
      </c>
      <c r="EZ186" s="560">
        <f t="shared" si="940"/>
        <v>0</v>
      </c>
      <c r="FA186" s="560">
        <f t="shared" si="941"/>
        <v>0</v>
      </c>
      <c r="FB186" s="560">
        <f t="shared" si="942"/>
        <v>0</v>
      </c>
      <c r="FC186" s="560">
        <f t="shared" si="943"/>
        <v>0</v>
      </c>
      <c r="FD186" s="560">
        <f t="shared" si="944"/>
        <v>0</v>
      </c>
      <c r="FE186" s="560">
        <f t="shared" si="945"/>
        <v>0</v>
      </c>
      <c r="FF186" s="560">
        <f t="shared" si="946"/>
        <v>0</v>
      </c>
      <c r="FG186" s="560">
        <f t="shared" si="947"/>
        <v>0</v>
      </c>
      <c r="FH186" s="560">
        <f t="shared" si="948"/>
        <v>0</v>
      </c>
      <c r="FI186" s="560">
        <f t="shared" si="949"/>
        <v>0</v>
      </c>
      <c r="FJ186" s="560">
        <f t="shared" si="950"/>
        <v>0</v>
      </c>
      <c r="FK186" s="560">
        <f t="shared" si="951"/>
        <v>0</v>
      </c>
      <c r="FL186" s="560">
        <f t="shared" si="952"/>
        <v>0</v>
      </c>
      <c r="FM186" s="560">
        <f t="shared" si="953"/>
        <v>0</v>
      </c>
      <c r="FN186" s="560">
        <f t="shared" si="954"/>
        <v>0</v>
      </c>
      <c r="FO186" s="561">
        <f t="shared" si="955"/>
        <v>0</v>
      </c>
      <c r="FP186" s="561">
        <f t="shared" si="956"/>
        <v>0</v>
      </c>
      <c r="FQ186" s="561">
        <f t="shared" si="957"/>
        <v>0</v>
      </c>
      <c r="FR186" s="561">
        <f t="shared" si="958"/>
        <v>0</v>
      </c>
      <c r="FS186" s="561">
        <f t="shared" si="959"/>
        <v>0</v>
      </c>
      <c r="FT186" s="561">
        <f t="shared" si="960"/>
        <v>0</v>
      </c>
      <c r="FU186" s="561"/>
      <c r="FV186" s="561"/>
      <c r="FW186" s="561"/>
      <c r="FX186" s="561"/>
      <c r="FY186" s="561">
        <f t="shared" si="961"/>
        <v>0</v>
      </c>
      <c r="FZ186" s="561">
        <f t="shared" si="962"/>
        <v>0</v>
      </c>
      <c r="GA186" s="561">
        <f t="shared" si="963"/>
        <v>0</v>
      </c>
      <c r="GB186" s="561">
        <f t="shared" si="964"/>
        <v>0</v>
      </c>
      <c r="GC186" s="561">
        <f t="shared" si="965"/>
        <v>0</v>
      </c>
      <c r="GD186" s="561">
        <f t="shared" si="966"/>
        <v>0</v>
      </c>
      <c r="GE186" s="561">
        <f t="shared" si="967"/>
        <v>0</v>
      </c>
      <c r="GF186" s="561">
        <f t="shared" si="968"/>
        <v>0</v>
      </c>
      <c r="GG186" s="561">
        <f t="shared" si="969"/>
        <v>0</v>
      </c>
      <c r="GH186" s="561">
        <f t="shared" si="970"/>
        <v>0</v>
      </c>
      <c r="GI186" s="561">
        <f t="shared" si="971"/>
        <v>0</v>
      </c>
      <c r="GJ186" s="561">
        <f t="shared" si="972"/>
        <v>0</v>
      </c>
      <c r="GK186" s="561">
        <f t="shared" si="1469"/>
        <v>0</v>
      </c>
      <c r="GL186" s="561"/>
      <c r="GM186" s="561">
        <f t="shared" si="973"/>
        <v>0</v>
      </c>
    </row>
    <row r="187" spans="1:195" s="83" customFormat="1" ht="20.100000000000001" hidden="1" customHeight="1">
      <c r="A187" s="357" t="s">
        <v>334</v>
      </c>
      <c r="B187" s="562" t="s">
        <v>527</v>
      </c>
      <c r="C187" s="357" t="str">
        <f>$D$164</f>
        <v>EPMCC-1</v>
      </c>
      <c r="D187" s="395" t="s">
        <v>658</v>
      </c>
      <c r="E187" s="563" t="s">
        <v>401</v>
      </c>
      <c r="F187" s="357" t="s">
        <v>28</v>
      </c>
      <c r="G187" s="357" t="s">
        <v>350</v>
      </c>
      <c r="H187" s="352">
        <v>5</v>
      </c>
      <c r="I187" s="357" t="s">
        <v>330</v>
      </c>
      <c r="J187" s="357" t="s">
        <v>331</v>
      </c>
      <c r="K187" s="353">
        <v>400</v>
      </c>
      <c r="L187" s="360">
        <v>0.82</v>
      </c>
      <c r="M187" s="352">
        <v>0.89599999999999991</v>
      </c>
      <c r="N187" s="359">
        <f>IF(I187="kVA",IF(J187="3Ph",(H187*1000/(1.732*M187*K187)),(H187*1000/(M187*K187))),IF(I187="kW",IF(J187="3Ph",(H187*1000/(1.732*M187*K187*L187)),(H187*1000/(M187*K187*L187)))))</f>
        <v>9.8229122240908993</v>
      </c>
      <c r="O187" s="359">
        <f t="shared" si="1293"/>
        <v>58.937473344545396</v>
      </c>
      <c r="P187" s="360">
        <f>IF(G187="MOTOR",0.2,"0.00")</f>
        <v>0.2</v>
      </c>
      <c r="Q187" s="352">
        <v>50</v>
      </c>
      <c r="R187" s="352">
        <v>0</v>
      </c>
      <c r="S187" s="352">
        <f>(Q187*1000*SQRT(R187)/143)</f>
        <v>0</v>
      </c>
      <c r="T187" s="360" t="s">
        <v>131</v>
      </c>
      <c r="U187" s="352" t="s">
        <v>333</v>
      </c>
      <c r="V187" s="360">
        <v>16</v>
      </c>
      <c r="W187" s="360" t="str">
        <f>CONCATENATE(U187," X ",V187)</f>
        <v>3C X 16</v>
      </c>
      <c r="X187" s="360" t="str">
        <f>(IF(J187="1Ph",W187,IF(J187="3Ph",(IF(G187="MOTOR",(CONCATENATE(W187,"+PE")),W187)))))</f>
        <v>3C X 16+PE</v>
      </c>
      <c r="Y187" s="360" t="s">
        <v>358</v>
      </c>
      <c r="Z187" s="361">
        <f>IF(T187="AIR",VLOOKUP(W187,'Catalogue Aluminium'!$B$9:$G$93,2,FALSE),IF(T187="GROUND",VLOOKUP(W187,'Catalogue Aluminium'!$B$9:$G$93,3,FALSE),IF(T187="DUCT",VLOOKUP(W187,'Catalogue Aluminium'!$B$9:$G$93,4,FALSE),IF(T187="TRENCH",VLOOKUP(W187,'Catalogue Aluminium'!$B$9:$G$93,2,FALSE)))))</f>
        <v>70</v>
      </c>
      <c r="AA187" s="362">
        <f>VLOOKUP(W187,'Catalogue Aluminium'!$B$9:$G$93,5,FALSE)</f>
        <v>2.44</v>
      </c>
      <c r="AB187" s="362">
        <f>VLOOKUP(W187,'Catalogue Aluminium'!$B$9:$G$93,6,FALSE)</f>
        <v>8.1500000000000003E-2</v>
      </c>
      <c r="AC187" s="564">
        <f>28+7</f>
        <v>35</v>
      </c>
      <c r="AD187" s="360">
        <f>11+34+48+10+20</f>
        <v>123</v>
      </c>
      <c r="AE187" s="456">
        <f t="shared" ref="AE187:AE189" si="1523">11+11</f>
        <v>22</v>
      </c>
      <c r="AF187" s="360">
        <v>8</v>
      </c>
      <c r="AG187" s="360">
        <f t="shared" ref="AG187:AG189" si="1524">ROUNDUP((SUM(AC187:AF187)*0.1),0)</f>
        <v>19</v>
      </c>
      <c r="AH187" s="363"/>
      <c r="AI187" s="361">
        <f>IF(T187="AIR",'Catalogue Aluminium'!$K$9,IF(T187="TRENCH",'Catalogue Aluminium'!$K$12,"NA"))</f>
        <v>0.89</v>
      </c>
      <c r="AJ187" s="359">
        <f>IF(T187="Air",(IF(U187="1C",'Catalogue Aluminium'!$L$9,'Catalogue Aluminium'!$M$9)),IF(T187="DUCT",(IF($U187="1C",'Catalogue Aluminium'!$L$10,'Catalogue Aluminium'!$M$10)),IF(T187="GROUND",(IF($U187="1C",'Catalogue Aluminium'!$L$11,'Catalogue Aluminium'!$M$11)),IF(T187="TRENCH",(IF($U187="1C",'Catalogue Aluminium'!$L$12,'Catalogue Aluminium'!$M$12))))))</f>
        <v>0.66</v>
      </c>
      <c r="AK187" s="361" t="str">
        <f>IF(T187="Air",'Catalogue Aluminium'!$N$9,IF(T187="GROUND",'Catalogue Aluminium'!$N$10,IF(T187="DUCT",'Catalogue Aluminium'!$N$11,IF(T187="TRENCH",'Catalogue Aluminium'!$N$12,"NA"))))</f>
        <v>NA</v>
      </c>
      <c r="AL187" s="361" t="str">
        <f>IF(T187="Air",(IF(U187="1C",'Catalogue Aluminium'!$O$9,'Catalogue Aluminium'!$P$9)),IF(T187="DUCT",(IF($U187="1C",'Catalogue Aluminium'!$O$10,'Catalogue Aluminium'!$P$10)),IF(T187="GROUND",(IF($U187="1C",'Catalogue Aluminium'!$O$11,'Catalogue Aluminium'!$P$11)),IF(T187="TRENCH",(IF($U187="1C",'Catalogue Aluminium'!$O$12,'Catalogue Aluminium'!$P$12))))))</f>
        <v>NA</v>
      </c>
      <c r="AM187" s="361" t="str">
        <f>IF(T187="AIR","NA",IF(T187="TRENCH","NA",IF(T187="DUCT",IF(U187="1C",VLOOKUP(V187,'Catalogue Aluminium'!$Q$9:$S$28,2,FALSE),VLOOKUP(V187,'Catalogue Aluminium'!$Q$9:$S$28,3)),IF(T187="GROUND",IF(U187="1C",VLOOKUP(V187,'Catalogue Aluminium'!$Q$9:$S$28,2,FALSE),VLOOKUP(V187,'Catalogue Aluminium'!$Q$9:$S$28,3))))))</f>
        <v>NA</v>
      </c>
      <c r="AN187" s="365">
        <f>IF(T187="AIR",AI187*AJ187,IF(T187="TRENCH",AI187*AJ187,IF(T187="DUCT",AJ187*AK187*AL187*AM187,IF(T187="GROUND",AJ187*AK187*AL187*AM187))))</f>
        <v>0.58740000000000003</v>
      </c>
      <c r="AO187" s="352">
        <f>Z187*AN187</f>
        <v>41.118000000000002</v>
      </c>
      <c r="AP187" s="353">
        <f t="shared" si="1303"/>
        <v>1</v>
      </c>
      <c r="AQ187" s="352" t="str">
        <f>IF(AO187*AP187&gt;=N187,"YES","NO")</f>
        <v>YES</v>
      </c>
      <c r="AR187" s="365">
        <f>SQRT(3)*AH187*N187*((AA187*L187)+(AB187*SIN(ACOS(L187))))*100/(AP187*K187*1000)</f>
        <v>0</v>
      </c>
      <c r="AS187" s="496" t="str">
        <f>IF(G187="INCOMER",(IF(AR187&lt;=2,"YES","NO")),IF(G187="POWER",(IF(AR187&lt;=2.5,"YES","NO")),IF(G187="MOTOR",(IF(AR187&lt;=3,"YES","NO")))))</f>
        <v>YES</v>
      </c>
      <c r="AT187" s="497">
        <f>IF(G187="MOTOR",(SQRT(3)*AH187*O187*((AA187*P187)+(AB187*SIN(ACOS(P187))))*100/(AP187*K187*1000)),"NA")</f>
        <v>0</v>
      </c>
      <c r="AU187" s="360" t="str">
        <f>IF(G187="MOTOR",IF(AT187&lt;=15,"YES","NO"),"NA")</f>
        <v>YES</v>
      </c>
      <c r="AV187" s="366" t="str">
        <f>IF(U187="1C",CONCATENATE(AP187,"R x ",Y187,"kV x ",U187," x ",V187," Sqmm/Phase"),CONCATENATE(AP187,"R x ",0.6,"/1kV x ",U187," x ",V187," Sqmm"))</f>
        <v>1R x 0.6/1kV x 3C x 16 Sqmm</v>
      </c>
      <c r="AW187" s="366" t="str">
        <f>IF(U187="1C",CONCATENATE(AP187,"R x ",Y187,"kV x ",U187," x ",V187," Sqmm/Phase"),CONCATENATE(AP187,"R x ",0.6,"/1kV x ",U187," x ",V187,(IF(G187="MOTOR","+PE",""))," Sqmm"))</f>
        <v>1R x 0.6/1kV x 3C x 16+PE Sqmm</v>
      </c>
      <c r="AX187" s="360"/>
      <c r="AY187" s="367"/>
      <c r="AZ187" s="367"/>
      <c r="BA187" s="520" t="str">
        <f t="shared" si="1277"/>
        <v/>
      </c>
      <c r="BB187" s="498"/>
      <c r="BC187" s="426"/>
      <c r="BE187" s="368"/>
      <c r="BF187" s="368"/>
      <c r="BG187" s="368"/>
      <c r="BH187" s="368"/>
      <c r="BI187" s="368"/>
      <c r="BJ187" s="368"/>
      <c r="BK187" s="368"/>
      <c r="BL187" s="368"/>
      <c r="BM187" s="368"/>
      <c r="BN187" s="368"/>
      <c r="BO187" s="368"/>
      <c r="BP187" s="368"/>
      <c r="BQ187" s="368"/>
      <c r="BR187" s="368"/>
      <c r="BS187" s="368"/>
      <c r="BT187" s="368"/>
      <c r="BU187" s="368"/>
      <c r="BV187" s="368"/>
      <c r="BW187" s="368"/>
      <c r="BX187" s="368"/>
      <c r="BY187" s="368"/>
      <c r="BZ187" s="368"/>
      <c r="CA187" s="368"/>
      <c r="CB187" s="368"/>
      <c r="CC187" s="368"/>
      <c r="CD187" s="368"/>
      <c r="CE187" s="368"/>
      <c r="CF187" s="368"/>
      <c r="CG187" s="368"/>
      <c r="CH187" s="368"/>
      <c r="CI187" s="368"/>
      <c r="CJ187" s="368"/>
      <c r="CK187" s="368"/>
      <c r="CL187" s="368"/>
      <c r="CM187" s="368"/>
      <c r="CN187" s="368"/>
      <c r="CO187" s="368"/>
      <c r="CP187" s="368"/>
      <c r="CQ187" s="368"/>
      <c r="CR187" s="368"/>
      <c r="CS187" s="368"/>
      <c r="CT187" s="368"/>
      <c r="CU187" s="368"/>
      <c r="CV187" s="368"/>
      <c r="CW187" s="368"/>
      <c r="CX187" s="368"/>
      <c r="CY187" s="368"/>
      <c r="CZ187" s="368"/>
      <c r="DA187" s="368"/>
      <c r="DB187" s="368"/>
      <c r="DC187" s="368"/>
      <c r="DD187" s="368"/>
      <c r="DE187" s="368"/>
      <c r="DF187" s="368"/>
      <c r="DG187" s="368"/>
      <c r="DH187" s="368"/>
      <c r="DI187" s="368"/>
      <c r="DJ187" s="368"/>
      <c r="DK187" s="368"/>
      <c r="DL187" s="368"/>
      <c r="DM187" s="368"/>
      <c r="DN187" s="368"/>
      <c r="DO187" s="368"/>
      <c r="DP187" s="368"/>
      <c r="DQ187" s="368"/>
      <c r="DR187" s="368"/>
      <c r="DS187" s="368"/>
      <c r="DT187" s="368"/>
      <c r="DU187" s="368"/>
      <c r="DW187" s="368">
        <f t="shared" si="1012"/>
        <v>0</v>
      </c>
      <c r="DX187" s="368">
        <f t="shared" si="1004"/>
        <v>0</v>
      </c>
      <c r="DY187" s="368">
        <f t="shared" si="1005"/>
        <v>0</v>
      </c>
      <c r="DZ187" s="368">
        <f t="shared" si="1006"/>
        <v>0</v>
      </c>
      <c r="EA187" s="368">
        <f t="shared" si="1007"/>
        <v>0</v>
      </c>
      <c r="EB187" s="368">
        <f t="shared" si="1008"/>
        <v>0</v>
      </c>
      <c r="EC187" s="368">
        <f t="shared" si="1009"/>
        <v>0</v>
      </c>
      <c r="ED187" s="368">
        <f t="shared" si="919"/>
        <v>0</v>
      </c>
      <c r="EE187" s="368">
        <f t="shared" si="920"/>
        <v>0</v>
      </c>
      <c r="EF187" s="368">
        <f t="shared" si="921"/>
        <v>0</v>
      </c>
      <c r="EG187" s="368">
        <f t="shared" si="922"/>
        <v>0</v>
      </c>
      <c r="EH187" s="368">
        <f t="shared" si="923"/>
        <v>0</v>
      </c>
      <c r="EI187" s="368">
        <f t="shared" si="924"/>
        <v>0</v>
      </c>
      <c r="EJ187" s="368">
        <f t="shared" si="925"/>
        <v>0</v>
      </c>
      <c r="EK187" s="368">
        <f t="shared" si="926"/>
        <v>0</v>
      </c>
      <c r="EL187" s="368">
        <f t="shared" si="927"/>
        <v>0</v>
      </c>
      <c r="EM187" s="368">
        <f t="shared" si="928"/>
        <v>0</v>
      </c>
      <c r="EN187" s="368">
        <f t="shared" si="929"/>
        <v>0</v>
      </c>
      <c r="EO187" s="368">
        <f t="shared" si="930"/>
        <v>0</v>
      </c>
      <c r="EP187" s="368">
        <f t="shared" si="931"/>
        <v>0</v>
      </c>
      <c r="EQ187" s="368">
        <f t="shared" si="932"/>
        <v>0</v>
      </c>
      <c r="ER187" s="368">
        <f t="shared" si="933"/>
        <v>0</v>
      </c>
      <c r="ES187" s="368">
        <f t="shared" si="934"/>
        <v>0</v>
      </c>
      <c r="ET187" s="368">
        <f t="shared" si="934"/>
        <v>0</v>
      </c>
      <c r="EU187" s="368">
        <f t="shared" si="935"/>
        <v>0</v>
      </c>
      <c r="EV187" s="368">
        <f t="shared" si="936"/>
        <v>0</v>
      </c>
      <c r="EW187" s="368">
        <f t="shared" si="937"/>
        <v>0</v>
      </c>
      <c r="EX187" s="368">
        <f t="shared" si="938"/>
        <v>0</v>
      </c>
      <c r="EY187" s="368">
        <f t="shared" si="939"/>
        <v>0</v>
      </c>
      <c r="EZ187" s="368">
        <f t="shared" si="940"/>
        <v>0</v>
      </c>
      <c r="FA187" s="368">
        <f t="shared" si="941"/>
        <v>0</v>
      </c>
      <c r="FB187" s="368">
        <f t="shared" si="942"/>
        <v>0</v>
      </c>
      <c r="FC187" s="368">
        <f t="shared" si="943"/>
        <v>0</v>
      </c>
      <c r="FD187" s="368">
        <f t="shared" si="944"/>
        <v>0</v>
      </c>
      <c r="FE187" s="368">
        <f t="shared" si="945"/>
        <v>0</v>
      </c>
      <c r="FF187" s="368">
        <f t="shared" si="946"/>
        <v>0</v>
      </c>
      <c r="FG187" s="368">
        <f t="shared" si="947"/>
        <v>0</v>
      </c>
      <c r="FH187" s="368">
        <f t="shared" si="948"/>
        <v>0</v>
      </c>
      <c r="FI187" s="368">
        <f t="shared" si="949"/>
        <v>0</v>
      </c>
      <c r="FJ187" s="368">
        <f t="shared" si="950"/>
        <v>0</v>
      </c>
      <c r="FK187" s="368">
        <f t="shared" si="951"/>
        <v>0</v>
      </c>
      <c r="FL187" s="368">
        <f t="shared" si="952"/>
        <v>0</v>
      </c>
      <c r="FM187" s="368">
        <f t="shared" si="953"/>
        <v>0</v>
      </c>
      <c r="FN187" s="368">
        <f t="shared" si="954"/>
        <v>0</v>
      </c>
      <c r="FO187" s="368">
        <f t="shared" si="955"/>
        <v>0</v>
      </c>
      <c r="FP187" s="368">
        <f t="shared" si="956"/>
        <v>0</v>
      </c>
      <c r="FQ187" s="368">
        <f t="shared" si="957"/>
        <v>0</v>
      </c>
      <c r="FR187" s="368">
        <f t="shared" si="958"/>
        <v>0</v>
      </c>
      <c r="FS187" s="368">
        <f t="shared" si="959"/>
        <v>0</v>
      </c>
      <c r="FT187" s="368">
        <f t="shared" si="960"/>
        <v>0</v>
      </c>
      <c r="FU187" s="368"/>
      <c r="FV187" s="368"/>
      <c r="FW187" s="368"/>
      <c r="FX187" s="368"/>
      <c r="FY187" s="368">
        <f t="shared" si="961"/>
        <v>0</v>
      </c>
      <c r="FZ187" s="368">
        <f t="shared" si="962"/>
        <v>0</v>
      </c>
      <c r="GA187" s="368">
        <f t="shared" si="963"/>
        <v>0</v>
      </c>
      <c r="GB187" s="368">
        <f t="shared" si="964"/>
        <v>0</v>
      </c>
      <c r="GC187" s="368">
        <f t="shared" si="965"/>
        <v>0</v>
      </c>
      <c r="GD187" s="368">
        <f t="shared" si="966"/>
        <v>0</v>
      </c>
      <c r="GE187" s="368">
        <f t="shared" si="967"/>
        <v>0</v>
      </c>
      <c r="GF187" s="368">
        <f t="shared" si="968"/>
        <v>0</v>
      </c>
      <c r="GG187" s="368">
        <f t="shared" si="969"/>
        <v>0</v>
      </c>
      <c r="GH187" s="368">
        <f t="shared" si="970"/>
        <v>0</v>
      </c>
      <c r="GI187" s="368">
        <f t="shared" si="971"/>
        <v>0</v>
      </c>
      <c r="GJ187" s="368">
        <f t="shared" si="972"/>
        <v>0</v>
      </c>
      <c r="GK187" s="368">
        <f t="shared" si="1469"/>
        <v>0</v>
      </c>
      <c r="GL187" s="368"/>
      <c r="GM187" s="368">
        <f t="shared" si="973"/>
        <v>0</v>
      </c>
    </row>
    <row r="188" spans="1:195" s="83" customFormat="1" ht="20.100000000000001" hidden="1" customHeight="1">
      <c r="A188" s="357" t="s">
        <v>334</v>
      </c>
      <c r="B188" s="562" t="s">
        <v>527</v>
      </c>
      <c r="C188" s="357" t="str">
        <f>$D$164</f>
        <v>EPMCC-1</v>
      </c>
      <c r="D188" s="395" t="s">
        <v>659</v>
      </c>
      <c r="E188" s="563" t="s">
        <v>401</v>
      </c>
      <c r="F188" s="357" t="s">
        <v>29</v>
      </c>
      <c r="G188" s="357" t="s">
        <v>350</v>
      </c>
      <c r="H188" s="352">
        <v>5</v>
      </c>
      <c r="I188" s="357" t="s">
        <v>330</v>
      </c>
      <c r="J188" s="357" t="s">
        <v>331</v>
      </c>
      <c r="K188" s="353">
        <v>400</v>
      </c>
      <c r="L188" s="360">
        <v>0.82</v>
      </c>
      <c r="M188" s="352">
        <v>0.89599999999999991</v>
      </c>
      <c r="N188" s="359">
        <f>IF(I188="kVA",IF(J188="3Ph",(H188*1000/(1.732*M188*K188)),(H188*1000/(M188*K188))),IF(I188="kW",IF(J188="3Ph",(H188*1000/(1.732*M188*K188*L188)),(H188*1000/(M188*K188*L188)))))</f>
        <v>9.8229122240908993</v>
      </c>
      <c r="O188" s="359">
        <f t="shared" si="1293"/>
        <v>58.937473344545396</v>
      </c>
      <c r="P188" s="360">
        <f>IF(G188="MOTOR",0.2,"0.00")</f>
        <v>0.2</v>
      </c>
      <c r="Q188" s="352">
        <v>50</v>
      </c>
      <c r="R188" s="352">
        <v>0</v>
      </c>
      <c r="S188" s="352">
        <f>(Q188*1000*SQRT(R188)/143)</f>
        <v>0</v>
      </c>
      <c r="T188" s="360" t="s">
        <v>131</v>
      </c>
      <c r="U188" s="352" t="s">
        <v>333</v>
      </c>
      <c r="V188" s="360">
        <v>16</v>
      </c>
      <c r="W188" s="360" t="str">
        <f>CONCATENATE(U188," X ",V188)</f>
        <v>3C X 16</v>
      </c>
      <c r="X188" s="360" t="str">
        <f>(IF(J188="1Ph",W188,IF(J188="3Ph",(IF(G188="MOTOR",(CONCATENATE(W188,"+PE")),W188)))))</f>
        <v>3C X 16+PE</v>
      </c>
      <c r="Y188" s="360" t="s">
        <v>358</v>
      </c>
      <c r="Z188" s="361">
        <f>IF(T188="AIR",VLOOKUP(W188,'Catalogue Aluminium'!$B$9:$G$93,2,FALSE),IF(T188="GROUND",VLOOKUP(W188,'Catalogue Aluminium'!$B$9:$G$93,3,FALSE),IF(T188="DUCT",VLOOKUP(W188,'Catalogue Aluminium'!$B$9:$G$93,4,FALSE),IF(T188="TRENCH",VLOOKUP(W188,'Catalogue Aluminium'!$B$9:$G$93,2,FALSE)))))</f>
        <v>70</v>
      </c>
      <c r="AA188" s="362">
        <f>VLOOKUP(W188,'Catalogue Aluminium'!$B$9:$G$93,5,FALSE)</f>
        <v>2.44</v>
      </c>
      <c r="AB188" s="362">
        <f>VLOOKUP(W188,'Catalogue Aluminium'!$B$9:$G$93,6,FALSE)</f>
        <v>8.1500000000000003E-2</v>
      </c>
      <c r="AC188" s="564">
        <f>22+7</f>
        <v>29</v>
      </c>
      <c r="AD188" s="360">
        <f>11+34+48+10+20</f>
        <v>123</v>
      </c>
      <c r="AE188" s="456">
        <f t="shared" si="1523"/>
        <v>22</v>
      </c>
      <c r="AF188" s="360">
        <v>8</v>
      </c>
      <c r="AG188" s="360">
        <f t="shared" si="1524"/>
        <v>19</v>
      </c>
      <c r="AH188" s="363"/>
      <c r="AI188" s="361">
        <f>IF(T188="AIR",'Catalogue Aluminium'!$K$9,IF(T188="TRENCH",'Catalogue Aluminium'!$K$12,"NA"))</f>
        <v>0.89</v>
      </c>
      <c r="AJ188" s="359">
        <f>IF(T188="Air",(IF(U188="1C",'Catalogue Aluminium'!$L$9,'Catalogue Aluminium'!$M$9)),IF(T188="DUCT",(IF($U188="1C",'Catalogue Aluminium'!$L$10,'Catalogue Aluminium'!$M$10)),IF(T188="GROUND",(IF($U188="1C",'Catalogue Aluminium'!$L$11,'Catalogue Aluminium'!$M$11)),IF(T188="TRENCH",(IF($U188="1C",'Catalogue Aluminium'!$L$12,'Catalogue Aluminium'!$M$12))))))</f>
        <v>0.66</v>
      </c>
      <c r="AK188" s="361" t="str">
        <f>IF(T188="Air",'Catalogue Aluminium'!$N$9,IF(T188="GROUND",'Catalogue Aluminium'!$N$10,IF(T188="DUCT",'Catalogue Aluminium'!$N$11,IF(T188="TRENCH",'Catalogue Aluminium'!$N$12,"NA"))))</f>
        <v>NA</v>
      </c>
      <c r="AL188" s="361" t="str">
        <f>IF(T188="Air",(IF(U188="1C",'Catalogue Aluminium'!$O$9,'Catalogue Aluminium'!$P$9)),IF(T188="DUCT",(IF($U188="1C",'Catalogue Aluminium'!$O$10,'Catalogue Aluminium'!$P$10)),IF(T188="GROUND",(IF($U188="1C",'Catalogue Aluminium'!$O$11,'Catalogue Aluminium'!$P$11)),IF(T188="TRENCH",(IF($U188="1C",'Catalogue Aluminium'!$O$12,'Catalogue Aluminium'!$P$12))))))</f>
        <v>NA</v>
      </c>
      <c r="AM188" s="361" t="str">
        <f>IF(T188="AIR","NA",IF(T188="TRENCH","NA",IF(T188="DUCT",IF(U188="1C",VLOOKUP(V188,'Catalogue Aluminium'!$Q$9:$S$28,2,FALSE),VLOOKUP(V188,'Catalogue Aluminium'!$Q$9:$S$28,3)),IF(T188="GROUND",IF(U188="1C",VLOOKUP(V188,'Catalogue Aluminium'!$Q$9:$S$28,2,FALSE),VLOOKUP(V188,'Catalogue Aluminium'!$Q$9:$S$28,3))))))</f>
        <v>NA</v>
      </c>
      <c r="AN188" s="365">
        <f>IF(T188="AIR",AI188*AJ188,IF(T188="TRENCH",AI188*AJ188,IF(T188="DUCT",AJ188*AK188*AL188*AM188,IF(T188="GROUND",AJ188*AK188*AL188*AM188))))</f>
        <v>0.58740000000000003</v>
      </c>
      <c r="AO188" s="352">
        <f>Z188*AN188</f>
        <v>41.118000000000002</v>
      </c>
      <c r="AP188" s="353">
        <f t="shared" si="1303"/>
        <v>1</v>
      </c>
      <c r="AQ188" s="352" t="str">
        <f>IF(AO188*AP188&gt;=N188,"YES","NO")</f>
        <v>YES</v>
      </c>
      <c r="AR188" s="365">
        <f>SQRT(3)*AH188*N188*((AA188*L188)+(AB188*SIN(ACOS(L188))))*100/(AP188*K188*1000)</f>
        <v>0</v>
      </c>
      <c r="AS188" s="496" t="str">
        <f>IF(G188="INCOMER",(IF(AR188&lt;=2,"YES","NO")),IF(G188="POWER",(IF(AR188&lt;=2.5,"YES","NO")),IF(G188="MOTOR",(IF(AR188&lt;=3,"YES","NO")))))</f>
        <v>YES</v>
      </c>
      <c r="AT188" s="497">
        <f>IF(G188="MOTOR",(SQRT(3)*AH188*O188*((AA188*P188)+(AB188*SIN(ACOS(P188))))*100/(AP188*K188*1000)),"NA")</f>
        <v>0</v>
      </c>
      <c r="AU188" s="360" t="str">
        <f>IF(G188="MOTOR",IF(AT188&lt;=15,"YES","NO"),"NA")</f>
        <v>YES</v>
      </c>
      <c r="AV188" s="366" t="str">
        <f>IF(U188="1C",CONCATENATE(AP188,"R x ",Y188,"kV x ",U188," x ",V188," Sqmm/Phase"),CONCATENATE(AP188,"R x ",0.6,"/1kV x ",U188," x ",V188," Sqmm"))</f>
        <v>1R x 0.6/1kV x 3C x 16 Sqmm</v>
      </c>
      <c r="AW188" s="366" t="str">
        <f>IF(U188="1C",CONCATENATE(AP188,"R x ",Y188,"kV x ",U188," x ",V188," Sqmm/Phase"),CONCATENATE(AP188,"R x ",0.6,"/1kV x ",U188," x ",V188,(IF(G188="MOTOR","+PE",""))," Sqmm"))</f>
        <v>1R x 0.6/1kV x 3C x 16+PE Sqmm</v>
      </c>
      <c r="AX188" s="360"/>
      <c r="AY188" s="367"/>
      <c r="AZ188" s="367"/>
      <c r="BA188" s="520" t="str">
        <f t="shared" si="1277"/>
        <v/>
      </c>
      <c r="BB188" s="498"/>
      <c r="BC188" s="426"/>
      <c r="BE188" s="368"/>
      <c r="BF188" s="368"/>
      <c r="BG188" s="368"/>
      <c r="BH188" s="368"/>
      <c r="BI188" s="368"/>
      <c r="BJ188" s="368"/>
      <c r="BK188" s="368"/>
      <c r="BL188" s="368"/>
      <c r="BM188" s="368"/>
      <c r="BN188" s="368"/>
      <c r="BO188" s="368"/>
      <c r="BP188" s="368"/>
      <c r="BQ188" s="368"/>
      <c r="BR188" s="368"/>
      <c r="BS188" s="368"/>
      <c r="BT188" s="368"/>
      <c r="BU188" s="368"/>
      <c r="BV188" s="368"/>
      <c r="BW188" s="368"/>
      <c r="BX188" s="368"/>
      <c r="BY188" s="368"/>
      <c r="BZ188" s="368"/>
      <c r="CA188" s="368"/>
      <c r="CB188" s="368"/>
      <c r="CC188" s="368"/>
      <c r="CD188" s="368"/>
      <c r="CE188" s="368"/>
      <c r="CF188" s="368"/>
      <c r="CG188" s="368"/>
      <c r="CH188" s="368"/>
      <c r="CI188" s="368"/>
      <c r="CJ188" s="368"/>
      <c r="CK188" s="368"/>
      <c r="CL188" s="368"/>
      <c r="CM188" s="368"/>
      <c r="CN188" s="368"/>
      <c r="CO188" s="368"/>
      <c r="CP188" s="368"/>
      <c r="CQ188" s="368"/>
      <c r="CR188" s="368"/>
      <c r="CS188" s="368"/>
      <c r="CT188" s="368"/>
      <c r="CU188" s="368"/>
      <c r="CV188" s="368"/>
      <c r="CW188" s="368"/>
      <c r="CX188" s="368"/>
      <c r="CY188" s="368"/>
      <c r="CZ188" s="368"/>
      <c r="DA188" s="368"/>
      <c r="DB188" s="368"/>
      <c r="DC188" s="368"/>
      <c r="DD188" s="368"/>
      <c r="DE188" s="368"/>
      <c r="DF188" s="368"/>
      <c r="DG188" s="368"/>
      <c r="DH188" s="368"/>
      <c r="DI188" s="368"/>
      <c r="DJ188" s="368"/>
      <c r="DK188" s="368"/>
      <c r="DL188" s="368"/>
      <c r="DM188" s="368"/>
      <c r="DN188" s="368"/>
      <c r="DO188" s="368"/>
      <c r="DP188" s="368"/>
      <c r="DQ188" s="368"/>
      <c r="DR188" s="368"/>
      <c r="DS188" s="368"/>
      <c r="DT188" s="368"/>
      <c r="DU188" s="368"/>
      <c r="DW188" s="368">
        <f t="shared" si="1012"/>
        <v>0</v>
      </c>
      <c r="DX188" s="368">
        <f t="shared" si="1004"/>
        <v>0</v>
      </c>
      <c r="DY188" s="368">
        <f t="shared" si="1005"/>
        <v>0</v>
      </c>
      <c r="DZ188" s="368">
        <f t="shared" si="1006"/>
        <v>0</v>
      </c>
      <c r="EA188" s="368">
        <f t="shared" si="1007"/>
        <v>0</v>
      </c>
      <c r="EB188" s="368">
        <f t="shared" si="1008"/>
        <v>0</v>
      </c>
      <c r="EC188" s="368">
        <f t="shared" si="1009"/>
        <v>0</v>
      </c>
      <c r="ED188" s="368">
        <f t="shared" si="919"/>
        <v>0</v>
      </c>
      <c r="EE188" s="368">
        <f t="shared" si="920"/>
        <v>0</v>
      </c>
      <c r="EF188" s="368">
        <f t="shared" si="921"/>
        <v>0</v>
      </c>
      <c r="EG188" s="368">
        <f t="shared" si="922"/>
        <v>0</v>
      </c>
      <c r="EH188" s="368">
        <f t="shared" si="923"/>
        <v>0</v>
      </c>
      <c r="EI188" s="368">
        <f t="shared" si="924"/>
        <v>0</v>
      </c>
      <c r="EJ188" s="368">
        <f t="shared" si="925"/>
        <v>0</v>
      </c>
      <c r="EK188" s="368">
        <f t="shared" si="926"/>
        <v>0</v>
      </c>
      <c r="EL188" s="368">
        <f t="shared" si="927"/>
        <v>0</v>
      </c>
      <c r="EM188" s="368">
        <f t="shared" si="928"/>
        <v>0</v>
      </c>
      <c r="EN188" s="368">
        <f t="shared" si="929"/>
        <v>0</v>
      </c>
      <c r="EO188" s="368">
        <f t="shared" si="930"/>
        <v>0</v>
      </c>
      <c r="EP188" s="368">
        <f t="shared" si="931"/>
        <v>0</v>
      </c>
      <c r="EQ188" s="368">
        <f t="shared" si="932"/>
        <v>0</v>
      </c>
      <c r="ER188" s="368">
        <f t="shared" si="933"/>
        <v>0</v>
      </c>
      <c r="ES188" s="368">
        <f t="shared" si="934"/>
        <v>0</v>
      </c>
      <c r="ET188" s="368">
        <f t="shared" si="934"/>
        <v>0</v>
      </c>
      <c r="EU188" s="368">
        <f t="shared" si="935"/>
        <v>0</v>
      </c>
      <c r="EV188" s="368">
        <f t="shared" si="936"/>
        <v>0</v>
      </c>
      <c r="EW188" s="368">
        <f t="shared" si="937"/>
        <v>0</v>
      </c>
      <c r="EX188" s="368">
        <f t="shared" si="938"/>
        <v>0</v>
      </c>
      <c r="EY188" s="368">
        <f t="shared" si="939"/>
        <v>0</v>
      </c>
      <c r="EZ188" s="368">
        <f t="shared" si="940"/>
        <v>0</v>
      </c>
      <c r="FA188" s="368">
        <f t="shared" si="941"/>
        <v>0</v>
      </c>
      <c r="FB188" s="368">
        <f t="shared" si="942"/>
        <v>0</v>
      </c>
      <c r="FC188" s="368">
        <f t="shared" si="943"/>
        <v>0</v>
      </c>
      <c r="FD188" s="368">
        <f t="shared" si="944"/>
        <v>0</v>
      </c>
      <c r="FE188" s="368">
        <f t="shared" si="945"/>
        <v>0</v>
      </c>
      <c r="FF188" s="368">
        <f t="shared" si="946"/>
        <v>0</v>
      </c>
      <c r="FG188" s="368">
        <f t="shared" si="947"/>
        <v>0</v>
      </c>
      <c r="FH188" s="368">
        <f t="shared" si="948"/>
        <v>0</v>
      </c>
      <c r="FI188" s="368">
        <f t="shared" si="949"/>
        <v>0</v>
      </c>
      <c r="FJ188" s="368">
        <f t="shared" si="950"/>
        <v>0</v>
      </c>
      <c r="FK188" s="368">
        <f t="shared" si="951"/>
        <v>0</v>
      </c>
      <c r="FL188" s="368">
        <f t="shared" si="952"/>
        <v>0</v>
      </c>
      <c r="FM188" s="368">
        <f t="shared" si="953"/>
        <v>0</v>
      </c>
      <c r="FN188" s="368">
        <f t="shared" si="954"/>
        <v>0</v>
      </c>
      <c r="FO188" s="368">
        <f t="shared" si="955"/>
        <v>0</v>
      </c>
      <c r="FP188" s="368">
        <f t="shared" si="956"/>
        <v>0</v>
      </c>
      <c r="FQ188" s="368">
        <f t="shared" si="957"/>
        <v>0</v>
      </c>
      <c r="FR188" s="368">
        <f t="shared" si="958"/>
        <v>0</v>
      </c>
      <c r="FS188" s="368">
        <f t="shared" si="959"/>
        <v>0</v>
      </c>
      <c r="FT188" s="368">
        <f t="shared" si="960"/>
        <v>0</v>
      </c>
      <c r="FU188" s="368"/>
      <c r="FV188" s="368"/>
      <c r="FW188" s="368"/>
      <c r="FX188" s="368"/>
      <c r="FY188" s="368">
        <f t="shared" si="961"/>
        <v>0</v>
      </c>
      <c r="FZ188" s="368">
        <f t="shared" si="962"/>
        <v>0</v>
      </c>
      <c r="GA188" s="368">
        <f t="shared" si="963"/>
        <v>0</v>
      </c>
      <c r="GB188" s="368">
        <f t="shared" si="964"/>
        <v>0</v>
      </c>
      <c r="GC188" s="368">
        <f t="shared" si="965"/>
        <v>0</v>
      </c>
      <c r="GD188" s="368">
        <f t="shared" si="966"/>
        <v>0</v>
      </c>
      <c r="GE188" s="368">
        <f t="shared" si="967"/>
        <v>0</v>
      </c>
      <c r="GF188" s="368">
        <f t="shared" si="968"/>
        <v>0</v>
      </c>
      <c r="GG188" s="368">
        <f t="shared" si="969"/>
        <v>0</v>
      </c>
      <c r="GH188" s="368">
        <f t="shared" si="970"/>
        <v>0</v>
      </c>
      <c r="GI188" s="368">
        <f t="shared" si="971"/>
        <v>0</v>
      </c>
      <c r="GJ188" s="368">
        <f t="shared" si="972"/>
        <v>0</v>
      </c>
      <c r="GK188" s="368">
        <f t="shared" si="1469"/>
        <v>0</v>
      </c>
      <c r="GL188" s="368"/>
      <c r="GM188" s="368">
        <f t="shared" si="973"/>
        <v>0</v>
      </c>
    </row>
    <row r="189" spans="1:195" s="83" customFormat="1" ht="20.100000000000001" hidden="1" customHeight="1">
      <c r="A189" s="357" t="s">
        <v>334</v>
      </c>
      <c r="B189" s="562" t="s">
        <v>527</v>
      </c>
      <c r="C189" s="357" t="str">
        <f>$D$164</f>
        <v>EPMCC-1</v>
      </c>
      <c r="D189" s="395" t="s">
        <v>660</v>
      </c>
      <c r="E189" s="563" t="s">
        <v>401</v>
      </c>
      <c r="F189" s="357" t="s">
        <v>28</v>
      </c>
      <c r="G189" s="357" t="s">
        <v>329</v>
      </c>
      <c r="H189" s="352">
        <v>3</v>
      </c>
      <c r="I189" s="357" t="s">
        <v>330</v>
      </c>
      <c r="J189" s="357" t="s">
        <v>331</v>
      </c>
      <c r="K189" s="353">
        <v>400</v>
      </c>
      <c r="L189" s="360">
        <v>0.85</v>
      </c>
      <c r="M189" s="352">
        <v>0.95</v>
      </c>
      <c r="N189" s="359">
        <f>IF(I189="kVA",IF(J189="3Ph",(H189*1000/(1.732*M189*K189)),(H189*1000/(M189*K189))),IF(I189="kW",IF(J189="3Ph",(H189*1000/(1.732*M189*K189*L189)),(H189*1000/(M189*K189*L189)))))</f>
        <v>5.3625437047311939</v>
      </c>
      <c r="O189" s="359">
        <f t="shared" si="1293"/>
        <v>0</v>
      </c>
      <c r="P189" s="360" t="str">
        <f>IF(G189="MOTOR",0.2,"0.00")</f>
        <v>0.00</v>
      </c>
      <c r="Q189" s="352">
        <v>50</v>
      </c>
      <c r="R189" s="352">
        <v>0</v>
      </c>
      <c r="S189" s="352">
        <f>(Q189*1000*SQRT(R189)/143)</f>
        <v>0</v>
      </c>
      <c r="T189" s="360" t="s">
        <v>131</v>
      </c>
      <c r="U189" s="352" t="s">
        <v>522</v>
      </c>
      <c r="V189" s="360">
        <v>10</v>
      </c>
      <c r="W189" s="360" t="str">
        <f>CONCATENATE(U189," X ",V189)</f>
        <v>4C X 10</v>
      </c>
      <c r="X189" s="360" t="str">
        <f>(IF(J189="1Ph",W189,IF(J189="3Ph",(IF(G189="MOTOR",(CONCATENATE(W189,"+PE")),W189)))))</f>
        <v>4C X 10</v>
      </c>
      <c r="Y189" s="360" t="s">
        <v>358</v>
      </c>
      <c r="Z189" s="361">
        <f>IF(T189="AIR",VLOOKUP(W189,'Catalogue Aluminium'!$B$9:$G$93,2,FALSE),IF(T189="GROUND",VLOOKUP(W189,'Catalogue Aluminium'!$B$9:$G$93,3,FALSE),IF(T189="DUCT",VLOOKUP(W189,'Catalogue Aluminium'!$B$9:$G$93,4,FALSE),IF(T189="TRENCH",VLOOKUP(W189,'Catalogue Aluminium'!$B$9:$G$93,2,FALSE)))))</f>
        <v>60</v>
      </c>
      <c r="AA189" s="362">
        <f>VLOOKUP(W189,'Catalogue Aluminium'!$B$9:$G$93,5,FALSE)</f>
        <v>3.94</v>
      </c>
      <c r="AB189" s="362">
        <f>VLOOKUP(W189,'Catalogue Aluminium'!$B$9:$G$93,6,FALSE)</f>
        <v>8.5199999999999998E-2</v>
      </c>
      <c r="AC189" s="564">
        <f>28+7</f>
        <v>35</v>
      </c>
      <c r="AD189" s="360">
        <f>11+34+48+70</f>
        <v>163</v>
      </c>
      <c r="AE189" s="456">
        <f t="shared" si="1523"/>
        <v>22</v>
      </c>
      <c r="AF189" s="360">
        <v>8</v>
      </c>
      <c r="AG189" s="360">
        <f t="shared" si="1524"/>
        <v>23</v>
      </c>
      <c r="AH189" s="363"/>
      <c r="AI189" s="361">
        <f>IF(T189="AIR",'Catalogue Aluminium'!$K$9,IF(T189="TRENCH",'Catalogue Aluminium'!$K$12,"NA"))</f>
        <v>0.89</v>
      </c>
      <c r="AJ189" s="359">
        <f>IF(T189="Air",(IF(U189="1C",'Catalogue Aluminium'!$L$9,'Catalogue Aluminium'!$M$9)),IF(T189="DUCT",(IF($U189="1C",'Catalogue Aluminium'!$L$10,'Catalogue Aluminium'!$M$10)),IF(T189="GROUND",(IF($U189="1C",'Catalogue Aluminium'!$L$11,'Catalogue Aluminium'!$M$11)),IF(T189="TRENCH",(IF($U189="1C",'Catalogue Aluminium'!$L$12,'Catalogue Aluminium'!$M$12))))))</f>
        <v>0.66</v>
      </c>
      <c r="AK189" s="361" t="str">
        <f>IF(T189="Air",'Catalogue Aluminium'!$N$9,IF(T189="GROUND",'Catalogue Aluminium'!$N$10,IF(T189="DUCT",'Catalogue Aluminium'!$N$11,IF(T189="TRENCH",'Catalogue Aluminium'!$N$12,"NA"))))</f>
        <v>NA</v>
      </c>
      <c r="AL189" s="361" t="str">
        <f>IF(T189="Air",(IF(U189="1C",'Catalogue Aluminium'!$O$9,'Catalogue Aluminium'!$P$9)),IF(T189="DUCT",(IF($U189="1C",'Catalogue Aluminium'!$O$10,'Catalogue Aluminium'!$P$10)),IF(T189="GROUND",(IF($U189="1C",'Catalogue Aluminium'!$O$11,'Catalogue Aluminium'!$P$11)),IF(T189="TRENCH",(IF($U189="1C",'Catalogue Aluminium'!$O$12,'Catalogue Aluminium'!$P$12))))))</f>
        <v>NA</v>
      </c>
      <c r="AM189" s="361" t="str">
        <f>IF(T189="AIR","NA",IF(T189="TRENCH","NA",IF(T189="DUCT",IF(U189="1C",VLOOKUP(V189,'Catalogue Aluminium'!$Q$9:$S$28,2,FALSE),VLOOKUP(V189,'Catalogue Aluminium'!$Q$9:$S$28,3)),IF(T189="GROUND",IF(U189="1C",VLOOKUP(V189,'Catalogue Aluminium'!$Q$9:$S$28,2,FALSE),VLOOKUP(V189,'Catalogue Aluminium'!$Q$9:$S$28,3))))))</f>
        <v>NA</v>
      </c>
      <c r="AN189" s="365">
        <f>IF(T189="AIR",AI189*AJ189,IF(T189="TRENCH",AI189*AJ189,IF(T189="DUCT",AJ189*AK189*AL189*AM189,IF(T189="GROUND",AJ189*AK189*AL189*AM189))))</f>
        <v>0.58740000000000003</v>
      </c>
      <c r="AO189" s="352">
        <f>Z189*AN189</f>
        <v>35.244</v>
      </c>
      <c r="AP189" s="353">
        <f t="shared" si="1303"/>
        <v>1</v>
      </c>
      <c r="AQ189" s="352" t="str">
        <f>IF(AO189*AP189&gt;=N189,"YES","NO")</f>
        <v>YES</v>
      </c>
      <c r="AR189" s="365">
        <f>SQRT(3)*AH189*N189*((AA189*L189)+(AB189*SIN(ACOS(L189))))*100/(AP189*K189*1000)</f>
        <v>0</v>
      </c>
      <c r="AS189" s="496" t="str">
        <f>IF(G189="INCOMER",(IF(AR189&lt;=2,"YES","NO")),IF(G189="POWER",(IF(AR189&lt;=2.5,"YES","NO")),IF(G189="MOTOR",(IF(AR189&lt;=3,"YES","NO")))))</f>
        <v>YES</v>
      </c>
      <c r="AT189" s="497" t="str">
        <f>IF(G189="MOTOR",(SQRT(3)*AH189*O189*((AA189*P189)+(AB189*SIN(ACOS(P189))))*100/(AP189*K189*1000)),"NA")</f>
        <v>NA</v>
      </c>
      <c r="AU189" s="360" t="str">
        <f>IF(G189="MOTOR",IF(AT189&lt;=15,"YES","NO"),"NA")</f>
        <v>NA</v>
      </c>
      <c r="AV189" s="366" t="str">
        <f>IF(U189="1C",CONCATENATE(AP189,"R x ",Y189,"kV x ",U189," x ",V189," Sqmm/Phase"),CONCATENATE(AP189,"R x ",0.6,"/1kV x ",U189," x ",V189," Sqmm"))</f>
        <v>1R x 0.6/1kV x 4C x 10 Sqmm</v>
      </c>
      <c r="AW189" s="366" t="str">
        <f>IF(U189="1C",CONCATENATE(AP189,"R x ",Y189,"kV x ",U189," x ",V189," Sqmm/Phase"),CONCATENATE(AP189,"R x ",0.6,"/1kV x ",U189," x ",V189,(IF(G189="MOTOR","+PE",""))," Sqmm"))</f>
        <v>1R x 0.6/1kV x 4C x 10 Sqmm</v>
      </c>
      <c r="AX189" s="360"/>
      <c r="AY189" s="367"/>
      <c r="AZ189" s="367"/>
      <c r="BA189" s="520" t="str">
        <f t="shared" si="1277"/>
        <v/>
      </c>
      <c r="BB189" s="498"/>
      <c r="BC189" s="426"/>
      <c r="BE189" s="368"/>
      <c r="BF189" s="368"/>
      <c r="BG189" s="368"/>
      <c r="BH189" s="368"/>
      <c r="BI189" s="368"/>
      <c r="BJ189" s="368"/>
      <c r="BK189" s="368"/>
      <c r="BL189" s="368"/>
      <c r="BM189" s="368"/>
      <c r="BN189" s="368"/>
      <c r="BO189" s="368"/>
      <c r="BP189" s="368"/>
      <c r="BQ189" s="368"/>
      <c r="BR189" s="368"/>
      <c r="BS189" s="368"/>
      <c r="BT189" s="368"/>
      <c r="BU189" s="368"/>
      <c r="BV189" s="368"/>
      <c r="BW189" s="368"/>
      <c r="BX189" s="368"/>
      <c r="BY189" s="368"/>
      <c r="BZ189" s="368"/>
      <c r="CA189" s="368"/>
      <c r="CB189" s="368"/>
      <c r="CC189" s="368"/>
      <c r="CD189" s="368"/>
      <c r="CE189" s="368"/>
      <c r="CF189" s="368"/>
      <c r="CG189" s="368"/>
      <c r="CH189" s="368"/>
      <c r="CI189" s="368"/>
      <c r="CJ189" s="368"/>
      <c r="CK189" s="368"/>
      <c r="CL189" s="368"/>
      <c r="CM189" s="368"/>
      <c r="CN189" s="368"/>
      <c r="CO189" s="368"/>
      <c r="CP189" s="368"/>
      <c r="CQ189" s="368"/>
      <c r="CR189" s="368"/>
      <c r="CS189" s="368"/>
      <c r="CT189" s="368"/>
      <c r="CU189" s="368"/>
      <c r="CV189" s="368"/>
      <c r="CW189" s="368"/>
      <c r="CX189" s="368"/>
      <c r="CY189" s="368"/>
      <c r="CZ189" s="368"/>
      <c r="DA189" s="368"/>
      <c r="DB189" s="368"/>
      <c r="DC189" s="368"/>
      <c r="DD189" s="368"/>
      <c r="DE189" s="368"/>
      <c r="DF189" s="368"/>
      <c r="DG189" s="368"/>
      <c r="DH189" s="368"/>
      <c r="DI189" s="368"/>
      <c r="DJ189" s="368"/>
      <c r="DK189" s="368"/>
      <c r="DL189" s="368"/>
      <c r="DM189" s="368"/>
      <c r="DN189" s="368"/>
      <c r="DO189" s="368"/>
      <c r="DP189" s="368"/>
      <c r="DQ189" s="368"/>
      <c r="DR189" s="368"/>
      <c r="DS189" s="368"/>
      <c r="DT189" s="368"/>
      <c r="DU189" s="368"/>
      <c r="DW189" s="368">
        <f t="shared" si="1012"/>
        <v>0</v>
      </c>
      <c r="DX189" s="368">
        <f t="shared" si="1004"/>
        <v>0</v>
      </c>
      <c r="DY189" s="368">
        <f t="shared" si="1005"/>
        <v>0</v>
      </c>
      <c r="DZ189" s="368">
        <f t="shared" si="1006"/>
        <v>0</v>
      </c>
      <c r="EA189" s="368">
        <f t="shared" si="1007"/>
        <v>0</v>
      </c>
      <c r="EB189" s="368">
        <f t="shared" si="1008"/>
        <v>0</v>
      </c>
      <c r="EC189" s="368">
        <f t="shared" si="1009"/>
        <v>0</v>
      </c>
      <c r="ED189" s="368">
        <f t="shared" si="919"/>
        <v>0</v>
      </c>
      <c r="EE189" s="368">
        <f t="shared" si="920"/>
        <v>0</v>
      </c>
      <c r="EF189" s="368">
        <f t="shared" si="921"/>
        <v>0</v>
      </c>
      <c r="EG189" s="368">
        <f t="shared" si="922"/>
        <v>0</v>
      </c>
      <c r="EH189" s="368">
        <f t="shared" si="923"/>
        <v>0</v>
      </c>
      <c r="EI189" s="368">
        <f t="shared" si="924"/>
        <v>0</v>
      </c>
      <c r="EJ189" s="368">
        <f t="shared" si="925"/>
        <v>0</v>
      </c>
      <c r="EK189" s="368">
        <f t="shared" si="926"/>
        <v>0</v>
      </c>
      <c r="EL189" s="368">
        <f t="shared" si="927"/>
        <v>0</v>
      </c>
      <c r="EM189" s="368">
        <f t="shared" si="928"/>
        <v>0</v>
      </c>
      <c r="EN189" s="368">
        <f t="shared" si="929"/>
        <v>0</v>
      </c>
      <c r="EO189" s="368">
        <f t="shared" si="930"/>
        <v>0</v>
      </c>
      <c r="EP189" s="368">
        <f t="shared" si="931"/>
        <v>0</v>
      </c>
      <c r="EQ189" s="368">
        <f t="shared" si="932"/>
        <v>0</v>
      </c>
      <c r="ER189" s="368">
        <f t="shared" si="933"/>
        <v>0</v>
      </c>
      <c r="ES189" s="368">
        <f t="shared" si="934"/>
        <v>0</v>
      </c>
      <c r="ET189" s="368">
        <f t="shared" si="934"/>
        <v>0</v>
      </c>
      <c r="EU189" s="368">
        <f t="shared" si="935"/>
        <v>0</v>
      </c>
      <c r="EV189" s="368">
        <f t="shared" si="936"/>
        <v>0</v>
      </c>
      <c r="EW189" s="368">
        <f t="shared" si="937"/>
        <v>0</v>
      </c>
      <c r="EX189" s="368">
        <f t="shared" si="938"/>
        <v>0</v>
      </c>
      <c r="EY189" s="368">
        <f t="shared" si="939"/>
        <v>0</v>
      </c>
      <c r="EZ189" s="368">
        <f t="shared" si="940"/>
        <v>0</v>
      </c>
      <c r="FA189" s="368">
        <f t="shared" si="941"/>
        <v>0</v>
      </c>
      <c r="FB189" s="368">
        <f t="shared" si="942"/>
        <v>0</v>
      </c>
      <c r="FC189" s="368">
        <f t="shared" si="943"/>
        <v>0</v>
      </c>
      <c r="FD189" s="368">
        <f t="shared" si="944"/>
        <v>0</v>
      </c>
      <c r="FE189" s="368">
        <f t="shared" si="945"/>
        <v>0</v>
      </c>
      <c r="FF189" s="368">
        <f t="shared" si="946"/>
        <v>0</v>
      </c>
      <c r="FG189" s="368">
        <f t="shared" si="947"/>
        <v>0</v>
      </c>
      <c r="FH189" s="368">
        <f t="shared" si="948"/>
        <v>0</v>
      </c>
      <c r="FI189" s="368">
        <f t="shared" si="949"/>
        <v>0</v>
      </c>
      <c r="FJ189" s="368">
        <f t="shared" si="950"/>
        <v>0</v>
      </c>
      <c r="FK189" s="368">
        <f t="shared" si="951"/>
        <v>0</v>
      </c>
      <c r="FL189" s="368">
        <f t="shared" si="952"/>
        <v>0</v>
      </c>
      <c r="FM189" s="368">
        <f t="shared" si="953"/>
        <v>0</v>
      </c>
      <c r="FN189" s="368">
        <f t="shared" si="954"/>
        <v>0</v>
      </c>
      <c r="FO189" s="368">
        <f t="shared" si="955"/>
        <v>0</v>
      </c>
      <c r="FP189" s="368">
        <f t="shared" si="956"/>
        <v>0</v>
      </c>
      <c r="FQ189" s="368">
        <f t="shared" si="957"/>
        <v>0</v>
      </c>
      <c r="FR189" s="368">
        <f t="shared" si="958"/>
        <v>0</v>
      </c>
      <c r="FS189" s="368">
        <f t="shared" si="959"/>
        <v>0</v>
      </c>
      <c r="FT189" s="368">
        <f t="shared" si="960"/>
        <v>0</v>
      </c>
      <c r="FU189" s="368"/>
      <c r="FV189" s="368"/>
      <c r="FW189" s="368"/>
      <c r="FX189" s="368"/>
      <c r="FY189" s="368">
        <f t="shared" si="961"/>
        <v>0</v>
      </c>
      <c r="FZ189" s="368">
        <f t="shared" si="962"/>
        <v>0</v>
      </c>
      <c r="GA189" s="368">
        <f t="shared" si="963"/>
        <v>0</v>
      </c>
      <c r="GB189" s="368">
        <f t="shared" si="964"/>
        <v>0</v>
      </c>
      <c r="GC189" s="368">
        <f t="shared" si="965"/>
        <v>0</v>
      </c>
      <c r="GD189" s="368">
        <f t="shared" si="966"/>
        <v>0</v>
      </c>
      <c r="GE189" s="368">
        <f t="shared" si="967"/>
        <v>0</v>
      </c>
      <c r="GF189" s="368">
        <f t="shared" si="968"/>
        <v>0</v>
      </c>
      <c r="GG189" s="368">
        <f t="shared" si="969"/>
        <v>0</v>
      </c>
      <c r="GH189" s="368">
        <f t="shared" si="970"/>
        <v>0</v>
      </c>
      <c r="GI189" s="368">
        <f t="shared" si="971"/>
        <v>0</v>
      </c>
      <c r="GJ189" s="368">
        <f t="shared" si="972"/>
        <v>0</v>
      </c>
      <c r="GK189" s="368">
        <f t="shared" si="1469"/>
        <v>0</v>
      </c>
      <c r="GL189" s="368"/>
      <c r="GM189" s="368">
        <f t="shared" si="973"/>
        <v>0</v>
      </c>
    </row>
    <row r="190" spans="1:195" s="76" customFormat="1" ht="21.75" customHeight="1">
      <c r="A190" s="373"/>
      <c r="B190" s="373"/>
      <c r="C190" s="373"/>
      <c r="D190" s="508" t="s">
        <v>544</v>
      </c>
      <c r="E190" s="509"/>
      <c r="F190" s="510"/>
      <c r="G190" s="373"/>
      <c r="H190" s="382"/>
      <c r="I190" s="373"/>
      <c r="J190" s="373"/>
      <c r="K190" s="381"/>
      <c r="L190" s="376"/>
      <c r="M190" s="382"/>
      <c r="N190" s="375"/>
      <c r="O190" s="375"/>
      <c r="P190" s="376"/>
      <c r="Q190" s="382"/>
      <c r="R190" s="382"/>
      <c r="S190" s="382"/>
      <c r="T190" s="376"/>
      <c r="U190" s="382"/>
      <c r="V190" s="376"/>
      <c r="W190" s="376"/>
      <c r="X190" s="376"/>
      <c r="Y190" s="376"/>
      <c r="Z190" s="377"/>
      <c r="AA190" s="378"/>
      <c r="AB190" s="378"/>
      <c r="AC190" s="378"/>
      <c r="AD190" s="378"/>
      <c r="AE190" s="378"/>
      <c r="AF190" s="378"/>
      <c r="AG190" s="378"/>
      <c r="AH190" s="378"/>
      <c r="AI190" s="377"/>
      <c r="AJ190" s="375"/>
      <c r="AK190" s="377"/>
      <c r="AL190" s="377"/>
      <c r="AM190" s="377"/>
      <c r="AN190" s="383"/>
      <c r="AO190" s="382"/>
      <c r="AP190" s="381"/>
      <c r="AQ190" s="382"/>
      <c r="AR190" s="383"/>
      <c r="AS190" s="376"/>
      <c r="AT190" s="383"/>
      <c r="AU190" s="383"/>
      <c r="AV190" s="384"/>
      <c r="AW190" s="384"/>
      <c r="AX190" s="376"/>
      <c r="AY190" s="385"/>
      <c r="AZ190" s="385"/>
      <c r="BA190" s="513" t="str">
        <f t="shared" si="1277"/>
        <v/>
      </c>
      <c r="BB190" s="513"/>
      <c r="BC190" s="513"/>
      <c r="BE190" s="513"/>
      <c r="BF190" s="513"/>
      <c r="BG190" s="513"/>
      <c r="BH190" s="513"/>
      <c r="BI190" s="513"/>
      <c r="BJ190" s="513"/>
      <c r="BK190" s="513"/>
      <c r="BL190" s="513"/>
      <c r="BM190" s="513"/>
      <c r="BN190" s="513"/>
      <c r="BO190" s="513"/>
      <c r="BP190" s="513"/>
      <c r="BQ190" s="513"/>
      <c r="BR190" s="513"/>
      <c r="BS190" s="513"/>
      <c r="BT190" s="513"/>
      <c r="BU190" s="513"/>
      <c r="BV190" s="513"/>
      <c r="BW190" s="513"/>
      <c r="BX190" s="513"/>
      <c r="BY190" s="513"/>
      <c r="BZ190" s="513"/>
      <c r="CA190" s="513"/>
      <c r="CB190" s="513"/>
      <c r="CC190" s="513"/>
      <c r="CD190" s="513"/>
      <c r="CE190" s="513"/>
      <c r="CF190" s="513"/>
      <c r="CG190" s="513"/>
      <c r="CH190" s="513"/>
      <c r="CI190" s="513"/>
      <c r="CJ190" s="513"/>
      <c r="CK190" s="513"/>
      <c r="CL190" s="513"/>
      <c r="CM190" s="513"/>
      <c r="CN190" s="513"/>
      <c r="CO190" s="513"/>
      <c r="CP190" s="513"/>
      <c r="CQ190" s="513"/>
      <c r="CR190" s="513"/>
      <c r="CS190" s="513"/>
      <c r="CT190" s="513"/>
      <c r="CU190" s="513"/>
      <c r="CV190" s="513"/>
      <c r="CW190" s="513"/>
      <c r="CX190" s="513"/>
      <c r="CY190" s="513"/>
      <c r="CZ190" s="513"/>
      <c r="DA190" s="513"/>
      <c r="DB190" s="513"/>
      <c r="DC190" s="513"/>
      <c r="DD190" s="513"/>
      <c r="DE190" s="513"/>
      <c r="DF190" s="513"/>
      <c r="DG190" s="513"/>
      <c r="DH190" s="513"/>
      <c r="DI190" s="513"/>
      <c r="DJ190" s="513"/>
      <c r="DK190" s="513"/>
      <c r="DL190" s="513"/>
      <c r="DM190" s="513"/>
      <c r="DN190" s="513"/>
      <c r="DO190" s="513"/>
      <c r="DP190" s="513"/>
      <c r="DQ190" s="513"/>
      <c r="DR190" s="513"/>
      <c r="DS190" s="513"/>
      <c r="DT190" s="513"/>
      <c r="DU190" s="513"/>
      <c r="DV190" s="61"/>
      <c r="DW190" s="336">
        <f t="shared" si="1012"/>
        <v>0</v>
      </c>
      <c r="DX190" s="336">
        <f t="shared" si="1004"/>
        <v>0</v>
      </c>
      <c r="DY190" s="336">
        <f t="shared" si="1005"/>
        <v>0</v>
      </c>
      <c r="DZ190" s="336">
        <f t="shared" si="1006"/>
        <v>0</v>
      </c>
      <c r="EA190" s="336">
        <f t="shared" si="1007"/>
        <v>0</v>
      </c>
      <c r="EB190" s="336">
        <f t="shared" si="1008"/>
        <v>0</v>
      </c>
      <c r="EC190" s="336">
        <f t="shared" si="1009"/>
        <v>0</v>
      </c>
      <c r="ED190" s="336">
        <f t="shared" si="919"/>
        <v>0</v>
      </c>
      <c r="EE190" s="336">
        <f t="shared" si="920"/>
        <v>0</v>
      </c>
      <c r="EF190" s="336">
        <f t="shared" si="921"/>
        <v>0</v>
      </c>
      <c r="EG190" s="336">
        <f t="shared" si="922"/>
        <v>0</v>
      </c>
      <c r="EH190" s="336">
        <f t="shared" si="923"/>
        <v>0</v>
      </c>
      <c r="EI190" s="336">
        <f t="shared" si="924"/>
        <v>0</v>
      </c>
      <c r="EJ190" s="336">
        <f t="shared" si="925"/>
        <v>0</v>
      </c>
      <c r="EK190" s="336">
        <f t="shared" si="926"/>
        <v>0</v>
      </c>
      <c r="EL190" s="336">
        <f t="shared" si="927"/>
        <v>0</v>
      </c>
      <c r="EM190" s="336">
        <f t="shared" si="928"/>
        <v>0</v>
      </c>
      <c r="EN190" s="336">
        <f t="shared" si="929"/>
        <v>0</v>
      </c>
      <c r="EO190" s="336">
        <f t="shared" si="930"/>
        <v>0</v>
      </c>
      <c r="EP190" s="336">
        <f t="shared" si="931"/>
        <v>0</v>
      </c>
      <c r="EQ190" s="336">
        <f t="shared" si="932"/>
        <v>0</v>
      </c>
      <c r="ER190" s="336">
        <f t="shared" si="933"/>
        <v>0</v>
      </c>
      <c r="ES190" s="336">
        <f t="shared" si="934"/>
        <v>0</v>
      </c>
      <c r="ET190" s="336">
        <f t="shared" si="934"/>
        <v>0</v>
      </c>
      <c r="EU190" s="336">
        <f t="shared" si="935"/>
        <v>0</v>
      </c>
      <c r="EV190" s="336">
        <f t="shared" si="936"/>
        <v>0</v>
      </c>
      <c r="EW190" s="336">
        <f t="shared" si="937"/>
        <v>0</v>
      </c>
      <c r="EX190" s="336">
        <f t="shared" si="938"/>
        <v>0</v>
      </c>
      <c r="EY190" s="336">
        <f t="shared" si="939"/>
        <v>0</v>
      </c>
      <c r="EZ190" s="336">
        <f t="shared" si="940"/>
        <v>0</v>
      </c>
      <c r="FA190" s="336">
        <f t="shared" si="941"/>
        <v>0</v>
      </c>
      <c r="FB190" s="336">
        <f t="shared" si="942"/>
        <v>0</v>
      </c>
      <c r="FC190" s="336">
        <f t="shared" si="943"/>
        <v>0</v>
      </c>
      <c r="FD190" s="336">
        <f t="shared" si="944"/>
        <v>0</v>
      </c>
      <c r="FE190" s="336">
        <f t="shared" si="945"/>
        <v>0</v>
      </c>
      <c r="FF190" s="336">
        <f t="shared" si="946"/>
        <v>0</v>
      </c>
      <c r="FG190" s="336">
        <f t="shared" si="947"/>
        <v>0</v>
      </c>
      <c r="FH190" s="336">
        <f t="shared" si="948"/>
        <v>0</v>
      </c>
      <c r="FI190" s="336">
        <f t="shared" si="949"/>
        <v>0</v>
      </c>
      <c r="FJ190" s="336">
        <f t="shared" si="950"/>
        <v>0</v>
      </c>
      <c r="FK190" s="336">
        <f t="shared" si="951"/>
        <v>0</v>
      </c>
      <c r="FL190" s="336">
        <f t="shared" si="952"/>
        <v>0</v>
      </c>
      <c r="FM190" s="336">
        <f t="shared" si="953"/>
        <v>0</v>
      </c>
      <c r="FN190" s="336">
        <f t="shared" si="954"/>
        <v>0</v>
      </c>
      <c r="FO190" s="492">
        <f t="shared" si="955"/>
        <v>0</v>
      </c>
      <c r="FP190" s="492">
        <f t="shared" si="956"/>
        <v>0</v>
      </c>
      <c r="FQ190" s="492">
        <f t="shared" si="957"/>
        <v>0</v>
      </c>
      <c r="FR190" s="492">
        <f t="shared" si="958"/>
        <v>0</v>
      </c>
      <c r="FS190" s="492">
        <f t="shared" si="959"/>
        <v>0</v>
      </c>
      <c r="FT190" s="492">
        <f t="shared" si="960"/>
        <v>0</v>
      </c>
      <c r="FU190" s="336">
        <f t="shared" ref="FU190:FU194" si="1525">IF(DC190=1,($BC190*DC190),0)</f>
        <v>0</v>
      </c>
      <c r="FV190" s="336">
        <f t="shared" ref="FV190:FV194" si="1526">IF(DD190=1,($BC190*DD190),0)</f>
        <v>0</v>
      </c>
      <c r="FW190" s="336">
        <f t="shared" ref="FW190:FW194" si="1527">IF(DE190=1,($BC190*DE190),0)</f>
        <v>0</v>
      </c>
      <c r="FX190" s="336">
        <f t="shared" ref="FX190:FX194" si="1528">IF(DF190=1,($BC190*DF190),0)</f>
        <v>0</v>
      </c>
      <c r="FY190" s="492">
        <f t="shared" si="961"/>
        <v>0</v>
      </c>
      <c r="FZ190" s="492">
        <f t="shared" si="962"/>
        <v>0</v>
      </c>
      <c r="GA190" s="492">
        <f t="shared" si="963"/>
        <v>0</v>
      </c>
      <c r="GB190" s="492">
        <f t="shared" si="964"/>
        <v>0</v>
      </c>
      <c r="GC190" s="492">
        <f t="shared" si="965"/>
        <v>0</v>
      </c>
      <c r="GD190" s="492">
        <f t="shared" si="966"/>
        <v>0</v>
      </c>
      <c r="GE190" s="492">
        <f t="shared" si="967"/>
        <v>0</v>
      </c>
      <c r="GF190" s="492">
        <f t="shared" si="968"/>
        <v>0</v>
      </c>
      <c r="GG190" s="492">
        <f t="shared" si="969"/>
        <v>0</v>
      </c>
      <c r="GH190" s="492">
        <f t="shared" si="970"/>
        <v>0</v>
      </c>
      <c r="GI190" s="492">
        <f t="shared" si="971"/>
        <v>0</v>
      </c>
      <c r="GJ190" s="492">
        <f t="shared" si="972"/>
        <v>0</v>
      </c>
      <c r="GK190" s="492">
        <f t="shared" si="1469"/>
        <v>0</v>
      </c>
      <c r="GL190" s="336">
        <f>IF(DT190=1,($BC190*DT190),0)</f>
        <v>0</v>
      </c>
      <c r="GM190" s="492">
        <f t="shared" si="973"/>
        <v>0</v>
      </c>
    </row>
    <row r="191" spans="1:195" ht="20.100000000000001" customHeight="1">
      <c r="A191" s="337">
        <f>1+A185</f>
        <v>136</v>
      </c>
      <c r="B191" s="897" t="s">
        <v>1680</v>
      </c>
      <c r="C191" s="337" t="str">
        <f t="shared" ref="C191:C200" si="1529">$D$164</f>
        <v>EPMCC-1</v>
      </c>
      <c r="D191" s="372" t="s">
        <v>661</v>
      </c>
      <c r="E191" s="453" t="s">
        <v>345</v>
      </c>
      <c r="F191" s="337" t="s">
        <v>28</v>
      </c>
      <c r="G191" s="337" t="s">
        <v>350</v>
      </c>
      <c r="H191" s="418">
        <v>37</v>
      </c>
      <c r="I191" s="337" t="s">
        <v>330</v>
      </c>
      <c r="J191" s="337" t="s">
        <v>331</v>
      </c>
      <c r="K191" s="349">
        <v>400</v>
      </c>
      <c r="L191" s="343">
        <v>0.85</v>
      </c>
      <c r="M191" s="350">
        <v>0.95200000000000007</v>
      </c>
      <c r="N191" s="342">
        <f t="shared" ref="N191:N200" si="1530">IF(I191="kVA",IF(J191="3Ph",(H191*1000/(1.732*M191*K191)),(H191*1000/(M191*K191))),IF(I191="kW",IF(J191="3Ph",(H191*1000/(1.732*M191*K191*L191)),(H191*1000/(M191*K191*L191)))))</f>
        <v>65.999093564881449</v>
      </c>
      <c r="O191" s="342">
        <f t="shared" si="1293"/>
        <v>395.99456138928872</v>
      </c>
      <c r="P191" s="343">
        <f t="shared" ref="P191:P200" si="1531">IF(G191="MOTOR",0.2,"0.00")</f>
        <v>0.2</v>
      </c>
      <c r="Q191" s="350">
        <v>50</v>
      </c>
      <c r="R191" s="350">
        <v>0</v>
      </c>
      <c r="S191" s="350">
        <f t="shared" ref="S191:S200" si="1532">(Q191*1000*SQRT(R191)/143)</f>
        <v>0</v>
      </c>
      <c r="T191" s="343" t="s">
        <v>131</v>
      </c>
      <c r="U191" s="350" t="s">
        <v>333</v>
      </c>
      <c r="V191" s="343">
        <v>95</v>
      </c>
      <c r="W191" s="343" t="str">
        <f t="shared" ref="W191:W200" si="1533">CONCATENATE(U191," X ",V191)</f>
        <v>3C X 95</v>
      </c>
      <c r="X191" s="343" t="str">
        <f t="shared" ref="X191:X200" si="1534">(IF(J191="1Ph",W191,IF(J191="3Ph",(IF(G191="MOTOR",(CONCATENATE(W191,"+PE")),W191)))))</f>
        <v>3C X 95+PE</v>
      </c>
      <c r="Y191" s="343" t="s">
        <v>358</v>
      </c>
      <c r="Z191" s="344">
        <f>IF(T191="AIR",VLOOKUP(W191,'Catalogue Aluminium'!$B$9:$G$93,2,FALSE),IF(T191="GROUND",VLOOKUP(W191,'Catalogue Aluminium'!$B$9:$G$93,3,FALSE),IF(T191="DUCT",VLOOKUP(W191,'Catalogue Aluminium'!$B$9:$G$93,4,FALSE),IF(T191="TRENCH",VLOOKUP(W191,'Catalogue Aluminium'!$B$9:$G$93,2,FALSE)))))</f>
        <v>221</v>
      </c>
      <c r="AA191" s="345">
        <f>VLOOKUP(W191,'Catalogue Aluminium'!$B$9:$G$93,5,FALSE)</f>
        <v>0.41</v>
      </c>
      <c r="AB191" s="345">
        <f>VLOOKUP(W191,'Catalogue Aluminium'!$B$9:$G$93,6,FALSE)</f>
        <v>7.3400000000000007E-2</v>
      </c>
      <c r="AC191" s="457">
        <f t="shared" ref="AC191:AC192" si="1535">32+6</f>
        <v>38</v>
      </c>
      <c r="AD191" s="401">
        <f>40+50+38+50+17+(27+42+25)</f>
        <v>289</v>
      </c>
      <c r="AE191" s="401">
        <f t="shared" ref="AE191:AE194" si="1536">11+8+8+11</f>
        <v>38</v>
      </c>
      <c r="AF191" s="401">
        <v>8</v>
      </c>
      <c r="AG191" s="401">
        <f t="shared" ref="AG191:AG200" si="1537">ROUNDUP((SUM(AC191:AF191)*0.1),0)</f>
        <v>38</v>
      </c>
      <c r="AH191" s="347">
        <f t="shared" ref="AH191:AH193" si="1538">SUM(AC191:AG191)</f>
        <v>411</v>
      </c>
      <c r="AI191" s="344">
        <f>IF(T191="AIR",'Catalogue Aluminium'!$K$9,IF(T191="TRENCH",'Catalogue Aluminium'!$K$12,"NA"))</f>
        <v>0.89</v>
      </c>
      <c r="AJ191" s="342">
        <f>IF(T191="Air",(IF(U191="1C",'Catalogue Aluminium'!$L$9,'Catalogue Aluminium'!$M$9)),IF(T191="DUCT",(IF($U191="1C",'Catalogue Aluminium'!$L$10,'Catalogue Aluminium'!$M$10)),IF(T191="GROUND",(IF($U191="1C",'Catalogue Aluminium'!$L$11,'Catalogue Aluminium'!$M$11)),IF(T191="TRENCH",(IF($U191="1C",'Catalogue Aluminium'!$L$12,'Catalogue Aluminium'!$M$12))))))</f>
        <v>0.66</v>
      </c>
      <c r="AK191" s="344" t="str">
        <f>IF(T191="Air",'Catalogue Aluminium'!$N$9,IF(T191="GROUND",'Catalogue Aluminium'!$N$10,IF(T191="DUCT",'Catalogue Aluminium'!$N$11,IF(T191="TRENCH",'Catalogue Aluminium'!$N$12,"NA"))))</f>
        <v>NA</v>
      </c>
      <c r="AL191" s="344" t="str">
        <f>IF(T191="Air",(IF(U191="1C",'Catalogue Aluminium'!$O$9,'Catalogue Aluminium'!$P$9)),IF(T191="DUCT",(IF($U191="1C",'Catalogue Aluminium'!$O$10,'Catalogue Aluminium'!$P$10)),IF(T191="GROUND",(IF($U191="1C",'Catalogue Aluminium'!$O$11,'Catalogue Aluminium'!$P$11)),IF(T191="TRENCH",(IF($U191="1C",'Catalogue Aluminium'!$O$12,'Catalogue Aluminium'!$P$12))))))</f>
        <v>NA</v>
      </c>
      <c r="AM191" s="344" t="str">
        <f>IF(T191="AIR","NA",IF(T191="TRENCH","NA",IF(T191="DUCT",IF(U191="1C",VLOOKUP(V191,'Catalogue Aluminium'!$Q$9:$S$28,2,FALSE),VLOOKUP(V191,'Catalogue Aluminium'!$Q$9:$S$28,3)),IF(T191="GROUND",IF(U191="1C",VLOOKUP(V191,'Catalogue Aluminium'!$Q$9:$S$28,2,FALSE),VLOOKUP(V191,'Catalogue Aluminium'!$Q$9:$S$28,3))))))</f>
        <v>NA</v>
      </c>
      <c r="AN191" s="351">
        <f t="shared" ref="AN191:AN200" si="1539">IF(T191="AIR",AI191*AJ191,IF(T191="TRENCH",AI191*AJ191,IF(T191="DUCT",AJ191*AK191*AL191*AM191,IF(T191="GROUND",AJ191*AK191*AL191*AM191))))</f>
        <v>0.58740000000000003</v>
      </c>
      <c r="AO191" s="350">
        <f t="shared" ref="AO191:AO200" si="1540">Z191*AN191</f>
        <v>129.81540000000001</v>
      </c>
      <c r="AP191" s="349">
        <v>2</v>
      </c>
      <c r="AQ191" s="350" t="str">
        <f t="shared" ref="AQ191:AQ200" si="1541">IF(AO191*AP191&gt;=N191,"YES","NO")</f>
        <v>YES</v>
      </c>
      <c r="AR191" s="351">
        <f t="shared" ref="AR191:AR200" si="1542">SQRT(3)*AH191*N191*((AA191*L191)+(AB191*SIN(ACOS(L191))))*100/(AP191*K191*1000)</f>
        <v>2.2737749402720677</v>
      </c>
      <c r="AS191" s="343" t="str">
        <f t="shared" ref="AS191:AS200" si="1543">IF(G191="INCOMER",(IF(AR191&lt;=2,"YES","NO")),IF(G191="POWER",(IF(AR191&lt;=2.5,"YES","NO")),IF(G191="MOTOR",(IF(AR191&lt;=3,"YES","NO")))))</f>
        <v>YES</v>
      </c>
      <c r="AT191" s="351">
        <f t="shared" ref="AT191:AT200" si="1544">IF(G191="MOTOR",(SQRT(3)*AH191*O191*((AA191*P191)+(AB191*SIN(ACOS(P191))))*100/(AP191*K191*1000)),"NA")</f>
        <v>5.4236084251038186</v>
      </c>
      <c r="AU191" s="343" t="str">
        <f t="shared" ref="AU191:AU200" si="1545">IF(G191="MOTOR",IF(AT191&lt;=15,"YES","NO"),"NA")</f>
        <v>YES</v>
      </c>
      <c r="AV191" s="354" t="str">
        <f t="shared" ref="AV191:AV200" si="1546">IF(U191="1C",CONCATENATE(AP191,"R x ",Y191,"kV x ",U191," x ",V191," Sqmm/Phase"),CONCATENATE(AP191,"R x ",0.6,"/1kV x ",U191," x ",V191," Sqmm"))</f>
        <v>2R x 0.6/1kV x 3C x 95 Sqmm</v>
      </c>
      <c r="AW191" s="354" t="str">
        <f t="shared" ref="AW191:AW200" si="1547">IF(U191="1C",CONCATENATE(AP191,"R x ",Y191,"kV x ",U191," x ",V191," Sqmm/Phase"),CONCATENATE(AP191,"R x ",0.6,"/1kV x ",U191," x ",V191,(IF(G191="MOTOR","+PE",""))," Sqmm"))</f>
        <v>2R x 0.6/1kV x 3C x 95+PE Sqmm</v>
      </c>
      <c r="AX191" s="343">
        <f>(IF(K191=400,(IF(U191="1C",(4*AH191*AP191),(AH191*AP191))),IF(K191=230,(AH191*AP191))))</f>
        <v>822</v>
      </c>
      <c r="AY191" s="355"/>
      <c r="AZ191" s="355">
        <f>IF(U191="1C",(3*AP191*2),(AP191*2))</f>
        <v>4</v>
      </c>
      <c r="BA191" s="356" t="str">
        <f t="shared" ref="BA191:BA194" si="1548">CONCATENATE(IF(BE191=1,BE$4,""),IF(BF191=1,BF$4,""),IF(BG191=1,BG$4,""),IF(BH191=1,BH$4,""),IF(BI191=1,BI$4,""),IF(BJ191=1,BJ$4,""),IF(BK191=1,BK$4,""),IF(BL191=1,BL$4,""),IF(BM191=1,BM$4,""),IF(BN191=1,BN$4,""),IF(BO191=1,BO$4,""),IF(BP191=1,BP$4,""),IF(BQ191=1,BQ$4,""),IF(BR191=1,BR$4,""),IF(BS191=1,BS$4,""),IF(BT191=1,BT$4,""),IF(BU191=1,BU$4,""),IF(BV191=1,BV$4,""),IF(BW191=1,BW$4,""),IF(BX191=1,BX$4,""),IF(BY191=1,BY$4,""),IF(BZ191=1,BZ$4,""),IF(CA191=1,CA$4,""),IF(CB191=1,CB$4,""),IF(CC191=1,CC$4,""),IF(CD191=1,CD$4,""),IF(CE191=1,CE$4,""),IF(CF191=1,CF$4,""),IF(CG191=1,CG$4,""),IF(CH191=1,CH$4,""),IF(CI191=1,CI$4,""),IF(CJ191=1,CJ$4,""),IF(CK191=1,CK$4,""),IF(CL191=1,CL$4,""),IF(CM191=1,CM$4,""),IF(CN191=1,CN$4,""),IF(CO191=1,CO$4,""),IF(CP191=1,CP$4,""),IF(CQ191=1,CQ$4,""),IF(CR191=1,CR$4,""),IF(CS191=1,CS$4,""),IF(CT191=1,CT$4,""),IF(CU191=1,CU$4,""),IF(CV191=1,CV$4,""),IF(CW191=1,CW$4,""),IF(CX191=1,CX$4,""),IF(CY191=1,CY$4,""),IF(CZ191=1,CZ$4,""),IF(DA191=1,DA$4,""),IF(DB191=1,DB$4,""),IF(DC191=1,DC$4,""),IF(DD191=1,DD$4,""),IF(DE191=1,DE$4,""),IF(DF191=1,DF$4,""),IF(DG191=1,DG$4,""),IF(DH191=1,DH$4,""),IF(DI191=1,DI$4,""),IF(DJ191=1,DJ$4,""),IF(DK191=1,DK$4,""),IF(DL191=1,DL$4,""),IF(DM191=1,DM$4,""),IF(DN191=1,DN$4,""),IF(DO191=1,DO$4,""),IF(DP191=1,DP$4,""),IF(DQ191=1,DQ$4,""),IF(DR191=1,DR$4,""),IF(DS191=1,DS$4,""),IF(DT191=1,DT$4,""),IF(DU191=1,DU$4,""))</f>
        <v>ACDEE1E2E3</v>
      </c>
      <c r="BB191" s="501">
        <f>VLOOKUP(W191,'Catalogue Aluminium'!$B$9:$H$93,7,FALSE)</f>
        <v>33</v>
      </c>
      <c r="BC191" s="328">
        <f>AP191*BB191</f>
        <v>66</v>
      </c>
      <c r="BE191" s="336"/>
      <c r="BF191" s="336">
        <v>1</v>
      </c>
      <c r="BG191" s="336"/>
      <c r="BH191" s="336"/>
      <c r="BI191" s="336">
        <v>1</v>
      </c>
      <c r="BJ191" s="336">
        <v>1</v>
      </c>
      <c r="BK191" s="336"/>
      <c r="BL191" s="336"/>
      <c r="BM191" s="336"/>
      <c r="BN191" s="336">
        <v>1</v>
      </c>
      <c r="BO191" s="336"/>
      <c r="BP191" s="336">
        <v>1</v>
      </c>
      <c r="BQ191" s="336">
        <v>1</v>
      </c>
      <c r="BR191" s="336">
        <v>1</v>
      </c>
      <c r="BS191" s="336"/>
      <c r="BT191" s="336"/>
      <c r="BU191" s="336"/>
      <c r="BV191" s="336"/>
      <c r="BW191" s="336"/>
      <c r="BX191" s="336"/>
      <c r="BY191" s="336"/>
      <c r="BZ191" s="336"/>
      <c r="CA191" s="336"/>
      <c r="CB191" s="336"/>
      <c r="CC191" s="336"/>
      <c r="CD191" s="336"/>
      <c r="CE191" s="336"/>
      <c r="CF191" s="336"/>
      <c r="CG191" s="336"/>
      <c r="CH191" s="336"/>
      <c r="CI191" s="336"/>
      <c r="CJ191" s="336"/>
      <c r="CK191" s="336"/>
      <c r="CL191" s="336"/>
      <c r="CM191" s="336"/>
      <c r="CN191" s="336"/>
      <c r="CO191" s="336"/>
      <c r="CP191" s="336"/>
      <c r="CQ191" s="336"/>
      <c r="CR191" s="336"/>
      <c r="CS191" s="336"/>
      <c r="CT191" s="336"/>
      <c r="CU191" s="336"/>
      <c r="CV191" s="336"/>
      <c r="CW191" s="336"/>
      <c r="CX191" s="336"/>
      <c r="CY191" s="336"/>
      <c r="CZ191" s="336"/>
      <c r="DA191" s="336"/>
      <c r="DB191" s="336"/>
      <c r="DC191" s="336"/>
      <c r="DD191" s="336"/>
      <c r="DE191" s="336"/>
      <c r="DF191" s="336"/>
      <c r="DG191" s="336"/>
      <c r="DH191" s="336"/>
      <c r="DI191" s="336"/>
      <c r="DJ191" s="336"/>
      <c r="DK191" s="336"/>
      <c r="DL191" s="336"/>
      <c r="DM191" s="336"/>
      <c r="DN191" s="336"/>
      <c r="DO191" s="336"/>
      <c r="DP191" s="336"/>
      <c r="DQ191" s="336"/>
      <c r="DR191" s="336"/>
      <c r="DS191" s="336"/>
      <c r="DT191" s="336"/>
      <c r="DU191" s="336"/>
      <c r="DW191" s="336">
        <f t="shared" si="1012"/>
        <v>0</v>
      </c>
      <c r="DX191" s="336">
        <f t="shared" si="1004"/>
        <v>66</v>
      </c>
      <c r="DY191" s="336">
        <f t="shared" si="1005"/>
        <v>0</v>
      </c>
      <c r="DZ191" s="336">
        <f t="shared" si="1006"/>
        <v>0</v>
      </c>
      <c r="EA191" s="336">
        <f t="shared" si="1007"/>
        <v>66</v>
      </c>
      <c r="EB191" s="336">
        <f t="shared" si="1008"/>
        <v>66</v>
      </c>
      <c r="EC191" s="336">
        <f t="shared" si="1009"/>
        <v>0</v>
      </c>
      <c r="ED191" s="336">
        <f t="shared" si="919"/>
        <v>0</v>
      </c>
      <c r="EE191" s="336">
        <f t="shared" si="920"/>
        <v>0</v>
      </c>
      <c r="EF191" s="336">
        <f t="shared" si="921"/>
        <v>66</v>
      </c>
      <c r="EG191" s="336">
        <f t="shared" si="922"/>
        <v>0</v>
      </c>
      <c r="EH191" s="336">
        <f t="shared" si="923"/>
        <v>66</v>
      </c>
      <c r="EI191" s="336">
        <f t="shared" si="924"/>
        <v>66</v>
      </c>
      <c r="EJ191" s="336">
        <f t="shared" si="925"/>
        <v>66</v>
      </c>
      <c r="EK191" s="336">
        <f t="shared" si="926"/>
        <v>0</v>
      </c>
      <c r="EL191" s="336">
        <f t="shared" si="927"/>
        <v>0</v>
      </c>
      <c r="EM191" s="336">
        <f t="shared" si="928"/>
        <v>0</v>
      </c>
      <c r="EN191" s="336">
        <f t="shared" si="929"/>
        <v>0</v>
      </c>
      <c r="EO191" s="336">
        <f t="shared" si="930"/>
        <v>0</v>
      </c>
      <c r="EP191" s="336">
        <f t="shared" si="931"/>
        <v>0</v>
      </c>
      <c r="EQ191" s="336">
        <f t="shared" si="932"/>
        <v>0</v>
      </c>
      <c r="ER191" s="336">
        <f t="shared" si="933"/>
        <v>0</v>
      </c>
      <c r="ES191" s="336">
        <f t="shared" si="934"/>
        <v>0</v>
      </c>
      <c r="ET191" s="336">
        <f t="shared" si="934"/>
        <v>0</v>
      </c>
      <c r="EU191" s="336">
        <f t="shared" si="935"/>
        <v>0</v>
      </c>
      <c r="EV191" s="336">
        <f t="shared" si="936"/>
        <v>0</v>
      </c>
      <c r="EW191" s="336">
        <f t="shared" si="937"/>
        <v>0</v>
      </c>
      <c r="EX191" s="336">
        <f t="shared" si="938"/>
        <v>0</v>
      </c>
      <c r="EY191" s="336">
        <f t="shared" si="939"/>
        <v>0</v>
      </c>
      <c r="EZ191" s="336">
        <f t="shared" si="940"/>
        <v>0</v>
      </c>
      <c r="FA191" s="336">
        <f t="shared" si="941"/>
        <v>0</v>
      </c>
      <c r="FB191" s="336">
        <f t="shared" si="942"/>
        <v>0</v>
      </c>
      <c r="FC191" s="336">
        <f t="shared" si="943"/>
        <v>0</v>
      </c>
      <c r="FD191" s="336">
        <f t="shared" si="944"/>
        <v>0</v>
      </c>
      <c r="FE191" s="336">
        <f t="shared" si="945"/>
        <v>0</v>
      </c>
      <c r="FF191" s="336">
        <f t="shared" si="946"/>
        <v>0</v>
      </c>
      <c r="FG191" s="336">
        <f t="shared" si="947"/>
        <v>0</v>
      </c>
      <c r="FH191" s="336">
        <f t="shared" si="948"/>
        <v>0</v>
      </c>
      <c r="FI191" s="336">
        <f t="shared" si="949"/>
        <v>0</v>
      </c>
      <c r="FJ191" s="336">
        <f t="shared" si="950"/>
        <v>0</v>
      </c>
      <c r="FK191" s="336">
        <f t="shared" si="951"/>
        <v>0</v>
      </c>
      <c r="FL191" s="336">
        <f t="shared" si="952"/>
        <v>0</v>
      </c>
      <c r="FM191" s="336">
        <f t="shared" si="953"/>
        <v>0</v>
      </c>
      <c r="FN191" s="336">
        <f t="shared" si="954"/>
        <v>0</v>
      </c>
      <c r="FO191" s="336">
        <f t="shared" si="955"/>
        <v>0</v>
      </c>
      <c r="FP191" s="336">
        <f t="shared" si="956"/>
        <v>0</v>
      </c>
      <c r="FQ191" s="336">
        <f t="shared" si="957"/>
        <v>0</v>
      </c>
      <c r="FR191" s="336">
        <f t="shared" si="958"/>
        <v>0</v>
      </c>
      <c r="FS191" s="336">
        <f t="shared" si="959"/>
        <v>0</v>
      </c>
      <c r="FT191" s="336">
        <f t="shared" si="960"/>
        <v>0</v>
      </c>
      <c r="FU191" s="336">
        <f t="shared" si="1525"/>
        <v>0</v>
      </c>
      <c r="FV191" s="336">
        <f t="shared" si="1526"/>
        <v>0</v>
      </c>
      <c r="FW191" s="336">
        <f t="shared" si="1527"/>
        <v>0</v>
      </c>
      <c r="FX191" s="336">
        <f t="shared" si="1528"/>
        <v>0</v>
      </c>
      <c r="FY191" s="336">
        <f t="shared" si="961"/>
        <v>0</v>
      </c>
      <c r="FZ191" s="336">
        <f t="shared" si="962"/>
        <v>0</v>
      </c>
      <c r="GA191" s="336">
        <f t="shared" si="963"/>
        <v>0</v>
      </c>
      <c r="GB191" s="336">
        <f t="shared" si="964"/>
        <v>0</v>
      </c>
      <c r="GC191" s="336">
        <f t="shared" si="965"/>
        <v>0</v>
      </c>
      <c r="GD191" s="336">
        <f t="shared" si="966"/>
        <v>0</v>
      </c>
      <c r="GE191" s="336">
        <f t="shared" si="967"/>
        <v>0</v>
      </c>
      <c r="GF191" s="336">
        <f t="shared" si="968"/>
        <v>0</v>
      </c>
      <c r="GG191" s="336">
        <f t="shared" si="969"/>
        <v>0</v>
      </c>
      <c r="GH191" s="336">
        <f t="shared" si="970"/>
        <v>0</v>
      </c>
      <c r="GI191" s="336">
        <f t="shared" si="971"/>
        <v>0</v>
      </c>
      <c r="GJ191" s="336">
        <f t="shared" si="972"/>
        <v>0</v>
      </c>
      <c r="GK191" s="336">
        <f t="shared" si="1469"/>
        <v>0</v>
      </c>
      <c r="GL191" s="336">
        <f>IF(DT191=1,($BC191*DT191),0)</f>
        <v>0</v>
      </c>
      <c r="GM191" s="336">
        <f t="shared" si="973"/>
        <v>0</v>
      </c>
    </row>
    <row r="192" spans="1:195" ht="20.100000000000001" customHeight="1">
      <c r="A192" s="337">
        <f t="shared" ref="A192:A194" si="1549">1+A191</f>
        <v>137</v>
      </c>
      <c r="B192" s="506" t="s">
        <v>527</v>
      </c>
      <c r="C192" s="388" t="str">
        <f t="shared" si="1529"/>
        <v>EPMCC-1</v>
      </c>
      <c r="D192" s="338" t="s">
        <v>662</v>
      </c>
      <c r="E192" s="454" t="s">
        <v>345</v>
      </c>
      <c r="F192" s="388" t="s">
        <v>28</v>
      </c>
      <c r="G192" s="388" t="s">
        <v>329</v>
      </c>
      <c r="H192" s="396">
        <v>0.2</v>
      </c>
      <c r="I192" s="388" t="s">
        <v>330</v>
      </c>
      <c r="J192" s="388" t="s">
        <v>357</v>
      </c>
      <c r="K192" s="434">
        <v>230</v>
      </c>
      <c r="L192" s="401">
        <v>0.85</v>
      </c>
      <c r="M192" s="418">
        <v>0.95</v>
      </c>
      <c r="N192" s="392">
        <f t="shared" si="1530"/>
        <v>1.0768609503297888</v>
      </c>
      <c r="O192" s="392">
        <f t="shared" ref="O192" si="1550">IF(G192="MOTOR",(6*N192),IF(G192="VFD",(1*N192),0))</f>
        <v>0</v>
      </c>
      <c r="P192" s="401" t="str">
        <f t="shared" si="1531"/>
        <v>0.00</v>
      </c>
      <c r="Q192" s="418">
        <v>65</v>
      </c>
      <c r="R192" s="418">
        <v>0</v>
      </c>
      <c r="S192" s="418">
        <f t="shared" si="1532"/>
        <v>0</v>
      </c>
      <c r="T192" s="401" t="s">
        <v>131</v>
      </c>
      <c r="U192" s="418" t="s">
        <v>333</v>
      </c>
      <c r="V192" s="401">
        <v>2.5</v>
      </c>
      <c r="W192" s="401" t="str">
        <f t="shared" si="1533"/>
        <v>3C X 2.5</v>
      </c>
      <c r="X192" s="401" t="str">
        <f t="shared" ref="X192" si="1551">(IF(J192="1Ph",W192,IF(J192="3Ph",(IF(G192="MOTOR",(CONCATENATE(W192,"+PE")),W192)))))</f>
        <v>3C X 2.5</v>
      </c>
      <c r="Y192" s="401" t="s">
        <v>358</v>
      </c>
      <c r="Z192" s="393">
        <f>IF(T192="AIR",VLOOKUP(W192,'Catalogue Aluminium'!$B$9:$G$93,2,FALSE),IF(T192="GROUND",VLOOKUP(W192,'Catalogue Aluminium'!$B$9:$G$93,3,FALSE),IF(T192="DUCT",VLOOKUP(W192,'Catalogue Aluminium'!$B$9:$G$93,4,FALSE),IF(T192="TRENCH",VLOOKUP(W192,'Catalogue Aluminium'!$B$9:$G$93,2,FALSE)))))</f>
        <v>28</v>
      </c>
      <c r="AA192" s="402">
        <f>VLOOKUP(W192,'Catalogue Aluminium'!$B$9:$G$93,5,FALSE)</f>
        <v>9.48</v>
      </c>
      <c r="AB192" s="402">
        <f>VLOOKUP(W192,'Catalogue Aluminium'!$B$9:$G$93,6,FALSE)</f>
        <v>0.1007</v>
      </c>
      <c r="AC192" s="457">
        <f t="shared" si="1535"/>
        <v>38</v>
      </c>
      <c r="AD192" s="401">
        <f>40+50+38+50+17+(27+42+25)</f>
        <v>289</v>
      </c>
      <c r="AE192" s="401">
        <f t="shared" si="1536"/>
        <v>38</v>
      </c>
      <c r="AF192" s="401">
        <v>8</v>
      </c>
      <c r="AG192" s="401">
        <f t="shared" ref="AG192" si="1552">ROUNDUP((SUM(AC192:AF192)*0.1),0)</f>
        <v>38</v>
      </c>
      <c r="AH192" s="436">
        <f t="shared" ref="AH192" si="1553">SUM(AC192:AG192)</f>
        <v>411</v>
      </c>
      <c r="AI192" s="393">
        <f>IF(T192="AIR",'Catalogue Aluminium'!$K$9,IF(T192="TRENCH",'Catalogue Aluminium'!$K$12,"NA"))</f>
        <v>0.89</v>
      </c>
      <c r="AJ192" s="392">
        <f>IF(T192="Air",(IF(U192="1C",'Catalogue Aluminium'!$L$9,'Catalogue Aluminium'!$M$9)),IF(T192="DUCT",(IF($U192="1C",'Catalogue Aluminium'!$L$10,'Catalogue Aluminium'!$M$10)),IF(T192="GROUND",(IF($U192="1C",'Catalogue Aluminium'!$L$11,'Catalogue Aluminium'!$M$11)),IF(T192="TRENCH",(IF($U192="1C",'Catalogue Aluminium'!$L$12,'Catalogue Aluminium'!$M$12))))))</f>
        <v>0.66</v>
      </c>
      <c r="AK192" s="393" t="str">
        <f>IF(T192="Air",'Catalogue Aluminium'!$N$9,IF(T192="GROUND",'Catalogue Aluminium'!$N$10,IF(T192="DUCT",'Catalogue Aluminium'!$N$11,IF(T192="TRENCH",'Catalogue Aluminium'!$N$12,"NA"))))</f>
        <v>NA</v>
      </c>
      <c r="AL192" s="393" t="str">
        <f>IF(T192="Air",(IF(U192="1C",'Catalogue Aluminium'!$O$9,'Catalogue Aluminium'!$P$9)),IF(T192="DUCT",(IF($U192="1C",'Catalogue Aluminium'!$O$10,'Catalogue Aluminium'!$P$10)),IF(T192="GROUND",(IF($U192="1C",'Catalogue Aluminium'!$O$11,'Catalogue Aluminium'!$P$11)),IF(T192="TRENCH",(IF($U192="1C",'Catalogue Aluminium'!$O$12,'Catalogue Aluminium'!$P$12))))))</f>
        <v>NA</v>
      </c>
      <c r="AM192" s="393" t="str">
        <f>IF(T192="AIR","NA",IF(T192="TRENCH","NA",IF(T192="DUCT",IF(U192="1C",VLOOKUP(V192,'Catalogue Aluminium'!$Q$9:$S$28,2,FALSE),VLOOKUP(V192,'Catalogue Aluminium'!$Q$9:$S$28,3)),IF(T192="GROUND",IF(U192="1C",VLOOKUP(V192,'Catalogue Aluminium'!$Q$9:$S$28,2,FALSE),VLOOKUP(V192,'Catalogue Aluminium'!$Q$9:$S$28,3))))))</f>
        <v>NA</v>
      </c>
      <c r="AN192" s="437">
        <f t="shared" ref="AN192" si="1554">IF(T192="AIR",AI192*AJ192,IF(T192="TRENCH",AI192*AJ192,IF(T192="DUCT",AJ192*AK192*AL192*AM192,IF(T192="GROUND",AJ192*AK192*AL192*AM192))))</f>
        <v>0.58740000000000003</v>
      </c>
      <c r="AO192" s="418">
        <f t="shared" ref="AO192" si="1555">Z192*AN192</f>
        <v>16.447200000000002</v>
      </c>
      <c r="AP192" s="434">
        <v>2</v>
      </c>
      <c r="AQ192" s="418" t="str">
        <f t="shared" ref="AQ192" si="1556">IF(AO192*AP192&gt;=N192,"YES","NO")</f>
        <v>YES</v>
      </c>
      <c r="AR192" s="437">
        <f t="shared" ref="AR192" si="1557">SQRT(3)*AH192*N192*((AA192*L192)+(AB192*SIN(ACOS(L192))))*100/(AP192*K192*1000)</f>
        <v>1.3517026494416311</v>
      </c>
      <c r="AS192" s="401" t="str">
        <f t="shared" ref="AS192" si="1558">IF(G192="INCOMER",(IF(AR192&lt;=2,"YES","NO")),IF(G192="POWER",(IF(AR192&lt;=2.5,"YES","NO")),IF(G192="MOTOR",(IF(AR192&lt;=3,"YES","NO")))))</f>
        <v>YES</v>
      </c>
      <c r="AT192" s="437" t="str">
        <f t="shared" si="1544"/>
        <v>NA</v>
      </c>
      <c r="AU192" s="401" t="str">
        <f t="shared" si="1545"/>
        <v>NA</v>
      </c>
      <c r="AV192" s="503" t="str">
        <f t="shared" si="1546"/>
        <v>2R x 0.6/1kV x 3C x 2.5 Sqmm</v>
      </c>
      <c r="AW192" s="503" t="str">
        <f t="shared" si="1547"/>
        <v>2R x 0.6/1kV x 3C x 2.5 Sqmm</v>
      </c>
      <c r="AX192" s="401">
        <f>(IF(K192=400,(IF(U192="1C",(4*AH192*AP192),(AH192*AP192))),IF(K192=230,(AH192*AP192))))</f>
        <v>822</v>
      </c>
      <c r="AY192" s="504"/>
      <c r="AZ192" s="504">
        <f>IF(U192="1C",(3*AP192*2),(AP192*2))</f>
        <v>4</v>
      </c>
      <c r="BA192" s="438" t="str">
        <f t="shared" si="1548"/>
        <v>ACDEE1E2E3</v>
      </c>
      <c r="BB192" s="505">
        <f>VLOOKUP(W192,'Catalogue Aluminium'!$B$9:$H$93,7,FALSE)</f>
        <v>14</v>
      </c>
      <c r="BC192" s="439">
        <f>AP192*BB192</f>
        <v>28</v>
      </c>
      <c r="BE192" s="336"/>
      <c r="BF192" s="336">
        <v>1</v>
      </c>
      <c r="BG192" s="336"/>
      <c r="BH192" s="336"/>
      <c r="BI192" s="336">
        <v>1</v>
      </c>
      <c r="BJ192" s="336">
        <v>1</v>
      </c>
      <c r="BK192" s="336"/>
      <c r="BL192" s="336"/>
      <c r="BM192" s="336"/>
      <c r="BN192" s="336">
        <v>1</v>
      </c>
      <c r="BO192" s="336"/>
      <c r="BP192" s="336">
        <v>1</v>
      </c>
      <c r="BQ192" s="336">
        <v>1</v>
      </c>
      <c r="BR192" s="336">
        <v>1</v>
      </c>
      <c r="BS192" s="336"/>
      <c r="BT192" s="336"/>
      <c r="BU192" s="336"/>
      <c r="BV192" s="336"/>
      <c r="BW192" s="336"/>
      <c r="BX192" s="336"/>
      <c r="BY192" s="336"/>
      <c r="BZ192" s="336"/>
      <c r="CA192" s="336"/>
      <c r="CB192" s="336"/>
      <c r="CC192" s="336"/>
      <c r="CD192" s="336"/>
      <c r="CE192" s="336"/>
      <c r="CF192" s="336"/>
      <c r="CG192" s="336"/>
      <c r="CH192" s="336"/>
      <c r="CI192" s="336"/>
      <c r="CJ192" s="336"/>
      <c r="CK192" s="336"/>
      <c r="CL192" s="336"/>
      <c r="CM192" s="336"/>
      <c r="CN192" s="336"/>
      <c r="CO192" s="336"/>
      <c r="CP192" s="336"/>
      <c r="CQ192" s="336"/>
      <c r="CR192" s="336"/>
      <c r="CS192" s="336"/>
      <c r="CT192" s="336"/>
      <c r="CU192" s="336"/>
      <c r="CV192" s="336"/>
      <c r="CW192" s="336"/>
      <c r="CX192" s="336"/>
      <c r="CY192" s="336"/>
      <c r="CZ192" s="336"/>
      <c r="DA192" s="336"/>
      <c r="DB192" s="336"/>
      <c r="DC192" s="336"/>
      <c r="DD192" s="336"/>
      <c r="DE192" s="336"/>
      <c r="DF192" s="336"/>
      <c r="DG192" s="336"/>
      <c r="DH192" s="336"/>
      <c r="DI192" s="336"/>
      <c r="DJ192" s="336"/>
      <c r="DK192" s="336"/>
      <c r="DL192" s="336"/>
      <c r="DM192" s="336"/>
      <c r="DN192" s="336"/>
      <c r="DO192" s="336"/>
      <c r="DP192" s="336"/>
      <c r="DQ192" s="336"/>
      <c r="DR192" s="336"/>
      <c r="DS192" s="336"/>
      <c r="DT192" s="336"/>
      <c r="DU192" s="336"/>
      <c r="DW192" s="336">
        <f t="shared" ref="DW192" si="1559">IF(BE192=1,($BC192*BE192),0)</f>
        <v>0</v>
      </c>
      <c r="DX192" s="336">
        <f t="shared" ref="DX192" si="1560">IF(BF192=1,($BC192*BF192),0)</f>
        <v>28</v>
      </c>
      <c r="DY192" s="336">
        <f t="shared" ref="DY192" si="1561">IF(BG192=1,($BC192*BG192),0)</f>
        <v>0</v>
      </c>
      <c r="DZ192" s="336">
        <f t="shared" ref="DZ192" si="1562">IF(BH192=1,($BC192*BH192),0)</f>
        <v>0</v>
      </c>
      <c r="EA192" s="336">
        <f t="shared" ref="EA192" si="1563">IF(BI192=1,($BC192*BI192),0)</f>
        <v>28</v>
      </c>
      <c r="EB192" s="336">
        <f t="shared" ref="EB192" si="1564">IF(BJ192=1,($BC192*BJ192),0)</f>
        <v>28</v>
      </c>
      <c r="EC192" s="336">
        <f t="shared" ref="EC192" si="1565">IF(BK192=1,($BC192*BK192),0)</f>
        <v>0</v>
      </c>
      <c r="ED192" s="336">
        <f t="shared" si="919"/>
        <v>0</v>
      </c>
      <c r="EE192" s="336">
        <f t="shared" si="920"/>
        <v>0</v>
      </c>
      <c r="EF192" s="336">
        <f t="shared" si="921"/>
        <v>28</v>
      </c>
      <c r="EG192" s="336">
        <f t="shared" si="922"/>
        <v>0</v>
      </c>
      <c r="EH192" s="336">
        <f t="shared" si="923"/>
        <v>28</v>
      </c>
      <c r="EI192" s="336">
        <f t="shared" si="924"/>
        <v>28</v>
      </c>
      <c r="EJ192" s="336">
        <f t="shared" si="925"/>
        <v>28</v>
      </c>
      <c r="EK192" s="336">
        <f t="shared" si="926"/>
        <v>0</v>
      </c>
      <c r="EL192" s="336">
        <f t="shared" si="927"/>
        <v>0</v>
      </c>
      <c r="EM192" s="336">
        <f t="shared" si="928"/>
        <v>0</v>
      </c>
      <c r="EN192" s="336">
        <f t="shared" si="929"/>
        <v>0</v>
      </c>
      <c r="EO192" s="336">
        <f t="shared" si="930"/>
        <v>0</v>
      </c>
      <c r="EP192" s="336">
        <f t="shared" si="931"/>
        <v>0</v>
      </c>
      <c r="EQ192" s="336">
        <f t="shared" si="932"/>
        <v>0</v>
      </c>
      <c r="ER192" s="336">
        <f t="shared" si="933"/>
        <v>0</v>
      </c>
      <c r="ES192" s="336">
        <f t="shared" si="934"/>
        <v>0</v>
      </c>
      <c r="ET192" s="336">
        <f t="shared" si="934"/>
        <v>0</v>
      </c>
      <c r="EU192" s="336">
        <f t="shared" si="935"/>
        <v>0</v>
      </c>
      <c r="EV192" s="336">
        <f t="shared" si="936"/>
        <v>0</v>
      </c>
      <c r="EW192" s="336">
        <f t="shared" si="937"/>
        <v>0</v>
      </c>
      <c r="EX192" s="336">
        <f t="shared" si="938"/>
        <v>0</v>
      </c>
      <c r="EY192" s="336">
        <f t="shared" si="939"/>
        <v>0</v>
      </c>
      <c r="EZ192" s="336">
        <f t="shared" si="940"/>
        <v>0</v>
      </c>
      <c r="FA192" s="336">
        <f t="shared" si="941"/>
        <v>0</v>
      </c>
      <c r="FB192" s="336">
        <f t="shared" si="942"/>
        <v>0</v>
      </c>
      <c r="FC192" s="336">
        <f t="shared" si="943"/>
        <v>0</v>
      </c>
      <c r="FD192" s="336">
        <f t="shared" si="944"/>
        <v>0</v>
      </c>
      <c r="FE192" s="336">
        <f t="shared" si="945"/>
        <v>0</v>
      </c>
      <c r="FF192" s="336">
        <f t="shared" si="946"/>
        <v>0</v>
      </c>
      <c r="FG192" s="336">
        <f t="shared" si="947"/>
        <v>0</v>
      </c>
      <c r="FH192" s="336">
        <f t="shared" si="948"/>
        <v>0</v>
      </c>
      <c r="FI192" s="336">
        <f t="shared" si="949"/>
        <v>0</v>
      </c>
      <c r="FJ192" s="336">
        <f t="shared" si="950"/>
        <v>0</v>
      </c>
      <c r="FK192" s="336">
        <f t="shared" si="951"/>
        <v>0</v>
      </c>
      <c r="FL192" s="336">
        <f t="shared" si="952"/>
        <v>0</v>
      </c>
      <c r="FM192" s="336">
        <f t="shared" si="953"/>
        <v>0</v>
      </c>
      <c r="FN192" s="336">
        <f t="shared" si="954"/>
        <v>0</v>
      </c>
      <c r="FO192" s="336">
        <f t="shared" si="955"/>
        <v>0</v>
      </c>
      <c r="FP192" s="336">
        <f t="shared" si="956"/>
        <v>0</v>
      </c>
      <c r="FQ192" s="336">
        <f t="shared" si="957"/>
        <v>0</v>
      </c>
      <c r="FR192" s="336">
        <f t="shared" si="958"/>
        <v>0</v>
      </c>
      <c r="FS192" s="336">
        <f t="shared" si="959"/>
        <v>0</v>
      </c>
      <c r="FT192" s="336">
        <f t="shared" si="960"/>
        <v>0</v>
      </c>
      <c r="FU192" s="336">
        <f t="shared" si="1525"/>
        <v>0</v>
      </c>
      <c r="FV192" s="336">
        <f t="shared" si="1526"/>
        <v>0</v>
      </c>
      <c r="FW192" s="336">
        <f t="shared" si="1527"/>
        <v>0</v>
      </c>
      <c r="FX192" s="336">
        <f t="shared" si="1528"/>
        <v>0</v>
      </c>
      <c r="FY192" s="336">
        <f t="shared" si="961"/>
        <v>0</v>
      </c>
      <c r="FZ192" s="336">
        <f t="shared" si="962"/>
        <v>0</v>
      </c>
      <c r="GA192" s="336">
        <f t="shared" si="963"/>
        <v>0</v>
      </c>
      <c r="GB192" s="336">
        <f t="shared" si="964"/>
        <v>0</v>
      </c>
      <c r="GC192" s="336">
        <f t="shared" si="965"/>
        <v>0</v>
      </c>
      <c r="GD192" s="336">
        <f t="shared" si="966"/>
        <v>0</v>
      </c>
      <c r="GE192" s="336">
        <f t="shared" si="967"/>
        <v>0</v>
      </c>
      <c r="GF192" s="336">
        <f t="shared" si="968"/>
        <v>0</v>
      </c>
      <c r="GG192" s="336">
        <f t="shared" si="969"/>
        <v>0</v>
      </c>
      <c r="GH192" s="336">
        <f t="shared" si="970"/>
        <v>0</v>
      </c>
      <c r="GI192" s="336">
        <f t="shared" si="971"/>
        <v>0</v>
      </c>
      <c r="GJ192" s="336">
        <f t="shared" si="972"/>
        <v>0</v>
      </c>
      <c r="GK192" s="336">
        <f t="shared" si="1469"/>
        <v>0</v>
      </c>
      <c r="GL192" s="336">
        <f>IF(DT192=1,($BC192*DT192),0)</f>
        <v>0</v>
      </c>
      <c r="GM192" s="336">
        <f t="shared" si="973"/>
        <v>0</v>
      </c>
    </row>
    <row r="193" spans="1:195" ht="20.100000000000001" customHeight="1">
      <c r="A193" s="337">
        <f t="shared" si="1549"/>
        <v>138</v>
      </c>
      <c r="B193" s="526" t="s">
        <v>1681</v>
      </c>
      <c r="C193" s="337" t="str">
        <f t="shared" si="1529"/>
        <v>EPMCC-1</v>
      </c>
      <c r="D193" s="372" t="s">
        <v>663</v>
      </c>
      <c r="E193" s="453" t="s">
        <v>345</v>
      </c>
      <c r="F193" s="337" t="s">
        <v>29</v>
      </c>
      <c r="G193" s="337" t="s">
        <v>350</v>
      </c>
      <c r="H193" s="418">
        <v>37</v>
      </c>
      <c r="I193" s="337" t="s">
        <v>330</v>
      </c>
      <c r="J193" s="337" t="s">
        <v>331</v>
      </c>
      <c r="K193" s="349">
        <v>400</v>
      </c>
      <c r="L193" s="343">
        <v>0.85</v>
      </c>
      <c r="M193" s="350">
        <v>0.95200000000000007</v>
      </c>
      <c r="N193" s="342">
        <f t="shared" si="1530"/>
        <v>65.999093564881449</v>
      </c>
      <c r="O193" s="342">
        <f t="shared" si="1293"/>
        <v>395.99456138928872</v>
      </c>
      <c r="P193" s="343">
        <f t="shared" si="1531"/>
        <v>0.2</v>
      </c>
      <c r="Q193" s="350">
        <v>50</v>
      </c>
      <c r="R193" s="350">
        <v>0</v>
      </c>
      <c r="S193" s="350">
        <f t="shared" si="1532"/>
        <v>0</v>
      </c>
      <c r="T193" s="343" t="s">
        <v>131</v>
      </c>
      <c r="U193" s="350" t="s">
        <v>333</v>
      </c>
      <c r="V193" s="343">
        <v>70</v>
      </c>
      <c r="W193" s="343" t="str">
        <f t="shared" si="1533"/>
        <v>3C X 70</v>
      </c>
      <c r="X193" s="343" t="str">
        <f t="shared" si="1534"/>
        <v>3C X 70+PE</v>
      </c>
      <c r="Y193" s="343" t="s">
        <v>358</v>
      </c>
      <c r="Z193" s="344">
        <f>IF(T193="AIR",VLOOKUP(W193,'Catalogue Aluminium'!$B$9:$G$93,2,FALSE),IF(T193="GROUND",VLOOKUP(W193,'Catalogue Aluminium'!$B$9:$G$93,3,FALSE),IF(T193="DUCT",VLOOKUP(W193,'Catalogue Aluminium'!$B$9:$G$93,4,FALSE),IF(T193="TRENCH",VLOOKUP(W193,'Catalogue Aluminium'!$B$9:$G$93,2,FALSE)))))</f>
        <v>177</v>
      </c>
      <c r="AA193" s="345">
        <f>VLOOKUP(W193,'Catalogue Aluminium'!$B$9:$G$93,5,FALSE)</f>
        <v>0.56699999999999995</v>
      </c>
      <c r="AB193" s="345">
        <f>VLOOKUP(W193,'Catalogue Aluminium'!$B$9:$G$93,6,FALSE)</f>
        <v>7.5200000000000003E-2</v>
      </c>
      <c r="AC193" s="457">
        <f>24+6</f>
        <v>30</v>
      </c>
      <c r="AD193" s="401">
        <f>40+50+38+50+17+(27+42+25)</f>
        <v>289</v>
      </c>
      <c r="AE193" s="401">
        <f t="shared" si="1536"/>
        <v>38</v>
      </c>
      <c r="AF193" s="401">
        <v>8</v>
      </c>
      <c r="AG193" s="401">
        <f t="shared" si="1537"/>
        <v>37</v>
      </c>
      <c r="AH193" s="347">
        <f t="shared" si="1538"/>
        <v>402</v>
      </c>
      <c r="AI193" s="344">
        <f>IF(T193="AIR",'Catalogue Aluminium'!$K$9,IF(T193="TRENCH",'Catalogue Aluminium'!$K$12,"NA"))</f>
        <v>0.89</v>
      </c>
      <c r="AJ193" s="342">
        <f>IF(T193="Air",(IF(U193="1C",'Catalogue Aluminium'!$L$9,'Catalogue Aluminium'!$M$9)),IF(T193="DUCT",(IF($U193="1C",'Catalogue Aluminium'!$L$10,'Catalogue Aluminium'!$M$10)),IF(T193="GROUND",(IF($U193="1C",'Catalogue Aluminium'!$L$11,'Catalogue Aluminium'!$M$11)),IF(T193="TRENCH",(IF($U193="1C",'Catalogue Aluminium'!$L$12,'Catalogue Aluminium'!$M$12))))))</f>
        <v>0.66</v>
      </c>
      <c r="AK193" s="344" t="str">
        <f>IF(T193="Air",'Catalogue Aluminium'!$N$9,IF(T193="GROUND",'Catalogue Aluminium'!$N$10,IF(T193="DUCT",'Catalogue Aluminium'!$N$11,IF(T193="TRENCH",'Catalogue Aluminium'!$N$12,"NA"))))</f>
        <v>NA</v>
      </c>
      <c r="AL193" s="344" t="str">
        <f>IF(T193="Air",(IF(U193="1C",'Catalogue Aluminium'!$O$9,'Catalogue Aluminium'!$P$9)),IF(T193="DUCT",(IF($U193="1C",'Catalogue Aluminium'!$O$10,'Catalogue Aluminium'!$P$10)),IF(T193="GROUND",(IF($U193="1C",'Catalogue Aluminium'!$O$11,'Catalogue Aluminium'!$P$11)),IF(T193="TRENCH",(IF($U193="1C",'Catalogue Aluminium'!$O$12,'Catalogue Aluminium'!$P$12))))))</f>
        <v>NA</v>
      </c>
      <c r="AM193" s="344" t="str">
        <f>IF(T193="AIR","NA",IF(T193="TRENCH","NA",IF(T193="DUCT",IF(U193="1C",VLOOKUP(V193,'Catalogue Aluminium'!$Q$9:$S$28,2,FALSE),VLOOKUP(V193,'Catalogue Aluminium'!$Q$9:$S$28,3)),IF(T193="GROUND",IF(U193="1C",VLOOKUP(V193,'Catalogue Aluminium'!$Q$9:$S$28,2,FALSE),VLOOKUP(V193,'Catalogue Aluminium'!$Q$9:$S$28,3))))))</f>
        <v>NA</v>
      </c>
      <c r="AN193" s="351">
        <f t="shared" si="1539"/>
        <v>0.58740000000000003</v>
      </c>
      <c r="AO193" s="350">
        <f t="shared" si="1540"/>
        <v>103.96980000000001</v>
      </c>
      <c r="AP193" s="349">
        <v>2</v>
      </c>
      <c r="AQ193" s="350" t="str">
        <f t="shared" si="1541"/>
        <v>YES</v>
      </c>
      <c r="AR193" s="351">
        <f t="shared" si="1542"/>
        <v>2.9960035261820703</v>
      </c>
      <c r="AS193" s="343" t="str">
        <f t="shared" si="1543"/>
        <v>YES</v>
      </c>
      <c r="AT193" s="351">
        <f t="shared" si="1544"/>
        <v>6.447847961306608</v>
      </c>
      <c r="AU193" s="343" t="str">
        <f t="shared" si="1545"/>
        <v>YES</v>
      </c>
      <c r="AV193" s="354" t="str">
        <f t="shared" si="1546"/>
        <v>2R x 0.6/1kV x 3C x 70 Sqmm</v>
      </c>
      <c r="AW193" s="354" t="str">
        <f t="shared" si="1547"/>
        <v>2R x 0.6/1kV x 3C x 70+PE Sqmm</v>
      </c>
      <c r="AX193" s="343">
        <f>(IF(K193=400,(IF(U193="1C",(4*AH193*AP193),(AH193*AP193))),IF(K193=230,(AH193*AP193))))</f>
        <v>804</v>
      </c>
      <c r="AY193" s="355"/>
      <c r="AZ193" s="355">
        <f>IF(U193="1C",(3*AP193*2),(AP193*2))</f>
        <v>4</v>
      </c>
      <c r="BA193" s="356" t="str">
        <f t="shared" si="1548"/>
        <v>ACDEE1E2E3</v>
      </c>
      <c r="BB193" s="501">
        <f>VLOOKUP(W193,'Catalogue Aluminium'!$B$9:$H$93,7,FALSE)</f>
        <v>30</v>
      </c>
      <c r="BC193" s="328">
        <f>AP193*BB193</f>
        <v>60</v>
      </c>
      <c r="BE193" s="336"/>
      <c r="BF193" s="336">
        <v>1</v>
      </c>
      <c r="BG193" s="336"/>
      <c r="BH193" s="336"/>
      <c r="BI193" s="336">
        <v>1</v>
      </c>
      <c r="BJ193" s="336">
        <v>1</v>
      </c>
      <c r="BK193" s="336"/>
      <c r="BL193" s="336"/>
      <c r="BM193" s="336"/>
      <c r="BN193" s="336">
        <v>1</v>
      </c>
      <c r="BO193" s="336"/>
      <c r="BP193" s="336">
        <v>1</v>
      </c>
      <c r="BQ193" s="336">
        <v>1</v>
      </c>
      <c r="BR193" s="336">
        <v>1</v>
      </c>
      <c r="BS193" s="336"/>
      <c r="BT193" s="336"/>
      <c r="BU193" s="336"/>
      <c r="BV193" s="336"/>
      <c r="BW193" s="336"/>
      <c r="BX193" s="336"/>
      <c r="BY193" s="336"/>
      <c r="BZ193" s="336"/>
      <c r="CA193" s="336"/>
      <c r="CB193" s="336"/>
      <c r="CC193" s="336"/>
      <c r="CD193" s="336"/>
      <c r="CE193" s="336"/>
      <c r="CF193" s="336"/>
      <c r="CG193" s="336"/>
      <c r="CH193" s="336"/>
      <c r="CI193" s="336"/>
      <c r="CJ193" s="336"/>
      <c r="CK193" s="336"/>
      <c r="CL193" s="336"/>
      <c r="CM193" s="336"/>
      <c r="CN193" s="336"/>
      <c r="CO193" s="336"/>
      <c r="CP193" s="336"/>
      <c r="CQ193" s="336"/>
      <c r="CR193" s="336"/>
      <c r="CS193" s="336"/>
      <c r="CT193" s="336"/>
      <c r="CU193" s="336"/>
      <c r="CV193" s="336"/>
      <c r="CW193" s="336"/>
      <c r="CX193" s="336"/>
      <c r="CY193" s="336"/>
      <c r="CZ193" s="336"/>
      <c r="DA193" s="336"/>
      <c r="DB193" s="336"/>
      <c r="DC193" s="336"/>
      <c r="DD193" s="336"/>
      <c r="DE193" s="336"/>
      <c r="DF193" s="336"/>
      <c r="DG193" s="336"/>
      <c r="DH193" s="336"/>
      <c r="DI193" s="336"/>
      <c r="DJ193" s="336"/>
      <c r="DK193" s="336"/>
      <c r="DL193" s="336"/>
      <c r="DM193" s="336"/>
      <c r="DN193" s="336"/>
      <c r="DO193" s="336"/>
      <c r="DP193" s="336"/>
      <c r="DQ193" s="336"/>
      <c r="DR193" s="336"/>
      <c r="DS193" s="336"/>
      <c r="DT193" s="336"/>
      <c r="DU193" s="336"/>
      <c r="DW193" s="336">
        <f t="shared" si="1012"/>
        <v>0</v>
      </c>
      <c r="DX193" s="336">
        <f t="shared" si="1004"/>
        <v>60</v>
      </c>
      <c r="DY193" s="336">
        <f t="shared" si="1005"/>
        <v>0</v>
      </c>
      <c r="DZ193" s="336">
        <f t="shared" si="1006"/>
        <v>0</v>
      </c>
      <c r="EA193" s="336">
        <f t="shared" si="1007"/>
        <v>60</v>
      </c>
      <c r="EB193" s="336">
        <f t="shared" si="1008"/>
        <v>60</v>
      </c>
      <c r="EC193" s="336">
        <f t="shared" si="1009"/>
        <v>0</v>
      </c>
      <c r="ED193" s="336">
        <f t="shared" si="919"/>
        <v>0</v>
      </c>
      <c r="EE193" s="336">
        <f t="shared" si="920"/>
        <v>0</v>
      </c>
      <c r="EF193" s="336">
        <f t="shared" si="921"/>
        <v>60</v>
      </c>
      <c r="EG193" s="336">
        <f t="shared" si="922"/>
        <v>0</v>
      </c>
      <c r="EH193" s="336">
        <f t="shared" si="923"/>
        <v>60</v>
      </c>
      <c r="EI193" s="336">
        <f t="shared" si="924"/>
        <v>60</v>
      </c>
      <c r="EJ193" s="336">
        <f t="shared" si="925"/>
        <v>60</v>
      </c>
      <c r="EK193" s="336">
        <f t="shared" si="926"/>
        <v>0</v>
      </c>
      <c r="EL193" s="336">
        <f t="shared" si="927"/>
        <v>0</v>
      </c>
      <c r="EM193" s="336">
        <f t="shared" si="928"/>
        <v>0</v>
      </c>
      <c r="EN193" s="336">
        <f t="shared" si="929"/>
        <v>0</v>
      </c>
      <c r="EO193" s="336">
        <f t="shared" si="930"/>
        <v>0</v>
      </c>
      <c r="EP193" s="336">
        <f t="shared" si="931"/>
        <v>0</v>
      </c>
      <c r="EQ193" s="336">
        <f t="shared" si="932"/>
        <v>0</v>
      </c>
      <c r="ER193" s="336">
        <f t="shared" si="933"/>
        <v>0</v>
      </c>
      <c r="ES193" s="336">
        <f t="shared" si="934"/>
        <v>0</v>
      </c>
      <c r="ET193" s="336">
        <f t="shared" si="934"/>
        <v>0</v>
      </c>
      <c r="EU193" s="336">
        <f t="shared" si="935"/>
        <v>0</v>
      </c>
      <c r="EV193" s="336">
        <f t="shared" si="936"/>
        <v>0</v>
      </c>
      <c r="EW193" s="336">
        <f t="shared" si="937"/>
        <v>0</v>
      </c>
      <c r="EX193" s="336">
        <f t="shared" si="938"/>
        <v>0</v>
      </c>
      <c r="EY193" s="336">
        <f t="shared" si="939"/>
        <v>0</v>
      </c>
      <c r="EZ193" s="336">
        <f t="shared" si="940"/>
        <v>0</v>
      </c>
      <c r="FA193" s="336">
        <f t="shared" si="941"/>
        <v>0</v>
      </c>
      <c r="FB193" s="336">
        <f t="shared" si="942"/>
        <v>0</v>
      </c>
      <c r="FC193" s="336">
        <f t="shared" si="943"/>
        <v>0</v>
      </c>
      <c r="FD193" s="336">
        <f t="shared" si="944"/>
        <v>0</v>
      </c>
      <c r="FE193" s="336">
        <f t="shared" si="945"/>
        <v>0</v>
      </c>
      <c r="FF193" s="336">
        <f t="shared" si="946"/>
        <v>0</v>
      </c>
      <c r="FG193" s="336">
        <f t="shared" si="947"/>
        <v>0</v>
      </c>
      <c r="FH193" s="336">
        <f t="shared" si="948"/>
        <v>0</v>
      </c>
      <c r="FI193" s="336">
        <f t="shared" si="949"/>
        <v>0</v>
      </c>
      <c r="FJ193" s="336">
        <f t="shared" si="950"/>
        <v>0</v>
      </c>
      <c r="FK193" s="336">
        <f t="shared" si="951"/>
        <v>0</v>
      </c>
      <c r="FL193" s="336">
        <f t="shared" si="952"/>
        <v>0</v>
      </c>
      <c r="FM193" s="336">
        <f t="shared" si="953"/>
        <v>0</v>
      </c>
      <c r="FN193" s="336">
        <f t="shared" si="954"/>
        <v>0</v>
      </c>
      <c r="FO193" s="336">
        <f t="shared" si="955"/>
        <v>0</v>
      </c>
      <c r="FP193" s="336">
        <f t="shared" si="956"/>
        <v>0</v>
      </c>
      <c r="FQ193" s="336">
        <f t="shared" si="957"/>
        <v>0</v>
      </c>
      <c r="FR193" s="336">
        <f t="shared" si="958"/>
        <v>0</v>
      </c>
      <c r="FS193" s="336">
        <f t="shared" si="959"/>
        <v>0</v>
      </c>
      <c r="FT193" s="336">
        <f t="shared" si="960"/>
        <v>0</v>
      </c>
      <c r="FU193" s="336">
        <f t="shared" si="1525"/>
        <v>0</v>
      </c>
      <c r="FV193" s="336">
        <f t="shared" si="1526"/>
        <v>0</v>
      </c>
      <c r="FW193" s="336">
        <f t="shared" si="1527"/>
        <v>0</v>
      </c>
      <c r="FX193" s="336">
        <f t="shared" si="1528"/>
        <v>0</v>
      </c>
      <c r="FY193" s="336">
        <f t="shared" si="961"/>
        <v>0</v>
      </c>
      <c r="FZ193" s="336">
        <f t="shared" si="962"/>
        <v>0</v>
      </c>
      <c r="GA193" s="336">
        <f t="shared" si="963"/>
        <v>0</v>
      </c>
      <c r="GB193" s="336">
        <f t="shared" si="964"/>
        <v>0</v>
      </c>
      <c r="GC193" s="336">
        <f t="shared" si="965"/>
        <v>0</v>
      </c>
      <c r="GD193" s="336">
        <f t="shared" si="966"/>
        <v>0</v>
      </c>
      <c r="GE193" s="336">
        <f t="shared" si="967"/>
        <v>0</v>
      </c>
      <c r="GF193" s="336">
        <f t="shared" si="968"/>
        <v>0</v>
      </c>
      <c r="GG193" s="336">
        <f t="shared" si="969"/>
        <v>0</v>
      </c>
      <c r="GH193" s="336">
        <f t="shared" si="970"/>
        <v>0</v>
      </c>
      <c r="GI193" s="336">
        <f t="shared" si="971"/>
        <v>0</v>
      </c>
      <c r="GJ193" s="336">
        <f t="shared" si="972"/>
        <v>0</v>
      </c>
      <c r="GK193" s="336">
        <f t="shared" si="1469"/>
        <v>0</v>
      </c>
      <c r="GL193" s="336">
        <f>IF(DT193=1,($BC193*DT193),0)</f>
        <v>0</v>
      </c>
      <c r="GM193" s="336">
        <f t="shared" si="973"/>
        <v>0</v>
      </c>
    </row>
    <row r="194" spans="1:195" ht="20.100000000000001" customHeight="1">
      <c r="A194" s="388">
        <f t="shared" si="1549"/>
        <v>139</v>
      </c>
      <c r="B194" s="506" t="s">
        <v>527</v>
      </c>
      <c r="C194" s="388" t="str">
        <f t="shared" si="1529"/>
        <v>EPMCC-1</v>
      </c>
      <c r="D194" s="338" t="s">
        <v>664</v>
      </c>
      <c r="E194" s="454" t="s">
        <v>345</v>
      </c>
      <c r="F194" s="388" t="s">
        <v>29</v>
      </c>
      <c r="G194" s="388" t="s">
        <v>329</v>
      </c>
      <c r="H194" s="396">
        <v>0.2</v>
      </c>
      <c r="I194" s="388" t="s">
        <v>330</v>
      </c>
      <c r="J194" s="388" t="s">
        <v>357</v>
      </c>
      <c r="K194" s="434">
        <v>230</v>
      </c>
      <c r="L194" s="401">
        <v>0.85</v>
      </c>
      <c r="M194" s="418">
        <v>0.95</v>
      </c>
      <c r="N194" s="392">
        <f t="shared" si="1530"/>
        <v>1.0768609503297888</v>
      </c>
      <c r="O194" s="392">
        <f t="shared" ref="O194" si="1566">IF(G194="MOTOR",(6*N194),IF(G194="VFD",(1*N194),0))</f>
        <v>0</v>
      </c>
      <c r="P194" s="401" t="str">
        <f t="shared" si="1531"/>
        <v>0.00</v>
      </c>
      <c r="Q194" s="418">
        <v>65</v>
      </c>
      <c r="R194" s="418">
        <v>0</v>
      </c>
      <c r="S194" s="418">
        <f t="shared" si="1532"/>
        <v>0</v>
      </c>
      <c r="T194" s="401" t="s">
        <v>131</v>
      </c>
      <c r="U194" s="418" t="s">
        <v>333</v>
      </c>
      <c r="V194" s="401">
        <v>2.5</v>
      </c>
      <c r="W194" s="401" t="str">
        <f t="shared" si="1533"/>
        <v>3C X 2.5</v>
      </c>
      <c r="X194" s="401" t="str">
        <f t="shared" ref="X194" si="1567">(IF(J194="1Ph",W194,IF(J194="3Ph",(IF(G194="MOTOR",(CONCATENATE(W194,"+PE")),W194)))))</f>
        <v>3C X 2.5</v>
      </c>
      <c r="Y194" s="401" t="s">
        <v>358</v>
      </c>
      <c r="Z194" s="393">
        <f>IF(T194="AIR",VLOOKUP(W194,'Catalogue Aluminium'!$B$9:$G$93,2,FALSE),IF(T194="GROUND",VLOOKUP(W194,'Catalogue Aluminium'!$B$9:$G$93,3,FALSE),IF(T194="DUCT",VLOOKUP(W194,'Catalogue Aluminium'!$B$9:$G$93,4,FALSE),IF(T194="TRENCH",VLOOKUP(W194,'Catalogue Aluminium'!$B$9:$G$93,2,FALSE)))))</f>
        <v>28</v>
      </c>
      <c r="AA194" s="402">
        <f>VLOOKUP(W194,'Catalogue Aluminium'!$B$9:$G$93,5,FALSE)</f>
        <v>9.48</v>
      </c>
      <c r="AB194" s="402">
        <f>VLOOKUP(W194,'Catalogue Aluminium'!$B$9:$G$93,6,FALSE)</f>
        <v>0.1007</v>
      </c>
      <c r="AC194" s="457">
        <f>24+6</f>
        <v>30</v>
      </c>
      <c r="AD194" s="401">
        <f>40+50+38+50+17+(27+42+25)</f>
        <v>289</v>
      </c>
      <c r="AE194" s="401">
        <f t="shared" si="1536"/>
        <v>38</v>
      </c>
      <c r="AF194" s="401">
        <v>8</v>
      </c>
      <c r="AG194" s="401">
        <f t="shared" ref="AG194" si="1568">ROUNDUP((SUM(AC194:AF194)*0.1),0)</f>
        <v>37</v>
      </c>
      <c r="AH194" s="436">
        <f t="shared" ref="AH194" si="1569">SUM(AC194:AG194)</f>
        <v>402</v>
      </c>
      <c r="AI194" s="393">
        <f>IF(T194="AIR",'Catalogue Aluminium'!$K$9,IF(T194="TRENCH",'Catalogue Aluminium'!$K$12,"NA"))</f>
        <v>0.89</v>
      </c>
      <c r="AJ194" s="392">
        <f>IF(T194="Air",(IF(U194="1C",'Catalogue Aluminium'!$L$9,'Catalogue Aluminium'!$M$9)),IF(T194="DUCT",(IF($U194="1C",'Catalogue Aluminium'!$L$10,'Catalogue Aluminium'!$M$10)),IF(T194="GROUND",(IF($U194="1C",'Catalogue Aluminium'!$L$11,'Catalogue Aluminium'!$M$11)),IF(T194="TRENCH",(IF($U194="1C",'Catalogue Aluminium'!$L$12,'Catalogue Aluminium'!$M$12))))))</f>
        <v>0.66</v>
      </c>
      <c r="AK194" s="393" t="str">
        <f>IF(T194="Air",'Catalogue Aluminium'!$N$9,IF(T194="GROUND",'Catalogue Aluminium'!$N$10,IF(T194="DUCT",'Catalogue Aluminium'!$N$11,IF(T194="TRENCH",'Catalogue Aluminium'!$N$12,"NA"))))</f>
        <v>NA</v>
      </c>
      <c r="AL194" s="393" t="str">
        <f>IF(T194="Air",(IF(U194="1C",'Catalogue Aluminium'!$O$9,'Catalogue Aluminium'!$P$9)),IF(T194="DUCT",(IF($U194="1C",'Catalogue Aluminium'!$O$10,'Catalogue Aluminium'!$P$10)),IF(T194="GROUND",(IF($U194="1C",'Catalogue Aluminium'!$O$11,'Catalogue Aluminium'!$P$11)),IF(T194="TRENCH",(IF($U194="1C",'Catalogue Aluminium'!$O$12,'Catalogue Aluminium'!$P$12))))))</f>
        <v>NA</v>
      </c>
      <c r="AM194" s="393" t="str">
        <f>IF(T194="AIR","NA",IF(T194="TRENCH","NA",IF(T194="DUCT",IF(U194="1C",VLOOKUP(V194,'Catalogue Aluminium'!$Q$9:$S$28,2,FALSE),VLOOKUP(V194,'Catalogue Aluminium'!$Q$9:$S$28,3)),IF(T194="GROUND",IF(U194="1C",VLOOKUP(V194,'Catalogue Aluminium'!$Q$9:$S$28,2,FALSE),VLOOKUP(V194,'Catalogue Aluminium'!$Q$9:$S$28,3))))))</f>
        <v>NA</v>
      </c>
      <c r="AN194" s="437">
        <f t="shared" ref="AN194" si="1570">IF(T194="AIR",AI194*AJ194,IF(T194="TRENCH",AI194*AJ194,IF(T194="DUCT",AJ194*AK194*AL194*AM194,IF(T194="GROUND",AJ194*AK194*AL194*AM194))))</f>
        <v>0.58740000000000003</v>
      </c>
      <c r="AO194" s="418">
        <f t="shared" ref="AO194" si="1571">Z194*AN194</f>
        <v>16.447200000000002</v>
      </c>
      <c r="AP194" s="434">
        <v>2</v>
      </c>
      <c r="AQ194" s="418" t="str">
        <f t="shared" ref="AQ194" si="1572">IF(AO194*AP194&gt;=N194,"YES","NO")</f>
        <v>YES</v>
      </c>
      <c r="AR194" s="437">
        <f t="shared" ref="AR194" si="1573">SQRT(3)*AH194*N194*((AA194*L194)+(AB194*SIN(ACOS(L194))))*100/(AP194*K194*1000)</f>
        <v>1.3221033213516682</v>
      </c>
      <c r="AS194" s="401" t="str">
        <f t="shared" ref="AS194" si="1574">IF(G194="INCOMER",(IF(AR194&lt;=2,"YES","NO")),IF(G194="POWER",(IF(AR194&lt;=2.5,"YES","NO")),IF(G194="MOTOR",(IF(AR194&lt;=3,"YES","NO")))))</f>
        <v>YES</v>
      </c>
      <c r="AT194" s="437" t="str">
        <f t="shared" si="1544"/>
        <v>NA</v>
      </c>
      <c r="AU194" s="401" t="str">
        <f t="shared" si="1545"/>
        <v>NA</v>
      </c>
      <c r="AV194" s="503" t="str">
        <f t="shared" si="1546"/>
        <v>2R x 0.6/1kV x 3C x 2.5 Sqmm</v>
      </c>
      <c r="AW194" s="503" t="str">
        <f t="shared" si="1547"/>
        <v>2R x 0.6/1kV x 3C x 2.5 Sqmm</v>
      </c>
      <c r="AX194" s="401">
        <f>(IF(K194=400,(IF(U194="1C",(4*AH194*AP194),(AH194*AP194))),IF(K194=230,(AH194*AP194))))</f>
        <v>804</v>
      </c>
      <c r="AY194" s="504"/>
      <c r="AZ194" s="504">
        <f>IF(U194="1C",(3*AP194*2),(AP194*2))</f>
        <v>4</v>
      </c>
      <c r="BA194" s="438" t="str">
        <f t="shared" si="1548"/>
        <v>ACDEE1E2E3</v>
      </c>
      <c r="BB194" s="505">
        <f>VLOOKUP(W194,'Catalogue Aluminium'!$B$9:$H$93,7,FALSE)</f>
        <v>14</v>
      </c>
      <c r="BC194" s="439">
        <f>AP194*BB194</f>
        <v>28</v>
      </c>
      <c r="BE194" s="336"/>
      <c r="BF194" s="336">
        <v>1</v>
      </c>
      <c r="BG194" s="336"/>
      <c r="BH194" s="336"/>
      <c r="BI194" s="336">
        <v>1</v>
      </c>
      <c r="BJ194" s="336">
        <v>1</v>
      </c>
      <c r="BK194" s="336"/>
      <c r="BL194" s="336"/>
      <c r="BM194" s="336"/>
      <c r="BN194" s="336">
        <v>1</v>
      </c>
      <c r="BO194" s="336"/>
      <c r="BP194" s="336">
        <v>1</v>
      </c>
      <c r="BQ194" s="336">
        <v>1</v>
      </c>
      <c r="BR194" s="336">
        <v>1</v>
      </c>
      <c r="BS194" s="336"/>
      <c r="BT194" s="336"/>
      <c r="BU194" s="336"/>
      <c r="BV194" s="336"/>
      <c r="BW194" s="336"/>
      <c r="BX194" s="336"/>
      <c r="BY194" s="336"/>
      <c r="BZ194" s="336"/>
      <c r="CA194" s="336"/>
      <c r="CB194" s="336"/>
      <c r="CC194" s="336"/>
      <c r="CD194" s="336"/>
      <c r="CE194" s="336"/>
      <c r="CF194" s="336"/>
      <c r="CG194" s="336"/>
      <c r="CH194" s="336"/>
      <c r="CI194" s="336"/>
      <c r="CJ194" s="336"/>
      <c r="CK194" s="336"/>
      <c r="CL194" s="336"/>
      <c r="CM194" s="336"/>
      <c r="CN194" s="336"/>
      <c r="CO194" s="336"/>
      <c r="CP194" s="336"/>
      <c r="CQ194" s="336"/>
      <c r="CR194" s="336"/>
      <c r="CS194" s="336"/>
      <c r="CT194" s="336"/>
      <c r="CU194" s="336"/>
      <c r="CV194" s="336"/>
      <c r="CW194" s="336"/>
      <c r="CX194" s="336"/>
      <c r="CY194" s="336"/>
      <c r="CZ194" s="336"/>
      <c r="DA194" s="336"/>
      <c r="DB194" s="336"/>
      <c r="DC194" s="336"/>
      <c r="DD194" s="336"/>
      <c r="DE194" s="336"/>
      <c r="DF194" s="336"/>
      <c r="DG194" s="336"/>
      <c r="DH194" s="336"/>
      <c r="DI194" s="336"/>
      <c r="DJ194" s="336"/>
      <c r="DK194" s="336"/>
      <c r="DL194" s="336"/>
      <c r="DM194" s="336"/>
      <c r="DN194" s="336"/>
      <c r="DO194" s="336"/>
      <c r="DP194" s="336"/>
      <c r="DQ194" s="336"/>
      <c r="DR194" s="336"/>
      <c r="DS194" s="336"/>
      <c r="DT194" s="336"/>
      <c r="DU194" s="336"/>
      <c r="DW194" s="336">
        <f t="shared" ref="DW194" si="1575">IF(BE194=1,($BC194*BE194),0)</f>
        <v>0</v>
      </c>
      <c r="DX194" s="336">
        <f t="shared" ref="DX194" si="1576">IF(BF194=1,($BC194*BF194),0)</f>
        <v>28</v>
      </c>
      <c r="DY194" s="336">
        <f t="shared" ref="DY194" si="1577">IF(BG194=1,($BC194*BG194),0)</f>
        <v>0</v>
      </c>
      <c r="DZ194" s="336">
        <f t="shared" ref="DZ194" si="1578">IF(BH194=1,($BC194*BH194),0)</f>
        <v>0</v>
      </c>
      <c r="EA194" s="336">
        <f t="shared" ref="EA194" si="1579">IF(BI194=1,($BC194*BI194),0)</f>
        <v>28</v>
      </c>
      <c r="EB194" s="336">
        <f t="shared" ref="EB194" si="1580">IF(BJ194=1,($BC194*BJ194),0)</f>
        <v>28</v>
      </c>
      <c r="EC194" s="336">
        <f t="shared" ref="EC194" si="1581">IF(BK194=1,($BC194*BK194),0)</f>
        <v>0</v>
      </c>
      <c r="ED194" s="336">
        <f t="shared" si="919"/>
        <v>0</v>
      </c>
      <c r="EE194" s="336">
        <f t="shared" si="920"/>
        <v>0</v>
      </c>
      <c r="EF194" s="336">
        <f t="shared" si="921"/>
        <v>28</v>
      </c>
      <c r="EG194" s="336">
        <f t="shared" si="922"/>
        <v>0</v>
      </c>
      <c r="EH194" s="336">
        <f t="shared" si="923"/>
        <v>28</v>
      </c>
      <c r="EI194" s="336">
        <f t="shared" si="924"/>
        <v>28</v>
      </c>
      <c r="EJ194" s="336">
        <f t="shared" si="925"/>
        <v>28</v>
      </c>
      <c r="EK194" s="336">
        <f t="shared" si="926"/>
        <v>0</v>
      </c>
      <c r="EL194" s="336">
        <f t="shared" si="927"/>
        <v>0</v>
      </c>
      <c r="EM194" s="336">
        <f t="shared" si="928"/>
        <v>0</v>
      </c>
      <c r="EN194" s="336">
        <f t="shared" si="929"/>
        <v>0</v>
      </c>
      <c r="EO194" s="336">
        <f t="shared" si="930"/>
        <v>0</v>
      </c>
      <c r="EP194" s="336">
        <f t="shared" si="931"/>
        <v>0</v>
      </c>
      <c r="EQ194" s="336">
        <f t="shared" si="932"/>
        <v>0</v>
      </c>
      <c r="ER194" s="336">
        <f t="shared" si="933"/>
        <v>0</v>
      </c>
      <c r="ES194" s="336">
        <f t="shared" si="934"/>
        <v>0</v>
      </c>
      <c r="ET194" s="336">
        <f t="shared" si="934"/>
        <v>0</v>
      </c>
      <c r="EU194" s="336">
        <f t="shared" si="935"/>
        <v>0</v>
      </c>
      <c r="EV194" s="336">
        <f t="shared" si="936"/>
        <v>0</v>
      </c>
      <c r="EW194" s="336">
        <f t="shared" si="937"/>
        <v>0</v>
      </c>
      <c r="EX194" s="336">
        <f t="shared" si="938"/>
        <v>0</v>
      </c>
      <c r="EY194" s="336">
        <f t="shared" si="939"/>
        <v>0</v>
      </c>
      <c r="EZ194" s="336">
        <f t="shared" si="940"/>
        <v>0</v>
      </c>
      <c r="FA194" s="336">
        <f t="shared" si="941"/>
        <v>0</v>
      </c>
      <c r="FB194" s="336">
        <f t="shared" si="942"/>
        <v>0</v>
      </c>
      <c r="FC194" s="336">
        <f t="shared" si="943"/>
        <v>0</v>
      </c>
      <c r="FD194" s="336">
        <f t="shared" si="944"/>
        <v>0</v>
      </c>
      <c r="FE194" s="336">
        <f t="shared" si="945"/>
        <v>0</v>
      </c>
      <c r="FF194" s="336">
        <f t="shared" si="946"/>
        <v>0</v>
      </c>
      <c r="FG194" s="336">
        <f t="shared" si="947"/>
        <v>0</v>
      </c>
      <c r="FH194" s="336">
        <f t="shared" si="948"/>
        <v>0</v>
      </c>
      <c r="FI194" s="336">
        <f t="shared" si="949"/>
        <v>0</v>
      </c>
      <c r="FJ194" s="336">
        <f t="shared" si="950"/>
        <v>0</v>
      </c>
      <c r="FK194" s="336">
        <f t="shared" si="951"/>
        <v>0</v>
      </c>
      <c r="FL194" s="336">
        <f t="shared" si="952"/>
        <v>0</v>
      </c>
      <c r="FM194" s="336">
        <f t="shared" si="953"/>
        <v>0</v>
      </c>
      <c r="FN194" s="336">
        <f t="shared" si="954"/>
        <v>0</v>
      </c>
      <c r="FO194" s="336">
        <f t="shared" si="955"/>
        <v>0</v>
      </c>
      <c r="FP194" s="336">
        <f t="shared" si="956"/>
        <v>0</v>
      </c>
      <c r="FQ194" s="336">
        <f t="shared" si="957"/>
        <v>0</v>
      </c>
      <c r="FR194" s="336">
        <f t="shared" si="958"/>
        <v>0</v>
      </c>
      <c r="FS194" s="336">
        <f t="shared" si="959"/>
        <v>0</v>
      </c>
      <c r="FT194" s="336">
        <f t="shared" si="960"/>
        <v>0</v>
      </c>
      <c r="FU194" s="336">
        <f t="shared" si="1525"/>
        <v>0</v>
      </c>
      <c r="FV194" s="336">
        <f t="shared" si="1526"/>
        <v>0</v>
      </c>
      <c r="FW194" s="336">
        <f t="shared" si="1527"/>
        <v>0</v>
      </c>
      <c r="FX194" s="336">
        <f t="shared" si="1528"/>
        <v>0</v>
      </c>
      <c r="FY194" s="336">
        <f t="shared" si="961"/>
        <v>0</v>
      </c>
      <c r="FZ194" s="336">
        <f t="shared" si="962"/>
        <v>0</v>
      </c>
      <c r="GA194" s="336">
        <f t="shared" si="963"/>
        <v>0</v>
      </c>
      <c r="GB194" s="336">
        <f t="shared" si="964"/>
        <v>0</v>
      </c>
      <c r="GC194" s="336">
        <f t="shared" si="965"/>
        <v>0</v>
      </c>
      <c r="GD194" s="336">
        <f t="shared" si="966"/>
        <v>0</v>
      </c>
      <c r="GE194" s="336">
        <f t="shared" si="967"/>
        <v>0</v>
      </c>
      <c r="GF194" s="336">
        <f t="shared" si="968"/>
        <v>0</v>
      </c>
      <c r="GG194" s="336">
        <f t="shared" si="969"/>
        <v>0</v>
      </c>
      <c r="GH194" s="336">
        <f t="shared" si="970"/>
        <v>0</v>
      </c>
      <c r="GI194" s="336">
        <f t="shared" si="971"/>
        <v>0</v>
      </c>
      <c r="GJ194" s="336">
        <f t="shared" si="972"/>
        <v>0</v>
      </c>
      <c r="GK194" s="336">
        <f t="shared" si="1469"/>
        <v>0</v>
      </c>
      <c r="GL194" s="336">
        <f>IF(DT194=1,($BC194*DT194),0)</f>
        <v>0</v>
      </c>
      <c r="GM194" s="336">
        <f t="shared" si="973"/>
        <v>0</v>
      </c>
    </row>
    <row r="195" spans="1:195" s="83" customFormat="1" ht="21.75" hidden="1" customHeight="1">
      <c r="A195" s="357" t="s">
        <v>334</v>
      </c>
      <c r="B195" s="562" t="s">
        <v>527</v>
      </c>
      <c r="C195" s="357" t="str">
        <f t="shared" si="1529"/>
        <v>EPMCC-1</v>
      </c>
      <c r="D195" s="395" t="s">
        <v>553</v>
      </c>
      <c r="E195" s="421" t="s">
        <v>345</v>
      </c>
      <c r="F195" s="357" t="s">
        <v>28</v>
      </c>
      <c r="G195" s="357" t="s">
        <v>350</v>
      </c>
      <c r="H195" s="352">
        <v>2.2000000000000002</v>
      </c>
      <c r="I195" s="357" t="s">
        <v>330</v>
      </c>
      <c r="J195" s="357" t="s">
        <v>331</v>
      </c>
      <c r="K195" s="353">
        <v>400</v>
      </c>
      <c r="L195" s="360">
        <v>0.8</v>
      </c>
      <c r="M195" s="352">
        <v>0.86699999999999999</v>
      </c>
      <c r="N195" s="359">
        <f t="shared" si="1530"/>
        <v>4.5783154995458304</v>
      </c>
      <c r="O195" s="359">
        <f t="shared" si="1293"/>
        <v>27.469892997274982</v>
      </c>
      <c r="P195" s="360">
        <f t="shared" si="1531"/>
        <v>0.2</v>
      </c>
      <c r="Q195" s="352">
        <v>50</v>
      </c>
      <c r="R195" s="352">
        <v>0</v>
      </c>
      <c r="S195" s="352">
        <f t="shared" si="1532"/>
        <v>0</v>
      </c>
      <c r="T195" s="360" t="s">
        <v>131</v>
      </c>
      <c r="U195" s="352" t="s">
        <v>333</v>
      </c>
      <c r="V195" s="360">
        <v>16</v>
      </c>
      <c r="W195" s="360" t="str">
        <f t="shared" si="1533"/>
        <v>3C X 16</v>
      </c>
      <c r="X195" s="360" t="str">
        <f t="shared" si="1534"/>
        <v>3C X 16+PE</v>
      </c>
      <c r="Y195" s="360" t="s">
        <v>358</v>
      </c>
      <c r="Z195" s="361">
        <f>IF(T195="AIR",VLOOKUP(W195,'Catalogue Aluminium'!$B$9:$G$93,2,FALSE),IF(T195="GROUND",VLOOKUP(W195,'Catalogue Aluminium'!$B$9:$G$93,3,FALSE),IF(T195="DUCT",VLOOKUP(W195,'Catalogue Aluminium'!$B$9:$G$93,4,FALSE),IF(T195="TRENCH",VLOOKUP(W195,'Catalogue Aluminium'!$B$9:$G$93,2,FALSE)))))</f>
        <v>70</v>
      </c>
      <c r="AA195" s="362">
        <f>VLOOKUP(W195,'Catalogue Aluminium'!$B$9:$G$93,5,FALSE)</f>
        <v>2.44</v>
      </c>
      <c r="AB195" s="362">
        <f>VLOOKUP(W195,'Catalogue Aluminium'!$B$9:$G$93,6,FALSE)</f>
        <v>8.1500000000000003E-2</v>
      </c>
      <c r="AC195" s="564">
        <f>28+7</f>
        <v>35</v>
      </c>
      <c r="AD195" s="360">
        <f t="shared" ref="AD195" si="1582">11+34+48+35+30+11+24+(15+18+26+20+3+15)</f>
        <v>290</v>
      </c>
      <c r="AE195" s="456">
        <f t="shared" ref="AE195:AE206" si="1583">11+8+8+11</f>
        <v>38</v>
      </c>
      <c r="AF195" s="360">
        <v>8</v>
      </c>
      <c r="AG195" s="360">
        <f t="shared" si="1537"/>
        <v>38</v>
      </c>
      <c r="AH195" s="363"/>
      <c r="AI195" s="361">
        <f>IF(T195="AIR",'Catalogue Aluminium'!$K$9,IF(T195="TRENCH",'Catalogue Aluminium'!$K$12,"NA"))</f>
        <v>0.89</v>
      </c>
      <c r="AJ195" s="359">
        <f>IF(T195="Air",(IF(U195="1C",'Catalogue Aluminium'!$L$9,'Catalogue Aluminium'!$M$9)),IF(T195="DUCT",(IF($U195="1C",'Catalogue Aluminium'!$L$10,'Catalogue Aluminium'!$M$10)),IF(T195="GROUND",(IF($U195="1C",'Catalogue Aluminium'!$L$11,'Catalogue Aluminium'!$M$11)),IF(T195="TRENCH",(IF($U195="1C",'Catalogue Aluminium'!$L$12,'Catalogue Aluminium'!$M$12))))))</f>
        <v>0.66</v>
      </c>
      <c r="AK195" s="361" t="str">
        <f>IF(T195="Air",'Catalogue Aluminium'!$N$9,IF(T195="GROUND",'Catalogue Aluminium'!$N$10,IF(T195="DUCT",'Catalogue Aluminium'!$N$11,IF(T195="TRENCH",'Catalogue Aluminium'!$N$12,"NA"))))</f>
        <v>NA</v>
      </c>
      <c r="AL195" s="361" t="str">
        <f>IF(T195="Air",(IF(U195="1C",'Catalogue Aluminium'!$O$9,'Catalogue Aluminium'!$P$9)),IF(T195="DUCT",(IF($U195="1C",'Catalogue Aluminium'!$O$10,'Catalogue Aluminium'!$P$10)),IF(T195="GROUND",(IF($U195="1C",'Catalogue Aluminium'!$O$11,'Catalogue Aluminium'!$P$11)),IF(T195="TRENCH",(IF($U195="1C",'Catalogue Aluminium'!$O$12,'Catalogue Aluminium'!$P$12))))))</f>
        <v>NA</v>
      </c>
      <c r="AM195" s="361" t="str">
        <f>IF(T195="AIR","NA",IF(T195="TRENCH","NA",IF(T195="DUCT",IF(U195="1C",VLOOKUP(V195,'Catalogue Aluminium'!$Q$9:$S$28,2,FALSE),VLOOKUP(V195,'Catalogue Aluminium'!$Q$9:$S$28,3)),IF(T195="GROUND",IF(U195="1C",VLOOKUP(V195,'Catalogue Aluminium'!$Q$9:$S$28,2,FALSE),VLOOKUP(V195,'Catalogue Aluminium'!$Q$9:$S$28,3))))))</f>
        <v>NA</v>
      </c>
      <c r="AN195" s="365">
        <f t="shared" si="1539"/>
        <v>0.58740000000000003</v>
      </c>
      <c r="AO195" s="352">
        <f t="shared" si="1540"/>
        <v>41.118000000000002</v>
      </c>
      <c r="AP195" s="353">
        <f t="shared" si="1303"/>
        <v>1</v>
      </c>
      <c r="AQ195" s="352" t="str">
        <f t="shared" si="1541"/>
        <v>YES</v>
      </c>
      <c r="AR195" s="365">
        <f t="shared" si="1542"/>
        <v>0</v>
      </c>
      <c r="AS195" s="496" t="str">
        <f t="shared" si="1543"/>
        <v>YES</v>
      </c>
      <c r="AT195" s="497">
        <f t="shared" si="1544"/>
        <v>0</v>
      </c>
      <c r="AU195" s="360" t="str">
        <f t="shared" si="1545"/>
        <v>YES</v>
      </c>
      <c r="AV195" s="366" t="str">
        <f t="shared" si="1546"/>
        <v>1R x 0.6/1kV x 3C x 16 Sqmm</v>
      </c>
      <c r="AW195" s="366" t="str">
        <f t="shared" si="1547"/>
        <v>1R x 0.6/1kV x 3C x 16+PE Sqmm</v>
      </c>
      <c r="AX195" s="360"/>
      <c r="AY195" s="367"/>
      <c r="AZ195" s="367"/>
      <c r="BA195" s="520" t="str">
        <f t="shared" si="1277"/>
        <v/>
      </c>
      <c r="BB195" s="498"/>
      <c r="BC195" s="426"/>
      <c r="BE195" s="368"/>
      <c r="BF195" s="368"/>
      <c r="BG195" s="368"/>
      <c r="BH195" s="368"/>
      <c r="BI195" s="368"/>
      <c r="BJ195" s="368"/>
      <c r="BK195" s="368"/>
      <c r="BL195" s="368"/>
      <c r="BM195" s="368"/>
      <c r="BN195" s="368"/>
      <c r="BO195" s="368"/>
      <c r="BP195" s="368"/>
      <c r="BQ195" s="368"/>
      <c r="BR195" s="368"/>
      <c r="BS195" s="368"/>
      <c r="BT195" s="368"/>
      <c r="BU195" s="368"/>
      <c r="BV195" s="368"/>
      <c r="BW195" s="368"/>
      <c r="BX195" s="368"/>
      <c r="BY195" s="368"/>
      <c r="BZ195" s="368"/>
      <c r="CA195" s="368"/>
      <c r="CB195" s="368"/>
      <c r="CC195" s="368"/>
      <c r="CD195" s="368"/>
      <c r="CE195" s="368"/>
      <c r="CF195" s="368"/>
      <c r="CG195" s="368"/>
      <c r="CH195" s="368"/>
      <c r="CI195" s="368"/>
      <c r="CJ195" s="368"/>
      <c r="CK195" s="368"/>
      <c r="CL195" s="368"/>
      <c r="CM195" s="368"/>
      <c r="CN195" s="368"/>
      <c r="CO195" s="368"/>
      <c r="CP195" s="368"/>
      <c r="CQ195" s="368"/>
      <c r="CR195" s="368"/>
      <c r="CS195" s="368"/>
      <c r="CT195" s="368"/>
      <c r="CU195" s="368"/>
      <c r="CV195" s="368"/>
      <c r="CW195" s="368"/>
      <c r="CX195" s="368"/>
      <c r="CY195" s="368"/>
      <c r="CZ195" s="368"/>
      <c r="DA195" s="368"/>
      <c r="DB195" s="368"/>
      <c r="DC195" s="368"/>
      <c r="DD195" s="368"/>
      <c r="DE195" s="368"/>
      <c r="DF195" s="368"/>
      <c r="DG195" s="368"/>
      <c r="DH195" s="368"/>
      <c r="DI195" s="368"/>
      <c r="DJ195" s="368"/>
      <c r="DK195" s="368"/>
      <c r="DL195" s="368"/>
      <c r="DM195" s="368"/>
      <c r="DN195" s="368"/>
      <c r="DO195" s="368"/>
      <c r="DP195" s="368"/>
      <c r="DQ195" s="368"/>
      <c r="DR195" s="368"/>
      <c r="DS195" s="368"/>
      <c r="DT195" s="368"/>
      <c r="DU195" s="368"/>
      <c r="DW195" s="368">
        <f t="shared" si="1012"/>
        <v>0</v>
      </c>
      <c r="DX195" s="368">
        <f t="shared" si="1004"/>
        <v>0</v>
      </c>
      <c r="DY195" s="368">
        <f t="shared" si="1005"/>
        <v>0</v>
      </c>
      <c r="DZ195" s="368">
        <f t="shared" si="1006"/>
        <v>0</v>
      </c>
      <c r="EA195" s="368">
        <f t="shared" si="1007"/>
        <v>0</v>
      </c>
      <c r="EB195" s="368">
        <f t="shared" si="1008"/>
        <v>0</v>
      </c>
      <c r="EC195" s="368">
        <f t="shared" si="1009"/>
        <v>0</v>
      </c>
      <c r="ED195" s="368">
        <f t="shared" si="919"/>
        <v>0</v>
      </c>
      <c r="EE195" s="368">
        <f t="shared" si="920"/>
        <v>0</v>
      </c>
      <c r="EF195" s="368">
        <f t="shared" si="921"/>
        <v>0</v>
      </c>
      <c r="EG195" s="368">
        <f t="shared" si="922"/>
        <v>0</v>
      </c>
      <c r="EH195" s="368">
        <f t="shared" si="923"/>
        <v>0</v>
      </c>
      <c r="EI195" s="368">
        <f t="shared" si="924"/>
        <v>0</v>
      </c>
      <c r="EJ195" s="368">
        <f t="shared" si="925"/>
        <v>0</v>
      </c>
      <c r="EK195" s="368">
        <f t="shared" si="926"/>
        <v>0</v>
      </c>
      <c r="EL195" s="368">
        <f t="shared" si="927"/>
        <v>0</v>
      </c>
      <c r="EM195" s="368">
        <f t="shared" si="928"/>
        <v>0</v>
      </c>
      <c r="EN195" s="368">
        <f t="shared" si="929"/>
        <v>0</v>
      </c>
      <c r="EO195" s="368">
        <f t="shared" si="930"/>
        <v>0</v>
      </c>
      <c r="EP195" s="368">
        <f t="shared" si="931"/>
        <v>0</v>
      </c>
      <c r="EQ195" s="368">
        <f t="shared" si="932"/>
        <v>0</v>
      </c>
      <c r="ER195" s="368">
        <f t="shared" si="933"/>
        <v>0</v>
      </c>
      <c r="ES195" s="368">
        <f t="shared" si="934"/>
        <v>0</v>
      </c>
      <c r="ET195" s="368">
        <f t="shared" si="934"/>
        <v>0</v>
      </c>
      <c r="EU195" s="368">
        <f t="shared" si="935"/>
        <v>0</v>
      </c>
      <c r="EV195" s="368">
        <f t="shared" si="936"/>
        <v>0</v>
      </c>
      <c r="EW195" s="368">
        <f t="shared" si="937"/>
        <v>0</v>
      </c>
      <c r="EX195" s="368">
        <f t="shared" si="938"/>
        <v>0</v>
      </c>
      <c r="EY195" s="368">
        <f t="shared" si="939"/>
        <v>0</v>
      </c>
      <c r="EZ195" s="368">
        <f t="shared" si="940"/>
        <v>0</v>
      </c>
      <c r="FA195" s="368">
        <f t="shared" si="941"/>
        <v>0</v>
      </c>
      <c r="FB195" s="368">
        <f t="shared" si="942"/>
        <v>0</v>
      </c>
      <c r="FC195" s="368">
        <f t="shared" si="943"/>
        <v>0</v>
      </c>
      <c r="FD195" s="368">
        <f t="shared" si="944"/>
        <v>0</v>
      </c>
      <c r="FE195" s="368">
        <f t="shared" si="945"/>
        <v>0</v>
      </c>
      <c r="FF195" s="368">
        <f t="shared" si="946"/>
        <v>0</v>
      </c>
      <c r="FG195" s="368">
        <f t="shared" si="947"/>
        <v>0</v>
      </c>
      <c r="FH195" s="368">
        <f t="shared" si="948"/>
        <v>0</v>
      </c>
      <c r="FI195" s="368">
        <f t="shared" si="949"/>
        <v>0</v>
      </c>
      <c r="FJ195" s="368">
        <f t="shared" si="950"/>
        <v>0</v>
      </c>
      <c r="FK195" s="368">
        <f t="shared" si="951"/>
        <v>0</v>
      </c>
      <c r="FL195" s="368">
        <f t="shared" si="952"/>
        <v>0</v>
      </c>
      <c r="FM195" s="368">
        <f t="shared" si="953"/>
        <v>0</v>
      </c>
      <c r="FN195" s="368">
        <f t="shared" si="954"/>
        <v>0</v>
      </c>
      <c r="FO195" s="368">
        <f t="shared" si="955"/>
        <v>0</v>
      </c>
      <c r="FP195" s="368">
        <f t="shared" si="956"/>
        <v>0</v>
      </c>
      <c r="FQ195" s="368">
        <f t="shared" si="957"/>
        <v>0</v>
      </c>
      <c r="FR195" s="368">
        <f t="shared" si="958"/>
        <v>0</v>
      </c>
      <c r="FS195" s="368">
        <f t="shared" si="959"/>
        <v>0</v>
      </c>
      <c r="FT195" s="368">
        <f t="shared" si="960"/>
        <v>0</v>
      </c>
      <c r="FU195" s="368"/>
      <c r="FV195" s="368"/>
      <c r="FW195" s="368"/>
      <c r="FX195" s="368"/>
      <c r="FY195" s="368">
        <f t="shared" si="961"/>
        <v>0</v>
      </c>
      <c r="FZ195" s="368">
        <f t="shared" si="962"/>
        <v>0</v>
      </c>
      <c r="GA195" s="368">
        <f t="shared" si="963"/>
        <v>0</v>
      </c>
      <c r="GB195" s="368">
        <f t="shared" si="964"/>
        <v>0</v>
      </c>
      <c r="GC195" s="368">
        <f t="shared" si="965"/>
        <v>0</v>
      </c>
      <c r="GD195" s="368">
        <f t="shared" si="966"/>
        <v>0</v>
      </c>
      <c r="GE195" s="368">
        <f t="shared" si="967"/>
        <v>0</v>
      </c>
      <c r="GF195" s="368">
        <f t="shared" si="968"/>
        <v>0</v>
      </c>
      <c r="GG195" s="368">
        <f t="shared" si="969"/>
        <v>0</v>
      </c>
      <c r="GH195" s="368">
        <f t="shared" si="970"/>
        <v>0</v>
      </c>
      <c r="GI195" s="368">
        <f t="shared" si="971"/>
        <v>0</v>
      </c>
      <c r="GJ195" s="368">
        <f t="shared" si="972"/>
        <v>0</v>
      </c>
      <c r="GK195" s="368">
        <f t="shared" si="1469"/>
        <v>0</v>
      </c>
      <c r="GL195" s="368"/>
      <c r="GM195" s="368">
        <f t="shared" si="973"/>
        <v>0</v>
      </c>
    </row>
    <row r="196" spans="1:195" s="83" customFormat="1" ht="20.100000000000001" hidden="1" customHeight="1">
      <c r="A196" s="357" t="s">
        <v>334</v>
      </c>
      <c r="B196" s="562" t="s">
        <v>527</v>
      </c>
      <c r="C196" s="357" t="str">
        <f t="shared" si="1529"/>
        <v>EPMCC-1</v>
      </c>
      <c r="D196" s="395" t="s">
        <v>665</v>
      </c>
      <c r="E196" s="565" t="s">
        <v>345</v>
      </c>
      <c r="F196" s="357" t="s">
        <v>29</v>
      </c>
      <c r="G196" s="357" t="s">
        <v>350</v>
      </c>
      <c r="H196" s="352">
        <v>22</v>
      </c>
      <c r="I196" s="357" t="s">
        <v>330</v>
      </c>
      <c r="J196" s="357" t="s">
        <v>331</v>
      </c>
      <c r="K196" s="353">
        <v>400</v>
      </c>
      <c r="L196" s="360">
        <v>0.82</v>
      </c>
      <c r="M196" s="352">
        <v>0.93299999999999994</v>
      </c>
      <c r="N196" s="359">
        <f t="shared" si="1530"/>
        <v>41.506805093521933</v>
      </c>
      <c r="O196" s="359">
        <f t="shared" si="1293"/>
        <v>249.0408305611316</v>
      </c>
      <c r="P196" s="360">
        <f t="shared" si="1531"/>
        <v>0.2</v>
      </c>
      <c r="Q196" s="352">
        <v>50</v>
      </c>
      <c r="R196" s="352">
        <v>0</v>
      </c>
      <c r="S196" s="352">
        <f t="shared" si="1532"/>
        <v>0</v>
      </c>
      <c r="T196" s="360" t="s">
        <v>131</v>
      </c>
      <c r="U196" s="352" t="s">
        <v>333</v>
      </c>
      <c r="V196" s="360">
        <v>120</v>
      </c>
      <c r="W196" s="360" t="str">
        <f t="shared" si="1533"/>
        <v>3C X 120</v>
      </c>
      <c r="X196" s="360" t="str">
        <f t="shared" si="1534"/>
        <v>3C X 120+PE</v>
      </c>
      <c r="Y196" s="360" t="s">
        <v>358</v>
      </c>
      <c r="Z196" s="361">
        <f>IF(T196="AIR",VLOOKUP(W196,'Catalogue Aluminium'!$B$9:$G$93,2,FALSE),IF(T196="GROUND",VLOOKUP(W196,'Catalogue Aluminium'!$B$9:$G$93,3,FALSE),IF(T196="DUCT",VLOOKUP(W196,'Catalogue Aluminium'!$B$9:$G$93,4,FALSE),IF(T196="TRENCH",VLOOKUP(W196,'Catalogue Aluminium'!$B$9:$G$93,2,FALSE)))))</f>
        <v>257</v>
      </c>
      <c r="AA196" s="362">
        <f>VLOOKUP(W196,'Catalogue Aluminium'!$B$9:$G$93,5,FALSE)</f>
        <v>0.32400000000000001</v>
      </c>
      <c r="AB196" s="362">
        <f>VLOOKUP(W196,'Catalogue Aluminium'!$B$9:$G$93,6,FALSE)</f>
        <v>7.2599999999999998E-2</v>
      </c>
      <c r="AC196" s="564">
        <f>22+7</f>
        <v>29</v>
      </c>
      <c r="AD196" s="360">
        <f>11+34+48+35+30+11+24+(15+18+26+22+12+3+15)</f>
        <v>304</v>
      </c>
      <c r="AE196" s="360">
        <f t="shared" si="1583"/>
        <v>38</v>
      </c>
      <c r="AF196" s="360">
        <v>8</v>
      </c>
      <c r="AG196" s="360">
        <f t="shared" si="1537"/>
        <v>38</v>
      </c>
      <c r="AH196" s="363"/>
      <c r="AI196" s="361">
        <f>IF(T196="AIR",'Catalogue Aluminium'!$K$9,IF(T196="TRENCH",'Catalogue Aluminium'!$K$12,"NA"))</f>
        <v>0.89</v>
      </c>
      <c r="AJ196" s="359">
        <f>IF(T196="Air",(IF(U196="1C",'Catalogue Aluminium'!$L$9,'Catalogue Aluminium'!$M$9)),IF(T196="DUCT",(IF($U196="1C",'Catalogue Aluminium'!$L$10,'Catalogue Aluminium'!$M$10)),IF(T196="GROUND",(IF($U196="1C",'Catalogue Aluminium'!$L$11,'Catalogue Aluminium'!$M$11)),IF(T196="TRENCH",(IF($U196="1C",'Catalogue Aluminium'!$L$12,'Catalogue Aluminium'!$M$12))))))</f>
        <v>0.66</v>
      </c>
      <c r="AK196" s="361" t="str">
        <f>IF(T196="Air",'Catalogue Aluminium'!$N$9,IF(T196="GROUND",'Catalogue Aluminium'!$N$10,IF(T196="DUCT",'Catalogue Aluminium'!$N$11,IF(T196="TRENCH",'Catalogue Aluminium'!$N$12,"NA"))))</f>
        <v>NA</v>
      </c>
      <c r="AL196" s="361" t="str">
        <f>IF(T196="Air",(IF(U196="1C",'Catalogue Aluminium'!$O$9,'Catalogue Aluminium'!$P$9)),IF(T196="DUCT",(IF($U196="1C",'Catalogue Aluminium'!$O$10,'Catalogue Aluminium'!$P$10)),IF(T196="GROUND",(IF($U196="1C",'Catalogue Aluminium'!$O$11,'Catalogue Aluminium'!$P$11)),IF(T196="TRENCH",(IF($U196="1C",'Catalogue Aluminium'!$O$12,'Catalogue Aluminium'!$P$12))))))</f>
        <v>NA</v>
      </c>
      <c r="AM196" s="361" t="str">
        <f>IF(T196="AIR","NA",IF(T196="TRENCH","NA",IF(T196="DUCT",IF(U196="1C",VLOOKUP(V196,'Catalogue Aluminium'!$Q$9:$S$28,2,FALSE),VLOOKUP(V196,'Catalogue Aluminium'!$Q$9:$S$28,3)),IF(T196="GROUND",IF(U196="1C",VLOOKUP(V196,'Catalogue Aluminium'!$Q$9:$S$28,2,FALSE),VLOOKUP(V196,'Catalogue Aluminium'!$Q$9:$S$28,3))))))</f>
        <v>NA</v>
      </c>
      <c r="AN196" s="365">
        <f t="shared" si="1539"/>
        <v>0.58740000000000003</v>
      </c>
      <c r="AO196" s="352">
        <f t="shared" si="1540"/>
        <v>150.96180000000001</v>
      </c>
      <c r="AP196" s="353">
        <f t="shared" si="1303"/>
        <v>1</v>
      </c>
      <c r="AQ196" s="352" t="str">
        <f t="shared" si="1541"/>
        <v>YES</v>
      </c>
      <c r="AR196" s="365">
        <f t="shared" si="1542"/>
        <v>0</v>
      </c>
      <c r="AS196" s="496" t="str">
        <f t="shared" si="1543"/>
        <v>YES</v>
      </c>
      <c r="AT196" s="497">
        <f t="shared" si="1544"/>
        <v>0</v>
      </c>
      <c r="AU196" s="360" t="str">
        <f t="shared" si="1545"/>
        <v>YES</v>
      </c>
      <c r="AV196" s="366" t="str">
        <f t="shared" si="1546"/>
        <v>1R x 0.6/1kV x 3C x 120 Sqmm</v>
      </c>
      <c r="AW196" s="366" t="str">
        <f t="shared" si="1547"/>
        <v>1R x 0.6/1kV x 3C x 120+PE Sqmm</v>
      </c>
      <c r="AX196" s="360"/>
      <c r="AY196" s="367"/>
      <c r="AZ196" s="367"/>
      <c r="BA196" s="520" t="str">
        <f t="shared" si="1277"/>
        <v/>
      </c>
      <c r="BB196" s="498"/>
      <c r="BC196" s="426"/>
      <c r="BE196" s="368"/>
      <c r="BF196" s="368"/>
      <c r="BG196" s="368"/>
      <c r="BH196" s="368"/>
      <c r="BI196" s="368"/>
      <c r="BJ196" s="368"/>
      <c r="BK196" s="368"/>
      <c r="BL196" s="368"/>
      <c r="BM196" s="368"/>
      <c r="BN196" s="368"/>
      <c r="BO196" s="368"/>
      <c r="BP196" s="368"/>
      <c r="BQ196" s="368"/>
      <c r="BR196" s="368"/>
      <c r="BS196" s="368"/>
      <c r="BT196" s="368"/>
      <c r="BU196" s="368"/>
      <c r="BV196" s="368"/>
      <c r="BW196" s="368"/>
      <c r="BX196" s="368"/>
      <c r="BY196" s="368"/>
      <c r="BZ196" s="368"/>
      <c r="CA196" s="368"/>
      <c r="CB196" s="368"/>
      <c r="CC196" s="368"/>
      <c r="CD196" s="368"/>
      <c r="CE196" s="368"/>
      <c r="CF196" s="368"/>
      <c r="CG196" s="368"/>
      <c r="CH196" s="368"/>
      <c r="CI196" s="368"/>
      <c r="CJ196" s="368"/>
      <c r="CK196" s="368"/>
      <c r="CL196" s="368"/>
      <c r="CM196" s="368"/>
      <c r="CN196" s="368"/>
      <c r="CO196" s="368"/>
      <c r="CP196" s="368"/>
      <c r="CQ196" s="368"/>
      <c r="CR196" s="368"/>
      <c r="CS196" s="368"/>
      <c r="CT196" s="368"/>
      <c r="CU196" s="368"/>
      <c r="CV196" s="368"/>
      <c r="CW196" s="368"/>
      <c r="CX196" s="368"/>
      <c r="CY196" s="368"/>
      <c r="CZ196" s="368"/>
      <c r="DA196" s="368"/>
      <c r="DB196" s="368"/>
      <c r="DC196" s="368"/>
      <c r="DD196" s="368"/>
      <c r="DE196" s="368"/>
      <c r="DF196" s="368"/>
      <c r="DG196" s="368"/>
      <c r="DH196" s="368"/>
      <c r="DI196" s="368"/>
      <c r="DJ196" s="368"/>
      <c r="DK196" s="368"/>
      <c r="DL196" s="368"/>
      <c r="DM196" s="368"/>
      <c r="DN196" s="368"/>
      <c r="DO196" s="368"/>
      <c r="DP196" s="368"/>
      <c r="DQ196" s="368"/>
      <c r="DR196" s="368"/>
      <c r="DS196" s="368"/>
      <c r="DT196" s="368"/>
      <c r="DU196" s="368"/>
      <c r="DW196" s="368">
        <f t="shared" si="1012"/>
        <v>0</v>
      </c>
      <c r="DX196" s="368">
        <f t="shared" si="1004"/>
        <v>0</v>
      </c>
      <c r="DY196" s="368">
        <f t="shared" si="1005"/>
        <v>0</v>
      </c>
      <c r="DZ196" s="368">
        <f t="shared" si="1006"/>
        <v>0</v>
      </c>
      <c r="EA196" s="368">
        <f t="shared" si="1007"/>
        <v>0</v>
      </c>
      <c r="EB196" s="368">
        <f t="shared" si="1008"/>
        <v>0</v>
      </c>
      <c r="EC196" s="368">
        <f t="shared" si="1009"/>
        <v>0</v>
      </c>
      <c r="ED196" s="368">
        <f t="shared" si="919"/>
        <v>0</v>
      </c>
      <c r="EE196" s="368">
        <f t="shared" si="920"/>
        <v>0</v>
      </c>
      <c r="EF196" s="368">
        <f t="shared" si="921"/>
        <v>0</v>
      </c>
      <c r="EG196" s="368">
        <f t="shared" si="922"/>
        <v>0</v>
      </c>
      <c r="EH196" s="368">
        <f t="shared" si="923"/>
        <v>0</v>
      </c>
      <c r="EI196" s="368">
        <f t="shared" si="924"/>
        <v>0</v>
      </c>
      <c r="EJ196" s="368">
        <f t="shared" si="925"/>
        <v>0</v>
      </c>
      <c r="EK196" s="368">
        <f t="shared" si="926"/>
        <v>0</v>
      </c>
      <c r="EL196" s="368">
        <f t="shared" si="927"/>
        <v>0</v>
      </c>
      <c r="EM196" s="368">
        <f t="shared" si="928"/>
        <v>0</v>
      </c>
      <c r="EN196" s="368">
        <f t="shared" si="929"/>
        <v>0</v>
      </c>
      <c r="EO196" s="368">
        <f t="shared" si="930"/>
        <v>0</v>
      </c>
      <c r="EP196" s="368">
        <f t="shared" si="931"/>
        <v>0</v>
      </c>
      <c r="EQ196" s="368">
        <f t="shared" si="932"/>
        <v>0</v>
      </c>
      <c r="ER196" s="368">
        <f t="shared" si="933"/>
        <v>0</v>
      </c>
      <c r="ES196" s="368">
        <f t="shared" si="934"/>
        <v>0</v>
      </c>
      <c r="ET196" s="368">
        <f t="shared" si="934"/>
        <v>0</v>
      </c>
      <c r="EU196" s="368">
        <f t="shared" si="935"/>
        <v>0</v>
      </c>
      <c r="EV196" s="368">
        <f t="shared" si="936"/>
        <v>0</v>
      </c>
      <c r="EW196" s="368">
        <f t="shared" si="937"/>
        <v>0</v>
      </c>
      <c r="EX196" s="368">
        <f t="shared" si="938"/>
        <v>0</v>
      </c>
      <c r="EY196" s="368">
        <f t="shared" si="939"/>
        <v>0</v>
      </c>
      <c r="EZ196" s="368">
        <f t="shared" si="940"/>
        <v>0</v>
      </c>
      <c r="FA196" s="368">
        <f t="shared" si="941"/>
        <v>0</v>
      </c>
      <c r="FB196" s="368">
        <f t="shared" si="942"/>
        <v>0</v>
      </c>
      <c r="FC196" s="368">
        <f t="shared" si="943"/>
        <v>0</v>
      </c>
      <c r="FD196" s="368">
        <f t="shared" si="944"/>
        <v>0</v>
      </c>
      <c r="FE196" s="368">
        <f t="shared" si="945"/>
        <v>0</v>
      </c>
      <c r="FF196" s="368">
        <f t="shared" si="946"/>
        <v>0</v>
      </c>
      <c r="FG196" s="368">
        <f t="shared" si="947"/>
        <v>0</v>
      </c>
      <c r="FH196" s="368">
        <f t="shared" si="948"/>
        <v>0</v>
      </c>
      <c r="FI196" s="368">
        <f t="shared" si="949"/>
        <v>0</v>
      </c>
      <c r="FJ196" s="368">
        <f t="shared" si="950"/>
        <v>0</v>
      </c>
      <c r="FK196" s="368">
        <f t="shared" si="951"/>
        <v>0</v>
      </c>
      <c r="FL196" s="368">
        <f t="shared" si="952"/>
        <v>0</v>
      </c>
      <c r="FM196" s="368">
        <f t="shared" si="953"/>
        <v>0</v>
      </c>
      <c r="FN196" s="368">
        <f t="shared" si="954"/>
        <v>0</v>
      </c>
      <c r="FO196" s="368">
        <f t="shared" si="955"/>
        <v>0</v>
      </c>
      <c r="FP196" s="368">
        <f t="shared" si="956"/>
        <v>0</v>
      </c>
      <c r="FQ196" s="368">
        <f t="shared" si="957"/>
        <v>0</v>
      </c>
      <c r="FR196" s="368">
        <f t="shared" si="958"/>
        <v>0</v>
      </c>
      <c r="FS196" s="368">
        <f t="shared" si="959"/>
        <v>0</v>
      </c>
      <c r="FT196" s="368">
        <f t="shared" si="960"/>
        <v>0</v>
      </c>
      <c r="FU196" s="368"/>
      <c r="FV196" s="368"/>
      <c r="FW196" s="368"/>
      <c r="FX196" s="368"/>
      <c r="FY196" s="368">
        <f t="shared" si="961"/>
        <v>0</v>
      </c>
      <c r="FZ196" s="368">
        <f t="shared" si="962"/>
        <v>0</v>
      </c>
      <c r="GA196" s="368">
        <f t="shared" si="963"/>
        <v>0</v>
      </c>
      <c r="GB196" s="368">
        <f t="shared" si="964"/>
        <v>0</v>
      </c>
      <c r="GC196" s="368">
        <f t="shared" si="965"/>
        <v>0</v>
      </c>
      <c r="GD196" s="368">
        <f t="shared" si="966"/>
        <v>0</v>
      </c>
      <c r="GE196" s="368">
        <f t="shared" si="967"/>
        <v>0</v>
      </c>
      <c r="GF196" s="368">
        <f t="shared" si="968"/>
        <v>0</v>
      </c>
      <c r="GG196" s="368">
        <f t="shared" si="969"/>
        <v>0</v>
      </c>
      <c r="GH196" s="368">
        <f t="shared" si="970"/>
        <v>0</v>
      </c>
      <c r="GI196" s="368">
        <f t="shared" si="971"/>
        <v>0</v>
      </c>
      <c r="GJ196" s="368">
        <f t="shared" si="972"/>
        <v>0</v>
      </c>
      <c r="GK196" s="368">
        <f t="shared" si="1469"/>
        <v>0</v>
      </c>
      <c r="GL196" s="368"/>
      <c r="GM196" s="368">
        <f t="shared" si="973"/>
        <v>0</v>
      </c>
    </row>
    <row r="197" spans="1:195" s="83" customFormat="1" ht="20.100000000000001" hidden="1" customHeight="1">
      <c r="A197" s="357" t="s">
        <v>334</v>
      </c>
      <c r="B197" s="562" t="s">
        <v>527</v>
      </c>
      <c r="C197" s="357" t="str">
        <f t="shared" si="1529"/>
        <v>EPMCC-1</v>
      </c>
      <c r="D197" s="395" t="s">
        <v>666</v>
      </c>
      <c r="E197" s="421" t="s">
        <v>345</v>
      </c>
      <c r="F197" s="357" t="s">
        <v>28</v>
      </c>
      <c r="G197" s="357" t="s">
        <v>350</v>
      </c>
      <c r="H197" s="352">
        <v>22</v>
      </c>
      <c r="I197" s="357" t="s">
        <v>330</v>
      </c>
      <c r="J197" s="357" t="s">
        <v>331</v>
      </c>
      <c r="K197" s="353">
        <v>400</v>
      </c>
      <c r="L197" s="360">
        <v>0.82</v>
      </c>
      <c r="M197" s="352">
        <v>0.93299999999999994</v>
      </c>
      <c r="N197" s="359">
        <f t="shared" si="1530"/>
        <v>41.506805093521933</v>
      </c>
      <c r="O197" s="359">
        <f t="shared" si="1293"/>
        <v>249.0408305611316</v>
      </c>
      <c r="P197" s="360">
        <f t="shared" si="1531"/>
        <v>0.2</v>
      </c>
      <c r="Q197" s="352">
        <v>50</v>
      </c>
      <c r="R197" s="352">
        <v>0</v>
      </c>
      <c r="S197" s="352">
        <f t="shared" si="1532"/>
        <v>0</v>
      </c>
      <c r="T197" s="360" t="s">
        <v>131</v>
      </c>
      <c r="U197" s="352" t="s">
        <v>333</v>
      </c>
      <c r="V197" s="360">
        <v>120</v>
      </c>
      <c r="W197" s="360" t="str">
        <f t="shared" si="1533"/>
        <v>3C X 120</v>
      </c>
      <c r="X197" s="360" t="str">
        <f t="shared" si="1534"/>
        <v>3C X 120+PE</v>
      </c>
      <c r="Y197" s="360" t="s">
        <v>358</v>
      </c>
      <c r="Z197" s="361">
        <f>IF(T197="AIR",VLOOKUP(W197,'Catalogue Aluminium'!$B$9:$G$93,2,FALSE),IF(T197="GROUND",VLOOKUP(W197,'Catalogue Aluminium'!$B$9:$G$93,3,FALSE),IF(T197="DUCT",VLOOKUP(W197,'Catalogue Aluminium'!$B$9:$G$93,4,FALSE),IF(T197="TRENCH",VLOOKUP(W197,'Catalogue Aluminium'!$B$9:$G$93,2,FALSE)))))</f>
        <v>257</v>
      </c>
      <c r="AA197" s="362">
        <f>VLOOKUP(W197,'Catalogue Aluminium'!$B$9:$G$93,5,FALSE)</f>
        <v>0.32400000000000001</v>
      </c>
      <c r="AB197" s="362">
        <f>VLOOKUP(W197,'Catalogue Aluminium'!$B$9:$G$93,6,FALSE)</f>
        <v>7.2599999999999998E-2</v>
      </c>
      <c r="AC197" s="564">
        <f>28+7</f>
        <v>35</v>
      </c>
      <c r="AD197" s="360">
        <f t="shared" ref="AD197:AD206" si="1584">11+34+48+35+30+11+24+(15+18+26+22+12+3+15)</f>
        <v>304</v>
      </c>
      <c r="AE197" s="360">
        <f t="shared" si="1583"/>
        <v>38</v>
      </c>
      <c r="AF197" s="360">
        <v>8</v>
      </c>
      <c r="AG197" s="360">
        <f t="shared" si="1537"/>
        <v>39</v>
      </c>
      <c r="AH197" s="363"/>
      <c r="AI197" s="361">
        <f>IF(T197="AIR",'Catalogue Aluminium'!$K$9,IF(T197="TRENCH",'Catalogue Aluminium'!$K$12,"NA"))</f>
        <v>0.89</v>
      </c>
      <c r="AJ197" s="359">
        <f>IF(T197="Air",(IF(U197="1C",'Catalogue Aluminium'!$L$9,'Catalogue Aluminium'!$M$9)),IF(T197="DUCT",(IF($U197="1C",'Catalogue Aluminium'!$L$10,'Catalogue Aluminium'!$M$10)),IF(T197="GROUND",(IF($U197="1C",'Catalogue Aluminium'!$L$11,'Catalogue Aluminium'!$M$11)),IF(T197="TRENCH",(IF($U197="1C",'Catalogue Aluminium'!$L$12,'Catalogue Aluminium'!$M$12))))))</f>
        <v>0.66</v>
      </c>
      <c r="AK197" s="361" t="str">
        <f>IF(T197="Air",'Catalogue Aluminium'!$N$9,IF(T197="GROUND",'Catalogue Aluminium'!$N$10,IF(T197="DUCT",'Catalogue Aluminium'!$N$11,IF(T197="TRENCH",'Catalogue Aluminium'!$N$12,"NA"))))</f>
        <v>NA</v>
      </c>
      <c r="AL197" s="361" t="str">
        <f>IF(T197="Air",(IF(U197="1C",'Catalogue Aluminium'!$O$9,'Catalogue Aluminium'!$P$9)),IF(T197="DUCT",(IF($U197="1C",'Catalogue Aluminium'!$O$10,'Catalogue Aluminium'!$P$10)),IF(T197="GROUND",(IF($U197="1C",'Catalogue Aluminium'!$O$11,'Catalogue Aluminium'!$P$11)),IF(T197="TRENCH",(IF($U197="1C",'Catalogue Aluminium'!$O$12,'Catalogue Aluminium'!$P$12))))))</f>
        <v>NA</v>
      </c>
      <c r="AM197" s="361" t="str">
        <f>IF(T197="AIR","NA",IF(T197="TRENCH","NA",IF(T197="DUCT",IF(U197="1C",VLOOKUP(V197,'Catalogue Aluminium'!$Q$9:$S$28,2,FALSE),VLOOKUP(V197,'Catalogue Aluminium'!$Q$9:$S$28,3)),IF(T197="GROUND",IF(U197="1C",VLOOKUP(V197,'Catalogue Aluminium'!$Q$9:$S$28,2,FALSE),VLOOKUP(V197,'Catalogue Aluminium'!$Q$9:$S$28,3))))))</f>
        <v>NA</v>
      </c>
      <c r="AN197" s="365">
        <f t="shared" si="1539"/>
        <v>0.58740000000000003</v>
      </c>
      <c r="AO197" s="352">
        <f t="shared" si="1540"/>
        <v>150.96180000000001</v>
      </c>
      <c r="AP197" s="353">
        <f t="shared" si="1303"/>
        <v>1</v>
      </c>
      <c r="AQ197" s="352" t="str">
        <f t="shared" si="1541"/>
        <v>YES</v>
      </c>
      <c r="AR197" s="365">
        <f t="shared" si="1542"/>
        <v>0</v>
      </c>
      <c r="AS197" s="496" t="str">
        <f t="shared" si="1543"/>
        <v>YES</v>
      </c>
      <c r="AT197" s="497">
        <f t="shared" si="1544"/>
        <v>0</v>
      </c>
      <c r="AU197" s="360" t="str">
        <f t="shared" si="1545"/>
        <v>YES</v>
      </c>
      <c r="AV197" s="366" t="str">
        <f t="shared" si="1546"/>
        <v>1R x 0.6/1kV x 3C x 120 Sqmm</v>
      </c>
      <c r="AW197" s="366" t="str">
        <f t="shared" si="1547"/>
        <v>1R x 0.6/1kV x 3C x 120+PE Sqmm</v>
      </c>
      <c r="AX197" s="360"/>
      <c r="AY197" s="367"/>
      <c r="AZ197" s="367"/>
      <c r="BA197" s="520" t="str">
        <f t="shared" si="1277"/>
        <v/>
      </c>
      <c r="BB197" s="498"/>
      <c r="BC197" s="426"/>
      <c r="BE197" s="368"/>
      <c r="BF197" s="368"/>
      <c r="BG197" s="368"/>
      <c r="BH197" s="368"/>
      <c r="BI197" s="368"/>
      <c r="BJ197" s="368"/>
      <c r="BK197" s="368"/>
      <c r="BL197" s="368"/>
      <c r="BM197" s="368"/>
      <c r="BN197" s="368"/>
      <c r="BO197" s="368"/>
      <c r="BP197" s="368"/>
      <c r="BQ197" s="368"/>
      <c r="BR197" s="368"/>
      <c r="BS197" s="368"/>
      <c r="BT197" s="368"/>
      <c r="BU197" s="368"/>
      <c r="BV197" s="368"/>
      <c r="BW197" s="368"/>
      <c r="BX197" s="368"/>
      <c r="BY197" s="368"/>
      <c r="BZ197" s="368"/>
      <c r="CA197" s="368"/>
      <c r="CB197" s="368"/>
      <c r="CC197" s="368"/>
      <c r="CD197" s="368"/>
      <c r="CE197" s="368"/>
      <c r="CF197" s="368"/>
      <c r="CG197" s="368"/>
      <c r="CH197" s="368"/>
      <c r="CI197" s="368"/>
      <c r="CJ197" s="368"/>
      <c r="CK197" s="368"/>
      <c r="CL197" s="368"/>
      <c r="CM197" s="368"/>
      <c r="CN197" s="368"/>
      <c r="CO197" s="368"/>
      <c r="CP197" s="368"/>
      <c r="CQ197" s="368"/>
      <c r="CR197" s="368"/>
      <c r="CS197" s="368"/>
      <c r="CT197" s="368"/>
      <c r="CU197" s="368"/>
      <c r="CV197" s="368"/>
      <c r="CW197" s="368"/>
      <c r="CX197" s="368"/>
      <c r="CY197" s="368"/>
      <c r="CZ197" s="368"/>
      <c r="DA197" s="368"/>
      <c r="DB197" s="368"/>
      <c r="DC197" s="368"/>
      <c r="DD197" s="368"/>
      <c r="DE197" s="368"/>
      <c r="DF197" s="368"/>
      <c r="DG197" s="368"/>
      <c r="DH197" s="368"/>
      <c r="DI197" s="368"/>
      <c r="DJ197" s="368"/>
      <c r="DK197" s="368"/>
      <c r="DL197" s="368"/>
      <c r="DM197" s="368"/>
      <c r="DN197" s="368"/>
      <c r="DO197" s="368"/>
      <c r="DP197" s="368"/>
      <c r="DQ197" s="368"/>
      <c r="DR197" s="368"/>
      <c r="DS197" s="368"/>
      <c r="DT197" s="368"/>
      <c r="DU197" s="368"/>
      <c r="DW197" s="368">
        <f t="shared" si="1012"/>
        <v>0</v>
      </c>
      <c r="DX197" s="368">
        <f t="shared" si="1004"/>
        <v>0</v>
      </c>
      <c r="DY197" s="368">
        <f t="shared" si="1005"/>
        <v>0</v>
      </c>
      <c r="DZ197" s="368">
        <f t="shared" si="1006"/>
        <v>0</v>
      </c>
      <c r="EA197" s="368">
        <f t="shared" si="1007"/>
        <v>0</v>
      </c>
      <c r="EB197" s="368">
        <f t="shared" si="1008"/>
        <v>0</v>
      </c>
      <c r="EC197" s="368">
        <f t="shared" si="1009"/>
        <v>0</v>
      </c>
      <c r="ED197" s="368">
        <f t="shared" si="919"/>
        <v>0</v>
      </c>
      <c r="EE197" s="368">
        <f t="shared" si="920"/>
        <v>0</v>
      </c>
      <c r="EF197" s="368">
        <f t="shared" si="921"/>
        <v>0</v>
      </c>
      <c r="EG197" s="368">
        <f t="shared" si="922"/>
        <v>0</v>
      </c>
      <c r="EH197" s="368">
        <f t="shared" si="923"/>
        <v>0</v>
      </c>
      <c r="EI197" s="368">
        <f t="shared" si="924"/>
        <v>0</v>
      </c>
      <c r="EJ197" s="368">
        <f t="shared" si="925"/>
        <v>0</v>
      </c>
      <c r="EK197" s="368">
        <f t="shared" si="926"/>
        <v>0</v>
      </c>
      <c r="EL197" s="368">
        <f t="shared" si="927"/>
        <v>0</v>
      </c>
      <c r="EM197" s="368">
        <f t="shared" si="928"/>
        <v>0</v>
      </c>
      <c r="EN197" s="368">
        <f t="shared" si="929"/>
        <v>0</v>
      </c>
      <c r="EO197" s="368">
        <f t="shared" si="930"/>
        <v>0</v>
      </c>
      <c r="EP197" s="368">
        <f t="shared" si="931"/>
        <v>0</v>
      </c>
      <c r="EQ197" s="368">
        <f t="shared" si="932"/>
        <v>0</v>
      </c>
      <c r="ER197" s="368">
        <f t="shared" si="933"/>
        <v>0</v>
      </c>
      <c r="ES197" s="368">
        <f t="shared" si="934"/>
        <v>0</v>
      </c>
      <c r="ET197" s="368">
        <f t="shared" si="934"/>
        <v>0</v>
      </c>
      <c r="EU197" s="368">
        <f t="shared" si="935"/>
        <v>0</v>
      </c>
      <c r="EV197" s="368">
        <f t="shared" si="936"/>
        <v>0</v>
      </c>
      <c r="EW197" s="368">
        <f t="shared" si="937"/>
        <v>0</v>
      </c>
      <c r="EX197" s="368">
        <f t="shared" si="938"/>
        <v>0</v>
      </c>
      <c r="EY197" s="368">
        <f t="shared" si="939"/>
        <v>0</v>
      </c>
      <c r="EZ197" s="368">
        <f t="shared" si="940"/>
        <v>0</v>
      </c>
      <c r="FA197" s="368">
        <f t="shared" si="941"/>
        <v>0</v>
      </c>
      <c r="FB197" s="368">
        <f t="shared" si="942"/>
        <v>0</v>
      </c>
      <c r="FC197" s="368">
        <f t="shared" si="943"/>
        <v>0</v>
      </c>
      <c r="FD197" s="368">
        <f t="shared" si="944"/>
        <v>0</v>
      </c>
      <c r="FE197" s="368">
        <f t="shared" si="945"/>
        <v>0</v>
      </c>
      <c r="FF197" s="368">
        <f t="shared" si="946"/>
        <v>0</v>
      </c>
      <c r="FG197" s="368">
        <f t="shared" si="947"/>
        <v>0</v>
      </c>
      <c r="FH197" s="368">
        <f t="shared" si="948"/>
        <v>0</v>
      </c>
      <c r="FI197" s="368">
        <f t="shared" si="949"/>
        <v>0</v>
      </c>
      <c r="FJ197" s="368">
        <f t="shared" si="950"/>
        <v>0</v>
      </c>
      <c r="FK197" s="368">
        <f t="shared" si="951"/>
        <v>0</v>
      </c>
      <c r="FL197" s="368">
        <f t="shared" si="952"/>
        <v>0</v>
      </c>
      <c r="FM197" s="368">
        <f t="shared" si="953"/>
        <v>0</v>
      </c>
      <c r="FN197" s="368">
        <f t="shared" si="954"/>
        <v>0</v>
      </c>
      <c r="FO197" s="368">
        <f t="shared" si="955"/>
        <v>0</v>
      </c>
      <c r="FP197" s="368">
        <f t="shared" si="956"/>
        <v>0</v>
      </c>
      <c r="FQ197" s="368">
        <f t="shared" si="957"/>
        <v>0</v>
      </c>
      <c r="FR197" s="368">
        <f t="shared" si="958"/>
        <v>0</v>
      </c>
      <c r="FS197" s="368">
        <f t="shared" si="959"/>
        <v>0</v>
      </c>
      <c r="FT197" s="368">
        <f t="shared" si="960"/>
        <v>0</v>
      </c>
      <c r="FU197" s="368"/>
      <c r="FV197" s="368"/>
      <c r="FW197" s="368"/>
      <c r="FX197" s="368"/>
      <c r="FY197" s="368">
        <f t="shared" si="961"/>
        <v>0</v>
      </c>
      <c r="FZ197" s="368">
        <f t="shared" si="962"/>
        <v>0</v>
      </c>
      <c r="GA197" s="368">
        <f t="shared" si="963"/>
        <v>0</v>
      </c>
      <c r="GB197" s="368">
        <f t="shared" si="964"/>
        <v>0</v>
      </c>
      <c r="GC197" s="368">
        <f t="shared" si="965"/>
        <v>0</v>
      </c>
      <c r="GD197" s="368">
        <f t="shared" si="966"/>
        <v>0</v>
      </c>
      <c r="GE197" s="368">
        <f t="shared" si="967"/>
        <v>0</v>
      </c>
      <c r="GF197" s="368">
        <f t="shared" si="968"/>
        <v>0</v>
      </c>
      <c r="GG197" s="368">
        <f t="shared" si="969"/>
        <v>0</v>
      </c>
      <c r="GH197" s="368">
        <f t="shared" si="970"/>
        <v>0</v>
      </c>
      <c r="GI197" s="368">
        <f t="shared" si="971"/>
        <v>0</v>
      </c>
      <c r="GJ197" s="368">
        <f t="shared" si="972"/>
        <v>0</v>
      </c>
      <c r="GK197" s="368">
        <f t="shared" si="1469"/>
        <v>0</v>
      </c>
      <c r="GL197" s="368"/>
      <c r="GM197" s="368">
        <f t="shared" si="973"/>
        <v>0</v>
      </c>
    </row>
    <row r="198" spans="1:195" s="83" customFormat="1" ht="20.100000000000001" hidden="1" customHeight="1">
      <c r="A198" s="357" t="s">
        <v>334</v>
      </c>
      <c r="B198" s="562" t="s">
        <v>527</v>
      </c>
      <c r="C198" s="357" t="str">
        <f t="shared" si="1529"/>
        <v>EPMCC-1</v>
      </c>
      <c r="D198" s="395" t="s">
        <v>667</v>
      </c>
      <c r="E198" s="565" t="s">
        <v>345</v>
      </c>
      <c r="F198" s="357" t="s">
        <v>29</v>
      </c>
      <c r="G198" s="357" t="s">
        <v>350</v>
      </c>
      <c r="H198" s="352">
        <v>2.2000000000000002</v>
      </c>
      <c r="I198" s="357" t="s">
        <v>330</v>
      </c>
      <c r="J198" s="357" t="s">
        <v>331</v>
      </c>
      <c r="K198" s="353">
        <v>400</v>
      </c>
      <c r="L198" s="360">
        <v>0.8</v>
      </c>
      <c r="M198" s="352">
        <v>0.86699999999999999</v>
      </c>
      <c r="N198" s="359">
        <f t="shared" si="1530"/>
        <v>4.5783154995458304</v>
      </c>
      <c r="O198" s="359">
        <f t="shared" si="1293"/>
        <v>27.469892997274982</v>
      </c>
      <c r="P198" s="360">
        <f t="shared" si="1531"/>
        <v>0.2</v>
      </c>
      <c r="Q198" s="352">
        <v>50</v>
      </c>
      <c r="R198" s="352">
        <v>0</v>
      </c>
      <c r="S198" s="352">
        <f t="shared" si="1532"/>
        <v>0</v>
      </c>
      <c r="T198" s="360" t="s">
        <v>131</v>
      </c>
      <c r="U198" s="352" t="s">
        <v>333</v>
      </c>
      <c r="V198" s="360">
        <v>16</v>
      </c>
      <c r="W198" s="360" t="str">
        <f t="shared" si="1533"/>
        <v>3C X 16</v>
      </c>
      <c r="X198" s="360" t="str">
        <f t="shared" si="1534"/>
        <v>3C X 16+PE</v>
      </c>
      <c r="Y198" s="360" t="s">
        <v>358</v>
      </c>
      <c r="Z198" s="361">
        <f>IF(T198="AIR",VLOOKUP(W198,'Catalogue Aluminium'!$B$9:$G$93,2,FALSE),IF(T198="GROUND",VLOOKUP(W198,'Catalogue Aluminium'!$B$9:$G$93,3,FALSE),IF(T198="DUCT",VLOOKUP(W198,'Catalogue Aluminium'!$B$9:$G$93,4,FALSE),IF(T198="TRENCH",VLOOKUP(W198,'Catalogue Aluminium'!$B$9:$G$93,2,FALSE)))))</f>
        <v>70</v>
      </c>
      <c r="AA198" s="362">
        <f>VLOOKUP(W198,'Catalogue Aluminium'!$B$9:$G$93,5,FALSE)</f>
        <v>2.44</v>
      </c>
      <c r="AB198" s="362">
        <f>VLOOKUP(W198,'Catalogue Aluminium'!$B$9:$G$93,6,FALSE)</f>
        <v>8.1500000000000003E-2</v>
      </c>
      <c r="AC198" s="564">
        <f>22+7</f>
        <v>29</v>
      </c>
      <c r="AD198" s="360">
        <f t="shared" si="1584"/>
        <v>304</v>
      </c>
      <c r="AE198" s="456">
        <f t="shared" si="1583"/>
        <v>38</v>
      </c>
      <c r="AF198" s="360">
        <v>8</v>
      </c>
      <c r="AG198" s="360">
        <f t="shared" si="1537"/>
        <v>38</v>
      </c>
      <c r="AH198" s="363"/>
      <c r="AI198" s="361">
        <f>IF(T198="AIR",'Catalogue Aluminium'!$K$9,IF(T198="TRENCH",'Catalogue Aluminium'!$K$12,"NA"))</f>
        <v>0.89</v>
      </c>
      <c r="AJ198" s="359">
        <f>IF(T198="Air",(IF(U198="1C",'Catalogue Aluminium'!$L$9,'Catalogue Aluminium'!$M$9)),IF(T198="DUCT",(IF($U198="1C",'Catalogue Aluminium'!$L$10,'Catalogue Aluminium'!$M$10)),IF(T198="GROUND",(IF($U198="1C",'Catalogue Aluminium'!$L$11,'Catalogue Aluminium'!$M$11)),IF(T198="TRENCH",(IF($U198="1C",'Catalogue Aluminium'!$L$12,'Catalogue Aluminium'!$M$12))))))</f>
        <v>0.66</v>
      </c>
      <c r="AK198" s="361" t="str">
        <f>IF(T198="Air",'Catalogue Aluminium'!$N$9,IF(T198="GROUND",'Catalogue Aluminium'!$N$10,IF(T198="DUCT",'Catalogue Aluminium'!$N$11,IF(T198="TRENCH",'Catalogue Aluminium'!$N$12,"NA"))))</f>
        <v>NA</v>
      </c>
      <c r="AL198" s="361" t="str">
        <f>IF(T198="Air",(IF(U198="1C",'Catalogue Aluminium'!$O$9,'Catalogue Aluminium'!$P$9)),IF(T198="DUCT",(IF($U198="1C",'Catalogue Aluminium'!$O$10,'Catalogue Aluminium'!$P$10)),IF(T198="GROUND",(IF($U198="1C",'Catalogue Aluminium'!$O$11,'Catalogue Aluminium'!$P$11)),IF(T198="TRENCH",(IF($U198="1C",'Catalogue Aluminium'!$O$12,'Catalogue Aluminium'!$P$12))))))</f>
        <v>NA</v>
      </c>
      <c r="AM198" s="361" t="str">
        <f>IF(T198="AIR","NA",IF(T198="TRENCH","NA",IF(T198="DUCT",IF(U198="1C",VLOOKUP(V198,'Catalogue Aluminium'!$Q$9:$S$28,2,FALSE),VLOOKUP(V198,'Catalogue Aluminium'!$Q$9:$S$28,3)),IF(T198="GROUND",IF(U198="1C",VLOOKUP(V198,'Catalogue Aluminium'!$Q$9:$S$28,2,FALSE),VLOOKUP(V198,'Catalogue Aluminium'!$Q$9:$S$28,3))))))</f>
        <v>NA</v>
      </c>
      <c r="AN198" s="365">
        <f t="shared" si="1539"/>
        <v>0.58740000000000003</v>
      </c>
      <c r="AO198" s="352">
        <f t="shared" si="1540"/>
        <v>41.118000000000002</v>
      </c>
      <c r="AP198" s="353">
        <f t="shared" si="1303"/>
        <v>1</v>
      </c>
      <c r="AQ198" s="352" t="str">
        <f t="shared" si="1541"/>
        <v>YES</v>
      </c>
      <c r="AR198" s="365">
        <f t="shared" si="1542"/>
        <v>0</v>
      </c>
      <c r="AS198" s="496" t="str">
        <f t="shared" si="1543"/>
        <v>YES</v>
      </c>
      <c r="AT198" s="497">
        <f t="shared" si="1544"/>
        <v>0</v>
      </c>
      <c r="AU198" s="360" t="str">
        <f t="shared" si="1545"/>
        <v>YES</v>
      </c>
      <c r="AV198" s="366" t="str">
        <f t="shared" si="1546"/>
        <v>1R x 0.6/1kV x 3C x 16 Sqmm</v>
      </c>
      <c r="AW198" s="366" t="str">
        <f t="shared" si="1547"/>
        <v>1R x 0.6/1kV x 3C x 16+PE Sqmm</v>
      </c>
      <c r="AX198" s="360"/>
      <c r="AY198" s="367"/>
      <c r="AZ198" s="367"/>
      <c r="BA198" s="520" t="str">
        <f t="shared" si="1277"/>
        <v/>
      </c>
      <c r="BB198" s="498"/>
      <c r="BC198" s="426"/>
      <c r="BE198" s="368"/>
      <c r="BF198" s="368"/>
      <c r="BG198" s="368"/>
      <c r="BH198" s="368"/>
      <c r="BI198" s="368"/>
      <c r="BJ198" s="368"/>
      <c r="BK198" s="368"/>
      <c r="BL198" s="368"/>
      <c r="BM198" s="368"/>
      <c r="BN198" s="368"/>
      <c r="BO198" s="368"/>
      <c r="BP198" s="368"/>
      <c r="BQ198" s="368"/>
      <c r="BR198" s="368"/>
      <c r="BS198" s="368"/>
      <c r="BT198" s="368"/>
      <c r="BU198" s="368"/>
      <c r="BV198" s="368"/>
      <c r="BW198" s="368"/>
      <c r="BX198" s="368"/>
      <c r="BY198" s="368"/>
      <c r="BZ198" s="368"/>
      <c r="CA198" s="368"/>
      <c r="CB198" s="368"/>
      <c r="CC198" s="368"/>
      <c r="CD198" s="368"/>
      <c r="CE198" s="368"/>
      <c r="CF198" s="368"/>
      <c r="CG198" s="368"/>
      <c r="CH198" s="368"/>
      <c r="CI198" s="368"/>
      <c r="CJ198" s="368"/>
      <c r="CK198" s="368"/>
      <c r="CL198" s="368"/>
      <c r="CM198" s="368"/>
      <c r="CN198" s="368"/>
      <c r="CO198" s="368"/>
      <c r="CP198" s="368"/>
      <c r="CQ198" s="368"/>
      <c r="CR198" s="368"/>
      <c r="CS198" s="368"/>
      <c r="CT198" s="368"/>
      <c r="CU198" s="368"/>
      <c r="CV198" s="368"/>
      <c r="CW198" s="368"/>
      <c r="CX198" s="368"/>
      <c r="CY198" s="368"/>
      <c r="CZ198" s="368"/>
      <c r="DA198" s="368"/>
      <c r="DB198" s="368"/>
      <c r="DC198" s="368"/>
      <c r="DD198" s="368"/>
      <c r="DE198" s="368"/>
      <c r="DF198" s="368"/>
      <c r="DG198" s="368"/>
      <c r="DH198" s="368"/>
      <c r="DI198" s="368"/>
      <c r="DJ198" s="368"/>
      <c r="DK198" s="368"/>
      <c r="DL198" s="368"/>
      <c r="DM198" s="368"/>
      <c r="DN198" s="368"/>
      <c r="DO198" s="368"/>
      <c r="DP198" s="368"/>
      <c r="DQ198" s="368"/>
      <c r="DR198" s="368"/>
      <c r="DS198" s="368"/>
      <c r="DT198" s="368"/>
      <c r="DU198" s="368"/>
      <c r="DW198" s="368">
        <f t="shared" si="1012"/>
        <v>0</v>
      </c>
      <c r="DX198" s="368">
        <f t="shared" si="1004"/>
        <v>0</v>
      </c>
      <c r="DY198" s="368">
        <f t="shared" si="1005"/>
        <v>0</v>
      </c>
      <c r="DZ198" s="368">
        <f t="shared" si="1006"/>
        <v>0</v>
      </c>
      <c r="EA198" s="368">
        <f t="shared" si="1007"/>
        <v>0</v>
      </c>
      <c r="EB198" s="368">
        <f t="shared" si="1008"/>
        <v>0</v>
      </c>
      <c r="EC198" s="368">
        <f t="shared" si="1009"/>
        <v>0</v>
      </c>
      <c r="ED198" s="368">
        <f t="shared" si="919"/>
        <v>0</v>
      </c>
      <c r="EE198" s="368">
        <f t="shared" si="920"/>
        <v>0</v>
      </c>
      <c r="EF198" s="368">
        <f t="shared" si="921"/>
        <v>0</v>
      </c>
      <c r="EG198" s="368">
        <f t="shared" si="922"/>
        <v>0</v>
      </c>
      <c r="EH198" s="368">
        <f t="shared" si="923"/>
        <v>0</v>
      </c>
      <c r="EI198" s="368">
        <f t="shared" si="924"/>
        <v>0</v>
      </c>
      <c r="EJ198" s="368">
        <f t="shared" si="925"/>
        <v>0</v>
      </c>
      <c r="EK198" s="368">
        <f t="shared" si="926"/>
        <v>0</v>
      </c>
      <c r="EL198" s="368">
        <f t="shared" si="927"/>
        <v>0</v>
      </c>
      <c r="EM198" s="368">
        <f t="shared" si="928"/>
        <v>0</v>
      </c>
      <c r="EN198" s="368">
        <f t="shared" si="929"/>
        <v>0</v>
      </c>
      <c r="EO198" s="368">
        <f t="shared" si="930"/>
        <v>0</v>
      </c>
      <c r="EP198" s="368">
        <f t="shared" si="931"/>
        <v>0</v>
      </c>
      <c r="EQ198" s="368">
        <f t="shared" si="932"/>
        <v>0</v>
      </c>
      <c r="ER198" s="368">
        <f t="shared" si="933"/>
        <v>0</v>
      </c>
      <c r="ES198" s="368">
        <f t="shared" si="934"/>
        <v>0</v>
      </c>
      <c r="ET198" s="368">
        <f t="shared" si="934"/>
        <v>0</v>
      </c>
      <c r="EU198" s="368">
        <f t="shared" si="935"/>
        <v>0</v>
      </c>
      <c r="EV198" s="368">
        <f t="shared" si="936"/>
        <v>0</v>
      </c>
      <c r="EW198" s="368">
        <f t="shared" si="937"/>
        <v>0</v>
      </c>
      <c r="EX198" s="368">
        <f t="shared" si="938"/>
        <v>0</v>
      </c>
      <c r="EY198" s="368">
        <f t="shared" si="939"/>
        <v>0</v>
      </c>
      <c r="EZ198" s="368">
        <f t="shared" si="940"/>
        <v>0</v>
      </c>
      <c r="FA198" s="368">
        <f t="shared" si="941"/>
        <v>0</v>
      </c>
      <c r="FB198" s="368">
        <f t="shared" si="942"/>
        <v>0</v>
      </c>
      <c r="FC198" s="368">
        <f t="shared" si="943"/>
        <v>0</v>
      </c>
      <c r="FD198" s="368">
        <f t="shared" si="944"/>
        <v>0</v>
      </c>
      <c r="FE198" s="368">
        <f t="shared" si="945"/>
        <v>0</v>
      </c>
      <c r="FF198" s="368">
        <f t="shared" si="946"/>
        <v>0</v>
      </c>
      <c r="FG198" s="368">
        <f t="shared" si="947"/>
        <v>0</v>
      </c>
      <c r="FH198" s="368">
        <f t="shared" si="948"/>
        <v>0</v>
      </c>
      <c r="FI198" s="368">
        <f t="shared" si="949"/>
        <v>0</v>
      </c>
      <c r="FJ198" s="368">
        <f t="shared" si="950"/>
        <v>0</v>
      </c>
      <c r="FK198" s="368">
        <f t="shared" si="951"/>
        <v>0</v>
      </c>
      <c r="FL198" s="368">
        <f t="shared" si="952"/>
        <v>0</v>
      </c>
      <c r="FM198" s="368">
        <f t="shared" si="953"/>
        <v>0</v>
      </c>
      <c r="FN198" s="368">
        <f t="shared" si="954"/>
        <v>0</v>
      </c>
      <c r="FO198" s="368">
        <f t="shared" si="955"/>
        <v>0</v>
      </c>
      <c r="FP198" s="368">
        <f t="shared" si="956"/>
        <v>0</v>
      </c>
      <c r="FQ198" s="368">
        <f t="shared" si="957"/>
        <v>0</v>
      </c>
      <c r="FR198" s="368">
        <f t="shared" si="958"/>
        <v>0</v>
      </c>
      <c r="FS198" s="368">
        <f t="shared" si="959"/>
        <v>0</v>
      </c>
      <c r="FT198" s="368">
        <f t="shared" si="960"/>
        <v>0</v>
      </c>
      <c r="FU198" s="368"/>
      <c r="FV198" s="368"/>
      <c r="FW198" s="368"/>
      <c r="FX198" s="368"/>
      <c r="FY198" s="368">
        <f t="shared" si="961"/>
        <v>0</v>
      </c>
      <c r="FZ198" s="368">
        <f t="shared" si="962"/>
        <v>0</v>
      </c>
      <c r="GA198" s="368">
        <f t="shared" si="963"/>
        <v>0</v>
      </c>
      <c r="GB198" s="368">
        <f t="shared" si="964"/>
        <v>0</v>
      </c>
      <c r="GC198" s="368">
        <f t="shared" si="965"/>
        <v>0</v>
      </c>
      <c r="GD198" s="368">
        <f t="shared" si="966"/>
        <v>0</v>
      </c>
      <c r="GE198" s="368">
        <f t="shared" si="967"/>
        <v>0</v>
      </c>
      <c r="GF198" s="368">
        <f t="shared" si="968"/>
        <v>0</v>
      </c>
      <c r="GG198" s="368">
        <f t="shared" si="969"/>
        <v>0</v>
      </c>
      <c r="GH198" s="368">
        <f t="shared" si="970"/>
        <v>0</v>
      </c>
      <c r="GI198" s="368">
        <f t="shared" si="971"/>
        <v>0</v>
      </c>
      <c r="GJ198" s="368">
        <f t="shared" si="972"/>
        <v>0</v>
      </c>
      <c r="GK198" s="368">
        <f t="shared" si="1469"/>
        <v>0</v>
      </c>
      <c r="GL198" s="368"/>
      <c r="GM198" s="368">
        <f t="shared" si="973"/>
        <v>0</v>
      </c>
    </row>
    <row r="199" spans="1:195" s="83" customFormat="1" ht="20.100000000000001" hidden="1" customHeight="1">
      <c r="A199" s="357" t="s">
        <v>334</v>
      </c>
      <c r="B199" s="562" t="s">
        <v>527</v>
      </c>
      <c r="C199" s="357" t="str">
        <f t="shared" si="1529"/>
        <v>EPMCC-1</v>
      </c>
      <c r="D199" s="395" t="s">
        <v>568</v>
      </c>
      <c r="E199" s="565" t="s">
        <v>345</v>
      </c>
      <c r="F199" s="357" t="s">
        <v>28</v>
      </c>
      <c r="G199" s="357" t="s">
        <v>329</v>
      </c>
      <c r="H199" s="352">
        <v>17.5</v>
      </c>
      <c r="I199" s="357" t="s">
        <v>330</v>
      </c>
      <c r="J199" s="357" t="s">
        <v>331</v>
      </c>
      <c r="K199" s="353">
        <v>400</v>
      </c>
      <c r="L199" s="360">
        <v>0.85</v>
      </c>
      <c r="M199" s="352">
        <v>0.95</v>
      </c>
      <c r="N199" s="359">
        <f t="shared" si="1530"/>
        <v>31.281504944265301</v>
      </c>
      <c r="O199" s="359">
        <f t="shared" si="1293"/>
        <v>0</v>
      </c>
      <c r="P199" s="360" t="str">
        <f t="shared" si="1531"/>
        <v>0.00</v>
      </c>
      <c r="Q199" s="352">
        <v>50</v>
      </c>
      <c r="R199" s="352">
        <v>0</v>
      </c>
      <c r="S199" s="352">
        <f t="shared" si="1532"/>
        <v>0</v>
      </c>
      <c r="T199" s="360" t="s">
        <v>131</v>
      </c>
      <c r="U199" s="352" t="s">
        <v>535</v>
      </c>
      <c r="V199" s="360">
        <v>95</v>
      </c>
      <c r="W199" s="360" t="str">
        <f t="shared" si="1533"/>
        <v>3.5C X 95</v>
      </c>
      <c r="X199" s="360" t="str">
        <f t="shared" si="1534"/>
        <v>3.5C X 95</v>
      </c>
      <c r="Y199" s="360" t="s">
        <v>358</v>
      </c>
      <c r="Z199" s="361">
        <f>IF(T199="AIR",VLOOKUP(W199,'Catalogue Aluminium'!$B$9:$G$93,2,FALSE),IF(T199="GROUND",VLOOKUP(W199,'Catalogue Aluminium'!$B$9:$G$93,3,FALSE),IF(T199="DUCT",VLOOKUP(W199,'Catalogue Aluminium'!$B$9:$G$93,4,FALSE),IF(T199="TRENCH",VLOOKUP(W199,'Catalogue Aluminium'!$B$9:$G$93,2,FALSE)))))</f>
        <v>221</v>
      </c>
      <c r="AA199" s="362">
        <f>VLOOKUP(W199,'Catalogue Aluminium'!$B$9:$G$93,5,FALSE)</f>
        <v>0.41</v>
      </c>
      <c r="AB199" s="362">
        <f>VLOOKUP(W199,'Catalogue Aluminium'!$B$9:$G$93,6,FALSE)</f>
        <v>7.3400000000000007E-2</v>
      </c>
      <c r="AC199" s="564">
        <f>28+7</f>
        <v>35</v>
      </c>
      <c r="AD199" s="360">
        <f t="shared" si="1584"/>
        <v>304</v>
      </c>
      <c r="AE199" s="456">
        <f t="shared" si="1583"/>
        <v>38</v>
      </c>
      <c r="AF199" s="360">
        <v>8</v>
      </c>
      <c r="AG199" s="360">
        <f t="shared" si="1537"/>
        <v>39</v>
      </c>
      <c r="AH199" s="363"/>
      <c r="AI199" s="361">
        <f>IF(T199="AIR",'Catalogue Aluminium'!$K$9,IF(T199="TRENCH",'Catalogue Aluminium'!$K$12,"NA"))</f>
        <v>0.89</v>
      </c>
      <c r="AJ199" s="359">
        <f>IF(T199="Air",(IF(U199="1C",'Catalogue Aluminium'!$L$9,'Catalogue Aluminium'!$M$9)),IF(T199="DUCT",(IF($U199="1C",'Catalogue Aluminium'!$L$10,'Catalogue Aluminium'!$M$10)),IF(T199="GROUND",(IF($U199="1C",'Catalogue Aluminium'!$L$11,'Catalogue Aluminium'!$M$11)),IF(T199="TRENCH",(IF($U199="1C",'Catalogue Aluminium'!$L$12,'Catalogue Aluminium'!$M$12))))))</f>
        <v>0.66</v>
      </c>
      <c r="AK199" s="361" t="str">
        <f>IF(T199="Air",'Catalogue Aluminium'!$N$9,IF(T199="GROUND",'Catalogue Aluminium'!$N$10,IF(T199="DUCT",'Catalogue Aluminium'!$N$11,IF(T199="TRENCH",'Catalogue Aluminium'!$N$12,"NA"))))</f>
        <v>NA</v>
      </c>
      <c r="AL199" s="361" t="str">
        <f>IF(T199="Air",(IF(U199="1C",'Catalogue Aluminium'!$O$9,'Catalogue Aluminium'!$P$9)),IF(T199="DUCT",(IF($U199="1C",'Catalogue Aluminium'!$O$10,'Catalogue Aluminium'!$P$10)),IF(T199="GROUND",(IF($U199="1C",'Catalogue Aluminium'!$O$11,'Catalogue Aluminium'!$P$11)),IF(T199="TRENCH",(IF($U199="1C",'Catalogue Aluminium'!$O$12,'Catalogue Aluminium'!$P$12))))))</f>
        <v>NA</v>
      </c>
      <c r="AM199" s="361" t="str">
        <f>IF(T199="AIR","NA",IF(T199="TRENCH","NA",IF(T199="DUCT",IF(U199="1C",VLOOKUP(V199,'Catalogue Aluminium'!$Q$9:$S$28,2,FALSE),VLOOKUP(V199,'Catalogue Aluminium'!$Q$9:$S$28,3)),IF(T199="GROUND",IF(U199="1C",VLOOKUP(V199,'Catalogue Aluminium'!$Q$9:$S$28,2,FALSE),VLOOKUP(V199,'Catalogue Aluminium'!$Q$9:$S$28,3))))))</f>
        <v>NA</v>
      </c>
      <c r="AN199" s="365">
        <f t="shared" si="1539"/>
        <v>0.58740000000000003</v>
      </c>
      <c r="AO199" s="352">
        <f t="shared" si="1540"/>
        <v>129.81540000000001</v>
      </c>
      <c r="AP199" s="353">
        <f t="shared" si="1303"/>
        <v>1</v>
      </c>
      <c r="AQ199" s="352" t="str">
        <f t="shared" si="1541"/>
        <v>YES</v>
      </c>
      <c r="AR199" s="365">
        <f t="shared" si="1542"/>
        <v>0</v>
      </c>
      <c r="AS199" s="496" t="str">
        <f t="shared" si="1543"/>
        <v>YES</v>
      </c>
      <c r="AT199" s="497" t="str">
        <f t="shared" si="1544"/>
        <v>NA</v>
      </c>
      <c r="AU199" s="360" t="str">
        <f t="shared" si="1545"/>
        <v>NA</v>
      </c>
      <c r="AV199" s="366" t="str">
        <f t="shared" si="1546"/>
        <v>1R x 0.6/1kV x 3.5C x 95 Sqmm</v>
      </c>
      <c r="AW199" s="366" t="str">
        <f t="shared" si="1547"/>
        <v>1R x 0.6/1kV x 3.5C x 95 Sqmm</v>
      </c>
      <c r="AX199" s="360"/>
      <c r="AY199" s="367"/>
      <c r="AZ199" s="367"/>
      <c r="BA199" s="520" t="str">
        <f t="shared" si="1277"/>
        <v/>
      </c>
      <c r="BB199" s="498"/>
      <c r="BC199" s="426"/>
      <c r="BE199" s="368"/>
      <c r="BF199" s="368"/>
      <c r="BG199" s="368"/>
      <c r="BH199" s="368"/>
      <c r="BI199" s="368"/>
      <c r="BJ199" s="368"/>
      <c r="BK199" s="368"/>
      <c r="BL199" s="368"/>
      <c r="BM199" s="368"/>
      <c r="BN199" s="368"/>
      <c r="BO199" s="368"/>
      <c r="BP199" s="368"/>
      <c r="BQ199" s="368"/>
      <c r="BR199" s="368"/>
      <c r="BS199" s="368"/>
      <c r="BT199" s="368"/>
      <c r="BU199" s="368"/>
      <c r="BV199" s="368"/>
      <c r="BW199" s="368"/>
      <c r="BX199" s="368"/>
      <c r="BY199" s="368"/>
      <c r="BZ199" s="368"/>
      <c r="CA199" s="368"/>
      <c r="CB199" s="368"/>
      <c r="CC199" s="368"/>
      <c r="CD199" s="368"/>
      <c r="CE199" s="368"/>
      <c r="CF199" s="368"/>
      <c r="CG199" s="368"/>
      <c r="CH199" s="368"/>
      <c r="CI199" s="368"/>
      <c r="CJ199" s="368"/>
      <c r="CK199" s="368"/>
      <c r="CL199" s="368"/>
      <c r="CM199" s="368"/>
      <c r="CN199" s="368"/>
      <c r="CO199" s="368"/>
      <c r="CP199" s="368"/>
      <c r="CQ199" s="368"/>
      <c r="CR199" s="368"/>
      <c r="CS199" s="368"/>
      <c r="CT199" s="368"/>
      <c r="CU199" s="368"/>
      <c r="CV199" s="368"/>
      <c r="CW199" s="368"/>
      <c r="CX199" s="368"/>
      <c r="CY199" s="368"/>
      <c r="CZ199" s="368"/>
      <c r="DA199" s="368"/>
      <c r="DB199" s="368"/>
      <c r="DC199" s="368"/>
      <c r="DD199" s="368"/>
      <c r="DE199" s="368"/>
      <c r="DF199" s="368"/>
      <c r="DG199" s="368"/>
      <c r="DH199" s="368"/>
      <c r="DI199" s="368"/>
      <c r="DJ199" s="368"/>
      <c r="DK199" s="368"/>
      <c r="DL199" s="368"/>
      <c r="DM199" s="368"/>
      <c r="DN199" s="368"/>
      <c r="DO199" s="368"/>
      <c r="DP199" s="368"/>
      <c r="DQ199" s="368"/>
      <c r="DR199" s="368"/>
      <c r="DS199" s="368"/>
      <c r="DT199" s="368"/>
      <c r="DU199" s="368"/>
      <c r="DW199" s="368">
        <f t="shared" si="1012"/>
        <v>0</v>
      </c>
      <c r="DX199" s="368">
        <f t="shared" si="1004"/>
        <v>0</v>
      </c>
      <c r="DY199" s="368">
        <f t="shared" si="1005"/>
        <v>0</v>
      </c>
      <c r="DZ199" s="368">
        <f t="shared" si="1006"/>
        <v>0</v>
      </c>
      <c r="EA199" s="368">
        <f t="shared" si="1007"/>
        <v>0</v>
      </c>
      <c r="EB199" s="368">
        <f t="shared" si="1008"/>
        <v>0</v>
      </c>
      <c r="EC199" s="368">
        <f t="shared" si="1009"/>
        <v>0</v>
      </c>
      <c r="ED199" s="368">
        <f t="shared" si="919"/>
        <v>0</v>
      </c>
      <c r="EE199" s="368">
        <f t="shared" si="920"/>
        <v>0</v>
      </c>
      <c r="EF199" s="368">
        <f t="shared" si="921"/>
        <v>0</v>
      </c>
      <c r="EG199" s="368">
        <f t="shared" si="922"/>
        <v>0</v>
      </c>
      <c r="EH199" s="368">
        <f t="shared" si="923"/>
        <v>0</v>
      </c>
      <c r="EI199" s="368">
        <f t="shared" si="924"/>
        <v>0</v>
      </c>
      <c r="EJ199" s="368">
        <f t="shared" si="925"/>
        <v>0</v>
      </c>
      <c r="EK199" s="368">
        <f t="shared" si="926"/>
        <v>0</v>
      </c>
      <c r="EL199" s="368">
        <f t="shared" si="927"/>
        <v>0</v>
      </c>
      <c r="EM199" s="368">
        <f t="shared" si="928"/>
        <v>0</v>
      </c>
      <c r="EN199" s="368">
        <f t="shared" si="929"/>
        <v>0</v>
      </c>
      <c r="EO199" s="368">
        <f t="shared" si="930"/>
        <v>0</v>
      </c>
      <c r="EP199" s="368">
        <f t="shared" si="931"/>
        <v>0</v>
      </c>
      <c r="EQ199" s="368">
        <f t="shared" si="932"/>
        <v>0</v>
      </c>
      <c r="ER199" s="368">
        <f t="shared" si="933"/>
        <v>0</v>
      </c>
      <c r="ES199" s="368">
        <f t="shared" si="934"/>
        <v>0</v>
      </c>
      <c r="ET199" s="368">
        <f t="shared" si="934"/>
        <v>0</v>
      </c>
      <c r="EU199" s="368">
        <f t="shared" si="935"/>
        <v>0</v>
      </c>
      <c r="EV199" s="368">
        <f t="shared" si="936"/>
        <v>0</v>
      </c>
      <c r="EW199" s="368">
        <f t="shared" si="937"/>
        <v>0</v>
      </c>
      <c r="EX199" s="368">
        <f t="shared" si="938"/>
        <v>0</v>
      </c>
      <c r="EY199" s="368">
        <f t="shared" si="939"/>
        <v>0</v>
      </c>
      <c r="EZ199" s="368">
        <f t="shared" si="940"/>
        <v>0</v>
      </c>
      <c r="FA199" s="368">
        <f t="shared" si="941"/>
        <v>0</v>
      </c>
      <c r="FB199" s="368">
        <f t="shared" si="942"/>
        <v>0</v>
      </c>
      <c r="FC199" s="368">
        <f t="shared" si="943"/>
        <v>0</v>
      </c>
      <c r="FD199" s="368">
        <f t="shared" si="944"/>
        <v>0</v>
      </c>
      <c r="FE199" s="368">
        <f t="shared" si="945"/>
        <v>0</v>
      </c>
      <c r="FF199" s="368">
        <f t="shared" si="946"/>
        <v>0</v>
      </c>
      <c r="FG199" s="368">
        <f t="shared" si="947"/>
        <v>0</v>
      </c>
      <c r="FH199" s="368">
        <f t="shared" si="948"/>
        <v>0</v>
      </c>
      <c r="FI199" s="368">
        <f t="shared" si="949"/>
        <v>0</v>
      </c>
      <c r="FJ199" s="368">
        <f t="shared" si="950"/>
        <v>0</v>
      </c>
      <c r="FK199" s="368">
        <f t="shared" si="951"/>
        <v>0</v>
      </c>
      <c r="FL199" s="368">
        <f t="shared" si="952"/>
        <v>0</v>
      </c>
      <c r="FM199" s="368">
        <f t="shared" si="953"/>
        <v>0</v>
      </c>
      <c r="FN199" s="368">
        <f t="shared" si="954"/>
        <v>0</v>
      </c>
      <c r="FO199" s="368">
        <f t="shared" si="955"/>
        <v>0</v>
      </c>
      <c r="FP199" s="368">
        <f t="shared" si="956"/>
        <v>0</v>
      </c>
      <c r="FQ199" s="368">
        <f t="shared" si="957"/>
        <v>0</v>
      </c>
      <c r="FR199" s="368">
        <f t="shared" si="958"/>
        <v>0</v>
      </c>
      <c r="FS199" s="368">
        <f t="shared" si="959"/>
        <v>0</v>
      </c>
      <c r="FT199" s="368">
        <f t="shared" si="960"/>
        <v>0</v>
      </c>
      <c r="FU199" s="368"/>
      <c r="FV199" s="368"/>
      <c r="FW199" s="368"/>
      <c r="FX199" s="368"/>
      <c r="FY199" s="368">
        <f t="shared" si="961"/>
        <v>0</v>
      </c>
      <c r="FZ199" s="368">
        <f t="shared" si="962"/>
        <v>0</v>
      </c>
      <c r="GA199" s="368">
        <f t="shared" si="963"/>
        <v>0</v>
      </c>
      <c r="GB199" s="368">
        <f t="shared" si="964"/>
        <v>0</v>
      </c>
      <c r="GC199" s="368">
        <f t="shared" si="965"/>
        <v>0</v>
      </c>
      <c r="GD199" s="368">
        <f t="shared" si="966"/>
        <v>0</v>
      </c>
      <c r="GE199" s="368">
        <f t="shared" si="967"/>
        <v>0</v>
      </c>
      <c r="GF199" s="368">
        <f t="shared" si="968"/>
        <v>0</v>
      </c>
      <c r="GG199" s="368">
        <f t="shared" si="969"/>
        <v>0</v>
      </c>
      <c r="GH199" s="368">
        <f t="shared" si="970"/>
        <v>0</v>
      </c>
      <c r="GI199" s="368">
        <f t="shared" si="971"/>
        <v>0</v>
      </c>
      <c r="GJ199" s="368">
        <f t="shared" si="972"/>
        <v>0</v>
      </c>
      <c r="GK199" s="368">
        <f t="shared" si="1469"/>
        <v>0</v>
      </c>
      <c r="GL199" s="368"/>
      <c r="GM199" s="368">
        <f t="shared" si="973"/>
        <v>0</v>
      </c>
    </row>
    <row r="200" spans="1:195" s="83" customFormat="1" ht="20.100000000000001" hidden="1" customHeight="1">
      <c r="A200" s="357" t="s">
        <v>334</v>
      </c>
      <c r="B200" s="562" t="s">
        <v>527</v>
      </c>
      <c r="C200" s="357" t="str">
        <f t="shared" si="1529"/>
        <v>EPMCC-1</v>
      </c>
      <c r="D200" s="395" t="s">
        <v>668</v>
      </c>
      <c r="E200" s="565" t="s">
        <v>345</v>
      </c>
      <c r="F200" s="357" t="s">
        <v>29</v>
      </c>
      <c r="G200" s="357" t="s">
        <v>329</v>
      </c>
      <c r="H200" s="352">
        <v>3.5</v>
      </c>
      <c r="I200" s="357" t="s">
        <v>330</v>
      </c>
      <c r="J200" s="357" t="s">
        <v>331</v>
      </c>
      <c r="K200" s="353">
        <v>400</v>
      </c>
      <c r="L200" s="360">
        <v>0.85</v>
      </c>
      <c r="M200" s="352">
        <v>0.95</v>
      </c>
      <c r="N200" s="359">
        <f t="shared" si="1530"/>
        <v>6.2563009888530603</v>
      </c>
      <c r="O200" s="359">
        <f t="shared" si="1293"/>
        <v>0</v>
      </c>
      <c r="P200" s="360" t="str">
        <f t="shared" si="1531"/>
        <v>0.00</v>
      </c>
      <c r="Q200" s="352">
        <v>50</v>
      </c>
      <c r="R200" s="352">
        <v>0</v>
      </c>
      <c r="S200" s="352">
        <f t="shared" si="1532"/>
        <v>0</v>
      </c>
      <c r="T200" s="360" t="s">
        <v>131</v>
      </c>
      <c r="U200" s="352" t="s">
        <v>535</v>
      </c>
      <c r="V200" s="360">
        <v>25</v>
      </c>
      <c r="W200" s="360" t="str">
        <f t="shared" si="1533"/>
        <v>3.5C X 25</v>
      </c>
      <c r="X200" s="360" t="str">
        <f t="shared" si="1534"/>
        <v>3.5C X 25</v>
      </c>
      <c r="Y200" s="360" t="s">
        <v>358</v>
      </c>
      <c r="Z200" s="361">
        <f>IF(T200="AIR",VLOOKUP(W200,'Catalogue Aluminium'!$B$9:$G$93,2,FALSE),IF(T200="GROUND",VLOOKUP(W200,'Catalogue Aluminium'!$B$9:$G$93,3,FALSE),IF(T200="DUCT",VLOOKUP(W200,'Catalogue Aluminium'!$B$9:$G$93,4,FALSE),IF(T200="TRENCH",VLOOKUP(W200,'Catalogue Aluminium'!$B$9:$G$93,2,FALSE)))))</f>
        <v>95</v>
      </c>
      <c r="AA200" s="362">
        <f>VLOOKUP(W200,'Catalogue Aluminium'!$B$9:$G$93,5,FALSE)</f>
        <v>1.54</v>
      </c>
      <c r="AB200" s="362">
        <f>VLOOKUP(W200,'Catalogue Aluminium'!$B$9:$G$93,6,FALSE)</f>
        <v>8.1600000000000006E-2</v>
      </c>
      <c r="AC200" s="564">
        <f>22+7</f>
        <v>29</v>
      </c>
      <c r="AD200" s="360">
        <f t="shared" si="1584"/>
        <v>304</v>
      </c>
      <c r="AE200" s="456">
        <f t="shared" si="1583"/>
        <v>38</v>
      </c>
      <c r="AF200" s="360">
        <v>8</v>
      </c>
      <c r="AG200" s="360">
        <f t="shared" si="1537"/>
        <v>38</v>
      </c>
      <c r="AH200" s="363"/>
      <c r="AI200" s="361">
        <f>IF(T200="AIR",'Catalogue Aluminium'!$K$9,IF(T200="TRENCH",'Catalogue Aluminium'!$K$12,"NA"))</f>
        <v>0.89</v>
      </c>
      <c r="AJ200" s="359">
        <f>IF(T200="Air",(IF(U200="1C",'Catalogue Aluminium'!$L$9,'Catalogue Aluminium'!$M$9)),IF(T200="DUCT",(IF($U200="1C",'Catalogue Aluminium'!$L$10,'Catalogue Aluminium'!$M$10)),IF(T200="GROUND",(IF($U200="1C",'Catalogue Aluminium'!$L$11,'Catalogue Aluminium'!$M$11)),IF(T200="TRENCH",(IF($U200="1C",'Catalogue Aluminium'!$L$12,'Catalogue Aluminium'!$M$12))))))</f>
        <v>0.66</v>
      </c>
      <c r="AK200" s="361" t="str">
        <f>IF(T200="Air",'Catalogue Aluminium'!$N$9,IF(T200="GROUND",'Catalogue Aluminium'!$N$10,IF(T200="DUCT",'Catalogue Aluminium'!$N$11,IF(T200="TRENCH",'Catalogue Aluminium'!$N$12,"NA"))))</f>
        <v>NA</v>
      </c>
      <c r="AL200" s="361" t="str">
        <f>IF(T200="Air",(IF(U200="1C",'Catalogue Aluminium'!$O$9,'Catalogue Aluminium'!$P$9)),IF(T200="DUCT",(IF($U200="1C",'Catalogue Aluminium'!$O$10,'Catalogue Aluminium'!$P$10)),IF(T200="GROUND",(IF($U200="1C",'Catalogue Aluminium'!$O$11,'Catalogue Aluminium'!$P$11)),IF(T200="TRENCH",(IF($U200="1C",'Catalogue Aluminium'!$O$12,'Catalogue Aluminium'!$P$12))))))</f>
        <v>NA</v>
      </c>
      <c r="AM200" s="361" t="str">
        <f>IF(T200="AIR","NA",IF(T200="TRENCH","NA",IF(T200="DUCT",IF(U200="1C",VLOOKUP(V200,'Catalogue Aluminium'!$Q$9:$S$28,2,FALSE),VLOOKUP(V200,'Catalogue Aluminium'!$Q$9:$S$28,3)),IF(T200="GROUND",IF(U200="1C",VLOOKUP(V200,'Catalogue Aluminium'!$Q$9:$S$28,2,FALSE),VLOOKUP(V200,'Catalogue Aluminium'!$Q$9:$S$28,3))))))</f>
        <v>NA</v>
      </c>
      <c r="AN200" s="365">
        <f t="shared" si="1539"/>
        <v>0.58740000000000003</v>
      </c>
      <c r="AO200" s="352">
        <f t="shared" si="1540"/>
        <v>55.803000000000004</v>
      </c>
      <c r="AP200" s="353">
        <f t="shared" si="1303"/>
        <v>1</v>
      </c>
      <c r="AQ200" s="352" t="str">
        <f t="shared" si="1541"/>
        <v>YES</v>
      </c>
      <c r="AR200" s="365">
        <f t="shared" si="1542"/>
        <v>0</v>
      </c>
      <c r="AS200" s="496" t="str">
        <f t="shared" si="1543"/>
        <v>YES</v>
      </c>
      <c r="AT200" s="497" t="str">
        <f t="shared" si="1544"/>
        <v>NA</v>
      </c>
      <c r="AU200" s="360" t="str">
        <f t="shared" si="1545"/>
        <v>NA</v>
      </c>
      <c r="AV200" s="366" t="str">
        <f t="shared" si="1546"/>
        <v>1R x 0.6/1kV x 3.5C x 25 Sqmm</v>
      </c>
      <c r="AW200" s="366" t="str">
        <f t="shared" si="1547"/>
        <v>1R x 0.6/1kV x 3.5C x 25 Sqmm</v>
      </c>
      <c r="AX200" s="360"/>
      <c r="AY200" s="367"/>
      <c r="AZ200" s="367"/>
      <c r="BA200" s="520" t="str">
        <f t="shared" si="1277"/>
        <v/>
      </c>
      <c r="BB200" s="498"/>
      <c r="BC200" s="426"/>
      <c r="BE200" s="368"/>
      <c r="BF200" s="368"/>
      <c r="BG200" s="368"/>
      <c r="BH200" s="368"/>
      <c r="BI200" s="368"/>
      <c r="BJ200" s="368"/>
      <c r="BK200" s="368"/>
      <c r="BL200" s="368"/>
      <c r="BM200" s="368"/>
      <c r="BN200" s="368"/>
      <c r="BO200" s="368"/>
      <c r="BP200" s="368"/>
      <c r="BQ200" s="368"/>
      <c r="BR200" s="368"/>
      <c r="BS200" s="368"/>
      <c r="BT200" s="368"/>
      <c r="BU200" s="368"/>
      <c r="BV200" s="368"/>
      <c r="BW200" s="368"/>
      <c r="BX200" s="368"/>
      <c r="BY200" s="368"/>
      <c r="BZ200" s="368"/>
      <c r="CA200" s="368"/>
      <c r="CB200" s="368"/>
      <c r="CC200" s="368"/>
      <c r="CD200" s="368"/>
      <c r="CE200" s="368"/>
      <c r="CF200" s="368"/>
      <c r="CG200" s="368"/>
      <c r="CH200" s="368"/>
      <c r="CI200" s="368"/>
      <c r="CJ200" s="368"/>
      <c r="CK200" s="368"/>
      <c r="CL200" s="368"/>
      <c r="CM200" s="368"/>
      <c r="CN200" s="368"/>
      <c r="CO200" s="368"/>
      <c r="CP200" s="368"/>
      <c r="CQ200" s="368"/>
      <c r="CR200" s="368"/>
      <c r="CS200" s="368"/>
      <c r="CT200" s="368"/>
      <c r="CU200" s="368"/>
      <c r="CV200" s="368"/>
      <c r="CW200" s="368"/>
      <c r="CX200" s="368"/>
      <c r="CY200" s="368"/>
      <c r="CZ200" s="368"/>
      <c r="DA200" s="368"/>
      <c r="DB200" s="368"/>
      <c r="DC200" s="368"/>
      <c r="DD200" s="368"/>
      <c r="DE200" s="368"/>
      <c r="DF200" s="368"/>
      <c r="DG200" s="368"/>
      <c r="DH200" s="368"/>
      <c r="DI200" s="368"/>
      <c r="DJ200" s="368"/>
      <c r="DK200" s="368"/>
      <c r="DL200" s="368"/>
      <c r="DM200" s="368"/>
      <c r="DN200" s="368"/>
      <c r="DO200" s="368"/>
      <c r="DP200" s="368"/>
      <c r="DQ200" s="368"/>
      <c r="DR200" s="368"/>
      <c r="DS200" s="368"/>
      <c r="DT200" s="368"/>
      <c r="DU200" s="368"/>
      <c r="DW200" s="368">
        <f t="shared" si="1012"/>
        <v>0</v>
      </c>
      <c r="DX200" s="368">
        <f t="shared" si="1004"/>
        <v>0</v>
      </c>
      <c r="DY200" s="368">
        <f t="shared" si="1005"/>
        <v>0</v>
      </c>
      <c r="DZ200" s="368">
        <f t="shared" si="1006"/>
        <v>0</v>
      </c>
      <c r="EA200" s="368">
        <f t="shared" si="1007"/>
        <v>0</v>
      </c>
      <c r="EB200" s="368">
        <f t="shared" si="1008"/>
        <v>0</v>
      </c>
      <c r="EC200" s="368">
        <f t="shared" si="1009"/>
        <v>0</v>
      </c>
      <c r="ED200" s="368">
        <f t="shared" si="919"/>
        <v>0</v>
      </c>
      <c r="EE200" s="368">
        <f t="shared" si="920"/>
        <v>0</v>
      </c>
      <c r="EF200" s="368">
        <f t="shared" si="921"/>
        <v>0</v>
      </c>
      <c r="EG200" s="368">
        <f t="shared" si="922"/>
        <v>0</v>
      </c>
      <c r="EH200" s="368">
        <f t="shared" si="923"/>
        <v>0</v>
      </c>
      <c r="EI200" s="368">
        <f t="shared" si="924"/>
        <v>0</v>
      </c>
      <c r="EJ200" s="368">
        <f t="shared" si="925"/>
        <v>0</v>
      </c>
      <c r="EK200" s="368">
        <f t="shared" si="926"/>
        <v>0</v>
      </c>
      <c r="EL200" s="368">
        <f t="shared" si="927"/>
        <v>0</v>
      </c>
      <c r="EM200" s="368">
        <f t="shared" si="928"/>
        <v>0</v>
      </c>
      <c r="EN200" s="368">
        <f t="shared" si="929"/>
        <v>0</v>
      </c>
      <c r="EO200" s="368">
        <f t="shared" si="930"/>
        <v>0</v>
      </c>
      <c r="EP200" s="368">
        <f t="shared" si="931"/>
        <v>0</v>
      </c>
      <c r="EQ200" s="368">
        <f t="shared" si="932"/>
        <v>0</v>
      </c>
      <c r="ER200" s="368">
        <f t="shared" si="933"/>
        <v>0</v>
      </c>
      <c r="ES200" s="368">
        <f t="shared" si="934"/>
        <v>0</v>
      </c>
      <c r="ET200" s="368">
        <f t="shared" si="934"/>
        <v>0</v>
      </c>
      <c r="EU200" s="368">
        <f t="shared" si="935"/>
        <v>0</v>
      </c>
      <c r="EV200" s="368">
        <f t="shared" si="936"/>
        <v>0</v>
      </c>
      <c r="EW200" s="368">
        <f t="shared" si="937"/>
        <v>0</v>
      </c>
      <c r="EX200" s="368">
        <f t="shared" si="938"/>
        <v>0</v>
      </c>
      <c r="EY200" s="368">
        <f t="shared" si="939"/>
        <v>0</v>
      </c>
      <c r="EZ200" s="368">
        <f t="shared" si="940"/>
        <v>0</v>
      </c>
      <c r="FA200" s="368">
        <f t="shared" si="941"/>
        <v>0</v>
      </c>
      <c r="FB200" s="368">
        <f t="shared" si="942"/>
        <v>0</v>
      </c>
      <c r="FC200" s="368">
        <f t="shared" si="943"/>
        <v>0</v>
      </c>
      <c r="FD200" s="368">
        <f t="shared" si="944"/>
        <v>0</v>
      </c>
      <c r="FE200" s="368">
        <f t="shared" si="945"/>
        <v>0</v>
      </c>
      <c r="FF200" s="368">
        <f t="shared" si="946"/>
        <v>0</v>
      </c>
      <c r="FG200" s="368">
        <f t="shared" si="947"/>
        <v>0</v>
      </c>
      <c r="FH200" s="368">
        <f t="shared" si="948"/>
        <v>0</v>
      </c>
      <c r="FI200" s="368">
        <f t="shared" si="949"/>
        <v>0</v>
      </c>
      <c r="FJ200" s="368">
        <f t="shared" si="950"/>
        <v>0</v>
      </c>
      <c r="FK200" s="368">
        <f t="shared" si="951"/>
        <v>0</v>
      </c>
      <c r="FL200" s="368">
        <f t="shared" si="952"/>
        <v>0</v>
      </c>
      <c r="FM200" s="368">
        <f t="shared" si="953"/>
        <v>0</v>
      </c>
      <c r="FN200" s="368">
        <f t="shared" si="954"/>
        <v>0</v>
      </c>
      <c r="FO200" s="368">
        <f t="shared" si="955"/>
        <v>0</v>
      </c>
      <c r="FP200" s="368">
        <f t="shared" si="956"/>
        <v>0</v>
      </c>
      <c r="FQ200" s="368">
        <f t="shared" si="957"/>
        <v>0</v>
      </c>
      <c r="FR200" s="368">
        <f t="shared" si="958"/>
        <v>0</v>
      </c>
      <c r="FS200" s="368">
        <f t="shared" si="959"/>
        <v>0</v>
      </c>
      <c r="FT200" s="368">
        <f t="shared" si="960"/>
        <v>0</v>
      </c>
      <c r="FU200" s="368"/>
      <c r="FV200" s="368"/>
      <c r="FW200" s="368"/>
      <c r="FX200" s="368"/>
      <c r="FY200" s="368">
        <f t="shared" si="961"/>
        <v>0</v>
      </c>
      <c r="FZ200" s="368">
        <f t="shared" si="962"/>
        <v>0</v>
      </c>
      <c r="GA200" s="368">
        <f t="shared" si="963"/>
        <v>0</v>
      </c>
      <c r="GB200" s="368">
        <f t="shared" si="964"/>
        <v>0</v>
      </c>
      <c r="GC200" s="368">
        <f t="shared" si="965"/>
        <v>0</v>
      </c>
      <c r="GD200" s="368">
        <f t="shared" si="966"/>
        <v>0</v>
      </c>
      <c r="GE200" s="368">
        <f t="shared" si="967"/>
        <v>0</v>
      </c>
      <c r="GF200" s="368">
        <f t="shared" si="968"/>
        <v>0</v>
      </c>
      <c r="GG200" s="368">
        <f t="shared" si="969"/>
        <v>0</v>
      </c>
      <c r="GH200" s="368">
        <f t="shared" si="970"/>
        <v>0</v>
      </c>
      <c r="GI200" s="368">
        <f t="shared" si="971"/>
        <v>0</v>
      </c>
      <c r="GJ200" s="368">
        <f t="shared" si="972"/>
        <v>0</v>
      </c>
      <c r="GK200" s="368">
        <f t="shared" si="1469"/>
        <v>0</v>
      </c>
      <c r="GL200" s="368"/>
      <c r="GM200" s="368">
        <f t="shared" si="973"/>
        <v>0</v>
      </c>
    </row>
    <row r="201" spans="1:195" s="76" customFormat="1" ht="31.5" customHeight="1">
      <c r="A201" s="373"/>
      <c r="B201" s="373"/>
      <c r="C201" s="373"/>
      <c r="D201" s="508" t="s">
        <v>567</v>
      </c>
      <c r="E201" s="509"/>
      <c r="F201" s="510"/>
      <c r="G201" s="373"/>
      <c r="H201" s="382"/>
      <c r="I201" s="373"/>
      <c r="J201" s="373"/>
      <c r="K201" s="381"/>
      <c r="L201" s="376"/>
      <c r="M201" s="382"/>
      <c r="N201" s="375"/>
      <c r="O201" s="375"/>
      <c r="P201" s="376"/>
      <c r="Q201" s="382"/>
      <c r="R201" s="382"/>
      <c r="S201" s="382"/>
      <c r="T201" s="376"/>
      <c r="U201" s="382"/>
      <c r="V201" s="376"/>
      <c r="W201" s="376"/>
      <c r="X201" s="376"/>
      <c r="Y201" s="376"/>
      <c r="Z201" s="377"/>
      <c r="AA201" s="378"/>
      <c r="AB201" s="378"/>
      <c r="AC201" s="378"/>
      <c r="AD201" s="378"/>
      <c r="AE201" s="378"/>
      <c r="AF201" s="378"/>
      <c r="AG201" s="378"/>
      <c r="AH201" s="378"/>
      <c r="AI201" s="377"/>
      <c r="AJ201" s="375"/>
      <c r="AK201" s="377"/>
      <c r="AL201" s="377"/>
      <c r="AM201" s="377"/>
      <c r="AN201" s="383"/>
      <c r="AO201" s="382"/>
      <c r="AP201" s="381"/>
      <c r="AQ201" s="382"/>
      <c r="AR201" s="383"/>
      <c r="AS201" s="376"/>
      <c r="AT201" s="383"/>
      <c r="AU201" s="383"/>
      <c r="AV201" s="384"/>
      <c r="AW201" s="384"/>
      <c r="AX201" s="376"/>
      <c r="AY201" s="385"/>
      <c r="AZ201" s="385"/>
      <c r="BA201" s="513" t="str">
        <f t="shared" si="1277"/>
        <v/>
      </c>
      <c r="BB201" s="513"/>
      <c r="BC201" s="513"/>
      <c r="BE201" s="513"/>
      <c r="BF201" s="513"/>
      <c r="BG201" s="513"/>
      <c r="BH201" s="513"/>
      <c r="BI201" s="513"/>
      <c r="BJ201" s="513"/>
      <c r="BK201" s="513"/>
      <c r="BL201" s="513"/>
      <c r="BM201" s="513"/>
      <c r="BN201" s="513"/>
      <c r="BO201" s="513"/>
      <c r="BP201" s="513"/>
      <c r="BQ201" s="513"/>
      <c r="BR201" s="513"/>
      <c r="BS201" s="513"/>
      <c r="BT201" s="513"/>
      <c r="BU201" s="513"/>
      <c r="BV201" s="513"/>
      <c r="BW201" s="513"/>
      <c r="BX201" s="513"/>
      <c r="BY201" s="513"/>
      <c r="BZ201" s="513"/>
      <c r="CA201" s="513"/>
      <c r="CB201" s="513"/>
      <c r="CC201" s="513"/>
      <c r="CD201" s="513"/>
      <c r="CE201" s="513"/>
      <c r="CF201" s="513"/>
      <c r="CG201" s="513"/>
      <c r="CH201" s="513"/>
      <c r="CI201" s="513"/>
      <c r="CJ201" s="513"/>
      <c r="CK201" s="513"/>
      <c r="CL201" s="513"/>
      <c r="CM201" s="513"/>
      <c r="CN201" s="513"/>
      <c r="CO201" s="513"/>
      <c r="CP201" s="513"/>
      <c r="CQ201" s="513"/>
      <c r="CR201" s="513"/>
      <c r="CS201" s="513"/>
      <c r="CT201" s="513"/>
      <c r="CU201" s="513"/>
      <c r="CV201" s="513"/>
      <c r="CW201" s="513"/>
      <c r="CX201" s="513"/>
      <c r="CY201" s="513"/>
      <c r="CZ201" s="513"/>
      <c r="DA201" s="513"/>
      <c r="DB201" s="513"/>
      <c r="DC201" s="513"/>
      <c r="DD201" s="513"/>
      <c r="DE201" s="513"/>
      <c r="DF201" s="513"/>
      <c r="DG201" s="513"/>
      <c r="DH201" s="513"/>
      <c r="DI201" s="513"/>
      <c r="DJ201" s="513"/>
      <c r="DK201" s="513"/>
      <c r="DL201" s="513"/>
      <c r="DM201" s="513"/>
      <c r="DN201" s="513"/>
      <c r="DO201" s="513"/>
      <c r="DP201" s="513"/>
      <c r="DQ201" s="513"/>
      <c r="DR201" s="513"/>
      <c r="DS201" s="513"/>
      <c r="DT201" s="513"/>
      <c r="DU201" s="513"/>
      <c r="DV201" s="61"/>
      <c r="DW201" s="336">
        <f t="shared" si="1012"/>
        <v>0</v>
      </c>
      <c r="DX201" s="336">
        <f t="shared" si="1004"/>
        <v>0</v>
      </c>
      <c r="DY201" s="336">
        <f t="shared" si="1005"/>
        <v>0</v>
      </c>
      <c r="DZ201" s="336">
        <f t="shared" si="1006"/>
        <v>0</v>
      </c>
      <c r="EA201" s="336">
        <f t="shared" si="1007"/>
        <v>0</v>
      </c>
      <c r="EB201" s="336">
        <f t="shared" si="1008"/>
        <v>0</v>
      </c>
      <c r="EC201" s="336">
        <f t="shared" si="1009"/>
        <v>0</v>
      </c>
      <c r="ED201" s="336">
        <f t="shared" si="919"/>
        <v>0</v>
      </c>
      <c r="EE201" s="336">
        <f t="shared" si="920"/>
        <v>0</v>
      </c>
      <c r="EF201" s="336">
        <f t="shared" si="921"/>
        <v>0</v>
      </c>
      <c r="EG201" s="336">
        <f t="shared" si="922"/>
        <v>0</v>
      </c>
      <c r="EH201" s="336">
        <f t="shared" si="923"/>
        <v>0</v>
      </c>
      <c r="EI201" s="336">
        <f t="shared" si="924"/>
        <v>0</v>
      </c>
      <c r="EJ201" s="336">
        <f t="shared" si="925"/>
        <v>0</v>
      </c>
      <c r="EK201" s="336">
        <f t="shared" si="926"/>
        <v>0</v>
      </c>
      <c r="EL201" s="336">
        <f t="shared" si="927"/>
        <v>0</v>
      </c>
      <c r="EM201" s="336">
        <f t="shared" si="928"/>
        <v>0</v>
      </c>
      <c r="EN201" s="336">
        <f t="shared" si="929"/>
        <v>0</v>
      </c>
      <c r="EO201" s="336">
        <f t="shared" si="930"/>
        <v>0</v>
      </c>
      <c r="EP201" s="336">
        <f t="shared" si="931"/>
        <v>0</v>
      </c>
      <c r="EQ201" s="336">
        <f t="shared" si="932"/>
        <v>0</v>
      </c>
      <c r="ER201" s="336">
        <f t="shared" si="933"/>
        <v>0</v>
      </c>
      <c r="ES201" s="336">
        <f t="shared" si="934"/>
        <v>0</v>
      </c>
      <c r="ET201" s="336">
        <f t="shared" si="934"/>
        <v>0</v>
      </c>
      <c r="EU201" s="336">
        <f t="shared" si="935"/>
        <v>0</v>
      </c>
      <c r="EV201" s="336">
        <f t="shared" si="936"/>
        <v>0</v>
      </c>
      <c r="EW201" s="336">
        <f t="shared" si="937"/>
        <v>0</v>
      </c>
      <c r="EX201" s="336">
        <f t="shared" si="938"/>
        <v>0</v>
      </c>
      <c r="EY201" s="336">
        <f t="shared" si="939"/>
        <v>0</v>
      </c>
      <c r="EZ201" s="336">
        <f t="shared" si="940"/>
        <v>0</v>
      </c>
      <c r="FA201" s="336">
        <f t="shared" si="941"/>
        <v>0</v>
      </c>
      <c r="FB201" s="336">
        <f t="shared" si="942"/>
        <v>0</v>
      </c>
      <c r="FC201" s="336">
        <f t="shared" si="943"/>
        <v>0</v>
      </c>
      <c r="FD201" s="336">
        <f t="shared" si="944"/>
        <v>0</v>
      </c>
      <c r="FE201" s="336">
        <f t="shared" si="945"/>
        <v>0</v>
      </c>
      <c r="FF201" s="336">
        <f t="shared" si="946"/>
        <v>0</v>
      </c>
      <c r="FG201" s="336">
        <f t="shared" si="947"/>
        <v>0</v>
      </c>
      <c r="FH201" s="336">
        <f t="shared" si="948"/>
        <v>0</v>
      </c>
      <c r="FI201" s="336">
        <f t="shared" si="949"/>
        <v>0</v>
      </c>
      <c r="FJ201" s="336">
        <f t="shared" si="950"/>
        <v>0</v>
      </c>
      <c r="FK201" s="336">
        <f t="shared" si="951"/>
        <v>0</v>
      </c>
      <c r="FL201" s="336">
        <f t="shared" si="952"/>
        <v>0</v>
      </c>
      <c r="FM201" s="336">
        <f t="shared" si="953"/>
        <v>0</v>
      </c>
      <c r="FN201" s="336">
        <f t="shared" si="954"/>
        <v>0</v>
      </c>
      <c r="FO201" s="492">
        <f t="shared" si="955"/>
        <v>0</v>
      </c>
      <c r="FP201" s="492">
        <f t="shared" si="956"/>
        <v>0</v>
      </c>
      <c r="FQ201" s="492">
        <f t="shared" si="957"/>
        <v>0</v>
      </c>
      <c r="FR201" s="492">
        <f t="shared" si="958"/>
        <v>0</v>
      </c>
      <c r="FS201" s="492">
        <f t="shared" si="959"/>
        <v>0</v>
      </c>
      <c r="FT201" s="492">
        <f t="shared" si="960"/>
        <v>0</v>
      </c>
      <c r="FU201" s="336">
        <f t="shared" ref="FU201:FU208" si="1585">IF(DC201=1,($BC201*DC201),0)</f>
        <v>0</v>
      </c>
      <c r="FV201" s="336">
        <f t="shared" ref="FV201:FV208" si="1586">IF(DD201=1,($BC201*DD201),0)</f>
        <v>0</v>
      </c>
      <c r="FW201" s="336">
        <f t="shared" ref="FW201:FW208" si="1587">IF(DE201=1,($BC201*DE201),0)</f>
        <v>0</v>
      </c>
      <c r="FX201" s="336">
        <f t="shared" ref="FX201:FX208" si="1588">IF(DF201=1,($BC201*DF201),0)</f>
        <v>0</v>
      </c>
      <c r="FY201" s="492">
        <f t="shared" si="961"/>
        <v>0</v>
      </c>
      <c r="FZ201" s="492">
        <f t="shared" si="962"/>
        <v>0</v>
      </c>
      <c r="GA201" s="492">
        <f t="shared" si="963"/>
        <v>0</v>
      </c>
      <c r="GB201" s="492">
        <f t="shared" si="964"/>
        <v>0</v>
      </c>
      <c r="GC201" s="492">
        <f t="shared" si="965"/>
        <v>0</v>
      </c>
      <c r="GD201" s="492">
        <f t="shared" si="966"/>
        <v>0</v>
      </c>
      <c r="GE201" s="492">
        <f t="shared" si="967"/>
        <v>0</v>
      </c>
      <c r="GF201" s="492">
        <f t="shared" si="968"/>
        <v>0</v>
      </c>
      <c r="GG201" s="492">
        <f t="shared" si="969"/>
        <v>0</v>
      </c>
      <c r="GH201" s="492">
        <f t="shared" si="970"/>
        <v>0</v>
      </c>
      <c r="GI201" s="492">
        <f t="shared" si="971"/>
        <v>0</v>
      </c>
      <c r="GJ201" s="492">
        <f t="shared" si="972"/>
        <v>0</v>
      </c>
      <c r="GK201" s="492">
        <f t="shared" si="1469"/>
        <v>0</v>
      </c>
      <c r="GL201" s="336">
        <f t="shared" ref="GL201:GL208" si="1589">IF(DT201=1,($BC201*DT201),0)</f>
        <v>0</v>
      </c>
      <c r="GM201" s="492">
        <f t="shared" si="973"/>
        <v>0</v>
      </c>
    </row>
    <row r="202" spans="1:195" ht="20.100000000000001" customHeight="1">
      <c r="A202" s="337">
        <f>1+A194</f>
        <v>140</v>
      </c>
      <c r="B202" s="897" t="s">
        <v>1682</v>
      </c>
      <c r="C202" s="337" t="s">
        <v>636</v>
      </c>
      <c r="D202" s="372" t="s">
        <v>665</v>
      </c>
      <c r="E202" s="444" t="s">
        <v>345</v>
      </c>
      <c r="F202" s="337" t="s">
        <v>28</v>
      </c>
      <c r="G202" s="337" t="s">
        <v>350</v>
      </c>
      <c r="H202" s="418">
        <v>22</v>
      </c>
      <c r="I202" s="337" t="s">
        <v>330</v>
      </c>
      <c r="J202" s="337" t="s">
        <v>331</v>
      </c>
      <c r="K202" s="349">
        <v>400</v>
      </c>
      <c r="L202" s="343">
        <v>0.82</v>
      </c>
      <c r="M202" s="350">
        <v>0.93299999999999994</v>
      </c>
      <c r="N202" s="342">
        <f t="shared" ref="N202:N206" si="1590">IF(I202="kVA",IF(J202="3Ph",(H202*1000/(1.732*M202*K202)),(H202*1000/(M202*K202))),IF(I202="kW",IF(J202="3Ph",(H202*1000/(1.732*M202*K202*L202)),(H202*1000/(M202*K202*L202)))))</f>
        <v>41.506805093521933</v>
      </c>
      <c r="O202" s="342">
        <f t="shared" ref="O202:O206" si="1591">IF(G202="MOTOR",(6*N202),IF(G202="VFD",(1*N202),0))</f>
        <v>249.0408305611316</v>
      </c>
      <c r="P202" s="343">
        <f t="shared" ref="P202:P206" si="1592">IF(G202="MOTOR",0.2,"0.00")</f>
        <v>0.2</v>
      </c>
      <c r="Q202" s="350">
        <v>50</v>
      </c>
      <c r="R202" s="350">
        <v>0</v>
      </c>
      <c r="S202" s="350">
        <f t="shared" ref="S202:S206" si="1593">(Q202*1000*SQRT(R202)/143)</f>
        <v>0</v>
      </c>
      <c r="T202" s="343" t="s">
        <v>131</v>
      </c>
      <c r="U202" s="350" t="s">
        <v>333</v>
      </c>
      <c r="V202" s="343">
        <v>95</v>
      </c>
      <c r="W202" s="343" t="str">
        <f t="shared" ref="W202:W206" si="1594">CONCATENATE(U202," X ",V202)</f>
        <v>3C X 95</v>
      </c>
      <c r="X202" s="343" t="str">
        <f t="shared" ref="X202:X206" si="1595">(IF(J202="1Ph",W202,IF(J202="3Ph",(IF(G202="MOTOR",(CONCATENATE(W202,"+PE")),W202)))))</f>
        <v>3C X 95+PE</v>
      </c>
      <c r="Y202" s="343" t="s">
        <v>358</v>
      </c>
      <c r="Z202" s="344">
        <f>IF(T202="AIR",VLOOKUP(W202,'Catalogue Aluminium'!$B$9:$G$93,2,FALSE),IF(T202="GROUND",VLOOKUP(W202,'Catalogue Aluminium'!$B$9:$G$93,3,FALSE),IF(T202="DUCT",VLOOKUP(W202,'Catalogue Aluminium'!$B$9:$G$93,4,FALSE),IF(T202="TRENCH",VLOOKUP(W202,'Catalogue Aluminium'!$B$9:$G$93,2,FALSE)))))</f>
        <v>221</v>
      </c>
      <c r="AA202" s="345">
        <f>VLOOKUP(W202,'Catalogue Aluminium'!$B$9:$G$93,5,FALSE)</f>
        <v>0.41</v>
      </c>
      <c r="AB202" s="345">
        <f>VLOOKUP(W202,'Catalogue Aluminium'!$B$9:$G$93,6,FALSE)</f>
        <v>7.3400000000000007E-2</v>
      </c>
      <c r="AC202" s="457">
        <f t="shared" ref="AC202:AC203" si="1596">32+6</f>
        <v>38</v>
      </c>
      <c r="AD202" s="401">
        <f>11+34+48+35+30+11+24+(15+18+26+22+12+3+15)</f>
        <v>304</v>
      </c>
      <c r="AE202" s="401">
        <f t="shared" si="1583"/>
        <v>38</v>
      </c>
      <c r="AF202" s="401">
        <v>8</v>
      </c>
      <c r="AG202" s="401">
        <f t="shared" ref="AG202:AG206" si="1597">ROUNDUP((SUM(AC202:AF202)*0.1),0)</f>
        <v>39</v>
      </c>
      <c r="AH202" s="347">
        <f t="shared" ref="AH202:AH206" si="1598">SUM(AC202:AG202)</f>
        <v>427</v>
      </c>
      <c r="AI202" s="344">
        <f>IF(T202="AIR",'Catalogue Aluminium'!$K$9,IF(T202="TRENCH",'Catalogue Aluminium'!$K$12,"NA"))</f>
        <v>0.89</v>
      </c>
      <c r="AJ202" s="342">
        <f>IF(T202="Air",(IF(U202="1C",'Catalogue Aluminium'!$L$9,'Catalogue Aluminium'!$M$9)),IF(T202="DUCT",(IF($U202="1C",'Catalogue Aluminium'!$L$10,'Catalogue Aluminium'!$M$10)),IF(T202="GROUND",(IF($U202="1C",'Catalogue Aluminium'!$L$11,'Catalogue Aluminium'!$M$11)),IF(T202="TRENCH",(IF($U202="1C",'Catalogue Aluminium'!$L$12,'Catalogue Aluminium'!$M$12))))))</f>
        <v>0.66</v>
      </c>
      <c r="AK202" s="344" t="str">
        <f>IF(T202="Air",'Catalogue Aluminium'!$N$9,IF(T202="GROUND",'Catalogue Aluminium'!$N$10,IF(T202="DUCT",'Catalogue Aluminium'!$N$11,IF(T202="TRENCH",'Catalogue Aluminium'!$N$12,"NA"))))</f>
        <v>NA</v>
      </c>
      <c r="AL202" s="344" t="str">
        <f>IF(T202="Air",(IF(U202="1C",'Catalogue Aluminium'!$O$9,'Catalogue Aluminium'!$P$9)),IF(T202="DUCT",(IF($U202="1C",'Catalogue Aluminium'!$O$10,'Catalogue Aluminium'!$P$10)),IF(T202="GROUND",(IF($U202="1C",'Catalogue Aluminium'!$O$11,'Catalogue Aluminium'!$P$11)),IF(T202="TRENCH",(IF($U202="1C",'Catalogue Aluminium'!$O$12,'Catalogue Aluminium'!$P$12))))))</f>
        <v>NA</v>
      </c>
      <c r="AM202" s="344" t="str">
        <f>IF(T202="AIR","NA",IF(T202="TRENCH","NA",IF(T202="DUCT",IF(U202="1C",VLOOKUP(V202,'Catalogue Aluminium'!$Q$9:$S$28,2,FALSE),VLOOKUP(V202,'Catalogue Aluminium'!$Q$9:$S$28,3)),IF(T202="GROUND",IF(U202="1C",VLOOKUP(V202,'Catalogue Aluminium'!$Q$9:$S$28,2,FALSE),VLOOKUP(V202,'Catalogue Aluminium'!$Q$9:$S$28,3))))))</f>
        <v>NA</v>
      </c>
      <c r="AN202" s="351">
        <f t="shared" ref="AN202:AN206" si="1599">IF(T202="AIR",AI202*AJ202,IF(T202="TRENCH",AI202*AJ202,IF(T202="DUCT",AJ202*AK202*AL202*AM202,IF(T202="GROUND",AJ202*AK202*AL202*AM202))))</f>
        <v>0.58740000000000003</v>
      </c>
      <c r="AO202" s="350">
        <f t="shared" ref="AO202:AO206" si="1600">Z202*AN202</f>
        <v>129.81540000000001</v>
      </c>
      <c r="AP202" s="349">
        <f t="shared" si="1303"/>
        <v>1</v>
      </c>
      <c r="AQ202" s="350" t="str">
        <f t="shared" ref="AQ202:AQ206" si="1601">IF(AO202*AP202&gt;=N202,"YES","NO")</f>
        <v>YES</v>
      </c>
      <c r="AR202" s="351">
        <f t="shared" ref="AR202:AR206" si="1602">SQRT(3)*AH202*N202*((AA202*L202)+(AB202*SIN(ACOS(L202))))*100/(AP202*K202*1000)</f>
        <v>2.9025688258801527</v>
      </c>
      <c r="AS202" s="343" t="str">
        <f t="shared" ref="AS202:AS206" si="1603">IF(G202="INCOMER",(IF(AR202&lt;=2,"YES","NO")),IF(G202="POWER",(IF(AR202&lt;=2.5,"YES","NO")),IF(G202="MOTOR",(IF(AR202&lt;=3,"YES","NO")))))</f>
        <v>YES</v>
      </c>
      <c r="AT202" s="351">
        <f>IF(G202="MOTOR",(SQRT(3)*AH202*O202*((AA202*P202)+(AB202*SIN(ACOS(P202))))*100/(AP202*K202*1000)),"NA")</f>
        <v>7.0873798618182589</v>
      </c>
      <c r="AU202" s="343" t="str">
        <f>IF(G202="MOTOR",IF(AT202&lt;=15,"YES","NO"),"NA")</f>
        <v>YES</v>
      </c>
      <c r="AV202" s="354" t="str">
        <f>IF(U202="1C",CONCATENATE(AP202,"R x ",Y202,"kV x ",U202," x ",V202," Sqmm/Phase"),CONCATENATE(AP202,"R x ",0.6,"/1kV x ",U202," x ",V202," Sqmm"))</f>
        <v>1R x 0.6/1kV x 3C x 95 Sqmm</v>
      </c>
      <c r="AW202" s="354" t="str">
        <f>IF(U202="1C",CONCATENATE(AP202,"R x ",Y202,"kV x ",U202," x ",V202," Sqmm/Phase"),CONCATENATE(AP202,"R x ",0.6,"/1kV x ",U202," x ",V202,(IF(G202="MOTOR","+PE",""))," Sqmm"))</f>
        <v>1R x 0.6/1kV x 3C x 95+PE Sqmm</v>
      </c>
      <c r="AX202" s="343">
        <f>(IF(K202=400,(IF(U202="1C",(4*AH202*AP202),(AH202*AP202))),IF(K202=230,(AH202*AP202))))</f>
        <v>427</v>
      </c>
      <c r="AY202" s="355"/>
      <c r="AZ202" s="355">
        <f>IF(U202="1C",(3*AP202*2),(AP202*2))</f>
        <v>2</v>
      </c>
      <c r="BA202" s="356" t="str">
        <f t="shared" ref="BA202:BA206" si="1604">CONCATENATE(IF(BE202=1,BE$4,""),IF(BF202=1,BF$4,""),IF(BG202=1,BG$4,""),IF(BH202=1,BH$4,""),IF(BI202=1,BI$4,""),IF(BJ202=1,BJ$4,""),IF(BK202=1,BK$4,""),IF(BL202=1,BL$4,""),IF(BM202=1,BM$4,""),IF(BN202=1,BN$4,""),IF(BO202=1,BO$4,""),IF(BP202=1,BP$4,""),IF(BQ202=1,BQ$4,""),IF(BR202=1,BR$4,""),IF(BS202=1,BS$4,""),IF(BT202=1,BT$4,""),IF(BU202=1,BU$4,""),IF(BV202=1,BV$4,""),IF(BW202=1,BW$4,""),IF(BX202=1,BX$4,""),IF(BY202=1,BY$4,""),IF(BZ202=1,BZ$4,""),IF(CA202=1,CA$4,""),IF(CB202=1,CB$4,""),IF(CC202=1,CC$4,""),IF(CD202=1,CD$4,""),IF(CE202=1,CE$4,""),IF(CF202=1,CF$4,""),IF(CG202=1,CG$4,""),IF(CH202=1,CH$4,""),IF(CI202=1,CI$4,""),IF(CJ202=1,CJ$4,""),IF(CK202=1,CK$4,""),IF(CL202=1,CL$4,""),IF(CM202=1,CM$4,""),IF(CN202=1,CN$4,""),IF(CO202=1,CO$4,""),IF(CP202=1,CP$4,""),IF(CQ202=1,CQ$4,""),IF(CR202=1,CR$4,""),IF(CS202=1,CS$4,""),IF(CT202=1,CT$4,""),IF(CU202=1,CU$4,""),IF(CV202=1,CV$4,""),IF(CW202=1,CW$4,""),IF(CX202=1,CX$4,""),IF(CY202=1,CY$4,""),IF(CZ202=1,CZ$4,""),IF(DA202=1,DA$4,""),IF(DB202=1,DB$4,""),IF(DC202=1,DC$4,""),IF(DD202=1,DD$4,""),IF(DE202=1,DE$4,""),IF(DF202=1,DF$4,""),IF(DG202=1,DG$4,""),IF(DH202=1,DH$4,""),IF(DI202=1,DI$4,""),IF(DJ202=1,DJ$4,""),IF(DK202=1,DK$4,""),IF(DL202=1,DL$4,""),IF(DM202=1,DM$4,""),IF(DN202=1,DN$4,""),IF(DO202=1,DO$4,""),IF(DP202=1,DP$4,""),IF(DQ202=1,DQ$4,""),IF(DR202=1,DR$4,""),IF(DS202=1,DS$4,""),IF(DT202=1,DT$4,""),IF(DU202=1,DU$4,""))</f>
        <v>ACDEE1E2E3E4</v>
      </c>
      <c r="BB202" s="501">
        <f>VLOOKUP(W202,'Catalogue Aluminium'!$B$9:$H$93,7,FALSE)</f>
        <v>33</v>
      </c>
      <c r="BC202" s="328">
        <f>AP202*BB202</f>
        <v>33</v>
      </c>
      <c r="BE202" s="336"/>
      <c r="BF202" s="336">
        <v>1</v>
      </c>
      <c r="BG202" s="336"/>
      <c r="BH202" s="336"/>
      <c r="BI202" s="336">
        <v>1</v>
      </c>
      <c r="BJ202" s="336">
        <v>1</v>
      </c>
      <c r="BK202" s="336"/>
      <c r="BL202" s="336"/>
      <c r="BM202" s="336"/>
      <c r="BN202" s="336">
        <v>1</v>
      </c>
      <c r="BO202" s="336"/>
      <c r="BP202" s="336">
        <v>1</v>
      </c>
      <c r="BQ202" s="336">
        <v>1</v>
      </c>
      <c r="BR202" s="336">
        <v>1</v>
      </c>
      <c r="BS202" s="336">
        <v>1</v>
      </c>
      <c r="BT202" s="336"/>
      <c r="BU202" s="336"/>
      <c r="BV202" s="336"/>
      <c r="BW202" s="336"/>
      <c r="BX202" s="336"/>
      <c r="BY202" s="336"/>
      <c r="BZ202" s="336"/>
      <c r="CA202" s="336"/>
      <c r="CB202" s="336"/>
      <c r="CC202" s="336"/>
      <c r="CD202" s="336"/>
      <c r="CE202" s="336"/>
      <c r="CF202" s="336"/>
      <c r="CG202" s="336"/>
      <c r="CH202" s="336"/>
      <c r="CI202" s="336"/>
      <c r="CJ202" s="336"/>
      <c r="CK202" s="336"/>
      <c r="CL202" s="336"/>
      <c r="CM202" s="336"/>
      <c r="CN202" s="336"/>
      <c r="CO202" s="336"/>
      <c r="CP202" s="336"/>
      <c r="CQ202" s="336"/>
      <c r="CR202" s="336"/>
      <c r="CS202" s="336"/>
      <c r="CT202" s="336"/>
      <c r="CU202" s="336"/>
      <c r="CV202" s="336"/>
      <c r="CW202" s="336"/>
      <c r="CX202" s="336"/>
      <c r="CY202" s="336"/>
      <c r="CZ202" s="336"/>
      <c r="DA202" s="336"/>
      <c r="DB202" s="336"/>
      <c r="DC202" s="336"/>
      <c r="DD202" s="336"/>
      <c r="DE202" s="336"/>
      <c r="DF202" s="336"/>
      <c r="DG202" s="336"/>
      <c r="DH202" s="336"/>
      <c r="DI202" s="336"/>
      <c r="DJ202" s="336"/>
      <c r="DK202" s="336"/>
      <c r="DL202" s="336"/>
      <c r="DM202" s="336"/>
      <c r="DN202" s="336"/>
      <c r="DO202" s="336"/>
      <c r="DP202" s="336"/>
      <c r="DQ202" s="336"/>
      <c r="DR202" s="336"/>
      <c r="DS202" s="336"/>
      <c r="DT202" s="336"/>
      <c r="DU202" s="336"/>
      <c r="DW202" s="336">
        <f t="shared" si="1012"/>
        <v>0</v>
      </c>
      <c r="DX202" s="336">
        <f t="shared" si="1004"/>
        <v>33</v>
      </c>
      <c r="DY202" s="336">
        <f t="shared" si="1005"/>
        <v>0</v>
      </c>
      <c r="DZ202" s="336">
        <f t="shared" si="1006"/>
        <v>0</v>
      </c>
      <c r="EA202" s="336">
        <f t="shared" si="1007"/>
        <v>33</v>
      </c>
      <c r="EB202" s="336">
        <f t="shared" si="1008"/>
        <v>33</v>
      </c>
      <c r="EC202" s="336">
        <f t="shared" si="1009"/>
        <v>0</v>
      </c>
      <c r="ED202" s="336">
        <f t="shared" si="919"/>
        <v>0</v>
      </c>
      <c r="EE202" s="336">
        <f t="shared" si="920"/>
        <v>0</v>
      </c>
      <c r="EF202" s="336">
        <f t="shared" si="921"/>
        <v>33</v>
      </c>
      <c r="EG202" s="336">
        <f t="shared" si="922"/>
        <v>0</v>
      </c>
      <c r="EH202" s="336">
        <f t="shared" si="923"/>
        <v>33</v>
      </c>
      <c r="EI202" s="336">
        <f t="shared" si="924"/>
        <v>33</v>
      </c>
      <c r="EJ202" s="336">
        <f t="shared" si="925"/>
        <v>33</v>
      </c>
      <c r="EK202" s="336">
        <f t="shared" si="926"/>
        <v>33</v>
      </c>
      <c r="EL202" s="336">
        <f t="shared" si="927"/>
        <v>0</v>
      </c>
      <c r="EM202" s="336">
        <f t="shared" si="928"/>
        <v>0</v>
      </c>
      <c r="EN202" s="336">
        <f t="shared" si="929"/>
        <v>0</v>
      </c>
      <c r="EO202" s="336">
        <f t="shared" si="930"/>
        <v>0</v>
      </c>
      <c r="EP202" s="336">
        <f t="shared" si="931"/>
        <v>0</v>
      </c>
      <c r="EQ202" s="336">
        <f t="shared" si="932"/>
        <v>0</v>
      </c>
      <c r="ER202" s="336">
        <f t="shared" si="933"/>
        <v>0</v>
      </c>
      <c r="ES202" s="336">
        <f t="shared" si="934"/>
        <v>0</v>
      </c>
      <c r="ET202" s="336">
        <f t="shared" si="934"/>
        <v>0</v>
      </c>
      <c r="EU202" s="336">
        <f t="shared" si="935"/>
        <v>0</v>
      </c>
      <c r="EV202" s="336">
        <f t="shared" si="936"/>
        <v>0</v>
      </c>
      <c r="EW202" s="336">
        <f t="shared" si="937"/>
        <v>0</v>
      </c>
      <c r="EX202" s="336">
        <f t="shared" si="938"/>
        <v>0</v>
      </c>
      <c r="EY202" s="336">
        <f t="shared" si="939"/>
        <v>0</v>
      </c>
      <c r="EZ202" s="336">
        <f t="shared" si="940"/>
        <v>0</v>
      </c>
      <c r="FA202" s="336">
        <f t="shared" si="941"/>
        <v>0</v>
      </c>
      <c r="FB202" s="336">
        <f t="shared" si="942"/>
        <v>0</v>
      </c>
      <c r="FC202" s="336">
        <f t="shared" si="943"/>
        <v>0</v>
      </c>
      <c r="FD202" s="336">
        <f t="shared" si="944"/>
        <v>0</v>
      </c>
      <c r="FE202" s="336">
        <f t="shared" si="945"/>
        <v>0</v>
      </c>
      <c r="FF202" s="336">
        <f t="shared" si="946"/>
        <v>0</v>
      </c>
      <c r="FG202" s="336">
        <f t="shared" si="947"/>
        <v>0</v>
      </c>
      <c r="FH202" s="336">
        <f t="shared" si="948"/>
        <v>0</v>
      </c>
      <c r="FI202" s="336">
        <f t="shared" si="949"/>
        <v>0</v>
      </c>
      <c r="FJ202" s="336">
        <f t="shared" si="950"/>
        <v>0</v>
      </c>
      <c r="FK202" s="336">
        <f t="shared" si="951"/>
        <v>0</v>
      </c>
      <c r="FL202" s="336">
        <f t="shared" si="952"/>
        <v>0</v>
      </c>
      <c r="FM202" s="336">
        <f t="shared" si="953"/>
        <v>0</v>
      </c>
      <c r="FN202" s="336">
        <f t="shared" si="954"/>
        <v>0</v>
      </c>
      <c r="FO202" s="336">
        <f t="shared" si="955"/>
        <v>0</v>
      </c>
      <c r="FP202" s="336">
        <f t="shared" si="956"/>
        <v>0</v>
      </c>
      <c r="FQ202" s="336">
        <f t="shared" si="957"/>
        <v>0</v>
      </c>
      <c r="FR202" s="336">
        <f t="shared" si="958"/>
        <v>0</v>
      </c>
      <c r="FS202" s="336">
        <f t="shared" si="959"/>
        <v>0</v>
      </c>
      <c r="FT202" s="336">
        <f t="shared" si="960"/>
        <v>0</v>
      </c>
      <c r="FU202" s="336">
        <f t="shared" si="1585"/>
        <v>0</v>
      </c>
      <c r="FV202" s="336">
        <f t="shared" si="1586"/>
        <v>0</v>
      </c>
      <c r="FW202" s="336">
        <f t="shared" si="1587"/>
        <v>0</v>
      </c>
      <c r="FX202" s="336">
        <f t="shared" si="1588"/>
        <v>0</v>
      </c>
      <c r="FY202" s="336">
        <f t="shared" si="961"/>
        <v>0</v>
      </c>
      <c r="FZ202" s="336">
        <f t="shared" si="962"/>
        <v>0</v>
      </c>
      <c r="GA202" s="336">
        <f t="shared" si="963"/>
        <v>0</v>
      </c>
      <c r="GB202" s="336">
        <f t="shared" si="964"/>
        <v>0</v>
      </c>
      <c r="GC202" s="336">
        <f t="shared" si="965"/>
        <v>0</v>
      </c>
      <c r="GD202" s="336">
        <f t="shared" si="966"/>
        <v>0</v>
      </c>
      <c r="GE202" s="336">
        <f t="shared" si="967"/>
        <v>0</v>
      </c>
      <c r="GF202" s="336">
        <f t="shared" si="968"/>
        <v>0</v>
      </c>
      <c r="GG202" s="336">
        <f t="shared" si="969"/>
        <v>0</v>
      </c>
      <c r="GH202" s="336">
        <f t="shared" si="970"/>
        <v>0</v>
      </c>
      <c r="GI202" s="336">
        <f t="shared" si="971"/>
        <v>0</v>
      </c>
      <c r="GJ202" s="336">
        <f t="shared" si="972"/>
        <v>0</v>
      </c>
      <c r="GK202" s="336">
        <f t="shared" si="1469"/>
        <v>0</v>
      </c>
      <c r="GL202" s="336">
        <f t="shared" si="1589"/>
        <v>0</v>
      </c>
      <c r="GM202" s="336">
        <f t="shared" si="973"/>
        <v>0</v>
      </c>
    </row>
    <row r="203" spans="1:195" ht="20.100000000000001" customHeight="1">
      <c r="A203" s="388">
        <f>1+A202</f>
        <v>141</v>
      </c>
      <c r="B203" s="506"/>
      <c r="C203" s="388" t="s">
        <v>636</v>
      </c>
      <c r="D203" s="338" t="s">
        <v>1596</v>
      </c>
      <c r="E203" s="445" t="s">
        <v>345</v>
      </c>
      <c r="F203" s="388" t="s">
        <v>28</v>
      </c>
      <c r="G203" s="388" t="s">
        <v>329</v>
      </c>
      <c r="H203" s="396">
        <v>0.2</v>
      </c>
      <c r="I203" s="388" t="s">
        <v>330</v>
      </c>
      <c r="J203" s="388" t="s">
        <v>357</v>
      </c>
      <c r="K203" s="434">
        <v>230</v>
      </c>
      <c r="L203" s="401">
        <v>0.85</v>
      </c>
      <c r="M203" s="418">
        <v>0.95</v>
      </c>
      <c r="N203" s="392">
        <f t="shared" si="1590"/>
        <v>1.0768609503297888</v>
      </c>
      <c r="O203" s="392">
        <f t="shared" si="1591"/>
        <v>0</v>
      </c>
      <c r="P203" s="401" t="str">
        <f t="shared" si="1592"/>
        <v>0.00</v>
      </c>
      <c r="Q203" s="418">
        <v>65</v>
      </c>
      <c r="R203" s="418">
        <v>0</v>
      </c>
      <c r="S203" s="418">
        <f t="shared" si="1593"/>
        <v>0</v>
      </c>
      <c r="T203" s="401" t="s">
        <v>131</v>
      </c>
      <c r="U203" s="418" t="s">
        <v>333</v>
      </c>
      <c r="V203" s="401">
        <v>4</v>
      </c>
      <c r="W203" s="401" t="str">
        <f t="shared" si="1594"/>
        <v>3C X 4</v>
      </c>
      <c r="X203" s="401" t="str">
        <f t="shared" ref="X203" si="1605">(IF(J203="1Ph",W203,IF(J203="3Ph",(IF(G203="MOTOR",(CONCATENATE(W203,"+PE")),W203)))))</f>
        <v>3C X 4</v>
      </c>
      <c r="Y203" s="401" t="s">
        <v>358</v>
      </c>
      <c r="Z203" s="393">
        <f>IF(T203="AIR",VLOOKUP(W203,'Catalogue Aluminium'!$B$9:$G$93,2,FALSE),IF(T203="GROUND",VLOOKUP(W203,'Catalogue Aluminium'!$B$9:$G$93,3,FALSE),IF(T203="DUCT",VLOOKUP(W203,'Catalogue Aluminium'!$B$9:$G$93,4,FALSE),IF(T203="TRENCH",VLOOKUP(W203,'Catalogue Aluminium'!$B$9:$G$93,2,FALSE)))))</f>
        <v>38</v>
      </c>
      <c r="AA203" s="402">
        <f>VLOOKUP(W203,'Catalogue Aluminium'!$B$9:$G$93,5,FALSE)</f>
        <v>5.9</v>
      </c>
      <c r="AB203" s="402">
        <f>VLOOKUP(W203,'Catalogue Aluminium'!$B$9:$G$93,6,FALSE)</f>
        <v>9.4700000000000006E-2</v>
      </c>
      <c r="AC203" s="457">
        <f t="shared" si="1596"/>
        <v>38</v>
      </c>
      <c r="AD203" s="401">
        <f>11+34+48+35+30+11+24+(15+18+26+22+12+3+15)</f>
        <v>304</v>
      </c>
      <c r="AE203" s="401">
        <f t="shared" si="1583"/>
        <v>38</v>
      </c>
      <c r="AF203" s="401">
        <v>8</v>
      </c>
      <c r="AG203" s="401">
        <f t="shared" ref="AG203" si="1606">ROUNDUP((SUM(AC203:AF203)*0.1),0)</f>
        <v>39</v>
      </c>
      <c r="AH203" s="436">
        <f t="shared" ref="AH203" si="1607">SUM(AC203:AG203)</f>
        <v>427</v>
      </c>
      <c r="AI203" s="393">
        <f>IF(T203="AIR",'Catalogue Aluminium'!$K$9,IF(T203="TRENCH",'Catalogue Aluminium'!$K$12,"NA"))</f>
        <v>0.89</v>
      </c>
      <c r="AJ203" s="392">
        <f>IF(T203="Air",(IF(U203="1C",'Catalogue Aluminium'!$L$9,'Catalogue Aluminium'!$M$9)),IF(T203="DUCT",(IF($U203="1C",'Catalogue Aluminium'!$L$10,'Catalogue Aluminium'!$M$10)),IF(T203="GROUND",(IF($U203="1C",'Catalogue Aluminium'!$L$11,'Catalogue Aluminium'!$M$11)),IF(T203="TRENCH",(IF($U203="1C",'Catalogue Aluminium'!$L$12,'Catalogue Aluminium'!$M$12))))))</f>
        <v>0.66</v>
      </c>
      <c r="AK203" s="393" t="str">
        <f>IF(T203="Air",'Catalogue Aluminium'!$N$9,IF(T203="GROUND",'Catalogue Aluminium'!$N$10,IF(T203="DUCT",'Catalogue Aluminium'!$N$11,IF(T203="TRENCH",'Catalogue Aluminium'!$N$12,"NA"))))</f>
        <v>NA</v>
      </c>
      <c r="AL203" s="393" t="str">
        <f>IF(T203="Air",(IF(U203="1C",'Catalogue Aluminium'!$O$9,'Catalogue Aluminium'!$P$9)),IF(T203="DUCT",(IF($U203="1C",'Catalogue Aluminium'!$O$10,'Catalogue Aluminium'!$P$10)),IF(T203="GROUND",(IF($U203="1C",'Catalogue Aluminium'!$O$11,'Catalogue Aluminium'!$P$11)),IF(T203="TRENCH",(IF($U203="1C",'Catalogue Aluminium'!$O$12,'Catalogue Aluminium'!$P$12))))))</f>
        <v>NA</v>
      </c>
      <c r="AM203" s="393" t="str">
        <f>IF(T203="AIR","NA",IF(T203="TRENCH","NA",IF(T203="DUCT",IF(U203="1C",VLOOKUP(V203,'Catalogue Aluminium'!$Q$9:$S$28,2,FALSE),VLOOKUP(V203,'Catalogue Aluminium'!$Q$9:$S$28,3)),IF(T203="GROUND",IF(U203="1C",VLOOKUP(V203,'Catalogue Aluminium'!$Q$9:$S$28,2,FALSE),VLOOKUP(V203,'Catalogue Aluminium'!$Q$9:$S$28,3))))))</f>
        <v>NA</v>
      </c>
      <c r="AN203" s="437">
        <f t="shared" ref="AN203" si="1608">IF(T203="AIR",AI203*AJ203,IF(T203="TRENCH",AI203*AJ203,IF(T203="DUCT",AJ203*AK203*AL203*AM203,IF(T203="GROUND",AJ203*AK203*AL203*AM203))))</f>
        <v>0.58740000000000003</v>
      </c>
      <c r="AO203" s="418">
        <f t="shared" ref="AO203" si="1609">Z203*AN203</f>
        <v>22.321200000000001</v>
      </c>
      <c r="AP203" s="434">
        <f t="shared" ref="AP203" si="1610">CEILING(((N203)/AO203),1)</f>
        <v>1</v>
      </c>
      <c r="AQ203" s="418" t="str">
        <f t="shared" ref="AQ203" si="1611">IF(AO203*AP203&gt;=N203,"YES","NO")</f>
        <v>YES</v>
      </c>
      <c r="AR203" s="437">
        <f t="shared" ref="AR203" si="1612">SQRT(3)*AH203*N203*((AA203*L203)+(AB203*SIN(ACOS(L203))))*100/(AP203*K203*1000)</f>
        <v>1.7538401065653377</v>
      </c>
      <c r="AS203" s="401" t="str">
        <f t="shared" ref="AS203" si="1613">IF(G203="INCOMER",(IF(AR203&lt;=2,"YES","NO")),IF(G203="POWER",(IF(AR203&lt;=2.5,"YES","NO")),IF(G203="MOTOR",(IF(AR203&lt;=3,"YES","NO")))))</f>
        <v>YES</v>
      </c>
      <c r="AT203" s="437" t="str">
        <f>IF(G203="MOTOR",(SQRT(3)*AH203*O203*((AA203*P203)+(AB203*SIN(ACOS(P203))))*100/(AP203*K203*1000)),"NA")</f>
        <v>NA</v>
      </c>
      <c r="AU203" s="401" t="str">
        <f>IF(G203="MOTOR",IF(AT203&lt;=15,"YES","NO"),"NA")</f>
        <v>NA</v>
      </c>
      <c r="AV203" s="503" t="str">
        <f>IF(U203="1C",CONCATENATE(AP203,"R x ",Y203,"kV x ",U203," x ",V203," Sqmm/Phase"),CONCATENATE(AP203,"R x ",0.6,"/1kV x ",U203," x ",V203," Sqmm"))</f>
        <v>1R x 0.6/1kV x 3C x 4 Sqmm</v>
      </c>
      <c r="AW203" s="503" t="str">
        <f>IF(U203="1C",CONCATENATE(AP203,"R x ",Y203,"kV x ",U203," x ",V203," Sqmm/Phase"),CONCATENATE(AP203,"R x ",0.6,"/1kV x ",U203," x ",V203,(IF(G203="MOTOR","+PE",""))," Sqmm"))</f>
        <v>1R x 0.6/1kV x 3C x 4 Sqmm</v>
      </c>
      <c r="AX203" s="343">
        <f>(IF(K203=400,(IF(U203="1C",(4*AH203*AP203),(AH203*AP203))),IF(K203=230,(AH203*AP203))))</f>
        <v>427</v>
      </c>
      <c r="AY203" s="355"/>
      <c r="AZ203" s="355">
        <f>IF(U203="1C",(3*AP203*2),(AP203*2))</f>
        <v>2</v>
      </c>
      <c r="BA203" s="356" t="str">
        <f t="shared" si="1604"/>
        <v>ACDEE1E2E3E4</v>
      </c>
      <c r="BB203" s="501">
        <f>VLOOKUP(W203,'Catalogue Aluminium'!$B$9:$H$93,7,FALSE)</f>
        <v>15</v>
      </c>
      <c r="BC203" s="328">
        <f>AP203*BB203</f>
        <v>15</v>
      </c>
      <c r="BE203" s="336"/>
      <c r="BF203" s="336">
        <v>1</v>
      </c>
      <c r="BG203" s="336"/>
      <c r="BH203" s="336"/>
      <c r="BI203" s="336">
        <v>1</v>
      </c>
      <c r="BJ203" s="336">
        <v>1</v>
      </c>
      <c r="BK203" s="336"/>
      <c r="BL203" s="336"/>
      <c r="BM203" s="336"/>
      <c r="BN203" s="336">
        <v>1</v>
      </c>
      <c r="BO203" s="336"/>
      <c r="BP203" s="336">
        <v>1</v>
      </c>
      <c r="BQ203" s="336">
        <v>1</v>
      </c>
      <c r="BR203" s="336">
        <v>1</v>
      </c>
      <c r="BS203" s="336">
        <v>1</v>
      </c>
      <c r="BT203" s="336"/>
      <c r="BU203" s="336"/>
      <c r="BV203" s="336"/>
      <c r="BW203" s="336"/>
      <c r="BX203" s="336"/>
      <c r="BY203" s="336"/>
      <c r="BZ203" s="336"/>
      <c r="CA203" s="336"/>
      <c r="CB203" s="336"/>
      <c r="CC203" s="336"/>
      <c r="CD203" s="336"/>
      <c r="CE203" s="336"/>
      <c r="CF203" s="336"/>
      <c r="CG203" s="336"/>
      <c r="CH203" s="336"/>
      <c r="CI203" s="336"/>
      <c r="CJ203" s="336"/>
      <c r="CK203" s="336"/>
      <c r="CL203" s="336"/>
      <c r="CM203" s="336"/>
      <c r="CN203" s="336"/>
      <c r="CO203" s="336"/>
      <c r="CP203" s="336"/>
      <c r="CQ203" s="336"/>
      <c r="CR203" s="336"/>
      <c r="CS203" s="336"/>
      <c r="CT203" s="336"/>
      <c r="CU203" s="336"/>
      <c r="CV203" s="336"/>
      <c r="CW203" s="336"/>
      <c r="CX203" s="336"/>
      <c r="CY203" s="336"/>
      <c r="CZ203" s="336"/>
      <c r="DA203" s="336"/>
      <c r="DB203" s="336"/>
      <c r="DC203" s="336"/>
      <c r="DD203" s="336"/>
      <c r="DE203" s="336"/>
      <c r="DF203" s="336"/>
      <c r="DG203" s="336"/>
      <c r="DH203" s="336"/>
      <c r="DI203" s="336"/>
      <c r="DJ203" s="336"/>
      <c r="DK203" s="336"/>
      <c r="DL203" s="336"/>
      <c r="DM203" s="336"/>
      <c r="DN203" s="336"/>
      <c r="DO203" s="336"/>
      <c r="DP203" s="336"/>
      <c r="DQ203" s="336"/>
      <c r="DR203" s="336"/>
      <c r="DS203" s="336"/>
      <c r="DT203" s="336"/>
      <c r="DU203" s="336"/>
      <c r="DW203" s="336">
        <f t="shared" ref="DW203" si="1614">IF(BE203=1,($BC203*BE203),0)</f>
        <v>0</v>
      </c>
      <c r="DX203" s="336">
        <f t="shared" ref="DX203" si="1615">IF(BF203=1,($BC203*BF203),0)</f>
        <v>15</v>
      </c>
      <c r="DY203" s="336">
        <f t="shared" ref="DY203" si="1616">IF(BG203=1,($BC203*BG203),0)</f>
        <v>0</v>
      </c>
      <c r="DZ203" s="336">
        <f t="shared" ref="DZ203" si="1617">IF(BH203=1,($BC203*BH203),0)</f>
        <v>0</v>
      </c>
      <c r="EA203" s="336">
        <f t="shared" ref="EA203" si="1618">IF(BI203=1,($BC203*BI203),0)</f>
        <v>15</v>
      </c>
      <c r="EB203" s="336">
        <f t="shared" ref="EB203" si="1619">IF(BJ203=1,($BC203*BJ203),0)</f>
        <v>15</v>
      </c>
      <c r="EC203" s="336">
        <f t="shared" ref="EC203" si="1620">IF(BK203=1,($BC203*BK203),0)</f>
        <v>0</v>
      </c>
      <c r="ED203" s="336">
        <f t="shared" ref="ED203" si="1621">IF(BL203=1,($BC203*BL203),0)</f>
        <v>0</v>
      </c>
      <c r="EE203" s="336">
        <f t="shared" ref="EE203" si="1622">IF(BM203=1,($BC203*BM203),0)</f>
        <v>0</v>
      </c>
      <c r="EF203" s="336">
        <f t="shared" ref="EF203" si="1623">IF(BN203=1,($BC203*BN203),0)</f>
        <v>15</v>
      </c>
      <c r="EG203" s="336">
        <f t="shared" ref="EG203" si="1624">IF(BO203=1,($BC203*BO203),0)</f>
        <v>0</v>
      </c>
      <c r="EH203" s="336">
        <f t="shared" ref="EH203" si="1625">IF(BP203=1,($BC203*BP203),0)</f>
        <v>15</v>
      </c>
      <c r="EI203" s="336">
        <f t="shared" ref="EI203" si="1626">IF(BQ203=1,($BC203*BQ203),0)</f>
        <v>15</v>
      </c>
      <c r="EJ203" s="336">
        <f t="shared" ref="EJ203" si="1627">IF(BR203=1,($BC203*BR203),0)</f>
        <v>15</v>
      </c>
      <c r="EK203" s="336">
        <f t="shared" ref="EK203" si="1628">IF(BS203=1,($BC203*BS203),0)</f>
        <v>15</v>
      </c>
      <c r="EL203" s="336">
        <f t="shared" ref="EL203" si="1629">IF(BT203=1,($BC203*BT203),0)</f>
        <v>0</v>
      </c>
      <c r="EM203" s="336">
        <f t="shared" ref="EM203" si="1630">IF(BU203=1,($BC203*BU203),0)</f>
        <v>0</v>
      </c>
      <c r="EN203" s="336">
        <f t="shared" ref="EN203" si="1631">IF(BV203=1,($BC203*BV203),0)</f>
        <v>0</v>
      </c>
      <c r="EO203" s="336">
        <f t="shared" ref="EO203" si="1632">IF(BW203=1,($BC203*BW203),0)</f>
        <v>0</v>
      </c>
      <c r="EP203" s="336">
        <f t="shared" ref="EP203" si="1633">IF(BX203=1,($BC203*BX203),0)</f>
        <v>0</v>
      </c>
      <c r="EQ203" s="336">
        <f t="shared" ref="EQ203" si="1634">IF(BY203=1,($BC203*BY203),0)</f>
        <v>0</v>
      </c>
      <c r="ER203" s="336">
        <f t="shared" ref="ER203" si="1635">IF(BZ203=1,($BC203*BZ203),0)</f>
        <v>0</v>
      </c>
      <c r="ES203" s="336">
        <f t="shared" ref="ES203" si="1636">IF(CA203=1,($BC203*CA203),0)</f>
        <v>0</v>
      </c>
      <c r="ET203" s="336">
        <f t="shared" si="934"/>
        <v>0</v>
      </c>
      <c r="EU203" s="336">
        <f t="shared" ref="EU203" si="1637">IF(CC203=1,($BC203*CC203),0)</f>
        <v>0</v>
      </c>
      <c r="EV203" s="336">
        <f t="shared" ref="EV203" si="1638">IF(CD203=1,($BC203*CD203),0)</f>
        <v>0</v>
      </c>
      <c r="EW203" s="336">
        <f t="shared" ref="EW203" si="1639">IF(CE203=1,($BC203*CE203),0)</f>
        <v>0</v>
      </c>
      <c r="EX203" s="336">
        <f t="shared" ref="EX203" si="1640">IF(CF203=1,($BC203*CF203),0)</f>
        <v>0</v>
      </c>
      <c r="EY203" s="336">
        <f t="shared" ref="EY203" si="1641">IF(CG203=1,($BC203*CG203),0)</f>
        <v>0</v>
      </c>
      <c r="EZ203" s="336">
        <f t="shared" ref="EZ203" si="1642">IF(CH203=1,($BC203*CH203),0)</f>
        <v>0</v>
      </c>
      <c r="FA203" s="336">
        <f t="shared" ref="FA203" si="1643">IF(CI203=1,($BC203*CI203),0)</f>
        <v>0</v>
      </c>
      <c r="FB203" s="336">
        <f t="shared" ref="FB203" si="1644">IF(CJ203=1,($BC203*CJ203),0)</f>
        <v>0</v>
      </c>
      <c r="FC203" s="336">
        <f t="shared" ref="FC203" si="1645">IF(CK203=1,($BC203*CK203),0)</f>
        <v>0</v>
      </c>
      <c r="FD203" s="336">
        <f t="shared" ref="FD203" si="1646">IF(CL203=1,($BC203*CL203),0)</f>
        <v>0</v>
      </c>
      <c r="FE203" s="336">
        <f t="shared" ref="FE203" si="1647">IF(CM203=1,($BC203*CM203),0)</f>
        <v>0</v>
      </c>
      <c r="FF203" s="336">
        <f t="shared" ref="FF203" si="1648">IF(CN203=1,($BC203*CN203),0)</f>
        <v>0</v>
      </c>
      <c r="FG203" s="336">
        <f t="shared" ref="FG203" si="1649">IF(CO203=1,($BC203*CO203),0)</f>
        <v>0</v>
      </c>
      <c r="FH203" s="336">
        <f t="shared" ref="FH203" si="1650">IF(CP203=1,($BC203*CP203),0)</f>
        <v>0</v>
      </c>
      <c r="FI203" s="336">
        <f t="shared" ref="FI203" si="1651">IF(CQ203=1,($BC203*CQ203),0)</f>
        <v>0</v>
      </c>
      <c r="FJ203" s="336">
        <f t="shared" ref="FJ203" si="1652">IF(CR203=1,($BC203*CR203),0)</f>
        <v>0</v>
      </c>
      <c r="FK203" s="336">
        <f t="shared" ref="FK203" si="1653">IF(CS203=1,($BC203*CS203),0)</f>
        <v>0</v>
      </c>
      <c r="FL203" s="336">
        <f t="shared" ref="FL203" si="1654">IF(CT203=1,($BC203*CT203),0)</f>
        <v>0</v>
      </c>
      <c r="FM203" s="336">
        <f t="shared" ref="FM203" si="1655">IF(CU203=1,($BC203*CU203),0)</f>
        <v>0</v>
      </c>
      <c r="FN203" s="336">
        <f t="shared" ref="FN203" si="1656">IF(CV203=1,($BC203*CV203),0)</f>
        <v>0</v>
      </c>
      <c r="FO203" s="336">
        <f t="shared" ref="FO203" si="1657">IF(CW203=1,($BC203*CW203),0)</f>
        <v>0</v>
      </c>
      <c r="FP203" s="336">
        <f t="shared" ref="FP203" si="1658">IF(CX203=1,($BC203*CX203),0)</f>
        <v>0</v>
      </c>
      <c r="FQ203" s="336">
        <f t="shared" ref="FQ203" si="1659">IF(CY203=1,($BC203*CY203),0)</f>
        <v>0</v>
      </c>
      <c r="FR203" s="336">
        <f t="shared" ref="FR203" si="1660">IF(CZ203=1,($BC203*CZ203),0)</f>
        <v>0</v>
      </c>
      <c r="FS203" s="336">
        <f t="shared" ref="FS203" si="1661">IF(DA203=1,($BC203*DA203),0)</f>
        <v>0</v>
      </c>
      <c r="FT203" s="336">
        <f t="shared" ref="FT203" si="1662">IF(DB203=1,($BC203*DB203),0)</f>
        <v>0</v>
      </c>
      <c r="FU203" s="336">
        <f t="shared" si="1585"/>
        <v>0</v>
      </c>
      <c r="FV203" s="336">
        <f t="shared" si="1586"/>
        <v>0</v>
      </c>
      <c r="FW203" s="336">
        <f t="shared" si="1587"/>
        <v>0</v>
      </c>
      <c r="FX203" s="336">
        <f t="shared" si="1588"/>
        <v>0</v>
      </c>
      <c r="FY203" s="336">
        <f t="shared" ref="FY203" si="1663">IF(DG203=1,($BC203*DG203),0)</f>
        <v>0</v>
      </c>
      <c r="FZ203" s="336">
        <f t="shared" ref="FZ203" si="1664">IF(DH203=1,($BC203*DH203),0)</f>
        <v>0</v>
      </c>
      <c r="GA203" s="336">
        <f t="shared" ref="GA203" si="1665">IF(DI203=1,($BC203*DI203),0)</f>
        <v>0</v>
      </c>
      <c r="GB203" s="336">
        <f t="shared" ref="GB203" si="1666">IF(DJ203=1,($BC203*DJ203),0)</f>
        <v>0</v>
      </c>
      <c r="GC203" s="336">
        <f t="shared" ref="GC203" si="1667">IF(DK203=1,($BC203*DK203),0)</f>
        <v>0</v>
      </c>
      <c r="GD203" s="336">
        <f t="shared" ref="GD203" si="1668">IF(DL203=1,($BC203*DL203),0)</f>
        <v>0</v>
      </c>
      <c r="GE203" s="336">
        <f t="shared" ref="GE203" si="1669">IF(DM203=1,($BC203*DM203),0)</f>
        <v>0</v>
      </c>
      <c r="GF203" s="336">
        <f t="shared" ref="GF203" si="1670">IF(DN203=1,($BC203*DN203),0)</f>
        <v>0</v>
      </c>
      <c r="GG203" s="336">
        <f t="shared" ref="GG203" si="1671">IF(DO203=1,($BC203*DO203),0)</f>
        <v>0</v>
      </c>
      <c r="GH203" s="336">
        <f t="shared" ref="GH203" si="1672">IF(DP203=1,($BC203*DP203),0)</f>
        <v>0</v>
      </c>
      <c r="GI203" s="336">
        <f t="shared" ref="GI203" si="1673">IF(DQ203=1,($BC203*DQ203),0)</f>
        <v>0</v>
      </c>
      <c r="GJ203" s="336">
        <f t="shared" ref="GJ203" si="1674">IF(DR203=1,($BC203*DR203),0)</f>
        <v>0</v>
      </c>
      <c r="GK203" s="336">
        <f t="shared" ref="GK203" si="1675">IF(DS203=1,($BC203*DS203),0)</f>
        <v>0</v>
      </c>
      <c r="GL203" s="336">
        <f t="shared" si="1589"/>
        <v>0</v>
      </c>
      <c r="GM203" s="336">
        <f t="shared" ref="GM203" si="1676">IF(DU203=1,($BC203*DU203),0)</f>
        <v>0</v>
      </c>
    </row>
    <row r="204" spans="1:195" ht="20.100000000000001" customHeight="1">
      <c r="A204" s="337">
        <f>1+A203</f>
        <v>142</v>
      </c>
      <c r="B204" s="897" t="s">
        <v>1683</v>
      </c>
      <c r="C204" s="337" t="s">
        <v>636</v>
      </c>
      <c r="D204" s="372" t="s">
        <v>666</v>
      </c>
      <c r="E204" s="444" t="s">
        <v>345</v>
      </c>
      <c r="F204" s="337" t="s">
        <v>29</v>
      </c>
      <c r="G204" s="337" t="s">
        <v>350</v>
      </c>
      <c r="H204" s="418">
        <v>22</v>
      </c>
      <c r="I204" s="337" t="s">
        <v>330</v>
      </c>
      <c r="J204" s="337" t="s">
        <v>331</v>
      </c>
      <c r="K204" s="349">
        <v>400</v>
      </c>
      <c r="L204" s="343">
        <v>0.82</v>
      </c>
      <c r="M204" s="350">
        <v>0.93299999999999994</v>
      </c>
      <c r="N204" s="342">
        <f t="shared" si="1590"/>
        <v>41.506805093521933</v>
      </c>
      <c r="O204" s="342">
        <f t="shared" si="1591"/>
        <v>249.0408305611316</v>
      </c>
      <c r="P204" s="343">
        <f t="shared" si="1592"/>
        <v>0.2</v>
      </c>
      <c r="Q204" s="350">
        <v>50</v>
      </c>
      <c r="R204" s="350">
        <v>0</v>
      </c>
      <c r="S204" s="350">
        <f t="shared" si="1593"/>
        <v>0</v>
      </c>
      <c r="T204" s="343" t="s">
        <v>131</v>
      </c>
      <c r="U204" s="350" t="s">
        <v>333</v>
      </c>
      <c r="V204" s="343">
        <v>95</v>
      </c>
      <c r="W204" s="343" t="str">
        <f t="shared" si="1594"/>
        <v>3C X 95</v>
      </c>
      <c r="X204" s="343" t="str">
        <f t="shared" si="1595"/>
        <v>3C X 95+PE</v>
      </c>
      <c r="Y204" s="343" t="s">
        <v>358</v>
      </c>
      <c r="Z204" s="344">
        <f>IF(T204="AIR",VLOOKUP(W204,'Catalogue Aluminium'!$B$9:$G$93,2,FALSE),IF(T204="GROUND",VLOOKUP(W204,'Catalogue Aluminium'!$B$9:$G$93,3,FALSE),IF(T204="DUCT",VLOOKUP(W204,'Catalogue Aluminium'!$B$9:$G$93,4,FALSE),IF(T204="TRENCH",VLOOKUP(W204,'Catalogue Aluminium'!$B$9:$G$93,2,FALSE)))))</f>
        <v>221</v>
      </c>
      <c r="AA204" s="345">
        <f>VLOOKUP(W204,'Catalogue Aluminium'!$B$9:$G$93,5,FALSE)</f>
        <v>0.41</v>
      </c>
      <c r="AB204" s="345">
        <f>VLOOKUP(W204,'Catalogue Aluminium'!$B$9:$G$93,6,FALSE)</f>
        <v>7.3400000000000007E-2</v>
      </c>
      <c r="AC204" s="457">
        <f>24+6</f>
        <v>30</v>
      </c>
      <c r="AD204" s="401">
        <f t="shared" si="1584"/>
        <v>304</v>
      </c>
      <c r="AE204" s="401">
        <f t="shared" si="1583"/>
        <v>38</v>
      </c>
      <c r="AF204" s="401">
        <v>8</v>
      </c>
      <c r="AG204" s="401">
        <f t="shared" si="1597"/>
        <v>38</v>
      </c>
      <c r="AH204" s="347">
        <f t="shared" si="1598"/>
        <v>418</v>
      </c>
      <c r="AI204" s="344">
        <f>IF(T204="AIR",'Catalogue Aluminium'!$K$9,IF(T204="TRENCH",'Catalogue Aluminium'!$K$12,"NA"))</f>
        <v>0.89</v>
      </c>
      <c r="AJ204" s="342">
        <f>IF(T204="Air",(IF(U204="1C",'Catalogue Aluminium'!$L$9,'Catalogue Aluminium'!$M$9)),IF(T204="DUCT",(IF($U204="1C",'Catalogue Aluminium'!$L$10,'Catalogue Aluminium'!$M$10)),IF(T204="GROUND",(IF($U204="1C",'Catalogue Aluminium'!$L$11,'Catalogue Aluminium'!$M$11)),IF(T204="TRENCH",(IF($U204="1C",'Catalogue Aluminium'!$L$12,'Catalogue Aluminium'!$M$12))))))</f>
        <v>0.66</v>
      </c>
      <c r="AK204" s="344" t="str">
        <f>IF(T204="Air",'Catalogue Aluminium'!$N$9,IF(T204="GROUND",'Catalogue Aluminium'!$N$10,IF(T204="DUCT",'Catalogue Aluminium'!$N$11,IF(T204="TRENCH",'Catalogue Aluminium'!$N$12,"NA"))))</f>
        <v>NA</v>
      </c>
      <c r="AL204" s="344" t="str">
        <f>IF(T204="Air",(IF(U204="1C",'Catalogue Aluminium'!$O$9,'Catalogue Aluminium'!$P$9)),IF(T204="DUCT",(IF($U204="1C",'Catalogue Aluminium'!$O$10,'Catalogue Aluminium'!$P$10)),IF(T204="GROUND",(IF($U204="1C",'Catalogue Aluminium'!$O$11,'Catalogue Aluminium'!$P$11)),IF(T204="TRENCH",(IF($U204="1C",'Catalogue Aluminium'!$O$12,'Catalogue Aluminium'!$P$12))))))</f>
        <v>NA</v>
      </c>
      <c r="AM204" s="344" t="str">
        <f>IF(T204="AIR","NA",IF(T204="TRENCH","NA",IF(T204="DUCT",IF(U204="1C",VLOOKUP(V204,'Catalogue Aluminium'!$Q$9:$S$28,2,FALSE),VLOOKUP(V204,'Catalogue Aluminium'!$Q$9:$S$28,3)),IF(T204="GROUND",IF(U204="1C",VLOOKUP(V204,'Catalogue Aluminium'!$Q$9:$S$28,2,FALSE),VLOOKUP(V204,'Catalogue Aluminium'!$Q$9:$S$28,3))))))</f>
        <v>NA</v>
      </c>
      <c r="AN204" s="351">
        <f t="shared" si="1599"/>
        <v>0.58740000000000003</v>
      </c>
      <c r="AO204" s="350">
        <f t="shared" si="1600"/>
        <v>129.81540000000001</v>
      </c>
      <c r="AP204" s="349">
        <f t="shared" si="1303"/>
        <v>1</v>
      </c>
      <c r="AQ204" s="350" t="str">
        <f t="shared" si="1601"/>
        <v>YES</v>
      </c>
      <c r="AR204" s="351">
        <f t="shared" si="1602"/>
        <v>2.8413905602292835</v>
      </c>
      <c r="AS204" s="343" t="str">
        <f t="shared" si="1603"/>
        <v>YES</v>
      </c>
      <c r="AT204" s="351">
        <f>IF(G204="MOTOR",(SQRT(3)*AH204*O204*((AA204*P204)+(AB204*SIN(ACOS(P204))))*100/(AP204*K204*1000)),"NA")</f>
        <v>6.9379971481031202</v>
      </c>
      <c r="AU204" s="343" t="str">
        <f>IF(G204="MOTOR",IF(AT204&lt;=15,"YES","NO"),"NA")</f>
        <v>YES</v>
      </c>
      <c r="AV204" s="354" t="str">
        <f>IF(U204="1C",CONCATENATE(AP204,"R x ",Y204,"kV x ",U204," x ",V204," Sqmm/Phase"),CONCATENATE(AP204,"R x ",0.6,"/1kV x ",U204," x ",V204," Sqmm"))</f>
        <v>1R x 0.6/1kV x 3C x 95 Sqmm</v>
      </c>
      <c r="AW204" s="354" t="str">
        <f>IF(U204="1C",CONCATENATE(AP204,"R x ",Y204,"kV x ",U204," x ",V204," Sqmm/Phase"),CONCATENATE(AP204,"R x ",0.6,"/1kV x ",U204," x ",V204,(IF(G204="MOTOR","+PE",""))," Sqmm"))</f>
        <v>1R x 0.6/1kV x 3C x 95+PE Sqmm</v>
      </c>
      <c r="AX204" s="343">
        <f>(IF(K204=400,(IF(U204="1C",(4*AH204*AP204),(AH204*AP204))),IF(K204=230,(AH204*AP204))))</f>
        <v>418</v>
      </c>
      <c r="AY204" s="355"/>
      <c r="AZ204" s="355">
        <f>IF(U204="1C",(3*AP204*2),(AP204*2))</f>
        <v>2</v>
      </c>
      <c r="BA204" s="356" t="str">
        <f t="shared" si="1604"/>
        <v>ACDEE1E2E3E4</v>
      </c>
      <c r="BB204" s="501">
        <f>VLOOKUP(W204,'Catalogue Aluminium'!$B$9:$H$93,7,FALSE)</f>
        <v>33</v>
      </c>
      <c r="BC204" s="328">
        <f>AP204*BB204</f>
        <v>33</v>
      </c>
      <c r="BE204" s="336"/>
      <c r="BF204" s="336">
        <v>1</v>
      </c>
      <c r="BG204" s="336"/>
      <c r="BH204" s="336"/>
      <c r="BI204" s="336">
        <v>1</v>
      </c>
      <c r="BJ204" s="336">
        <v>1</v>
      </c>
      <c r="BK204" s="336"/>
      <c r="BL204" s="336"/>
      <c r="BM204" s="336"/>
      <c r="BN204" s="336">
        <v>1</v>
      </c>
      <c r="BO204" s="336"/>
      <c r="BP204" s="336">
        <v>1</v>
      </c>
      <c r="BQ204" s="336">
        <v>1</v>
      </c>
      <c r="BR204" s="336">
        <v>1</v>
      </c>
      <c r="BS204" s="336">
        <v>1</v>
      </c>
      <c r="BT204" s="336"/>
      <c r="BU204" s="336"/>
      <c r="BV204" s="336"/>
      <c r="BW204" s="336"/>
      <c r="BX204" s="336"/>
      <c r="BY204" s="336"/>
      <c r="BZ204" s="336"/>
      <c r="CA204" s="336"/>
      <c r="CB204" s="336"/>
      <c r="CC204" s="336"/>
      <c r="CD204" s="336"/>
      <c r="CE204" s="336"/>
      <c r="CF204" s="336"/>
      <c r="CG204" s="336"/>
      <c r="CH204" s="336"/>
      <c r="CI204" s="336"/>
      <c r="CJ204" s="336"/>
      <c r="CK204" s="336"/>
      <c r="CL204" s="336"/>
      <c r="CM204" s="336"/>
      <c r="CN204" s="336"/>
      <c r="CO204" s="336"/>
      <c r="CP204" s="336"/>
      <c r="CQ204" s="336"/>
      <c r="CR204" s="336"/>
      <c r="CS204" s="336"/>
      <c r="CT204" s="336"/>
      <c r="CU204" s="336"/>
      <c r="CV204" s="336"/>
      <c r="CW204" s="336"/>
      <c r="CX204" s="336"/>
      <c r="CY204" s="336"/>
      <c r="CZ204" s="336"/>
      <c r="DA204" s="336"/>
      <c r="DB204" s="336"/>
      <c r="DC204" s="336"/>
      <c r="DD204" s="336"/>
      <c r="DE204" s="336"/>
      <c r="DF204" s="336"/>
      <c r="DG204" s="336"/>
      <c r="DH204" s="336"/>
      <c r="DI204" s="336"/>
      <c r="DJ204" s="336"/>
      <c r="DK204" s="336"/>
      <c r="DL204" s="336"/>
      <c r="DM204" s="336"/>
      <c r="DN204" s="336"/>
      <c r="DO204" s="336"/>
      <c r="DP204" s="336"/>
      <c r="DQ204" s="336"/>
      <c r="DR204" s="336"/>
      <c r="DS204" s="336"/>
      <c r="DT204" s="336"/>
      <c r="DU204" s="336"/>
      <c r="DW204" s="336">
        <f t="shared" si="1012"/>
        <v>0</v>
      </c>
      <c r="DX204" s="336">
        <f t="shared" si="1004"/>
        <v>33</v>
      </c>
      <c r="DY204" s="336">
        <f t="shared" si="1005"/>
        <v>0</v>
      </c>
      <c r="DZ204" s="336">
        <f t="shared" si="1006"/>
        <v>0</v>
      </c>
      <c r="EA204" s="336">
        <f t="shared" si="1007"/>
        <v>33</v>
      </c>
      <c r="EB204" s="336">
        <f t="shared" si="1008"/>
        <v>33</v>
      </c>
      <c r="EC204" s="336">
        <f t="shared" si="1009"/>
        <v>0</v>
      </c>
      <c r="ED204" s="336">
        <f t="shared" si="919"/>
        <v>0</v>
      </c>
      <c r="EE204" s="336">
        <f t="shared" si="920"/>
        <v>0</v>
      </c>
      <c r="EF204" s="336">
        <f t="shared" si="921"/>
        <v>33</v>
      </c>
      <c r="EG204" s="336">
        <f t="shared" si="922"/>
        <v>0</v>
      </c>
      <c r="EH204" s="336">
        <f t="shared" si="923"/>
        <v>33</v>
      </c>
      <c r="EI204" s="336">
        <f t="shared" si="924"/>
        <v>33</v>
      </c>
      <c r="EJ204" s="336">
        <f t="shared" si="925"/>
        <v>33</v>
      </c>
      <c r="EK204" s="336">
        <f t="shared" si="926"/>
        <v>33</v>
      </c>
      <c r="EL204" s="336">
        <f t="shared" si="927"/>
        <v>0</v>
      </c>
      <c r="EM204" s="336">
        <f t="shared" si="928"/>
        <v>0</v>
      </c>
      <c r="EN204" s="336">
        <f t="shared" si="929"/>
        <v>0</v>
      </c>
      <c r="EO204" s="336">
        <f t="shared" si="930"/>
        <v>0</v>
      </c>
      <c r="EP204" s="336">
        <f t="shared" si="931"/>
        <v>0</v>
      </c>
      <c r="EQ204" s="336">
        <f t="shared" si="932"/>
        <v>0</v>
      </c>
      <c r="ER204" s="336">
        <f t="shared" si="933"/>
        <v>0</v>
      </c>
      <c r="ES204" s="336">
        <f t="shared" si="934"/>
        <v>0</v>
      </c>
      <c r="ET204" s="336">
        <f t="shared" si="934"/>
        <v>0</v>
      </c>
      <c r="EU204" s="336">
        <f t="shared" si="935"/>
        <v>0</v>
      </c>
      <c r="EV204" s="336">
        <f t="shared" si="936"/>
        <v>0</v>
      </c>
      <c r="EW204" s="336">
        <f t="shared" si="937"/>
        <v>0</v>
      </c>
      <c r="EX204" s="336">
        <f t="shared" si="938"/>
        <v>0</v>
      </c>
      <c r="EY204" s="336">
        <f t="shared" si="939"/>
        <v>0</v>
      </c>
      <c r="EZ204" s="336">
        <f t="shared" si="940"/>
        <v>0</v>
      </c>
      <c r="FA204" s="336">
        <f t="shared" si="941"/>
        <v>0</v>
      </c>
      <c r="FB204" s="336">
        <f t="shared" si="942"/>
        <v>0</v>
      </c>
      <c r="FC204" s="336">
        <f t="shared" si="943"/>
        <v>0</v>
      </c>
      <c r="FD204" s="336">
        <f t="shared" si="944"/>
        <v>0</v>
      </c>
      <c r="FE204" s="336">
        <f t="shared" si="945"/>
        <v>0</v>
      </c>
      <c r="FF204" s="336">
        <f t="shared" si="946"/>
        <v>0</v>
      </c>
      <c r="FG204" s="336">
        <f t="shared" si="947"/>
        <v>0</v>
      </c>
      <c r="FH204" s="336">
        <f t="shared" si="948"/>
        <v>0</v>
      </c>
      <c r="FI204" s="336">
        <f t="shared" si="949"/>
        <v>0</v>
      </c>
      <c r="FJ204" s="336">
        <f t="shared" si="950"/>
        <v>0</v>
      </c>
      <c r="FK204" s="336">
        <f t="shared" si="951"/>
        <v>0</v>
      </c>
      <c r="FL204" s="336">
        <f t="shared" si="952"/>
        <v>0</v>
      </c>
      <c r="FM204" s="336">
        <f t="shared" si="953"/>
        <v>0</v>
      </c>
      <c r="FN204" s="336">
        <f t="shared" si="954"/>
        <v>0</v>
      </c>
      <c r="FO204" s="336">
        <f t="shared" si="955"/>
        <v>0</v>
      </c>
      <c r="FP204" s="336">
        <f t="shared" si="956"/>
        <v>0</v>
      </c>
      <c r="FQ204" s="336">
        <f t="shared" si="957"/>
        <v>0</v>
      </c>
      <c r="FR204" s="336">
        <f t="shared" si="958"/>
        <v>0</v>
      </c>
      <c r="FS204" s="336">
        <f t="shared" si="959"/>
        <v>0</v>
      </c>
      <c r="FT204" s="336">
        <f t="shared" si="960"/>
        <v>0</v>
      </c>
      <c r="FU204" s="336">
        <f t="shared" si="1585"/>
        <v>0</v>
      </c>
      <c r="FV204" s="336">
        <f t="shared" si="1586"/>
        <v>0</v>
      </c>
      <c r="FW204" s="336">
        <f t="shared" si="1587"/>
        <v>0</v>
      </c>
      <c r="FX204" s="336">
        <f t="shared" si="1588"/>
        <v>0</v>
      </c>
      <c r="FY204" s="336">
        <f t="shared" si="961"/>
        <v>0</v>
      </c>
      <c r="FZ204" s="336">
        <f t="shared" si="962"/>
        <v>0</v>
      </c>
      <c r="GA204" s="336">
        <f t="shared" si="963"/>
        <v>0</v>
      </c>
      <c r="GB204" s="336">
        <f t="shared" si="964"/>
        <v>0</v>
      </c>
      <c r="GC204" s="336">
        <f t="shared" si="965"/>
        <v>0</v>
      </c>
      <c r="GD204" s="336">
        <f t="shared" si="966"/>
        <v>0</v>
      </c>
      <c r="GE204" s="336">
        <f t="shared" si="967"/>
        <v>0</v>
      </c>
      <c r="GF204" s="336">
        <f t="shared" si="968"/>
        <v>0</v>
      </c>
      <c r="GG204" s="336">
        <f t="shared" si="969"/>
        <v>0</v>
      </c>
      <c r="GH204" s="336">
        <f t="shared" si="970"/>
        <v>0</v>
      </c>
      <c r="GI204" s="336">
        <f t="shared" si="971"/>
        <v>0</v>
      </c>
      <c r="GJ204" s="336">
        <f t="shared" si="972"/>
        <v>0</v>
      </c>
      <c r="GK204" s="336">
        <f>IF(DS204=1,($BC204*DS204),0)</f>
        <v>0</v>
      </c>
      <c r="GL204" s="336">
        <f t="shared" si="1589"/>
        <v>0</v>
      </c>
      <c r="GM204" s="336">
        <f t="shared" si="973"/>
        <v>0</v>
      </c>
    </row>
    <row r="205" spans="1:195" ht="20.100000000000001" customHeight="1">
      <c r="A205" s="388">
        <f>1+A204</f>
        <v>143</v>
      </c>
      <c r="B205" s="506"/>
      <c r="C205" s="388" t="s">
        <v>636</v>
      </c>
      <c r="D205" s="338" t="s">
        <v>1597</v>
      </c>
      <c r="E205" s="445" t="s">
        <v>345</v>
      </c>
      <c r="F205" s="388" t="s">
        <v>29</v>
      </c>
      <c r="G205" s="388" t="s">
        <v>329</v>
      </c>
      <c r="H205" s="396">
        <v>0.2</v>
      </c>
      <c r="I205" s="388" t="s">
        <v>330</v>
      </c>
      <c r="J205" s="388" t="s">
        <v>357</v>
      </c>
      <c r="K205" s="434">
        <v>230</v>
      </c>
      <c r="L205" s="401">
        <v>0.85</v>
      </c>
      <c r="M205" s="418">
        <v>0.95</v>
      </c>
      <c r="N205" s="392">
        <f t="shared" si="1590"/>
        <v>1.0768609503297888</v>
      </c>
      <c r="O205" s="392">
        <f t="shared" si="1591"/>
        <v>0</v>
      </c>
      <c r="P205" s="401" t="str">
        <f t="shared" si="1592"/>
        <v>0.00</v>
      </c>
      <c r="Q205" s="418">
        <v>65</v>
      </c>
      <c r="R205" s="418">
        <v>0</v>
      </c>
      <c r="S205" s="418">
        <f t="shared" si="1593"/>
        <v>0</v>
      </c>
      <c r="T205" s="401" t="s">
        <v>131</v>
      </c>
      <c r="U205" s="418" t="s">
        <v>333</v>
      </c>
      <c r="V205" s="401">
        <v>4</v>
      </c>
      <c r="W205" s="401" t="str">
        <f t="shared" si="1594"/>
        <v>3C X 4</v>
      </c>
      <c r="X205" s="401" t="str">
        <f t="shared" ref="X205" si="1677">(IF(J205="1Ph",W205,IF(J205="3Ph",(IF(G205="MOTOR",(CONCATENATE(W205,"+PE")),W205)))))</f>
        <v>3C X 4</v>
      </c>
      <c r="Y205" s="401" t="s">
        <v>358</v>
      </c>
      <c r="Z205" s="393">
        <f>IF(T205="AIR",VLOOKUP(W205,'Catalogue Aluminium'!$B$9:$G$93,2,FALSE),IF(T205="GROUND",VLOOKUP(W205,'Catalogue Aluminium'!$B$9:$G$93,3,FALSE),IF(T205="DUCT",VLOOKUP(W205,'Catalogue Aluminium'!$B$9:$G$93,4,FALSE),IF(T205="TRENCH",VLOOKUP(W205,'Catalogue Aluminium'!$B$9:$G$93,2,FALSE)))))</f>
        <v>38</v>
      </c>
      <c r="AA205" s="402">
        <f>VLOOKUP(W205,'Catalogue Aluminium'!$B$9:$G$93,5,FALSE)</f>
        <v>5.9</v>
      </c>
      <c r="AB205" s="402">
        <f>VLOOKUP(W205,'Catalogue Aluminium'!$B$9:$G$93,6,FALSE)</f>
        <v>9.4700000000000006E-2</v>
      </c>
      <c r="AC205" s="457">
        <f>24+6</f>
        <v>30</v>
      </c>
      <c r="AD205" s="401">
        <f t="shared" si="1584"/>
        <v>304</v>
      </c>
      <c r="AE205" s="401">
        <f t="shared" si="1583"/>
        <v>38</v>
      </c>
      <c r="AF205" s="401">
        <v>8</v>
      </c>
      <c r="AG205" s="401">
        <f t="shared" ref="AG205" si="1678">ROUNDUP((SUM(AC205:AF205)*0.1),0)</f>
        <v>38</v>
      </c>
      <c r="AH205" s="436">
        <f t="shared" ref="AH205" si="1679">SUM(AC205:AG205)</f>
        <v>418</v>
      </c>
      <c r="AI205" s="393">
        <f>IF(T205="AIR",'Catalogue Aluminium'!$K$9,IF(T205="TRENCH",'Catalogue Aluminium'!$K$12,"NA"))</f>
        <v>0.89</v>
      </c>
      <c r="AJ205" s="392">
        <f>IF(T205="Air",(IF(U205="1C",'Catalogue Aluminium'!$L$9,'Catalogue Aluminium'!$M$9)),IF(T205="DUCT",(IF($U205="1C",'Catalogue Aluminium'!$L$10,'Catalogue Aluminium'!$M$10)),IF(T205="GROUND",(IF($U205="1C",'Catalogue Aluminium'!$L$11,'Catalogue Aluminium'!$M$11)),IF(T205="TRENCH",(IF($U205="1C",'Catalogue Aluminium'!$L$12,'Catalogue Aluminium'!$M$12))))))</f>
        <v>0.66</v>
      </c>
      <c r="AK205" s="393" t="str">
        <f>IF(T205="Air",'Catalogue Aluminium'!$N$9,IF(T205="GROUND",'Catalogue Aluminium'!$N$10,IF(T205="DUCT",'Catalogue Aluminium'!$N$11,IF(T205="TRENCH",'Catalogue Aluminium'!$N$12,"NA"))))</f>
        <v>NA</v>
      </c>
      <c r="AL205" s="393" t="str">
        <f>IF(T205="Air",(IF(U205="1C",'Catalogue Aluminium'!$O$9,'Catalogue Aluminium'!$P$9)),IF(T205="DUCT",(IF($U205="1C",'Catalogue Aluminium'!$O$10,'Catalogue Aluminium'!$P$10)),IF(T205="GROUND",(IF($U205="1C",'Catalogue Aluminium'!$O$11,'Catalogue Aluminium'!$P$11)),IF(T205="TRENCH",(IF($U205="1C",'Catalogue Aluminium'!$O$12,'Catalogue Aluminium'!$P$12))))))</f>
        <v>NA</v>
      </c>
      <c r="AM205" s="393" t="str">
        <f>IF(T205="AIR","NA",IF(T205="TRENCH","NA",IF(T205="DUCT",IF(U205="1C",VLOOKUP(V205,'Catalogue Aluminium'!$Q$9:$S$28,2,FALSE),VLOOKUP(V205,'Catalogue Aluminium'!$Q$9:$S$28,3)),IF(T205="GROUND",IF(U205="1C",VLOOKUP(V205,'Catalogue Aluminium'!$Q$9:$S$28,2,FALSE),VLOOKUP(V205,'Catalogue Aluminium'!$Q$9:$S$28,3))))))</f>
        <v>NA</v>
      </c>
      <c r="AN205" s="437">
        <f t="shared" ref="AN205" si="1680">IF(T205="AIR",AI205*AJ205,IF(T205="TRENCH",AI205*AJ205,IF(T205="DUCT",AJ205*AK205*AL205*AM205,IF(T205="GROUND",AJ205*AK205*AL205*AM205))))</f>
        <v>0.58740000000000003</v>
      </c>
      <c r="AO205" s="418">
        <f t="shared" ref="AO205" si="1681">Z205*AN205</f>
        <v>22.321200000000001</v>
      </c>
      <c r="AP205" s="434">
        <f t="shared" ref="AP205" si="1682">CEILING(((N205)/AO205),1)</f>
        <v>1</v>
      </c>
      <c r="AQ205" s="418" t="str">
        <f t="shared" ref="AQ205" si="1683">IF(AO205*AP205&gt;=N205,"YES","NO")</f>
        <v>YES</v>
      </c>
      <c r="AR205" s="437">
        <f t="shared" ref="AR205" si="1684">SQRT(3)*AH205*N205*((AA205*L205)+(AB205*SIN(ACOS(L205))))*100/(AP205*K205*1000)</f>
        <v>1.7168739216494406</v>
      </c>
      <c r="AS205" s="401" t="str">
        <f t="shared" ref="AS205" si="1685">IF(G205="INCOMER",(IF(AR205&lt;=2,"YES","NO")),IF(G205="POWER",(IF(AR205&lt;=2.5,"YES","NO")),IF(G205="MOTOR",(IF(AR205&lt;=3,"YES","NO")))))</f>
        <v>YES</v>
      </c>
      <c r="AT205" s="437" t="str">
        <f>IF(G205="MOTOR",(SQRT(3)*AH205*O205*((AA205*P205)+(AB205*SIN(ACOS(P205))))*100/(AP205*K205*1000)),"NA")</f>
        <v>NA</v>
      </c>
      <c r="AU205" s="401" t="str">
        <f>IF(G205="MOTOR",IF(AT205&lt;=15,"YES","NO"),"NA")</f>
        <v>NA</v>
      </c>
      <c r="AV205" s="503" t="str">
        <f>IF(U205="1C",CONCATENATE(AP205,"R x ",Y205,"kV x ",U205," x ",V205," Sqmm/Phase"),CONCATENATE(AP205,"R x ",0.6,"/1kV x ",U205," x ",V205," Sqmm"))</f>
        <v>1R x 0.6/1kV x 3C x 4 Sqmm</v>
      </c>
      <c r="AW205" s="503" t="str">
        <f>IF(U205="1C",CONCATENATE(AP205,"R x ",Y205,"kV x ",U205," x ",V205," Sqmm/Phase"),CONCATENATE(AP205,"R x ",0.6,"/1kV x ",U205," x ",V205,(IF(G205="MOTOR","+PE",""))," Sqmm"))</f>
        <v>1R x 0.6/1kV x 3C x 4 Sqmm</v>
      </c>
      <c r="AX205" s="343">
        <f>(IF(K205=400,(IF(U205="1C",(4*AH205*AP205),(AH205*AP205))),IF(K205=230,(AH205*AP205))))</f>
        <v>418</v>
      </c>
      <c r="AY205" s="355"/>
      <c r="AZ205" s="355">
        <f>IF(U205="1C",(3*AP205*2),(AP205*2))</f>
        <v>2</v>
      </c>
      <c r="BA205" s="356" t="str">
        <f t="shared" si="1604"/>
        <v>ACDEE1E2E3E4</v>
      </c>
      <c r="BB205" s="501">
        <f>VLOOKUP(W205,'Catalogue Aluminium'!$B$9:$H$93,7,FALSE)</f>
        <v>15</v>
      </c>
      <c r="BC205" s="328">
        <f>AP205*BB205</f>
        <v>15</v>
      </c>
      <c r="BE205" s="336"/>
      <c r="BF205" s="336">
        <v>1</v>
      </c>
      <c r="BG205" s="336"/>
      <c r="BH205" s="336"/>
      <c r="BI205" s="336">
        <v>1</v>
      </c>
      <c r="BJ205" s="336">
        <v>1</v>
      </c>
      <c r="BK205" s="336"/>
      <c r="BL205" s="336"/>
      <c r="BM205" s="336"/>
      <c r="BN205" s="336">
        <v>1</v>
      </c>
      <c r="BO205" s="336"/>
      <c r="BP205" s="336">
        <v>1</v>
      </c>
      <c r="BQ205" s="336">
        <v>1</v>
      </c>
      <c r="BR205" s="336">
        <v>1</v>
      </c>
      <c r="BS205" s="336">
        <v>1</v>
      </c>
      <c r="BT205" s="336"/>
      <c r="BU205" s="336"/>
      <c r="BV205" s="336"/>
      <c r="BW205" s="336"/>
      <c r="BX205" s="336"/>
      <c r="BY205" s="336"/>
      <c r="BZ205" s="336"/>
      <c r="CA205" s="336"/>
      <c r="CB205" s="336"/>
      <c r="CC205" s="336"/>
      <c r="CD205" s="336"/>
      <c r="CE205" s="336"/>
      <c r="CF205" s="336"/>
      <c r="CG205" s="336"/>
      <c r="CH205" s="336"/>
      <c r="CI205" s="336"/>
      <c r="CJ205" s="336"/>
      <c r="CK205" s="336"/>
      <c r="CL205" s="336"/>
      <c r="CM205" s="336"/>
      <c r="CN205" s="336"/>
      <c r="CO205" s="336"/>
      <c r="CP205" s="336"/>
      <c r="CQ205" s="336"/>
      <c r="CR205" s="336"/>
      <c r="CS205" s="336"/>
      <c r="CT205" s="336"/>
      <c r="CU205" s="336"/>
      <c r="CV205" s="336"/>
      <c r="CW205" s="336"/>
      <c r="CX205" s="336"/>
      <c r="CY205" s="336"/>
      <c r="CZ205" s="336"/>
      <c r="DA205" s="336"/>
      <c r="DB205" s="336"/>
      <c r="DC205" s="336"/>
      <c r="DD205" s="336"/>
      <c r="DE205" s="336"/>
      <c r="DF205" s="336"/>
      <c r="DG205" s="336"/>
      <c r="DH205" s="336"/>
      <c r="DI205" s="336"/>
      <c r="DJ205" s="336"/>
      <c r="DK205" s="336"/>
      <c r="DL205" s="336"/>
      <c r="DM205" s="336"/>
      <c r="DN205" s="336"/>
      <c r="DO205" s="336"/>
      <c r="DP205" s="336"/>
      <c r="DQ205" s="336"/>
      <c r="DR205" s="336"/>
      <c r="DS205" s="336"/>
      <c r="DT205" s="336"/>
      <c r="DU205" s="336"/>
      <c r="DW205" s="336">
        <f t="shared" ref="DW205" si="1686">IF(BE205=1,($BC205*BE205),0)</f>
        <v>0</v>
      </c>
      <c r="DX205" s="336">
        <f t="shared" ref="DX205" si="1687">IF(BF205=1,($BC205*BF205),0)</f>
        <v>15</v>
      </c>
      <c r="DY205" s="336">
        <f t="shared" ref="DY205" si="1688">IF(BG205=1,($BC205*BG205),0)</f>
        <v>0</v>
      </c>
      <c r="DZ205" s="336">
        <f t="shared" ref="DZ205" si="1689">IF(BH205=1,($BC205*BH205),0)</f>
        <v>0</v>
      </c>
      <c r="EA205" s="336">
        <f t="shared" ref="EA205" si="1690">IF(BI205=1,($BC205*BI205),0)</f>
        <v>15</v>
      </c>
      <c r="EB205" s="336">
        <f t="shared" ref="EB205" si="1691">IF(BJ205=1,($BC205*BJ205),0)</f>
        <v>15</v>
      </c>
      <c r="EC205" s="336">
        <f t="shared" ref="EC205" si="1692">IF(BK205=1,($BC205*BK205),0)</f>
        <v>0</v>
      </c>
      <c r="ED205" s="336">
        <f t="shared" ref="ED205" si="1693">IF(BL205=1,($BC205*BL205),0)</f>
        <v>0</v>
      </c>
      <c r="EE205" s="336">
        <f t="shared" ref="EE205" si="1694">IF(BM205=1,($BC205*BM205),0)</f>
        <v>0</v>
      </c>
      <c r="EF205" s="336">
        <f t="shared" ref="EF205" si="1695">IF(BN205=1,($BC205*BN205),0)</f>
        <v>15</v>
      </c>
      <c r="EG205" s="336">
        <f t="shared" ref="EG205" si="1696">IF(BO205=1,($BC205*BO205),0)</f>
        <v>0</v>
      </c>
      <c r="EH205" s="336">
        <f t="shared" ref="EH205" si="1697">IF(BP205=1,($BC205*BP205),0)</f>
        <v>15</v>
      </c>
      <c r="EI205" s="336">
        <f t="shared" ref="EI205" si="1698">IF(BQ205=1,($BC205*BQ205),0)</f>
        <v>15</v>
      </c>
      <c r="EJ205" s="336">
        <f t="shared" ref="EJ205" si="1699">IF(BR205=1,($BC205*BR205),0)</f>
        <v>15</v>
      </c>
      <c r="EK205" s="336">
        <f t="shared" ref="EK205" si="1700">IF(BS205=1,($BC205*BS205),0)</f>
        <v>15</v>
      </c>
      <c r="EL205" s="336">
        <f t="shared" ref="EL205" si="1701">IF(BT205=1,($BC205*BT205),0)</f>
        <v>0</v>
      </c>
      <c r="EM205" s="336">
        <f t="shared" ref="EM205" si="1702">IF(BU205=1,($BC205*BU205),0)</f>
        <v>0</v>
      </c>
      <c r="EN205" s="336">
        <f t="shared" ref="EN205" si="1703">IF(BV205=1,($BC205*BV205),0)</f>
        <v>0</v>
      </c>
      <c r="EO205" s="336">
        <f t="shared" ref="EO205" si="1704">IF(BW205=1,($BC205*BW205),0)</f>
        <v>0</v>
      </c>
      <c r="EP205" s="336">
        <f t="shared" ref="EP205" si="1705">IF(BX205=1,($BC205*BX205),0)</f>
        <v>0</v>
      </c>
      <c r="EQ205" s="336">
        <f t="shared" ref="EQ205" si="1706">IF(BY205=1,($BC205*BY205),0)</f>
        <v>0</v>
      </c>
      <c r="ER205" s="336">
        <f t="shared" ref="ER205" si="1707">IF(BZ205=1,($BC205*BZ205),0)</f>
        <v>0</v>
      </c>
      <c r="ES205" s="336">
        <f t="shared" ref="ES205" si="1708">IF(CA205=1,($BC205*CA205),0)</f>
        <v>0</v>
      </c>
      <c r="ET205" s="336">
        <f t="shared" si="934"/>
        <v>0</v>
      </c>
      <c r="EU205" s="336">
        <f t="shared" ref="EU205" si="1709">IF(CC205=1,($BC205*CC205),0)</f>
        <v>0</v>
      </c>
      <c r="EV205" s="336">
        <f t="shared" ref="EV205" si="1710">IF(CD205=1,($BC205*CD205),0)</f>
        <v>0</v>
      </c>
      <c r="EW205" s="336">
        <f t="shared" ref="EW205" si="1711">IF(CE205=1,($BC205*CE205),0)</f>
        <v>0</v>
      </c>
      <c r="EX205" s="336">
        <f t="shared" ref="EX205" si="1712">IF(CF205=1,($BC205*CF205),0)</f>
        <v>0</v>
      </c>
      <c r="EY205" s="336">
        <f t="shared" ref="EY205" si="1713">IF(CG205=1,($BC205*CG205),0)</f>
        <v>0</v>
      </c>
      <c r="EZ205" s="336">
        <f t="shared" ref="EZ205" si="1714">IF(CH205=1,($BC205*CH205),0)</f>
        <v>0</v>
      </c>
      <c r="FA205" s="336">
        <f t="shared" ref="FA205" si="1715">IF(CI205=1,($BC205*CI205),0)</f>
        <v>0</v>
      </c>
      <c r="FB205" s="336">
        <f t="shared" ref="FB205" si="1716">IF(CJ205=1,($BC205*CJ205),0)</f>
        <v>0</v>
      </c>
      <c r="FC205" s="336">
        <f t="shared" ref="FC205" si="1717">IF(CK205=1,($BC205*CK205),0)</f>
        <v>0</v>
      </c>
      <c r="FD205" s="336">
        <f t="shared" ref="FD205" si="1718">IF(CL205=1,($BC205*CL205),0)</f>
        <v>0</v>
      </c>
      <c r="FE205" s="336">
        <f t="shared" ref="FE205" si="1719">IF(CM205=1,($BC205*CM205),0)</f>
        <v>0</v>
      </c>
      <c r="FF205" s="336">
        <f t="shared" ref="FF205" si="1720">IF(CN205=1,($BC205*CN205),0)</f>
        <v>0</v>
      </c>
      <c r="FG205" s="336">
        <f t="shared" ref="FG205" si="1721">IF(CO205=1,($BC205*CO205),0)</f>
        <v>0</v>
      </c>
      <c r="FH205" s="336">
        <f t="shared" ref="FH205" si="1722">IF(CP205=1,($BC205*CP205),0)</f>
        <v>0</v>
      </c>
      <c r="FI205" s="336">
        <f t="shared" ref="FI205" si="1723">IF(CQ205=1,($BC205*CQ205),0)</f>
        <v>0</v>
      </c>
      <c r="FJ205" s="336">
        <f t="shared" ref="FJ205" si="1724">IF(CR205=1,($BC205*CR205),0)</f>
        <v>0</v>
      </c>
      <c r="FK205" s="336">
        <f t="shared" ref="FK205" si="1725">IF(CS205=1,($BC205*CS205),0)</f>
        <v>0</v>
      </c>
      <c r="FL205" s="336">
        <f t="shared" ref="FL205" si="1726">IF(CT205=1,($BC205*CT205),0)</f>
        <v>0</v>
      </c>
      <c r="FM205" s="336">
        <f t="shared" ref="FM205" si="1727">IF(CU205=1,($BC205*CU205),0)</f>
        <v>0</v>
      </c>
      <c r="FN205" s="336">
        <f t="shared" ref="FN205" si="1728">IF(CV205=1,($BC205*CV205),0)</f>
        <v>0</v>
      </c>
      <c r="FO205" s="336">
        <f t="shared" ref="FO205" si="1729">IF(CW205=1,($BC205*CW205),0)</f>
        <v>0</v>
      </c>
      <c r="FP205" s="336">
        <f t="shared" ref="FP205" si="1730">IF(CX205=1,($BC205*CX205),0)</f>
        <v>0</v>
      </c>
      <c r="FQ205" s="336">
        <f t="shared" ref="FQ205" si="1731">IF(CY205=1,($BC205*CY205),0)</f>
        <v>0</v>
      </c>
      <c r="FR205" s="336">
        <f t="shared" ref="FR205" si="1732">IF(CZ205=1,($BC205*CZ205),0)</f>
        <v>0</v>
      </c>
      <c r="FS205" s="336">
        <f t="shared" ref="FS205" si="1733">IF(DA205=1,($BC205*DA205),0)</f>
        <v>0</v>
      </c>
      <c r="FT205" s="336">
        <f t="shared" ref="FT205" si="1734">IF(DB205=1,($BC205*DB205),0)</f>
        <v>0</v>
      </c>
      <c r="FU205" s="336">
        <f t="shared" si="1585"/>
        <v>0</v>
      </c>
      <c r="FV205" s="336">
        <f t="shared" si="1586"/>
        <v>0</v>
      </c>
      <c r="FW205" s="336">
        <f t="shared" si="1587"/>
        <v>0</v>
      </c>
      <c r="FX205" s="336">
        <f t="shared" si="1588"/>
        <v>0</v>
      </c>
      <c r="FY205" s="336">
        <f t="shared" ref="FY205" si="1735">IF(DG205=1,($BC205*DG205),0)</f>
        <v>0</v>
      </c>
      <c r="FZ205" s="336">
        <f t="shared" ref="FZ205" si="1736">IF(DH205=1,($BC205*DH205),0)</f>
        <v>0</v>
      </c>
      <c r="GA205" s="336">
        <f t="shared" ref="GA205" si="1737">IF(DI205=1,($BC205*DI205),0)</f>
        <v>0</v>
      </c>
      <c r="GB205" s="336">
        <f t="shared" ref="GB205" si="1738">IF(DJ205=1,($BC205*DJ205),0)</f>
        <v>0</v>
      </c>
      <c r="GC205" s="336">
        <f t="shared" ref="GC205" si="1739">IF(DK205=1,($BC205*DK205),0)</f>
        <v>0</v>
      </c>
      <c r="GD205" s="336">
        <f t="shared" ref="GD205" si="1740">IF(DL205=1,($BC205*DL205),0)</f>
        <v>0</v>
      </c>
      <c r="GE205" s="336">
        <f t="shared" ref="GE205" si="1741">IF(DM205=1,($BC205*DM205),0)</f>
        <v>0</v>
      </c>
      <c r="GF205" s="336">
        <f t="shared" ref="GF205" si="1742">IF(DN205=1,($BC205*DN205),0)</f>
        <v>0</v>
      </c>
      <c r="GG205" s="336">
        <f t="shared" ref="GG205" si="1743">IF(DO205=1,($BC205*DO205),0)</f>
        <v>0</v>
      </c>
      <c r="GH205" s="336">
        <f t="shared" ref="GH205" si="1744">IF(DP205=1,($BC205*DP205),0)</f>
        <v>0</v>
      </c>
      <c r="GI205" s="336">
        <f t="shared" ref="GI205" si="1745">IF(DQ205=1,($BC205*DQ205),0)</f>
        <v>0</v>
      </c>
      <c r="GJ205" s="336">
        <f t="shared" ref="GJ205" si="1746">IF(DR205=1,($BC205*DR205),0)</f>
        <v>0</v>
      </c>
      <c r="GK205" s="336">
        <f t="shared" ref="GK205" si="1747">IF(DS205=1,($BC205*DS205),0)</f>
        <v>0</v>
      </c>
      <c r="GL205" s="336">
        <f t="shared" si="1589"/>
        <v>0</v>
      </c>
      <c r="GM205" s="336">
        <f t="shared" ref="GM205" si="1748">IF(DU205=1,($BC205*DU205),0)</f>
        <v>0</v>
      </c>
    </row>
    <row r="206" spans="1:195" ht="20.100000000000001" customHeight="1">
      <c r="A206" s="337">
        <f>1+A205</f>
        <v>144</v>
      </c>
      <c r="B206" s="897" t="s">
        <v>1684</v>
      </c>
      <c r="C206" s="337" t="s">
        <v>636</v>
      </c>
      <c r="D206" s="372" t="s">
        <v>667</v>
      </c>
      <c r="E206" s="444" t="s">
        <v>345</v>
      </c>
      <c r="F206" s="337" t="s">
        <v>28</v>
      </c>
      <c r="G206" s="337" t="s">
        <v>350</v>
      </c>
      <c r="H206" s="418">
        <v>2.2000000000000002</v>
      </c>
      <c r="I206" s="337" t="s">
        <v>330</v>
      </c>
      <c r="J206" s="337" t="s">
        <v>331</v>
      </c>
      <c r="K206" s="349">
        <v>400</v>
      </c>
      <c r="L206" s="343">
        <v>0.8</v>
      </c>
      <c r="M206" s="350">
        <v>0.86699999999999999</v>
      </c>
      <c r="N206" s="342">
        <f t="shared" si="1590"/>
        <v>4.5783154995458304</v>
      </c>
      <c r="O206" s="342">
        <f t="shared" si="1591"/>
        <v>27.469892997274982</v>
      </c>
      <c r="P206" s="343">
        <f t="shared" si="1592"/>
        <v>0.2</v>
      </c>
      <c r="Q206" s="350">
        <v>50</v>
      </c>
      <c r="R206" s="350">
        <v>0</v>
      </c>
      <c r="S206" s="350">
        <f t="shared" si="1593"/>
        <v>0</v>
      </c>
      <c r="T206" s="343" t="s">
        <v>131</v>
      </c>
      <c r="U206" s="350" t="s">
        <v>333</v>
      </c>
      <c r="V206" s="343">
        <v>6</v>
      </c>
      <c r="W206" s="343" t="str">
        <f t="shared" si="1594"/>
        <v>3C X 6</v>
      </c>
      <c r="X206" s="343" t="str">
        <f t="shared" si="1595"/>
        <v>3C X 6+PE</v>
      </c>
      <c r="Y206" s="343" t="s">
        <v>358</v>
      </c>
      <c r="Z206" s="344">
        <f>IF(T206="AIR",VLOOKUP(W206,'Catalogue Aluminium'!$B$9:$G$93,2,FALSE),IF(T206="GROUND",VLOOKUP(W206,'Catalogue Aluminium'!$B$9:$G$93,3,FALSE),IF(T206="DUCT",VLOOKUP(W206,'Catalogue Aluminium'!$B$9:$G$93,4,FALSE),IF(T206="TRENCH",VLOOKUP(W206,'Catalogue Aluminium'!$B$9:$G$93,2,FALSE)))))</f>
        <v>51</v>
      </c>
      <c r="AA206" s="345">
        <f>VLOOKUP(W206,'Catalogue Aluminium'!$B$9:$G$93,5,FALSE)</f>
        <v>3.94</v>
      </c>
      <c r="AB206" s="345">
        <f>VLOOKUP(W206,'Catalogue Aluminium'!$B$9:$G$93,6,FALSE)</f>
        <v>9.0200000000000002E-2</v>
      </c>
      <c r="AC206" s="457">
        <f t="shared" ref="AC206" si="1749">32+6</f>
        <v>38</v>
      </c>
      <c r="AD206" s="401">
        <f t="shared" si="1584"/>
        <v>304</v>
      </c>
      <c r="AE206" s="401">
        <f t="shared" si="1583"/>
        <v>38</v>
      </c>
      <c r="AF206" s="401">
        <v>8</v>
      </c>
      <c r="AG206" s="401">
        <f t="shared" si="1597"/>
        <v>39</v>
      </c>
      <c r="AH206" s="347">
        <f t="shared" si="1598"/>
        <v>427</v>
      </c>
      <c r="AI206" s="344">
        <f>IF(T206="AIR",'Catalogue Aluminium'!$K$9,IF(T206="TRENCH",'Catalogue Aluminium'!$K$12,"NA"))</f>
        <v>0.89</v>
      </c>
      <c r="AJ206" s="342">
        <f>IF(T206="Air",(IF(U206="1C",'Catalogue Aluminium'!$L$9,'Catalogue Aluminium'!$M$9)),IF(T206="DUCT",(IF($U206="1C",'Catalogue Aluminium'!$L$10,'Catalogue Aluminium'!$M$10)),IF(T206="GROUND",(IF($U206="1C",'Catalogue Aluminium'!$L$11,'Catalogue Aluminium'!$M$11)),IF(T206="TRENCH",(IF($U206="1C",'Catalogue Aluminium'!$L$12,'Catalogue Aluminium'!$M$12))))))</f>
        <v>0.66</v>
      </c>
      <c r="AK206" s="344" t="str">
        <f>IF(T206="Air",'Catalogue Aluminium'!$N$9,IF(T206="GROUND",'Catalogue Aluminium'!$N$10,IF(T206="DUCT",'Catalogue Aluminium'!$N$11,IF(T206="TRENCH",'Catalogue Aluminium'!$N$12,"NA"))))</f>
        <v>NA</v>
      </c>
      <c r="AL206" s="344" t="str">
        <f>IF(T206="Air",(IF(U206="1C",'Catalogue Aluminium'!$O$9,'Catalogue Aluminium'!$P$9)),IF(T206="DUCT",(IF($U206="1C",'Catalogue Aluminium'!$O$10,'Catalogue Aluminium'!$P$10)),IF(T206="GROUND",(IF($U206="1C",'Catalogue Aluminium'!$O$11,'Catalogue Aluminium'!$P$11)),IF(T206="TRENCH",(IF($U206="1C",'Catalogue Aluminium'!$O$12,'Catalogue Aluminium'!$P$12))))))</f>
        <v>NA</v>
      </c>
      <c r="AM206" s="344" t="str">
        <f>IF(T206="AIR","NA",IF(T206="TRENCH","NA",IF(T206="DUCT",IF(U206="1C",VLOOKUP(V206,'Catalogue Aluminium'!$Q$9:$S$28,2,FALSE),VLOOKUP(V206,'Catalogue Aluminium'!$Q$9:$S$28,3)),IF(T206="GROUND",IF(U206="1C",VLOOKUP(V206,'Catalogue Aluminium'!$Q$9:$S$28,2,FALSE),VLOOKUP(V206,'Catalogue Aluminium'!$Q$9:$S$28,3))))))</f>
        <v>NA</v>
      </c>
      <c r="AN206" s="351">
        <f t="shared" si="1599"/>
        <v>0.58740000000000003</v>
      </c>
      <c r="AO206" s="350">
        <f t="shared" si="1600"/>
        <v>29.957400000000003</v>
      </c>
      <c r="AP206" s="349">
        <f t="shared" si="1303"/>
        <v>1</v>
      </c>
      <c r="AQ206" s="350" t="str">
        <f t="shared" si="1601"/>
        <v>YES</v>
      </c>
      <c r="AR206" s="351">
        <f t="shared" si="1602"/>
        <v>2.7140259865873815</v>
      </c>
      <c r="AS206" s="343" t="str">
        <f t="shared" si="1603"/>
        <v>YES</v>
      </c>
      <c r="AT206" s="351">
        <f>IF(G206="MOTOR",(SQRT(3)*AH206*O206*((AA206*P206)+(AB206*SIN(ACOS(P206))))*100/(AP206*K206*1000)),"NA")</f>
        <v>4.4511962492445569</v>
      </c>
      <c r="AU206" s="343" t="str">
        <f>IF(G206="MOTOR",IF(AT206&lt;=15,"YES","NO"),"NA")</f>
        <v>YES</v>
      </c>
      <c r="AV206" s="354" t="str">
        <f>IF(U206="1C",CONCATENATE(AP206,"R x ",Y206,"kV x ",U206," x ",V206," Sqmm/Phase"),CONCATENATE(AP206,"R x ",0.6,"/1kV x ",U206," x ",V206," Sqmm"))</f>
        <v>1R x 0.6/1kV x 3C x 6 Sqmm</v>
      </c>
      <c r="AW206" s="354" t="str">
        <f>IF(U206="1C",CONCATENATE(AP206,"R x ",Y206,"kV x ",U206," x ",V206," Sqmm/Phase"),CONCATENATE(AP206,"R x ",0.6,"/1kV x ",U206," x ",V206,(IF(G206="MOTOR","+PE",""))," Sqmm"))</f>
        <v>1R x 0.6/1kV x 3C x 6+PE Sqmm</v>
      </c>
      <c r="AX206" s="343">
        <f>(IF(K206=400,(IF(U206="1C",(4*AH206*AP206),(AH206*AP206))),IF(K206=230,(AH206*AP206))))</f>
        <v>427</v>
      </c>
      <c r="AY206" s="355"/>
      <c r="AZ206" s="355">
        <f>IF(U206="1C",(3*AP206*2),(AP206*2))</f>
        <v>2</v>
      </c>
      <c r="BA206" s="356" t="str">
        <f t="shared" si="1604"/>
        <v>ACDEE1E2E3E4</v>
      </c>
      <c r="BB206" s="501">
        <f>VLOOKUP(W206,'Catalogue Aluminium'!$B$9:$H$93,7,FALSE)</f>
        <v>16</v>
      </c>
      <c r="BC206" s="328">
        <f>AP206*BB206</f>
        <v>16</v>
      </c>
      <c r="BE206" s="336"/>
      <c r="BF206" s="336">
        <v>1</v>
      </c>
      <c r="BG206" s="336"/>
      <c r="BH206" s="336"/>
      <c r="BI206" s="336">
        <v>1</v>
      </c>
      <c r="BJ206" s="336">
        <v>1</v>
      </c>
      <c r="BK206" s="336"/>
      <c r="BL206" s="336"/>
      <c r="BM206" s="336"/>
      <c r="BN206" s="336">
        <v>1</v>
      </c>
      <c r="BO206" s="336"/>
      <c r="BP206" s="336">
        <v>1</v>
      </c>
      <c r="BQ206" s="336">
        <v>1</v>
      </c>
      <c r="BR206" s="336">
        <v>1</v>
      </c>
      <c r="BS206" s="336">
        <v>1</v>
      </c>
      <c r="BT206" s="336"/>
      <c r="BU206" s="336"/>
      <c r="BV206" s="336"/>
      <c r="BW206" s="336"/>
      <c r="BX206" s="336"/>
      <c r="BY206" s="336"/>
      <c r="BZ206" s="336"/>
      <c r="CA206" s="336"/>
      <c r="CB206" s="336"/>
      <c r="CC206" s="336"/>
      <c r="CD206" s="336"/>
      <c r="CE206" s="336"/>
      <c r="CF206" s="336"/>
      <c r="CG206" s="336"/>
      <c r="CH206" s="336"/>
      <c r="CI206" s="336"/>
      <c r="CJ206" s="336"/>
      <c r="CK206" s="336"/>
      <c r="CL206" s="336"/>
      <c r="CM206" s="336"/>
      <c r="CN206" s="336"/>
      <c r="CO206" s="336"/>
      <c r="CP206" s="336"/>
      <c r="CQ206" s="336"/>
      <c r="CR206" s="336"/>
      <c r="CS206" s="336"/>
      <c r="CT206" s="336"/>
      <c r="CU206" s="336"/>
      <c r="CV206" s="336"/>
      <c r="CW206" s="336"/>
      <c r="CX206" s="336"/>
      <c r="CY206" s="336"/>
      <c r="CZ206" s="336"/>
      <c r="DA206" s="336"/>
      <c r="DB206" s="336"/>
      <c r="DC206" s="336"/>
      <c r="DD206" s="336"/>
      <c r="DE206" s="336"/>
      <c r="DF206" s="336"/>
      <c r="DG206" s="336"/>
      <c r="DH206" s="336"/>
      <c r="DI206" s="336"/>
      <c r="DJ206" s="336"/>
      <c r="DK206" s="336"/>
      <c r="DL206" s="336"/>
      <c r="DM206" s="336"/>
      <c r="DN206" s="336"/>
      <c r="DO206" s="336"/>
      <c r="DP206" s="336"/>
      <c r="DQ206" s="336"/>
      <c r="DR206" s="336"/>
      <c r="DS206" s="336"/>
      <c r="DT206" s="336"/>
      <c r="DU206" s="336"/>
      <c r="DW206" s="336">
        <f t="shared" si="1012"/>
        <v>0</v>
      </c>
      <c r="DX206" s="336">
        <f t="shared" si="1004"/>
        <v>16</v>
      </c>
      <c r="DY206" s="336">
        <f t="shared" si="1005"/>
        <v>0</v>
      </c>
      <c r="DZ206" s="336">
        <f t="shared" si="1006"/>
        <v>0</v>
      </c>
      <c r="EA206" s="336">
        <f t="shared" si="1007"/>
        <v>16</v>
      </c>
      <c r="EB206" s="336">
        <f t="shared" si="1008"/>
        <v>16</v>
      </c>
      <c r="EC206" s="336">
        <f t="shared" si="1009"/>
        <v>0</v>
      </c>
      <c r="ED206" s="336">
        <f t="shared" si="919"/>
        <v>0</v>
      </c>
      <c r="EE206" s="336">
        <f t="shared" si="920"/>
        <v>0</v>
      </c>
      <c r="EF206" s="336">
        <f t="shared" si="921"/>
        <v>16</v>
      </c>
      <c r="EG206" s="336">
        <f t="shared" si="922"/>
        <v>0</v>
      </c>
      <c r="EH206" s="336">
        <f t="shared" si="923"/>
        <v>16</v>
      </c>
      <c r="EI206" s="336">
        <f t="shared" si="924"/>
        <v>16</v>
      </c>
      <c r="EJ206" s="336">
        <f t="shared" si="925"/>
        <v>16</v>
      </c>
      <c r="EK206" s="336">
        <f t="shared" si="926"/>
        <v>16</v>
      </c>
      <c r="EL206" s="336">
        <f t="shared" si="927"/>
        <v>0</v>
      </c>
      <c r="EM206" s="336">
        <f t="shared" si="928"/>
        <v>0</v>
      </c>
      <c r="EN206" s="336">
        <f t="shared" si="929"/>
        <v>0</v>
      </c>
      <c r="EO206" s="336">
        <f t="shared" si="930"/>
        <v>0</v>
      </c>
      <c r="EP206" s="336">
        <f t="shared" si="931"/>
        <v>0</v>
      </c>
      <c r="EQ206" s="336">
        <f t="shared" si="932"/>
        <v>0</v>
      </c>
      <c r="ER206" s="336">
        <f t="shared" si="933"/>
        <v>0</v>
      </c>
      <c r="ES206" s="336">
        <f t="shared" si="934"/>
        <v>0</v>
      </c>
      <c r="ET206" s="336">
        <f t="shared" si="934"/>
        <v>0</v>
      </c>
      <c r="EU206" s="336">
        <f t="shared" si="935"/>
        <v>0</v>
      </c>
      <c r="EV206" s="336">
        <f t="shared" si="936"/>
        <v>0</v>
      </c>
      <c r="EW206" s="336">
        <f t="shared" si="937"/>
        <v>0</v>
      </c>
      <c r="EX206" s="336">
        <f t="shared" si="938"/>
        <v>0</v>
      </c>
      <c r="EY206" s="336">
        <f t="shared" si="939"/>
        <v>0</v>
      </c>
      <c r="EZ206" s="336">
        <f t="shared" si="940"/>
        <v>0</v>
      </c>
      <c r="FA206" s="336">
        <f t="shared" si="941"/>
        <v>0</v>
      </c>
      <c r="FB206" s="336">
        <f t="shared" si="942"/>
        <v>0</v>
      </c>
      <c r="FC206" s="336">
        <f t="shared" si="943"/>
        <v>0</v>
      </c>
      <c r="FD206" s="336">
        <f t="shared" si="944"/>
        <v>0</v>
      </c>
      <c r="FE206" s="336">
        <f t="shared" si="945"/>
        <v>0</v>
      </c>
      <c r="FF206" s="336">
        <f t="shared" si="946"/>
        <v>0</v>
      </c>
      <c r="FG206" s="336">
        <f t="shared" si="947"/>
        <v>0</v>
      </c>
      <c r="FH206" s="336">
        <f t="shared" si="948"/>
        <v>0</v>
      </c>
      <c r="FI206" s="336">
        <f t="shared" si="949"/>
        <v>0</v>
      </c>
      <c r="FJ206" s="336">
        <f t="shared" si="950"/>
        <v>0</v>
      </c>
      <c r="FK206" s="336">
        <f t="shared" si="951"/>
        <v>0</v>
      </c>
      <c r="FL206" s="336">
        <f t="shared" si="952"/>
        <v>0</v>
      </c>
      <c r="FM206" s="336">
        <f t="shared" si="953"/>
        <v>0</v>
      </c>
      <c r="FN206" s="336">
        <f t="shared" si="954"/>
        <v>0</v>
      </c>
      <c r="FO206" s="336">
        <f t="shared" si="955"/>
        <v>0</v>
      </c>
      <c r="FP206" s="336">
        <f t="shared" si="956"/>
        <v>0</v>
      </c>
      <c r="FQ206" s="336">
        <f t="shared" si="957"/>
        <v>0</v>
      </c>
      <c r="FR206" s="336">
        <f t="shared" si="958"/>
        <v>0</v>
      </c>
      <c r="FS206" s="336">
        <f t="shared" si="959"/>
        <v>0</v>
      </c>
      <c r="FT206" s="336">
        <f t="shared" si="960"/>
        <v>0</v>
      </c>
      <c r="FU206" s="336">
        <f t="shared" si="1585"/>
        <v>0</v>
      </c>
      <c r="FV206" s="336">
        <f t="shared" si="1586"/>
        <v>0</v>
      </c>
      <c r="FW206" s="336">
        <f t="shared" si="1587"/>
        <v>0</v>
      </c>
      <c r="FX206" s="336">
        <f t="shared" si="1588"/>
        <v>0</v>
      </c>
      <c r="FY206" s="336">
        <f t="shared" si="961"/>
        <v>0</v>
      </c>
      <c r="FZ206" s="336">
        <f t="shared" si="962"/>
        <v>0</v>
      </c>
      <c r="GA206" s="336">
        <f t="shared" si="963"/>
        <v>0</v>
      </c>
      <c r="GB206" s="336">
        <f t="shared" si="964"/>
        <v>0</v>
      </c>
      <c r="GC206" s="336">
        <f t="shared" si="965"/>
        <v>0</v>
      </c>
      <c r="GD206" s="336">
        <f t="shared" si="966"/>
        <v>0</v>
      </c>
      <c r="GE206" s="336">
        <f t="shared" si="967"/>
        <v>0</v>
      </c>
      <c r="GF206" s="336">
        <f t="shared" si="968"/>
        <v>0</v>
      </c>
      <c r="GG206" s="336">
        <f t="shared" si="969"/>
        <v>0</v>
      </c>
      <c r="GH206" s="336">
        <f t="shared" si="970"/>
        <v>0</v>
      </c>
      <c r="GI206" s="336">
        <f t="shared" si="971"/>
        <v>0</v>
      </c>
      <c r="GJ206" s="336">
        <f t="shared" si="972"/>
        <v>0</v>
      </c>
      <c r="GK206" s="336">
        <f t="shared" ref="GK206:GK269" si="1750">IF(DS206=1,($BC206*DS206),0)</f>
        <v>0</v>
      </c>
      <c r="GL206" s="336">
        <f t="shared" si="1589"/>
        <v>0</v>
      </c>
      <c r="GM206" s="336">
        <f t="shared" si="973"/>
        <v>0</v>
      </c>
    </row>
    <row r="207" spans="1:195" s="76" customFormat="1" ht="20.100000000000001" customHeight="1">
      <c r="A207" s="373"/>
      <c r="B207" s="373"/>
      <c r="C207" s="373"/>
      <c r="D207" s="508" t="s">
        <v>571</v>
      </c>
      <c r="E207" s="509"/>
      <c r="F207" s="510"/>
      <c r="G207" s="373"/>
      <c r="H207" s="382"/>
      <c r="I207" s="373"/>
      <c r="J207" s="373"/>
      <c r="K207" s="381"/>
      <c r="L207" s="376"/>
      <c r="M207" s="382"/>
      <c r="N207" s="375"/>
      <c r="O207" s="375"/>
      <c r="P207" s="376"/>
      <c r="Q207" s="382"/>
      <c r="R207" s="382"/>
      <c r="S207" s="382"/>
      <c r="T207" s="376"/>
      <c r="U207" s="382"/>
      <c r="V207" s="376"/>
      <c r="W207" s="376"/>
      <c r="X207" s="376"/>
      <c r="Y207" s="376"/>
      <c r="Z207" s="377"/>
      <c r="AA207" s="378"/>
      <c r="AB207" s="378"/>
      <c r="AC207" s="378"/>
      <c r="AD207" s="378"/>
      <c r="AE207" s="378"/>
      <c r="AF207" s="378"/>
      <c r="AG207" s="378"/>
      <c r="AH207" s="378"/>
      <c r="AI207" s="377"/>
      <c r="AJ207" s="375"/>
      <c r="AK207" s="377"/>
      <c r="AL207" s="377"/>
      <c r="AM207" s="377"/>
      <c r="AN207" s="383"/>
      <c r="AO207" s="382"/>
      <c r="AP207" s="381"/>
      <c r="AQ207" s="382"/>
      <c r="AR207" s="383"/>
      <c r="AS207" s="376"/>
      <c r="AT207" s="383"/>
      <c r="AU207" s="383"/>
      <c r="AV207" s="384"/>
      <c r="AW207" s="384"/>
      <c r="AX207" s="376"/>
      <c r="AY207" s="385"/>
      <c r="AZ207" s="385"/>
      <c r="BA207" s="513" t="str">
        <f t="shared" si="1277"/>
        <v/>
      </c>
      <c r="BB207" s="513"/>
      <c r="BC207" s="513"/>
      <c r="BE207" s="513"/>
      <c r="BF207" s="513"/>
      <c r="BG207" s="513"/>
      <c r="BH207" s="513"/>
      <c r="BI207" s="513"/>
      <c r="BJ207" s="513"/>
      <c r="BK207" s="513"/>
      <c r="BL207" s="513"/>
      <c r="BM207" s="513"/>
      <c r="BN207" s="513"/>
      <c r="BO207" s="513"/>
      <c r="BP207" s="513"/>
      <c r="BQ207" s="513"/>
      <c r="BR207" s="513"/>
      <c r="BS207" s="513"/>
      <c r="BT207" s="513"/>
      <c r="BU207" s="513"/>
      <c r="BV207" s="513"/>
      <c r="BW207" s="513"/>
      <c r="BX207" s="513"/>
      <c r="BY207" s="513"/>
      <c r="BZ207" s="513"/>
      <c r="CA207" s="513"/>
      <c r="CB207" s="513"/>
      <c r="CC207" s="513"/>
      <c r="CD207" s="513"/>
      <c r="CE207" s="513"/>
      <c r="CF207" s="513"/>
      <c r="CG207" s="513"/>
      <c r="CH207" s="513"/>
      <c r="CI207" s="513"/>
      <c r="CJ207" s="513"/>
      <c r="CK207" s="513"/>
      <c r="CL207" s="513"/>
      <c r="CM207" s="513"/>
      <c r="CN207" s="513"/>
      <c r="CO207" s="513"/>
      <c r="CP207" s="513"/>
      <c r="CQ207" s="513"/>
      <c r="CR207" s="513"/>
      <c r="CS207" s="513"/>
      <c r="CT207" s="513"/>
      <c r="CU207" s="513"/>
      <c r="CV207" s="513"/>
      <c r="CW207" s="513"/>
      <c r="CX207" s="513"/>
      <c r="CY207" s="513"/>
      <c r="CZ207" s="513"/>
      <c r="DA207" s="513"/>
      <c r="DB207" s="513"/>
      <c r="DC207" s="513"/>
      <c r="DD207" s="513"/>
      <c r="DE207" s="513"/>
      <c r="DF207" s="513"/>
      <c r="DG207" s="513"/>
      <c r="DH207" s="513"/>
      <c r="DI207" s="513"/>
      <c r="DJ207" s="513"/>
      <c r="DK207" s="513"/>
      <c r="DL207" s="513"/>
      <c r="DM207" s="513"/>
      <c r="DN207" s="513"/>
      <c r="DO207" s="513"/>
      <c r="DP207" s="513"/>
      <c r="DQ207" s="513"/>
      <c r="DR207" s="513"/>
      <c r="DS207" s="513"/>
      <c r="DT207" s="513"/>
      <c r="DU207" s="513"/>
      <c r="DV207" s="61"/>
      <c r="DW207" s="336">
        <f t="shared" si="1012"/>
        <v>0</v>
      </c>
      <c r="DX207" s="336">
        <f t="shared" si="1004"/>
        <v>0</v>
      </c>
      <c r="DY207" s="336">
        <f t="shared" si="1005"/>
        <v>0</v>
      </c>
      <c r="DZ207" s="336">
        <f t="shared" si="1006"/>
        <v>0</v>
      </c>
      <c r="EA207" s="336">
        <f t="shared" si="1007"/>
        <v>0</v>
      </c>
      <c r="EB207" s="336">
        <f t="shared" si="1008"/>
        <v>0</v>
      </c>
      <c r="EC207" s="336">
        <f t="shared" si="1009"/>
        <v>0</v>
      </c>
      <c r="ED207" s="336">
        <f t="shared" si="919"/>
        <v>0</v>
      </c>
      <c r="EE207" s="336">
        <f t="shared" si="920"/>
        <v>0</v>
      </c>
      <c r="EF207" s="336">
        <f t="shared" si="921"/>
        <v>0</v>
      </c>
      <c r="EG207" s="336">
        <f t="shared" si="922"/>
        <v>0</v>
      </c>
      <c r="EH207" s="336">
        <f t="shared" si="923"/>
        <v>0</v>
      </c>
      <c r="EI207" s="336">
        <f t="shared" si="924"/>
        <v>0</v>
      </c>
      <c r="EJ207" s="336">
        <f t="shared" si="925"/>
        <v>0</v>
      </c>
      <c r="EK207" s="336">
        <f t="shared" si="926"/>
        <v>0</v>
      </c>
      <c r="EL207" s="336">
        <f t="shared" si="927"/>
        <v>0</v>
      </c>
      <c r="EM207" s="336">
        <f t="shared" si="928"/>
        <v>0</v>
      </c>
      <c r="EN207" s="336">
        <f t="shared" si="929"/>
        <v>0</v>
      </c>
      <c r="EO207" s="336">
        <f t="shared" si="930"/>
        <v>0</v>
      </c>
      <c r="EP207" s="336">
        <f t="shared" si="931"/>
        <v>0</v>
      </c>
      <c r="EQ207" s="336">
        <f t="shared" si="932"/>
        <v>0</v>
      </c>
      <c r="ER207" s="336">
        <f t="shared" si="933"/>
        <v>0</v>
      </c>
      <c r="ES207" s="336">
        <f t="shared" si="934"/>
        <v>0</v>
      </c>
      <c r="ET207" s="336">
        <f t="shared" si="934"/>
        <v>0</v>
      </c>
      <c r="EU207" s="336">
        <f t="shared" si="935"/>
        <v>0</v>
      </c>
      <c r="EV207" s="336">
        <f t="shared" si="936"/>
        <v>0</v>
      </c>
      <c r="EW207" s="336">
        <f t="shared" si="937"/>
        <v>0</v>
      </c>
      <c r="EX207" s="336">
        <f t="shared" si="938"/>
        <v>0</v>
      </c>
      <c r="EY207" s="336">
        <f t="shared" si="939"/>
        <v>0</v>
      </c>
      <c r="EZ207" s="336">
        <f t="shared" si="940"/>
        <v>0</v>
      </c>
      <c r="FA207" s="336">
        <f t="shared" si="941"/>
        <v>0</v>
      </c>
      <c r="FB207" s="336">
        <f t="shared" si="942"/>
        <v>0</v>
      </c>
      <c r="FC207" s="336">
        <f t="shared" si="943"/>
        <v>0</v>
      </c>
      <c r="FD207" s="336">
        <f t="shared" si="944"/>
        <v>0</v>
      </c>
      <c r="FE207" s="336">
        <f t="shared" si="945"/>
        <v>0</v>
      </c>
      <c r="FF207" s="336">
        <f t="shared" si="946"/>
        <v>0</v>
      </c>
      <c r="FG207" s="336">
        <f t="shared" si="947"/>
        <v>0</v>
      </c>
      <c r="FH207" s="336">
        <f t="shared" si="948"/>
        <v>0</v>
      </c>
      <c r="FI207" s="336">
        <f t="shared" si="949"/>
        <v>0</v>
      </c>
      <c r="FJ207" s="336">
        <f t="shared" si="950"/>
        <v>0</v>
      </c>
      <c r="FK207" s="336">
        <f t="shared" si="951"/>
        <v>0</v>
      </c>
      <c r="FL207" s="336">
        <f t="shared" si="952"/>
        <v>0</v>
      </c>
      <c r="FM207" s="336">
        <f t="shared" si="953"/>
        <v>0</v>
      </c>
      <c r="FN207" s="336">
        <f t="shared" si="954"/>
        <v>0</v>
      </c>
      <c r="FO207" s="492">
        <f t="shared" si="955"/>
        <v>0</v>
      </c>
      <c r="FP207" s="492">
        <f t="shared" si="956"/>
        <v>0</v>
      </c>
      <c r="FQ207" s="492">
        <f t="shared" si="957"/>
        <v>0</v>
      </c>
      <c r="FR207" s="492">
        <f t="shared" si="958"/>
        <v>0</v>
      </c>
      <c r="FS207" s="492">
        <f t="shared" si="959"/>
        <v>0</v>
      </c>
      <c r="FT207" s="492">
        <f t="shared" si="960"/>
        <v>0</v>
      </c>
      <c r="FU207" s="336">
        <f t="shared" si="1585"/>
        <v>0</v>
      </c>
      <c r="FV207" s="336">
        <f t="shared" si="1586"/>
        <v>0</v>
      </c>
      <c r="FW207" s="336">
        <f t="shared" si="1587"/>
        <v>0</v>
      </c>
      <c r="FX207" s="336">
        <f t="shared" si="1588"/>
        <v>0</v>
      </c>
      <c r="FY207" s="492">
        <f t="shared" si="961"/>
        <v>0</v>
      </c>
      <c r="FZ207" s="492">
        <f t="shared" si="962"/>
        <v>0</v>
      </c>
      <c r="GA207" s="492">
        <f t="shared" si="963"/>
        <v>0</v>
      </c>
      <c r="GB207" s="492">
        <f t="shared" si="964"/>
        <v>0</v>
      </c>
      <c r="GC207" s="492">
        <f t="shared" si="965"/>
        <v>0</v>
      </c>
      <c r="GD207" s="492">
        <f t="shared" si="966"/>
        <v>0</v>
      </c>
      <c r="GE207" s="492">
        <f t="shared" si="967"/>
        <v>0</v>
      </c>
      <c r="GF207" s="492">
        <f t="shared" si="968"/>
        <v>0</v>
      </c>
      <c r="GG207" s="492">
        <f t="shared" si="969"/>
        <v>0</v>
      </c>
      <c r="GH207" s="492">
        <f t="shared" si="970"/>
        <v>0</v>
      </c>
      <c r="GI207" s="492">
        <f t="shared" si="971"/>
        <v>0</v>
      </c>
      <c r="GJ207" s="492">
        <f t="shared" si="972"/>
        <v>0</v>
      </c>
      <c r="GK207" s="492">
        <f t="shared" si="1750"/>
        <v>0</v>
      </c>
      <c r="GL207" s="336">
        <f t="shared" si="1589"/>
        <v>0</v>
      </c>
      <c r="GM207" s="492">
        <f t="shared" si="973"/>
        <v>0</v>
      </c>
    </row>
    <row r="208" spans="1:195" ht="20.100000000000001" customHeight="1">
      <c r="A208" s="337">
        <f>1+A206</f>
        <v>145</v>
      </c>
      <c r="B208" s="526" t="s">
        <v>527</v>
      </c>
      <c r="C208" s="337" t="str">
        <f t="shared" ref="C208:C214" si="1751">$D$164</f>
        <v>EPMCC-1</v>
      </c>
      <c r="D208" s="372" t="s">
        <v>669</v>
      </c>
      <c r="E208" s="453" t="s">
        <v>345</v>
      </c>
      <c r="F208" s="337" t="s">
        <v>28</v>
      </c>
      <c r="G208" s="337" t="s">
        <v>350</v>
      </c>
      <c r="H208" s="418">
        <v>3.7</v>
      </c>
      <c r="I208" s="337" t="s">
        <v>330</v>
      </c>
      <c r="J208" s="337" t="s">
        <v>331</v>
      </c>
      <c r="K208" s="349">
        <v>400</v>
      </c>
      <c r="L208" s="343">
        <v>0.82</v>
      </c>
      <c r="M208" s="350">
        <v>0.89599999999999991</v>
      </c>
      <c r="N208" s="342">
        <f t="shared" ref="N208:N214" si="1752">IF(I208="kVA",IF(J208="3Ph",(H208*1000/(1.732*M208*K208)),(H208*1000/(M208*K208))),IF(I208="kW",IF(J208="3Ph",(H208*1000/(1.732*M208*K208*L208)),(H208*1000/(M208*K208*L208)))))</f>
        <v>7.2689550458272656</v>
      </c>
      <c r="O208" s="342">
        <f t="shared" si="1293"/>
        <v>43.613730274963594</v>
      </c>
      <c r="P208" s="343">
        <f t="shared" ref="P208:P214" si="1753">IF(G208="MOTOR",0.2,"0.00")</f>
        <v>0.2</v>
      </c>
      <c r="Q208" s="350">
        <v>50</v>
      </c>
      <c r="R208" s="350">
        <v>0</v>
      </c>
      <c r="S208" s="350">
        <f t="shared" ref="S208:S214" si="1754">(Q208*1000*SQRT(R208)/143)</f>
        <v>0</v>
      </c>
      <c r="T208" s="343" t="s">
        <v>131</v>
      </c>
      <c r="U208" s="350" t="s">
        <v>333</v>
      </c>
      <c r="V208" s="343">
        <v>16</v>
      </c>
      <c r="W208" s="343" t="str">
        <f t="shared" ref="W208:W214" si="1755">CONCATENATE(U208," X ",V208)</f>
        <v>3C X 16</v>
      </c>
      <c r="X208" s="343" t="str">
        <f t="shared" ref="X208:X214" si="1756">(IF(J208="1Ph",W208,IF(J208="3Ph",(IF(G208="MOTOR",(CONCATENATE(W208,"+PE")),W208)))))</f>
        <v>3C X 16+PE</v>
      </c>
      <c r="Y208" s="343" t="s">
        <v>358</v>
      </c>
      <c r="Z208" s="344">
        <f>IF(T208="AIR",VLOOKUP(W208,'Catalogue Aluminium'!$B$9:$G$93,2,FALSE),IF(T208="GROUND",VLOOKUP(W208,'Catalogue Aluminium'!$B$9:$G$93,3,FALSE),IF(T208="DUCT",VLOOKUP(W208,'Catalogue Aluminium'!$B$9:$G$93,4,FALSE),IF(T208="TRENCH",VLOOKUP(W208,'Catalogue Aluminium'!$B$9:$G$93,2,FALSE)))))</f>
        <v>70</v>
      </c>
      <c r="AA208" s="345">
        <f>VLOOKUP(W208,'Catalogue Aluminium'!$B$9:$G$93,5,FALSE)</f>
        <v>2.44</v>
      </c>
      <c r="AB208" s="345">
        <f>VLOOKUP(W208,'Catalogue Aluminium'!$B$9:$G$93,6,FALSE)</f>
        <v>8.1500000000000003E-2</v>
      </c>
      <c r="AC208" s="457">
        <f t="shared" ref="AC208" si="1757">32+6</f>
        <v>38</v>
      </c>
      <c r="AD208" s="401">
        <f>40+50+38+50+17+(27+42+25)</f>
        <v>289</v>
      </c>
      <c r="AE208" s="401">
        <f t="shared" ref="AE208" si="1758">11+8+8+11</f>
        <v>38</v>
      </c>
      <c r="AF208" s="401">
        <v>8</v>
      </c>
      <c r="AG208" s="401">
        <f t="shared" ref="AG208:AG214" si="1759">ROUNDUP((SUM(AC208:AF208)*0.1),0)</f>
        <v>38</v>
      </c>
      <c r="AH208" s="347">
        <f t="shared" ref="AH208" si="1760">SUM(AC208:AG208)</f>
        <v>411</v>
      </c>
      <c r="AI208" s="344">
        <f>IF(T208="AIR",'Catalogue Aluminium'!$K$9,IF(T208="TRENCH",'Catalogue Aluminium'!$K$12,"NA"))</f>
        <v>0.89</v>
      </c>
      <c r="AJ208" s="342">
        <f>IF(T208="Air",(IF(U208="1C",'Catalogue Aluminium'!$L$9,'Catalogue Aluminium'!$M$9)),IF(T208="DUCT",(IF($U208="1C",'Catalogue Aluminium'!$L$10,'Catalogue Aluminium'!$M$10)),IF(T208="GROUND",(IF($U208="1C",'Catalogue Aluminium'!$L$11,'Catalogue Aluminium'!$M$11)),IF(T208="TRENCH",(IF($U208="1C",'Catalogue Aluminium'!$L$12,'Catalogue Aluminium'!$M$12))))))</f>
        <v>0.66</v>
      </c>
      <c r="AK208" s="344" t="str">
        <f>IF(T208="Air",'Catalogue Aluminium'!$N$9,IF(T208="GROUND",'Catalogue Aluminium'!$N$10,IF(T208="DUCT",'Catalogue Aluminium'!$N$11,IF(T208="TRENCH",'Catalogue Aluminium'!$N$12,"NA"))))</f>
        <v>NA</v>
      </c>
      <c r="AL208" s="344" t="str">
        <f>IF(T208="Air",(IF(U208="1C",'Catalogue Aluminium'!$O$9,'Catalogue Aluminium'!$P$9)),IF(T208="DUCT",(IF($U208="1C",'Catalogue Aluminium'!$O$10,'Catalogue Aluminium'!$P$10)),IF(T208="GROUND",(IF($U208="1C",'Catalogue Aluminium'!$O$11,'Catalogue Aluminium'!$P$11)),IF(T208="TRENCH",(IF($U208="1C",'Catalogue Aluminium'!$O$12,'Catalogue Aluminium'!$P$12))))))</f>
        <v>NA</v>
      </c>
      <c r="AM208" s="344" t="str">
        <f>IF(T208="AIR","NA",IF(T208="TRENCH","NA",IF(T208="DUCT",IF(U208="1C",VLOOKUP(V208,'Catalogue Aluminium'!$Q$9:$S$28,2,FALSE),VLOOKUP(V208,'Catalogue Aluminium'!$Q$9:$S$28,3)),IF(T208="GROUND",IF(U208="1C",VLOOKUP(V208,'Catalogue Aluminium'!$Q$9:$S$28,2,FALSE),VLOOKUP(V208,'Catalogue Aluminium'!$Q$9:$S$28,3))))))</f>
        <v>NA</v>
      </c>
      <c r="AN208" s="351">
        <f t="shared" ref="AN208:AN214" si="1761">IF(T208="AIR",AI208*AJ208,IF(T208="TRENCH",AI208*AJ208,IF(T208="DUCT",AJ208*AK208*AL208*AM208,IF(T208="GROUND",AJ208*AK208*AL208*AM208))))</f>
        <v>0.58740000000000003</v>
      </c>
      <c r="AO208" s="350">
        <f t="shared" ref="AO208:AO214" si="1762">Z208*AN208</f>
        <v>41.118000000000002</v>
      </c>
      <c r="AP208" s="349">
        <f t="shared" si="1303"/>
        <v>1</v>
      </c>
      <c r="AQ208" s="350" t="str">
        <f t="shared" ref="AQ208:AQ214" si="1763">IF(AO208*AP208&gt;=N208,"YES","NO")</f>
        <v>YES</v>
      </c>
      <c r="AR208" s="351">
        <f t="shared" ref="AR208:AR214" si="1764">SQRT(3)*AH208*N208*((AA208*L208)+(AB208*SIN(ACOS(L208))))*100/(AP208*K208*1000)</f>
        <v>2.6486662786727631</v>
      </c>
      <c r="AS208" s="343" t="str">
        <f t="shared" ref="AS208:AS214" si="1765">IF(G208="INCOMER",(IF(AR208&lt;=2,"YES","NO")),IF(G208="POWER",(IF(AR208&lt;=2.5,"YES","NO")),IF(G208="MOTOR",(IF(AR208&lt;=3,"YES","NO")))))</f>
        <v>YES</v>
      </c>
      <c r="AT208" s="351">
        <f t="shared" ref="AT208:AT214" si="1766">IF(G208="MOTOR",(SQRT(3)*AH208*O208*((AA208*P208)+(AB208*SIN(ACOS(P208))))*100/(AP208*K208*1000)),"NA")</f>
        <v>4.4075971690927984</v>
      </c>
      <c r="AU208" s="343" t="str">
        <f t="shared" ref="AU208:AU214" si="1767">IF(G208="MOTOR",IF(AT208&lt;=15,"YES","NO"),"NA")</f>
        <v>YES</v>
      </c>
      <c r="AV208" s="354" t="str">
        <f t="shared" ref="AV208:AV214" si="1768">IF(U208="1C",CONCATENATE(AP208,"R x ",Y208,"kV x ",U208," x ",V208," Sqmm/Phase"),CONCATENATE(AP208,"R x ",0.6,"/1kV x ",U208," x ",V208," Sqmm"))</f>
        <v>1R x 0.6/1kV x 3C x 16 Sqmm</v>
      </c>
      <c r="AW208" s="354" t="str">
        <f t="shared" ref="AW208:AW214" si="1769">IF(U208="1C",CONCATENATE(AP208,"R x ",Y208,"kV x ",U208," x ",V208," Sqmm/Phase"),CONCATENATE(AP208,"R x ",0.6,"/1kV x ",U208," x ",V208,(IF(G208="MOTOR","+PE",""))," Sqmm"))</f>
        <v>1R x 0.6/1kV x 3C x 16+PE Sqmm</v>
      </c>
      <c r="AX208" s="343">
        <f>(IF(K208=400,(IF(U208="1C",(4*AH208*AP208),(AH208*AP208))),IF(K208=230,(AH208*AP208))))</f>
        <v>411</v>
      </c>
      <c r="AY208" s="355"/>
      <c r="AZ208" s="355">
        <f>IF(U208="1C",(3*AP208*2),(AP208*2))</f>
        <v>2</v>
      </c>
      <c r="BA208" s="356" t="str">
        <f t="shared" ref="BA208" si="1770">CONCATENATE(IF(BE208=1,BE$4,""),IF(BF208=1,BF$4,""),IF(BG208=1,BG$4,""),IF(BH208=1,BH$4,""),IF(BI208=1,BI$4,""),IF(BJ208=1,BJ$4,""),IF(BK208=1,BK$4,""),IF(BL208=1,BL$4,""),IF(BM208=1,BM$4,""),IF(BN208=1,BN$4,""),IF(BO208=1,BO$4,""),IF(BP208=1,BP$4,""),IF(BQ208=1,BQ$4,""),IF(BR208=1,BR$4,""),IF(BS208=1,BS$4,""),IF(BT208=1,BT$4,""),IF(BU208=1,BU$4,""),IF(BV208=1,BV$4,""),IF(BW208=1,BW$4,""),IF(BX208=1,BX$4,""),IF(BY208=1,BY$4,""),IF(BZ208=1,BZ$4,""),IF(CA208=1,CA$4,""),IF(CB208=1,CB$4,""),IF(CC208=1,CC$4,""),IF(CD208=1,CD$4,""),IF(CE208=1,CE$4,""),IF(CF208=1,CF$4,""),IF(CG208=1,CG$4,""),IF(CH208=1,CH$4,""),IF(CI208=1,CI$4,""),IF(CJ208=1,CJ$4,""),IF(CK208=1,CK$4,""),IF(CL208=1,CL$4,""),IF(CM208=1,CM$4,""),IF(CN208=1,CN$4,""),IF(CO208=1,CO$4,""),IF(CP208=1,CP$4,""),IF(CQ208=1,CQ$4,""),IF(CR208=1,CR$4,""),IF(CS208=1,CS$4,""),IF(CT208=1,CT$4,""),IF(CU208=1,CU$4,""),IF(CV208=1,CV$4,""),IF(CW208=1,CW$4,""),IF(CX208=1,CX$4,""),IF(CY208=1,CY$4,""),IF(CZ208=1,CZ$4,""),IF(DA208=1,DA$4,""),IF(DB208=1,DB$4,""),IF(DC208=1,DC$4,""),IF(DD208=1,DD$4,""),IF(DE208=1,DE$4,""),IF(DF208=1,DF$4,""),IF(DG208=1,DG$4,""),IF(DH208=1,DH$4,""),IF(DI208=1,DI$4,""),IF(DJ208=1,DJ$4,""),IF(DK208=1,DK$4,""),IF(DL208=1,DL$4,""),IF(DM208=1,DM$4,""),IF(DN208=1,DN$4,""),IF(DO208=1,DO$4,""),IF(DP208=1,DP$4,""),IF(DQ208=1,DQ$4,""),IF(DR208=1,DR$4,""),IF(DS208=1,DS$4,""),IF(DT208=1,DT$4,""),IF(DU208=1,DU$4,""))</f>
        <v>ACDEE1E2E3E4</v>
      </c>
      <c r="BB208" s="501">
        <f>VLOOKUP(W208,'Catalogue Aluminium'!$B$9:$H$93,7,FALSE)</f>
        <v>19</v>
      </c>
      <c r="BC208" s="328">
        <f>AP208*BB208</f>
        <v>19</v>
      </c>
      <c r="BE208" s="336"/>
      <c r="BF208" s="336">
        <v>1</v>
      </c>
      <c r="BG208" s="336"/>
      <c r="BH208" s="336"/>
      <c r="BI208" s="336">
        <v>1</v>
      </c>
      <c r="BJ208" s="336">
        <v>1</v>
      </c>
      <c r="BK208" s="336"/>
      <c r="BL208" s="336"/>
      <c r="BM208" s="336"/>
      <c r="BN208" s="336">
        <v>1</v>
      </c>
      <c r="BO208" s="336"/>
      <c r="BP208" s="336">
        <v>1</v>
      </c>
      <c r="BQ208" s="336">
        <v>1</v>
      </c>
      <c r="BR208" s="336">
        <v>1</v>
      </c>
      <c r="BS208" s="336">
        <v>1</v>
      </c>
      <c r="BT208" s="336"/>
      <c r="BU208" s="336"/>
      <c r="BV208" s="336"/>
      <c r="BW208" s="336"/>
      <c r="BX208" s="336"/>
      <c r="BY208" s="336"/>
      <c r="BZ208" s="336"/>
      <c r="CA208" s="336"/>
      <c r="CB208" s="336"/>
      <c r="CC208" s="336"/>
      <c r="CD208" s="336"/>
      <c r="CE208" s="336"/>
      <c r="CF208" s="336"/>
      <c r="CG208" s="336"/>
      <c r="CH208" s="336"/>
      <c r="CI208" s="336"/>
      <c r="CJ208" s="336"/>
      <c r="CK208" s="336"/>
      <c r="CL208" s="336"/>
      <c r="CM208" s="336"/>
      <c r="CN208" s="336"/>
      <c r="CO208" s="336"/>
      <c r="CP208" s="336"/>
      <c r="CQ208" s="336"/>
      <c r="CR208" s="336"/>
      <c r="CS208" s="336"/>
      <c r="CT208" s="336"/>
      <c r="CU208" s="336"/>
      <c r="CV208" s="336"/>
      <c r="CW208" s="336"/>
      <c r="CX208" s="336"/>
      <c r="CY208" s="336"/>
      <c r="CZ208" s="336"/>
      <c r="DA208" s="336"/>
      <c r="DB208" s="336"/>
      <c r="DC208" s="336"/>
      <c r="DD208" s="336"/>
      <c r="DE208" s="336"/>
      <c r="DF208" s="336"/>
      <c r="DG208" s="336"/>
      <c r="DH208" s="336"/>
      <c r="DI208" s="336"/>
      <c r="DJ208" s="336"/>
      <c r="DK208" s="336"/>
      <c r="DL208" s="336"/>
      <c r="DM208" s="336"/>
      <c r="DN208" s="336"/>
      <c r="DO208" s="336"/>
      <c r="DP208" s="336"/>
      <c r="DQ208" s="336"/>
      <c r="DR208" s="336"/>
      <c r="DS208" s="336"/>
      <c r="DT208" s="336"/>
      <c r="DU208" s="336"/>
      <c r="DW208" s="336">
        <f t="shared" si="1012"/>
        <v>0</v>
      </c>
      <c r="DX208" s="336">
        <f t="shared" si="1004"/>
        <v>19</v>
      </c>
      <c r="DY208" s="336">
        <f t="shared" si="1005"/>
        <v>0</v>
      </c>
      <c r="DZ208" s="336">
        <f t="shared" si="1006"/>
        <v>0</v>
      </c>
      <c r="EA208" s="336">
        <f t="shared" si="1007"/>
        <v>19</v>
      </c>
      <c r="EB208" s="336">
        <f t="shared" si="1008"/>
        <v>19</v>
      </c>
      <c r="EC208" s="336">
        <f t="shared" si="1009"/>
        <v>0</v>
      </c>
      <c r="ED208" s="336">
        <f t="shared" si="919"/>
        <v>0</v>
      </c>
      <c r="EE208" s="336">
        <f t="shared" si="920"/>
        <v>0</v>
      </c>
      <c r="EF208" s="336">
        <f t="shared" si="921"/>
        <v>19</v>
      </c>
      <c r="EG208" s="336">
        <f t="shared" si="922"/>
        <v>0</v>
      </c>
      <c r="EH208" s="336">
        <f t="shared" si="923"/>
        <v>19</v>
      </c>
      <c r="EI208" s="336">
        <f t="shared" si="924"/>
        <v>19</v>
      </c>
      <c r="EJ208" s="336">
        <f t="shared" si="925"/>
        <v>19</v>
      </c>
      <c r="EK208" s="336">
        <f t="shared" si="926"/>
        <v>19</v>
      </c>
      <c r="EL208" s="336">
        <f t="shared" si="927"/>
        <v>0</v>
      </c>
      <c r="EM208" s="336">
        <f t="shared" si="928"/>
        <v>0</v>
      </c>
      <c r="EN208" s="336">
        <f t="shared" si="929"/>
        <v>0</v>
      </c>
      <c r="EO208" s="336">
        <f t="shared" si="930"/>
        <v>0</v>
      </c>
      <c r="EP208" s="336">
        <f t="shared" si="931"/>
        <v>0</v>
      </c>
      <c r="EQ208" s="336">
        <f t="shared" si="932"/>
        <v>0</v>
      </c>
      <c r="ER208" s="336">
        <f t="shared" si="933"/>
        <v>0</v>
      </c>
      <c r="ES208" s="336">
        <f t="shared" si="934"/>
        <v>0</v>
      </c>
      <c r="ET208" s="336">
        <f t="shared" si="934"/>
        <v>0</v>
      </c>
      <c r="EU208" s="336">
        <f t="shared" si="935"/>
        <v>0</v>
      </c>
      <c r="EV208" s="336">
        <f t="shared" si="936"/>
        <v>0</v>
      </c>
      <c r="EW208" s="336">
        <f t="shared" si="937"/>
        <v>0</v>
      </c>
      <c r="EX208" s="336">
        <f t="shared" si="938"/>
        <v>0</v>
      </c>
      <c r="EY208" s="336">
        <f t="shared" si="939"/>
        <v>0</v>
      </c>
      <c r="EZ208" s="336">
        <f t="shared" si="940"/>
        <v>0</v>
      </c>
      <c r="FA208" s="336">
        <f t="shared" si="941"/>
        <v>0</v>
      </c>
      <c r="FB208" s="336">
        <f t="shared" si="942"/>
        <v>0</v>
      </c>
      <c r="FC208" s="336">
        <f t="shared" si="943"/>
        <v>0</v>
      </c>
      <c r="FD208" s="336">
        <f t="shared" si="944"/>
        <v>0</v>
      </c>
      <c r="FE208" s="336">
        <f t="shared" si="945"/>
        <v>0</v>
      </c>
      <c r="FF208" s="336">
        <f t="shared" si="946"/>
        <v>0</v>
      </c>
      <c r="FG208" s="336">
        <f t="shared" si="947"/>
        <v>0</v>
      </c>
      <c r="FH208" s="336">
        <f t="shared" si="948"/>
        <v>0</v>
      </c>
      <c r="FI208" s="336">
        <f t="shared" si="949"/>
        <v>0</v>
      </c>
      <c r="FJ208" s="336">
        <f t="shared" si="950"/>
        <v>0</v>
      </c>
      <c r="FK208" s="336">
        <f t="shared" si="951"/>
        <v>0</v>
      </c>
      <c r="FL208" s="336">
        <f t="shared" si="952"/>
        <v>0</v>
      </c>
      <c r="FM208" s="336">
        <f t="shared" si="953"/>
        <v>0</v>
      </c>
      <c r="FN208" s="336">
        <f t="shared" si="954"/>
        <v>0</v>
      </c>
      <c r="FO208" s="336">
        <f t="shared" si="955"/>
        <v>0</v>
      </c>
      <c r="FP208" s="336">
        <f t="shared" si="956"/>
        <v>0</v>
      </c>
      <c r="FQ208" s="336">
        <f t="shared" si="957"/>
        <v>0</v>
      </c>
      <c r="FR208" s="336">
        <f t="shared" si="958"/>
        <v>0</v>
      </c>
      <c r="FS208" s="336">
        <f t="shared" si="959"/>
        <v>0</v>
      </c>
      <c r="FT208" s="336">
        <f t="shared" si="960"/>
        <v>0</v>
      </c>
      <c r="FU208" s="336">
        <f t="shared" si="1585"/>
        <v>0</v>
      </c>
      <c r="FV208" s="336">
        <f t="shared" si="1586"/>
        <v>0</v>
      </c>
      <c r="FW208" s="336">
        <f t="shared" si="1587"/>
        <v>0</v>
      </c>
      <c r="FX208" s="336">
        <f t="shared" si="1588"/>
        <v>0</v>
      </c>
      <c r="FY208" s="336">
        <f t="shared" si="961"/>
        <v>0</v>
      </c>
      <c r="FZ208" s="336">
        <f t="shared" si="962"/>
        <v>0</v>
      </c>
      <c r="GA208" s="336">
        <f t="shared" si="963"/>
        <v>0</v>
      </c>
      <c r="GB208" s="336">
        <f t="shared" si="964"/>
        <v>0</v>
      </c>
      <c r="GC208" s="336">
        <f t="shared" si="965"/>
        <v>0</v>
      </c>
      <c r="GD208" s="336">
        <f t="shared" si="966"/>
        <v>0</v>
      </c>
      <c r="GE208" s="336">
        <f t="shared" si="967"/>
        <v>0</v>
      </c>
      <c r="GF208" s="336">
        <f t="shared" si="968"/>
        <v>0</v>
      </c>
      <c r="GG208" s="336">
        <f t="shared" si="969"/>
        <v>0</v>
      </c>
      <c r="GH208" s="336">
        <f t="shared" si="970"/>
        <v>0</v>
      </c>
      <c r="GI208" s="336">
        <f t="shared" si="971"/>
        <v>0</v>
      </c>
      <c r="GJ208" s="336">
        <f t="shared" si="972"/>
        <v>0</v>
      </c>
      <c r="GK208" s="336">
        <f t="shared" si="1750"/>
        <v>0</v>
      </c>
      <c r="GL208" s="336">
        <f t="shared" si="1589"/>
        <v>0</v>
      </c>
      <c r="GM208" s="336">
        <f t="shared" si="973"/>
        <v>0</v>
      </c>
    </row>
    <row r="209" spans="1:195" s="83" customFormat="1" ht="20.100000000000001" hidden="1" customHeight="1">
      <c r="A209" s="357" t="s">
        <v>334</v>
      </c>
      <c r="B209" s="562" t="s">
        <v>527</v>
      </c>
      <c r="C209" s="357" t="str">
        <f t="shared" si="1751"/>
        <v>EPMCC-1</v>
      </c>
      <c r="D209" s="395" t="s">
        <v>670</v>
      </c>
      <c r="E209" s="421" t="s">
        <v>345</v>
      </c>
      <c r="F209" s="357" t="s">
        <v>29</v>
      </c>
      <c r="G209" s="357" t="s">
        <v>350</v>
      </c>
      <c r="H209" s="352">
        <v>1.5</v>
      </c>
      <c r="I209" s="357" t="s">
        <v>330</v>
      </c>
      <c r="J209" s="357" t="s">
        <v>331</v>
      </c>
      <c r="K209" s="353">
        <v>400</v>
      </c>
      <c r="L209" s="360">
        <v>0.75</v>
      </c>
      <c r="M209" s="352">
        <v>0.85299999999999998</v>
      </c>
      <c r="N209" s="359">
        <f t="shared" si="1752"/>
        <v>3.3843329750452824</v>
      </c>
      <c r="O209" s="359">
        <f t="shared" ref="O209:O240" si="1771">IF(G209="MOTOR",(6*N209),IF(G209="VFD",(1*N209),0))</f>
        <v>20.305997850271694</v>
      </c>
      <c r="P209" s="360">
        <f t="shared" si="1753"/>
        <v>0.2</v>
      </c>
      <c r="Q209" s="352">
        <v>50</v>
      </c>
      <c r="R209" s="352">
        <v>0</v>
      </c>
      <c r="S209" s="352">
        <f t="shared" si="1754"/>
        <v>0</v>
      </c>
      <c r="T209" s="360" t="s">
        <v>131</v>
      </c>
      <c r="U209" s="352" t="s">
        <v>333</v>
      </c>
      <c r="V209" s="360">
        <v>4</v>
      </c>
      <c r="W209" s="360" t="str">
        <f t="shared" si="1755"/>
        <v>3C X 4</v>
      </c>
      <c r="X209" s="360" t="str">
        <f t="shared" si="1756"/>
        <v>3C X 4+PE</v>
      </c>
      <c r="Y209" s="360" t="s">
        <v>358</v>
      </c>
      <c r="Z209" s="361">
        <f>IF(T209="AIR",VLOOKUP(W209,'Catalogue Aluminium'!$B$9:$G$93,2,FALSE),IF(T209="GROUND",VLOOKUP(W209,'Catalogue Aluminium'!$B$9:$G$93,3,FALSE),IF(T209="DUCT",VLOOKUP(W209,'Catalogue Aluminium'!$B$9:$G$93,4,FALSE),IF(T209="TRENCH",VLOOKUP(W209,'Catalogue Aluminium'!$B$9:$G$93,2,FALSE)))))</f>
        <v>38</v>
      </c>
      <c r="AA209" s="362">
        <f>VLOOKUP(W209,'Catalogue Aluminium'!$B$9:$G$93,5,FALSE)</f>
        <v>5.9</v>
      </c>
      <c r="AB209" s="362">
        <f>VLOOKUP(W209,'Catalogue Aluminium'!$B$9:$G$93,6,FALSE)</f>
        <v>9.4700000000000006E-2</v>
      </c>
      <c r="AC209" s="564">
        <f>22+7</f>
        <v>29</v>
      </c>
      <c r="AD209" s="360">
        <f t="shared" ref="AD209:AD214" si="1772">11+34+48+35+30+11+24+(15+18+26+3+15)</f>
        <v>270</v>
      </c>
      <c r="AE209" s="456">
        <f t="shared" ref="AE209:AE214" si="1773">11+8+8+11</f>
        <v>38</v>
      </c>
      <c r="AF209" s="360">
        <v>8</v>
      </c>
      <c r="AG209" s="360">
        <f t="shared" si="1759"/>
        <v>35</v>
      </c>
      <c r="AH209" s="363"/>
      <c r="AI209" s="361">
        <f>IF(T209="AIR",'Catalogue Aluminium'!$K$9,IF(T209="TRENCH",'Catalogue Aluminium'!$K$12,"NA"))</f>
        <v>0.89</v>
      </c>
      <c r="AJ209" s="359">
        <f>IF(T209="Air",(IF(U209="1C",'Catalogue Aluminium'!$L$9,'Catalogue Aluminium'!$M$9)),IF(T209="DUCT",(IF($U209="1C",'Catalogue Aluminium'!$L$10,'Catalogue Aluminium'!$M$10)),IF(T209="GROUND",(IF($U209="1C",'Catalogue Aluminium'!$L$11,'Catalogue Aluminium'!$M$11)),IF(T209="TRENCH",(IF($U209="1C",'Catalogue Aluminium'!$L$12,'Catalogue Aluminium'!$M$12))))))</f>
        <v>0.66</v>
      </c>
      <c r="AK209" s="361" t="str">
        <f>IF(T209="Air",'Catalogue Aluminium'!$N$9,IF(T209="GROUND",'Catalogue Aluminium'!$N$10,IF(T209="DUCT",'Catalogue Aluminium'!$N$11,IF(T209="TRENCH",'Catalogue Aluminium'!$N$12,"NA"))))</f>
        <v>NA</v>
      </c>
      <c r="AL209" s="361" t="str">
        <f>IF(T209="Air",(IF(U209="1C",'Catalogue Aluminium'!$O$9,'Catalogue Aluminium'!$P$9)),IF(T209="DUCT",(IF($U209="1C",'Catalogue Aluminium'!$O$10,'Catalogue Aluminium'!$P$10)),IF(T209="GROUND",(IF($U209="1C",'Catalogue Aluminium'!$O$11,'Catalogue Aluminium'!$P$11)),IF(T209="TRENCH",(IF($U209="1C",'Catalogue Aluminium'!$O$12,'Catalogue Aluminium'!$P$12))))))</f>
        <v>NA</v>
      </c>
      <c r="AM209" s="361" t="str">
        <f>IF(T209="AIR","NA",IF(T209="TRENCH","NA",IF(T209="DUCT",IF(U209="1C",VLOOKUP(V209,'Catalogue Aluminium'!$Q$9:$S$28,2,FALSE),VLOOKUP(V209,'Catalogue Aluminium'!$Q$9:$S$28,3)),IF(T209="GROUND",IF(U209="1C",VLOOKUP(V209,'Catalogue Aluminium'!$Q$9:$S$28,2,FALSE),VLOOKUP(V209,'Catalogue Aluminium'!$Q$9:$S$28,3))))))</f>
        <v>NA</v>
      </c>
      <c r="AN209" s="365">
        <f t="shared" si="1761"/>
        <v>0.58740000000000003</v>
      </c>
      <c r="AO209" s="352">
        <f t="shared" si="1762"/>
        <v>22.321200000000001</v>
      </c>
      <c r="AP209" s="353">
        <f t="shared" si="1303"/>
        <v>1</v>
      </c>
      <c r="AQ209" s="352" t="str">
        <f t="shared" si="1763"/>
        <v>YES</v>
      </c>
      <c r="AR209" s="365">
        <f t="shared" si="1764"/>
        <v>0</v>
      </c>
      <c r="AS209" s="496" t="str">
        <f t="shared" si="1765"/>
        <v>YES</v>
      </c>
      <c r="AT209" s="497">
        <f t="shared" si="1766"/>
        <v>0</v>
      </c>
      <c r="AU209" s="360" t="str">
        <f t="shared" si="1767"/>
        <v>YES</v>
      </c>
      <c r="AV209" s="366" t="str">
        <f t="shared" si="1768"/>
        <v>1R x 0.6/1kV x 3C x 4 Sqmm</v>
      </c>
      <c r="AW209" s="366" t="str">
        <f t="shared" si="1769"/>
        <v>1R x 0.6/1kV x 3C x 4+PE Sqmm</v>
      </c>
      <c r="AX209" s="360"/>
      <c r="AY209" s="367"/>
      <c r="AZ209" s="367"/>
      <c r="BA209" s="520" t="str">
        <f t="shared" si="1277"/>
        <v/>
      </c>
      <c r="BB209" s="498"/>
      <c r="BC209" s="426"/>
      <c r="BE209" s="368"/>
      <c r="BF209" s="368"/>
      <c r="BG209" s="368"/>
      <c r="BH209" s="368"/>
      <c r="BI209" s="368"/>
      <c r="BJ209" s="368"/>
      <c r="BK209" s="368"/>
      <c r="BL209" s="368"/>
      <c r="BM209" s="368"/>
      <c r="BN209" s="368"/>
      <c r="BO209" s="368"/>
      <c r="BP209" s="368"/>
      <c r="BQ209" s="368"/>
      <c r="BR209" s="368"/>
      <c r="BS209" s="368"/>
      <c r="BT209" s="368"/>
      <c r="BU209" s="368"/>
      <c r="BV209" s="368"/>
      <c r="BW209" s="368"/>
      <c r="BX209" s="368"/>
      <c r="BY209" s="368"/>
      <c r="BZ209" s="368"/>
      <c r="CA209" s="368"/>
      <c r="CB209" s="368"/>
      <c r="CC209" s="368"/>
      <c r="CD209" s="368"/>
      <c r="CE209" s="368"/>
      <c r="CF209" s="368"/>
      <c r="CG209" s="368"/>
      <c r="CH209" s="368"/>
      <c r="CI209" s="368"/>
      <c r="CJ209" s="368"/>
      <c r="CK209" s="368"/>
      <c r="CL209" s="368"/>
      <c r="CM209" s="368"/>
      <c r="CN209" s="368"/>
      <c r="CO209" s="368"/>
      <c r="CP209" s="368"/>
      <c r="CQ209" s="368"/>
      <c r="CR209" s="368"/>
      <c r="CS209" s="368"/>
      <c r="CT209" s="368"/>
      <c r="CU209" s="368"/>
      <c r="CV209" s="368"/>
      <c r="CW209" s="368"/>
      <c r="CX209" s="368"/>
      <c r="CY209" s="368"/>
      <c r="CZ209" s="368"/>
      <c r="DA209" s="368"/>
      <c r="DB209" s="368"/>
      <c r="DC209" s="368"/>
      <c r="DD209" s="368"/>
      <c r="DE209" s="368"/>
      <c r="DF209" s="368"/>
      <c r="DG209" s="368"/>
      <c r="DH209" s="368"/>
      <c r="DI209" s="368"/>
      <c r="DJ209" s="368"/>
      <c r="DK209" s="368"/>
      <c r="DL209" s="368"/>
      <c r="DM209" s="368"/>
      <c r="DN209" s="368"/>
      <c r="DO209" s="368"/>
      <c r="DP209" s="368"/>
      <c r="DQ209" s="368"/>
      <c r="DR209" s="368"/>
      <c r="DS209" s="368"/>
      <c r="DT209" s="368"/>
      <c r="DU209" s="368"/>
      <c r="DW209" s="368">
        <f t="shared" si="1012"/>
        <v>0</v>
      </c>
      <c r="DX209" s="368">
        <f t="shared" si="1004"/>
        <v>0</v>
      </c>
      <c r="DY209" s="368">
        <f t="shared" si="1005"/>
        <v>0</v>
      </c>
      <c r="DZ209" s="368">
        <f t="shared" si="1006"/>
        <v>0</v>
      </c>
      <c r="EA209" s="368">
        <f t="shared" si="1007"/>
        <v>0</v>
      </c>
      <c r="EB209" s="368">
        <f t="shared" si="1008"/>
        <v>0</v>
      </c>
      <c r="EC209" s="368">
        <f t="shared" si="1009"/>
        <v>0</v>
      </c>
      <c r="ED209" s="368">
        <f t="shared" si="919"/>
        <v>0</v>
      </c>
      <c r="EE209" s="368">
        <f t="shared" si="920"/>
        <v>0</v>
      </c>
      <c r="EF209" s="368">
        <f t="shared" si="921"/>
        <v>0</v>
      </c>
      <c r="EG209" s="368">
        <f t="shared" si="922"/>
        <v>0</v>
      </c>
      <c r="EH209" s="368">
        <f t="shared" si="923"/>
        <v>0</v>
      </c>
      <c r="EI209" s="368">
        <f t="shared" si="924"/>
        <v>0</v>
      </c>
      <c r="EJ209" s="368">
        <f t="shared" si="925"/>
        <v>0</v>
      </c>
      <c r="EK209" s="368">
        <f t="shared" si="926"/>
        <v>0</v>
      </c>
      <c r="EL209" s="368">
        <f t="shared" si="927"/>
        <v>0</v>
      </c>
      <c r="EM209" s="368">
        <f t="shared" si="928"/>
        <v>0</v>
      </c>
      <c r="EN209" s="368">
        <f t="shared" si="929"/>
        <v>0</v>
      </c>
      <c r="EO209" s="368">
        <f t="shared" si="930"/>
        <v>0</v>
      </c>
      <c r="EP209" s="368">
        <f t="shared" si="931"/>
        <v>0</v>
      </c>
      <c r="EQ209" s="368">
        <f t="shared" si="932"/>
        <v>0</v>
      </c>
      <c r="ER209" s="368">
        <f t="shared" si="933"/>
        <v>0</v>
      </c>
      <c r="ES209" s="368">
        <f t="shared" si="934"/>
        <v>0</v>
      </c>
      <c r="ET209" s="368">
        <f t="shared" si="934"/>
        <v>0</v>
      </c>
      <c r="EU209" s="368">
        <f t="shared" si="935"/>
        <v>0</v>
      </c>
      <c r="EV209" s="368">
        <f t="shared" si="936"/>
        <v>0</v>
      </c>
      <c r="EW209" s="368">
        <f t="shared" si="937"/>
        <v>0</v>
      </c>
      <c r="EX209" s="368">
        <f t="shared" si="938"/>
        <v>0</v>
      </c>
      <c r="EY209" s="368">
        <f t="shared" si="939"/>
        <v>0</v>
      </c>
      <c r="EZ209" s="368">
        <f t="shared" si="940"/>
        <v>0</v>
      </c>
      <c r="FA209" s="368">
        <f t="shared" si="941"/>
        <v>0</v>
      </c>
      <c r="FB209" s="368">
        <f t="shared" si="942"/>
        <v>0</v>
      </c>
      <c r="FC209" s="368">
        <f t="shared" si="943"/>
        <v>0</v>
      </c>
      <c r="FD209" s="368">
        <f t="shared" si="944"/>
        <v>0</v>
      </c>
      <c r="FE209" s="368">
        <f t="shared" si="945"/>
        <v>0</v>
      </c>
      <c r="FF209" s="368">
        <f t="shared" si="946"/>
        <v>0</v>
      </c>
      <c r="FG209" s="368">
        <f t="shared" si="947"/>
        <v>0</v>
      </c>
      <c r="FH209" s="368">
        <f t="shared" si="948"/>
        <v>0</v>
      </c>
      <c r="FI209" s="368">
        <f t="shared" si="949"/>
        <v>0</v>
      </c>
      <c r="FJ209" s="368">
        <f t="shared" si="950"/>
        <v>0</v>
      </c>
      <c r="FK209" s="368">
        <f t="shared" si="951"/>
        <v>0</v>
      </c>
      <c r="FL209" s="368">
        <f t="shared" si="952"/>
        <v>0</v>
      </c>
      <c r="FM209" s="368">
        <f t="shared" si="953"/>
        <v>0</v>
      </c>
      <c r="FN209" s="368">
        <f t="shared" si="954"/>
        <v>0</v>
      </c>
      <c r="FO209" s="368">
        <f t="shared" si="955"/>
        <v>0</v>
      </c>
      <c r="FP209" s="368">
        <f t="shared" si="956"/>
        <v>0</v>
      </c>
      <c r="FQ209" s="368">
        <f t="shared" si="957"/>
        <v>0</v>
      </c>
      <c r="FR209" s="368">
        <f t="shared" si="958"/>
        <v>0</v>
      </c>
      <c r="FS209" s="368">
        <f t="shared" si="959"/>
        <v>0</v>
      </c>
      <c r="FT209" s="368">
        <f t="shared" si="960"/>
        <v>0</v>
      </c>
      <c r="FU209" s="368"/>
      <c r="FV209" s="368"/>
      <c r="FW209" s="368"/>
      <c r="FX209" s="368"/>
      <c r="FY209" s="368">
        <f t="shared" si="961"/>
        <v>0</v>
      </c>
      <c r="FZ209" s="368">
        <f t="shared" si="962"/>
        <v>0</v>
      </c>
      <c r="GA209" s="368">
        <f t="shared" si="963"/>
        <v>0</v>
      </c>
      <c r="GB209" s="368">
        <f t="shared" si="964"/>
        <v>0</v>
      </c>
      <c r="GC209" s="368">
        <f t="shared" si="965"/>
        <v>0</v>
      </c>
      <c r="GD209" s="368">
        <f t="shared" si="966"/>
        <v>0</v>
      </c>
      <c r="GE209" s="368">
        <f t="shared" si="967"/>
        <v>0</v>
      </c>
      <c r="GF209" s="368">
        <f t="shared" si="968"/>
        <v>0</v>
      </c>
      <c r="GG209" s="368">
        <f t="shared" si="969"/>
        <v>0</v>
      </c>
      <c r="GH209" s="368">
        <f t="shared" si="970"/>
        <v>0</v>
      </c>
      <c r="GI209" s="368">
        <f t="shared" si="971"/>
        <v>0</v>
      </c>
      <c r="GJ209" s="368">
        <f t="shared" si="972"/>
        <v>0</v>
      </c>
      <c r="GK209" s="368">
        <f t="shared" si="1750"/>
        <v>0</v>
      </c>
      <c r="GL209" s="368"/>
      <c r="GM209" s="368">
        <f t="shared" si="973"/>
        <v>0</v>
      </c>
    </row>
    <row r="210" spans="1:195" s="83" customFormat="1" ht="20.100000000000001" hidden="1" customHeight="1">
      <c r="A210" s="357" t="s">
        <v>334</v>
      </c>
      <c r="B210" s="562" t="s">
        <v>527</v>
      </c>
      <c r="C210" s="357" t="str">
        <f t="shared" si="1751"/>
        <v>EPMCC-1</v>
      </c>
      <c r="D210" s="395" t="s">
        <v>575</v>
      </c>
      <c r="E210" s="421" t="s">
        <v>345</v>
      </c>
      <c r="F210" s="357" t="s">
        <v>28</v>
      </c>
      <c r="G210" s="357" t="s">
        <v>350</v>
      </c>
      <c r="H210" s="352">
        <v>1.1000000000000001</v>
      </c>
      <c r="I210" s="357" t="s">
        <v>330</v>
      </c>
      <c r="J210" s="357" t="s">
        <v>331</v>
      </c>
      <c r="K210" s="353">
        <v>400</v>
      </c>
      <c r="L210" s="360">
        <v>0.8</v>
      </c>
      <c r="M210" s="352">
        <v>0.84099999999999997</v>
      </c>
      <c r="N210" s="359">
        <f t="shared" si="1752"/>
        <v>2.3599283817516263</v>
      </c>
      <c r="O210" s="359">
        <f t="shared" si="1771"/>
        <v>14.159570290509759</v>
      </c>
      <c r="P210" s="360">
        <f t="shared" si="1753"/>
        <v>0.2</v>
      </c>
      <c r="Q210" s="352">
        <v>50</v>
      </c>
      <c r="R210" s="352">
        <v>0</v>
      </c>
      <c r="S210" s="352">
        <f t="shared" si="1754"/>
        <v>0</v>
      </c>
      <c r="T210" s="360" t="s">
        <v>131</v>
      </c>
      <c r="U210" s="352" t="s">
        <v>333</v>
      </c>
      <c r="V210" s="360">
        <v>4</v>
      </c>
      <c r="W210" s="360" t="str">
        <f t="shared" si="1755"/>
        <v>3C X 4</v>
      </c>
      <c r="X210" s="360" t="str">
        <f t="shared" si="1756"/>
        <v>3C X 4+PE</v>
      </c>
      <c r="Y210" s="360" t="s">
        <v>358</v>
      </c>
      <c r="Z210" s="361">
        <f>IF(T210="AIR",VLOOKUP(W210,'Catalogue Aluminium'!$B$9:$G$93,2,FALSE),IF(T210="GROUND",VLOOKUP(W210,'Catalogue Aluminium'!$B$9:$G$93,3,FALSE),IF(T210="DUCT",VLOOKUP(W210,'Catalogue Aluminium'!$B$9:$G$93,4,FALSE),IF(T210="TRENCH",VLOOKUP(W210,'Catalogue Aluminium'!$B$9:$G$93,2,FALSE)))))</f>
        <v>38</v>
      </c>
      <c r="AA210" s="362">
        <f>VLOOKUP(W210,'Catalogue Aluminium'!$B$9:$G$93,5,FALSE)</f>
        <v>5.9</v>
      </c>
      <c r="AB210" s="362">
        <f>VLOOKUP(W210,'Catalogue Aluminium'!$B$9:$G$93,6,FALSE)</f>
        <v>9.4700000000000006E-2</v>
      </c>
      <c r="AC210" s="564">
        <f>28+7</f>
        <v>35</v>
      </c>
      <c r="AD210" s="360">
        <f t="shared" si="1772"/>
        <v>270</v>
      </c>
      <c r="AE210" s="456">
        <f t="shared" si="1773"/>
        <v>38</v>
      </c>
      <c r="AF210" s="360">
        <v>8</v>
      </c>
      <c r="AG210" s="360">
        <f t="shared" si="1759"/>
        <v>36</v>
      </c>
      <c r="AH210" s="363"/>
      <c r="AI210" s="361">
        <f>IF(T210="AIR",'Catalogue Aluminium'!$K$9,IF(T210="TRENCH",'Catalogue Aluminium'!$K$12,"NA"))</f>
        <v>0.89</v>
      </c>
      <c r="AJ210" s="359">
        <f>IF(T210="Air",(IF(U210="1C",'Catalogue Aluminium'!$L$9,'Catalogue Aluminium'!$M$9)),IF(T210="DUCT",(IF($U210="1C",'Catalogue Aluminium'!$L$10,'Catalogue Aluminium'!$M$10)),IF(T210="GROUND",(IF($U210="1C",'Catalogue Aluminium'!$L$11,'Catalogue Aluminium'!$M$11)),IF(T210="TRENCH",(IF($U210="1C",'Catalogue Aluminium'!$L$12,'Catalogue Aluminium'!$M$12))))))</f>
        <v>0.66</v>
      </c>
      <c r="AK210" s="361" t="str">
        <f>IF(T210="Air",'Catalogue Aluminium'!$N$9,IF(T210="GROUND",'Catalogue Aluminium'!$N$10,IF(T210="DUCT",'Catalogue Aluminium'!$N$11,IF(T210="TRENCH",'Catalogue Aluminium'!$N$12,"NA"))))</f>
        <v>NA</v>
      </c>
      <c r="AL210" s="361" t="str">
        <f>IF(T210="Air",(IF(U210="1C",'Catalogue Aluminium'!$O$9,'Catalogue Aluminium'!$P$9)),IF(T210="DUCT",(IF($U210="1C",'Catalogue Aluminium'!$O$10,'Catalogue Aluminium'!$P$10)),IF(T210="GROUND",(IF($U210="1C",'Catalogue Aluminium'!$O$11,'Catalogue Aluminium'!$P$11)),IF(T210="TRENCH",(IF($U210="1C",'Catalogue Aluminium'!$O$12,'Catalogue Aluminium'!$P$12))))))</f>
        <v>NA</v>
      </c>
      <c r="AM210" s="361" t="str">
        <f>IF(T210="AIR","NA",IF(T210="TRENCH","NA",IF(T210="DUCT",IF(U210="1C",VLOOKUP(V210,'Catalogue Aluminium'!$Q$9:$S$28,2,FALSE),VLOOKUP(V210,'Catalogue Aluminium'!$Q$9:$S$28,3)),IF(T210="GROUND",IF(U210="1C",VLOOKUP(V210,'Catalogue Aluminium'!$Q$9:$S$28,2,FALSE),VLOOKUP(V210,'Catalogue Aluminium'!$Q$9:$S$28,3))))))</f>
        <v>NA</v>
      </c>
      <c r="AN210" s="365">
        <f t="shared" si="1761"/>
        <v>0.58740000000000003</v>
      </c>
      <c r="AO210" s="352">
        <f t="shared" si="1762"/>
        <v>22.321200000000001</v>
      </c>
      <c r="AP210" s="353">
        <f t="shared" si="1303"/>
        <v>1</v>
      </c>
      <c r="AQ210" s="352" t="str">
        <f t="shared" si="1763"/>
        <v>YES</v>
      </c>
      <c r="AR210" s="365">
        <f t="shared" si="1764"/>
        <v>0</v>
      </c>
      <c r="AS210" s="496" t="str">
        <f t="shared" si="1765"/>
        <v>YES</v>
      </c>
      <c r="AT210" s="497">
        <f t="shared" si="1766"/>
        <v>0</v>
      </c>
      <c r="AU210" s="360" t="str">
        <f t="shared" si="1767"/>
        <v>YES</v>
      </c>
      <c r="AV210" s="366" t="str">
        <f t="shared" si="1768"/>
        <v>1R x 0.6/1kV x 3C x 4 Sqmm</v>
      </c>
      <c r="AW210" s="366" t="str">
        <f t="shared" si="1769"/>
        <v>1R x 0.6/1kV x 3C x 4+PE Sqmm</v>
      </c>
      <c r="AX210" s="360"/>
      <c r="AY210" s="367"/>
      <c r="AZ210" s="367"/>
      <c r="BA210" s="520" t="str">
        <f t="shared" si="1277"/>
        <v/>
      </c>
      <c r="BB210" s="498"/>
      <c r="BC210" s="426"/>
      <c r="BE210" s="368"/>
      <c r="BF210" s="368"/>
      <c r="BG210" s="368"/>
      <c r="BH210" s="368"/>
      <c r="BI210" s="368"/>
      <c r="BJ210" s="368"/>
      <c r="BK210" s="368"/>
      <c r="BL210" s="368"/>
      <c r="BM210" s="368"/>
      <c r="BN210" s="368"/>
      <c r="BO210" s="368"/>
      <c r="BP210" s="368"/>
      <c r="BQ210" s="368"/>
      <c r="BR210" s="368"/>
      <c r="BS210" s="368"/>
      <c r="BT210" s="368"/>
      <c r="BU210" s="368"/>
      <c r="BV210" s="368"/>
      <c r="BW210" s="368"/>
      <c r="BX210" s="368"/>
      <c r="BY210" s="368"/>
      <c r="BZ210" s="368"/>
      <c r="CA210" s="368"/>
      <c r="CB210" s="368"/>
      <c r="CC210" s="368"/>
      <c r="CD210" s="368"/>
      <c r="CE210" s="368"/>
      <c r="CF210" s="368"/>
      <c r="CG210" s="368"/>
      <c r="CH210" s="368"/>
      <c r="CI210" s="368"/>
      <c r="CJ210" s="368"/>
      <c r="CK210" s="368"/>
      <c r="CL210" s="368"/>
      <c r="CM210" s="368"/>
      <c r="CN210" s="368"/>
      <c r="CO210" s="368"/>
      <c r="CP210" s="368"/>
      <c r="CQ210" s="368"/>
      <c r="CR210" s="368"/>
      <c r="CS210" s="368"/>
      <c r="CT210" s="368"/>
      <c r="CU210" s="368"/>
      <c r="CV210" s="368"/>
      <c r="CW210" s="368"/>
      <c r="CX210" s="368"/>
      <c r="CY210" s="368"/>
      <c r="CZ210" s="368"/>
      <c r="DA210" s="368"/>
      <c r="DB210" s="368"/>
      <c r="DC210" s="368"/>
      <c r="DD210" s="368"/>
      <c r="DE210" s="368"/>
      <c r="DF210" s="368"/>
      <c r="DG210" s="368"/>
      <c r="DH210" s="368"/>
      <c r="DI210" s="368"/>
      <c r="DJ210" s="368"/>
      <c r="DK210" s="368"/>
      <c r="DL210" s="368"/>
      <c r="DM210" s="368"/>
      <c r="DN210" s="368"/>
      <c r="DO210" s="368"/>
      <c r="DP210" s="368"/>
      <c r="DQ210" s="368"/>
      <c r="DR210" s="368"/>
      <c r="DS210" s="368"/>
      <c r="DT210" s="368"/>
      <c r="DU210" s="368"/>
      <c r="DW210" s="368">
        <f t="shared" si="1012"/>
        <v>0</v>
      </c>
      <c r="DX210" s="368">
        <f t="shared" si="1004"/>
        <v>0</v>
      </c>
      <c r="DY210" s="368">
        <f t="shared" si="1005"/>
        <v>0</v>
      </c>
      <c r="DZ210" s="368">
        <f t="shared" si="1006"/>
        <v>0</v>
      </c>
      <c r="EA210" s="368">
        <f t="shared" si="1007"/>
        <v>0</v>
      </c>
      <c r="EB210" s="368">
        <f t="shared" si="1008"/>
        <v>0</v>
      </c>
      <c r="EC210" s="368">
        <f t="shared" si="1009"/>
        <v>0</v>
      </c>
      <c r="ED210" s="368">
        <f t="shared" si="919"/>
        <v>0</v>
      </c>
      <c r="EE210" s="368">
        <f t="shared" si="920"/>
        <v>0</v>
      </c>
      <c r="EF210" s="368">
        <f t="shared" si="921"/>
        <v>0</v>
      </c>
      <c r="EG210" s="368">
        <f t="shared" si="922"/>
        <v>0</v>
      </c>
      <c r="EH210" s="368">
        <f t="shared" si="923"/>
        <v>0</v>
      </c>
      <c r="EI210" s="368">
        <f t="shared" si="924"/>
        <v>0</v>
      </c>
      <c r="EJ210" s="368">
        <f t="shared" si="925"/>
        <v>0</v>
      </c>
      <c r="EK210" s="368">
        <f t="shared" si="926"/>
        <v>0</v>
      </c>
      <c r="EL210" s="368">
        <f t="shared" si="927"/>
        <v>0</v>
      </c>
      <c r="EM210" s="368">
        <f t="shared" si="928"/>
        <v>0</v>
      </c>
      <c r="EN210" s="368">
        <f t="shared" si="929"/>
        <v>0</v>
      </c>
      <c r="EO210" s="368">
        <f t="shared" si="930"/>
        <v>0</v>
      </c>
      <c r="EP210" s="368">
        <f t="shared" si="931"/>
        <v>0</v>
      </c>
      <c r="EQ210" s="368">
        <f t="shared" si="932"/>
        <v>0</v>
      </c>
      <c r="ER210" s="368">
        <f t="shared" si="933"/>
        <v>0</v>
      </c>
      <c r="ES210" s="368">
        <f t="shared" si="934"/>
        <v>0</v>
      </c>
      <c r="ET210" s="368">
        <f t="shared" si="934"/>
        <v>0</v>
      </c>
      <c r="EU210" s="368">
        <f t="shared" si="935"/>
        <v>0</v>
      </c>
      <c r="EV210" s="368">
        <f t="shared" si="936"/>
        <v>0</v>
      </c>
      <c r="EW210" s="368">
        <f t="shared" si="937"/>
        <v>0</v>
      </c>
      <c r="EX210" s="368">
        <f t="shared" si="938"/>
        <v>0</v>
      </c>
      <c r="EY210" s="368">
        <f t="shared" si="939"/>
        <v>0</v>
      </c>
      <c r="EZ210" s="368">
        <f t="shared" si="940"/>
        <v>0</v>
      </c>
      <c r="FA210" s="368">
        <f t="shared" si="941"/>
        <v>0</v>
      </c>
      <c r="FB210" s="368">
        <f t="shared" si="942"/>
        <v>0</v>
      </c>
      <c r="FC210" s="368">
        <f t="shared" si="943"/>
        <v>0</v>
      </c>
      <c r="FD210" s="368">
        <f t="shared" si="944"/>
        <v>0</v>
      </c>
      <c r="FE210" s="368">
        <f t="shared" si="945"/>
        <v>0</v>
      </c>
      <c r="FF210" s="368">
        <f t="shared" si="946"/>
        <v>0</v>
      </c>
      <c r="FG210" s="368">
        <f t="shared" si="947"/>
        <v>0</v>
      </c>
      <c r="FH210" s="368">
        <f t="shared" si="948"/>
        <v>0</v>
      </c>
      <c r="FI210" s="368">
        <f t="shared" si="949"/>
        <v>0</v>
      </c>
      <c r="FJ210" s="368">
        <f t="shared" si="950"/>
        <v>0</v>
      </c>
      <c r="FK210" s="368">
        <f t="shared" si="951"/>
        <v>0</v>
      </c>
      <c r="FL210" s="368">
        <f t="shared" si="952"/>
        <v>0</v>
      </c>
      <c r="FM210" s="368">
        <f t="shared" si="953"/>
        <v>0</v>
      </c>
      <c r="FN210" s="368">
        <f t="shared" si="954"/>
        <v>0</v>
      </c>
      <c r="FO210" s="368">
        <f t="shared" si="955"/>
        <v>0</v>
      </c>
      <c r="FP210" s="368">
        <f t="shared" si="956"/>
        <v>0</v>
      </c>
      <c r="FQ210" s="368">
        <f t="shared" si="957"/>
        <v>0</v>
      </c>
      <c r="FR210" s="368">
        <f t="shared" si="958"/>
        <v>0</v>
      </c>
      <c r="FS210" s="368">
        <f t="shared" si="959"/>
        <v>0</v>
      </c>
      <c r="FT210" s="368">
        <f t="shared" si="960"/>
        <v>0</v>
      </c>
      <c r="FU210" s="368"/>
      <c r="FV210" s="368"/>
      <c r="FW210" s="368"/>
      <c r="FX210" s="368"/>
      <c r="FY210" s="368">
        <f t="shared" si="961"/>
        <v>0</v>
      </c>
      <c r="FZ210" s="368">
        <f t="shared" si="962"/>
        <v>0</v>
      </c>
      <c r="GA210" s="368">
        <f t="shared" si="963"/>
        <v>0</v>
      </c>
      <c r="GB210" s="368">
        <f t="shared" si="964"/>
        <v>0</v>
      </c>
      <c r="GC210" s="368">
        <f t="shared" si="965"/>
        <v>0</v>
      </c>
      <c r="GD210" s="368">
        <f t="shared" si="966"/>
        <v>0</v>
      </c>
      <c r="GE210" s="368">
        <f t="shared" si="967"/>
        <v>0</v>
      </c>
      <c r="GF210" s="368">
        <f t="shared" si="968"/>
        <v>0</v>
      </c>
      <c r="GG210" s="368">
        <f t="shared" si="969"/>
        <v>0</v>
      </c>
      <c r="GH210" s="368">
        <f t="shared" si="970"/>
        <v>0</v>
      </c>
      <c r="GI210" s="368">
        <f t="shared" si="971"/>
        <v>0</v>
      </c>
      <c r="GJ210" s="368">
        <f t="shared" si="972"/>
        <v>0</v>
      </c>
      <c r="GK210" s="368">
        <f t="shared" si="1750"/>
        <v>0</v>
      </c>
      <c r="GL210" s="368"/>
      <c r="GM210" s="368">
        <f t="shared" si="973"/>
        <v>0</v>
      </c>
    </row>
    <row r="211" spans="1:195" s="83" customFormat="1" ht="20.100000000000001" hidden="1" customHeight="1">
      <c r="A211" s="357" t="s">
        <v>334</v>
      </c>
      <c r="B211" s="562" t="s">
        <v>527</v>
      </c>
      <c r="C211" s="357" t="str">
        <f t="shared" si="1751"/>
        <v>EPMCC-1</v>
      </c>
      <c r="D211" s="395" t="s">
        <v>575</v>
      </c>
      <c r="E211" s="421" t="s">
        <v>345</v>
      </c>
      <c r="F211" s="357" t="s">
        <v>29</v>
      </c>
      <c r="G211" s="357" t="s">
        <v>350</v>
      </c>
      <c r="H211" s="352">
        <v>1.1000000000000001</v>
      </c>
      <c r="I211" s="357" t="s">
        <v>330</v>
      </c>
      <c r="J211" s="357" t="s">
        <v>331</v>
      </c>
      <c r="K211" s="353">
        <v>400</v>
      </c>
      <c r="L211" s="360">
        <v>0.8</v>
      </c>
      <c r="M211" s="352">
        <v>0.84099999999999997</v>
      </c>
      <c r="N211" s="359">
        <f t="shared" si="1752"/>
        <v>2.3599283817516263</v>
      </c>
      <c r="O211" s="359">
        <f t="shared" si="1771"/>
        <v>14.159570290509759</v>
      </c>
      <c r="P211" s="360">
        <f t="shared" si="1753"/>
        <v>0.2</v>
      </c>
      <c r="Q211" s="352">
        <v>50</v>
      </c>
      <c r="R211" s="352">
        <v>0</v>
      </c>
      <c r="S211" s="352">
        <f t="shared" si="1754"/>
        <v>0</v>
      </c>
      <c r="T211" s="360" t="s">
        <v>131</v>
      </c>
      <c r="U211" s="352" t="s">
        <v>333</v>
      </c>
      <c r="V211" s="360">
        <v>4</v>
      </c>
      <c r="W211" s="360" t="str">
        <f t="shared" si="1755"/>
        <v>3C X 4</v>
      </c>
      <c r="X211" s="360" t="str">
        <f t="shared" si="1756"/>
        <v>3C X 4+PE</v>
      </c>
      <c r="Y211" s="360" t="s">
        <v>358</v>
      </c>
      <c r="Z211" s="361">
        <f>IF(T211="AIR",VLOOKUP(W211,'Catalogue Aluminium'!$B$9:$G$93,2,FALSE),IF(T211="GROUND",VLOOKUP(W211,'Catalogue Aluminium'!$B$9:$G$93,3,FALSE),IF(T211="DUCT",VLOOKUP(W211,'Catalogue Aluminium'!$B$9:$G$93,4,FALSE),IF(T211="TRENCH",VLOOKUP(W211,'Catalogue Aluminium'!$B$9:$G$93,2,FALSE)))))</f>
        <v>38</v>
      </c>
      <c r="AA211" s="362">
        <f>VLOOKUP(W211,'Catalogue Aluminium'!$B$9:$G$93,5,FALSE)</f>
        <v>5.9</v>
      </c>
      <c r="AB211" s="362">
        <f>VLOOKUP(W211,'Catalogue Aluminium'!$B$9:$G$93,6,FALSE)</f>
        <v>9.4700000000000006E-2</v>
      </c>
      <c r="AC211" s="564">
        <f>22+7</f>
        <v>29</v>
      </c>
      <c r="AD211" s="360">
        <f t="shared" si="1772"/>
        <v>270</v>
      </c>
      <c r="AE211" s="456">
        <f t="shared" si="1773"/>
        <v>38</v>
      </c>
      <c r="AF211" s="360">
        <v>8</v>
      </c>
      <c r="AG211" s="360">
        <f t="shared" si="1759"/>
        <v>35</v>
      </c>
      <c r="AH211" s="363"/>
      <c r="AI211" s="361">
        <f>IF(T211="AIR",'Catalogue Aluminium'!$K$9,IF(T211="TRENCH",'Catalogue Aluminium'!$K$12,"NA"))</f>
        <v>0.89</v>
      </c>
      <c r="AJ211" s="359">
        <f>IF(T211="Air",(IF(U211="1C",'Catalogue Aluminium'!$L$9,'Catalogue Aluminium'!$M$9)),IF(T211="DUCT",(IF($U211="1C",'Catalogue Aluminium'!$L$10,'Catalogue Aluminium'!$M$10)),IF(T211="GROUND",(IF($U211="1C",'Catalogue Aluminium'!$L$11,'Catalogue Aluminium'!$M$11)),IF(T211="TRENCH",(IF($U211="1C",'Catalogue Aluminium'!$L$12,'Catalogue Aluminium'!$M$12))))))</f>
        <v>0.66</v>
      </c>
      <c r="AK211" s="361" t="str">
        <f>IF(T211="Air",'Catalogue Aluminium'!$N$9,IF(T211="GROUND",'Catalogue Aluminium'!$N$10,IF(T211="DUCT",'Catalogue Aluminium'!$N$11,IF(T211="TRENCH",'Catalogue Aluminium'!$N$12,"NA"))))</f>
        <v>NA</v>
      </c>
      <c r="AL211" s="361" t="str">
        <f>IF(T211="Air",(IF(U211="1C",'Catalogue Aluminium'!$O$9,'Catalogue Aluminium'!$P$9)),IF(T211="DUCT",(IF($U211="1C",'Catalogue Aluminium'!$O$10,'Catalogue Aluminium'!$P$10)),IF(T211="GROUND",(IF($U211="1C",'Catalogue Aluminium'!$O$11,'Catalogue Aluminium'!$P$11)),IF(T211="TRENCH",(IF($U211="1C",'Catalogue Aluminium'!$O$12,'Catalogue Aluminium'!$P$12))))))</f>
        <v>NA</v>
      </c>
      <c r="AM211" s="361" t="str">
        <f>IF(T211="AIR","NA",IF(T211="TRENCH","NA",IF(T211="DUCT",IF(U211="1C",VLOOKUP(V211,'Catalogue Aluminium'!$Q$9:$S$28,2,FALSE),VLOOKUP(V211,'Catalogue Aluminium'!$Q$9:$S$28,3)),IF(T211="GROUND",IF(U211="1C",VLOOKUP(V211,'Catalogue Aluminium'!$Q$9:$S$28,2,FALSE),VLOOKUP(V211,'Catalogue Aluminium'!$Q$9:$S$28,3))))))</f>
        <v>NA</v>
      </c>
      <c r="AN211" s="365">
        <f t="shared" si="1761"/>
        <v>0.58740000000000003</v>
      </c>
      <c r="AO211" s="352">
        <f t="shared" si="1762"/>
        <v>22.321200000000001</v>
      </c>
      <c r="AP211" s="353">
        <f t="shared" si="1303"/>
        <v>1</v>
      </c>
      <c r="AQ211" s="352" t="str">
        <f t="shared" si="1763"/>
        <v>YES</v>
      </c>
      <c r="AR211" s="365">
        <f t="shared" si="1764"/>
        <v>0</v>
      </c>
      <c r="AS211" s="496" t="str">
        <f t="shared" si="1765"/>
        <v>YES</v>
      </c>
      <c r="AT211" s="497">
        <f t="shared" si="1766"/>
        <v>0</v>
      </c>
      <c r="AU211" s="360" t="str">
        <f t="shared" si="1767"/>
        <v>YES</v>
      </c>
      <c r="AV211" s="366" t="str">
        <f t="shared" si="1768"/>
        <v>1R x 0.6/1kV x 3C x 4 Sqmm</v>
      </c>
      <c r="AW211" s="366" t="str">
        <f t="shared" si="1769"/>
        <v>1R x 0.6/1kV x 3C x 4+PE Sqmm</v>
      </c>
      <c r="AX211" s="360"/>
      <c r="AY211" s="367"/>
      <c r="AZ211" s="367"/>
      <c r="BA211" s="520" t="str">
        <f t="shared" si="1277"/>
        <v/>
      </c>
      <c r="BB211" s="498"/>
      <c r="BC211" s="426"/>
      <c r="BE211" s="368"/>
      <c r="BF211" s="368"/>
      <c r="BG211" s="368"/>
      <c r="BH211" s="368"/>
      <c r="BI211" s="368"/>
      <c r="BJ211" s="368"/>
      <c r="BK211" s="368"/>
      <c r="BL211" s="368"/>
      <c r="BM211" s="368"/>
      <c r="BN211" s="368"/>
      <c r="BO211" s="368"/>
      <c r="BP211" s="368"/>
      <c r="BQ211" s="368"/>
      <c r="BR211" s="368"/>
      <c r="BS211" s="368"/>
      <c r="BT211" s="368"/>
      <c r="BU211" s="368"/>
      <c r="BV211" s="368"/>
      <c r="BW211" s="368"/>
      <c r="BX211" s="368"/>
      <c r="BY211" s="368"/>
      <c r="BZ211" s="368"/>
      <c r="CA211" s="368"/>
      <c r="CB211" s="368"/>
      <c r="CC211" s="368"/>
      <c r="CD211" s="368"/>
      <c r="CE211" s="368"/>
      <c r="CF211" s="368"/>
      <c r="CG211" s="368"/>
      <c r="CH211" s="368"/>
      <c r="CI211" s="368"/>
      <c r="CJ211" s="368"/>
      <c r="CK211" s="368"/>
      <c r="CL211" s="368"/>
      <c r="CM211" s="368"/>
      <c r="CN211" s="368"/>
      <c r="CO211" s="368"/>
      <c r="CP211" s="368"/>
      <c r="CQ211" s="368"/>
      <c r="CR211" s="368"/>
      <c r="CS211" s="368"/>
      <c r="CT211" s="368"/>
      <c r="CU211" s="368"/>
      <c r="CV211" s="368"/>
      <c r="CW211" s="368"/>
      <c r="CX211" s="368"/>
      <c r="CY211" s="368"/>
      <c r="CZ211" s="368"/>
      <c r="DA211" s="368"/>
      <c r="DB211" s="368"/>
      <c r="DC211" s="368"/>
      <c r="DD211" s="368"/>
      <c r="DE211" s="368"/>
      <c r="DF211" s="368"/>
      <c r="DG211" s="368"/>
      <c r="DH211" s="368"/>
      <c r="DI211" s="368"/>
      <c r="DJ211" s="368"/>
      <c r="DK211" s="368"/>
      <c r="DL211" s="368"/>
      <c r="DM211" s="368"/>
      <c r="DN211" s="368"/>
      <c r="DO211" s="368"/>
      <c r="DP211" s="368"/>
      <c r="DQ211" s="368"/>
      <c r="DR211" s="368"/>
      <c r="DS211" s="368"/>
      <c r="DT211" s="368"/>
      <c r="DU211" s="368"/>
      <c r="DW211" s="368">
        <f t="shared" si="1012"/>
        <v>0</v>
      </c>
      <c r="DX211" s="368">
        <f t="shared" si="1004"/>
        <v>0</v>
      </c>
      <c r="DY211" s="368">
        <f t="shared" si="1005"/>
        <v>0</v>
      </c>
      <c r="DZ211" s="368">
        <f t="shared" si="1006"/>
        <v>0</v>
      </c>
      <c r="EA211" s="368">
        <f t="shared" si="1007"/>
        <v>0</v>
      </c>
      <c r="EB211" s="368">
        <f t="shared" si="1008"/>
        <v>0</v>
      </c>
      <c r="EC211" s="368">
        <f t="shared" si="1009"/>
        <v>0</v>
      </c>
      <c r="ED211" s="368">
        <f t="shared" si="919"/>
        <v>0</v>
      </c>
      <c r="EE211" s="368">
        <f t="shared" si="920"/>
        <v>0</v>
      </c>
      <c r="EF211" s="368">
        <f t="shared" si="921"/>
        <v>0</v>
      </c>
      <c r="EG211" s="368">
        <f t="shared" si="922"/>
        <v>0</v>
      </c>
      <c r="EH211" s="368">
        <f t="shared" si="923"/>
        <v>0</v>
      </c>
      <c r="EI211" s="368">
        <f t="shared" si="924"/>
        <v>0</v>
      </c>
      <c r="EJ211" s="368">
        <f t="shared" si="925"/>
        <v>0</v>
      </c>
      <c r="EK211" s="368">
        <f t="shared" si="926"/>
        <v>0</v>
      </c>
      <c r="EL211" s="368">
        <f t="shared" si="927"/>
        <v>0</v>
      </c>
      <c r="EM211" s="368">
        <f t="shared" si="928"/>
        <v>0</v>
      </c>
      <c r="EN211" s="368">
        <f t="shared" si="929"/>
        <v>0</v>
      </c>
      <c r="EO211" s="368">
        <f t="shared" si="930"/>
        <v>0</v>
      </c>
      <c r="EP211" s="368">
        <f t="shared" si="931"/>
        <v>0</v>
      </c>
      <c r="EQ211" s="368">
        <f t="shared" si="932"/>
        <v>0</v>
      </c>
      <c r="ER211" s="368">
        <f t="shared" si="933"/>
        <v>0</v>
      </c>
      <c r="ES211" s="368">
        <f t="shared" si="934"/>
        <v>0</v>
      </c>
      <c r="ET211" s="368">
        <f t="shared" si="934"/>
        <v>0</v>
      </c>
      <c r="EU211" s="368">
        <f t="shared" si="935"/>
        <v>0</v>
      </c>
      <c r="EV211" s="368">
        <f t="shared" si="936"/>
        <v>0</v>
      </c>
      <c r="EW211" s="368">
        <f t="shared" si="937"/>
        <v>0</v>
      </c>
      <c r="EX211" s="368">
        <f t="shared" si="938"/>
        <v>0</v>
      </c>
      <c r="EY211" s="368">
        <f t="shared" si="939"/>
        <v>0</v>
      </c>
      <c r="EZ211" s="368">
        <f t="shared" si="940"/>
        <v>0</v>
      </c>
      <c r="FA211" s="368">
        <f t="shared" si="941"/>
        <v>0</v>
      </c>
      <c r="FB211" s="368">
        <f t="shared" si="942"/>
        <v>0</v>
      </c>
      <c r="FC211" s="368">
        <f t="shared" si="943"/>
        <v>0</v>
      </c>
      <c r="FD211" s="368">
        <f t="shared" si="944"/>
        <v>0</v>
      </c>
      <c r="FE211" s="368">
        <f t="shared" si="945"/>
        <v>0</v>
      </c>
      <c r="FF211" s="368">
        <f t="shared" si="946"/>
        <v>0</v>
      </c>
      <c r="FG211" s="368">
        <f t="shared" si="947"/>
        <v>0</v>
      </c>
      <c r="FH211" s="368">
        <f t="shared" si="948"/>
        <v>0</v>
      </c>
      <c r="FI211" s="368">
        <f t="shared" si="949"/>
        <v>0</v>
      </c>
      <c r="FJ211" s="368">
        <f t="shared" si="950"/>
        <v>0</v>
      </c>
      <c r="FK211" s="368">
        <f t="shared" si="951"/>
        <v>0</v>
      </c>
      <c r="FL211" s="368">
        <f t="shared" si="952"/>
        <v>0</v>
      </c>
      <c r="FM211" s="368">
        <f t="shared" si="953"/>
        <v>0</v>
      </c>
      <c r="FN211" s="368">
        <f t="shared" si="954"/>
        <v>0</v>
      </c>
      <c r="FO211" s="368">
        <f t="shared" si="955"/>
        <v>0</v>
      </c>
      <c r="FP211" s="368">
        <f t="shared" si="956"/>
        <v>0</v>
      </c>
      <c r="FQ211" s="368">
        <f t="shared" si="957"/>
        <v>0</v>
      </c>
      <c r="FR211" s="368">
        <f t="shared" si="958"/>
        <v>0</v>
      </c>
      <c r="FS211" s="368">
        <f t="shared" si="959"/>
        <v>0</v>
      </c>
      <c r="FT211" s="368">
        <f t="shared" si="960"/>
        <v>0</v>
      </c>
      <c r="FU211" s="368"/>
      <c r="FV211" s="368"/>
      <c r="FW211" s="368"/>
      <c r="FX211" s="368"/>
      <c r="FY211" s="368">
        <f t="shared" si="961"/>
        <v>0</v>
      </c>
      <c r="FZ211" s="368">
        <f t="shared" si="962"/>
        <v>0</v>
      </c>
      <c r="GA211" s="368">
        <f t="shared" si="963"/>
        <v>0</v>
      </c>
      <c r="GB211" s="368">
        <f t="shared" si="964"/>
        <v>0</v>
      </c>
      <c r="GC211" s="368">
        <f t="shared" si="965"/>
        <v>0</v>
      </c>
      <c r="GD211" s="368">
        <f t="shared" si="966"/>
        <v>0</v>
      </c>
      <c r="GE211" s="368">
        <f t="shared" si="967"/>
        <v>0</v>
      </c>
      <c r="GF211" s="368">
        <f t="shared" si="968"/>
        <v>0</v>
      </c>
      <c r="GG211" s="368">
        <f t="shared" si="969"/>
        <v>0</v>
      </c>
      <c r="GH211" s="368">
        <f t="shared" si="970"/>
        <v>0</v>
      </c>
      <c r="GI211" s="368">
        <f t="shared" si="971"/>
        <v>0</v>
      </c>
      <c r="GJ211" s="368">
        <f t="shared" si="972"/>
        <v>0</v>
      </c>
      <c r="GK211" s="368">
        <f t="shared" si="1750"/>
        <v>0</v>
      </c>
      <c r="GL211" s="368"/>
      <c r="GM211" s="368">
        <f t="shared" si="973"/>
        <v>0</v>
      </c>
    </row>
    <row r="212" spans="1:195" s="83" customFormat="1" ht="20.100000000000001" hidden="1" customHeight="1">
      <c r="A212" s="357" t="s">
        <v>334</v>
      </c>
      <c r="B212" s="562" t="s">
        <v>527</v>
      </c>
      <c r="C212" s="357" t="str">
        <f t="shared" si="1751"/>
        <v>EPMCC-1</v>
      </c>
      <c r="D212" s="395" t="s">
        <v>577</v>
      </c>
      <c r="E212" s="421" t="s">
        <v>345</v>
      </c>
      <c r="F212" s="357" t="s">
        <v>28</v>
      </c>
      <c r="G212" s="357" t="s">
        <v>329</v>
      </c>
      <c r="H212" s="352">
        <v>4.5</v>
      </c>
      <c r="I212" s="357" t="s">
        <v>330</v>
      </c>
      <c r="J212" s="357" t="s">
        <v>331</v>
      </c>
      <c r="K212" s="353">
        <v>400</v>
      </c>
      <c r="L212" s="360">
        <v>0.85</v>
      </c>
      <c r="M212" s="352">
        <v>0.95</v>
      </c>
      <c r="N212" s="359">
        <f t="shared" si="1752"/>
        <v>8.0438155570967922</v>
      </c>
      <c r="O212" s="359">
        <f t="shared" si="1771"/>
        <v>0</v>
      </c>
      <c r="P212" s="360" t="str">
        <f t="shared" si="1753"/>
        <v>0.00</v>
      </c>
      <c r="Q212" s="352">
        <v>50</v>
      </c>
      <c r="R212" s="352">
        <v>0</v>
      </c>
      <c r="S212" s="352">
        <f t="shared" si="1754"/>
        <v>0</v>
      </c>
      <c r="T212" s="360" t="s">
        <v>131</v>
      </c>
      <c r="U212" s="352" t="s">
        <v>535</v>
      </c>
      <c r="V212" s="360">
        <v>25</v>
      </c>
      <c r="W212" s="360" t="str">
        <f t="shared" si="1755"/>
        <v>3.5C X 25</v>
      </c>
      <c r="X212" s="360" t="str">
        <f t="shared" si="1756"/>
        <v>3.5C X 25</v>
      </c>
      <c r="Y212" s="360" t="s">
        <v>358</v>
      </c>
      <c r="Z212" s="361">
        <f>IF(T212="AIR",VLOOKUP(W212,'Catalogue Aluminium'!$B$9:$G$93,2,FALSE),IF(T212="GROUND",VLOOKUP(W212,'Catalogue Aluminium'!$B$9:$G$93,3,FALSE),IF(T212="DUCT",VLOOKUP(W212,'Catalogue Aluminium'!$B$9:$G$93,4,FALSE),IF(T212="TRENCH",VLOOKUP(W212,'Catalogue Aluminium'!$B$9:$G$93,2,FALSE)))))</f>
        <v>95</v>
      </c>
      <c r="AA212" s="362">
        <f>VLOOKUP(W212,'Catalogue Aluminium'!$B$9:$G$93,5,FALSE)</f>
        <v>1.54</v>
      </c>
      <c r="AB212" s="362">
        <f>VLOOKUP(W212,'Catalogue Aluminium'!$B$9:$G$93,6,FALSE)</f>
        <v>8.1600000000000006E-2</v>
      </c>
      <c r="AC212" s="564">
        <f>28+7</f>
        <v>35</v>
      </c>
      <c r="AD212" s="360">
        <f t="shared" si="1772"/>
        <v>270</v>
      </c>
      <c r="AE212" s="456">
        <f t="shared" si="1773"/>
        <v>38</v>
      </c>
      <c r="AF212" s="360">
        <v>8</v>
      </c>
      <c r="AG212" s="360">
        <f t="shared" si="1759"/>
        <v>36</v>
      </c>
      <c r="AH212" s="363"/>
      <c r="AI212" s="361">
        <f>IF(T212="AIR",'Catalogue Aluminium'!$K$9,IF(T212="TRENCH",'Catalogue Aluminium'!$K$12,"NA"))</f>
        <v>0.89</v>
      </c>
      <c r="AJ212" s="359">
        <f>IF(T212="Air",(IF(U212="1C",'Catalogue Aluminium'!$L$9,'Catalogue Aluminium'!$M$9)),IF(T212="DUCT",(IF($U212="1C",'Catalogue Aluminium'!$L$10,'Catalogue Aluminium'!$M$10)),IF(T212="GROUND",(IF($U212="1C",'Catalogue Aluminium'!$L$11,'Catalogue Aluminium'!$M$11)),IF(T212="TRENCH",(IF($U212="1C",'Catalogue Aluminium'!$L$12,'Catalogue Aluminium'!$M$12))))))</f>
        <v>0.66</v>
      </c>
      <c r="AK212" s="361" t="str">
        <f>IF(T212="Air",'Catalogue Aluminium'!$N$9,IF(T212="GROUND",'Catalogue Aluminium'!$N$10,IF(T212="DUCT",'Catalogue Aluminium'!$N$11,IF(T212="TRENCH",'Catalogue Aluminium'!$N$12,"NA"))))</f>
        <v>NA</v>
      </c>
      <c r="AL212" s="361" t="str">
        <f>IF(T212="Air",(IF(U212="1C",'Catalogue Aluminium'!$O$9,'Catalogue Aluminium'!$P$9)),IF(T212="DUCT",(IF($U212="1C",'Catalogue Aluminium'!$O$10,'Catalogue Aluminium'!$P$10)),IF(T212="GROUND",(IF($U212="1C",'Catalogue Aluminium'!$O$11,'Catalogue Aluminium'!$P$11)),IF(T212="TRENCH",(IF($U212="1C",'Catalogue Aluminium'!$O$12,'Catalogue Aluminium'!$P$12))))))</f>
        <v>NA</v>
      </c>
      <c r="AM212" s="361" t="str">
        <f>IF(T212="AIR","NA",IF(T212="TRENCH","NA",IF(T212="DUCT",IF(U212="1C",VLOOKUP(V212,'Catalogue Aluminium'!$Q$9:$S$28,2,FALSE),VLOOKUP(V212,'Catalogue Aluminium'!$Q$9:$S$28,3)),IF(T212="GROUND",IF(U212="1C",VLOOKUP(V212,'Catalogue Aluminium'!$Q$9:$S$28,2,FALSE),VLOOKUP(V212,'Catalogue Aluminium'!$Q$9:$S$28,3))))))</f>
        <v>NA</v>
      </c>
      <c r="AN212" s="365">
        <f t="shared" si="1761"/>
        <v>0.58740000000000003</v>
      </c>
      <c r="AO212" s="352">
        <f t="shared" si="1762"/>
        <v>55.803000000000004</v>
      </c>
      <c r="AP212" s="353">
        <f t="shared" si="1303"/>
        <v>1</v>
      </c>
      <c r="AQ212" s="352" t="str">
        <f t="shared" si="1763"/>
        <v>YES</v>
      </c>
      <c r="AR212" s="365">
        <f t="shared" si="1764"/>
        <v>0</v>
      </c>
      <c r="AS212" s="496" t="str">
        <f t="shared" si="1765"/>
        <v>YES</v>
      </c>
      <c r="AT212" s="497" t="str">
        <f t="shared" si="1766"/>
        <v>NA</v>
      </c>
      <c r="AU212" s="360" t="str">
        <f t="shared" si="1767"/>
        <v>NA</v>
      </c>
      <c r="AV212" s="366" t="str">
        <f t="shared" si="1768"/>
        <v>1R x 0.6/1kV x 3.5C x 25 Sqmm</v>
      </c>
      <c r="AW212" s="366" t="str">
        <f t="shared" si="1769"/>
        <v>1R x 0.6/1kV x 3.5C x 25 Sqmm</v>
      </c>
      <c r="AX212" s="360"/>
      <c r="AY212" s="367"/>
      <c r="AZ212" s="367"/>
      <c r="BA212" s="520" t="str">
        <f t="shared" si="1277"/>
        <v/>
      </c>
      <c r="BB212" s="498"/>
      <c r="BC212" s="426"/>
      <c r="BE212" s="368"/>
      <c r="BF212" s="368"/>
      <c r="BG212" s="368"/>
      <c r="BH212" s="368"/>
      <c r="BI212" s="368"/>
      <c r="BJ212" s="368"/>
      <c r="BK212" s="368"/>
      <c r="BL212" s="368"/>
      <c r="BM212" s="368"/>
      <c r="BN212" s="368"/>
      <c r="BO212" s="368"/>
      <c r="BP212" s="368"/>
      <c r="BQ212" s="368"/>
      <c r="BR212" s="368"/>
      <c r="BS212" s="368"/>
      <c r="BT212" s="368"/>
      <c r="BU212" s="368"/>
      <c r="BV212" s="368"/>
      <c r="BW212" s="368"/>
      <c r="BX212" s="368"/>
      <c r="BY212" s="368"/>
      <c r="BZ212" s="368"/>
      <c r="CA212" s="368"/>
      <c r="CB212" s="368"/>
      <c r="CC212" s="368"/>
      <c r="CD212" s="368"/>
      <c r="CE212" s="368"/>
      <c r="CF212" s="368"/>
      <c r="CG212" s="368"/>
      <c r="CH212" s="368"/>
      <c r="CI212" s="368"/>
      <c r="CJ212" s="368"/>
      <c r="CK212" s="368"/>
      <c r="CL212" s="368"/>
      <c r="CM212" s="368"/>
      <c r="CN212" s="368"/>
      <c r="CO212" s="368"/>
      <c r="CP212" s="368"/>
      <c r="CQ212" s="368"/>
      <c r="CR212" s="368"/>
      <c r="CS212" s="368"/>
      <c r="CT212" s="368"/>
      <c r="CU212" s="368"/>
      <c r="CV212" s="368"/>
      <c r="CW212" s="368"/>
      <c r="CX212" s="368"/>
      <c r="CY212" s="368"/>
      <c r="CZ212" s="368"/>
      <c r="DA212" s="368"/>
      <c r="DB212" s="368"/>
      <c r="DC212" s="368"/>
      <c r="DD212" s="368"/>
      <c r="DE212" s="368"/>
      <c r="DF212" s="368"/>
      <c r="DG212" s="368"/>
      <c r="DH212" s="368"/>
      <c r="DI212" s="368"/>
      <c r="DJ212" s="368"/>
      <c r="DK212" s="368"/>
      <c r="DL212" s="368"/>
      <c r="DM212" s="368"/>
      <c r="DN212" s="368"/>
      <c r="DO212" s="368"/>
      <c r="DP212" s="368"/>
      <c r="DQ212" s="368"/>
      <c r="DR212" s="368"/>
      <c r="DS212" s="368"/>
      <c r="DT212" s="368"/>
      <c r="DU212" s="368"/>
      <c r="DW212" s="368">
        <f t="shared" si="1012"/>
        <v>0</v>
      </c>
      <c r="DX212" s="368">
        <f t="shared" si="1004"/>
        <v>0</v>
      </c>
      <c r="DY212" s="368">
        <f t="shared" si="1005"/>
        <v>0</v>
      </c>
      <c r="DZ212" s="368">
        <f t="shared" si="1006"/>
        <v>0</v>
      </c>
      <c r="EA212" s="368">
        <f t="shared" si="1007"/>
        <v>0</v>
      </c>
      <c r="EB212" s="368">
        <f t="shared" si="1008"/>
        <v>0</v>
      </c>
      <c r="EC212" s="368">
        <f t="shared" si="1009"/>
        <v>0</v>
      </c>
      <c r="ED212" s="368">
        <f t="shared" si="919"/>
        <v>0</v>
      </c>
      <c r="EE212" s="368">
        <f t="shared" si="920"/>
        <v>0</v>
      </c>
      <c r="EF212" s="368">
        <f t="shared" si="921"/>
        <v>0</v>
      </c>
      <c r="EG212" s="368">
        <f t="shared" si="922"/>
        <v>0</v>
      </c>
      <c r="EH212" s="368">
        <f t="shared" si="923"/>
        <v>0</v>
      </c>
      <c r="EI212" s="368">
        <f t="shared" si="924"/>
        <v>0</v>
      </c>
      <c r="EJ212" s="368">
        <f t="shared" si="925"/>
        <v>0</v>
      </c>
      <c r="EK212" s="368">
        <f t="shared" si="926"/>
        <v>0</v>
      </c>
      <c r="EL212" s="368">
        <f t="shared" si="927"/>
        <v>0</v>
      </c>
      <c r="EM212" s="368">
        <f t="shared" si="928"/>
        <v>0</v>
      </c>
      <c r="EN212" s="368">
        <f t="shared" si="929"/>
        <v>0</v>
      </c>
      <c r="EO212" s="368">
        <f t="shared" si="930"/>
        <v>0</v>
      </c>
      <c r="EP212" s="368">
        <f t="shared" si="931"/>
        <v>0</v>
      </c>
      <c r="EQ212" s="368">
        <f t="shared" si="932"/>
        <v>0</v>
      </c>
      <c r="ER212" s="368">
        <f t="shared" si="933"/>
        <v>0</v>
      </c>
      <c r="ES212" s="368">
        <f t="shared" si="934"/>
        <v>0</v>
      </c>
      <c r="ET212" s="368">
        <f t="shared" si="934"/>
        <v>0</v>
      </c>
      <c r="EU212" s="368">
        <f t="shared" si="935"/>
        <v>0</v>
      </c>
      <c r="EV212" s="368">
        <f t="shared" si="936"/>
        <v>0</v>
      </c>
      <c r="EW212" s="368">
        <f t="shared" si="937"/>
        <v>0</v>
      </c>
      <c r="EX212" s="368">
        <f t="shared" si="938"/>
        <v>0</v>
      </c>
      <c r="EY212" s="368">
        <f t="shared" si="939"/>
        <v>0</v>
      </c>
      <c r="EZ212" s="368">
        <f t="shared" si="940"/>
        <v>0</v>
      </c>
      <c r="FA212" s="368">
        <f t="shared" si="941"/>
        <v>0</v>
      </c>
      <c r="FB212" s="368">
        <f t="shared" si="942"/>
        <v>0</v>
      </c>
      <c r="FC212" s="368">
        <f t="shared" si="943"/>
        <v>0</v>
      </c>
      <c r="FD212" s="368">
        <f t="shared" si="944"/>
        <v>0</v>
      </c>
      <c r="FE212" s="368">
        <f t="shared" si="945"/>
        <v>0</v>
      </c>
      <c r="FF212" s="368">
        <f t="shared" si="946"/>
        <v>0</v>
      </c>
      <c r="FG212" s="368">
        <f t="shared" si="947"/>
        <v>0</v>
      </c>
      <c r="FH212" s="368">
        <f t="shared" si="948"/>
        <v>0</v>
      </c>
      <c r="FI212" s="368">
        <f t="shared" si="949"/>
        <v>0</v>
      </c>
      <c r="FJ212" s="368">
        <f t="shared" si="950"/>
        <v>0</v>
      </c>
      <c r="FK212" s="368">
        <f t="shared" si="951"/>
        <v>0</v>
      </c>
      <c r="FL212" s="368">
        <f t="shared" si="952"/>
        <v>0</v>
      </c>
      <c r="FM212" s="368">
        <f t="shared" si="953"/>
        <v>0</v>
      </c>
      <c r="FN212" s="368">
        <f t="shared" si="954"/>
        <v>0</v>
      </c>
      <c r="FO212" s="368">
        <f t="shared" si="955"/>
        <v>0</v>
      </c>
      <c r="FP212" s="368">
        <f t="shared" si="956"/>
        <v>0</v>
      </c>
      <c r="FQ212" s="368">
        <f t="shared" si="957"/>
        <v>0</v>
      </c>
      <c r="FR212" s="368">
        <f t="shared" si="958"/>
        <v>0</v>
      </c>
      <c r="FS212" s="368">
        <f t="shared" si="959"/>
        <v>0</v>
      </c>
      <c r="FT212" s="368">
        <f t="shared" si="960"/>
        <v>0</v>
      </c>
      <c r="FU212" s="368"/>
      <c r="FV212" s="368"/>
      <c r="FW212" s="368"/>
      <c r="FX212" s="368"/>
      <c r="FY212" s="368">
        <f t="shared" si="961"/>
        <v>0</v>
      </c>
      <c r="FZ212" s="368">
        <f t="shared" si="962"/>
        <v>0</v>
      </c>
      <c r="GA212" s="368">
        <f t="shared" si="963"/>
        <v>0</v>
      </c>
      <c r="GB212" s="368">
        <f t="shared" si="964"/>
        <v>0</v>
      </c>
      <c r="GC212" s="368">
        <f t="shared" si="965"/>
        <v>0</v>
      </c>
      <c r="GD212" s="368">
        <f t="shared" si="966"/>
        <v>0</v>
      </c>
      <c r="GE212" s="368">
        <f t="shared" si="967"/>
        <v>0</v>
      </c>
      <c r="GF212" s="368">
        <f t="shared" si="968"/>
        <v>0</v>
      </c>
      <c r="GG212" s="368">
        <f t="shared" si="969"/>
        <v>0</v>
      </c>
      <c r="GH212" s="368">
        <f t="shared" si="970"/>
        <v>0</v>
      </c>
      <c r="GI212" s="368">
        <f t="shared" si="971"/>
        <v>0</v>
      </c>
      <c r="GJ212" s="368">
        <f t="shared" si="972"/>
        <v>0</v>
      </c>
      <c r="GK212" s="368">
        <f t="shared" si="1750"/>
        <v>0</v>
      </c>
      <c r="GL212" s="368"/>
      <c r="GM212" s="368">
        <f t="shared" si="973"/>
        <v>0</v>
      </c>
    </row>
    <row r="213" spans="1:195" s="83" customFormat="1" ht="20.100000000000001" hidden="1" customHeight="1">
      <c r="A213" s="357" t="s">
        <v>334</v>
      </c>
      <c r="B213" s="562" t="s">
        <v>527</v>
      </c>
      <c r="C213" s="357" t="str">
        <f t="shared" si="1751"/>
        <v>EPMCC-1</v>
      </c>
      <c r="D213" s="395" t="s">
        <v>577</v>
      </c>
      <c r="E213" s="421" t="s">
        <v>345</v>
      </c>
      <c r="F213" s="357" t="s">
        <v>29</v>
      </c>
      <c r="G213" s="357" t="s">
        <v>329</v>
      </c>
      <c r="H213" s="352">
        <v>4.5</v>
      </c>
      <c r="I213" s="357" t="s">
        <v>330</v>
      </c>
      <c r="J213" s="357" t="s">
        <v>331</v>
      </c>
      <c r="K213" s="353">
        <v>400</v>
      </c>
      <c r="L213" s="360">
        <v>0.85</v>
      </c>
      <c r="M213" s="352">
        <v>0.95</v>
      </c>
      <c r="N213" s="359">
        <f t="shared" si="1752"/>
        <v>8.0438155570967922</v>
      </c>
      <c r="O213" s="359">
        <f t="shared" si="1771"/>
        <v>0</v>
      </c>
      <c r="P213" s="360" t="str">
        <f t="shared" si="1753"/>
        <v>0.00</v>
      </c>
      <c r="Q213" s="352">
        <v>50</v>
      </c>
      <c r="R213" s="352">
        <v>0</v>
      </c>
      <c r="S213" s="352">
        <f t="shared" si="1754"/>
        <v>0</v>
      </c>
      <c r="T213" s="360" t="s">
        <v>131</v>
      </c>
      <c r="U213" s="352" t="s">
        <v>535</v>
      </c>
      <c r="V213" s="360">
        <v>25</v>
      </c>
      <c r="W213" s="360" t="str">
        <f t="shared" si="1755"/>
        <v>3.5C X 25</v>
      </c>
      <c r="X213" s="360" t="str">
        <f t="shared" si="1756"/>
        <v>3.5C X 25</v>
      </c>
      <c r="Y213" s="360" t="s">
        <v>358</v>
      </c>
      <c r="Z213" s="361">
        <f>IF(T213="AIR",VLOOKUP(W213,'Catalogue Aluminium'!$B$9:$G$93,2,FALSE),IF(T213="GROUND",VLOOKUP(W213,'Catalogue Aluminium'!$B$9:$G$93,3,FALSE),IF(T213="DUCT",VLOOKUP(W213,'Catalogue Aluminium'!$B$9:$G$93,4,FALSE),IF(T213="TRENCH",VLOOKUP(W213,'Catalogue Aluminium'!$B$9:$G$93,2,FALSE)))))</f>
        <v>95</v>
      </c>
      <c r="AA213" s="362">
        <f>VLOOKUP(W213,'Catalogue Aluminium'!$B$9:$G$93,5,FALSE)</f>
        <v>1.54</v>
      </c>
      <c r="AB213" s="362">
        <f>VLOOKUP(W213,'Catalogue Aluminium'!$B$9:$G$93,6,FALSE)</f>
        <v>8.1600000000000006E-2</v>
      </c>
      <c r="AC213" s="564">
        <f>22+7</f>
        <v>29</v>
      </c>
      <c r="AD213" s="360">
        <f t="shared" si="1772"/>
        <v>270</v>
      </c>
      <c r="AE213" s="456">
        <f t="shared" si="1773"/>
        <v>38</v>
      </c>
      <c r="AF213" s="360">
        <v>8</v>
      </c>
      <c r="AG213" s="360">
        <f t="shared" si="1759"/>
        <v>35</v>
      </c>
      <c r="AH213" s="363"/>
      <c r="AI213" s="361">
        <f>IF(T213="AIR",'Catalogue Aluminium'!$K$9,IF(T213="TRENCH",'Catalogue Aluminium'!$K$12,"NA"))</f>
        <v>0.89</v>
      </c>
      <c r="AJ213" s="359">
        <f>IF(T213="Air",(IF(U213="1C",'Catalogue Aluminium'!$L$9,'Catalogue Aluminium'!$M$9)),IF(T213="DUCT",(IF($U213="1C",'Catalogue Aluminium'!$L$10,'Catalogue Aluminium'!$M$10)),IF(T213="GROUND",(IF($U213="1C",'Catalogue Aluminium'!$L$11,'Catalogue Aluminium'!$M$11)),IF(T213="TRENCH",(IF($U213="1C",'Catalogue Aluminium'!$L$12,'Catalogue Aluminium'!$M$12))))))</f>
        <v>0.66</v>
      </c>
      <c r="AK213" s="361" t="str">
        <f>IF(T213="Air",'Catalogue Aluminium'!$N$9,IF(T213="GROUND",'Catalogue Aluminium'!$N$10,IF(T213="DUCT",'Catalogue Aluminium'!$N$11,IF(T213="TRENCH",'Catalogue Aluminium'!$N$12,"NA"))))</f>
        <v>NA</v>
      </c>
      <c r="AL213" s="361" t="str">
        <f>IF(T213="Air",(IF(U213="1C",'Catalogue Aluminium'!$O$9,'Catalogue Aluminium'!$P$9)),IF(T213="DUCT",(IF($U213="1C",'Catalogue Aluminium'!$O$10,'Catalogue Aluminium'!$P$10)),IF(T213="GROUND",(IF($U213="1C",'Catalogue Aluminium'!$O$11,'Catalogue Aluminium'!$P$11)),IF(T213="TRENCH",(IF($U213="1C",'Catalogue Aluminium'!$O$12,'Catalogue Aluminium'!$P$12))))))</f>
        <v>NA</v>
      </c>
      <c r="AM213" s="361" t="str">
        <f>IF(T213="AIR","NA",IF(T213="TRENCH","NA",IF(T213="DUCT",IF(U213="1C",VLOOKUP(V213,'Catalogue Aluminium'!$Q$9:$S$28,2,FALSE),VLOOKUP(V213,'Catalogue Aluminium'!$Q$9:$S$28,3)),IF(T213="GROUND",IF(U213="1C",VLOOKUP(V213,'Catalogue Aluminium'!$Q$9:$S$28,2,FALSE),VLOOKUP(V213,'Catalogue Aluminium'!$Q$9:$S$28,3))))))</f>
        <v>NA</v>
      </c>
      <c r="AN213" s="365">
        <f t="shared" si="1761"/>
        <v>0.58740000000000003</v>
      </c>
      <c r="AO213" s="352">
        <f t="shared" si="1762"/>
        <v>55.803000000000004</v>
      </c>
      <c r="AP213" s="353">
        <f t="shared" si="1303"/>
        <v>1</v>
      </c>
      <c r="AQ213" s="352" t="str">
        <f t="shared" si="1763"/>
        <v>YES</v>
      </c>
      <c r="AR213" s="365">
        <f t="shared" si="1764"/>
        <v>0</v>
      </c>
      <c r="AS213" s="496" t="str">
        <f t="shared" si="1765"/>
        <v>YES</v>
      </c>
      <c r="AT213" s="497" t="str">
        <f t="shared" si="1766"/>
        <v>NA</v>
      </c>
      <c r="AU213" s="360" t="str">
        <f t="shared" si="1767"/>
        <v>NA</v>
      </c>
      <c r="AV213" s="366" t="str">
        <f t="shared" si="1768"/>
        <v>1R x 0.6/1kV x 3.5C x 25 Sqmm</v>
      </c>
      <c r="AW213" s="366" t="str">
        <f t="shared" si="1769"/>
        <v>1R x 0.6/1kV x 3.5C x 25 Sqmm</v>
      </c>
      <c r="AX213" s="360"/>
      <c r="AY213" s="367"/>
      <c r="AZ213" s="367"/>
      <c r="BA213" s="520" t="str">
        <f t="shared" si="1277"/>
        <v/>
      </c>
      <c r="BB213" s="498"/>
      <c r="BC213" s="426"/>
      <c r="BE213" s="368"/>
      <c r="BF213" s="368"/>
      <c r="BG213" s="368"/>
      <c r="BH213" s="368"/>
      <c r="BI213" s="368"/>
      <c r="BJ213" s="368"/>
      <c r="BK213" s="368"/>
      <c r="BL213" s="368"/>
      <c r="BM213" s="368"/>
      <c r="BN213" s="368"/>
      <c r="BO213" s="368"/>
      <c r="BP213" s="368"/>
      <c r="BQ213" s="368"/>
      <c r="BR213" s="368"/>
      <c r="BS213" s="368"/>
      <c r="BT213" s="368"/>
      <c r="BU213" s="368"/>
      <c r="BV213" s="368"/>
      <c r="BW213" s="368"/>
      <c r="BX213" s="368"/>
      <c r="BY213" s="368"/>
      <c r="BZ213" s="368"/>
      <c r="CA213" s="368"/>
      <c r="CB213" s="368"/>
      <c r="CC213" s="368"/>
      <c r="CD213" s="368"/>
      <c r="CE213" s="368"/>
      <c r="CF213" s="368"/>
      <c r="CG213" s="368"/>
      <c r="CH213" s="368"/>
      <c r="CI213" s="368"/>
      <c r="CJ213" s="368"/>
      <c r="CK213" s="368"/>
      <c r="CL213" s="368"/>
      <c r="CM213" s="368"/>
      <c r="CN213" s="368"/>
      <c r="CO213" s="368"/>
      <c r="CP213" s="368"/>
      <c r="CQ213" s="368"/>
      <c r="CR213" s="368"/>
      <c r="CS213" s="368"/>
      <c r="CT213" s="368"/>
      <c r="CU213" s="368"/>
      <c r="CV213" s="368"/>
      <c r="CW213" s="368"/>
      <c r="CX213" s="368"/>
      <c r="CY213" s="368"/>
      <c r="CZ213" s="368"/>
      <c r="DA213" s="368"/>
      <c r="DB213" s="368"/>
      <c r="DC213" s="368"/>
      <c r="DD213" s="368"/>
      <c r="DE213" s="368"/>
      <c r="DF213" s="368"/>
      <c r="DG213" s="368"/>
      <c r="DH213" s="368"/>
      <c r="DI213" s="368"/>
      <c r="DJ213" s="368"/>
      <c r="DK213" s="368"/>
      <c r="DL213" s="368"/>
      <c r="DM213" s="368"/>
      <c r="DN213" s="368"/>
      <c r="DO213" s="368"/>
      <c r="DP213" s="368"/>
      <c r="DQ213" s="368"/>
      <c r="DR213" s="368"/>
      <c r="DS213" s="368"/>
      <c r="DT213" s="368"/>
      <c r="DU213" s="368"/>
      <c r="DW213" s="368">
        <f t="shared" si="1012"/>
        <v>0</v>
      </c>
      <c r="DX213" s="368">
        <f t="shared" si="1004"/>
        <v>0</v>
      </c>
      <c r="DY213" s="368">
        <f t="shared" si="1005"/>
        <v>0</v>
      </c>
      <c r="DZ213" s="368">
        <f t="shared" si="1006"/>
        <v>0</v>
      </c>
      <c r="EA213" s="368">
        <f t="shared" si="1007"/>
        <v>0</v>
      </c>
      <c r="EB213" s="368">
        <f t="shared" si="1008"/>
        <v>0</v>
      </c>
      <c r="EC213" s="368">
        <f t="shared" si="1009"/>
        <v>0</v>
      </c>
      <c r="ED213" s="368">
        <f t="shared" si="919"/>
        <v>0</v>
      </c>
      <c r="EE213" s="368">
        <f t="shared" si="920"/>
        <v>0</v>
      </c>
      <c r="EF213" s="368">
        <f t="shared" si="921"/>
        <v>0</v>
      </c>
      <c r="EG213" s="368">
        <f t="shared" si="922"/>
        <v>0</v>
      </c>
      <c r="EH213" s="368">
        <f t="shared" si="923"/>
        <v>0</v>
      </c>
      <c r="EI213" s="368">
        <f t="shared" si="924"/>
        <v>0</v>
      </c>
      <c r="EJ213" s="368">
        <f t="shared" si="925"/>
        <v>0</v>
      </c>
      <c r="EK213" s="368">
        <f t="shared" si="926"/>
        <v>0</v>
      </c>
      <c r="EL213" s="368">
        <f t="shared" si="927"/>
        <v>0</v>
      </c>
      <c r="EM213" s="368">
        <f t="shared" si="928"/>
        <v>0</v>
      </c>
      <c r="EN213" s="368">
        <f t="shared" si="929"/>
        <v>0</v>
      </c>
      <c r="EO213" s="368">
        <f t="shared" si="930"/>
        <v>0</v>
      </c>
      <c r="EP213" s="368">
        <f t="shared" si="931"/>
        <v>0</v>
      </c>
      <c r="EQ213" s="368">
        <f t="shared" si="932"/>
        <v>0</v>
      </c>
      <c r="ER213" s="368">
        <f t="shared" si="933"/>
        <v>0</v>
      </c>
      <c r="ES213" s="368">
        <f t="shared" si="934"/>
        <v>0</v>
      </c>
      <c r="ET213" s="368">
        <f t="shared" si="934"/>
        <v>0</v>
      </c>
      <c r="EU213" s="368">
        <f t="shared" si="935"/>
        <v>0</v>
      </c>
      <c r="EV213" s="368">
        <f t="shared" si="936"/>
        <v>0</v>
      </c>
      <c r="EW213" s="368">
        <f t="shared" si="937"/>
        <v>0</v>
      </c>
      <c r="EX213" s="368">
        <f t="shared" si="938"/>
        <v>0</v>
      </c>
      <c r="EY213" s="368">
        <f t="shared" si="939"/>
        <v>0</v>
      </c>
      <c r="EZ213" s="368">
        <f t="shared" si="940"/>
        <v>0</v>
      </c>
      <c r="FA213" s="368">
        <f t="shared" si="941"/>
        <v>0</v>
      </c>
      <c r="FB213" s="368">
        <f t="shared" si="942"/>
        <v>0</v>
      </c>
      <c r="FC213" s="368">
        <f t="shared" si="943"/>
        <v>0</v>
      </c>
      <c r="FD213" s="368">
        <f t="shared" si="944"/>
        <v>0</v>
      </c>
      <c r="FE213" s="368">
        <f t="shared" si="945"/>
        <v>0</v>
      </c>
      <c r="FF213" s="368">
        <f t="shared" si="946"/>
        <v>0</v>
      </c>
      <c r="FG213" s="368">
        <f t="shared" si="947"/>
        <v>0</v>
      </c>
      <c r="FH213" s="368">
        <f t="shared" si="948"/>
        <v>0</v>
      </c>
      <c r="FI213" s="368">
        <f t="shared" si="949"/>
        <v>0</v>
      </c>
      <c r="FJ213" s="368">
        <f t="shared" si="950"/>
        <v>0</v>
      </c>
      <c r="FK213" s="368">
        <f t="shared" si="951"/>
        <v>0</v>
      </c>
      <c r="FL213" s="368">
        <f t="shared" si="952"/>
        <v>0</v>
      </c>
      <c r="FM213" s="368">
        <f t="shared" si="953"/>
        <v>0</v>
      </c>
      <c r="FN213" s="368">
        <f t="shared" si="954"/>
        <v>0</v>
      </c>
      <c r="FO213" s="368">
        <f t="shared" si="955"/>
        <v>0</v>
      </c>
      <c r="FP213" s="368">
        <f t="shared" si="956"/>
        <v>0</v>
      </c>
      <c r="FQ213" s="368">
        <f t="shared" si="957"/>
        <v>0</v>
      </c>
      <c r="FR213" s="368">
        <f t="shared" si="958"/>
        <v>0</v>
      </c>
      <c r="FS213" s="368">
        <f t="shared" si="959"/>
        <v>0</v>
      </c>
      <c r="FT213" s="368">
        <f t="shared" si="960"/>
        <v>0</v>
      </c>
      <c r="FU213" s="368"/>
      <c r="FV213" s="368"/>
      <c r="FW213" s="368"/>
      <c r="FX213" s="368"/>
      <c r="FY213" s="368">
        <f t="shared" si="961"/>
        <v>0</v>
      </c>
      <c r="FZ213" s="368">
        <f t="shared" si="962"/>
        <v>0</v>
      </c>
      <c r="GA213" s="368">
        <f t="shared" si="963"/>
        <v>0</v>
      </c>
      <c r="GB213" s="368">
        <f t="shared" si="964"/>
        <v>0</v>
      </c>
      <c r="GC213" s="368">
        <f t="shared" si="965"/>
        <v>0</v>
      </c>
      <c r="GD213" s="368">
        <f t="shared" si="966"/>
        <v>0</v>
      </c>
      <c r="GE213" s="368">
        <f t="shared" si="967"/>
        <v>0</v>
      </c>
      <c r="GF213" s="368">
        <f t="shared" si="968"/>
        <v>0</v>
      </c>
      <c r="GG213" s="368">
        <f t="shared" si="969"/>
        <v>0</v>
      </c>
      <c r="GH213" s="368">
        <f t="shared" si="970"/>
        <v>0</v>
      </c>
      <c r="GI213" s="368">
        <f t="shared" si="971"/>
        <v>0</v>
      </c>
      <c r="GJ213" s="368">
        <f t="shared" si="972"/>
        <v>0</v>
      </c>
      <c r="GK213" s="368">
        <f t="shared" si="1750"/>
        <v>0</v>
      </c>
      <c r="GL213" s="368"/>
      <c r="GM213" s="368">
        <f t="shared" si="973"/>
        <v>0</v>
      </c>
    </row>
    <row r="214" spans="1:195" s="83" customFormat="1" ht="40.5" hidden="1" customHeight="1">
      <c r="A214" s="357" t="s">
        <v>334</v>
      </c>
      <c r="B214" s="562" t="s">
        <v>527</v>
      </c>
      <c r="C214" s="357" t="str">
        <f t="shared" si="1751"/>
        <v>EPMCC-1</v>
      </c>
      <c r="D214" s="395" t="s">
        <v>671</v>
      </c>
      <c r="E214" s="421" t="s">
        <v>345</v>
      </c>
      <c r="F214" s="357" t="s">
        <v>28</v>
      </c>
      <c r="G214" s="357" t="s">
        <v>329</v>
      </c>
      <c r="H214" s="352">
        <v>2.2000000000000002</v>
      </c>
      <c r="I214" s="357" t="s">
        <v>330</v>
      </c>
      <c r="J214" s="357" t="s">
        <v>331</v>
      </c>
      <c r="K214" s="353">
        <v>400</v>
      </c>
      <c r="L214" s="360">
        <v>0.85</v>
      </c>
      <c r="M214" s="352">
        <v>0.95</v>
      </c>
      <c r="N214" s="359">
        <f t="shared" si="1752"/>
        <v>3.9325320501362091</v>
      </c>
      <c r="O214" s="359">
        <f t="shared" si="1771"/>
        <v>0</v>
      </c>
      <c r="P214" s="360" t="str">
        <f t="shared" si="1753"/>
        <v>0.00</v>
      </c>
      <c r="Q214" s="352">
        <v>50</v>
      </c>
      <c r="R214" s="352">
        <v>0</v>
      </c>
      <c r="S214" s="352">
        <f t="shared" si="1754"/>
        <v>0</v>
      </c>
      <c r="T214" s="360" t="s">
        <v>131</v>
      </c>
      <c r="U214" s="352" t="s">
        <v>522</v>
      </c>
      <c r="V214" s="524">
        <v>6</v>
      </c>
      <c r="W214" s="360" t="str">
        <f t="shared" si="1755"/>
        <v>4C X 6</v>
      </c>
      <c r="X214" s="360" t="str">
        <f t="shared" si="1756"/>
        <v>4C X 6</v>
      </c>
      <c r="Y214" s="360" t="s">
        <v>358</v>
      </c>
      <c r="Z214" s="361">
        <f>IF(T214="AIR",VLOOKUP(W214,'Catalogue Aluminium'!$B$9:$G$93,2,FALSE),IF(T214="GROUND",VLOOKUP(W214,'Catalogue Aluminium'!$B$9:$G$93,3,FALSE),IF(T214="DUCT",VLOOKUP(W214,'Catalogue Aluminium'!$B$9:$G$93,4,FALSE),IF(T214="TRENCH",VLOOKUP(W214,'Catalogue Aluminium'!$B$9:$G$93,2,FALSE)))))</f>
        <v>51</v>
      </c>
      <c r="AA214" s="362">
        <f>VLOOKUP(W214,'Catalogue Aluminium'!$B$9:$G$93,5,FALSE)</f>
        <v>3.94</v>
      </c>
      <c r="AB214" s="362">
        <f>VLOOKUP(W214,'Catalogue Aluminium'!$B$9:$G$93,6,FALSE)</f>
        <v>9.0200000000000002E-2</v>
      </c>
      <c r="AC214" s="564">
        <f>28+7</f>
        <v>35</v>
      </c>
      <c r="AD214" s="360">
        <f t="shared" si="1772"/>
        <v>270</v>
      </c>
      <c r="AE214" s="456">
        <f t="shared" si="1773"/>
        <v>38</v>
      </c>
      <c r="AF214" s="360">
        <v>8</v>
      </c>
      <c r="AG214" s="360">
        <f t="shared" si="1759"/>
        <v>36</v>
      </c>
      <c r="AH214" s="363"/>
      <c r="AI214" s="361">
        <f>IF(T214="AIR",'Catalogue Aluminium'!$K$9,IF(T214="TRENCH",'Catalogue Aluminium'!$K$12,"NA"))</f>
        <v>0.89</v>
      </c>
      <c r="AJ214" s="359">
        <f>IF(T214="Air",(IF(U214="1C",'Catalogue Aluminium'!$L$9,'Catalogue Aluminium'!$M$9)),IF(T214="DUCT",(IF($U214="1C",'Catalogue Aluminium'!$L$10,'Catalogue Aluminium'!$M$10)),IF(T214="GROUND",(IF($U214="1C",'Catalogue Aluminium'!$L$11,'Catalogue Aluminium'!$M$11)),IF(T214="TRENCH",(IF($U214="1C",'Catalogue Aluminium'!$L$12,'Catalogue Aluminium'!$M$12))))))</f>
        <v>0.66</v>
      </c>
      <c r="AK214" s="361" t="str">
        <f>IF(T214="Air",'Catalogue Aluminium'!$N$9,IF(T214="GROUND",'Catalogue Aluminium'!$N$10,IF(T214="DUCT",'Catalogue Aluminium'!$N$11,IF(T214="TRENCH",'Catalogue Aluminium'!$N$12,"NA"))))</f>
        <v>NA</v>
      </c>
      <c r="AL214" s="361" t="str">
        <f>IF(T214="Air",(IF(U214="1C",'Catalogue Aluminium'!$O$9,'Catalogue Aluminium'!$P$9)),IF(T214="DUCT",(IF($U214="1C",'Catalogue Aluminium'!$O$10,'Catalogue Aluminium'!$P$10)),IF(T214="GROUND",(IF($U214="1C",'Catalogue Aluminium'!$O$11,'Catalogue Aluminium'!$P$11)),IF(T214="TRENCH",(IF($U214="1C",'Catalogue Aluminium'!$O$12,'Catalogue Aluminium'!$P$12))))))</f>
        <v>NA</v>
      </c>
      <c r="AM214" s="361" t="str">
        <f>IF(T214="AIR","NA",IF(T214="TRENCH","NA",IF(T214="DUCT",IF(U214="1C",VLOOKUP(V214,'Catalogue Aluminium'!$Q$9:$S$28,2,FALSE),VLOOKUP(V214,'Catalogue Aluminium'!$Q$9:$S$28,3)),IF(T214="GROUND",IF(U214="1C",VLOOKUP(V214,'Catalogue Aluminium'!$Q$9:$S$28,2,FALSE),VLOOKUP(V214,'Catalogue Aluminium'!$Q$9:$S$28,3))))))</f>
        <v>NA</v>
      </c>
      <c r="AN214" s="365">
        <f t="shared" si="1761"/>
        <v>0.58740000000000003</v>
      </c>
      <c r="AO214" s="352">
        <f t="shared" si="1762"/>
        <v>29.957400000000003</v>
      </c>
      <c r="AP214" s="353">
        <f t="shared" si="1303"/>
        <v>1</v>
      </c>
      <c r="AQ214" s="352" t="str">
        <f t="shared" si="1763"/>
        <v>YES</v>
      </c>
      <c r="AR214" s="365">
        <f t="shared" si="1764"/>
        <v>0</v>
      </c>
      <c r="AS214" s="496" t="str">
        <f t="shared" si="1765"/>
        <v>YES</v>
      </c>
      <c r="AT214" s="497" t="str">
        <f t="shared" si="1766"/>
        <v>NA</v>
      </c>
      <c r="AU214" s="360" t="str">
        <f t="shared" si="1767"/>
        <v>NA</v>
      </c>
      <c r="AV214" s="366" t="str">
        <f t="shared" si="1768"/>
        <v>1R x 0.6/1kV x 4C x 6 Sqmm</v>
      </c>
      <c r="AW214" s="366" t="str">
        <f t="shared" si="1769"/>
        <v>1R x 0.6/1kV x 4C x 6 Sqmm</v>
      </c>
      <c r="AX214" s="360"/>
      <c r="AY214" s="367"/>
      <c r="AZ214" s="367"/>
      <c r="BA214" s="520" t="str">
        <f t="shared" si="1277"/>
        <v/>
      </c>
      <c r="BB214" s="498"/>
      <c r="BC214" s="426"/>
      <c r="BE214" s="368"/>
      <c r="BF214" s="368"/>
      <c r="BG214" s="368"/>
      <c r="BH214" s="368"/>
      <c r="BI214" s="368"/>
      <c r="BJ214" s="368"/>
      <c r="BK214" s="368"/>
      <c r="BL214" s="368"/>
      <c r="BM214" s="368"/>
      <c r="BN214" s="368"/>
      <c r="BO214" s="368"/>
      <c r="BP214" s="368"/>
      <c r="BQ214" s="368"/>
      <c r="BR214" s="368"/>
      <c r="BS214" s="368"/>
      <c r="BT214" s="368"/>
      <c r="BU214" s="368"/>
      <c r="BV214" s="368"/>
      <c r="BW214" s="368"/>
      <c r="BX214" s="368"/>
      <c r="BY214" s="368"/>
      <c r="BZ214" s="368"/>
      <c r="CA214" s="368"/>
      <c r="CB214" s="368"/>
      <c r="CC214" s="368"/>
      <c r="CD214" s="368"/>
      <c r="CE214" s="368"/>
      <c r="CF214" s="368"/>
      <c r="CG214" s="368"/>
      <c r="CH214" s="368"/>
      <c r="CI214" s="368"/>
      <c r="CJ214" s="368"/>
      <c r="CK214" s="368"/>
      <c r="CL214" s="368"/>
      <c r="CM214" s="368"/>
      <c r="CN214" s="368"/>
      <c r="CO214" s="368"/>
      <c r="CP214" s="368"/>
      <c r="CQ214" s="368"/>
      <c r="CR214" s="368"/>
      <c r="CS214" s="368"/>
      <c r="CT214" s="368"/>
      <c r="CU214" s="368"/>
      <c r="CV214" s="368"/>
      <c r="CW214" s="368"/>
      <c r="CX214" s="368"/>
      <c r="CY214" s="368"/>
      <c r="CZ214" s="368"/>
      <c r="DA214" s="368"/>
      <c r="DB214" s="368"/>
      <c r="DC214" s="368"/>
      <c r="DD214" s="368"/>
      <c r="DE214" s="368"/>
      <c r="DF214" s="368"/>
      <c r="DG214" s="368"/>
      <c r="DH214" s="368"/>
      <c r="DI214" s="368"/>
      <c r="DJ214" s="368"/>
      <c r="DK214" s="368"/>
      <c r="DL214" s="368"/>
      <c r="DM214" s="368"/>
      <c r="DN214" s="368"/>
      <c r="DO214" s="368"/>
      <c r="DP214" s="368"/>
      <c r="DQ214" s="368"/>
      <c r="DR214" s="368"/>
      <c r="DS214" s="368"/>
      <c r="DT214" s="368"/>
      <c r="DU214" s="368"/>
      <c r="DW214" s="368">
        <f t="shared" si="1012"/>
        <v>0</v>
      </c>
      <c r="DX214" s="368">
        <f t="shared" si="1004"/>
        <v>0</v>
      </c>
      <c r="DY214" s="368">
        <f t="shared" si="1005"/>
        <v>0</v>
      </c>
      <c r="DZ214" s="368">
        <f t="shared" si="1006"/>
        <v>0</v>
      </c>
      <c r="EA214" s="368">
        <f t="shared" si="1007"/>
        <v>0</v>
      </c>
      <c r="EB214" s="368">
        <f t="shared" si="1008"/>
        <v>0</v>
      </c>
      <c r="EC214" s="368">
        <f t="shared" si="1009"/>
        <v>0</v>
      </c>
      <c r="ED214" s="368">
        <f t="shared" si="919"/>
        <v>0</v>
      </c>
      <c r="EE214" s="368">
        <f t="shared" si="920"/>
        <v>0</v>
      </c>
      <c r="EF214" s="368">
        <f t="shared" si="921"/>
        <v>0</v>
      </c>
      <c r="EG214" s="368">
        <f t="shared" si="922"/>
        <v>0</v>
      </c>
      <c r="EH214" s="368">
        <f t="shared" si="923"/>
        <v>0</v>
      </c>
      <c r="EI214" s="368">
        <f t="shared" si="924"/>
        <v>0</v>
      </c>
      <c r="EJ214" s="368">
        <f t="shared" si="925"/>
        <v>0</v>
      </c>
      <c r="EK214" s="368">
        <f t="shared" si="926"/>
        <v>0</v>
      </c>
      <c r="EL214" s="368">
        <f t="shared" si="927"/>
        <v>0</v>
      </c>
      <c r="EM214" s="368">
        <f t="shared" si="928"/>
        <v>0</v>
      </c>
      <c r="EN214" s="368">
        <f t="shared" si="929"/>
        <v>0</v>
      </c>
      <c r="EO214" s="368">
        <f t="shared" si="930"/>
        <v>0</v>
      </c>
      <c r="EP214" s="368">
        <f t="shared" si="931"/>
        <v>0</v>
      </c>
      <c r="EQ214" s="368">
        <f t="shared" si="932"/>
        <v>0</v>
      </c>
      <c r="ER214" s="368">
        <f t="shared" si="933"/>
        <v>0</v>
      </c>
      <c r="ES214" s="368">
        <f t="shared" si="934"/>
        <v>0</v>
      </c>
      <c r="ET214" s="368">
        <f t="shared" si="934"/>
        <v>0</v>
      </c>
      <c r="EU214" s="368">
        <f t="shared" si="935"/>
        <v>0</v>
      </c>
      <c r="EV214" s="368">
        <f t="shared" si="936"/>
        <v>0</v>
      </c>
      <c r="EW214" s="368">
        <f t="shared" si="937"/>
        <v>0</v>
      </c>
      <c r="EX214" s="368">
        <f t="shared" si="938"/>
        <v>0</v>
      </c>
      <c r="EY214" s="368">
        <f t="shared" si="939"/>
        <v>0</v>
      </c>
      <c r="EZ214" s="368">
        <f t="shared" si="940"/>
        <v>0</v>
      </c>
      <c r="FA214" s="368">
        <f t="shared" si="941"/>
        <v>0</v>
      </c>
      <c r="FB214" s="368">
        <f t="shared" si="942"/>
        <v>0</v>
      </c>
      <c r="FC214" s="368">
        <f t="shared" si="943"/>
        <v>0</v>
      </c>
      <c r="FD214" s="368">
        <f t="shared" si="944"/>
        <v>0</v>
      </c>
      <c r="FE214" s="368">
        <f t="shared" si="945"/>
        <v>0</v>
      </c>
      <c r="FF214" s="368">
        <f t="shared" si="946"/>
        <v>0</v>
      </c>
      <c r="FG214" s="368">
        <f t="shared" si="947"/>
        <v>0</v>
      </c>
      <c r="FH214" s="368">
        <f t="shared" si="948"/>
        <v>0</v>
      </c>
      <c r="FI214" s="368">
        <f t="shared" si="949"/>
        <v>0</v>
      </c>
      <c r="FJ214" s="368">
        <f t="shared" si="950"/>
        <v>0</v>
      </c>
      <c r="FK214" s="368">
        <f t="shared" si="951"/>
        <v>0</v>
      </c>
      <c r="FL214" s="368">
        <f t="shared" si="952"/>
        <v>0</v>
      </c>
      <c r="FM214" s="368">
        <f t="shared" si="953"/>
        <v>0</v>
      </c>
      <c r="FN214" s="368">
        <f t="shared" si="954"/>
        <v>0</v>
      </c>
      <c r="FO214" s="368">
        <f t="shared" si="955"/>
        <v>0</v>
      </c>
      <c r="FP214" s="368">
        <f t="shared" si="956"/>
        <v>0</v>
      </c>
      <c r="FQ214" s="368">
        <f t="shared" si="957"/>
        <v>0</v>
      </c>
      <c r="FR214" s="368">
        <f t="shared" si="958"/>
        <v>0</v>
      </c>
      <c r="FS214" s="368">
        <f t="shared" si="959"/>
        <v>0</v>
      </c>
      <c r="FT214" s="368">
        <f t="shared" si="960"/>
        <v>0</v>
      </c>
      <c r="FU214" s="368"/>
      <c r="FV214" s="368"/>
      <c r="FW214" s="368"/>
      <c r="FX214" s="368"/>
      <c r="FY214" s="368">
        <f t="shared" si="961"/>
        <v>0</v>
      </c>
      <c r="FZ214" s="368">
        <f t="shared" si="962"/>
        <v>0</v>
      </c>
      <c r="GA214" s="368">
        <f t="shared" si="963"/>
        <v>0</v>
      </c>
      <c r="GB214" s="368">
        <f t="shared" si="964"/>
        <v>0</v>
      </c>
      <c r="GC214" s="368">
        <f t="shared" si="965"/>
        <v>0</v>
      </c>
      <c r="GD214" s="368">
        <f t="shared" si="966"/>
        <v>0</v>
      </c>
      <c r="GE214" s="368">
        <f t="shared" si="967"/>
        <v>0</v>
      </c>
      <c r="GF214" s="368">
        <f t="shared" si="968"/>
        <v>0</v>
      </c>
      <c r="GG214" s="368">
        <f t="shared" si="969"/>
        <v>0</v>
      </c>
      <c r="GH214" s="368">
        <f t="shared" si="970"/>
        <v>0</v>
      </c>
      <c r="GI214" s="368">
        <f t="shared" si="971"/>
        <v>0</v>
      </c>
      <c r="GJ214" s="368">
        <f t="shared" si="972"/>
        <v>0</v>
      </c>
      <c r="GK214" s="368">
        <f t="shared" si="1750"/>
        <v>0</v>
      </c>
      <c r="GL214" s="368"/>
      <c r="GM214" s="368">
        <f t="shared" si="973"/>
        <v>0</v>
      </c>
    </row>
    <row r="215" spans="1:195" s="76" customFormat="1" ht="20.100000000000001" customHeight="1">
      <c r="A215" s="373"/>
      <c r="B215" s="373"/>
      <c r="C215" s="373"/>
      <c r="D215" s="508" t="s">
        <v>672</v>
      </c>
      <c r="E215" s="509"/>
      <c r="F215" s="510"/>
      <c r="G215" s="373"/>
      <c r="H215" s="382"/>
      <c r="I215" s="373"/>
      <c r="J215" s="373"/>
      <c r="K215" s="381"/>
      <c r="L215" s="376"/>
      <c r="M215" s="382"/>
      <c r="N215" s="375"/>
      <c r="O215" s="375"/>
      <c r="P215" s="376"/>
      <c r="Q215" s="382"/>
      <c r="R215" s="382"/>
      <c r="S215" s="382"/>
      <c r="T215" s="376"/>
      <c r="U215" s="382"/>
      <c r="V215" s="376"/>
      <c r="W215" s="376"/>
      <c r="X215" s="376"/>
      <c r="Y215" s="376"/>
      <c r="Z215" s="377"/>
      <c r="AA215" s="378"/>
      <c r="AB215" s="378"/>
      <c r="AC215" s="378"/>
      <c r="AD215" s="378"/>
      <c r="AE215" s="378"/>
      <c r="AF215" s="378"/>
      <c r="AG215" s="378"/>
      <c r="AH215" s="378"/>
      <c r="AI215" s="378"/>
      <c r="AJ215" s="378"/>
      <c r="AK215" s="378"/>
      <c r="AL215" s="378"/>
      <c r="AM215" s="378"/>
      <c r="AN215" s="378"/>
      <c r="AO215" s="382"/>
      <c r="AP215" s="381"/>
      <c r="AQ215" s="382"/>
      <c r="AR215" s="383"/>
      <c r="AS215" s="376"/>
      <c r="AT215" s="383"/>
      <c r="AU215" s="383"/>
      <c r="AV215" s="384"/>
      <c r="AW215" s="384"/>
      <c r="AX215" s="376"/>
      <c r="AY215" s="385"/>
      <c r="AZ215" s="385"/>
      <c r="BA215" s="513" t="str">
        <f t="shared" si="1277"/>
        <v/>
      </c>
      <c r="BB215" s="513"/>
      <c r="BC215" s="513"/>
      <c r="BE215" s="513"/>
      <c r="BF215" s="513"/>
      <c r="BG215" s="513"/>
      <c r="BH215" s="513"/>
      <c r="BI215" s="513"/>
      <c r="BJ215" s="513"/>
      <c r="BK215" s="513"/>
      <c r="BL215" s="513"/>
      <c r="BM215" s="513"/>
      <c r="BN215" s="513"/>
      <c r="BO215" s="513"/>
      <c r="BP215" s="513"/>
      <c r="BQ215" s="513"/>
      <c r="BR215" s="513"/>
      <c r="BS215" s="513"/>
      <c r="BT215" s="513"/>
      <c r="BU215" s="513"/>
      <c r="BV215" s="513"/>
      <c r="BW215" s="513"/>
      <c r="BX215" s="513"/>
      <c r="BY215" s="513"/>
      <c r="BZ215" s="513"/>
      <c r="CA215" s="513"/>
      <c r="CB215" s="513"/>
      <c r="CC215" s="513"/>
      <c r="CD215" s="513"/>
      <c r="CE215" s="513"/>
      <c r="CF215" s="513"/>
      <c r="CG215" s="513"/>
      <c r="CH215" s="513"/>
      <c r="CI215" s="513"/>
      <c r="CJ215" s="513"/>
      <c r="CK215" s="513"/>
      <c r="CL215" s="513"/>
      <c r="CM215" s="513"/>
      <c r="CN215" s="513"/>
      <c r="CO215" s="513"/>
      <c r="CP215" s="513"/>
      <c r="CQ215" s="513"/>
      <c r="CR215" s="513"/>
      <c r="CS215" s="513"/>
      <c r="CT215" s="513"/>
      <c r="CU215" s="513"/>
      <c r="CV215" s="513"/>
      <c r="CW215" s="513"/>
      <c r="CX215" s="513"/>
      <c r="CY215" s="513"/>
      <c r="CZ215" s="513"/>
      <c r="DA215" s="513"/>
      <c r="DB215" s="513"/>
      <c r="DC215" s="513"/>
      <c r="DD215" s="513"/>
      <c r="DE215" s="513"/>
      <c r="DF215" s="513"/>
      <c r="DG215" s="513"/>
      <c r="DH215" s="513"/>
      <c r="DI215" s="513"/>
      <c r="DJ215" s="513"/>
      <c r="DK215" s="513"/>
      <c r="DL215" s="513"/>
      <c r="DM215" s="513"/>
      <c r="DN215" s="513"/>
      <c r="DO215" s="513"/>
      <c r="DP215" s="513"/>
      <c r="DQ215" s="513"/>
      <c r="DR215" s="513"/>
      <c r="DS215" s="513"/>
      <c r="DT215" s="513"/>
      <c r="DU215" s="513"/>
      <c r="DV215" s="61"/>
      <c r="DW215" s="336">
        <f t="shared" si="1012"/>
        <v>0</v>
      </c>
      <c r="DX215" s="336">
        <f t="shared" si="1004"/>
        <v>0</v>
      </c>
      <c r="DY215" s="336">
        <f t="shared" si="1005"/>
        <v>0</v>
      </c>
      <c r="DZ215" s="336">
        <f t="shared" si="1006"/>
        <v>0</v>
      </c>
      <c r="EA215" s="336">
        <f t="shared" si="1007"/>
        <v>0</v>
      </c>
      <c r="EB215" s="336">
        <f t="shared" si="1008"/>
        <v>0</v>
      </c>
      <c r="EC215" s="336">
        <f t="shared" si="1009"/>
        <v>0</v>
      </c>
      <c r="ED215" s="336">
        <f t="shared" ref="ED215:ED278" si="1774">IF(BL215=1,($BC215*BL215),0)</f>
        <v>0</v>
      </c>
      <c r="EE215" s="336">
        <f t="shared" ref="EE215:EE278" si="1775">IF(BM215=1,($BC215*BM215),0)</f>
        <v>0</v>
      </c>
      <c r="EF215" s="336">
        <f t="shared" ref="EF215:EF278" si="1776">IF(BN215=1,($BC215*BN215),0)</f>
        <v>0</v>
      </c>
      <c r="EG215" s="336">
        <f t="shared" ref="EG215:EG278" si="1777">IF(BO215=1,($BC215*BO215),0)</f>
        <v>0</v>
      </c>
      <c r="EH215" s="336">
        <f t="shared" ref="EH215:EH278" si="1778">IF(BP215=1,($BC215*BP215),0)</f>
        <v>0</v>
      </c>
      <c r="EI215" s="336">
        <f t="shared" ref="EI215:EI278" si="1779">IF(BQ215=1,($BC215*BQ215),0)</f>
        <v>0</v>
      </c>
      <c r="EJ215" s="336">
        <f t="shared" ref="EJ215:EJ278" si="1780">IF(BR215=1,($BC215*BR215),0)</f>
        <v>0</v>
      </c>
      <c r="EK215" s="336">
        <f t="shared" ref="EK215:EK278" si="1781">IF(BS215=1,($BC215*BS215),0)</f>
        <v>0</v>
      </c>
      <c r="EL215" s="336">
        <f t="shared" ref="EL215:EL278" si="1782">IF(BT215=1,($BC215*BT215),0)</f>
        <v>0</v>
      </c>
      <c r="EM215" s="336">
        <f t="shared" ref="EM215:EM278" si="1783">IF(BU215=1,($BC215*BU215),0)</f>
        <v>0</v>
      </c>
      <c r="EN215" s="336">
        <f t="shared" ref="EN215:EN278" si="1784">IF(BV215=1,($BC215*BV215),0)</f>
        <v>0</v>
      </c>
      <c r="EO215" s="336">
        <f t="shared" ref="EO215:EO278" si="1785">IF(BW215=1,($BC215*BW215),0)</f>
        <v>0</v>
      </c>
      <c r="EP215" s="336">
        <f t="shared" ref="EP215:EP278" si="1786">IF(BX215=1,($BC215*BX215),0)</f>
        <v>0</v>
      </c>
      <c r="EQ215" s="336">
        <f t="shared" ref="EQ215:EQ278" si="1787">IF(BY215=1,($BC215*BY215),0)</f>
        <v>0</v>
      </c>
      <c r="ER215" s="336">
        <f t="shared" ref="ER215:ER278" si="1788">IF(BZ215=1,($BC215*BZ215),0)</f>
        <v>0</v>
      </c>
      <c r="ES215" s="336">
        <f t="shared" ref="ES215:ET278" si="1789">IF(CA215=1,($BC215*CA215),0)</f>
        <v>0</v>
      </c>
      <c r="ET215" s="336">
        <f t="shared" si="1789"/>
        <v>0</v>
      </c>
      <c r="EU215" s="336">
        <f t="shared" ref="EU215:EU278" si="1790">IF(CC215=1,($BC215*CC215),0)</f>
        <v>0</v>
      </c>
      <c r="EV215" s="336">
        <f t="shared" ref="EV215:EV278" si="1791">IF(CD215=1,($BC215*CD215),0)</f>
        <v>0</v>
      </c>
      <c r="EW215" s="336">
        <f t="shared" ref="EW215:EW278" si="1792">IF(CE215=1,($BC215*CE215),0)</f>
        <v>0</v>
      </c>
      <c r="EX215" s="336">
        <f t="shared" ref="EX215:EX278" si="1793">IF(CF215=1,($BC215*CF215),0)</f>
        <v>0</v>
      </c>
      <c r="EY215" s="336">
        <f t="shared" ref="EY215:EY278" si="1794">IF(CG215=1,($BC215*CG215),0)</f>
        <v>0</v>
      </c>
      <c r="EZ215" s="336">
        <f t="shared" ref="EZ215:EZ278" si="1795">IF(CH215=1,($BC215*CH215),0)</f>
        <v>0</v>
      </c>
      <c r="FA215" s="336">
        <f t="shared" ref="FA215:FA278" si="1796">IF(CI215=1,($BC215*CI215),0)</f>
        <v>0</v>
      </c>
      <c r="FB215" s="336">
        <f t="shared" ref="FB215:FB278" si="1797">IF(CJ215=1,($BC215*CJ215),0)</f>
        <v>0</v>
      </c>
      <c r="FC215" s="336">
        <f t="shared" ref="FC215:FC278" si="1798">IF(CK215=1,($BC215*CK215),0)</f>
        <v>0</v>
      </c>
      <c r="FD215" s="336">
        <f t="shared" ref="FD215:FD278" si="1799">IF(CL215=1,($BC215*CL215),0)</f>
        <v>0</v>
      </c>
      <c r="FE215" s="336">
        <f t="shared" ref="FE215:FE278" si="1800">IF(CM215=1,($BC215*CM215),0)</f>
        <v>0</v>
      </c>
      <c r="FF215" s="336">
        <f t="shared" ref="FF215:FF278" si="1801">IF(CN215=1,($BC215*CN215),0)</f>
        <v>0</v>
      </c>
      <c r="FG215" s="336">
        <f t="shared" ref="FG215:FG278" si="1802">IF(CO215=1,($BC215*CO215),0)</f>
        <v>0</v>
      </c>
      <c r="FH215" s="336">
        <f t="shared" ref="FH215:FH278" si="1803">IF(CP215=1,($BC215*CP215),0)</f>
        <v>0</v>
      </c>
      <c r="FI215" s="336">
        <f t="shared" ref="FI215:FI278" si="1804">IF(CQ215=1,($BC215*CQ215),0)</f>
        <v>0</v>
      </c>
      <c r="FJ215" s="336">
        <f t="shared" ref="FJ215:FJ278" si="1805">IF(CR215=1,($BC215*CR215),0)</f>
        <v>0</v>
      </c>
      <c r="FK215" s="336">
        <f t="shared" ref="FK215:FK278" si="1806">IF(CS215=1,($BC215*CS215),0)</f>
        <v>0</v>
      </c>
      <c r="FL215" s="336">
        <f t="shared" ref="FL215:FL278" si="1807">IF(CT215=1,($BC215*CT215),0)</f>
        <v>0</v>
      </c>
      <c r="FM215" s="336">
        <f t="shared" ref="FM215:FM278" si="1808">IF(CU215=1,($BC215*CU215),0)</f>
        <v>0</v>
      </c>
      <c r="FN215" s="336">
        <f t="shared" ref="FN215:FN278" si="1809">IF(CV215=1,($BC215*CV215),0)</f>
        <v>0</v>
      </c>
      <c r="FO215" s="492">
        <f t="shared" ref="FO215:FO278" si="1810">IF(CW215=1,($BC215*CW215),0)</f>
        <v>0</v>
      </c>
      <c r="FP215" s="492">
        <f t="shared" ref="FP215:FP278" si="1811">IF(CX215=1,($BC215*CX215),0)</f>
        <v>0</v>
      </c>
      <c r="FQ215" s="492">
        <f t="shared" ref="FQ215:FQ278" si="1812">IF(CY215=1,($BC215*CY215),0)</f>
        <v>0</v>
      </c>
      <c r="FR215" s="492">
        <f t="shared" ref="FR215:FR278" si="1813">IF(CZ215=1,($BC215*CZ215),0)</f>
        <v>0</v>
      </c>
      <c r="FS215" s="492">
        <f t="shared" ref="FS215:FS278" si="1814">IF(DA215=1,($BC215*DA215),0)</f>
        <v>0</v>
      </c>
      <c r="FT215" s="492">
        <f t="shared" ref="FT215:FT278" si="1815">IF(DB215=1,($BC215*DB215),0)</f>
        <v>0</v>
      </c>
      <c r="FU215" s="336">
        <f t="shared" ref="FU215" si="1816">IF(DC215=1,($BC215*DC215),0)</f>
        <v>0</v>
      </c>
      <c r="FV215" s="336">
        <f t="shared" ref="FV215" si="1817">IF(DD215=1,($BC215*DD215),0)</f>
        <v>0</v>
      </c>
      <c r="FW215" s="336">
        <f t="shared" ref="FW215" si="1818">IF(DE215=1,($BC215*DE215),0)</f>
        <v>0</v>
      </c>
      <c r="FX215" s="336">
        <f t="shared" ref="FX215" si="1819">IF(DF215=1,($BC215*DF215),0)</f>
        <v>0</v>
      </c>
      <c r="FY215" s="492">
        <f t="shared" ref="FY215:FY278" si="1820">IF(DG215=1,($BC215*DG215),0)</f>
        <v>0</v>
      </c>
      <c r="FZ215" s="492">
        <f t="shared" ref="FZ215:FZ278" si="1821">IF(DH215=1,($BC215*DH215),0)</f>
        <v>0</v>
      </c>
      <c r="GA215" s="492">
        <f t="shared" ref="GA215:GA278" si="1822">IF(DI215=1,($BC215*DI215),0)</f>
        <v>0</v>
      </c>
      <c r="GB215" s="492">
        <f t="shared" ref="GB215:GB278" si="1823">IF(DJ215=1,($BC215*DJ215),0)</f>
        <v>0</v>
      </c>
      <c r="GC215" s="492">
        <f t="shared" ref="GC215:GC278" si="1824">IF(DK215=1,($BC215*DK215),0)</f>
        <v>0</v>
      </c>
      <c r="GD215" s="492">
        <f t="shared" ref="GD215:GD278" si="1825">IF(DL215=1,($BC215*DL215),0)</f>
        <v>0</v>
      </c>
      <c r="GE215" s="492">
        <f t="shared" ref="GE215:GE278" si="1826">IF(DM215=1,($BC215*DM215),0)</f>
        <v>0</v>
      </c>
      <c r="GF215" s="492">
        <f t="shared" ref="GF215:GF278" si="1827">IF(DN215=1,($BC215*DN215),0)</f>
        <v>0</v>
      </c>
      <c r="GG215" s="492">
        <f t="shared" ref="GG215:GG278" si="1828">IF(DO215=1,($BC215*DO215),0)</f>
        <v>0</v>
      </c>
      <c r="GH215" s="492">
        <f t="shared" ref="GH215:GH278" si="1829">IF(DP215=1,($BC215*DP215),0)</f>
        <v>0</v>
      </c>
      <c r="GI215" s="492">
        <f t="shared" ref="GI215:GI278" si="1830">IF(DQ215=1,($BC215*DQ215),0)</f>
        <v>0</v>
      </c>
      <c r="GJ215" s="492">
        <f t="shared" ref="GJ215:GJ278" si="1831">IF(DR215=1,($BC215*DR215),0)</f>
        <v>0</v>
      </c>
      <c r="GK215" s="492">
        <f t="shared" si="1750"/>
        <v>0</v>
      </c>
      <c r="GL215" s="336">
        <f>IF(DT215=1,($BC215*DT215),0)</f>
        <v>0</v>
      </c>
      <c r="GM215" s="492">
        <f t="shared" ref="GM215:GM278" si="1832">IF(DU215=1,($BC215*DU215),0)</f>
        <v>0</v>
      </c>
    </row>
    <row r="216" spans="1:195" s="83" customFormat="1" ht="20.100000000000001" hidden="1" customHeight="1">
      <c r="A216" s="357" t="s">
        <v>334</v>
      </c>
      <c r="B216" s="562" t="s">
        <v>527</v>
      </c>
      <c r="C216" s="357" t="str">
        <f t="shared" ref="C216:C237" si="1833">$D$164</f>
        <v>EPMCC-1</v>
      </c>
      <c r="D216" s="395" t="s">
        <v>673</v>
      </c>
      <c r="E216" s="421" t="s">
        <v>345</v>
      </c>
      <c r="F216" s="357" t="s">
        <v>28</v>
      </c>
      <c r="G216" s="357" t="s">
        <v>350</v>
      </c>
      <c r="H216" s="352">
        <v>15</v>
      </c>
      <c r="I216" s="357" t="s">
        <v>330</v>
      </c>
      <c r="J216" s="357" t="s">
        <v>331</v>
      </c>
      <c r="K216" s="353">
        <v>400</v>
      </c>
      <c r="L216" s="360">
        <v>0.84</v>
      </c>
      <c r="M216" s="352">
        <v>0.92700000000000005</v>
      </c>
      <c r="N216" s="359">
        <f t="shared" ref="N216:N245" si="1834">IF(I216="kVA",IF(J216="3Ph",(H216*1000/(1.732*M216*K216)),(H216*1000/(M216*K216))),IF(I216="kW",IF(J216="3Ph",(H216*1000/(1.732*M216*K216*L216)),(H216*1000/(M216*K216*L216)))))</f>
        <v>27.805093501633788</v>
      </c>
      <c r="O216" s="359">
        <f t="shared" si="1771"/>
        <v>166.83056100980272</v>
      </c>
      <c r="P216" s="360">
        <f t="shared" ref="P216:P245" si="1835">IF(G216="MOTOR",0.2,"0.00")</f>
        <v>0.2</v>
      </c>
      <c r="Q216" s="352">
        <v>50</v>
      </c>
      <c r="R216" s="352">
        <v>0</v>
      </c>
      <c r="S216" s="352">
        <f t="shared" ref="S216:S245" si="1836">(Q216*1000*SQRT(R216)/143)</f>
        <v>0</v>
      </c>
      <c r="T216" s="360" t="s">
        <v>131</v>
      </c>
      <c r="U216" s="352" t="s">
        <v>333</v>
      </c>
      <c r="V216" s="360">
        <v>70</v>
      </c>
      <c r="W216" s="360" t="str">
        <f t="shared" ref="W216:W245" si="1837">CONCATENATE(U216," X ",V216)</f>
        <v>3C X 70</v>
      </c>
      <c r="X216" s="360" t="str">
        <f t="shared" ref="X216:X245" si="1838">(IF(J216="1Ph",W216,IF(J216="3Ph",(IF(G216="MOTOR",(CONCATENATE(W216,"+PE")),W216)))))</f>
        <v>3C X 70+PE</v>
      </c>
      <c r="Y216" s="360" t="s">
        <v>358</v>
      </c>
      <c r="Z216" s="361">
        <f>IF(T216="AIR",VLOOKUP(W216,'Catalogue Aluminium'!$B$9:$G$93,2,FALSE),IF(T216="GROUND",VLOOKUP(W216,'Catalogue Aluminium'!$B$9:$G$93,3,FALSE),IF(T216="DUCT",VLOOKUP(W216,'Catalogue Aluminium'!$B$9:$G$93,4,FALSE),IF(T216="TRENCH",VLOOKUP(W216,'Catalogue Aluminium'!$B$9:$G$93,2,FALSE)))))</f>
        <v>177</v>
      </c>
      <c r="AA216" s="362">
        <f>VLOOKUP(W216,'Catalogue Aluminium'!$B$9:$G$93,5,FALSE)</f>
        <v>0.56699999999999995</v>
      </c>
      <c r="AB216" s="362">
        <f>VLOOKUP(W216,'Catalogue Aluminium'!$B$9:$G$93,6,FALSE)</f>
        <v>7.5200000000000003E-2</v>
      </c>
      <c r="AC216" s="564">
        <f>28+7</f>
        <v>35</v>
      </c>
      <c r="AD216" s="360">
        <f>11+34+48+35+30+11+24+(15+3+26)</f>
        <v>237</v>
      </c>
      <c r="AE216" s="456">
        <f t="shared" ref="AE216:AE238" si="1839">11+8+8+11</f>
        <v>38</v>
      </c>
      <c r="AF216" s="360">
        <v>8</v>
      </c>
      <c r="AG216" s="360">
        <f t="shared" ref="AG216:AG245" si="1840">ROUNDUP((SUM(AC216:AF216)*0.1),0)</f>
        <v>32</v>
      </c>
      <c r="AH216" s="363"/>
      <c r="AI216" s="361">
        <f>IF(T216="AIR",'Catalogue Aluminium'!$K$9,IF(T216="TRENCH",'Catalogue Aluminium'!$K$12,"NA"))</f>
        <v>0.89</v>
      </c>
      <c r="AJ216" s="359">
        <f>IF(T216="Air",(IF(U216="1C",'Catalogue Aluminium'!$L$9,'Catalogue Aluminium'!$M$9)),IF(T216="DUCT",(IF($U216="1C",'Catalogue Aluminium'!$L$10,'Catalogue Aluminium'!$M$10)),IF(T216="GROUND",(IF($U216="1C",'Catalogue Aluminium'!$L$11,'Catalogue Aluminium'!$M$11)),IF(T216="TRENCH",(IF($U216="1C",'Catalogue Aluminium'!$L$12,'Catalogue Aluminium'!$M$12))))))</f>
        <v>0.66</v>
      </c>
      <c r="AK216" s="361" t="str">
        <f>IF(T216="Air",'Catalogue Aluminium'!$N$9,IF(T216="GROUND",'Catalogue Aluminium'!$N$10,IF(T216="DUCT",'Catalogue Aluminium'!$N$11,IF(T216="TRENCH",'Catalogue Aluminium'!$N$12,"NA"))))</f>
        <v>NA</v>
      </c>
      <c r="AL216" s="361" t="str">
        <f>IF(T216="Air",(IF(U216="1C",'Catalogue Aluminium'!$O$9,'Catalogue Aluminium'!$P$9)),IF(T216="DUCT",(IF($U216="1C",'Catalogue Aluminium'!$O$10,'Catalogue Aluminium'!$P$10)),IF(T216="GROUND",(IF($U216="1C",'Catalogue Aluminium'!$O$11,'Catalogue Aluminium'!$P$11)),IF(T216="TRENCH",(IF($U216="1C",'Catalogue Aluminium'!$O$12,'Catalogue Aluminium'!$P$12))))))</f>
        <v>NA</v>
      </c>
      <c r="AM216" s="361" t="str">
        <f>IF(T216="AIR","NA",IF(T216="TRENCH","NA",IF(T216="DUCT",IF(U216="1C",VLOOKUP(V216,'Catalogue Aluminium'!$Q$9:$S$28,2,FALSE),VLOOKUP(V216,'Catalogue Aluminium'!$Q$9:$S$28,3)),IF(T216="GROUND",IF(U216="1C",VLOOKUP(V216,'Catalogue Aluminium'!$Q$9:$S$28,2,FALSE),VLOOKUP(V216,'Catalogue Aluminium'!$Q$9:$S$28,3))))))</f>
        <v>NA</v>
      </c>
      <c r="AN216" s="365">
        <f t="shared" ref="AN216:AN245" si="1841">IF(T216="AIR",AI216*AJ216,IF(T216="TRENCH",AI216*AJ216,IF(T216="DUCT",AJ216*AK216*AL216*AM216,IF(T216="GROUND",AJ216*AK216*AL216*AM216))))</f>
        <v>0.58740000000000003</v>
      </c>
      <c r="AO216" s="352">
        <f t="shared" ref="AO216:AO245" si="1842">Z216*AN216</f>
        <v>103.96980000000001</v>
      </c>
      <c r="AP216" s="353">
        <f t="shared" si="1303"/>
        <v>1</v>
      </c>
      <c r="AQ216" s="352" t="str">
        <f t="shared" ref="AQ216:AQ245" si="1843">IF(AO216*AP216&gt;=N216,"YES","NO")</f>
        <v>YES</v>
      </c>
      <c r="AR216" s="365">
        <f t="shared" ref="AR216:AR245" si="1844">SQRT(3)*AH216*N216*((AA216*L216)+(AB216*SIN(ACOS(L216))))*100/(AP216*K216*1000)</f>
        <v>0</v>
      </c>
      <c r="AS216" s="496" t="str">
        <f t="shared" ref="AS216:AS245" si="1845">IF(G216="INCOMER",(IF(AR216&lt;=2,"YES","NO")),IF(G216="POWER",(IF(AR216&lt;=2.5,"YES","NO")),IF(G216="MOTOR",(IF(AR216&lt;=3,"YES","NO")))))</f>
        <v>YES</v>
      </c>
      <c r="AT216" s="497">
        <f t="shared" ref="AT216:AT245" si="1846">IF(G216="MOTOR",(SQRT(3)*AH216*O216*((AA216*P216)+(AB216*SIN(ACOS(P216))))*100/(AP216*K216*1000)),"NA")</f>
        <v>0</v>
      </c>
      <c r="AU216" s="360" t="str">
        <f t="shared" ref="AU216:AU245" si="1847">IF(G216="MOTOR",IF(AT216&lt;=15,"YES","NO"),"NA")</f>
        <v>YES</v>
      </c>
      <c r="AV216" s="366" t="str">
        <f t="shared" ref="AV216:AV245" si="1848">IF(U216="1C",CONCATENATE(AP216,"R x ",Y216,"kV x ",U216," x ",V216," Sqmm/Phase"),CONCATENATE(AP216,"R x ",0.6,"/1kV x ",U216," x ",V216," Sqmm"))</f>
        <v>1R x 0.6/1kV x 3C x 70 Sqmm</v>
      </c>
      <c r="AW216" s="366" t="str">
        <f t="shared" ref="AW216:AW245" si="1849">IF(U216="1C",CONCATENATE(AP216,"R x ",Y216,"kV x ",U216," x ",V216," Sqmm/Phase"),CONCATENATE(AP216,"R x ",0.6,"/1kV x ",U216," x ",V216,(IF(G216="MOTOR","+PE",""))," Sqmm"))</f>
        <v>1R x 0.6/1kV x 3C x 70+PE Sqmm</v>
      </c>
      <c r="AX216" s="360"/>
      <c r="AY216" s="367"/>
      <c r="AZ216" s="367"/>
      <c r="BA216" s="520" t="str">
        <f t="shared" si="1277"/>
        <v/>
      </c>
      <c r="BB216" s="498"/>
      <c r="BC216" s="426"/>
      <c r="BE216" s="368"/>
      <c r="BF216" s="368"/>
      <c r="BG216" s="368"/>
      <c r="BH216" s="368"/>
      <c r="BI216" s="368"/>
      <c r="BJ216" s="368"/>
      <c r="BK216" s="368"/>
      <c r="BL216" s="368"/>
      <c r="BM216" s="368"/>
      <c r="BN216" s="368"/>
      <c r="BO216" s="368"/>
      <c r="BP216" s="368"/>
      <c r="BQ216" s="368"/>
      <c r="BR216" s="368"/>
      <c r="BS216" s="368"/>
      <c r="BT216" s="368"/>
      <c r="BU216" s="368"/>
      <c r="BV216" s="368"/>
      <c r="BW216" s="368"/>
      <c r="BX216" s="368"/>
      <c r="BY216" s="368"/>
      <c r="BZ216" s="368"/>
      <c r="CA216" s="368"/>
      <c r="CB216" s="368"/>
      <c r="CC216" s="368"/>
      <c r="CD216" s="368"/>
      <c r="CE216" s="368"/>
      <c r="CF216" s="368"/>
      <c r="CG216" s="368"/>
      <c r="CH216" s="368"/>
      <c r="CI216" s="368"/>
      <c r="CJ216" s="368"/>
      <c r="CK216" s="368"/>
      <c r="CL216" s="368"/>
      <c r="CM216" s="368"/>
      <c r="CN216" s="368"/>
      <c r="CO216" s="368"/>
      <c r="CP216" s="368"/>
      <c r="CQ216" s="368"/>
      <c r="CR216" s="368"/>
      <c r="CS216" s="368"/>
      <c r="CT216" s="368"/>
      <c r="CU216" s="368"/>
      <c r="CV216" s="368"/>
      <c r="CW216" s="368"/>
      <c r="CX216" s="368"/>
      <c r="CY216" s="368"/>
      <c r="CZ216" s="368"/>
      <c r="DA216" s="368"/>
      <c r="DB216" s="368"/>
      <c r="DC216" s="368"/>
      <c r="DD216" s="368"/>
      <c r="DE216" s="368"/>
      <c r="DF216" s="368"/>
      <c r="DG216" s="368"/>
      <c r="DH216" s="368"/>
      <c r="DI216" s="368"/>
      <c r="DJ216" s="368"/>
      <c r="DK216" s="368"/>
      <c r="DL216" s="368"/>
      <c r="DM216" s="368"/>
      <c r="DN216" s="368"/>
      <c r="DO216" s="368"/>
      <c r="DP216" s="368"/>
      <c r="DQ216" s="368"/>
      <c r="DR216" s="368"/>
      <c r="DS216" s="368"/>
      <c r="DT216" s="368"/>
      <c r="DU216" s="368"/>
      <c r="DW216" s="368">
        <f t="shared" si="1012"/>
        <v>0</v>
      </c>
      <c r="DX216" s="368">
        <f t="shared" si="1004"/>
        <v>0</v>
      </c>
      <c r="DY216" s="368">
        <f t="shared" si="1005"/>
        <v>0</v>
      </c>
      <c r="DZ216" s="368">
        <f t="shared" si="1006"/>
        <v>0</v>
      </c>
      <c r="EA216" s="368">
        <f t="shared" si="1007"/>
        <v>0</v>
      </c>
      <c r="EB216" s="368">
        <f t="shared" si="1008"/>
        <v>0</v>
      </c>
      <c r="EC216" s="368">
        <f t="shared" si="1009"/>
        <v>0</v>
      </c>
      <c r="ED216" s="368">
        <f t="shared" si="1774"/>
        <v>0</v>
      </c>
      <c r="EE216" s="368">
        <f t="shared" si="1775"/>
        <v>0</v>
      </c>
      <c r="EF216" s="368">
        <f t="shared" si="1776"/>
        <v>0</v>
      </c>
      <c r="EG216" s="368">
        <f t="shared" si="1777"/>
        <v>0</v>
      </c>
      <c r="EH216" s="368">
        <f t="shared" si="1778"/>
        <v>0</v>
      </c>
      <c r="EI216" s="368">
        <f t="shared" si="1779"/>
        <v>0</v>
      </c>
      <c r="EJ216" s="368">
        <f t="shared" si="1780"/>
        <v>0</v>
      </c>
      <c r="EK216" s="368">
        <f t="shared" si="1781"/>
        <v>0</v>
      </c>
      <c r="EL216" s="368">
        <f t="shared" si="1782"/>
        <v>0</v>
      </c>
      <c r="EM216" s="368">
        <f t="shared" si="1783"/>
        <v>0</v>
      </c>
      <c r="EN216" s="368">
        <f t="shared" si="1784"/>
        <v>0</v>
      </c>
      <c r="EO216" s="368">
        <f t="shared" si="1785"/>
        <v>0</v>
      </c>
      <c r="EP216" s="368">
        <f t="shared" si="1786"/>
        <v>0</v>
      </c>
      <c r="EQ216" s="368">
        <f t="shared" si="1787"/>
        <v>0</v>
      </c>
      <c r="ER216" s="368">
        <f t="shared" si="1788"/>
        <v>0</v>
      </c>
      <c r="ES216" s="368">
        <f t="shared" si="1789"/>
        <v>0</v>
      </c>
      <c r="ET216" s="368">
        <f t="shared" si="1789"/>
        <v>0</v>
      </c>
      <c r="EU216" s="368">
        <f t="shared" si="1790"/>
        <v>0</v>
      </c>
      <c r="EV216" s="368">
        <f t="shared" si="1791"/>
        <v>0</v>
      </c>
      <c r="EW216" s="368">
        <f t="shared" si="1792"/>
        <v>0</v>
      </c>
      <c r="EX216" s="368">
        <f t="shared" si="1793"/>
        <v>0</v>
      </c>
      <c r="EY216" s="368">
        <f t="shared" si="1794"/>
        <v>0</v>
      </c>
      <c r="EZ216" s="368">
        <f t="shared" si="1795"/>
        <v>0</v>
      </c>
      <c r="FA216" s="368">
        <f t="shared" si="1796"/>
        <v>0</v>
      </c>
      <c r="FB216" s="368">
        <f t="shared" si="1797"/>
        <v>0</v>
      </c>
      <c r="FC216" s="368">
        <f t="shared" si="1798"/>
        <v>0</v>
      </c>
      <c r="FD216" s="368">
        <f t="shared" si="1799"/>
        <v>0</v>
      </c>
      <c r="FE216" s="368">
        <f t="shared" si="1800"/>
        <v>0</v>
      </c>
      <c r="FF216" s="368">
        <f t="shared" si="1801"/>
        <v>0</v>
      </c>
      <c r="FG216" s="368">
        <f t="shared" si="1802"/>
        <v>0</v>
      </c>
      <c r="FH216" s="368">
        <f t="shared" si="1803"/>
        <v>0</v>
      </c>
      <c r="FI216" s="368">
        <f t="shared" si="1804"/>
        <v>0</v>
      </c>
      <c r="FJ216" s="368">
        <f t="shared" si="1805"/>
        <v>0</v>
      </c>
      <c r="FK216" s="368">
        <f t="shared" si="1806"/>
        <v>0</v>
      </c>
      <c r="FL216" s="368">
        <f t="shared" si="1807"/>
        <v>0</v>
      </c>
      <c r="FM216" s="368">
        <f t="shared" si="1808"/>
        <v>0</v>
      </c>
      <c r="FN216" s="368">
        <f t="shared" si="1809"/>
        <v>0</v>
      </c>
      <c r="FO216" s="368">
        <f t="shared" si="1810"/>
        <v>0</v>
      </c>
      <c r="FP216" s="368">
        <f t="shared" si="1811"/>
        <v>0</v>
      </c>
      <c r="FQ216" s="368">
        <f t="shared" si="1812"/>
        <v>0</v>
      </c>
      <c r="FR216" s="368">
        <f t="shared" si="1813"/>
        <v>0</v>
      </c>
      <c r="FS216" s="368">
        <f t="shared" si="1814"/>
        <v>0</v>
      </c>
      <c r="FT216" s="368">
        <f t="shared" si="1815"/>
        <v>0</v>
      </c>
      <c r="FU216" s="368"/>
      <c r="FV216" s="368"/>
      <c r="FW216" s="368"/>
      <c r="FX216" s="368"/>
      <c r="FY216" s="368">
        <f t="shared" si="1820"/>
        <v>0</v>
      </c>
      <c r="FZ216" s="368">
        <f t="shared" si="1821"/>
        <v>0</v>
      </c>
      <c r="GA216" s="368">
        <f t="shared" si="1822"/>
        <v>0</v>
      </c>
      <c r="GB216" s="368">
        <f t="shared" si="1823"/>
        <v>0</v>
      </c>
      <c r="GC216" s="368">
        <f t="shared" si="1824"/>
        <v>0</v>
      </c>
      <c r="GD216" s="368">
        <f t="shared" si="1825"/>
        <v>0</v>
      </c>
      <c r="GE216" s="368">
        <f t="shared" si="1826"/>
        <v>0</v>
      </c>
      <c r="GF216" s="368">
        <f t="shared" si="1827"/>
        <v>0</v>
      </c>
      <c r="GG216" s="368">
        <f t="shared" si="1828"/>
        <v>0</v>
      </c>
      <c r="GH216" s="368">
        <f t="shared" si="1829"/>
        <v>0</v>
      </c>
      <c r="GI216" s="368">
        <f t="shared" si="1830"/>
        <v>0</v>
      </c>
      <c r="GJ216" s="368">
        <f t="shared" si="1831"/>
        <v>0</v>
      </c>
      <c r="GK216" s="368">
        <f t="shared" si="1750"/>
        <v>0</v>
      </c>
      <c r="GL216" s="368"/>
      <c r="GM216" s="368">
        <f t="shared" si="1832"/>
        <v>0</v>
      </c>
    </row>
    <row r="217" spans="1:195" ht="20.100000000000001" customHeight="1">
      <c r="A217" s="337">
        <f>1+A208</f>
        <v>146</v>
      </c>
      <c r="B217" s="897" t="s">
        <v>1688</v>
      </c>
      <c r="C217" s="337" t="str">
        <f t="shared" si="1833"/>
        <v>EPMCC-1</v>
      </c>
      <c r="D217" s="372" t="s">
        <v>674</v>
      </c>
      <c r="E217" s="453" t="s">
        <v>345</v>
      </c>
      <c r="F217" s="337" t="s">
        <v>29</v>
      </c>
      <c r="G217" s="337" t="s">
        <v>350</v>
      </c>
      <c r="H217" s="418">
        <v>9.3000000000000007</v>
      </c>
      <c r="I217" s="337" t="s">
        <v>330</v>
      </c>
      <c r="J217" s="337" t="s">
        <v>331</v>
      </c>
      <c r="K217" s="349">
        <v>400</v>
      </c>
      <c r="L217" s="343">
        <v>0.84</v>
      </c>
      <c r="M217" s="350">
        <v>0.92700000000000005</v>
      </c>
      <c r="N217" s="342">
        <f t="shared" si="1834"/>
        <v>17.239157971012947</v>
      </c>
      <c r="O217" s="342">
        <f t="shared" si="1771"/>
        <v>103.43494782607769</v>
      </c>
      <c r="P217" s="343">
        <f t="shared" si="1835"/>
        <v>0.2</v>
      </c>
      <c r="Q217" s="350">
        <v>50</v>
      </c>
      <c r="R217" s="350">
        <v>0</v>
      </c>
      <c r="S217" s="350">
        <f t="shared" si="1836"/>
        <v>0</v>
      </c>
      <c r="T217" s="343" t="s">
        <v>131</v>
      </c>
      <c r="U217" s="350" t="s">
        <v>333</v>
      </c>
      <c r="V217" s="343">
        <v>35</v>
      </c>
      <c r="W217" s="343" t="str">
        <f t="shared" si="1837"/>
        <v>3C X 35</v>
      </c>
      <c r="X217" s="343" t="str">
        <f t="shared" si="1838"/>
        <v>3C X 35+PE</v>
      </c>
      <c r="Y217" s="343" t="s">
        <v>358</v>
      </c>
      <c r="Z217" s="344">
        <f>IF(T217="AIR",VLOOKUP(W217,'Catalogue Aluminium'!$B$9:$G$93,2,FALSE),IF(T217="GROUND",VLOOKUP(W217,'Catalogue Aluminium'!$B$9:$G$93,3,FALSE),IF(T217="DUCT",VLOOKUP(W217,'Catalogue Aluminium'!$B$9:$G$93,4,FALSE),IF(T217="TRENCH",VLOOKUP(W217,'Catalogue Aluminium'!$B$9:$G$93,2,FALSE)))))</f>
        <v>117</v>
      </c>
      <c r="AA217" s="345">
        <f>VLOOKUP(W217,'Catalogue Aluminium'!$B$9:$G$93,5,FALSE)</f>
        <v>1.1100000000000001</v>
      </c>
      <c r="AB217" s="345">
        <f>VLOOKUP(W217,'Catalogue Aluminium'!$B$9:$G$93,6,FALSE)</f>
        <v>7.9399999999999998E-2</v>
      </c>
      <c r="AC217" s="457">
        <f>24+6</f>
        <v>30</v>
      </c>
      <c r="AD217" s="401">
        <f>40+50+38+50+17+(27+15)</f>
        <v>237</v>
      </c>
      <c r="AE217" s="401">
        <f t="shared" si="1839"/>
        <v>38</v>
      </c>
      <c r="AF217" s="401">
        <v>8</v>
      </c>
      <c r="AG217" s="401">
        <f t="shared" si="1840"/>
        <v>32</v>
      </c>
      <c r="AH217" s="347">
        <f t="shared" ref="AH217:AH245" si="1850">SUM(AC217:AG217)</f>
        <v>345</v>
      </c>
      <c r="AI217" s="344">
        <f>IF(T217="AIR",'Catalogue Aluminium'!$K$9,IF(T217="TRENCH",'Catalogue Aluminium'!$K$12,"NA"))</f>
        <v>0.89</v>
      </c>
      <c r="AJ217" s="342">
        <f>IF(T217="Air",(IF(U217="1C",'Catalogue Aluminium'!$L$9,'Catalogue Aluminium'!$M$9)),IF(T217="DUCT",(IF($U217="1C",'Catalogue Aluminium'!$L$10,'Catalogue Aluminium'!$M$10)),IF(T217="GROUND",(IF($U217="1C",'Catalogue Aluminium'!$L$11,'Catalogue Aluminium'!$M$11)),IF(T217="TRENCH",(IF($U217="1C",'Catalogue Aluminium'!$L$12,'Catalogue Aluminium'!$M$12))))))</f>
        <v>0.66</v>
      </c>
      <c r="AK217" s="344" t="str">
        <f>IF(T217="Air",'Catalogue Aluminium'!$N$9,IF(T217="GROUND",'Catalogue Aluminium'!$N$10,IF(T217="DUCT",'Catalogue Aluminium'!$N$11,IF(T217="TRENCH",'Catalogue Aluminium'!$N$12,"NA"))))</f>
        <v>NA</v>
      </c>
      <c r="AL217" s="344" t="str">
        <f>IF(T217="Air",(IF(U217="1C",'Catalogue Aluminium'!$O$9,'Catalogue Aluminium'!$P$9)),IF(T217="DUCT",(IF($U217="1C",'Catalogue Aluminium'!$O$10,'Catalogue Aluminium'!$P$10)),IF(T217="GROUND",(IF($U217="1C",'Catalogue Aluminium'!$O$11,'Catalogue Aluminium'!$P$11)),IF(T217="TRENCH",(IF($U217="1C",'Catalogue Aluminium'!$O$12,'Catalogue Aluminium'!$P$12))))))</f>
        <v>NA</v>
      </c>
      <c r="AM217" s="344" t="str">
        <f>IF(T217="AIR","NA",IF(T217="TRENCH","NA",IF(T217="DUCT",IF(U217="1C",VLOOKUP(V217,'Catalogue Aluminium'!$Q$9:$S$28,2,FALSE),VLOOKUP(V217,'Catalogue Aluminium'!$Q$9:$S$28,3)),IF(T217="GROUND",IF(U217="1C",VLOOKUP(V217,'Catalogue Aluminium'!$Q$9:$S$28,2,FALSE),VLOOKUP(V217,'Catalogue Aluminium'!$Q$9:$S$28,3))))))</f>
        <v>NA</v>
      </c>
      <c r="AN217" s="351">
        <f t="shared" si="1841"/>
        <v>0.58740000000000003</v>
      </c>
      <c r="AO217" s="350">
        <f t="shared" si="1842"/>
        <v>68.725800000000007</v>
      </c>
      <c r="AP217" s="349">
        <f t="shared" si="1303"/>
        <v>1</v>
      </c>
      <c r="AQ217" s="350" t="str">
        <f t="shared" si="1843"/>
        <v>YES</v>
      </c>
      <c r="AR217" s="351">
        <f t="shared" si="1844"/>
        <v>2.5122031484153444</v>
      </c>
      <c r="AS217" s="343" t="str">
        <f t="shared" si="1845"/>
        <v>YES</v>
      </c>
      <c r="AT217" s="351">
        <f t="shared" si="1846"/>
        <v>4.6324694801395543</v>
      </c>
      <c r="AU217" s="343" t="str">
        <f t="shared" si="1847"/>
        <v>YES</v>
      </c>
      <c r="AV217" s="354" t="str">
        <f t="shared" si="1848"/>
        <v>1R x 0.6/1kV x 3C x 35 Sqmm</v>
      </c>
      <c r="AW217" s="354" t="str">
        <f t="shared" si="1849"/>
        <v>1R x 0.6/1kV x 3C x 35+PE Sqmm</v>
      </c>
      <c r="AX217" s="343">
        <f>(IF(K217=400,(IF(U217="1C",(4*AH217*AP217),(AH217*AP217))),IF(K217=230,(AH217*AP217))))</f>
        <v>345</v>
      </c>
      <c r="AY217" s="355"/>
      <c r="AZ217" s="355">
        <f>IF(U217="1C",(3*AP217*2),(AP217*2))</f>
        <v>2</v>
      </c>
      <c r="BA217" s="356" t="str">
        <f t="shared" ref="BA217:BA245" si="1851">CONCATENATE(IF(BE217=1,BE$4,""),IF(BF217=1,BF$4,""),IF(BG217=1,BG$4,""),IF(BH217=1,BH$4,""),IF(BI217=1,BI$4,""),IF(BJ217=1,BJ$4,""),IF(BK217=1,BK$4,""),IF(BL217=1,BL$4,""),IF(BM217=1,BM$4,""),IF(BN217=1,BN$4,""),IF(BO217=1,BO$4,""),IF(BP217=1,BP$4,""),IF(BQ217=1,BQ$4,""),IF(BR217=1,BR$4,""),IF(BS217=1,BS$4,""),IF(BT217=1,BT$4,""),IF(BU217=1,BU$4,""),IF(BV217=1,BV$4,""),IF(BW217=1,BW$4,""),IF(BX217=1,BX$4,""),IF(BY217=1,BY$4,""),IF(BZ217=1,BZ$4,""),IF(CA217=1,CA$4,""),IF(CB217=1,CB$4,""),IF(CC217=1,CC$4,""),IF(CD217=1,CD$4,""),IF(CE217=1,CE$4,""),IF(CF217=1,CF$4,""),IF(CG217=1,CG$4,""),IF(CH217=1,CH$4,""),IF(CI217=1,CI$4,""),IF(CJ217=1,CJ$4,""),IF(CK217=1,CK$4,""),IF(CL217=1,CL$4,""),IF(CM217=1,CM$4,""),IF(CN217=1,CN$4,""),IF(CO217=1,CO$4,""),IF(CP217=1,CP$4,""),IF(CQ217=1,CQ$4,""),IF(CR217=1,CR$4,""),IF(CS217=1,CS$4,""),IF(CT217=1,CT$4,""),IF(CU217=1,CU$4,""),IF(CV217=1,CV$4,""),IF(CW217=1,CW$4,""),IF(CX217=1,CX$4,""),IF(CY217=1,CY$4,""),IF(CZ217=1,CZ$4,""),IF(DA217=1,DA$4,""),IF(DB217=1,DB$4,""),IF(DC217=1,DC$4,""),IF(DD217=1,DD$4,""),IF(DE217=1,DE$4,""),IF(DF217=1,DF$4,""),IF(DG217=1,DG$4,""),IF(DH217=1,DH$4,""),IF(DI217=1,DI$4,""),IF(DJ217=1,DJ$4,""),IF(DK217=1,DK$4,""),IF(DL217=1,DL$4,""),IF(DM217=1,DM$4,""),IF(DN217=1,DN$4,""),IF(DO217=1,DO$4,""),IF(DP217=1,DP$4,""),IF(DQ217=1,DQ$4,""),IF(DR217=1,DR$4,""),IF(DS217=1,DS$4,""),IF(DT217=1,DT$4,""),IF(DU217=1,DU$4,""))</f>
        <v>ACDEE1E2</v>
      </c>
      <c r="BB217" s="501">
        <f>VLOOKUP(W217,'Catalogue Aluminium'!$B$9:$H$93,7,FALSE)</f>
        <v>23</v>
      </c>
      <c r="BC217" s="328">
        <f>AP217*BB217</f>
        <v>23</v>
      </c>
      <c r="BE217" s="336"/>
      <c r="BF217" s="336">
        <v>1</v>
      </c>
      <c r="BG217" s="336"/>
      <c r="BH217" s="336"/>
      <c r="BI217" s="336">
        <v>1</v>
      </c>
      <c r="BJ217" s="336">
        <v>1</v>
      </c>
      <c r="BK217" s="336"/>
      <c r="BL217" s="336"/>
      <c r="BM217" s="336"/>
      <c r="BN217" s="336">
        <v>1</v>
      </c>
      <c r="BO217" s="336"/>
      <c r="BP217" s="336">
        <v>1</v>
      </c>
      <c r="BQ217" s="336">
        <v>1</v>
      </c>
      <c r="BR217" s="336"/>
      <c r="BS217" s="336"/>
      <c r="BT217" s="336"/>
      <c r="BU217" s="336"/>
      <c r="BV217" s="336"/>
      <c r="BW217" s="336"/>
      <c r="BX217" s="336"/>
      <c r="BY217" s="336"/>
      <c r="BZ217" s="336"/>
      <c r="CA217" s="336"/>
      <c r="CB217" s="336"/>
      <c r="CC217" s="336"/>
      <c r="CD217" s="336"/>
      <c r="CE217" s="336"/>
      <c r="CF217" s="336"/>
      <c r="CG217" s="336"/>
      <c r="CH217" s="336"/>
      <c r="CI217" s="336"/>
      <c r="CJ217" s="336"/>
      <c r="CK217" s="336"/>
      <c r="CL217" s="336"/>
      <c r="CM217" s="336"/>
      <c r="CN217" s="336"/>
      <c r="CO217" s="336"/>
      <c r="CP217" s="336"/>
      <c r="CQ217" s="336"/>
      <c r="CR217" s="336"/>
      <c r="CS217" s="336"/>
      <c r="CT217" s="336"/>
      <c r="CU217" s="336"/>
      <c r="CV217" s="336"/>
      <c r="CW217" s="336"/>
      <c r="CX217" s="336"/>
      <c r="CY217" s="336"/>
      <c r="CZ217" s="336"/>
      <c r="DA217" s="336"/>
      <c r="DB217" s="336"/>
      <c r="DC217" s="336"/>
      <c r="DD217" s="336"/>
      <c r="DE217" s="336"/>
      <c r="DF217" s="336"/>
      <c r="DG217" s="336"/>
      <c r="DH217" s="336"/>
      <c r="DI217" s="336"/>
      <c r="DJ217" s="336"/>
      <c r="DK217" s="336"/>
      <c r="DL217" s="336"/>
      <c r="DM217" s="336"/>
      <c r="DN217" s="336"/>
      <c r="DO217" s="336"/>
      <c r="DP217" s="336"/>
      <c r="DQ217" s="336"/>
      <c r="DR217" s="336"/>
      <c r="DS217" s="336"/>
      <c r="DT217" s="336"/>
      <c r="DU217" s="336"/>
      <c r="DW217" s="336">
        <f t="shared" si="1012"/>
        <v>0</v>
      </c>
      <c r="DX217" s="336">
        <f t="shared" si="1004"/>
        <v>23</v>
      </c>
      <c r="DY217" s="336">
        <f t="shared" si="1005"/>
        <v>0</v>
      </c>
      <c r="DZ217" s="336">
        <f t="shared" si="1006"/>
        <v>0</v>
      </c>
      <c r="EA217" s="336">
        <f t="shared" si="1007"/>
        <v>23</v>
      </c>
      <c r="EB217" s="336">
        <f t="shared" si="1008"/>
        <v>23</v>
      </c>
      <c r="EC217" s="336">
        <f t="shared" si="1009"/>
        <v>0</v>
      </c>
      <c r="ED217" s="336">
        <f t="shared" si="1774"/>
        <v>0</v>
      </c>
      <c r="EE217" s="336">
        <f t="shared" si="1775"/>
        <v>0</v>
      </c>
      <c r="EF217" s="336">
        <f t="shared" si="1776"/>
        <v>23</v>
      </c>
      <c r="EG217" s="336">
        <f t="shared" si="1777"/>
        <v>0</v>
      </c>
      <c r="EH217" s="336">
        <f t="shared" si="1778"/>
        <v>23</v>
      </c>
      <c r="EI217" s="336">
        <f t="shared" si="1779"/>
        <v>23</v>
      </c>
      <c r="EJ217" s="336">
        <f t="shared" si="1780"/>
        <v>0</v>
      </c>
      <c r="EK217" s="336">
        <f t="shared" si="1781"/>
        <v>0</v>
      </c>
      <c r="EL217" s="336">
        <f t="shared" si="1782"/>
        <v>0</v>
      </c>
      <c r="EM217" s="336">
        <f t="shared" si="1783"/>
        <v>0</v>
      </c>
      <c r="EN217" s="336">
        <f t="shared" si="1784"/>
        <v>0</v>
      </c>
      <c r="EO217" s="336">
        <f t="shared" si="1785"/>
        <v>0</v>
      </c>
      <c r="EP217" s="336">
        <f t="shared" si="1786"/>
        <v>0</v>
      </c>
      <c r="EQ217" s="336">
        <f t="shared" si="1787"/>
        <v>0</v>
      </c>
      <c r="ER217" s="336">
        <f t="shared" si="1788"/>
        <v>0</v>
      </c>
      <c r="ES217" s="336">
        <f t="shared" si="1789"/>
        <v>0</v>
      </c>
      <c r="ET217" s="336">
        <f t="shared" si="1789"/>
        <v>0</v>
      </c>
      <c r="EU217" s="336">
        <f t="shared" si="1790"/>
        <v>0</v>
      </c>
      <c r="EV217" s="336">
        <f t="shared" si="1791"/>
        <v>0</v>
      </c>
      <c r="EW217" s="336">
        <f t="shared" si="1792"/>
        <v>0</v>
      </c>
      <c r="EX217" s="336">
        <f t="shared" si="1793"/>
        <v>0</v>
      </c>
      <c r="EY217" s="336">
        <f t="shared" si="1794"/>
        <v>0</v>
      </c>
      <c r="EZ217" s="336">
        <f t="shared" si="1795"/>
        <v>0</v>
      </c>
      <c r="FA217" s="336">
        <f t="shared" si="1796"/>
        <v>0</v>
      </c>
      <c r="FB217" s="336">
        <f t="shared" si="1797"/>
        <v>0</v>
      </c>
      <c r="FC217" s="336">
        <f t="shared" si="1798"/>
        <v>0</v>
      </c>
      <c r="FD217" s="336">
        <f t="shared" si="1799"/>
        <v>0</v>
      </c>
      <c r="FE217" s="336">
        <f t="shared" si="1800"/>
        <v>0</v>
      </c>
      <c r="FF217" s="336">
        <f t="shared" si="1801"/>
        <v>0</v>
      </c>
      <c r="FG217" s="336">
        <f t="shared" si="1802"/>
        <v>0</v>
      </c>
      <c r="FH217" s="336">
        <f t="shared" si="1803"/>
        <v>0</v>
      </c>
      <c r="FI217" s="336">
        <f t="shared" si="1804"/>
        <v>0</v>
      </c>
      <c r="FJ217" s="336">
        <f t="shared" si="1805"/>
        <v>0</v>
      </c>
      <c r="FK217" s="336">
        <f t="shared" si="1806"/>
        <v>0</v>
      </c>
      <c r="FL217" s="336">
        <f t="shared" si="1807"/>
        <v>0</v>
      </c>
      <c r="FM217" s="336">
        <f t="shared" si="1808"/>
        <v>0</v>
      </c>
      <c r="FN217" s="336">
        <f t="shared" si="1809"/>
        <v>0</v>
      </c>
      <c r="FO217" s="336">
        <f t="shared" si="1810"/>
        <v>0</v>
      </c>
      <c r="FP217" s="336">
        <f t="shared" si="1811"/>
        <v>0</v>
      </c>
      <c r="FQ217" s="336">
        <f t="shared" si="1812"/>
        <v>0</v>
      </c>
      <c r="FR217" s="336">
        <f t="shared" si="1813"/>
        <v>0</v>
      </c>
      <c r="FS217" s="336">
        <f t="shared" si="1814"/>
        <v>0</v>
      </c>
      <c r="FT217" s="336">
        <f t="shared" si="1815"/>
        <v>0</v>
      </c>
      <c r="FU217" s="336">
        <f t="shared" ref="FU217" si="1852">IF(DC217=1,($BC217*DC217),0)</f>
        <v>0</v>
      </c>
      <c r="FV217" s="336">
        <f t="shared" ref="FV217" si="1853">IF(DD217=1,($BC217*DD217),0)</f>
        <v>0</v>
      </c>
      <c r="FW217" s="336">
        <f t="shared" ref="FW217" si="1854">IF(DE217=1,($BC217*DE217),0)</f>
        <v>0</v>
      </c>
      <c r="FX217" s="336">
        <f t="shared" ref="FX217" si="1855">IF(DF217=1,($BC217*DF217),0)</f>
        <v>0</v>
      </c>
      <c r="FY217" s="336">
        <f t="shared" si="1820"/>
        <v>0</v>
      </c>
      <c r="FZ217" s="336">
        <f t="shared" si="1821"/>
        <v>0</v>
      </c>
      <c r="GA217" s="336">
        <f t="shared" si="1822"/>
        <v>0</v>
      </c>
      <c r="GB217" s="336">
        <f t="shared" si="1823"/>
        <v>0</v>
      </c>
      <c r="GC217" s="336">
        <f t="shared" si="1824"/>
        <v>0</v>
      </c>
      <c r="GD217" s="336">
        <f t="shared" si="1825"/>
        <v>0</v>
      </c>
      <c r="GE217" s="336">
        <f t="shared" si="1826"/>
        <v>0</v>
      </c>
      <c r="GF217" s="336">
        <f t="shared" si="1827"/>
        <v>0</v>
      </c>
      <c r="GG217" s="336">
        <f t="shared" si="1828"/>
        <v>0</v>
      </c>
      <c r="GH217" s="336">
        <f t="shared" si="1829"/>
        <v>0</v>
      </c>
      <c r="GI217" s="336">
        <f t="shared" si="1830"/>
        <v>0</v>
      </c>
      <c r="GJ217" s="336">
        <f t="shared" si="1831"/>
        <v>0</v>
      </c>
      <c r="GK217" s="336">
        <f t="shared" si="1750"/>
        <v>0</v>
      </c>
      <c r="GL217" s="336">
        <f>IF(DT217=1,($BC217*DT217),0)</f>
        <v>0</v>
      </c>
      <c r="GM217" s="336">
        <f t="shared" si="1832"/>
        <v>0</v>
      </c>
    </row>
    <row r="218" spans="1:195" s="83" customFormat="1" ht="20.100000000000001" hidden="1" customHeight="1">
      <c r="A218" s="357" t="s">
        <v>334</v>
      </c>
      <c r="B218" s="562" t="s">
        <v>527</v>
      </c>
      <c r="C218" s="357" t="str">
        <f t="shared" si="1833"/>
        <v>EPMCC-1</v>
      </c>
      <c r="D218" s="395" t="s">
        <v>675</v>
      </c>
      <c r="E218" s="421" t="s">
        <v>345</v>
      </c>
      <c r="F218" s="357" t="s">
        <v>28</v>
      </c>
      <c r="G218" s="357" t="s">
        <v>350</v>
      </c>
      <c r="H218" s="352">
        <v>55</v>
      </c>
      <c r="I218" s="357" t="s">
        <v>330</v>
      </c>
      <c r="J218" s="357" t="s">
        <v>331</v>
      </c>
      <c r="K218" s="353">
        <v>400</v>
      </c>
      <c r="L218" s="360">
        <v>0.85</v>
      </c>
      <c r="M218" s="352">
        <v>0.95400000000000007</v>
      </c>
      <c r="N218" s="359">
        <f t="shared" si="1834"/>
        <v>97.901086153810226</v>
      </c>
      <c r="O218" s="359">
        <f t="shared" si="1771"/>
        <v>587.40651692286133</v>
      </c>
      <c r="P218" s="360">
        <f t="shared" si="1835"/>
        <v>0.2</v>
      </c>
      <c r="Q218" s="352">
        <v>50</v>
      </c>
      <c r="R218" s="352">
        <v>0</v>
      </c>
      <c r="S218" s="352">
        <f t="shared" si="1836"/>
        <v>0</v>
      </c>
      <c r="T218" s="360" t="s">
        <v>131</v>
      </c>
      <c r="U218" s="352" t="s">
        <v>333</v>
      </c>
      <c r="V218" s="360">
        <v>120</v>
      </c>
      <c r="W218" s="360" t="str">
        <f t="shared" si="1837"/>
        <v>3C X 120</v>
      </c>
      <c r="X218" s="360" t="str">
        <f t="shared" si="1838"/>
        <v>3C X 120+PE</v>
      </c>
      <c r="Y218" s="360" t="s">
        <v>358</v>
      </c>
      <c r="Z218" s="361">
        <f>IF(T218="AIR",VLOOKUP(W218,'Catalogue Aluminium'!$B$9:$G$93,2,FALSE),IF(T218="GROUND",VLOOKUP(W218,'Catalogue Aluminium'!$B$9:$G$93,3,FALSE),IF(T218="DUCT",VLOOKUP(W218,'Catalogue Aluminium'!$B$9:$G$93,4,FALSE),IF(T218="TRENCH",VLOOKUP(W218,'Catalogue Aluminium'!$B$9:$G$93,2,FALSE)))))</f>
        <v>257</v>
      </c>
      <c r="AA218" s="362">
        <f>VLOOKUP(W218,'Catalogue Aluminium'!$B$9:$G$93,5,FALSE)</f>
        <v>0.32400000000000001</v>
      </c>
      <c r="AB218" s="362">
        <f>VLOOKUP(W218,'Catalogue Aluminium'!$B$9:$G$93,6,FALSE)</f>
        <v>7.2599999999999998E-2</v>
      </c>
      <c r="AC218" s="564">
        <f>28+7</f>
        <v>35</v>
      </c>
      <c r="AD218" s="360">
        <f t="shared" ref="AD218:AD225" si="1856">11+34+48+35+30+11+24+(15+3+26)</f>
        <v>237</v>
      </c>
      <c r="AE218" s="456">
        <f t="shared" si="1839"/>
        <v>38</v>
      </c>
      <c r="AF218" s="360">
        <v>8</v>
      </c>
      <c r="AG218" s="360">
        <f t="shared" si="1840"/>
        <v>32</v>
      </c>
      <c r="AH218" s="363"/>
      <c r="AI218" s="361">
        <f>IF(T218="AIR",'Catalogue Aluminium'!$K$9,IF(T218="TRENCH",'Catalogue Aluminium'!$K$12,"NA"))</f>
        <v>0.89</v>
      </c>
      <c r="AJ218" s="359">
        <f>IF(T218="Air",(IF(U218="1C",'Catalogue Aluminium'!$L$9,'Catalogue Aluminium'!$M$9)),IF(T218="DUCT",(IF($U218="1C",'Catalogue Aluminium'!$L$10,'Catalogue Aluminium'!$M$10)),IF(T218="GROUND",(IF($U218="1C",'Catalogue Aluminium'!$L$11,'Catalogue Aluminium'!$M$11)),IF(T218="TRENCH",(IF($U218="1C",'Catalogue Aluminium'!$L$12,'Catalogue Aluminium'!$M$12))))))</f>
        <v>0.66</v>
      </c>
      <c r="AK218" s="361" t="str">
        <f>IF(T218="Air",'Catalogue Aluminium'!$N$9,IF(T218="GROUND",'Catalogue Aluminium'!$N$10,IF(T218="DUCT",'Catalogue Aluminium'!$N$11,IF(T218="TRENCH",'Catalogue Aluminium'!$N$12,"NA"))))</f>
        <v>NA</v>
      </c>
      <c r="AL218" s="361" t="str">
        <f>IF(T218="Air",(IF(U218="1C",'Catalogue Aluminium'!$O$9,'Catalogue Aluminium'!$P$9)),IF(T218="DUCT",(IF($U218="1C",'Catalogue Aluminium'!$O$10,'Catalogue Aluminium'!$P$10)),IF(T218="GROUND",(IF($U218="1C",'Catalogue Aluminium'!$O$11,'Catalogue Aluminium'!$P$11)),IF(T218="TRENCH",(IF($U218="1C",'Catalogue Aluminium'!$O$12,'Catalogue Aluminium'!$P$12))))))</f>
        <v>NA</v>
      </c>
      <c r="AM218" s="361" t="str">
        <f>IF(T218="AIR","NA",IF(T218="TRENCH","NA",IF(T218="DUCT",IF(U218="1C",VLOOKUP(V218,'Catalogue Aluminium'!$Q$9:$S$28,2,FALSE),VLOOKUP(V218,'Catalogue Aluminium'!$Q$9:$S$28,3)),IF(T218="GROUND",IF(U218="1C",VLOOKUP(V218,'Catalogue Aluminium'!$Q$9:$S$28,2,FALSE),VLOOKUP(V218,'Catalogue Aluminium'!$Q$9:$S$28,3))))))</f>
        <v>NA</v>
      </c>
      <c r="AN218" s="365">
        <f t="shared" si="1841"/>
        <v>0.58740000000000003</v>
      </c>
      <c r="AO218" s="352">
        <f t="shared" si="1842"/>
        <v>150.96180000000001</v>
      </c>
      <c r="AP218" s="495">
        <f t="shared" si="1303"/>
        <v>1</v>
      </c>
      <c r="AQ218" s="352" t="str">
        <f t="shared" si="1843"/>
        <v>YES</v>
      </c>
      <c r="AR218" s="365">
        <f t="shared" si="1844"/>
        <v>0</v>
      </c>
      <c r="AS218" s="496" t="str">
        <f t="shared" si="1845"/>
        <v>YES</v>
      </c>
      <c r="AT218" s="497">
        <f t="shared" si="1846"/>
        <v>0</v>
      </c>
      <c r="AU218" s="360" t="str">
        <f t="shared" si="1847"/>
        <v>YES</v>
      </c>
      <c r="AV218" s="366" t="str">
        <f t="shared" si="1848"/>
        <v>1R x 0.6/1kV x 3C x 120 Sqmm</v>
      </c>
      <c r="AW218" s="366" t="str">
        <f t="shared" si="1849"/>
        <v>1R x 0.6/1kV x 3C x 120+PE Sqmm</v>
      </c>
      <c r="AX218" s="360"/>
      <c r="AY218" s="367"/>
      <c r="AZ218" s="367"/>
      <c r="BA218" s="520" t="str">
        <f t="shared" si="1851"/>
        <v/>
      </c>
      <c r="BB218" s="498"/>
      <c r="BC218" s="426"/>
      <c r="BE218" s="368"/>
      <c r="BF218" s="368"/>
      <c r="BG218" s="368"/>
      <c r="BH218" s="368"/>
      <c r="BI218" s="368"/>
      <c r="BJ218" s="368"/>
      <c r="BK218" s="368"/>
      <c r="BL218" s="368"/>
      <c r="BM218" s="368"/>
      <c r="BN218" s="368"/>
      <c r="BO218" s="368"/>
      <c r="BP218" s="368"/>
      <c r="BQ218" s="368"/>
      <c r="BR218" s="368"/>
      <c r="BS218" s="368"/>
      <c r="BT218" s="368"/>
      <c r="BU218" s="368"/>
      <c r="BV218" s="368"/>
      <c r="BW218" s="368"/>
      <c r="BX218" s="368"/>
      <c r="BY218" s="368"/>
      <c r="BZ218" s="368"/>
      <c r="CA218" s="368"/>
      <c r="CB218" s="368"/>
      <c r="CC218" s="368"/>
      <c r="CD218" s="368"/>
      <c r="CE218" s="368"/>
      <c r="CF218" s="368"/>
      <c r="CG218" s="368"/>
      <c r="CH218" s="368"/>
      <c r="CI218" s="368"/>
      <c r="CJ218" s="368"/>
      <c r="CK218" s="368"/>
      <c r="CL218" s="368"/>
      <c r="CM218" s="368"/>
      <c r="CN218" s="368"/>
      <c r="CO218" s="368"/>
      <c r="CP218" s="368"/>
      <c r="CQ218" s="368"/>
      <c r="CR218" s="368"/>
      <c r="CS218" s="368"/>
      <c r="CT218" s="368"/>
      <c r="CU218" s="368"/>
      <c r="CV218" s="368"/>
      <c r="CW218" s="368"/>
      <c r="CX218" s="368"/>
      <c r="CY218" s="368"/>
      <c r="CZ218" s="368"/>
      <c r="DA218" s="368"/>
      <c r="DB218" s="368"/>
      <c r="DC218" s="368"/>
      <c r="DD218" s="368"/>
      <c r="DE218" s="368"/>
      <c r="DF218" s="368"/>
      <c r="DG218" s="368"/>
      <c r="DH218" s="368"/>
      <c r="DI218" s="368"/>
      <c r="DJ218" s="368"/>
      <c r="DK218" s="368"/>
      <c r="DL218" s="368"/>
      <c r="DM218" s="368"/>
      <c r="DN218" s="368"/>
      <c r="DO218" s="368"/>
      <c r="DP218" s="368"/>
      <c r="DQ218" s="368"/>
      <c r="DR218" s="368"/>
      <c r="DS218" s="368"/>
      <c r="DT218" s="368"/>
      <c r="DU218" s="368"/>
      <c r="DW218" s="368">
        <f t="shared" si="1012"/>
        <v>0</v>
      </c>
      <c r="DX218" s="368">
        <f t="shared" si="1004"/>
        <v>0</v>
      </c>
      <c r="DY218" s="368">
        <f t="shared" si="1005"/>
        <v>0</v>
      </c>
      <c r="DZ218" s="368">
        <f t="shared" si="1006"/>
        <v>0</v>
      </c>
      <c r="EA218" s="368">
        <f t="shared" si="1007"/>
        <v>0</v>
      </c>
      <c r="EB218" s="368">
        <f t="shared" si="1008"/>
        <v>0</v>
      </c>
      <c r="EC218" s="368">
        <f t="shared" si="1009"/>
        <v>0</v>
      </c>
      <c r="ED218" s="368">
        <f t="shared" si="1774"/>
        <v>0</v>
      </c>
      <c r="EE218" s="368">
        <f t="shared" si="1775"/>
        <v>0</v>
      </c>
      <c r="EF218" s="368">
        <f t="shared" si="1776"/>
        <v>0</v>
      </c>
      <c r="EG218" s="368">
        <f t="shared" si="1777"/>
        <v>0</v>
      </c>
      <c r="EH218" s="368">
        <f t="shared" si="1778"/>
        <v>0</v>
      </c>
      <c r="EI218" s="368">
        <f t="shared" si="1779"/>
        <v>0</v>
      </c>
      <c r="EJ218" s="368">
        <f t="shared" si="1780"/>
        <v>0</v>
      </c>
      <c r="EK218" s="368">
        <f t="shared" si="1781"/>
        <v>0</v>
      </c>
      <c r="EL218" s="368">
        <f t="shared" si="1782"/>
        <v>0</v>
      </c>
      <c r="EM218" s="368">
        <f t="shared" si="1783"/>
        <v>0</v>
      </c>
      <c r="EN218" s="368">
        <f t="shared" si="1784"/>
        <v>0</v>
      </c>
      <c r="EO218" s="368">
        <f t="shared" si="1785"/>
        <v>0</v>
      </c>
      <c r="EP218" s="368">
        <f t="shared" si="1786"/>
        <v>0</v>
      </c>
      <c r="EQ218" s="368">
        <f t="shared" si="1787"/>
        <v>0</v>
      </c>
      <c r="ER218" s="368">
        <f t="shared" si="1788"/>
        <v>0</v>
      </c>
      <c r="ES218" s="368">
        <f t="shared" si="1789"/>
        <v>0</v>
      </c>
      <c r="ET218" s="368">
        <f t="shared" si="1789"/>
        <v>0</v>
      </c>
      <c r="EU218" s="368">
        <f t="shared" si="1790"/>
        <v>0</v>
      </c>
      <c r="EV218" s="368">
        <f t="shared" si="1791"/>
        <v>0</v>
      </c>
      <c r="EW218" s="368">
        <f t="shared" si="1792"/>
        <v>0</v>
      </c>
      <c r="EX218" s="368">
        <f t="shared" si="1793"/>
        <v>0</v>
      </c>
      <c r="EY218" s="368">
        <f t="shared" si="1794"/>
        <v>0</v>
      </c>
      <c r="EZ218" s="368">
        <f t="shared" si="1795"/>
        <v>0</v>
      </c>
      <c r="FA218" s="368">
        <f t="shared" si="1796"/>
        <v>0</v>
      </c>
      <c r="FB218" s="368">
        <f t="shared" si="1797"/>
        <v>0</v>
      </c>
      <c r="FC218" s="368">
        <f t="shared" si="1798"/>
        <v>0</v>
      </c>
      <c r="FD218" s="368">
        <f t="shared" si="1799"/>
        <v>0</v>
      </c>
      <c r="FE218" s="368">
        <f t="shared" si="1800"/>
        <v>0</v>
      </c>
      <c r="FF218" s="368">
        <f t="shared" si="1801"/>
        <v>0</v>
      </c>
      <c r="FG218" s="368">
        <f t="shared" si="1802"/>
        <v>0</v>
      </c>
      <c r="FH218" s="368">
        <f t="shared" si="1803"/>
        <v>0</v>
      </c>
      <c r="FI218" s="368">
        <f t="shared" si="1804"/>
        <v>0</v>
      </c>
      <c r="FJ218" s="368">
        <f t="shared" si="1805"/>
        <v>0</v>
      </c>
      <c r="FK218" s="368">
        <f t="shared" si="1806"/>
        <v>0</v>
      </c>
      <c r="FL218" s="368">
        <f t="shared" si="1807"/>
        <v>0</v>
      </c>
      <c r="FM218" s="368">
        <f t="shared" si="1808"/>
        <v>0</v>
      </c>
      <c r="FN218" s="368">
        <f t="shared" si="1809"/>
        <v>0</v>
      </c>
      <c r="FO218" s="368">
        <f t="shared" si="1810"/>
        <v>0</v>
      </c>
      <c r="FP218" s="368">
        <f t="shared" si="1811"/>
        <v>0</v>
      </c>
      <c r="FQ218" s="368">
        <f t="shared" si="1812"/>
        <v>0</v>
      </c>
      <c r="FR218" s="368">
        <f t="shared" si="1813"/>
        <v>0</v>
      </c>
      <c r="FS218" s="368">
        <f t="shared" si="1814"/>
        <v>0</v>
      </c>
      <c r="FT218" s="368">
        <f t="shared" si="1815"/>
        <v>0</v>
      </c>
      <c r="FU218" s="368"/>
      <c r="FV218" s="368"/>
      <c r="FW218" s="368"/>
      <c r="FX218" s="368"/>
      <c r="FY218" s="368">
        <f t="shared" si="1820"/>
        <v>0</v>
      </c>
      <c r="FZ218" s="368">
        <f t="shared" si="1821"/>
        <v>0</v>
      </c>
      <c r="GA218" s="368">
        <f t="shared" si="1822"/>
        <v>0</v>
      </c>
      <c r="GB218" s="368">
        <f t="shared" si="1823"/>
        <v>0</v>
      </c>
      <c r="GC218" s="368">
        <f t="shared" si="1824"/>
        <v>0</v>
      </c>
      <c r="GD218" s="368">
        <f t="shared" si="1825"/>
        <v>0</v>
      </c>
      <c r="GE218" s="368">
        <f t="shared" si="1826"/>
        <v>0</v>
      </c>
      <c r="GF218" s="368">
        <f t="shared" si="1827"/>
        <v>0</v>
      </c>
      <c r="GG218" s="368">
        <f t="shared" si="1828"/>
        <v>0</v>
      </c>
      <c r="GH218" s="368">
        <f t="shared" si="1829"/>
        <v>0</v>
      </c>
      <c r="GI218" s="368">
        <f t="shared" si="1830"/>
        <v>0</v>
      </c>
      <c r="GJ218" s="368">
        <f t="shared" si="1831"/>
        <v>0</v>
      </c>
      <c r="GK218" s="368">
        <f t="shared" si="1750"/>
        <v>0</v>
      </c>
      <c r="GL218" s="368"/>
      <c r="GM218" s="368">
        <f t="shared" si="1832"/>
        <v>0</v>
      </c>
    </row>
    <row r="219" spans="1:195" s="83" customFormat="1" ht="20.100000000000001" hidden="1" customHeight="1">
      <c r="A219" s="357" t="s">
        <v>334</v>
      </c>
      <c r="B219" s="562" t="s">
        <v>527</v>
      </c>
      <c r="C219" s="357" t="str">
        <f t="shared" si="1833"/>
        <v>EPMCC-1</v>
      </c>
      <c r="D219" s="395" t="s">
        <v>676</v>
      </c>
      <c r="E219" s="421" t="s">
        <v>345</v>
      </c>
      <c r="F219" s="357" t="s">
        <v>29</v>
      </c>
      <c r="G219" s="357" t="s">
        <v>350</v>
      </c>
      <c r="H219" s="352">
        <v>55</v>
      </c>
      <c r="I219" s="357" t="s">
        <v>330</v>
      </c>
      <c r="J219" s="357" t="s">
        <v>331</v>
      </c>
      <c r="K219" s="353">
        <v>400</v>
      </c>
      <c r="L219" s="360">
        <v>0.85</v>
      </c>
      <c r="M219" s="352">
        <v>0.95400000000000007</v>
      </c>
      <c r="N219" s="359">
        <f t="shared" si="1834"/>
        <v>97.901086153810226</v>
      </c>
      <c r="O219" s="359">
        <f t="shared" si="1771"/>
        <v>587.40651692286133</v>
      </c>
      <c r="P219" s="360">
        <f t="shared" si="1835"/>
        <v>0.2</v>
      </c>
      <c r="Q219" s="352">
        <v>50</v>
      </c>
      <c r="R219" s="352">
        <v>0</v>
      </c>
      <c r="S219" s="352">
        <f t="shared" si="1836"/>
        <v>0</v>
      </c>
      <c r="T219" s="360" t="s">
        <v>131</v>
      </c>
      <c r="U219" s="352" t="s">
        <v>333</v>
      </c>
      <c r="V219" s="360">
        <v>120</v>
      </c>
      <c r="W219" s="360" t="str">
        <f t="shared" si="1837"/>
        <v>3C X 120</v>
      </c>
      <c r="X219" s="360" t="str">
        <f t="shared" si="1838"/>
        <v>3C X 120+PE</v>
      </c>
      <c r="Y219" s="360" t="s">
        <v>358</v>
      </c>
      <c r="Z219" s="361">
        <f>IF(T219="AIR",VLOOKUP(W219,'Catalogue Aluminium'!$B$9:$G$93,2,FALSE),IF(T219="GROUND",VLOOKUP(W219,'Catalogue Aluminium'!$B$9:$G$93,3,FALSE),IF(T219="DUCT",VLOOKUP(W219,'Catalogue Aluminium'!$B$9:$G$93,4,FALSE),IF(T219="TRENCH",VLOOKUP(W219,'Catalogue Aluminium'!$B$9:$G$93,2,FALSE)))))</f>
        <v>257</v>
      </c>
      <c r="AA219" s="362">
        <f>VLOOKUP(W219,'Catalogue Aluminium'!$B$9:$G$93,5,FALSE)</f>
        <v>0.32400000000000001</v>
      </c>
      <c r="AB219" s="362">
        <f>VLOOKUP(W219,'Catalogue Aluminium'!$B$9:$G$93,6,FALSE)</f>
        <v>7.2599999999999998E-2</v>
      </c>
      <c r="AC219" s="564">
        <f>22+7</f>
        <v>29</v>
      </c>
      <c r="AD219" s="360">
        <f t="shared" si="1856"/>
        <v>237</v>
      </c>
      <c r="AE219" s="456">
        <f t="shared" si="1839"/>
        <v>38</v>
      </c>
      <c r="AF219" s="360">
        <v>8</v>
      </c>
      <c r="AG219" s="360">
        <f t="shared" si="1840"/>
        <v>32</v>
      </c>
      <c r="AH219" s="363"/>
      <c r="AI219" s="361">
        <f>IF(T219="AIR",'Catalogue Aluminium'!$K$9,IF(T219="TRENCH",'Catalogue Aluminium'!$K$12,"NA"))</f>
        <v>0.89</v>
      </c>
      <c r="AJ219" s="359">
        <f>IF(T219="Air",(IF(U219="1C",'Catalogue Aluminium'!$L$9,'Catalogue Aluminium'!$M$9)),IF(T219="DUCT",(IF($U219="1C",'Catalogue Aluminium'!$L$10,'Catalogue Aluminium'!$M$10)),IF(T219="GROUND",(IF($U219="1C",'Catalogue Aluminium'!$L$11,'Catalogue Aluminium'!$M$11)),IF(T219="TRENCH",(IF($U219="1C",'Catalogue Aluminium'!$L$12,'Catalogue Aluminium'!$M$12))))))</f>
        <v>0.66</v>
      </c>
      <c r="AK219" s="361" t="str">
        <f>IF(T219="Air",'Catalogue Aluminium'!$N$9,IF(T219="GROUND",'Catalogue Aluminium'!$N$10,IF(T219="DUCT",'Catalogue Aluminium'!$N$11,IF(T219="TRENCH",'Catalogue Aluminium'!$N$12,"NA"))))</f>
        <v>NA</v>
      </c>
      <c r="AL219" s="361" t="str">
        <f>IF(T219="Air",(IF(U219="1C",'Catalogue Aluminium'!$O$9,'Catalogue Aluminium'!$P$9)),IF(T219="DUCT",(IF($U219="1C",'Catalogue Aluminium'!$O$10,'Catalogue Aluminium'!$P$10)),IF(T219="GROUND",(IF($U219="1C",'Catalogue Aluminium'!$O$11,'Catalogue Aluminium'!$P$11)),IF(T219="TRENCH",(IF($U219="1C",'Catalogue Aluminium'!$O$12,'Catalogue Aluminium'!$P$12))))))</f>
        <v>NA</v>
      </c>
      <c r="AM219" s="361" t="str">
        <f>IF(T219="AIR","NA",IF(T219="TRENCH","NA",IF(T219="DUCT",IF(U219="1C",VLOOKUP(V219,'Catalogue Aluminium'!$Q$9:$S$28,2,FALSE),VLOOKUP(V219,'Catalogue Aluminium'!$Q$9:$S$28,3)),IF(T219="GROUND",IF(U219="1C",VLOOKUP(V219,'Catalogue Aluminium'!$Q$9:$S$28,2,FALSE),VLOOKUP(V219,'Catalogue Aluminium'!$Q$9:$S$28,3))))))</f>
        <v>NA</v>
      </c>
      <c r="AN219" s="365">
        <f t="shared" si="1841"/>
        <v>0.58740000000000003</v>
      </c>
      <c r="AO219" s="352">
        <f t="shared" si="1842"/>
        <v>150.96180000000001</v>
      </c>
      <c r="AP219" s="495">
        <f t="shared" si="1303"/>
        <v>1</v>
      </c>
      <c r="AQ219" s="352" t="str">
        <f t="shared" si="1843"/>
        <v>YES</v>
      </c>
      <c r="AR219" s="365">
        <f t="shared" si="1844"/>
        <v>0</v>
      </c>
      <c r="AS219" s="496" t="str">
        <f t="shared" si="1845"/>
        <v>YES</v>
      </c>
      <c r="AT219" s="497">
        <f t="shared" si="1846"/>
        <v>0</v>
      </c>
      <c r="AU219" s="360" t="str">
        <f t="shared" si="1847"/>
        <v>YES</v>
      </c>
      <c r="AV219" s="366" t="str">
        <f t="shared" si="1848"/>
        <v>1R x 0.6/1kV x 3C x 120 Sqmm</v>
      </c>
      <c r="AW219" s="366" t="str">
        <f t="shared" si="1849"/>
        <v>1R x 0.6/1kV x 3C x 120+PE Sqmm</v>
      </c>
      <c r="AX219" s="360"/>
      <c r="AY219" s="367"/>
      <c r="AZ219" s="367"/>
      <c r="BA219" s="520" t="str">
        <f t="shared" si="1851"/>
        <v/>
      </c>
      <c r="BB219" s="498"/>
      <c r="BC219" s="426"/>
      <c r="BE219" s="368"/>
      <c r="BF219" s="368"/>
      <c r="BG219" s="368"/>
      <c r="BH219" s="368"/>
      <c r="BI219" s="368"/>
      <c r="BJ219" s="368"/>
      <c r="BK219" s="368"/>
      <c r="BL219" s="368"/>
      <c r="BM219" s="368"/>
      <c r="BN219" s="368"/>
      <c r="BO219" s="368"/>
      <c r="BP219" s="368"/>
      <c r="BQ219" s="368"/>
      <c r="BR219" s="368"/>
      <c r="BS219" s="368"/>
      <c r="BT219" s="368"/>
      <c r="BU219" s="368"/>
      <c r="BV219" s="368"/>
      <c r="BW219" s="368"/>
      <c r="BX219" s="368"/>
      <c r="BY219" s="368"/>
      <c r="BZ219" s="368"/>
      <c r="CA219" s="368"/>
      <c r="CB219" s="368"/>
      <c r="CC219" s="368"/>
      <c r="CD219" s="368"/>
      <c r="CE219" s="368"/>
      <c r="CF219" s="368"/>
      <c r="CG219" s="368"/>
      <c r="CH219" s="368"/>
      <c r="CI219" s="368"/>
      <c r="CJ219" s="368"/>
      <c r="CK219" s="368"/>
      <c r="CL219" s="368"/>
      <c r="CM219" s="368"/>
      <c r="CN219" s="368"/>
      <c r="CO219" s="368"/>
      <c r="CP219" s="368"/>
      <c r="CQ219" s="368"/>
      <c r="CR219" s="368"/>
      <c r="CS219" s="368"/>
      <c r="CT219" s="368"/>
      <c r="CU219" s="368"/>
      <c r="CV219" s="368"/>
      <c r="CW219" s="368"/>
      <c r="CX219" s="368"/>
      <c r="CY219" s="368"/>
      <c r="CZ219" s="368"/>
      <c r="DA219" s="368"/>
      <c r="DB219" s="368"/>
      <c r="DC219" s="368"/>
      <c r="DD219" s="368"/>
      <c r="DE219" s="368"/>
      <c r="DF219" s="368"/>
      <c r="DG219" s="368"/>
      <c r="DH219" s="368"/>
      <c r="DI219" s="368"/>
      <c r="DJ219" s="368"/>
      <c r="DK219" s="368"/>
      <c r="DL219" s="368"/>
      <c r="DM219" s="368"/>
      <c r="DN219" s="368"/>
      <c r="DO219" s="368"/>
      <c r="DP219" s="368"/>
      <c r="DQ219" s="368"/>
      <c r="DR219" s="368"/>
      <c r="DS219" s="368"/>
      <c r="DT219" s="368"/>
      <c r="DU219" s="368"/>
      <c r="DW219" s="368">
        <f t="shared" si="1012"/>
        <v>0</v>
      </c>
      <c r="DX219" s="368">
        <f t="shared" si="1004"/>
        <v>0</v>
      </c>
      <c r="DY219" s="368">
        <f t="shared" si="1005"/>
        <v>0</v>
      </c>
      <c r="DZ219" s="368">
        <f t="shared" si="1006"/>
        <v>0</v>
      </c>
      <c r="EA219" s="368">
        <f t="shared" si="1007"/>
        <v>0</v>
      </c>
      <c r="EB219" s="368">
        <f t="shared" si="1008"/>
        <v>0</v>
      </c>
      <c r="EC219" s="368">
        <f t="shared" si="1009"/>
        <v>0</v>
      </c>
      <c r="ED219" s="368">
        <f t="shared" si="1774"/>
        <v>0</v>
      </c>
      <c r="EE219" s="368">
        <f t="shared" si="1775"/>
        <v>0</v>
      </c>
      <c r="EF219" s="368">
        <f t="shared" si="1776"/>
        <v>0</v>
      </c>
      <c r="EG219" s="368">
        <f t="shared" si="1777"/>
        <v>0</v>
      </c>
      <c r="EH219" s="368">
        <f t="shared" si="1778"/>
        <v>0</v>
      </c>
      <c r="EI219" s="368">
        <f t="shared" si="1779"/>
        <v>0</v>
      </c>
      <c r="EJ219" s="368">
        <f t="shared" si="1780"/>
        <v>0</v>
      </c>
      <c r="EK219" s="368">
        <f t="shared" si="1781"/>
        <v>0</v>
      </c>
      <c r="EL219" s="368">
        <f t="shared" si="1782"/>
        <v>0</v>
      </c>
      <c r="EM219" s="368">
        <f t="shared" si="1783"/>
        <v>0</v>
      </c>
      <c r="EN219" s="368">
        <f t="shared" si="1784"/>
        <v>0</v>
      </c>
      <c r="EO219" s="368">
        <f t="shared" si="1785"/>
        <v>0</v>
      </c>
      <c r="EP219" s="368">
        <f t="shared" si="1786"/>
        <v>0</v>
      </c>
      <c r="EQ219" s="368">
        <f t="shared" si="1787"/>
        <v>0</v>
      </c>
      <c r="ER219" s="368">
        <f t="shared" si="1788"/>
        <v>0</v>
      </c>
      <c r="ES219" s="368">
        <f t="shared" si="1789"/>
        <v>0</v>
      </c>
      <c r="ET219" s="368">
        <f t="shared" si="1789"/>
        <v>0</v>
      </c>
      <c r="EU219" s="368">
        <f t="shared" si="1790"/>
        <v>0</v>
      </c>
      <c r="EV219" s="368">
        <f t="shared" si="1791"/>
        <v>0</v>
      </c>
      <c r="EW219" s="368">
        <f t="shared" si="1792"/>
        <v>0</v>
      </c>
      <c r="EX219" s="368">
        <f t="shared" si="1793"/>
        <v>0</v>
      </c>
      <c r="EY219" s="368">
        <f t="shared" si="1794"/>
        <v>0</v>
      </c>
      <c r="EZ219" s="368">
        <f t="shared" si="1795"/>
        <v>0</v>
      </c>
      <c r="FA219" s="368">
        <f t="shared" si="1796"/>
        <v>0</v>
      </c>
      <c r="FB219" s="368">
        <f t="shared" si="1797"/>
        <v>0</v>
      </c>
      <c r="FC219" s="368">
        <f t="shared" si="1798"/>
        <v>0</v>
      </c>
      <c r="FD219" s="368">
        <f t="shared" si="1799"/>
        <v>0</v>
      </c>
      <c r="FE219" s="368">
        <f t="shared" si="1800"/>
        <v>0</v>
      </c>
      <c r="FF219" s="368">
        <f t="shared" si="1801"/>
        <v>0</v>
      </c>
      <c r="FG219" s="368">
        <f t="shared" si="1802"/>
        <v>0</v>
      </c>
      <c r="FH219" s="368">
        <f t="shared" si="1803"/>
        <v>0</v>
      </c>
      <c r="FI219" s="368">
        <f t="shared" si="1804"/>
        <v>0</v>
      </c>
      <c r="FJ219" s="368">
        <f t="shared" si="1805"/>
        <v>0</v>
      </c>
      <c r="FK219" s="368">
        <f t="shared" si="1806"/>
        <v>0</v>
      </c>
      <c r="FL219" s="368">
        <f t="shared" si="1807"/>
        <v>0</v>
      </c>
      <c r="FM219" s="368">
        <f t="shared" si="1808"/>
        <v>0</v>
      </c>
      <c r="FN219" s="368">
        <f t="shared" si="1809"/>
        <v>0</v>
      </c>
      <c r="FO219" s="368">
        <f t="shared" si="1810"/>
        <v>0</v>
      </c>
      <c r="FP219" s="368">
        <f t="shared" si="1811"/>
        <v>0</v>
      </c>
      <c r="FQ219" s="368">
        <f t="shared" si="1812"/>
        <v>0</v>
      </c>
      <c r="FR219" s="368">
        <f t="shared" si="1813"/>
        <v>0</v>
      </c>
      <c r="FS219" s="368">
        <f t="shared" si="1814"/>
        <v>0</v>
      </c>
      <c r="FT219" s="368">
        <f t="shared" si="1815"/>
        <v>0</v>
      </c>
      <c r="FU219" s="368"/>
      <c r="FV219" s="368"/>
      <c r="FW219" s="368"/>
      <c r="FX219" s="368"/>
      <c r="FY219" s="368">
        <f t="shared" si="1820"/>
        <v>0</v>
      </c>
      <c r="FZ219" s="368">
        <f t="shared" si="1821"/>
        <v>0</v>
      </c>
      <c r="GA219" s="368">
        <f t="shared" si="1822"/>
        <v>0</v>
      </c>
      <c r="GB219" s="368">
        <f t="shared" si="1823"/>
        <v>0</v>
      </c>
      <c r="GC219" s="368">
        <f t="shared" si="1824"/>
        <v>0</v>
      </c>
      <c r="GD219" s="368">
        <f t="shared" si="1825"/>
        <v>0</v>
      </c>
      <c r="GE219" s="368">
        <f t="shared" si="1826"/>
        <v>0</v>
      </c>
      <c r="GF219" s="368">
        <f t="shared" si="1827"/>
        <v>0</v>
      </c>
      <c r="GG219" s="368">
        <f t="shared" si="1828"/>
        <v>0</v>
      </c>
      <c r="GH219" s="368">
        <f t="shared" si="1829"/>
        <v>0</v>
      </c>
      <c r="GI219" s="368">
        <f t="shared" si="1830"/>
        <v>0</v>
      </c>
      <c r="GJ219" s="368">
        <f t="shared" si="1831"/>
        <v>0</v>
      </c>
      <c r="GK219" s="368">
        <f t="shared" si="1750"/>
        <v>0</v>
      </c>
      <c r="GL219" s="368"/>
      <c r="GM219" s="368">
        <f t="shared" si="1832"/>
        <v>0</v>
      </c>
    </row>
    <row r="220" spans="1:195" ht="34.5" customHeight="1">
      <c r="A220" s="337">
        <f>1+A217</f>
        <v>147</v>
      </c>
      <c r="B220" s="897" t="s">
        <v>1689</v>
      </c>
      <c r="C220" s="337" t="str">
        <f t="shared" si="1833"/>
        <v>EPMCC-1</v>
      </c>
      <c r="D220" s="372" t="s">
        <v>677</v>
      </c>
      <c r="E220" s="453" t="s">
        <v>345</v>
      </c>
      <c r="F220" s="337" t="s">
        <v>28</v>
      </c>
      <c r="G220" s="337" t="s">
        <v>350</v>
      </c>
      <c r="H220" s="418">
        <v>5.5</v>
      </c>
      <c r="I220" s="337" t="s">
        <v>330</v>
      </c>
      <c r="J220" s="337" t="s">
        <v>331</v>
      </c>
      <c r="K220" s="349">
        <v>400</v>
      </c>
      <c r="L220" s="343">
        <v>0.79</v>
      </c>
      <c r="M220" s="350">
        <v>0.8859999999999999</v>
      </c>
      <c r="N220" s="342">
        <f t="shared" si="1834"/>
        <v>11.342113718622269</v>
      </c>
      <c r="O220" s="342">
        <f t="shared" si="1771"/>
        <v>68.052682311733605</v>
      </c>
      <c r="P220" s="343">
        <f t="shared" si="1835"/>
        <v>0.2</v>
      </c>
      <c r="Q220" s="350">
        <v>50</v>
      </c>
      <c r="R220" s="350">
        <v>0</v>
      </c>
      <c r="S220" s="350">
        <f t="shared" si="1836"/>
        <v>0</v>
      </c>
      <c r="T220" s="343" t="s">
        <v>131</v>
      </c>
      <c r="U220" s="350" t="s">
        <v>333</v>
      </c>
      <c r="V220" s="343">
        <v>25</v>
      </c>
      <c r="W220" s="343" t="str">
        <f t="shared" si="1837"/>
        <v>3C X 25</v>
      </c>
      <c r="X220" s="343" t="str">
        <f t="shared" si="1838"/>
        <v>3C X 25+PE</v>
      </c>
      <c r="Y220" s="343" t="s">
        <v>358</v>
      </c>
      <c r="Z220" s="344">
        <f>IF(T220="AIR",VLOOKUP(W220,'Catalogue Aluminium'!$B$9:$G$93,2,FALSE),IF(T220="GROUND",VLOOKUP(W220,'Catalogue Aluminium'!$B$9:$G$93,3,FALSE),IF(T220="DUCT",VLOOKUP(W220,'Catalogue Aluminium'!$B$9:$G$93,4,FALSE),IF(T220="TRENCH",VLOOKUP(W220,'Catalogue Aluminium'!$B$9:$G$93,2,FALSE)))))</f>
        <v>95</v>
      </c>
      <c r="AA220" s="345">
        <f>VLOOKUP(W220,'Catalogue Aluminium'!$B$9:$G$93,5,FALSE)</f>
        <v>1.54</v>
      </c>
      <c r="AB220" s="345">
        <f>VLOOKUP(W220,'Catalogue Aluminium'!$B$9:$G$93,6,FALSE)</f>
        <v>8.1600000000000006E-2</v>
      </c>
      <c r="AC220" s="457">
        <f t="shared" ref="AC220" si="1857">32+6</f>
        <v>38</v>
      </c>
      <c r="AD220" s="401">
        <f>40+50+38+50+17+(27+46)</f>
        <v>268</v>
      </c>
      <c r="AE220" s="401">
        <f t="shared" si="1839"/>
        <v>38</v>
      </c>
      <c r="AF220" s="401">
        <v>8</v>
      </c>
      <c r="AG220" s="401">
        <f t="shared" si="1840"/>
        <v>36</v>
      </c>
      <c r="AH220" s="347">
        <f t="shared" si="1850"/>
        <v>388</v>
      </c>
      <c r="AI220" s="344">
        <f>IF(T220="AIR",'Catalogue Aluminium'!$K$9,IF(T220="TRENCH",'Catalogue Aluminium'!$K$12,"NA"))</f>
        <v>0.89</v>
      </c>
      <c r="AJ220" s="342">
        <f>IF(T220="Air",(IF(U220="1C",'Catalogue Aluminium'!$L$9,'Catalogue Aluminium'!$M$9)),IF(T220="DUCT",(IF($U220="1C",'Catalogue Aluminium'!$L$10,'Catalogue Aluminium'!$M$10)),IF(T220="GROUND",(IF($U220="1C",'Catalogue Aluminium'!$L$11,'Catalogue Aluminium'!$M$11)),IF(T220="TRENCH",(IF($U220="1C",'Catalogue Aluminium'!$L$12,'Catalogue Aluminium'!$M$12))))))</f>
        <v>0.66</v>
      </c>
      <c r="AK220" s="344" t="str">
        <f>IF(T220="Air",'Catalogue Aluminium'!$N$9,IF(T220="GROUND",'Catalogue Aluminium'!$N$10,IF(T220="DUCT",'Catalogue Aluminium'!$N$11,IF(T220="TRENCH",'Catalogue Aluminium'!$N$12,"NA"))))</f>
        <v>NA</v>
      </c>
      <c r="AL220" s="344" t="str">
        <f>IF(T220="Air",(IF(U220="1C",'Catalogue Aluminium'!$O$9,'Catalogue Aluminium'!$P$9)),IF(T220="DUCT",(IF($U220="1C",'Catalogue Aluminium'!$O$10,'Catalogue Aluminium'!$P$10)),IF(T220="GROUND",(IF($U220="1C",'Catalogue Aluminium'!$O$11,'Catalogue Aluminium'!$P$11)),IF(T220="TRENCH",(IF($U220="1C",'Catalogue Aluminium'!$O$12,'Catalogue Aluminium'!$P$12))))))</f>
        <v>NA</v>
      </c>
      <c r="AM220" s="344" t="str">
        <f>IF(T220="AIR","NA",IF(T220="TRENCH","NA",IF(T220="DUCT",IF(U220="1C",VLOOKUP(V220,'Catalogue Aluminium'!$Q$9:$S$28,2,FALSE),VLOOKUP(V220,'Catalogue Aluminium'!$Q$9:$S$28,3)),IF(T220="GROUND",IF(U220="1C",VLOOKUP(V220,'Catalogue Aluminium'!$Q$9:$S$28,2,FALSE),VLOOKUP(V220,'Catalogue Aluminium'!$Q$9:$S$28,3))))))</f>
        <v>NA</v>
      </c>
      <c r="AN220" s="351">
        <f t="shared" si="1841"/>
        <v>0.58740000000000003</v>
      </c>
      <c r="AO220" s="350">
        <f t="shared" si="1842"/>
        <v>55.803000000000004</v>
      </c>
      <c r="AP220" s="349">
        <f t="shared" si="1303"/>
        <v>1</v>
      </c>
      <c r="AQ220" s="350" t="str">
        <f t="shared" si="1843"/>
        <v>YES</v>
      </c>
      <c r="AR220" s="351">
        <f t="shared" si="1844"/>
        <v>2.4136592808206223</v>
      </c>
      <c r="AS220" s="343" t="str">
        <f t="shared" si="1845"/>
        <v>YES</v>
      </c>
      <c r="AT220" s="351">
        <f t="shared" si="1846"/>
        <v>4.4356254989063375</v>
      </c>
      <c r="AU220" s="343" t="str">
        <f t="shared" si="1847"/>
        <v>YES</v>
      </c>
      <c r="AV220" s="354" t="str">
        <f t="shared" si="1848"/>
        <v>1R x 0.6/1kV x 3C x 25 Sqmm</v>
      </c>
      <c r="AW220" s="354" t="str">
        <f t="shared" si="1849"/>
        <v>1R x 0.6/1kV x 3C x 25+PE Sqmm</v>
      </c>
      <c r="AX220" s="343">
        <f>(IF(K220=400,(IF(U220="1C",(4*AH220*AP220),(AH220*AP220))),IF(K220=230,(AH220*AP220))))</f>
        <v>388</v>
      </c>
      <c r="AY220" s="355"/>
      <c r="AZ220" s="355">
        <f>IF(U220="1C",(3*AP220*2),(AP220*2))</f>
        <v>2</v>
      </c>
      <c r="BA220" s="356" t="str">
        <f t="shared" si="1851"/>
        <v>ACDEE1E2</v>
      </c>
      <c r="BB220" s="501">
        <f>VLOOKUP(W220,'Catalogue Aluminium'!$B$9:$H$93,7,FALSE)</f>
        <v>21</v>
      </c>
      <c r="BC220" s="328">
        <f>AP220*BB220</f>
        <v>21</v>
      </c>
      <c r="BE220" s="336"/>
      <c r="BF220" s="336">
        <v>1</v>
      </c>
      <c r="BG220" s="336"/>
      <c r="BH220" s="336"/>
      <c r="BI220" s="336">
        <v>1</v>
      </c>
      <c r="BJ220" s="336">
        <v>1</v>
      </c>
      <c r="BK220" s="336"/>
      <c r="BL220" s="336"/>
      <c r="BM220" s="336"/>
      <c r="BN220" s="336">
        <v>1</v>
      </c>
      <c r="BO220" s="336"/>
      <c r="BP220" s="336">
        <v>1</v>
      </c>
      <c r="BQ220" s="336">
        <v>1</v>
      </c>
      <c r="BR220" s="336"/>
      <c r="BS220" s="336"/>
      <c r="BT220" s="336"/>
      <c r="BU220" s="336"/>
      <c r="BV220" s="336"/>
      <c r="BW220" s="336"/>
      <c r="BX220" s="336"/>
      <c r="BY220" s="336"/>
      <c r="BZ220" s="336"/>
      <c r="CA220" s="336"/>
      <c r="CB220" s="336"/>
      <c r="CC220" s="336"/>
      <c r="CD220" s="336"/>
      <c r="CE220" s="336"/>
      <c r="CF220" s="336"/>
      <c r="CG220" s="336"/>
      <c r="CH220" s="336"/>
      <c r="CI220" s="336"/>
      <c r="CJ220" s="336"/>
      <c r="CK220" s="336"/>
      <c r="CL220" s="336"/>
      <c r="CM220" s="336"/>
      <c r="CN220" s="336"/>
      <c r="CO220" s="336"/>
      <c r="CP220" s="336"/>
      <c r="CQ220" s="336"/>
      <c r="CR220" s="336"/>
      <c r="CS220" s="336"/>
      <c r="CT220" s="336"/>
      <c r="CU220" s="336"/>
      <c r="CV220" s="336"/>
      <c r="CW220" s="336"/>
      <c r="CX220" s="336"/>
      <c r="CY220" s="336"/>
      <c r="CZ220" s="336"/>
      <c r="DA220" s="336"/>
      <c r="DB220" s="336"/>
      <c r="DC220" s="336"/>
      <c r="DD220" s="336"/>
      <c r="DE220" s="336"/>
      <c r="DF220" s="336"/>
      <c r="DG220" s="336"/>
      <c r="DH220" s="336"/>
      <c r="DI220" s="336"/>
      <c r="DJ220" s="336"/>
      <c r="DK220" s="336"/>
      <c r="DL220" s="336"/>
      <c r="DM220" s="336"/>
      <c r="DN220" s="336"/>
      <c r="DO220" s="336"/>
      <c r="DP220" s="336"/>
      <c r="DQ220" s="336"/>
      <c r="DR220" s="336"/>
      <c r="DS220" s="336"/>
      <c r="DT220" s="336"/>
      <c r="DU220" s="336"/>
      <c r="DW220" s="336">
        <f t="shared" si="1012"/>
        <v>0</v>
      </c>
      <c r="DX220" s="336">
        <f t="shared" si="1004"/>
        <v>21</v>
      </c>
      <c r="DY220" s="336">
        <f t="shared" si="1005"/>
        <v>0</v>
      </c>
      <c r="DZ220" s="336">
        <f t="shared" si="1006"/>
        <v>0</v>
      </c>
      <c r="EA220" s="336">
        <f t="shared" si="1007"/>
        <v>21</v>
      </c>
      <c r="EB220" s="336">
        <f t="shared" si="1008"/>
        <v>21</v>
      </c>
      <c r="EC220" s="336">
        <f t="shared" si="1009"/>
        <v>0</v>
      </c>
      <c r="ED220" s="336">
        <f t="shared" si="1774"/>
        <v>0</v>
      </c>
      <c r="EE220" s="336">
        <f t="shared" si="1775"/>
        <v>0</v>
      </c>
      <c r="EF220" s="336">
        <f t="shared" si="1776"/>
        <v>21</v>
      </c>
      <c r="EG220" s="336">
        <f t="shared" si="1777"/>
        <v>0</v>
      </c>
      <c r="EH220" s="336">
        <f t="shared" si="1778"/>
        <v>21</v>
      </c>
      <c r="EI220" s="336">
        <f t="shared" si="1779"/>
        <v>21</v>
      </c>
      <c r="EJ220" s="336">
        <f t="shared" si="1780"/>
        <v>0</v>
      </c>
      <c r="EK220" s="336">
        <f t="shared" si="1781"/>
        <v>0</v>
      </c>
      <c r="EL220" s="336">
        <f t="shared" si="1782"/>
        <v>0</v>
      </c>
      <c r="EM220" s="336">
        <f t="shared" si="1783"/>
        <v>0</v>
      </c>
      <c r="EN220" s="336">
        <f t="shared" si="1784"/>
        <v>0</v>
      </c>
      <c r="EO220" s="336">
        <f t="shared" si="1785"/>
        <v>0</v>
      </c>
      <c r="EP220" s="336">
        <f t="shared" si="1786"/>
        <v>0</v>
      </c>
      <c r="EQ220" s="336">
        <f t="shared" si="1787"/>
        <v>0</v>
      </c>
      <c r="ER220" s="336">
        <f t="shared" si="1788"/>
        <v>0</v>
      </c>
      <c r="ES220" s="336">
        <f t="shared" si="1789"/>
        <v>0</v>
      </c>
      <c r="ET220" s="336">
        <f t="shared" si="1789"/>
        <v>0</v>
      </c>
      <c r="EU220" s="336">
        <f t="shared" si="1790"/>
        <v>0</v>
      </c>
      <c r="EV220" s="336">
        <f t="shared" si="1791"/>
        <v>0</v>
      </c>
      <c r="EW220" s="336">
        <f t="shared" si="1792"/>
        <v>0</v>
      </c>
      <c r="EX220" s="336">
        <f t="shared" si="1793"/>
        <v>0</v>
      </c>
      <c r="EY220" s="336">
        <f t="shared" si="1794"/>
        <v>0</v>
      </c>
      <c r="EZ220" s="336">
        <f t="shared" si="1795"/>
        <v>0</v>
      </c>
      <c r="FA220" s="336">
        <f t="shared" si="1796"/>
        <v>0</v>
      </c>
      <c r="FB220" s="336">
        <f t="shared" si="1797"/>
        <v>0</v>
      </c>
      <c r="FC220" s="336">
        <f t="shared" si="1798"/>
        <v>0</v>
      </c>
      <c r="FD220" s="336">
        <f t="shared" si="1799"/>
        <v>0</v>
      </c>
      <c r="FE220" s="336">
        <f t="shared" si="1800"/>
        <v>0</v>
      </c>
      <c r="FF220" s="336">
        <f t="shared" si="1801"/>
        <v>0</v>
      </c>
      <c r="FG220" s="336">
        <f t="shared" si="1802"/>
        <v>0</v>
      </c>
      <c r="FH220" s="336">
        <f t="shared" si="1803"/>
        <v>0</v>
      </c>
      <c r="FI220" s="336">
        <f t="shared" si="1804"/>
        <v>0</v>
      </c>
      <c r="FJ220" s="336">
        <f t="shared" si="1805"/>
        <v>0</v>
      </c>
      <c r="FK220" s="336">
        <f t="shared" si="1806"/>
        <v>0</v>
      </c>
      <c r="FL220" s="336">
        <f t="shared" si="1807"/>
        <v>0</v>
      </c>
      <c r="FM220" s="336">
        <f t="shared" si="1808"/>
        <v>0</v>
      </c>
      <c r="FN220" s="336">
        <f t="shared" si="1809"/>
        <v>0</v>
      </c>
      <c r="FO220" s="336">
        <f t="shared" si="1810"/>
        <v>0</v>
      </c>
      <c r="FP220" s="336">
        <f t="shared" si="1811"/>
        <v>0</v>
      </c>
      <c r="FQ220" s="336">
        <f t="shared" si="1812"/>
        <v>0</v>
      </c>
      <c r="FR220" s="336">
        <f t="shared" si="1813"/>
        <v>0</v>
      </c>
      <c r="FS220" s="336">
        <f t="shared" si="1814"/>
        <v>0</v>
      </c>
      <c r="FT220" s="336">
        <f t="shared" si="1815"/>
        <v>0</v>
      </c>
      <c r="FU220" s="336">
        <f t="shared" ref="FU220" si="1858">IF(DC220=1,($BC220*DC220),0)</f>
        <v>0</v>
      </c>
      <c r="FV220" s="336">
        <f t="shared" ref="FV220" si="1859">IF(DD220=1,($BC220*DD220),0)</f>
        <v>0</v>
      </c>
      <c r="FW220" s="336">
        <f t="shared" ref="FW220" si="1860">IF(DE220=1,($BC220*DE220),0)</f>
        <v>0</v>
      </c>
      <c r="FX220" s="336">
        <f t="shared" ref="FX220" si="1861">IF(DF220=1,($BC220*DF220),0)</f>
        <v>0</v>
      </c>
      <c r="FY220" s="336">
        <f t="shared" si="1820"/>
        <v>0</v>
      </c>
      <c r="FZ220" s="336">
        <f t="shared" si="1821"/>
        <v>0</v>
      </c>
      <c r="GA220" s="336">
        <f t="shared" si="1822"/>
        <v>0</v>
      </c>
      <c r="GB220" s="336">
        <f t="shared" si="1823"/>
        <v>0</v>
      </c>
      <c r="GC220" s="336">
        <f t="shared" si="1824"/>
        <v>0</v>
      </c>
      <c r="GD220" s="336">
        <f t="shared" si="1825"/>
        <v>0</v>
      </c>
      <c r="GE220" s="336">
        <f t="shared" si="1826"/>
        <v>0</v>
      </c>
      <c r="GF220" s="336">
        <f t="shared" si="1827"/>
        <v>0</v>
      </c>
      <c r="GG220" s="336">
        <f t="shared" si="1828"/>
        <v>0</v>
      </c>
      <c r="GH220" s="336">
        <f t="shared" si="1829"/>
        <v>0</v>
      </c>
      <c r="GI220" s="336">
        <f t="shared" si="1830"/>
        <v>0</v>
      </c>
      <c r="GJ220" s="336">
        <f t="shared" si="1831"/>
        <v>0</v>
      </c>
      <c r="GK220" s="336">
        <f t="shared" si="1750"/>
        <v>0</v>
      </c>
      <c r="GL220" s="336">
        <f>IF(DT220=1,($BC220*DT220),0)</f>
        <v>0</v>
      </c>
      <c r="GM220" s="336">
        <f t="shared" si="1832"/>
        <v>0</v>
      </c>
    </row>
    <row r="221" spans="1:195" s="83" customFormat="1" ht="20.100000000000001" hidden="1" customHeight="1">
      <c r="A221" s="357" t="s">
        <v>334</v>
      </c>
      <c r="B221" s="562" t="s">
        <v>527</v>
      </c>
      <c r="C221" s="357" t="str">
        <f t="shared" si="1833"/>
        <v>EPMCC-1</v>
      </c>
      <c r="D221" s="395" t="s">
        <v>592</v>
      </c>
      <c r="E221" s="421" t="s">
        <v>345</v>
      </c>
      <c r="F221" s="357" t="s">
        <v>28</v>
      </c>
      <c r="G221" s="357" t="s">
        <v>329</v>
      </c>
      <c r="H221" s="352">
        <v>25</v>
      </c>
      <c r="I221" s="357" t="s">
        <v>330</v>
      </c>
      <c r="J221" s="357" t="s">
        <v>331</v>
      </c>
      <c r="K221" s="353">
        <v>400</v>
      </c>
      <c r="L221" s="360">
        <v>0.85</v>
      </c>
      <c r="M221" s="352">
        <v>0.95</v>
      </c>
      <c r="N221" s="359">
        <f t="shared" si="1834"/>
        <v>44.687864206093288</v>
      </c>
      <c r="O221" s="359">
        <f t="shared" si="1771"/>
        <v>0</v>
      </c>
      <c r="P221" s="360" t="str">
        <f t="shared" si="1835"/>
        <v>0.00</v>
      </c>
      <c r="Q221" s="352">
        <v>50</v>
      </c>
      <c r="R221" s="352">
        <v>0</v>
      </c>
      <c r="S221" s="352">
        <f t="shared" si="1836"/>
        <v>0</v>
      </c>
      <c r="T221" s="360" t="s">
        <v>131</v>
      </c>
      <c r="U221" s="352" t="s">
        <v>535</v>
      </c>
      <c r="V221" s="360">
        <v>120</v>
      </c>
      <c r="W221" s="360" t="str">
        <f t="shared" si="1837"/>
        <v>3.5C X 120</v>
      </c>
      <c r="X221" s="360" t="str">
        <f t="shared" si="1838"/>
        <v>3.5C X 120</v>
      </c>
      <c r="Y221" s="360" t="s">
        <v>358</v>
      </c>
      <c r="Z221" s="361">
        <f>IF(T221="AIR",VLOOKUP(W221,'Catalogue Aluminium'!$B$9:$G$93,2,FALSE),IF(T221="GROUND",VLOOKUP(W221,'Catalogue Aluminium'!$B$9:$G$93,3,FALSE),IF(T221="DUCT",VLOOKUP(W221,'Catalogue Aluminium'!$B$9:$G$93,4,FALSE),IF(T221="TRENCH",VLOOKUP(W221,'Catalogue Aluminium'!$B$9:$G$93,2,FALSE)))))</f>
        <v>257</v>
      </c>
      <c r="AA221" s="362">
        <f>VLOOKUP(W221,'Catalogue Aluminium'!$B$9:$G$93,5,FALSE)</f>
        <v>0.32400000000000001</v>
      </c>
      <c r="AB221" s="362">
        <f>VLOOKUP(W221,'Catalogue Aluminium'!$B$9:$G$93,6,FALSE)</f>
        <v>7.2599999999999998E-2</v>
      </c>
      <c r="AC221" s="564">
        <f>28+7</f>
        <v>35</v>
      </c>
      <c r="AD221" s="360">
        <f t="shared" si="1856"/>
        <v>237</v>
      </c>
      <c r="AE221" s="456">
        <f t="shared" si="1839"/>
        <v>38</v>
      </c>
      <c r="AF221" s="360">
        <v>8</v>
      </c>
      <c r="AG221" s="360">
        <f t="shared" si="1840"/>
        <v>32</v>
      </c>
      <c r="AH221" s="363"/>
      <c r="AI221" s="361">
        <f>IF(T221="AIR",'Catalogue Aluminium'!$K$9,IF(T221="TRENCH",'Catalogue Aluminium'!$K$12,"NA"))</f>
        <v>0.89</v>
      </c>
      <c r="AJ221" s="359">
        <f>IF(T221="Air",(IF(U221="1C",'Catalogue Aluminium'!$L$9,'Catalogue Aluminium'!$M$9)),IF(T221="DUCT",(IF($U221="1C",'Catalogue Aluminium'!$L$10,'Catalogue Aluminium'!$M$10)),IF(T221="GROUND",(IF($U221="1C",'Catalogue Aluminium'!$L$11,'Catalogue Aluminium'!$M$11)),IF(T221="TRENCH",(IF($U221="1C",'Catalogue Aluminium'!$L$12,'Catalogue Aluminium'!$M$12))))))</f>
        <v>0.66</v>
      </c>
      <c r="AK221" s="361" t="str">
        <f>IF(T221="Air",'Catalogue Aluminium'!$N$9,IF(T221="GROUND",'Catalogue Aluminium'!$N$10,IF(T221="DUCT",'Catalogue Aluminium'!$N$11,IF(T221="TRENCH",'Catalogue Aluminium'!$N$12,"NA"))))</f>
        <v>NA</v>
      </c>
      <c r="AL221" s="361" t="str">
        <f>IF(T221="Air",(IF(U221="1C",'Catalogue Aluminium'!$O$9,'Catalogue Aluminium'!$P$9)),IF(T221="DUCT",(IF($U221="1C",'Catalogue Aluminium'!$O$10,'Catalogue Aluminium'!$P$10)),IF(T221="GROUND",(IF($U221="1C",'Catalogue Aluminium'!$O$11,'Catalogue Aluminium'!$P$11)),IF(T221="TRENCH",(IF($U221="1C",'Catalogue Aluminium'!$O$12,'Catalogue Aluminium'!$P$12))))))</f>
        <v>NA</v>
      </c>
      <c r="AM221" s="361" t="str">
        <f>IF(T221="AIR","NA",IF(T221="TRENCH","NA",IF(T221="DUCT",IF(U221="1C",VLOOKUP(V221,'Catalogue Aluminium'!$Q$9:$S$28,2,FALSE),VLOOKUP(V221,'Catalogue Aluminium'!$Q$9:$S$28,3)),IF(T221="GROUND",IF(U221="1C",VLOOKUP(V221,'Catalogue Aluminium'!$Q$9:$S$28,2,FALSE),VLOOKUP(V221,'Catalogue Aluminium'!$Q$9:$S$28,3))))))</f>
        <v>NA</v>
      </c>
      <c r="AN221" s="365">
        <f t="shared" si="1841"/>
        <v>0.58740000000000003</v>
      </c>
      <c r="AO221" s="352">
        <f t="shared" si="1842"/>
        <v>150.96180000000001</v>
      </c>
      <c r="AP221" s="353">
        <f t="shared" si="1303"/>
        <v>1</v>
      </c>
      <c r="AQ221" s="352" t="str">
        <f t="shared" si="1843"/>
        <v>YES</v>
      </c>
      <c r="AR221" s="365">
        <f t="shared" si="1844"/>
        <v>0</v>
      </c>
      <c r="AS221" s="496" t="str">
        <f t="shared" si="1845"/>
        <v>YES</v>
      </c>
      <c r="AT221" s="497" t="str">
        <f t="shared" si="1846"/>
        <v>NA</v>
      </c>
      <c r="AU221" s="360" t="str">
        <f t="shared" si="1847"/>
        <v>NA</v>
      </c>
      <c r="AV221" s="366" t="str">
        <f t="shared" si="1848"/>
        <v>1R x 0.6/1kV x 3.5C x 120 Sqmm</v>
      </c>
      <c r="AW221" s="366" t="str">
        <f t="shared" si="1849"/>
        <v>1R x 0.6/1kV x 3.5C x 120 Sqmm</v>
      </c>
      <c r="AX221" s="360"/>
      <c r="AY221" s="367"/>
      <c r="AZ221" s="367"/>
      <c r="BA221" s="520" t="str">
        <f t="shared" si="1851"/>
        <v/>
      </c>
      <c r="BB221" s="498"/>
      <c r="BC221" s="426"/>
      <c r="BE221" s="368"/>
      <c r="BF221" s="368"/>
      <c r="BG221" s="368"/>
      <c r="BH221" s="368"/>
      <c r="BI221" s="368"/>
      <c r="BJ221" s="368"/>
      <c r="BK221" s="368"/>
      <c r="BL221" s="368"/>
      <c r="BM221" s="368"/>
      <c r="BN221" s="368"/>
      <c r="BO221" s="368"/>
      <c r="BP221" s="368"/>
      <c r="BQ221" s="368"/>
      <c r="BR221" s="368"/>
      <c r="BS221" s="368"/>
      <c r="BT221" s="368"/>
      <c r="BU221" s="368"/>
      <c r="BV221" s="368"/>
      <c r="BW221" s="368"/>
      <c r="BX221" s="368"/>
      <c r="BY221" s="368"/>
      <c r="BZ221" s="368"/>
      <c r="CA221" s="368"/>
      <c r="CB221" s="368"/>
      <c r="CC221" s="368"/>
      <c r="CD221" s="368"/>
      <c r="CE221" s="368"/>
      <c r="CF221" s="368"/>
      <c r="CG221" s="368"/>
      <c r="CH221" s="368"/>
      <c r="CI221" s="368"/>
      <c r="CJ221" s="368"/>
      <c r="CK221" s="368"/>
      <c r="CL221" s="368"/>
      <c r="CM221" s="368"/>
      <c r="CN221" s="368"/>
      <c r="CO221" s="368"/>
      <c r="CP221" s="368"/>
      <c r="CQ221" s="368"/>
      <c r="CR221" s="368"/>
      <c r="CS221" s="368"/>
      <c r="CT221" s="368"/>
      <c r="CU221" s="368"/>
      <c r="CV221" s="368"/>
      <c r="CW221" s="368"/>
      <c r="CX221" s="368"/>
      <c r="CY221" s="368"/>
      <c r="CZ221" s="368"/>
      <c r="DA221" s="368"/>
      <c r="DB221" s="368"/>
      <c r="DC221" s="368"/>
      <c r="DD221" s="368"/>
      <c r="DE221" s="368"/>
      <c r="DF221" s="368"/>
      <c r="DG221" s="368"/>
      <c r="DH221" s="368"/>
      <c r="DI221" s="368"/>
      <c r="DJ221" s="368"/>
      <c r="DK221" s="368"/>
      <c r="DL221" s="368"/>
      <c r="DM221" s="368"/>
      <c r="DN221" s="368"/>
      <c r="DO221" s="368"/>
      <c r="DP221" s="368"/>
      <c r="DQ221" s="368"/>
      <c r="DR221" s="368"/>
      <c r="DS221" s="368"/>
      <c r="DT221" s="368"/>
      <c r="DU221" s="368"/>
      <c r="DW221" s="368">
        <f t="shared" si="1012"/>
        <v>0</v>
      </c>
      <c r="DX221" s="368">
        <f t="shared" si="1004"/>
        <v>0</v>
      </c>
      <c r="DY221" s="368">
        <f t="shared" si="1005"/>
        <v>0</v>
      </c>
      <c r="DZ221" s="368">
        <f t="shared" si="1006"/>
        <v>0</v>
      </c>
      <c r="EA221" s="368">
        <f t="shared" si="1007"/>
        <v>0</v>
      </c>
      <c r="EB221" s="368">
        <f t="shared" si="1008"/>
        <v>0</v>
      </c>
      <c r="EC221" s="368">
        <f t="shared" si="1009"/>
        <v>0</v>
      </c>
      <c r="ED221" s="368">
        <f t="shared" si="1774"/>
        <v>0</v>
      </c>
      <c r="EE221" s="368">
        <f t="shared" si="1775"/>
        <v>0</v>
      </c>
      <c r="EF221" s="368">
        <f t="shared" si="1776"/>
        <v>0</v>
      </c>
      <c r="EG221" s="368">
        <f t="shared" si="1777"/>
        <v>0</v>
      </c>
      <c r="EH221" s="368">
        <f t="shared" si="1778"/>
        <v>0</v>
      </c>
      <c r="EI221" s="368">
        <f t="shared" si="1779"/>
        <v>0</v>
      </c>
      <c r="EJ221" s="368">
        <f t="shared" si="1780"/>
        <v>0</v>
      </c>
      <c r="EK221" s="368">
        <f t="shared" si="1781"/>
        <v>0</v>
      </c>
      <c r="EL221" s="368">
        <f t="shared" si="1782"/>
        <v>0</v>
      </c>
      <c r="EM221" s="368">
        <f t="shared" si="1783"/>
        <v>0</v>
      </c>
      <c r="EN221" s="368">
        <f t="shared" si="1784"/>
        <v>0</v>
      </c>
      <c r="EO221" s="368">
        <f t="shared" si="1785"/>
        <v>0</v>
      </c>
      <c r="EP221" s="368">
        <f t="shared" si="1786"/>
        <v>0</v>
      </c>
      <c r="EQ221" s="368">
        <f t="shared" si="1787"/>
        <v>0</v>
      </c>
      <c r="ER221" s="368">
        <f t="shared" si="1788"/>
        <v>0</v>
      </c>
      <c r="ES221" s="368">
        <f t="shared" si="1789"/>
        <v>0</v>
      </c>
      <c r="ET221" s="368">
        <f t="shared" si="1789"/>
        <v>0</v>
      </c>
      <c r="EU221" s="368">
        <f t="shared" si="1790"/>
        <v>0</v>
      </c>
      <c r="EV221" s="368">
        <f t="shared" si="1791"/>
        <v>0</v>
      </c>
      <c r="EW221" s="368">
        <f t="shared" si="1792"/>
        <v>0</v>
      </c>
      <c r="EX221" s="368">
        <f t="shared" si="1793"/>
        <v>0</v>
      </c>
      <c r="EY221" s="368">
        <f t="shared" si="1794"/>
        <v>0</v>
      </c>
      <c r="EZ221" s="368">
        <f t="shared" si="1795"/>
        <v>0</v>
      </c>
      <c r="FA221" s="368">
        <f t="shared" si="1796"/>
        <v>0</v>
      </c>
      <c r="FB221" s="368">
        <f t="shared" si="1797"/>
        <v>0</v>
      </c>
      <c r="FC221" s="368">
        <f t="shared" si="1798"/>
        <v>0</v>
      </c>
      <c r="FD221" s="368">
        <f t="shared" si="1799"/>
        <v>0</v>
      </c>
      <c r="FE221" s="368">
        <f t="shared" si="1800"/>
        <v>0</v>
      </c>
      <c r="FF221" s="368">
        <f t="shared" si="1801"/>
        <v>0</v>
      </c>
      <c r="FG221" s="368">
        <f t="shared" si="1802"/>
        <v>0</v>
      </c>
      <c r="FH221" s="368">
        <f t="shared" si="1803"/>
        <v>0</v>
      </c>
      <c r="FI221" s="368">
        <f t="shared" si="1804"/>
        <v>0</v>
      </c>
      <c r="FJ221" s="368">
        <f t="shared" si="1805"/>
        <v>0</v>
      </c>
      <c r="FK221" s="368">
        <f t="shared" si="1806"/>
        <v>0</v>
      </c>
      <c r="FL221" s="368">
        <f t="shared" si="1807"/>
        <v>0</v>
      </c>
      <c r="FM221" s="368">
        <f t="shared" si="1808"/>
        <v>0</v>
      </c>
      <c r="FN221" s="368">
        <f t="shared" si="1809"/>
        <v>0</v>
      </c>
      <c r="FO221" s="368">
        <f t="shared" si="1810"/>
        <v>0</v>
      </c>
      <c r="FP221" s="368">
        <f t="shared" si="1811"/>
        <v>0</v>
      </c>
      <c r="FQ221" s="368">
        <f t="shared" si="1812"/>
        <v>0</v>
      </c>
      <c r="FR221" s="368">
        <f t="shared" si="1813"/>
        <v>0</v>
      </c>
      <c r="FS221" s="368">
        <f t="shared" si="1814"/>
        <v>0</v>
      </c>
      <c r="FT221" s="368">
        <f t="shared" si="1815"/>
        <v>0</v>
      </c>
      <c r="FU221" s="368"/>
      <c r="FV221" s="368"/>
      <c r="FW221" s="368"/>
      <c r="FX221" s="368"/>
      <c r="FY221" s="368">
        <f t="shared" si="1820"/>
        <v>0</v>
      </c>
      <c r="FZ221" s="368">
        <f t="shared" si="1821"/>
        <v>0</v>
      </c>
      <c r="GA221" s="368">
        <f t="shared" si="1822"/>
        <v>0</v>
      </c>
      <c r="GB221" s="368">
        <f t="shared" si="1823"/>
        <v>0</v>
      </c>
      <c r="GC221" s="368">
        <f t="shared" si="1824"/>
        <v>0</v>
      </c>
      <c r="GD221" s="368">
        <f t="shared" si="1825"/>
        <v>0</v>
      </c>
      <c r="GE221" s="368">
        <f t="shared" si="1826"/>
        <v>0</v>
      </c>
      <c r="GF221" s="368">
        <f t="shared" si="1827"/>
        <v>0</v>
      </c>
      <c r="GG221" s="368">
        <f t="shared" si="1828"/>
        <v>0</v>
      </c>
      <c r="GH221" s="368">
        <f t="shared" si="1829"/>
        <v>0</v>
      </c>
      <c r="GI221" s="368">
        <f t="shared" si="1830"/>
        <v>0</v>
      </c>
      <c r="GJ221" s="368">
        <f t="shared" si="1831"/>
        <v>0</v>
      </c>
      <c r="GK221" s="368">
        <f t="shared" si="1750"/>
        <v>0</v>
      </c>
      <c r="GL221" s="368"/>
      <c r="GM221" s="368">
        <f t="shared" si="1832"/>
        <v>0</v>
      </c>
    </row>
    <row r="222" spans="1:195" s="83" customFormat="1" ht="20.100000000000001" hidden="1" customHeight="1">
      <c r="A222" s="357" t="s">
        <v>334</v>
      </c>
      <c r="B222" s="562" t="s">
        <v>527</v>
      </c>
      <c r="C222" s="357" t="str">
        <f t="shared" si="1833"/>
        <v>EPMCC-1</v>
      </c>
      <c r="D222" s="395" t="s">
        <v>678</v>
      </c>
      <c r="E222" s="421" t="s">
        <v>345</v>
      </c>
      <c r="F222" s="357" t="s">
        <v>29</v>
      </c>
      <c r="G222" s="357" t="s">
        <v>329</v>
      </c>
      <c r="H222" s="352">
        <v>1.5</v>
      </c>
      <c r="I222" s="357" t="s">
        <v>330</v>
      </c>
      <c r="J222" s="357" t="s">
        <v>331</v>
      </c>
      <c r="K222" s="353">
        <v>400</v>
      </c>
      <c r="L222" s="360">
        <v>0.85</v>
      </c>
      <c r="M222" s="352">
        <v>0.95</v>
      </c>
      <c r="N222" s="359">
        <f t="shared" si="1834"/>
        <v>2.681271852365597</v>
      </c>
      <c r="O222" s="359">
        <f t="shared" si="1771"/>
        <v>0</v>
      </c>
      <c r="P222" s="360" t="str">
        <f t="shared" si="1835"/>
        <v>0.00</v>
      </c>
      <c r="Q222" s="352">
        <v>50</v>
      </c>
      <c r="R222" s="352">
        <v>0</v>
      </c>
      <c r="S222" s="352">
        <f t="shared" si="1836"/>
        <v>0</v>
      </c>
      <c r="T222" s="360" t="s">
        <v>131</v>
      </c>
      <c r="U222" s="352" t="s">
        <v>522</v>
      </c>
      <c r="V222" s="360">
        <v>4</v>
      </c>
      <c r="W222" s="360" t="str">
        <f t="shared" si="1837"/>
        <v>4C X 4</v>
      </c>
      <c r="X222" s="360" t="str">
        <f t="shared" si="1838"/>
        <v>4C X 4</v>
      </c>
      <c r="Y222" s="360" t="s">
        <v>358</v>
      </c>
      <c r="Z222" s="361">
        <f>IF(T222="AIR",VLOOKUP(W222,'Catalogue Aluminium'!$B$9:$G$93,2,FALSE),IF(T222="GROUND",VLOOKUP(W222,'Catalogue Aluminium'!$B$9:$G$93,3,FALSE),IF(T222="DUCT",VLOOKUP(W222,'Catalogue Aluminium'!$B$9:$G$93,4,FALSE),IF(T222="TRENCH",VLOOKUP(W222,'Catalogue Aluminium'!$B$9:$G$93,2,FALSE)))))</f>
        <v>38</v>
      </c>
      <c r="AA222" s="362">
        <f>VLOOKUP(W222,'Catalogue Aluminium'!$B$9:$G$93,5,FALSE)</f>
        <v>5.9</v>
      </c>
      <c r="AB222" s="362">
        <f>VLOOKUP(W222,'Catalogue Aluminium'!$B$9:$G$93,6,FALSE)</f>
        <v>9.4700000000000006E-2</v>
      </c>
      <c r="AC222" s="564">
        <f>22+7</f>
        <v>29</v>
      </c>
      <c r="AD222" s="360">
        <f t="shared" si="1856"/>
        <v>237</v>
      </c>
      <c r="AE222" s="456">
        <f t="shared" si="1839"/>
        <v>38</v>
      </c>
      <c r="AF222" s="360">
        <v>8</v>
      </c>
      <c r="AG222" s="360">
        <f t="shared" si="1840"/>
        <v>32</v>
      </c>
      <c r="AH222" s="363"/>
      <c r="AI222" s="361">
        <f>IF(T222="AIR",'Catalogue Aluminium'!$K$9,IF(T222="TRENCH",'Catalogue Aluminium'!$K$12,"NA"))</f>
        <v>0.89</v>
      </c>
      <c r="AJ222" s="359">
        <f>IF(T222="Air",(IF(U222="1C",'Catalogue Aluminium'!$L$9,'Catalogue Aluminium'!$M$9)),IF(T222="DUCT",(IF($U222="1C",'Catalogue Aluminium'!$L$10,'Catalogue Aluminium'!$M$10)),IF(T222="GROUND",(IF($U222="1C",'Catalogue Aluminium'!$L$11,'Catalogue Aluminium'!$M$11)),IF(T222="TRENCH",(IF($U222="1C",'Catalogue Aluminium'!$L$12,'Catalogue Aluminium'!$M$12))))))</f>
        <v>0.66</v>
      </c>
      <c r="AK222" s="361" t="str">
        <f>IF(T222="Air",'Catalogue Aluminium'!$N$9,IF(T222="GROUND",'Catalogue Aluminium'!$N$10,IF(T222="DUCT",'Catalogue Aluminium'!$N$11,IF(T222="TRENCH",'Catalogue Aluminium'!$N$12,"NA"))))</f>
        <v>NA</v>
      </c>
      <c r="AL222" s="361" t="str">
        <f>IF(T222="Air",(IF(U222="1C",'Catalogue Aluminium'!$O$9,'Catalogue Aluminium'!$P$9)),IF(T222="DUCT",(IF($U222="1C",'Catalogue Aluminium'!$O$10,'Catalogue Aluminium'!$P$10)),IF(T222="GROUND",(IF($U222="1C",'Catalogue Aluminium'!$O$11,'Catalogue Aluminium'!$P$11)),IF(T222="TRENCH",(IF($U222="1C",'Catalogue Aluminium'!$O$12,'Catalogue Aluminium'!$P$12))))))</f>
        <v>NA</v>
      </c>
      <c r="AM222" s="361" t="str">
        <f>IF(T222="AIR","NA",IF(T222="TRENCH","NA",IF(T222="DUCT",IF(U222="1C",VLOOKUP(V222,'Catalogue Aluminium'!$Q$9:$S$28,2,FALSE),VLOOKUP(V222,'Catalogue Aluminium'!$Q$9:$S$28,3)),IF(T222="GROUND",IF(U222="1C",VLOOKUP(V222,'Catalogue Aluminium'!$Q$9:$S$28,2,FALSE),VLOOKUP(V222,'Catalogue Aluminium'!$Q$9:$S$28,3))))))</f>
        <v>NA</v>
      </c>
      <c r="AN222" s="365">
        <f t="shared" si="1841"/>
        <v>0.58740000000000003</v>
      </c>
      <c r="AO222" s="352">
        <f t="shared" si="1842"/>
        <v>22.321200000000001</v>
      </c>
      <c r="AP222" s="353">
        <f t="shared" si="1303"/>
        <v>1</v>
      </c>
      <c r="AQ222" s="352" t="str">
        <f t="shared" si="1843"/>
        <v>YES</v>
      </c>
      <c r="AR222" s="365">
        <f t="shared" si="1844"/>
        <v>0</v>
      </c>
      <c r="AS222" s="496" t="str">
        <f t="shared" si="1845"/>
        <v>YES</v>
      </c>
      <c r="AT222" s="497" t="str">
        <f t="shared" si="1846"/>
        <v>NA</v>
      </c>
      <c r="AU222" s="360" t="str">
        <f t="shared" si="1847"/>
        <v>NA</v>
      </c>
      <c r="AV222" s="366" t="str">
        <f t="shared" si="1848"/>
        <v>1R x 0.6/1kV x 4C x 4 Sqmm</v>
      </c>
      <c r="AW222" s="366" t="str">
        <f t="shared" si="1849"/>
        <v>1R x 0.6/1kV x 4C x 4 Sqmm</v>
      </c>
      <c r="AX222" s="360"/>
      <c r="AY222" s="367"/>
      <c r="AZ222" s="367"/>
      <c r="BA222" s="520" t="str">
        <f t="shared" si="1851"/>
        <v/>
      </c>
      <c r="BB222" s="498"/>
      <c r="BC222" s="426"/>
      <c r="BE222" s="368"/>
      <c r="BF222" s="368"/>
      <c r="BG222" s="368"/>
      <c r="BH222" s="368"/>
      <c r="BI222" s="368"/>
      <c r="BJ222" s="368"/>
      <c r="BK222" s="368"/>
      <c r="BL222" s="368"/>
      <c r="BM222" s="368"/>
      <c r="BN222" s="368"/>
      <c r="BO222" s="368"/>
      <c r="BP222" s="368"/>
      <c r="BQ222" s="368"/>
      <c r="BR222" s="368"/>
      <c r="BS222" s="368"/>
      <c r="BT222" s="368"/>
      <c r="BU222" s="368"/>
      <c r="BV222" s="368"/>
      <c r="BW222" s="368"/>
      <c r="BX222" s="368"/>
      <c r="BY222" s="368"/>
      <c r="BZ222" s="368"/>
      <c r="CA222" s="368"/>
      <c r="CB222" s="368"/>
      <c r="CC222" s="368"/>
      <c r="CD222" s="368"/>
      <c r="CE222" s="368"/>
      <c r="CF222" s="368"/>
      <c r="CG222" s="368"/>
      <c r="CH222" s="368"/>
      <c r="CI222" s="368"/>
      <c r="CJ222" s="368"/>
      <c r="CK222" s="368"/>
      <c r="CL222" s="368"/>
      <c r="CM222" s="368"/>
      <c r="CN222" s="368"/>
      <c r="CO222" s="368"/>
      <c r="CP222" s="368"/>
      <c r="CQ222" s="368"/>
      <c r="CR222" s="368"/>
      <c r="CS222" s="368"/>
      <c r="CT222" s="368"/>
      <c r="CU222" s="368"/>
      <c r="CV222" s="368"/>
      <c r="CW222" s="368"/>
      <c r="CX222" s="368"/>
      <c r="CY222" s="368"/>
      <c r="CZ222" s="368"/>
      <c r="DA222" s="368"/>
      <c r="DB222" s="368"/>
      <c r="DC222" s="368"/>
      <c r="DD222" s="368"/>
      <c r="DE222" s="368"/>
      <c r="DF222" s="368"/>
      <c r="DG222" s="368"/>
      <c r="DH222" s="368"/>
      <c r="DI222" s="368"/>
      <c r="DJ222" s="368"/>
      <c r="DK222" s="368"/>
      <c r="DL222" s="368"/>
      <c r="DM222" s="368"/>
      <c r="DN222" s="368"/>
      <c r="DO222" s="368"/>
      <c r="DP222" s="368"/>
      <c r="DQ222" s="368"/>
      <c r="DR222" s="368"/>
      <c r="DS222" s="368"/>
      <c r="DT222" s="368"/>
      <c r="DU222" s="368"/>
      <c r="DW222" s="368">
        <f t="shared" si="1012"/>
        <v>0</v>
      </c>
      <c r="DX222" s="368">
        <f t="shared" si="1004"/>
        <v>0</v>
      </c>
      <c r="DY222" s="368">
        <f t="shared" si="1005"/>
        <v>0</v>
      </c>
      <c r="DZ222" s="368">
        <f t="shared" si="1006"/>
        <v>0</v>
      </c>
      <c r="EA222" s="368">
        <f t="shared" si="1007"/>
        <v>0</v>
      </c>
      <c r="EB222" s="368">
        <f t="shared" si="1008"/>
        <v>0</v>
      </c>
      <c r="EC222" s="368">
        <f t="shared" si="1009"/>
        <v>0</v>
      </c>
      <c r="ED222" s="368">
        <f t="shared" si="1774"/>
        <v>0</v>
      </c>
      <c r="EE222" s="368">
        <f t="shared" si="1775"/>
        <v>0</v>
      </c>
      <c r="EF222" s="368">
        <f t="shared" si="1776"/>
        <v>0</v>
      </c>
      <c r="EG222" s="368">
        <f t="shared" si="1777"/>
        <v>0</v>
      </c>
      <c r="EH222" s="368">
        <f t="shared" si="1778"/>
        <v>0</v>
      </c>
      <c r="EI222" s="368">
        <f t="shared" si="1779"/>
        <v>0</v>
      </c>
      <c r="EJ222" s="368">
        <f t="shared" si="1780"/>
        <v>0</v>
      </c>
      <c r="EK222" s="368">
        <f t="shared" si="1781"/>
        <v>0</v>
      </c>
      <c r="EL222" s="368">
        <f t="shared" si="1782"/>
        <v>0</v>
      </c>
      <c r="EM222" s="368">
        <f t="shared" si="1783"/>
        <v>0</v>
      </c>
      <c r="EN222" s="368">
        <f t="shared" si="1784"/>
        <v>0</v>
      </c>
      <c r="EO222" s="368">
        <f t="shared" si="1785"/>
        <v>0</v>
      </c>
      <c r="EP222" s="368">
        <f t="shared" si="1786"/>
        <v>0</v>
      </c>
      <c r="EQ222" s="368">
        <f t="shared" si="1787"/>
        <v>0</v>
      </c>
      <c r="ER222" s="368">
        <f t="shared" si="1788"/>
        <v>0</v>
      </c>
      <c r="ES222" s="368">
        <f t="shared" si="1789"/>
        <v>0</v>
      </c>
      <c r="ET222" s="368">
        <f t="shared" si="1789"/>
        <v>0</v>
      </c>
      <c r="EU222" s="368">
        <f t="shared" si="1790"/>
        <v>0</v>
      </c>
      <c r="EV222" s="368">
        <f t="shared" si="1791"/>
        <v>0</v>
      </c>
      <c r="EW222" s="368">
        <f t="shared" si="1792"/>
        <v>0</v>
      </c>
      <c r="EX222" s="368">
        <f t="shared" si="1793"/>
        <v>0</v>
      </c>
      <c r="EY222" s="368">
        <f t="shared" si="1794"/>
        <v>0</v>
      </c>
      <c r="EZ222" s="368">
        <f t="shared" si="1795"/>
        <v>0</v>
      </c>
      <c r="FA222" s="368">
        <f t="shared" si="1796"/>
        <v>0</v>
      </c>
      <c r="FB222" s="368">
        <f t="shared" si="1797"/>
        <v>0</v>
      </c>
      <c r="FC222" s="368">
        <f t="shared" si="1798"/>
        <v>0</v>
      </c>
      <c r="FD222" s="368">
        <f t="shared" si="1799"/>
        <v>0</v>
      </c>
      <c r="FE222" s="368">
        <f t="shared" si="1800"/>
        <v>0</v>
      </c>
      <c r="FF222" s="368">
        <f t="shared" si="1801"/>
        <v>0</v>
      </c>
      <c r="FG222" s="368">
        <f t="shared" si="1802"/>
        <v>0</v>
      </c>
      <c r="FH222" s="368">
        <f t="shared" si="1803"/>
        <v>0</v>
      </c>
      <c r="FI222" s="368">
        <f t="shared" si="1804"/>
        <v>0</v>
      </c>
      <c r="FJ222" s="368">
        <f t="shared" si="1805"/>
        <v>0</v>
      </c>
      <c r="FK222" s="368">
        <f t="shared" si="1806"/>
        <v>0</v>
      </c>
      <c r="FL222" s="368">
        <f t="shared" si="1807"/>
        <v>0</v>
      </c>
      <c r="FM222" s="368">
        <f t="shared" si="1808"/>
        <v>0</v>
      </c>
      <c r="FN222" s="368">
        <f t="shared" si="1809"/>
        <v>0</v>
      </c>
      <c r="FO222" s="368">
        <f t="shared" si="1810"/>
        <v>0</v>
      </c>
      <c r="FP222" s="368">
        <f t="shared" si="1811"/>
        <v>0</v>
      </c>
      <c r="FQ222" s="368">
        <f t="shared" si="1812"/>
        <v>0</v>
      </c>
      <c r="FR222" s="368">
        <f t="shared" si="1813"/>
        <v>0</v>
      </c>
      <c r="FS222" s="368">
        <f t="shared" si="1814"/>
        <v>0</v>
      </c>
      <c r="FT222" s="368">
        <f t="shared" si="1815"/>
        <v>0</v>
      </c>
      <c r="FU222" s="368"/>
      <c r="FV222" s="368"/>
      <c r="FW222" s="368"/>
      <c r="FX222" s="368"/>
      <c r="FY222" s="368">
        <f t="shared" si="1820"/>
        <v>0</v>
      </c>
      <c r="FZ222" s="368">
        <f t="shared" si="1821"/>
        <v>0</v>
      </c>
      <c r="GA222" s="368">
        <f t="shared" si="1822"/>
        <v>0</v>
      </c>
      <c r="GB222" s="368">
        <f t="shared" si="1823"/>
        <v>0</v>
      </c>
      <c r="GC222" s="368">
        <f t="shared" si="1824"/>
        <v>0</v>
      </c>
      <c r="GD222" s="368">
        <f t="shared" si="1825"/>
        <v>0</v>
      </c>
      <c r="GE222" s="368">
        <f t="shared" si="1826"/>
        <v>0</v>
      </c>
      <c r="GF222" s="368">
        <f t="shared" si="1827"/>
        <v>0</v>
      </c>
      <c r="GG222" s="368">
        <f t="shared" si="1828"/>
        <v>0</v>
      </c>
      <c r="GH222" s="368">
        <f t="shared" si="1829"/>
        <v>0</v>
      </c>
      <c r="GI222" s="368">
        <f t="shared" si="1830"/>
        <v>0</v>
      </c>
      <c r="GJ222" s="368">
        <f t="shared" si="1831"/>
        <v>0</v>
      </c>
      <c r="GK222" s="368">
        <f t="shared" si="1750"/>
        <v>0</v>
      </c>
      <c r="GL222" s="368"/>
      <c r="GM222" s="368">
        <f t="shared" si="1832"/>
        <v>0</v>
      </c>
    </row>
    <row r="223" spans="1:195" s="83" customFormat="1" ht="20.100000000000001" hidden="1" customHeight="1">
      <c r="A223" s="357" t="s">
        <v>334</v>
      </c>
      <c r="B223" s="562" t="s">
        <v>527</v>
      </c>
      <c r="C223" s="357" t="str">
        <f t="shared" si="1833"/>
        <v>EPMCC-1</v>
      </c>
      <c r="D223" s="395" t="s">
        <v>679</v>
      </c>
      <c r="E223" s="421" t="s">
        <v>345</v>
      </c>
      <c r="F223" s="357" t="s">
        <v>29</v>
      </c>
      <c r="G223" s="357" t="s">
        <v>329</v>
      </c>
      <c r="H223" s="352">
        <v>40</v>
      </c>
      <c r="I223" s="357" t="s">
        <v>330</v>
      </c>
      <c r="J223" s="357" t="s">
        <v>331</v>
      </c>
      <c r="K223" s="353">
        <v>400</v>
      </c>
      <c r="L223" s="360">
        <v>0.85</v>
      </c>
      <c r="M223" s="352">
        <v>0.95</v>
      </c>
      <c r="N223" s="359">
        <f t="shared" si="1834"/>
        <v>71.500582729749254</v>
      </c>
      <c r="O223" s="359">
        <f t="shared" si="1771"/>
        <v>0</v>
      </c>
      <c r="P223" s="360" t="str">
        <f t="shared" si="1835"/>
        <v>0.00</v>
      </c>
      <c r="Q223" s="352">
        <v>50</v>
      </c>
      <c r="R223" s="352">
        <v>0</v>
      </c>
      <c r="S223" s="352">
        <f t="shared" si="1836"/>
        <v>0</v>
      </c>
      <c r="T223" s="360" t="s">
        <v>131</v>
      </c>
      <c r="U223" s="352" t="s">
        <v>535</v>
      </c>
      <c r="V223" s="360">
        <v>185</v>
      </c>
      <c r="W223" s="360" t="str">
        <f t="shared" si="1837"/>
        <v>3.5C X 185</v>
      </c>
      <c r="X223" s="360" t="str">
        <f t="shared" si="1838"/>
        <v>3.5C X 185</v>
      </c>
      <c r="Y223" s="360" t="s">
        <v>358</v>
      </c>
      <c r="Z223" s="361">
        <f>IF(T223="AIR",VLOOKUP(W223,'Catalogue Aluminium'!$B$9:$G$93,2,FALSE),IF(T223="GROUND",VLOOKUP(W223,'Catalogue Aluminium'!$B$9:$G$93,3,FALSE),IF(T223="DUCT",VLOOKUP(W223,'Catalogue Aluminium'!$B$9:$G$93,4,FALSE),IF(T223="TRENCH",VLOOKUP(W223,'Catalogue Aluminium'!$B$9:$G$93,2,FALSE)))))</f>
        <v>338</v>
      </c>
      <c r="AA223" s="362">
        <f>VLOOKUP(W223,'Catalogue Aluminium'!$B$9:$G$93,5,FALSE)</f>
        <v>0.21</v>
      </c>
      <c r="AB223" s="362">
        <f>VLOOKUP(W223,'Catalogue Aluminium'!$B$9:$G$93,6,FALSE)</f>
        <v>7.2700000000000001E-2</v>
      </c>
      <c r="AC223" s="564">
        <f>22+7</f>
        <v>29</v>
      </c>
      <c r="AD223" s="360">
        <f t="shared" si="1856"/>
        <v>237</v>
      </c>
      <c r="AE223" s="360">
        <f t="shared" si="1839"/>
        <v>38</v>
      </c>
      <c r="AF223" s="360">
        <v>8</v>
      </c>
      <c r="AG223" s="360">
        <f t="shared" si="1840"/>
        <v>32</v>
      </c>
      <c r="AH223" s="363"/>
      <c r="AI223" s="361">
        <f>IF(T223="AIR",'Catalogue Aluminium'!$K$9,IF(T223="TRENCH",'Catalogue Aluminium'!$K$12,"NA"))</f>
        <v>0.89</v>
      </c>
      <c r="AJ223" s="359">
        <f>IF(T223="Air",(IF(U223="1C",'Catalogue Aluminium'!$L$9,'Catalogue Aluminium'!$M$9)),IF(T223="DUCT",(IF($U223="1C",'Catalogue Aluminium'!$L$10,'Catalogue Aluminium'!$M$10)),IF(T223="GROUND",(IF($U223="1C",'Catalogue Aluminium'!$L$11,'Catalogue Aluminium'!$M$11)),IF(T223="TRENCH",(IF($U223="1C",'Catalogue Aluminium'!$L$12,'Catalogue Aluminium'!$M$12))))))</f>
        <v>0.66</v>
      </c>
      <c r="AK223" s="361" t="str">
        <f>IF(T223="Air",'Catalogue Aluminium'!$N$9,IF(T223="GROUND",'Catalogue Aluminium'!$N$10,IF(T223="DUCT",'Catalogue Aluminium'!$N$11,IF(T223="TRENCH",'Catalogue Aluminium'!$N$12,"NA"))))</f>
        <v>NA</v>
      </c>
      <c r="AL223" s="361" t="str">
        <f>IF(T223="Air",(IF(U223="1C",'Catalogue Aluminium'!$O$9,'Catalogue Aluminium'!$P$9)),IF(T223="DUCT",(IF($U223="1C",'Catalogue Aluminium'!$O$10,'Catalogue Aluminium'!$P$10)),IF(T223="GROUND",(IF($U223="1C",'Catalogue Aluminium'!$O$11,'Catalogue Aluminium'!$P$11)),IF(T223="TRENCH",(IF($U223="1C",'Catalogue Aluminium'!$O$12,'Catalogue Aluminium'!$P$12))))))</f>
        <v>NA</v>
      </c>
      <c r="AM223" s="361" t="str">
        <f>IF(T223="AIR","NA",IF(T223="TRENCH","NA",IF(T223="DUCT",IF(U223="1C",VLOOKUP(V223,'Catalogue Aluminium'!$Q$9:$S$28,2,FALSE),VLOOKUP(V223,'Catalogue Aluminium'!$Q$9:$S$28,3)),IF(T223="GROUND",IF(U223="1C",VLOOKUP(V223,'Catalogue Aluminium'!$Q$9:$S$28,2,FALSE),VLOOKUP(V223,'Catalogue Aluminium'!$Q$9:$S$28,3))))))</f>
        <v>NA</v>
      </c>
      <c r="AN223" s="365">
        <f t="shared" si="1841"/>
        <v>0.58740000000000003</v>
      </c>
      <c r="AO223" s="352">
        <f t="shared" si="1842"/>
        <v>198.5412</v>
      </c>
      <c r="AP223" s="353">
        <f t="shared" si="1303"/>
        <v>1</v>
      </c>
      <c r="AQ223" s="352" t="str">
        <f t="shared" si="1843"/>
        <v>YES</v>
      </c>
      <c r="AR223" s="365">
        <f t="shared" si="1844"/>
        <v>0</v>
      </c>
      <c r="AS223" s="496" t="str">
        <f t="shared" si="1845"/>
        <v>YES</v>
      </c>
      <c r="AT223" s="497" t="str">
        <f t="shared" si="1846"/>
        <v>NA</v>
      </c>
      <c r="AU223" s="360" t="str">
        <f t="shared" si="1847"/>
        <v>NA</v>
      </c>
      <c r="AV223" s="366" t="str">
        <f t="shared" si="1848"/>
        <v>1R x 0.6/1kV x 3.5C x 185 Sqmm</v>
      </c>
      <c r="AW223" s="366" t="str">
        <f t="shared" si="1849"/>
        <v>1R x 0.6/1kV x 3.5C x 185 Sqmm</v>
      </c>
      <c r="AX223" s="360"/>
      <c r="AY223" s="367"/>
      <c r="AZ223" s="367"/>
      <c r="BA223" s="520" t="str">
        <f t="shared" si="1851"/>
        <v/>
      </c>
      <c r="BB223" s="498"/>
      <c r="BC223" s="426"/>
      <c r="BE223" s="368"/>
      <c r="BF223" s="368"/>
      <c r="BG223" s="368"/>
      <c r="BH223" s="368"/>
      <c r="BI223" s="368"/>
      <c r="BJ223" s="368"/>
      <c r="BK223" s="368"/>
      <c r="BL223" s="368"/>
      <c r="BM223" s="368"/>
      <c r="BN223" s="368"/>
      <c r="BO223" s="368"/>
      <c r="BP223" s="368"/>
      <c r="BQ223" s="368"/>
      <c r="BR223" s="368"/>
      <c r="BS223" s="368"/>
      <c r="BT223" s="368"/>
      <c r="BU223" s="368"/>
      <c r="BV223" s="368"/>
      <c r="BW223" s="368"/>
      <c r="BX223" s="368"/>
      <c r="BY223" s="368"/>
      <c r="BZ223" s="368"/>
      <c r="CA223" s="368"/>
      <c r="CB223" s="368"/>
      <c r="CC223" s="368"/>
      <c r="CD223" s="368"/>
      <c r="CE223" s="368"/>
      <c r="CF223" s="368"/>
      <c r="CG223" s="368"/>
      <c r="CH223" s="368"/>
      <c r="CI223" s="368"/>
      <c r="CJ223" s="368"/>
      <c r="CK223" s="368"/>
      <c r="CL223" s="368"/>
      <c r="CM223" s="368"/>
      <c r="CN223" s="368"/>
      <c r="CO223" s="368"/>
      <c r="CP223" s="368"/>
      <c r="CQ223" s="368"/>
      <c r="CR223" s="368"/>
      <c r="CS223" s="368"/>
      <c r="CT223" s="368"/>
      <c r="CU223" s="368"/>
      <c r="CV223" s="368"/>
      <c r="CW223" s="368"/>
      <c r="CX223" s="368"/>
      <c r="CY223" s="368"/>
      <c r="CZ223" s="368"/>
      <c r="DA223" s="368"/>
      <c r="DB223" s="368"/>
      <c r="DC223" s="368"/>
      <c r="DD223" s="368"/>
      <c r="DE223" s="368"/>
      <c r="DF223" s="368"/>
      <c r="DG223" s="368"/>
      <c r="DH223" s="368"/>
      <c r="DI223" s="368"/>
      <c r="DJ223" s="368"/>
      <c r="DK223" s="368"/>
      <c r="DL223" s="368"/>
      <c r="DM223" s="368"/>
      <c r="DN223" s="368"/>
      <c r="DO223" s="368"/>
      <c r="DP223" s="368"/>
      <c r="DQ223" s="368"/>
      <c r="DR223" s="368"/>
      <c r="DS223" s="368"/>
      <c r="DT223" s="368"/>
      <c r="DU223" s="368"/>
      <c r="DW223" s="368">
        <f t="shared" si="1012"/>
        <v>0</v>
      </c>
      <c r="DX223" s="368">
        <f t="shared" si="1004"/>
        <v>0</v>
      </c>
      <c r="DY223" s="368">
        <f t="shared" si="1005"/>
        <v>0</v>
      </c>
      <c r="DZ223" s="368">
        <f t="shared" si="1006"/>
        <v>0</v>
      </c>
      <c r="EA223" s="368">
        <f t="shared" si="1007"/>
        <v>0</v>
      </c>
      <c r="EB223" s="368">
        <f t="shared" si="1008"/>
        <v>0</v>
      </c>
      <c r="EC223" s="368">
        <f t="shared" si="1009"/>
        <v>0</v>
      </c>
      <c r="ED223" s="368">
        <f t="shared" si="1774"/>
        <v>0</v>
      </c>
      <c r="EE223" s="368">
        <f t="shared" si="1775"/>
        <v>0</v>
      </c>
      <c r="EF223" s="368">
        <f t="shared" si="1776"/>
        <v>0</v>
      </c>
      <c r="EG223" s="368">
        <f t="shared" si="1777"/>
        <v>0</v>
      </c>
      <c r="EH223" s="368">
        <f t="shared" si="1778"/>
        <v>0</v>
      </c>
      <c r="EI223" s="368">
        <f t="shared" si="1779"/>
        <v>0</v>
      </c>
      <c r="EJ223" s="368">
        <f t="shared" si="1780"/>
        <v>0</v>
      </c>
      <c r="EK223" s="368">
        <f t="shared" si="1781"/>
        <v>0</v>
      </c>
      <c r="EL223" s="368">
        <f t="shared" si="1782"/>
        <v>0</v>
      </c>
      <c r="EM223" s="368">
        <f t="shared" si="1783"/>
        <v>0</v>
      </c>
      <c r="EN223" s="368">
        <f t="shared" si="1784"/>
        <v>0</v>
      </c>
      <c r="EO223" s="368">
        <f t="shared" si="1785"/>
        <v>0</v>
      </c>
      <c r="EP223" s="368">
        <f t="shared" si="1786"/>
        <v>0</v>
      </c>
      <c r="EQ223" s="368">
        <f t="shared" si="1787"/>
        <v>0</v>
      </c>
      <c r="ER223" s="368">
        <f t="shared" si="1788"/>
        <v>0</v>
      </c>
      <c r="ES223" s="368">
        <f t="shared" si="1789"/>
        <v>0</v>
      </c>
      <c r="ET223" s="368">
        <f t="shared" si="1789"/>
        <v>0</v>
      </c>
      <c r="EU223" s="368">
        <f t="shared" si="1790"/>
        <v>0</v>
      </c>
      <c r="EV223" s="368">
        <f t="shared" si="1791"/>
        <v>0</v>
      </c>
      <c r="EW223" s="368">
        <f t="shared" si="1792"/>
        <v>0</v>
      </c>
      <c r="EX223" s="368">
        <f t="shared" si="1793"/>
        <v>0</v>
      </c>
      <c r="EY223" s="368">
        <f t="shared" si="1794"/>
        <v>0</v>
      </c>
      <c r="EZ223" s="368">
        <f t="shared" si="1795"/>
        <v>0</v>
      </c>
      <c r="FA223" s="368">
        <f t="shared" si="1796"/>
        <v>0</v>
      </c>
      <c r="FB223" s="368">
        <f t="shared" si="1797"/>
        <v>0</v>
      </c>
      <c r="FC223" s="368">
        <f t="shared" si="1798"/>
        <v>0</v>
      </c>
      <c r="FD223" s="368">
        <f t="shared" si="1799"/>
        <v>0</v>
      </c>
      <c r="FE223" s="368">
        <f t="shared" si="1800"/>
        <v>0</v>
      </c>
      <c r="FF223" s="368">
        <f t="shared" si="1801"/>
        <v>0</v>
      </c>
      <c r="FG223" s="368">
        <f t="shared" si="1802"/>
        <v>0</v>
      </c>
      <c r="FH223" s="368">
        <f t="shared" si="1803"/>
        <v>0</v>
      </c>
      <c r="FI223" s="368">
        <f t="shared" si="1804"/>
        <v>0</v>
      </c>
      <c r="FJ223" s="368">
        <f t="shared" si="1805"/>
        <v>0</v>
      </c>
      <c r="FK223" s="368">
        <f t="shared" si="1806"/>
        <v>0</v>
      </c>
      <c r="FL223" s="368">
        <f t="shared" si="1807"/>
        <v>0</v>
      </c>
      <c r="FM223" s="368">
        <f t="shared" si="1808"/>
        <v>0</v>
      </c>
      <c r="FN223" s="368">
        <f t="shared" si="1809"/>
        <v>0</v>
      </c>
      <c r="FO223" s="368">
        <f t="shared" si="1810"/>
        <v>0</v>
      </c>
      <c r="FP223" s="368">
        <f t="shared" si="1811"/>
        <v>0</v>
      </c>
      <c r="FQ223" s="368">
        <f t="shared" si="1812"/>
        <v>0</v>
      </c>
      <c r="FR223" s="368">
        <f t="shared" si="1813"/>
        <v>0</v>
      </c>
      <c r="FS223" s="368">
        <f t="shared" si="1814"/>
        <v>0</v>
      </c>
      <c r="FT223" s="368">
        <f t="shared" si="1815"/>
        <v>0</v>
      </c>
      <c r="FU223" s="368"/>
      <c r="FV223" s="368"/>
      <c r="FW223" s="368"/>
      <c r="FX223" s="368"/>
      <c r="FY223" s="368">
        <f t="shared" si="1820"/>
        <v>0</v>
      </c>
      <c r="FZ223" s="368">
        <f t="shared" si="1821"/>
        <v>0</v>
      </c>
      <c r="GA223" s="368">
        <f t="shared" si="1822"/>
        <v>0</v>
      </c>
      <c r="GB223" s="368">
        <f t="shared" si="1823"/>
        <v>0</v>
      </c>
      <c r="GC223" s="368">
        <f t="shared" si="1824"/>
        <v>0</v>
      </c>
      <c r="GD223" s="368">
        <f t="shared" si="1825"/>
        <v>0</v>
      </c>
      <c r="GE223" s="368">
        <f t="shared" si="1826"/>
        <v>0</v>
      </c>
      <c r="GF223" s="368">
        <f t="shared" si="1827"/>
        <v>0</v>
      </c>
      <c r="GG223" s="368">
        <f t="shared" si="1828"/>
        <v>0</v>
      </c>
      <c r="GH223" s="368">
        <f t="shared" si="1829"/>
        <v>0</v>
      </c>
      <c r="GI223" s="368">
        <f t="shared" si="1830"/>
        <v>0</v>
      </c>
      <c r="GJ223" s="368">
        <f t="shared" si="1831"/>
        <v>0</v>
      </c>
      <c r="GK223" s="368">
        <f t="shared" si="1750"/>
        <v>0</v>
      </c>
      <c r="GL223" s="368"/>
      <c r="GM223" s="368">
        <f t="shared" si="1832"/>
        <v>0</v>
      </c>
    </row>
    <row r="224" spans="1:195" ht="20.100000000000001" customHeight="1">
      <c r="A224" s="337">
        <f>1+A220</f>
        <v>148</v>
      </c>
      <c r="B224" s="526" t="s">
        <v>527</v>
      </c>
      <c r="C224" s="337" t="str">
        <f t="shared" si="1833"/>
        <v>EPMCC-1</v>
      </c>
      <c r="D224" s="338" t="s">
        <v>680</v>
      </c>
      <c r="E224" s="500" t="s">
        <v>555</v>
      </c>
      <c r="F224" s="516" t="s">
        <v>28</v>
      </c>
      <c r="G224" s="337" t="s">
        <v>329</v>
      </c>
      <c r="H224" s="583">
        <v>1.45</v>
      </c>
      <c r="I224" s="337" t="s">
        <v>330</v>
      </c>
      <c r="J224" s="337" t="s">
        <v>357</v>
      </c>
      <c r="K224" s="349">
        <v>230</v>
      </c>
      <c r="L224" s="343">
        <v>0.85</v>
      </c>
      <c r="M224" s="350">
        <v>0.95</v>
      </c>
      <c r="N224" s="342">
        <f t="shared" si="1834"/>
        <v>7.8072418898909683</v>
      </c>
      <c r="O224" s="342">
        <f t="shared" si="1771"/>
        <v>0</v>
      </c>
      <c r="P224" s="343" t="str">
        <f t="shared" si="1835"/>
        <v>0.00</v>
      </c>
      <c r="Q224" s="350">
        <v>50</v>
      </c>
      <c r="R224" s="350">
        <v>0</v>
      </c>
      <c r="S224" s="350">
        <f t="shared" si="1836"/>
        <v>0</v>
      </c>
      <c r="T224" s="343" t="s">
        <v>131</v>
      </c>
      <c r="U224" s="350" t="s">
        <v>333</v>
      </c>
      <c r="V224" s="343">
        <v>16</v>
      </c>
      <c r="W224" s="343" t="str">
        <f t="shared" si="1837"/>
        <v>3C X 16</v>
      </c>
      <c r="X224" s="343" t="str">
        <f t="shared" si="1838"/>
        <v>3C X 16</v>
      </c>
      <c r="Y224" s="343" t="s">
        <v>358</v>
      </c>
      <c r="Z224" s="344">
        <f>IF(T224="AIR",VLOOKUP(W224,'Catalogue Aluminium'!$B$9:$G$93,2,FALSE),IF(T224="GROUND",VLOOKUP(W224,'Catalogue Aluminium'!$B$9:$G$93,3,FALSE),IF(T224="DUCT",VLOOKUP(W224,'Catalogue Aluminium'!$B$9:$G$93,4,FALSE),IF(T224="TRENCH",VLOOKUP(W224,'Catalogue Aluminium'!$B$9:$G$93,2,FALSE)))))</f>
        <v>70</v>
      </c>
      <c r="AA224" s="345">
        <f>VLOOKUP(W224,'Catalogue Aluminium'!$B$9:$G$93,5,FALSE)</f>
        <v>2.44</v>
      </c>
      <c r="AB224" s="345">
        <f>VLOOKUP(W224,'Catalogue Aluminium'!$B$9:$G$93,6,FALSE)</f>
        <v>8.1500000000000003E-2</v>
      </c>
      <c r="AC224" s="457">
        <f>32+6</f>
        <v>38</v>
      </c>
      <c r="AD224" s="401">
        <v>80</v>
      </c>
      <c r="AE224" s="401">
        <v>5</v>
      </c>
      <c r="AF224" s="401">
        <v>8</v>
      </c>
      <c r="AG224" s="401">
        <f t="shared" si="1840"/>
        <v>14</v>
      </c>
      <c r="AH224" s="347">
        <f t="shared" si="1850"/>
        <v>145</v>
      </c>
      <c r="AI224" s="344">
        <f>IF(T224="AIR",'Catalogue Aluminium'!$K$9,IF(T224="TRENCH",'Catalogue Aluminium'!$K$12,"NA"))</f>
        <v>0.89</v>
      </c>
      <c r="AJ224" s="342">
        <f>IF(T224="Air",(IF(U224="1C",'Catalogue Aluminium'!$L$9,'Catalogue Aluminium'!$M$9)),IF(T224="DUCT",(IF($U224="1C",'Catalogue Aluminium'!$L$10,'Catalogue Aluminium'!$M$10)),IF(T224="GROUND",(IF($U224="1C",'Catalogue Aluminium'!$L$11,'Catalogue Aluminium'!$M$11)),IF(T224="TRENCH",(IF($U224="1C",'Catalogue Aluminium'!$L$12,'Catalogue Aluminium'!$M$12))))))</f>
        <v>0.66</v>
      </c>
      <c r="AK224" s="344" t="str">
        <f>IF(T224="Air",'Catalogue Aluminium'!$N$9,IF(T224="GROUND",'Catalogue Aluminium'!$N$10,IF(T224="DUCT",'Catalogue Aluminium'!$N$11,IF(T224="TRENCH",'Catalogue Aluminium'!$N$12,"NA"))))</f>
        <v>NA</v>
      </c>
      <c r="AL224" s="344" t="str">
        <f>IF(T224="Air",(IF(U224="1C",'Catalogue Aluminium'!$O$9,'Catalogue Aluminium'!$P$9)),IF(T224="DUCT",(IF($U224="1C",'Catalogue Aluminium'!$O$10,'Catalogue Aluminium'!$P$10)),IF(T224="GROUND",(IF($U224="1C",'Catalogue Aluminium'!$O$11,'Catalogue Aluminium'!$P$11)),IF(T224="TRENCH",(IF($U224="1C",'Catalogue Aluminium'!$O$12,'Catalogue Aluminium'!$P$12))))))</f>
        <v>NA</v>
      </c>
      <c r="AM224" s="344" t="str">
        <f>IF(T224="AIR","NA",IF(T224="TRENCH","NA",IF(T224="DUCT",IF(U224="1C",VLOOKUP(V224,'Catalogue Aluminium'!$Q$9:$S$28,2,FALSE),VLOOKUP(V224,'Catalogue Aluminium'!$Q$9:$S$28,3)),IF(T224="GROUND",IF(U224="1C",VLOOKUP(V224,'Catalogue Aluminium'!$Q$9:$S$28,2,FALSE),VLOOKUP(V224,'Catalogue Aluminium'!$Q$9:$S$28,3))))))</f>
        <v>NA</v>
      </c>
      <c r="AN224" s="351">
        <f t="shared" si="1841"/>
        <v>0.58740000000000003</v>
      </c>
      <c r="AO224" s="350">
        <f t="shared" si="1842"/>
        <v>41.118000000000002</v>
      </c>
      <c r="AP224" s="349">
        <f t="shared" si="1303"/>
        <v>1</v>
      </c>
      <c r="AQ224" s="350" t="str">
        <f t="shared" si="1843"/>
        <v>YES</v>
      </c>
      <c r="AR224" s="351">
        <f t="shared" si="1844"/>
        <v>1.8047019954026575</v>
      </c>
      <c r="AS224" s="343" t="str">
        <f t="shared" si="1845"/>
        <v>YES</v>
      </c>
      <c r="AT224" s="351" t="str">
        <f t="shared" si="1846"/>
        <v>NA</v>
      </c>
      <c r="AU224" s="343" t="str">
        <f t="shared" si="1847"/>
        <v>NA</v>
      </c>
      <c r="AV224" s="354" t="str">
        <f t="shared" si="1848"/>
        <v>1R x 0.6/1kV x 3C x 16 Sqmm</v>
      </c>
      <c r="AW224" s="354" t="str">
        <f t="shared" si="1849"/>
        <v>1R x 0.6/1kV x 3C x 16 Sqmm</v>
      </c>
      <c r="AX224" s="343">
        <f>(IF(K224=400,(IF(U224="1C",(4*AH224*AP224),(AH224*AP224))),IF(K224=230,(AH224*AP224))))</f>
        <v>145</v>
      </c>
      <c r="AY224" s="355"/>
      <c r="AZ224" s="355">
        <f>IF(U224="1C",(3*AP224*2),(AP224*2))</f>
        <v>2</v>
      </c>
      <c r="BA224" s="356" t="str">
        <f t="shared" si="1851"/>
        <v>AB</v>
      </c>
      <c r="BB224" s="501">
        <f>VLOOKUP(W224,'Catalogue Aluminium'!$B$9:$H$93,7,FALSE)</f>
        <v>19</v>
      </c>
      <c r="BC224" s="328">
        <f>AP224*BB224</f>
        <v>19</v>
      </c>
      <c r="BE224" s="336"/>
      <c r="BF224" s="336">
        <v>1</v>
      </c>
      <c r="BG224" s="336">
        <v>1</v>
      </c>
      <c r="BH224" s="336"/>
      <c r="BI224" s="336"/>
      <c r="BJ224" s="336"/>
      <c r="BK224" s="336"/>
      <c r="BL224" s="336"/>
      <c r="BM224" s="336"/>
      <c r="BN224" s="336"/>
      <c r="BO224" s="336"/>
      <c r="BP224" s="336"/>
      <c r="BQ224" s="336"/>
      <c r="BR224" s="336"/>
      <c r="BS224" s="336"/>
      <c r="BT224" s="336"/>
      <c r="BU224" s="336"/>
      <c r="BV224" s="336"/>
      <c r="BW224" s="336"/>
      <c r="BX224" s="336"/>
      <c r="BY224" s="336"/>
      <c r="BZ224" s="336"/>
      <c r="CA224" s="336"/>
      <c r="CB224" s="336"/>
      <c r="CC224" s="336"/>
      <c r="CD224" s="336"/>
      <c r="CE224" s="336"/>
      <c r="CF224" s="336"/>
      <c r="CG224" s="336"/>
      <c r="CH224" s="336"/>
      <c r="CI224" s="336"/>
      <c r="CJ224" s="336"/>
      <c r="CK224" s="336"/>
      <c r="CL224" s="336"/>
      <c r="CM224" s="336"/>
      <c r="CN224" s="336"/>
      <c r="CO224" s="336"/>
      <c r="CP224" s="336"/>
      <c r="CQ224" s="336"/>
      <c r="CR224" s="336"/>
      <c r="CS224" s="336"/>
      <c r="CT224" s="336"/>
      <c r="CU224" s="336"/>
      <c r="CV224" s="336"/>
      <c r="CW224" s="336"/>
      <c r="CX224" s="336"/>
      <c r="CY224" s="336"/>
      <c r="CZ224" s="336"/>
      <c r="DA224" s="336"/>
      <c r="DB224" s="336"/>
      <c r="DC224" s="336"/>
      <c r="DD224" s="336"/>
      <c r="DE224" s="336"/>
      <c r="DF224" s="336"/>
      <c r="DG224" s="336"/>
      <c r="DH224" s="336"/>
      <c r="DI224" s="336"/>
      <c r="DJ224" s="336"/>
      <c r="DK224" s="336"/>
      <c r="DL224" s="336"/>
      <c r="DM224" s="336"/>
      <c r="DN224" s="336"/>
      <c r="DO224" s="336"/>
      <c r="DP224" s="336"/>
      <c r="DQ224" s="336"/>
      <c r="DR224" s="336"/>
      <c r="DS224" s="336"/>
      <c r="DT224" s="336"/>
      <c r="DU224" s="336"/>
      <c r="DW224" s="336">
        <f t="shared" si="1012"/>
        <v>0</v>
      </c>
      <c r="DX224" s="336">
        <f t="shared" ref="DX224:DX288" si="1862">IF(BF224=1,($BC224*BF224),0)</f>
        <v>19</v>
      </c>
      <c r="DY224" s="336">
        <f t="shared" ref="DY224:DY288" si="1863">IF(BG224=1,($BC224*BG224),0)</f>
        <v>19</v>
      </c>
      <c r="DZ224" s="336">
        <f t="shared" ref="DZ224:DZ288" si="1864">IF(BH224=1,($BC224*BH224),0)</f>
        <v>0</v>
      </c>
      <c r="EA224" s="336">
        <f t="shared" ref="EA224:EA288" si="1865">IF(BI224=1,($BC224*BI224),0)</f>
        <v>0</v>
      </c>
      <c r="EB224" s="336">
        <f t="shared" ref="EB224:EB288" si="1866">IF(BJ224=1,($BC224*BJ224),0)</f>
        <v>0</v>
      </c>
      <c r="EC224" s="336">
        <f t="shared" ref="EC224:EC288" si="1867">IF(BK224=1,($BC224*BK224),0)</f>
        <v>0</v>
      </c>
      <c r="ED224" s="336">
        <f t="shared" si="1774"/>
        <v>0</v>
      </c>
      <c r="EE224" s="336">
        <f t="shared" si="1775"/>
        <v>0</v>
      </c>
      <c r="EF224" s="336">
        <f t="shared" si="1776"/>
        <v>0</v>
      </c>
      <c r="EG224" s="336">
        <f t="shared" si="1777"/>
        <v>0</v>
      </c>
      <c r="EH224" s="336">
        <f t="shared" si="1778"/>
        <v>0</v>
      </c>
      <c r="EI224" s="336">
        <f t="shared" si="1779"/>
        <v>0</v>
      </c>
      <c r="EJ224" s="336">
        <f t="shared" si="1780"/>
        <v>0</v>
      </c>
      <c r="EK224" s="336">
        <f t="shared" si="1781"/>
        <v>0</v>
      </c>
      <c r="EL224" s="336">
        <f t="shared" si="1782"/>
        <v>0</v>
      </c>
      <c r="EM224" s="336">
        <f t="shared" si="1783"/>
        <v>0</v>
      </c>
      <c r="EN224" s="336">
        <f t="shared" si="1784"/>
        <v>0</v>
      </c>
      <c r="EO224" s="336">
        <f t="shared" si="1785"/>
        <v>0</v>
      </c>
      <c r="EP224" s="336">
        <f t="shared" si="1786"/>
        <v>0</v>
      </c>
      <c r="EQ224" s="336">
        <f t="shared" si="1787"/>
        <v>0</v>
      </c>
      <c r="ER224" s="336">
        <f t="shared" si="1788"/>
        <v>0</v>
      </c>
      <c r="ES224" s="336">
        <f t="shared" si="1789"/>
        <v>0</v>
      </c>
      <c r="ET224" s="336">
        <f t="shared" si="1789"/>
        <v>0</v>
      </c>
      <c r="EU224" s="336">
        <f t="shared" si="1790"/>
        <v>0</v>
      </c>
      <c r="EV224" s="336">
        <f t="shared" si="1791"/>
        <v>0</v>
      </c>
      <c r="EW224" s="336">
        <f t="shared" si="1792"/>
        <v>0</v>
      </c>
      <c r="EX224" s="336">
        <f t="shared" si="1793"/>
        <v>0</v>
      </c>
      <c r="EY224" s="336">
        <f t="shared" si="1794"/>
        <v>0</v>
      </c>
      <c r="EZ224" s="336">
        <f t="shared" si="1795"/>
        <v>0</v>
      </c>
      <c r="FA224" s="336">
        <f t="shared" si="1796"/>
        <v>0</v>
      </c>
      <c r="FB224" s="336">
        <f t="shared" si="1797"/>
        <v>0</v>
      </c>
      <c r="FC224" s="336">
        <f t="shared" si="1798"/>
        <v>0</v>
      </c>
      <c r="FD224" s="336">
        <f t="shared" si="1799"/>
        <v>0</v>
      </c>
      <c r="FE224" s="336">
        <f t="shared" si="1800"/>
        <v>0</v>
      </c>
      <c r="FF224" s="336">
        <f t="shared" si="1801"/>
        <v>0</v>
      </c>
      <c r="FG224" s="336">
        <f t="shared" si="1802"/>
        <v>0</v>
      </c>
      <c r="FH224" s="336">
        <f t="shared" si="1803"/>
        <v>0</v>
      </c>
      <c r="FI224" s="336">
        <f t="shared" si="1804"/>
        <v>0</v>
      </c>
      <c r="FJ224" s="336">
        <f t="shared" si="1805"/>
        <v>0</v>
      </c>
      <c r="FK224" s="336">
        <f t="shared" si="1806"/>
        <v>0</v>
      </c>
      <c r="FL224" s="336">
        <f t="shared" si="1807"/>
        <v>0</v>
      </c>
      <c r="FM224" s="336">
        <f t="shared" si="1808"/>
        <v>0</v>
      </c>
      <c r="FN224" s="336">
        <f t="shared" si="1809"/>
        <v>0</v>
      </c>
      <c r="FO224" s="336">
        <f t="shared" si="1810"/>
        <v>0</v>
      </c>
      <c r="FP224" s="336">
        <f t="shared" si="1811"/>
        <v>0</v>
      </c>
      <c r="FQ224" s="336">
        <f t="shared" si="1812"/>
        <v>0</v>
      </c>
      <c r="FR224" s="336">
        <f t="shared" si="1813"/>
        <v>0</v>
      </c>
      <c r="FS224" s="336">
        <f t="shared" si="1814"/>
        <v>0</v>
      </c>
      <c r="FT224" s="336">
        <f t="shared" si="1815"/>
        <v>0</v>
      </c>
      <c r="FU224" s="336">
        <f t="shared" ref="FU224" si="1868">IF(DC224=1,($BC224*DC224),0)</f>
        <v>0</v>
      </c>
      <c r="FV224" s="336">
        <f t="shared" ref="FV224" si="1869">IF(DD224=1,($BC224*DD224),0)</f>
        <v>0</v>
      </c>
      <c r="FW224" s="336">
        <f t="shared" ref="FW224" si="1870">IF(DE224=1,($BC224*DE224),0)</f>
        <v>0</v>
      </c>
      <c r="FX224" s="336">
        <f t="shared" ref="FX224" si="1871">IF(DF224=1,($BC224*DF224),0)</f>
        <v>0</v>
      </c>
      <c r="FY224" s="336">
        <f t="shared" si="1820"/>
        <v>0</v>
      </c>
      <c r="FZ224" s="336">
        <f t="shared" si="1821"/>
        <v>0</v>
      </c>
      <c r="GA224" s="336">
        <f t="shared" si="1822"/>
        <v>0</v>
      </c>
      <c r="GB224" s="336">
        <f t="shared" si="1823"/>
        <v>0</v>
      </c>
      <c r="GC224" s="336">
        <f t="shared" si="1824"/>
        <v>0</v>
      </c>
      <c r="GD224" s="336">
        <f t="shared" si="1825"/>
        <v>0</v>
      </c>
      <c r="GE224" s="336">
        <f t="shared" si="1826"/>
        <v>0</v>
      </c>
      <c r="GF224" s="336">
        <f t="shared" si="1827"/>
        <v>0</v>
      </c>
      <c r="GG224" s="336">
        <f t="shared" si="1828"/>
        <v>0</v>
      </c>
      <c r="GH224" s="336">
        <f t="shared" si="1829"/>
        <v>0</v>
      </c>
      <c r="GI224" s="336">
        <f t="shared" si="1830"/>
        <v>0</v>
      </c>
      <c r="GJ224" s="336">
        <f t="shared" si="1831"/>
        <v>0</v>
      </c>
      <c r="GK224" s="336">
        <f t="shared" si="1750"/>
        <v>0</v>
      </c>
      <c r="GL224" s="336">
        <f>IF(DT224=1,($BC224*DT224),0)</f>
        <v>0</v>
      </c>
      <c r="GM224" s="336">
        <f t="shared" si="1832"/>
        <v>0</v>
      </c>
    </row>
    <row r="225" spans="1:195" s="83" customFormat="1" ht="20.100000000000001" hidden="1" customHeight="1">
      <c r="A225" s="357" t="s">
        <v>334</v>
      </c>
      <c r="B225" s="562" t="s">
        <v>527</v>
      </c>
      <c r="C225" s="357" t="str">
        <f t="shared" si="1833"/>
        <v>EPMCC-1</v>
      </c>
      <c r="D225" s="395" t="s">
        <v>681</v>
      </c>
      <c r="E225" s="421" t="s">
        <v>345</v>
      </c>
      <c r="F225" s="357" t="s">
        <v>29</v>
      </c>
      <c r="G225" s="357" t="s">
        <v>329</v>
      </c>
      <c r="H225" s="352">
        <v>4</v>
      </c>
      <c r="I225" s="357" t="s">
        <v>330</v>
      </c>
      <c r="J225" s="357" t="s">
        <v>331</v>
      </c>
      <c r="K225" s="353">
        <v>400</v>
      </c>
      <c r="L225" s="360">
        <v>0.85</v>
      </c>
      <c r="M225" s="352">
        <v>0.95</v>
      </c>
      <c r="N225" s="359">
        <f t="shared" si="1834"/>
        <v>7.1500582729749258</v>
      </c>
      <c r="O225" s="359">
        <f t="shared" si="1771"/>
        <v>0</v>
      </c>
      <c r="P225" s="360" t="str">
        <f t="shared" si="1835"/>
        <v>0.00</v>
      </c>
      <c r="Q225" s="352">
        <v>50</v>
      </c>
      <c r="R225" s="352">
        <v>0</v>
      </c>
      <c r="S225" s="352">
        <f t="shared" si="1836"/>
        <v>0</v>
      </c>
      <c r="T225" s="360" t="s">
        <v>131</v>
      </c>
      <c r="U225" s="352" t="s">
        <v>522</v>
      </c>
      <c r="V225" s="360">
        <v>16</v>
      </c>
      <c r="W225" s="360" t="str">
        <f t="shared" si="1837"/>
        <v>4C X 16</v>
      </c>
      <c r="X225" s="360" t="str">
        <f t="shared" si="1838"/>
        <v>4C X 16</v>
      </c>
      <c r="Y225" s="360" t="s">
        <v>358</v>
      </c>
      <c r="Z225" s="361">
        <f>IF(T225="AIR",VLOOKUP(W225,'Catalogue Aluminium'!$B$9:$G$93,2,FALSE),IF(T225="GROUND",VLOOKUP(W225,'Catalogue Aluminium'!$B$9:$G$93,3,FALSE),IF(T225="DUCT",VLOOKUP(W225,'Catalogue Aluminium'!$B$9:$G$93,4,FALSE),IF(T225="TRENCH",VLOOKUP(W225,'Catalogue Aluminium'!$B$9:$G$93,2,FALSE)))))</f>
        <v>70</v>
      </c>
      <c r="AA225" s="362">
        <f>VLOOKUP(W225,'Catalogue Aluminium'!$B$9:$G$93,5,FALSE)</f>
        <v>2.44</v>
      </c>
      <c r="AB225" s="362">
        <f>VLOOKUP(W225,'Catalogue Aluminium'!$B$9:$G$93,6,FALSE)</f>
        <v>8.1500000000000003E-2</v>
      </c>
      <c r="AC225" s="564">
        <f>22+7</f>
        <v>29</v>
      </c>
      <c r="AD225" s="360">
        <f t="shared" si="1856"/>
        <v>237</v>
      </c>
      <c r="AE225" s="456">
        <f t="shared" si="1839"/>
        <v>38</v>
      </c>
      <c r="AF225" s="360">
        <v>8</v>
      </c>
      <c r="AG225" s="360">
        <f t="shared" si="1840"/>
        <v>32</v>
      </c>
      <c r="AH225" s="363"/>
      <c r="AI225" s="361">
        <f>IF(T225="AIR",'Catalogue Aluminium'!$K$9,IF(T225="TRENCH",'Catalogue Aluminium'!$K$12,"NA"))</f>
        <v>0.89</v>
      </c>
      <c r="AJ225" s="359">
        <f>IF(T225="Air",(IF(U225="1C",'Catalogue Aluminium'!$L$9,'Catalogue Aluminium'!$M$9)),IF(T225="DUCT",(IF($U225="1C",'Catalogue Aluminium'!$L$10,'Catalogue Aluminium'!$M$10)),IF(T225="GROUND",(IF($U225="1C",'Catalogue Aluminium'!$L$11,'Catalogue Aluminium'!$M$11)),IF(T225="TRENCH",(IF($U225="1C",'Catalogue Aluminium'!$L$12,'Catalogue Aluminium'!$M$12))))))</f>
        <v>0.66</v>
      </c>
      <c r="AK225" s="361" t="str">
        <f>IF(T225="Air",'Catalogue Aluminium'!$N$9,IF(T225="GROUND",'Catalogue Aluminium'!$N$10,IF(T225="DUCT",'Catalogue Aluminium'!$N$11,IF(T225="TRENCH",'Catalogue Aluminium'!$N$12,"NA"))))</f>
        <v>NA</v>
      </c>
      <c r="AL225" s="361" t="str">
        <f>IF(T225="Air",(IF(U225="1C",'Catalogue Aluminium'!$O$9,'Catalogue Aluminium'!$P$9)),IF(T225="DUCT",(IF($U225="1C",'Catalogue Aluminium'!$O$10,'Catalogue Aluminium'!$P$10)),IF(T225="GROUND",(IF($U225="1C",'Catalogue Aluminium'!$O$11,'Catalogue Aluminium'!$P$11)),IF(T225="TRENCH",(IF($U225="1C",'Catalogue Aluminium'!$O$12,'Catalogue Aluminium'!$P$12))))))</f>
        <v>NA</v>
      </c>
      <c r="AM225" s="361" t="str">
        <f>IF(T225="AIR","NA",IF(T225="TRENCH","NA",IF(T225="DUCT",IF(U225="1C",VLOOKUP(V225,'Catalogue Aluminium'!$Q$9:$S$28,2,FALSE),VLOOKUP(V225,'Catalogue Aluminium'!$Q$9:$S$28,3)),IF(T225="GROUND",IF(U225="1C",VLOOKUP(V225,'Catalogue Aluminium'!$Q$9:$S$28,2,FALSE),VLOOKUP(V225,'Catalogue Aluminium'!$Q$9:$S$28,3))))))</f>
        <v>NA</v>
      </c>
      <c r="AN225" s="365">
        <f t="shared" si="1841"/>
        <v>0.58740000000000003</v>
      </c>
      <c r="AO225" s="352">
        <f t="shared" si="1842"/>
        <v>41.118000000000002</v>
      </c>
      <c r="AP225" s="353">
        <f t="shared" si="1303"/>
        <v>1</v>
      </c>
      <c r="AQ225" s="352" t="str">
        <f t="shared" si="1843"/>
        <v>YES</v>
      </c>
      <c r="AR225" s="365">
        <f t="shared" si="1844"/>
        <v>0</v>
      </c>
      <c r="AS225" s="496" t="str">
        <f t="shared" si="1845"/>
        <v>YES</v>
      </c>
      <c r="AT225" s="497" t="str">
        <f t="shared" si="1846"/>
        <v>NA</v>
      </c>
      <c r="AU225" s="360" t="str">
        <f t="shared" si="1847"/>
        <v>NA</v>
      </c>
      <c r="AV225" s="366" t="str">
        <f t="shared" si="1848"/>
        <v>1R x 0.6/1kV x 4C x 16 Sqmm</v>
      </c>
      <c r="AW225" s="366" t="str">
        <f t="shared" si="1849"/>
        <v>1R x 0.6/1kV x 4C x 16 Sqmm</v>
      </c>
      <c r="AX225" s="360"/>
      <c r="AY225" s="367"/>
      <c r="AZ225" s="367"/>
      <c r="BA225" s="520" t="str">
        <f t="shared" si="1851"/>
        <v/>
      </c>
      <c r="BB225" s="498"/>
      <c r="BC225" s="426"/>
      <c r="BE225" s="368"/>
      <c r="BF225" s="368"/>
      <c r="BG225" s="368"/>
      <c r="BH225" s="368"/>
      <c r="BI225" s="368"/>
      <c r="BJ225" s="368"/>
      <c r="BK225" s="368"/>
      <c r="BL225" s="368"/>
      <c r="BM225" s="368"/>
      <c r="BN225" s="368"/>
      <c r="BO225" s="368"/>
      <c r="BP225" s="368"/>
      <c r="BQ225" s="368"/>
      <c r="BR225" s="368"/>
      <c r="BS225" s="368"/>
      <c r="BT225" s="368"/>
      <c r="BU225" s="368"/>
      <c r="BV225" s="368"/>
      <c r="BW225" s="368"/>
      <c r="BX225" s="368"/>
      <c r="BY225" s="368"/>
      <c r="BZ225" s="368"/>
      <c r="CA225" s="368"/>
      <c r="CB225" s="368"/>
      <c r="CC225" s="368"/>
      <c r="CD225" s="368"/>
      <c r="CE225" s="368"/>
      <c r="CF225" s="368"/>
      <c r="CG225" s="368"/>
      <c r="CH225" s="368"/>
      <c r="CI225" s="368"/>
      <c r="CJ225" s="368"/>
      <c r="CK225" s="368"/>
      <c r="CL225" s="368"/>
      <c r="CM225" s="368"/>
      <c r="CN225" s="368"/>
      <c r="CO225" s="368"/>
      <c r="CP225" s="368"/>
      <c r="CQ225" s="368"/>
      <c r="CR225" s="368"/>
      <c r="CS225" s="368"/>
      <c r="CT225" s="368"/>
      <c r="CU225" s="368"/>
      <c r="CV225" s="368"/>
      <c r="CW225" s="368"/>
      <c r="CX225" s="368"/>
      <c r="CY225" s="368"/>
      <c r="CZ225" s="368"/>
      <c r="DA225" s="368"/>
      <c r="DB225" s="368"/>
      <c r="DC225" s="368"/>
      <c r="DD225" s="368"/>
      <c r="DE225" s="368"/>
      <c r="DF225" s="368"/>
      <c r="DG225" s="368"/>
      <c r="DH225" s="368"/>
      <c r="DI225" s="368"/>
      <c r="DJ225" s="368"/>
      <c r="DK225" s="368"/>
      <c r="DL225" s="368"/>
      <c r="DM225" s="368"/>
      <c r="DN225" s="368"/>
      <c r="DO225" s="368"/>
      <c r="DP225" s="368"/>
      <c r="DQ225" s="368"/>
      <c r="DR225" s="368"/>
      <c r="DS225" s="368"/>
      <c r="DT225" s="368"/>
      <c r="DU225" s="368"/>
      <c r="DW225" s="368">
        <f t="shared" ref="DW225:DW289" si="1872">IF(BE225=1,($BC225*BE225),0)</f>
        <v>0</v>
      </c>
      <c r="DX225" s="368">
        <f t="shared" si="1862"/>
        <v>0</v>
      </c>
      <c r="DY225" s="368">
        <f t="shared" si="1863"/>
        <v>0</v>
      </c>
      <c r="DZ225" s="368">
        <f t="shared" si="1864"/>
        <v>0</v>
      </c>
      <c r="EA225" s="368">
        <f t="shared" si="1865"/>
        <v>0</v>
      </c>
      <c r="EB225" s="368">
        <f t="shared" si="1866"/>
        <v>0</v>
      </c>
      <c r="EC225" s="368">
        <f t="shared" si="1867"/>
        <v>0</v>
      </c>
      <c r="ED225" s="368">
        <f t="shared" si="1774"/>
        <v>0</v>
      </c>
      <c r="EE225" s="368">
        <f t="shared" si="1775"/>
        <v>0</v>
      </c>
      <c r="EF225" s="368">
        <f t="shared" si="1776"/>
        <v>0</v>
      </c>
      <c r="EG225" s="368">
        <f t="shared" si="1777"/>
        <v>0</v>
      </c>
      <c r="EH225" s="368">
        <f t="shared" si="1778"/>
        <v>0</v>
      </c>
      <c r="EI225" s="368">
        <f t="shared" si="1779"/>
        <v>0</v>
      </c>
      <c r="EJ225" s="368">
        <f t="shared" si="1780"/>
        <v>0</v>
      </c>
      <c r="EK225" s="368">
        <f t="shared" si="1781"/>
        <v>0</v>
      </c>
      <c r="EL225" s="368">
        <f t="shared" si="1782"/>
        <v>0</v>
      </c>
      <c r="EM225" s="368">
        <f t="shared" si="1783"/>
        <v>0</v>
      </c>
      <c r="EN225" s="368">
        <f t="shared" si="1784"/>
        <v>0</v>
      </c>
      <c r="EO225" s="368">
        <f t="shared" si="1785"/>
        <v>0</v>
      </c>
      <c r="EP225" s="368">
        <f t="shared" si="1786"/>
        <v>0</v>
      </c>
      <c r="EQ225" s="368">
        <f t="shared" si="1787"/>
        <v>0</v>
      </c>
      <c r="ER225" s="368">
        <f t="shared" si="1788"/>
        <v>0</v>
      </c>
      <c r="ES225" s="368">
        <f t="shared" si="1789"/>
        <v>0</v>
      </c>
      <c r="ET225" s="368">
        <f t="shared" si="1789"/>
        <v>0</v>
      </c>
      <c r="EU225" s="368">
        <f t="shared" si="1790"/>
        <v>0</v>
      </c>
      <c r="EV225" s="368">
        <f t="shared" si="1791"/>
        <v>0</v>
      </c>
      <c r="EW225" s="368">
        <f t="shared" si="1792"/>
        <v>0</v>
      </c>
      <c r="EX225" s="368">
        <f t="shared" si="1793"/>
        <v>0</v>
      </c>
      <c r="EY225" s="368">
        <f t="shared" si="1794"/>
        <v>0</v>
      </c>
      <c r="EZ225" s="368">
        <f t="shared" si="1795"/>
        <v>0</v>
      </c>
      <c r="FA225" s="368">
        <f t="shared" si="1796"/>
        <v>0</v>
      </c>
      <c r="FB225" s="368">
        <f t="shared" si="1797"/>
        <v>0</v>
      </c>
      <c r="FC225" s="368">
        <f t="shared" si="1798"/>
        <v>0</v>
      </c>
      <c r="FD225" s="368">
        <f t="shared" si="1799"/>
        <v>0</v>
      </c>
      <c r="FE225" s="368">
        <f t="shared" si="1800"/>
        <v>0</v>
      </c>
      <c r="FF225" s="368">
        <f t="shared" si="1801"/>
        <v>0</v>
      </c>
      <c r="FG225" s="368">
        <f t="shared" si="1802"/>
        <v>0</v>
      </c>
      <c r="FH225" s="368">
        <f t="shared" si="1803"/>
        <v>0</v>
      </c>
      <c r="FI225" s="368">
        <f t="shared" si="1804"/>
        <v>0</v>
      </c>
      <c r="FJ225" s="368">
        <f t="shared" si="1805"/>
        <v>0</v>
      </c>
      <c r="FK225" s="368">
        <f t="shared" si="1806"/>
        <v>0</v>
      </c>
      <c r="FL225" s="368">
        <f t="shared" si="1807"/>
        <v>0</v>
      </c>
      <c r="FM225" s="368">
        <f t="shared" si="1808"/>
        <v>0</v>
      </c>
      <c r="FN225" s="368">
        <f t="shared" si="1809"/>
        <v>0</v>
      </c>
      <c r="FO225" s="368">
        <f t="shared" si="1810"/>
        <v>0</v>
      </c>
      <c r="FP225" s="368">
        <f t="shared" si="1811"/>
        <v>0</v>
      </c>
      <c r="FQ225" s="368">
        <f t="shared" si="1812"/>
        <v>0</v>
      </c>
      <c r="FR225" s="368">
        <f t="shared" si="1813"/>
        <v>0</v>
      </c>
      <c r="FS225" s="368">
        <f t="shared" si="1814"/>
        <v>0</v>
      </c>
      <c r="FT225" s="368">
        <f t="shared" si="1815"/>
        <v>0</v>
      </c>
      <c r="FU225" s="368"/>
      <c r="FV225" s="368"/>
      <c r="FW225" s="368"/>
      <c r="FX225" s="368"/>
      <c r="FY225" s="368">
        <f t="shared" si="1820"/>
        <v>0</v>
      </c>
      <c r="FZ225" s="368">
        <f t="shared" si="1821"/>
        <v>0</v>
      </c>
      <c r="GA225" s="368">
        <f t="shared" si="1822"/>
        <v>0</v>
      </c>
      <c r="GB225" s="368">
        <f t="shared" si="1823"/>
        <v>0</v>
      </c>
      <c r="GC225" s="368">
        <f t="shared" si="1824"/>
        <v>0</v>
      </c>
      <c r="GD225" s="368">
        <f t="shared" si="1825"/>
        <v>0</v>
      </c>
      <c r="GE225" s="368">
        <f t="shared" si="1826"/>
        <v>0</v>
      </c>
      <c r="GF225" s="368">
        <f t="shared" si="1827"/>
        <v>0</v>
      </c>
      <c r="GG225" s="368">
        <f t="shared" si="1828"/>
        <v>0</v>
      </c>
      <c r="GH225" s="368">
        <f t="shared" si="1829"/>
        <v>0</v>
      </c>
      <c r="GI225" s="368">
        <f t="shared" si="1830"/>
        <v>0</v>
      </c>
      <c r="GJ225" s="368">
        <f t="shared" si="1831"/>
        <v>0</v>
      </c>
      <c r="GK225" s="368">
        <f t="shared" si="1750"/>
        <v>0</v>
      </c>
      <c r="GL225" s="368"/>
      <c r="GM225" s="368">
        <f t="shared" si="1832"/>
        <v>0</v>
      </c>
    </row>
    <row r="226" spans="1:195" s="83" customFormat="1" ht="20.100000000000001" hidden="1" customHeight="1">
      <c r="A226" s="357" t="s">
        <v>334</v>
      </c>
      <c r="B226" s="562" t="s">
        <v>527</v>
      </c>
      <c r="C226" s="357" t="str">
        <f t="shared" si="1833"/>
        <v>EPMCC-1</v>
      </c>
      <c r="D226" s="395" t="s">
        <v>682</v>
      </c>
      <c r="E226" s="421" t="s">
        <v>345</v>
      </c>
      <c r="F226" s="357" t="s">
        <v>28</v>
      </c>
      <c r="G226" s="357" t="s">
        <v>329</v>
      </c>
      <c r="H226" s="352">
        <v>2</v>
      </c>
      <c r="I226" s="357" t="s">
        <v>330</v>
      </c>
      <c r="J226" s="357" t="s">
        <v>331</v>
      </c>
      <c r="K226" s="353">
        <v>400</v>
      </c>
      <c r="L226" s="360">
        <v>0.85</v>
      </c>
      <c r="M226" s="352">
        <v>0.95</v>
      </c>
      <c r="N226" s="359">
        <f t="shared" si="1834"/>
        <v>3.5750291364874629</v>
      </c>
      <c r="O226" s="359">
        <f t="shared" si="1771"/>
        <v>0</v>
      </c>
      <c r="P226" s="360" t="str">
        <f t="shared" si="1835"/>
        <v>0.00</v>
      </c>
      <c r="Q226" s="352">
        <v>50</v>
      </c>
      <c r="R226" s="352">
        <v>0</v>
      </c>
      <c r="S226" s="352">
        <f t="shared" si="1836"/>
        <v>0</v>
      </c>
      <c r="T226" s="360" t="s">
        <v>131</v>
      </c>
      <c r="U226" s="352" t="s">
        <v>522</v>
      </c>
      <c r="V226" s="524">
        <v>6</v>
      </c>
      <c r="W226" s="360" t="str">
        <f t="shared" si="1837"/>
        <v>4C X 6</v>
      </c>
      <c r="X226" s="360" t="str">
        <f t="shared" si="1838"/>
        <v>4C X 6</v>
      </c>
      <c r="Y226" s="360" t="s">
        <v>358</v>
      </c>
      <c r="Z226" s="361">
        <f>IF(T226="AIR",VLOOKUP(W226,'Catalogue Aluminium'!$B$9:$G$93,2,FALSE),IF(T226="GROUND",VLOOKUP(W226,'Catalogue Aluminium'!$B$9:$G$93,3,FALSE),IF(T226="DUCT",VLOOKUP(W226,'Catalogue Aluminium'!$B$9:$G$93,4,FALSE),IF(T226="TRENCH",VLOOKUP(W226,'Catalogue Aluminium'!$B$9:$G$93,2,FALSE)))))</f>
        <v>51</v>
      </c>
      <c r="AA226" s="362">
        <f>VLOOKUP(W226,'Catalogue Aluminium'!$B$9:$G$93,5,FALSE)</f>
        <v>3.94</v>
      </c>
      <c r="AB226" s="362">
        <f>VLOOKUP(W226,'Catalogue Aluminium'!$B$9:$G$93,6,FALSE)</f>
        <v>9.0200000000000002E-2</v>
      </c>
      <c r="AC226" s="564">
        <f>28+7</f>
        <v>35</v>
      </c>
      <c r="AD226" s="360">
        <f>11+34+48+35+30+11+24+(15+3+26)</f>
        <v>237</v>
      </c>
      <c r="AE226" s="456">
        <f t="shared" si="1839"/>
        <v>38</v>
      </c>
      <c r="AF226" s="360">
        <v>8</v>
      </c>
      <c r="AG226" s="360">
        <f t="shared" si="1840"/>
        <v>32</v>
      </c>
      <c r="AH226" s="363"/>
      <c r="AI226" s="361">
        <f>IF(T226="AIR",'Catalogue Aluminium'!$K$9,IF(T226="TRENCH",'Catalogue Aluminium'!$K$12,"NA"))</f>
        <v>0.89</v>
      </c>
      <c r="AJ226" s="359">
        <f>IF(T226="Air",(IF(U226="1C",'Catalogue Aluminium'!$L$9,'Catalogue Aluminium'!$M$9)),IF(T226="DUCT",(IF($U226="1C",'Catalogue Aluminium'!$L$10,'Catalogue Aluminium'!$M$10)),IF(T226="GROUND",(IF($U226="1C",'Catalogue Aluminium'!$L$11,'Catalogue Aluminium'!$M$11)),IF(T226="TRENCH",(IF($U226="1C",'Catalogue Aluminium'!$L$12,'Catalogue Aluminium'!$M$12))))))</f>
        <v>0.66</v>
      </c>
      <c r="AK226" s="361" t="str">
        <f>IF(T226="Air",'Catalogue Aluminium'!$N$9,IF(T226="GROUND",'Catalogue Aluminium'!$N$10,IF(T226="DUCT",'Catalogue Aluminium'!$N$11,IF(T226="TRENCH",'Catalogue Aluminium'!$N$12,"NA"))))</f>
        <v>NA</v>
      </c>
      <c r="AL226" s="361" t="str">
        <f>IF(T226="Air",(IF(U226="1C",'Catalogue Aluminium'!$O$9,'Catalogue Aluminium'!$P$9)),IF(T226="DUCT",(IF($U226="1C",'Catalogue Aluminium'!$O$10,'Catalogue Aluminium'!$P$10)),IF(T226="GROUND",(IF($U226="1C",'Catalogue Aluminium'!$O$11,'Catalogue Aluminium'!$P$11)),IF(T226="TRENCH",(IF($U226="1C",'Catalogue Aluminium'!$O$12,'Catalogue Aluminium'!$P$12))))))</f>
        <v>NA</v>
      </c>
      <c r="AM226" s="361" t="str">
        <f>IF(T226="AIR","NA",IF(T226="TRENCH","NA",IF(T226="DUCT",IF(U226="1C",VLOOKUP(V226,'Catalogue Aluminium'!$Q$9:$S$28,2,FALSE),VLOOKUP(V226,'Catalogue Aluminium'!$Q$9:$S$28,3)),IF(T226="GROUND",IF(U226="1C",VLOOKUP(V226,'Catalogue Aluminium'!$Q$9:$S$28,2,FALSE),VLOOKUP(V226,'Catalogue Aluminium'!$Q$9:$S$28,3))))))</f>
        <v>NA</v>
      </c>
      <c r="AN226" s="365">
        <f t="shared" si="1841"/>
        <v>0.58740000000000003</v>
      </c>
      <c r="AO226" s="352">
        <f t="shared" si="1842"/>
        <v>29.957400000000003</v>
      </c>
      <c r="AP226" s="353">
        <f t="shared" si="1303"/>
        <v>1</v>
      </c>
      <c r="AQ226" s="352" t="str">
        <f t="shared" si="1843"/>
        <v>YES</v>
      </c>
      <c r="AR226" s="365">
        <f t="shared" si="1844"/>
        <v>0</v>
      </c>
      <c r="AS226" s="496" t="str">
        <f t="shared" si="1845"/>
        <v>YES</v>
      </c>
      <c r="AT226" s="497" t="str">
        <f t="shared" si="1846"/>
        <v>NA</v>
      </c>
      <c r="AU226" s="360" t="str">
        <f t="shared" si="1847"/>
        <v>NA</v>
      </c>
      <c r="AV226" s="366" t="str">
        <f t="shared" si="1848"/>
        <v>1R x 0.6/1kV x 4C x 6 Sqmm</v>
      </c>
      <c r="AW226" s="366" t="str">
        <f t="shared" si="1849"/>
        <v>1R x 0.6/1kV x 4C x 6 Sqmm</v>
      </c>
      <c r="AX226" s="360"/>
      <c r="AY226" s="367"/>
      <c r="AZ226" s="367"/>
      <c r="BA226" s="520" t="str">
        <f t="shared" si="1851"/>
        <v/>
      </c>
      <c r="BB226" s="498"/>
      <c r="BC226" s="426"/>
      <c r="BE226" s="368"/>
      <c r="BF226" s="368"/>
      <c r="BG226" s="368"/>
      <c r="BH226" s="368"/>
      <c r="BI226" s="368"/>
      <c r="BJ226" s="368"/>
      <c r="BK226" s="368"/>
      <c r="BL226" s="368"/>
      <c r="BM226" s="368"/>
      <c r="BN226" s="368"/>
      <c r="BO226" s="368"/>
      <c r="BP226" s="368"/>
      <c r="BQ226" s="368"/>
      <c r="BR226" s="368"/>
      <c r="BS226" s="368"/>
      <c r="BT226" s="368"/>
      <c r="BU226" s="368"/>
      <c r="BV226" s="368"/>
      <c r="BW226" s="368"/>
      <c r="BX226" s="368"/>
      <c r="BY226" s="368"/>
      <c r="BZ226" s="368"/>
      <c r="CA226" s="368"/>
      <c r="CB226" s="368"/>
      <c r="CC226" s="368"/>
      <c r="CD226" s="368"/>
      <c r="CE226" s="368"/>
      <c r="CF226" s="368"/>
      <c r="CG226" s="368"/>
      <c r="CH226" s="368"/>
      <c r="CI226" s="368"/>
      <c r="CJ226" s="368"/>
      <c r="CK226" s="368"/>
      <c r="CL226" s="368"/>
      <c r="CM226" s="368"/>
      <c r="CN226" s="368"/>
      <c r="CO226" s="368"/>
      <c r="CP226" s="368"/>
      <c r="CQ226" s="368"/>
      <c r="CR226" s="368"/>
      <c r="CS226" s="368"/>
      <c r="CT226" s="368"/>
      <c r="CU226" s="368"/>
      <c r="CV226" s="368"/>
      <c r="CW226" s="368"/>
      <c r="CX226" s="368"/>
      <c r="CY226" s="368"/>
      <c r="CZ226" s="368"/>
      <c r="DA226" s="368"/>
      <c r="DB226" s="368"/>
      <c r="DC226" s="368"/>
      <c r="DD226" s="368"/>
      <c r="DE226" s="368"/>
      <c r="DF226" s="368"/>
      <c r="DG226" s="368"/>
      <c r="DH226" s="368"/>
      <c r="DI226" s="368"/>
      <c r="DJ226" s="368"/>
      <c r="DK226" s="368"/>
      <c r="DL226" s="368"/>
      <c r="DM226" s="368"/>
      <c r="DN226" s="368"/>
      <c r="DO226" s="368"/>
      <c r="DP226" s="368"/>
      <c r="DQ226" s="368"/>
      <c r="DR226" s="368"/>
      <c r="DS226" s="368"/>
      <c r="DT226" s="368"/>
      <c r="DU226" s="368"/>
      <c r="DW226" s="368">
        <f t="shared" si="1872"/>
        <v>0</v>
      </c>
      <c r="DX226" s="368">
        <f t="shared" si="1862"/>
        <v>0</v>
      </c>
      <c r="DY226" s="368">
        <f t="shared" si="1863"/>
        <v>0</v>
      </c>
      <c r="DZ226" s="368">
        <f t="shared" si="1864"/>
        <v>0</v>
      </c>
      <c r="EA226" s="368">
        <f t="shared" si="1865"/>
        <v>0</v>
      </c>
      <c r="EB226" s="368">
        <f t="shared" si="1866"/>
        <v>0</v>
      </c>
      <c r="EC226" s="368">
        <f t="shared" si="1867"/>
        <v>0</v>
      </c>
      <c r="ED226" s="368">
        <f t="shared" si="1774"/>
        <v>0</v>
      </c>
      <c r="EE226" s="368">
        <f t="shared" si="1775"/>
        <v>0</v>
      </c>
      <c r="EF226" s="368">
        <f t="shared" si="1776"/>
        <v>0</v>
      </c>
      <c r="EG226" s="368">
        <f t="shared" si="1777"/>
        <v>0</v>
      </c>
      <c r="EH226" s="368">
        <f t="shared" si="1778"/>
        <v>0</v>
      </c>
      <c r="EI226" s="368">
        <f t="shared" si="1779"/>
        <v>0</v>
      </c>
      <c r="EJ226" s="368">
        <f t="shared" si="1780"/>
        <v>0</v>
      </c>
      <c r="EK226" s="368">
        <f t="shared" si="1781"/>
        <v>0</v>
      </c>
      <c r="EL226" s="368">
        <f t="shared" si="1782"/>
        <v>0</v>
      </c>
      <c r="EM226" s="368">
        <f t="shared" si="1783"/>
        <v>0</v>
      </c>
      <c r="EN226" s="368">
        <f t="shared" si="1784"/>
        <v>0</v>
      </c>
      <c r="EO226" s="368">
        <f t="shared" si="1785"/>
        <v>0</v>
      </c>
      <c r="EP226" s="368">
        <f t="shared" si="1786"/>
        <v>0</v>
      </c>
      <c r="EQ226" s="368">
        <f t="shared" si="1787"/>
        <v>0</v>
      </c>
      <c r="ER226" s="368">
        <f t="shared" si="1788"/>
        <v>0</v>
      </c>
      <c r="ES226" s="368">
        <f t="shared" si="1789"/>
        <v>0</v>
      </c>
      <c r="ET226" s="368">
        <f t="shared" si="1789"/>
        <v>0</v>
      </c>
      <c r="EU226" s="368">
        <f t="shared" si="1790"/>
        <v>0</v>
      </c>
      <c r="EV226" s="368">
        <f t="shared" si="1791"/>
        <v>0</v>
      </c>
      <c r="EW226" s="368">
        <f t="shared" si="1792"/>
        <v>0</v>
      </c>
      <c r="EX226" s="368">
        <f t="shared" si="1793"/>
        <v>0</v>
      </c>
      <c r="EY226" s="368">
        <f t="shared" si="1794"/>
        <v>0</v>
      </c>
      <c r="EZ226" s="368">
        <f t="shared" si="1795"/>
        <v>0</v>
      </c>
      <c r="FA226" s="368">
        <f t="shared" si="1796"/>
        <v>0</v>
      </c>
      <c r="FB226" s="368">
        <f t="shared" si="1797"/>
        <v>0</v>
      </c>
      <c r="FC226" s="368">
        <f t="shared" si="1798"/>
        <v>0</v>
      </c>
      <c r="FD226" s="368">
        <f t="shared" si="1799"/>
        <v>0</v>
      </c>
      <c r="FE226" s="368">
        <f t="shared" si="1800"/>
        <v>0</v>
      </c>
      <c r="FF226" s="368">
        <f t="shared" si="1801"/>
        <v>0</v>
      </c>
      <c r="FG226" s="368">
        <f t="shared" si="1802"/>
        <v>0</v>
      </c>
      <c r="FH226" s="368">
        <f t="shared" si="1803"/>
        <v>0</v>
      </c>
      <c r="FI226" s="368">
        <f t="shared" si="1804"/>
        <v>0</v>
      </c>
      <c r="FJ226" s="368">
        <f t="shared" si="1805"/>
        <v>0</v>
      </c>
      <c r="FK226" s="368">
        <f t="shared" si="1806"/>
        <v>0</v>
      </c>
      <c r="FL226" s="368">
        <f t="shared" si="1807"/>
        <v>0</v>
      </c>
      <c r="FM226" s="368">
        <f t="shared" si="1808"/>
        <v>0</v>
      </c>
      <c r="FN226" s="368">
        <f t="shared" si="1809"/>
        <v>0</v>
      </c>
      <c r="FO226" s="368">
        <f t="shared" si="1810"/>
        <v>0</v>
      </c>
      <c r="FP226" s="368">
        <f t="shared" si="1811"/>
        <v>0</v>
      </c>
      <c r="FQ226" s="368">
        <f t="shared" si="1812"/>
        <v>0</v>
      </c>
      <c r="FR226" s="368">
        <f t="shared" si="1813"/>
        <v>0</v>
      </c>
      <c r="FS226" s="368">
        <f t="shared" si="1814"/>
        <v>0</v>
      </c>
      <c r="FT226" s="368">
        <f t="shared" si="1815"/>
        <v>0</v>
      </c>
      <c r="FU226" s="368"/>
      <c r="FV226" s="368"/>
      <c r="FW226" s="368"/>
      <c r="FX226" s="368"/>
      <c r="FY226" s="368">
        <f t="shared" si="1820"/>
        <v>0</v>
      </c>
      <c r="FZ226" s="368">
        <f t="shared" si="1821"/>
        <v>0</v>
      </c>
      <c r="GA226" s="368">
        <f t="shared" si="1822"/>
        <v>0</v>
      </c>
      <c r="GB226" s="368">
        <f t="shared" si="1823"/>
        <v>0</v>
      </c>
      <c r="GC226" s="368">
        <f t="shared" si="1824"/>
        <v>0</v>
      </c>
      <c r="GD226" s="368">
        <f t="shared" si="1825"/>
        <v>0</v>
      </c>
      <c r="GE226" s="368">
        <f t="shared" si="1826"/>
        <v>0</v>
      </c>
      <c r="GF226" s="368">
        <f t="shared" si="1827"/>
        <v>0</v>
      </c>
      <c r="GG226" s="368">
        <f t="shared" si="1828"/>
        <v>0</v>
      </c>
      <c r="GH226" s="368">
        <f t="shared" si="1829"/>
        <v>0</v>
      </c>
      <c r="GI226" s="368">
        <f t="shared" si="1830"/>
        <v>0</v>
      </c>
      <c r="GJ226" s="368">
        <f t="shared" si="1831"/>
        <v>0</v>
      </c>
      <c r="GK226" s="368">
        <f t="shared" si="1750"/>
        <v>0</v>
      </c>
      <c r="GL226" s="368"/>
      <c r="GM226" s="368">
        <f t="shared" si="1832"/>
        <v>0</v>
      </c>
    </row>
    <row r="227" spans="1:195" s="83" customFormat="1" ht="20.100000000000001" hidden="1" customHeight="1">
      <c r="A227" s="357" t="s">
        <v>334</v>
      </c>
      <c r="B227" s="562" t="s">
        <v>527</v>
      </c>
      <c r="C227" s="357" t="str">
        <f t="shared" si="1833"/>
        <v>EPMCC-1</v>
      </c>
      <c r="D227" s="395" t="s">
        <v>683</v>
      </c>
      <c r="E227" s="421" t="s">
        <v>345</v>
      </c>
      <c r="F227" s="357" t="s">
        <v>29</v>
      </c>
      <c r="G227" s="357" t="s">
        <v>350</v>
      </c>
      <c r="H227" s="352">
        <v>15</v>
      </c>
      <c r="I227" s="357" t="s">
        <v>330</v>
      </c>
      <c r="J227" s="357" t="s">
        <v>331</v>
      </c>
      <c r="K227" s="353">
        <v>400</v>
      </c>
      <c r="L227" s="360">
        <v>0.84</v>
      </c>
      <c r="M227" s="352">
        <v>0.92700000000000005</v>
      </c>
      <c r="N227" s="359">
        <f t="shared" si="1834"/>
        <v>27.805093501633788</v>
      </c>
      <c r="O227" s="359">
        <f t="shared" si="1771"/>
        <v>166.83056100980272</v>
      </c>
      <c r="P227" s="360">
        <f t="shared" si="1835"/>
        <v>0.2</v>
      </c>
      <c r="Q227" s="352">
        <v>50</v>
      </c>
      <c r="R227" s="352">
        <v>0</v>
      </c>
      <c r="S227" s="352">
        <f t="shared" si="1836"/>
        <v>0</v>
      </c>
      <c r="T227" s="360" t="s">
        <v>131</v>
      </c>
      <c r="U227" s="352" t="s">
        <v>333</v>
      </c>
      <c r="V227" s="360">
        <v>70</v>
      </c>
      <c r="W227" s="360" t="str">
        <f t="shared" si="1837"/>
        <v>3C X 70</v>
      </c>
      <c r="X227" s="360" t="str">
        <f t="shared" si="1838"/>
        <v>3C X 70+PE</v>
      </c>
      <c r="Y227" s="360" t="s">
        <v>358</v>
      </c>
      <c r="Z227" s="361">
        <f>IF(T227="AIR",VLOOKUP(W227,'Catalogue Aluminium'!$B$9:$G$93,2,FALSE),IF(T227="GROUND",VLOOKUP(W227,'Catalogue Aluminium'!$B$9:$G$93,3,FALSE),IF(T227="DUCT",VLOOKUP(W227,'Catalogue Aluminium'!$B$9:$G$93,4,FALSE),IF(T227="TRENCH",VLOOKUP(W227,'Catalogue Aluminium'!$B$9:$G$93,2,FALSE)))))</f>
        <v>177</v>
      </c>
      <c r="AA227" s="362">
        <f>VLOOKUP(W227,'Catalogue Aluminium'!$B$9:$G$93,5,FALSE)</f>
        <v>0.56699999999999995</v>
      </c>
      <c r="AB227" s="362">
        <f>VLOOKUP(W227,'Catalogue Aluminium'!$B$9:$G$93,6,FALSE)</f>
        <v>7.5200000000000003E-2</v>
      </c>
      <c r="AC227" s="564">
        <f>22+7</f>
        <v>29</v>
      </c>
      <c r="AD227" s="360">
        <f>11+34+48+35+30+11+24+(15+18+3+26)</f>
        <v>255</v>
      </c>
      <c r="AE227" s="456">
        <f t="shared" si="1839"/>
        <v>38</v>
      </c>
      <c r="AF227" s="360">
        <v>8</v>
      </c>
      <c r="AG227" s="360">
        <f t="shared" si="1840"/>
        <v>33</v>
      </c>
      <c r="AH227" s="363"/>
      <c r="AI227" s="361">
        <f>IF(T227="AIR",'Catalogue Aluminium'!$K$9,IF(T227="TRENCH",'Catalogue Aluminium'!$K$12,"NA"))</f>
        <v>0.89</v>
      </c>
      <c r="AJ227" s="359">
        <f>IF(T227="Air",(IF(U227="1C",'Catalogue Aluminium'!$L$9,'Catalogue Aluminium'!$M$9)),IF(T227="DUCT",(IF($U227="1C",'Catalogue Aluminium'!$L$10,'Catalogue Aluminium'!$M$10)),IF(T227="GROUND",(IF($U227="1C",'Catalogue Aluminium'!$L$11,'Catalogue Aluminium'!$M$11)),IF(T227="TRENCH",(IF($U227="1C",'Catalogue Aluminium'!$L$12,'Catalogue Aluminium'!$M$12))))))</f>
        <v>0.66</v>
      </c>
      <c r="AK227" s="361" t="str">
        <f>IF(T227="Air",'Catalogue Aluminium'!$N$9,IF(T227="GROUND",'Catalogue Aluminium'!$N$10,IF(T227="DUCT",'Catalogue Aluminium'!$N$11,IF(T227="TRENCH",'Catalogue Aluminium'!$N$12,"NA"))))</f>
        <v>NA</v>
      </c>
      <c r="AL227" s="361" t="str">
        <f>IF(T227="Air",(IF(U227="1C",'Catalogue Aluminium'!$O$9,'Catalogue Aluminium'!$P$9)),IF(T227="DUCT",(IF($U227="1C",'Catalogue Aluminium'!$O$10,'Catalogue Aluminium'!$P$10)),IF(T227="GROUND",(IF($U227="1C",'Catalogue Aluminium'!$O$11,'Catalogue Aluminium'!$P$11)),IF(T227="TRENCH",(IF($U227="1C",'Catalogue Aluminium'!$O$12,'Catalogue Aluminium'!$P$12))))))</f>
        <v>NA</v>
      </c>
      <c r="AM227" s="361" t="str">
        <f>IF(T227="AIR","NA",IF(T227="TRENCH","NA",IF(T227="DUCT",IF(U227="1C",VLOOKUP(V227,'Catalogue Aluminium'!$Q$9:$S$28,2,FALSE),VLOOKUP(V227,'Catalogue Aluminium'!$Q$9:$S$28,3)),IF(T227="GROUND",IF(U227="1C",VLOOKUP(V227,'Catalogue Aluminium'!$Q$9:$S$28,2,FALSE),VLOOKUP(V227,'Catalogue Aluminium'!$Q$9:$S$28,3))))))</f>
        <v>NA</v>
      </c>
      <c r="AN227" s="365">
        <f t="shared" si="1841"/>
        <v>0.58740000000000003</v>
      </c>
      <c r="AO227" s="352">
        <f t="shared" si="1842"/>
        <v>103.96980000000001</v>
      </c>
      <c r="AP227" s="353">
        <f t="shared" si="1303"/>
        <v>1</v>
      </c>
      <c r="AQ227" s="352" t="str">
        <f t="shared" si="1843"/>
        <v>YES</v>
      </c>
      <c r="AR227" s="365">
        <f t="shared" si="1844"/>
        <v>0</v>
      </c>
      <c r="AS227" s="496" t="str">
        <f t="shared" si="1845"/>
        <v>YES</v>
      </c>
      <c r="AT227" s="497">
        <f t="shared" si="1846"/>
        <v>0</v>
      </c>
      <c r="AU227" s="360" t="str">
        <f t="shared" si="1847"/>
        <v>YES</v>
      </c>
      <c r="AV227" s="366" t="str">
        <f t="shared" si="1848"/>
        <v>1R x 0.6/1kV x 3C x 70 Sqmm</v>
      </c>
      <c r="AW227" s="366" t="str">
        <f t="shared" si="1849"/>
        <v>1R x 0.6/1kV x 3C x 70+PE Sqmm</v>
      </c>
      <c r="AX227" s="360"/>
      <c r="AY227" s="367"/>
      <c r="AZ227" s="367"/>
      <c r="BA227" s="520" t="str">
        <f t="shared" si="1851"/>
        <v/>
      </c>
      <c r="BB227" s="498"/>
      <c r="BC227" s="426"/>
      <c r="BE227" s="368"/>
      <c r="BF227" s="368"/>
      <c r="BG227" s="368"/>
      <c r="BH227" s="368"/>
      <c r="BI227" s="368"/>
      <c r="BJ227" s="368"/>
      <c r="BK227" s="368"/>
      <c r="BL227" s="368"/>
      <c r="BM227" s="368"/>
      <c r="BN227" s="368"/>
      <c r="BO227" s="368"/>
      <c r="BP227" s="368"/>
      <c r="BQ227" s="368"/>
      <c r="BR227" s="368"/>
      <c r="BS227" s="368"/>
      <c r="BT227" s="368"/>
      <c r="BU227" s="368"/>
      <c r="BV227" s="368"/>
      <c r="BW227" s="368"/>
      <c r="BX227" s="368"/>
      <c r="BY227" s="368"/>
      <c r="BZ227" s="368"/>
      <c r="CA227" s="368"/>
      <c r="CB227" s="368"/>
      <c r="CC227" s="368"/>
      <c r="CD227" s="368"/>
      <c r="CE227" s="368"/>
      <c r="CF227" s="368"/>
      <c r="CG227" s="368"/>
      <c r="CH227" s="368"/>
      <c r="CI227" s="368"/>
      <c r="CJ227" s="368"/>
      <c r="CK227" s="368"/>
      <c r="CL227" s="368"/>
      <c r="CM227" s="368"/>
      <c r="CN227" s="368"/>
      <c r="CO227" s="368"/>
      <c r="CP227" s="368"/>
      <c r="CQ227" s="368"/>
      <c r="CR227" s="368"/>
      <c r="CS227" s="368"/>
      <c r="CT227" s="368"/>
      <c r="CU227" s="368"/>
      <c r="CV227" s="368"/>
      <c r="CW227" s="368"/>
      <c r="CX227" s="368"/>
      <c r="CY227" s="368"/>
      <c r="CZ227" s="368"/>
      <c r="DA227" s="368"/>
      <c r="DB227" s="368"/>
      <c r="DC227" s="368"/>
      <c r="DD227" s="368"/>
      <c r="DE227" s="368"/>
      <c r="DF227" s="368"/>
      <c r="DG227" s="368"/>
      <c r="DH227" s="368"/>
      <c r="DI227" s="368"/>
      <c r="DJ227" s="368"/>
      <c r="DK227" s="368"/>
      <c r="DL227" s="368"/>
      <c r="DM227" s="368"/>
      <c r="DN227" s="368"/>
      <c r="DO227" s="368"/>
      <c r="DP227" s="368"/>
      <c r="DQ227" s="368"/>
      <c r="DR227" s="368"/>
      <c r="DS227" s="368"/>
      <c r="DT227" s="368"/>
      <c r="DU227" s="368"/>
      <c r="DW227" s="368">
        <f t="shared" si="1872"/>
        <v>0</v>
      </c>
      <c r="DX227" s="368">
        <f t="shared" si="1862"/>
        <v>0</v>
      </c>
      <c r="DY227" s="368">
        <f t="shared" si="1863"/>
        <v>0</v>
      </c>
      <c r="DZ227" s="368">
        <f t="shared" si="1864"/>
        <v>0</v>
      </c>
      <c r="EA227" s="368">
        <f t="shared" si="1865"/>
        <v>0</v>
      </c>
      <c r="EB227" s="368">
        <f t="shared" si="1866"/>
        <v>0</v>
      </c>
      <c r="EC227" s="368">
        <f t="shared" si="1867"/>
        <v>0</v>
      </c>
      <c r="ED227" s="368">
        <f t="shared" si="1774"/>
        <v>0</v>
      </c>
      <c r="EE227" s="368">
        <f t="shared" si="1775"/>
        <v>0</v>
      </c>
      <c r="EF227" s="368">
        <f t="shared" si="1776"/>
        <v>0</v>
      </c>
      <c r="EG227" s="368">
        <f t="shared" si="1777"/>
        <v>0</v>
      </c>
      <c r="EH227" s="368">
        <f t="shared" si="1778"/>
        <v>0</v>
      </c>
      <c r="EI227" s="368">
        <f t="shared" si="1779"/>
        <v>0</v>
      </c>
      <c r="EJ227" s="368">
        <f t="shared" si="1780"/>
        <v>0</v>
      </c>
      <c r="EK227" s="368">
        <f t="shared" si="1781"/>
        <v>0</v>
      </c>
      <c r="EL227" s="368">
        <f t="shared" si="1782"/>
        <v>0</v>
      </c>
      <c r="EM227" s="368">
        <f t="shared" si="1783"/>
        <v>0</v>
      </c>
      <c r="EN227" s="368">
        <f t="shared" si="1784"/>
        <v>0</v>
      </c>
      <c r="EO227" s="368">
        <f t="shared" si="1785"/>
        <v>0</v>
      </c>
      <c r="EP227" s="368">
        <f t="shared" si="1786"/>
        <v>0</v>
      </c>
      <c r="EQ227" s="368">
        <f t="shared" si="1787"/>
        <v>0</v>
      </c>
      <c r="ER227" s="368">
        <f t="shared" si="1788"/>
        <v>0</v>
      </c>
      <c r="ES227" s="368">
        <f t="shared" si="1789"/>
        <v>0</v>
      </c>
      <c r="ET227" s="368">
        <f t="shared" si="1789"/>
        <v>0</v>
      </c>
      <c r="EU227" s="368">
        <f t="shared" si="1790"/>
        <v>0</v>
      </c>
      <c r="EV227" s="368">
        <f t="shared" si="1791"/>
        <v>0</v>
      </c>
      <c r="EW227" s="368">
        <f t="shared" si="1792"/>
        <v>0</v>
      </c>
      <c r="EX227" s="368">
        <f t="shared" si="1793"/>
        <v>0</v>
      </c>
      <c r="EY227" s="368">
        <f t="shared" si="1794"/>
        <v>0</v>
      </c>
      <c r="EZ227" s="368">
        <f t="shared" si="1795"/>
        <v>0</v>
      </c>
      <c r="FA227" s="368">
        <f t="shared" si="1796"/>
        <v>0</v>
      </c>
      <c r="FB227" s="368">
        <f t="shared" si="1797"/>
        <v>0</v>
      </c>
      <c r="FC227" s="368">
        <f t="shared" si="1798"/>
        <v>0</v>
      </c>
      <c r="FD227" s="368">
        <f t="shared" si="1799"/>
        <v>0</v>
      </c>
      <c r="FE227" s="368">
        <f t="shared" si="1800"/>
        <v>0</v>
      </c>
      <c r="FF227" s="368">
        <f t="shared" si="1801"/>
        <v>0</v>
      </c>
      <c r="FG227" s="368">
        <f t="shared" si="1802"/>
        <v>0</v>
      </c>
      <c r="FH227" s="368">
        <f t="shared" si="1803"/>
        <v>0</v>
      </c>
      <c r="FI227" s="368">
        <f t="shared" si="1804"/>
        <v>0</v>
      </c>
      <c r="FJ227" s="368">
        <f t="shared" si="1805"/>
        <v>0</v>
      </c>
      <c r="FK227" s="368">
        <f t="shared" si="1806"/>
        <v>0</v>
      </c>
      <c r="FL227" s="368">
        <f t="shared" si="1807"/>
        <v>0</v>
      </c>
      <c r="FM227" s="368">
        <f t="shared" si="1808"/>
        <v>0</v>
      </c>
      <c r="FN227" s="368">
        <f t="shared" si="1809"/>
        <v>0</v>
      </c>
      <c r="FO227" s="368">
        <f t="shared" si="1810"/>
        <v>0</v>
      </c>
      <c r="FP227" s="368">
        <f t="shared" si="1811"/>
        <v>0</v>
      </c>
      <c r="FQ227" s="368">
        <f t="shared" si="1812"/>
        <v>0</v>
      </c>
      <c r="FR227" s="368">
        <f t="shared" si="1813"/>
        <v>0</v>
      </c>
      <c r="FS227" s="368">
        <f t="shared" si="1814"/>
        <v>0</v>
      </c>
      <c r="FT227" s="368">
        <f t="shared" si="1815"/>
        <v>0</v>
      </c>
      <c r="FU227" s="368"/>
      <c r="FV227" s="368"/>
      <c r="FW227" s="368"/>
      <c r="FX227" s="368"/>
      <c r="FY227" s="368">
        <f t="shared" si="1820"/>
        <v>0</v>
      </c>
      <c r="FZ227" s="368">
        <f t="shared" si="1821"/>
        <v>0</v>
      </c>
      <c r="GA227" s="368">
        <f t="shared" si="1822"/>
        <v>0</v>
      </c>
      <c r="GB227" s="368">
        <f t="shared" si="1823"/>
        <v>0</v>
      </c>
      <c r="GC227" s="368">
        <f t="shared" si="1824"/>
        <v>0</v>
      </c>
      <c r="GD227" s="368">
        <f t="shared" si="1825"/>
        <v>0</v>
      </c>
      <c r="GE227" s="368">
        <f t="shared" si="1826"/>
        <v>0</v>
      </c>
      <c r="GF227" s="368">
        <f t="shared" si="1827"/>
        <v>0</v>
      </c>
      <c r="GG227" s="368">
        <f t="shared" si="1828"/>
        <v>0</v>
      </c>
      <c r="GH227" s="368">
        <f t="shared" si="1829"/>
        <v>0</v>
      </c>
      <c r="GI227" s="368">
        <f t="shared" si="1830"/>
        <v>0</v>
      </c>
      <c r="GJ227" s="368">
        <f t="shared" si="1831"/>
        <v>0</v>
      </c>
      <c r="GK227" s="368">
        <f t="shared" si="1750"/>
        <v>0</v>
      </c>
      <c r="GL227" s="368"/>
      <c r="GM227" s="368">
        <f t="shared" si="1832"/>
        <v>0</v>
      </c>
    </row>
    <row r="228" spans="1:195" ht="20.100000000000001" customHeight="1">
      <c r="A228" s="337">
        <f>1+A224</f>
        <v>149</v>
      </c>
      <c r="B228" s="897" t="s">
        <v>1690</v>
      </c>
      <c r="C228" s="337" t="str">
        <f t="shared" si="1833"/>
        <v>EPMCC-1</v>
      </c>
      <c r="D228" s="372" t="s">
        <v>684</v>
      </c>
      <c r="E228" s="453" t="s">
        <v>345</v>
      </c>
      <c r="F228" s="337" t="s">
        <v>28</v>
      </c>
      <c r="G228" s="337" t="s">
        <v>350</v>
      </c>
      <c r="H228" s="418">
        <v>9.3000000000000007</v>
      </c>
      <c r="I228" s="337" t="s">
        <v>330</v>
      </c>
      <c r="J228" s="337" t="s">
        <v>331</v>
      </c>
      <c r="K228" s="349">
        <v>400</v>
      </c>
      <c r="L228" s="343">
        <v>0.84</v>
      </c>
      <c r="M228" s="350">
        <v>0.92700000000000005</v>
      </c>
      <c r="N228" s="342">
        <f t="shared" si="1834"/>
        <v>17.239157971012947</v>
      </c>
      <c r="O228" s="342">
        <f t="shared" si="1771"/>
        <v>103.43494782607769</v>
      </c>
      <c r="P228" s="343">
        <f t="shared" si="1835"/>
        <v>0.2</v>
      </c>
      <c r="Q228" s="350">
        <v>50</v>
      </c>
      <c r="R228" s="350">
        <v>0</v>
      </c>
      <c r="S228" s="350">
        <f t="shared" si="1836"/>
        <v>0</v>
      </c>
      <c r="T228" s="343" t="s">
        <v>131</v>
      </c>
      <c r="U228" s="350" t="s">
        <v>333</v>
      </c>
      <c r="V228" s="343">
        <v>35</v>
      </c>
      <c r="W228" s="343" t="str">
        <f t="shared" si="1837"/>
        <v>3C X 35</v>
      </c>
      <c r="X228" s="343" t="str">
        <f t="shared" si="1838"/>
        <v>3C X 35+PE</v>
      </c>
      <c r="Y228" s="343" t="s">
        <v>358</v>
      </c>
      <c r="Z228" s="344">
        <f>IF(T228="AIR",VLOOKUP(W228,'Catalogue Aluminium'!$B$9:$G$93,2,FALSE),IF(T228="GROUND",VLOOKUP(W228,'Catalogue Aluminium'!$B$9:$G$93,3,FALSE),IF(T228="DUCT",VLOOKUP(W228,'Catalogue Aluminium'!$B$9:$G$93,4,FALSE),IF(T228="TRENCH",VLOOKUP(W228,'Catalogue Aluminium'!$B$9:$G$93,2,FALSE)))))</f>
        <v>117</v>
      </c>
      <c r="AA228" s="345">
        <f>VLOOKUP(W228,'Catalogue Aluminium'!$B$9:$G$93,5,FALSE)</f>
        <v>1.1100000000000001</v>
      </c>
      <c r="AB228" s="345">
        <f>VLOOKUP(W228,'Catalogue Aluminium'!$B$9:$G$93,6,FALSE)</f>
        <v>7.9399999999999998E-2</v>
      </c>
      <c r="AC228" s="457">
        <f t="shared" ref="AC228" si="1873">32+6</f>
        <v>38</v>
      </c>
      <c r="AD228" s="401">
        <f t="shared" ref="AD228" si="1874">40+50+38+50+17+(27+47)</f>
        <v>269</v>
      </c>
      <c r="AE228" s="401">
        <f t="shared" si="1839"/>
        <v>38</v>
      </c>
      <c r="AF228" s="401">
        <v>8</v>
      </c>
      <c r="AG228" s="401">
        <f t="shared" si="1840"/>
        <v>36</v>
      </c>
      <c r="AH228" s="347">
        <f t="shared" si="1850"/>
        <v>389</v>
      </c>
      <c r="AI228" s="344">
        <f>IF(T228="AIR",'Catalogue Aluminium'!$K$9,IF(T228="TRENCH",'Catalogue Aluminium'!$K$12,"NA"))</f>
        <v>0.89</v>
      </c>
      <c r="AJ228" s="342">
        <f>IF(T228="Air",(IF(U228="1C",'Catalogue Aluminium'!$L$9,'Catalogue Aluminium'!$M$9)),IF(T228="DUCT",(IF($U228="1C",'Catalogue Aluminium'!$L$10,'Catalogue Aluminium'!$M$10)),IF(T228="GROUND",(IF($U228="1C",'Catalogue Aluminium'!$L$11,'Catalogue Aluminium'!$M$11)),IF(T228="TRENCH",(IF($U228="1C",'Catalogue Aluminium'!$L$12,'Catalogue Aluminium'!$M$12))))))</f>
        <v>0.66</v>
      </c>
      <c r="AK228" s="344" t="str">
        <f>IF(T228="Air",'Catalogue Aluminium'!$N$9,IF(T228="GROUND",'Catalogue Aluminium'!$N$10,IF(T228="DUCT",'Catalogue Aluminium'!$N$11,IF(T228="TRENCH",'Catalogue Aluminium'!$N$12,"NA"))))</f>
        <v>NA</v>
      </c>
      <c r="AL228" s="344" t="str">
        <f>IF(T228="Air",(IF(U228="1C",'Catalogue Aluminium'!$O$9,'Catalogue Aluminium'!$P$9)),IF(T228="DUCT",(IF($U228="1C",'Catalogue Aluminium'!$O$10,'Catalogue Aluminium'!$P$10)),IF(T228="GROUND",(IF($U228="1C",'Catalogue Aluminium'!$O$11,'Catalogue Aluminium'!$P$11)),IF(T228="TRENCH",(IF($U228="1C",'Catalogue Aluminium'!$O$12,'Catalogue Aluminium'!$P$12))))))</f>
        <v>NA</v>
      </c>
      <c r="AM228" s="344" t="str">
        <f>IF(T228="AIR","NA",IF(T228="TRENCH","NA",IF(T228="DUCT",IF(U228="1C",VLOOKUP(V228,'Catalogue Aluminium'!$Q$9:$S$28,2,FALSE),VLOOKUP(V228,'Catalogue Aluminium'!$Q$9:$S$28,3)),IF(T228="GROUND",IF(U228="1C",VLOOKUP(V228,'Catalogue Aluminium'!$Q$9:$S$28,2,FALSE),VLOOKUP(V228,'Catalogue Aluminium'!$Q$9:$S$28,3))))))</f>
        <v>NA</v>
      </c>
      <c r="AN228" s="351">
        <f t="shared" si="1841"/>
        <v>0.58740000000000003</v>
      </c>
      <c r="AO228" s="350">
        <f t="shared" si="1842"/>
        <v>68.725800000000007</v>
      </c>
      <c r="AP228" s="349">
        <f t="shared" si="1303"/>
        <v>1</v>
      </c>
      <c r="AQ228" s="350" t="str">
        <f t="shared" si="1843"/>
        <v>YES</v>
      </c>
      <c r="AR228" s="351">
        <f t="shared" si="1844"/>
        <v>2.8326000716915041</v>
      </c>
      <c r="AS228" s="343" t="str">
        <f t="shared" si="1845"/>
        <v>YES</v>
      </c>
      <c r="AT228" s="351">
        <f t="shared" si="1846"/>
        <v>5.2232771819544528</v>
      </c>
      <c r="AU228" s="343" t="str">
        <f t="shared" si="1847"/>
        <v>YES</v>
      </c>
      <c r="AV228" s="354" t="str">
        <f t="shared" si="1848"/>
        <v>1R x 0.6/1kV x 3C x 35 Sqmm</v>
      </c>
      <c r="AW228" s="354" t="str">
        <f t="shared" si="1849"/>
        <v>1R x 0.6/1kV x 3C x 35+PE Sqmm</v>
      </c>
      <c r="AX228" s="343">
        <f>(IF(K228=400,(IF(U228="1C",(4*AH228*AP228),(AH228*AP228))),IF(K228=230,(AH228*AP228))))</f>
        <v>389</v>
      </c>
      <c r="AY228" s="355"/>
      <c r="AZ228" s="355">
        <f>IF(U228="1C",(3*AP228*2),(AP228*2))</f>
        <v>2</v>
      </c>
      <c r="BA228" s="356" t="str">
        <f t="shared" si="1851"/>
        <v>ACDEE1E2</v>
      </c>
      <c r="BB228" s="501">
        <f>VLOOKUP(W228,'Catalogue Aluminium'!$B$9:$H$93,7,FALSE)</f>
        <v>23</v>
      </c>
      <c r="BC228" s="328">
        <f>AP228*BB228</f>
        <v>23</v>
      </c>
      <c r="BE228" s="336"/>
      <c r="BF228" s="336">
        <v>1</v>
      </c>
      <c r="BG228" s="336"/>
      <c r="BH228" s="336"/>
      <c r="BI228" s="336">
        <v>1</v>
      </c>
      <c r="BJ228" s="336">
        <v>1</v>
      </c>
      <c r="BK228" s="336"/>
      <c r="BL228" s="336"/>
      <c r="BM228" s="336"/>
      <c r="BN228" s="336">
        <v>1</v>
      </c>
      <c r="BO228" s="336"/>
      <c r="BP228" s="336">
        <v>1</v>
      </c>
      <c r="BQ228" s="336">
        <v>1</v>
      </c>
      <c r="BR228" s="336"/>
      <c r="BS228" s="336"/>
      <c r="BT228" s="336"/>
      <c r="BU228" s="336"/>
      <c r="BV228" s="336"/>
      <c r="BW228" s="336"/>
      <c r="BX228" s="336"/>
      <c r="BY228" s="336"/>
      <c r="BZ228" s="336"/>
      <c r="CA228" s="336"/>
      <c r="CB228" s="336"/>
      <c r="CC228" s="336"/>
      <c r="CD228" s="336"/>
      <c r="CE228" s="336"/>
      <c r="CF228" s="336"/>
      <c r="CG228" s="336"/>
      <c r="CH228" s="336"/>
      <c r="CI228" s="336"/>
      <c r="CJ228" s="336"/>
      <c r="CK228" s="336"/>
      <c r="CL228" s="336"/>
      <c r="CM228" s="336"/>
      <c r="CN228" s="336"/>
      <c r="CO228" s="336"/>
      <c r="CP228" s="336"/>
      <c r="CQ228" s="336"/>
      <c r="CR228" s="336"/>
      <c r="CS228" s="336"/>
      <c r="CT228" s="336"/>
      <c r="CU228" s="336"/>
      <c r="CV228" s="336"/>
      <c r="CW228" s="336"/>
      <c r="CX228" s="336"/>
      <c r="CY228" s="336"/>
      <c r="CZ228" s="336"/>
      <c r="DA228" s="336"/>
      <c r="DB228" s="336"/>
      <c r="DC228" s="336"/>
      <c r="DD228" s="336"/>
      <c r="DE228" s="336"/>
      <c r="DF228" s="336"/>
      <c r="DG228" s="336"/>
      <c r="DH228" s="336"/>
      <c r="DI228" s="336"/>
      <c r="DJ228" s="336"/>
      <c r="DK228" s="336"/>
      <c r="DL228" s="336"/>
      <c r="DM228" s="336"/>
      <c r="DN228" s="336"/>
      <c r="DO228" s="336"/>
      <c r="DP228" s="336"/>
      <c r="DQ228" s="336"/>
      <c r="DR228" s="336"/>
      <c r="DS228" s="336"/>
      <c r="DT228" s="336"/>
      <c r="DU228" s="336"/>
      <c r="DW228" s="336">
        <f t="shared" si="1872"/>
        <v>0</v>
      </c>
      <c r="DX228" s="336">
        <f t="shared" si="1862"/>
        <v>23</v>
      </c>
      <c r="DY228" s="336">
        <f t="shared" si="1863"/>
        <v>0</v>
      </c>
      <c r="DZ228" s="336">
        <f t="shared" si="1864"/>
        <v>0</v>
      </c>
      <c r="EA228" s="336">
        <f t="shared" si="1865"/>
        <v>23</v>
      </c>
      <c r="EB228" s="336">
        <f t="shared" si="1866"/>
        <v>23</v>
      </c>
      <c r="EC228" s="336">
        <f t="shared" si="1867"/>
        <v>0</v>
      </c>
      <c r="ED228" s="336">
        <f t="shared" si="1774"/>
        <v>0</v>
      </c>
      <c r="EE228" s="336">
        <f t="shared" si="1775"/>
        <v>0</v>
      </c>
      <c r="EF228" s="336">
        <f t="shared" si="1776"/>
        <v>23</v>
      </c>
      <c r="EG228" s="336">
        <f t="shared" si="1777"/>
        <v>0</v>
      </c>
      <c r="EH228" s="336">
        <f t="shared" si="1778"/>
        <v>23</v>
      </c>
      <c r="EI228" s="336">
        <f t="shared" si="1779"/>
        <v>23</v>
      </c>
      <c r="EJ228" s="336">
        <f t="shared" si="1780"/>
        <v>0</v>
      </c>
      <c r="EK228" s="336">
        <f t="shared" si="1781"/>
        <v>0</v>
      </c>
      <c r="EL228" s="336">
        <f t="shared" si="1782"/>
        <v>0</v>
      </c>
      <c r="EM228" s="336">
        <f t="shared" si="1783"/>
        <v>0</v>
      </c>
      <c r="EN228" s="336">
        <f t="shared" si="1784"/>
        <v>0</v>
      </c>
      <c r="EO228" s="336">
        <f t="shared" si="1785"/>
        <v>0</v>
      </c>
      <c r="EP228" s="336">
        <f t="shared" si="1786"/>
        <v>0</v>
      </c>
      <c r="EQ228" s="336">
        <f t="shared" si="1787"/>
        <v>0</v>
      </c>
      <c r="ER228" s="336">
        <f t="shared" si="1788"/>
        <v>0</v>
      </c>
      <c r="ES228" s="336">
        <f t="shared" si="1789"/>
        <v>0</v>
      </c>
      <c r="ET228" s="336">
        <f t="shared" si="1789"/>
        <v>0</v>
      </c>
      <c r="EU228" s="336">
        <f t="shared" si="1790"/>
        <v>0</v>
      </c>
      <c r="EV228" s="336">
        <f t="shared" si="1791"/>
        <v>0</v>
      </c>
      <c r="EW228" s="336">
        <f t="shared" si="1792"/>
        <v>0</v>
      </c>
      <c r="EX228" s="336">
        <f t="shared" si="1793"/>
        <v>0</v>
      </c>
      <c r="EY228" s="336">
        <f t="shared" si="1794"/>
        <v>0</v>
      </c>
      <c r="EZ228" s="336">
        <f t="shared" si="1795"/>
        <v>0</v>
      </c>
      <c r="FA228" s="336">
        <f t="shared" si="1796"/>
        <v>0</v>
      </c>
      <c r="FB228" s="336">
        <f t="shared" si="1797"/>
        <v>0</v>
      </c>
      <c r="FC228" s="336">
        <f t="shared" si="1798"/>
        <v>0</v>
      </c>
      <c r="FD228" s="336">
        <f t="shared" si="1799"/>
        <v>0</v>
      </c>
      <c r="FE228" s="336">
        <f t="shared" si="1800"/>
        <v>0</v>
      </c>
      <c r="FF228" s="336">
        <f t="shared" si="1801"/>
        <v>0</v>
      </c>
      <c r="FG228" s="336">
        <f t="shared" si="1802"/>
        <v>0</v>
      </c>
      <c r="FH228" s="336">
        <f t="shared" si="1803"/>
        <v>0</v>
      </c>
      <c r="FI228" s="336">
        <f t="shared" si="1804"/>
        <v>0</v>
      </c>
      <c r="FJ228" s="336">
        <f t="shared" si="1805"/>
        <v>0</v>
      </c>
      <c r="FK228" s="336">
        <f t="shared" si="1806"/>
        <v>0</v>
      </c>
      <c r="FL228" s="336">
        <f t="shared" si="1807"/>
        <v>0</v>
      </c>
      <c r="FM228" s="336">
        <f t="shared" si="1808"/>
        <v>0</v>
      </c>
      <c r="FN228" s="336">
        <f t="shared" si="1809"/>
        <v>0</v>
      </c>
      <c r="FO228" s="336">
        <f t="shared" si="1810"/>
        <v>0</v>
      </c>
      <c r="FP228" s="336">
        <f t="shared" si="1811"/>
        <v>0</v>
      </c>
      <c r="FQ228" s="336">
        <f t="shared" si="1812"/>
        <v>0</v>
      </c>
      <c r="FR228" s="336">
        <f t="shared" si="1813"/>
        <v>0</v>
      </c>
      <c r="FS228" s="336">
        <f t="shared" si="1814"/>
        <v>0</v>
      </c>
      <c r="FT228" s="336">
        <f t="shared" si="1815"/>
        <v>0</v>
      </c>
      <c r="FU228" s="336">
        <f t="shared" ref="FU228" si="1875">IF(DC228=1,($BC228*DC228),0)</f>
        <v>0</v>
      </c>
      <c r="FV228" s="336">
        <f t="shared" ref="FV228" si="1876">IF(DD228=1,($BC228*DD228),0)</f>
        <v>0</v>
      </c>
      <c r="FW228" s="336">
        <f t="shared" ref="FW228" si="1877">IF(DE228=1,($BC228*DE228),0)</f>
        <v>0</v>
      </c>
      <c r="FX228" s="336">
        <f t="shared" ref="FX228" si="1878">IF(DF228=1,($BC228*DF228),0)</f>
        <v>0</v>
      </c>
      <c r="FY228" s="336">
        <f t="shared" si="1820"/>
        <v>0</v>
      </c>
      <c r="FZ228" s="336">
        <f t="shared" si="1821"/>
        <v>0</v>
      </c>
      <c r="GA228" s="336">
        <f t="shared" si="1822"/>
        <v>0</v>
      </c>
      <c r="GB228" s="336">
        <f t="shared" si="1823"/>
        <v>0</v>
      </c>
      <c r="GC228" s="336">
        <f t="shared" si="1824"/>
        <v>0</v>
      </c>
      <c r="GD228" s="336">
        <f t="shared" si="1825"/>
        <v>0</v>
      </c>
      <c r="GE228" s="336">
        <f t="shared" si="1826"/>
        <v>0</v>
      </c>
      <c r="GF228" s="336">
        <f t="shared" si="1827"/>
        <v>0</v>
      </c>
      <c r="GG228" s="336">
        <f t="shared" si="1828"/>
        <v>0</v>
      </c>
      <c r="GH228" s="336">
        <f t="shared" si="1829"/>
        <v>0</v>
      </c>
      <c r="GI228" s="336">
        <f t="shared" si="1830"/>
        <v>0</v>
      </c>
      <c r="GJ228" s="336">
        <f t="shared" si="1831"/>
        <v>0</v>
      </c>
      <c r="GK228" s="336">
        <f t="shared" si="1750"/>
        <v>0</v>
      </c>
      <c r="GL228" s="336">
        <f>IF(DT228=1,($BC228*DT228),0)</f>
        <v>0</v>
      </c>
      <c r="GM228" s="336">
        <f t="shared" si="1832"/>
        <v>0</v>
      </c>
    </row>
    <row r="229" spans="1:195" s="83" customFormat="1" ht="20.100000000000001" hidden="1" customHeight="1">
      <c r="A229" s="357" t="s">
        <v>334</v>
      </c>
      <c r="B229" s="562" t="s">
        <v>527</v>
      </c>
      <c r="C229" s="357" t="str">
        <f t="shared" si="1833"/>
        <v>EPMCC-1</v>
      </c>
      <c r="D229" s="395" t="s">
        <v>685</v>
      </c>
      <c r="E229" s="421" t="s">
        <v>345</v>
      </c>
      <c r="F229" s="357" t="s">
        <v>29</v>
      </c>
      <c r="G229" s="357" t="s">
        <v>350</v>
      </c>
      <c r="H229" s="352">
        <v>55</v>
      </c>
      <c r="I229" s="357" t="s">
        <v>330</v>
      </c>
      <c r="J229" s="357" t="s">
        <v>331</v>
      </c>
      <c r="K229" s="353">
        <v>400</v>
      </c>
      <c r="L229" s="360">
        <v>0.85</v>
      </c>
      <c r="M229" s="352">
        <v>0.95400000000000007</v>
      </c>
      <c r="N229" s="359">
        <f t="shared" si="1834"/>
        <v>97.901086153810226</v>
      </c>
      <c r="O229" s="359">
        <f t="shared" si="1771"/>
        <v>587.40651692286133</v>
      </c>
      <c r="P229" s="360">
        <f t="shared" si="1835"/>
        <v>0.2</v>
      </c>
      <c r="Q229" s="352">
        <v>50</v>
      </c>
      <c r="R229" s="352">
        <v>0</v>
      </c>
      <c r="S229" s="352">
        <f t="shared" si="1836"/>
        <v>0</v>
      </c>
      <c r="T229" s="360" t="s">
        <v>131</v>
      </c>
      <c r="U229" s="352" t="s">
        <v>333</v>
      </c>
      <c r="V229" s="360">
        <v>120</v>
      </c>
      <c r="W229" s="360" t="str">
        <f t="shared" si="1837"/>
        <v>3C X 120</v>
      </c>
      <c r="X229" s="360" t="str">
        <f t="shared" si="1838"/>
        <v>3C X 120+PE</v>
      </c>
      <c r="Y229" s="360" t="s">
        <v>358</v>
      </c>
      <c r="Z229" s="361">
        <f>IF(T229="AIR",VLOOKUP(W229,'Catalogue Aluminium'!$B$9:$G$93,2,FALSE),IF(T229="GROUND",VLOOKUP(W229,'Catalogue Aluminium'!$B$9:$G$93,3,FALSE),IF(T229="DUCT",VLOOKUP(W229,'Catalogue Aluminium'!$B$9:$G$93,4,FALSE),IF(T229="TRENCH",VLOOKUP(W229,'Catalogue Aluminium'!$B$9:$G$93,2,FALSE)))))</f>
        <v>257</v>
      </c>
      <c r="AA229" s="362">
        <f>VLOOKUP(W229,'Catalogue Aluminium'!$B$9:$G$93,5,FALSE)</f>
        <v>0.32400000000000001</v>
      </c>
      <c r="AB229" s="362">
        <f>VLOOKUP(W229,'Catalogue Aluminium'!$B$9:$G$93,6,FALSE)</f>
        <v>7.2599999999999998E-2</v>
      </c>
      <c r="AC229" s="564">
        <f>22+7</f>
        <v>29</v>
      </c>
      <c r="AD229" s="360">
        <f t="shared" ref="AD229:AD237" si="1879">11+34+48+35+30+11+24+(15+18+3+26)</f>
        <v>255</v>
      </c>
      <c r="AE229" s="456">
        <f t="shared" si="1839"/>
        <v>38</v>
      </c>
      <c r="AF229" s="360">
        <v>8</v>
      </c>
      <c r="AG229" s="360">
        <f t="shared" si="1840"/>
        <v>33</v>
      </c>
      <c r="AH229" s="363"/>
      <c r="AI229" s="361">
        <f>IF(T229="AIR",'Catalogue Aluminium'!$K$9,IF(T229="TRENCH",'Catalogue Aluminium'!$K$12,"NA"))</f>
        <v>0.89</v>
      </c>
      <c r="AJ229" s="359">
        <f>IF(T229="Air",(IF(U229="1C",'Catalogue Aluminium'!$L$9,'Catalogue Aluminium'!$M$9)),IF(T229="DUCT",(IF($U229="1C",'Catalogue Aluminium'!$L$10,'Catalogue Aluminium'!$M$10)),IF(T229="GROUND",(IF($U229="1C",'Catalogue Aluminium'!$L$11,'Catalogue Aluminium'!$M$11)),IF(T229="TRENCH",(IF($U229="1C",'Catalogue Aluminium'!$L$12,'Catalogue Aluminium'!$M$12))))))</f>
        <v>0.66</v>
      </c>
      <c r="AK229" s="361" t="str">
        <f>IF(T229="Air",'Catalogue Aluminium'!$N$9,IF(T229="GROUND",'Catalogue Aluminium'!$N$10,IF(T229="DUCT",'Catalogue Aluminium'!$N$11,IF(T229="TRENCH",'Catalogue Aluminium'!$N$12,"NA"))))</f>
        <v>NA</v>
      </c>
      <c r="AL229" s="361" t="str">
        <f>IF(T229="Air",(IF(U229="1C",'Catalogue Aluminium'!$O$9,'Catalogue Aluminium'!$P$9)),IF(T229="DUCT",(IF($U229="1C",'Catalogue Aluminium'!$O$10,'Catalogue Aluminium'!$P$10)),IF(T229="GROUND",(IF($U229="1C",'Catalogue Aluminium'!$O$11,'Catalogue Aluminium'!$P$11)),IF(T229="TRENCH",(IF($U229="1C",'Catalogue Aluminium'!$O$12,'Catalogue Aluminium'!$P$12))))))</f>
        <v>NA</v>
      </c>
      <c r="AM229" s="361" t="str">
        <f>IF(T229="AIR","NA",IF(T229="TRENCH","NA",IF(T229="DUCT",IF(U229="1C",VLOOKUP(V229,'Catalogue Aluminium'!$Q$9:$S$28,2,FALSE),VLOOKUP(V229,'Catalogue Aluminium'!$Q$9:$S$28,3)),IF(T229="GROUND",IF(U229="1C",VLOOKUP(V229,'Catalogue Aluminium'!$Q$9:$S$28,2,FALSE),VLOOKUP(V229,'Catalogue Aluminium'!$Q$9:$S$28,3))))))</f>
        <v>NA</v>
      </c>
      <c r="AN229" s="365">
        <f t="shared" si="1841"/>
        <v>0.58740000000000003</v>
      </c>
      <c r="AO229" s="352">
        <f t="shared" si="1842"/>
        <v>150.96180000000001</v>
      </c>
      <c r="AP229" s="495">
        <f t="shared" si="1303"/>
        <v>1</v>
      </c>
      <c r="AQ229" s="352" t="str">
        <f t="shared" si="1843"/>
        <v>YES</v>
      </c>
      <c r="AR229" s="365">
        <f t="shared" si="1844"/>
        <v>0</v>
      </c>
      <c r="AS229" s="496" t="str">
        <f t="shared" si="1845"/>
        <v>YES</v>
      </c>
      <c r="AT229" s="497">
        <f t="shared" si="1846"/>
        <v>0</v>
      </c>
      <c r="AU229" s="360" t="str">
        <f t="shared" si="1847"/>
        <v>YES</v>
      </c>
      <c r="AV229" s="366" t="str">
        <f t="shared" si="1848"/>
        <v>1R x 0.6/1kV x 3C x 120 Sqmm</v>
      </c>
      <c r="AW229" s="366" t="str">
        <f t="shared" si="1849"/>
        <v>1R x 0.6/1kV x 3C x 120+PE Sqmm</v>
      </c>
      <c r="AX229" s="360"/>
      <c r="AY229" s="367"/>
      <c r="AZ229" s="367"/>
      <c r="BA229" s="520" t="str">
        <f t="shared" si="1851"/>
        <v/>
      </c>
      <c r="BB229" s="498"/>
      <c r="BC229" s="426"/>
      <c r="BE229" s="368"/>
      <c r="BF229" s="368"/>
      <c r="BG229" s="368"/>
      <c r="BH229" s="368"/>
      <c r="BI229" s="368"/>
      <c r="BJ229" s="368"/>
      <c r="BK229" s="368"/>
      <c r="BL229" s="368"/>
      <c r="BM229" s="368"/>
      <c r="BN229" s="368"/>
      <c r="BO229" s="368"/>
      <c r="BP229" s="368"/>
      <c r="BQ229" s="368"/>
      <c r="BR229" s="368"/>
      <c r="BS229" s="368"/>
      <c r="BT229" s="368"/>
      <c r="BU229" s="368"/>
      <c r="BV229" s="368"/>
      <c r="BW229" s="368"/>
      <c r="BX229" s="368"/>
      <c r="BY229" s="368"/>
      <c r="BZ229" s="368"/>
      <c r="CA229" s="368"/>
      <c r="CB229" s="368"/>
      <c r="CC229" s="368"/>
      <c r="CD229" s="368"/>
      <c r="CE229" s="368"/>
      <c r="CF229" s="368"/>
      <c r="CG229" s="368"/>
      <c r="CH229" s="368"/>
      <c r="CI229" s="368"/>
      <c r="CJ229" s="368"/>
      <c r="CK229" s="368"/>
      <c r="CL229" s="368"/>
      <c r="CM229" s="368"/>
      <c r="CN229" s="368"/>
      <c r="CO229" s="368"/>
      <c r="CP229" s="368"/>
      <c r="CQ229" s="368"/>
      <c r="CR229" s="368"/>
      <c r="CS229" s="368"/>
      <c r="CT229" s="368"/>
      <c r="CU229" s="368"/>
      <c r="CV229" s="368"/>
      <c r="CW229" s="368"/>
      <c r="CX229" s="368"/>
      <c r="CY229" s="368"/>
      <c r="CZ229" s="368"/>
      <c r="DA229" s="368"/>
      <c r="DB229" s="368"/>
      <c r="DC229" s="368"/>
      <c r="DD229" s="368"/>
      <c r="DE229" s="368"/>
      <c r="DF229" s="368"/>
      <c r="DG229" s="368"/>
      <c r="DH229" s="368"/>
      <c r="DI229" s="368"/>
      <c r="DJ229" s="368"/>
      <c r="DK229" s="368"/>
      <c r="DL229" s="368"/>
      <c r="DM229" s="368"/>
      <c r="DN229" s="368"/>
      <c r="DO229" s="368"/>
      <c r="DP229" s="368"/>
      <c r="DQ229" s="368"/>
      <c r="DR229" s="368"/>
      <c r="DS229" s="368"/>
      <c r="DT229" s="368"/>
      <c r="DU229" s="368"/>
      <c r="DW229" s="368">
        <f t="shared" si="1872"/>
        <v>0</v>
      </c>
      <c r="DX229" s="368">
        <f t="shared" si="1862"/>
        <v>0</v>
      </c>
      <c r="DY229" s="368">
        <f t="shared" si="1863"/>
        <v>0</v>
      </c>
      <c r="DZ229" s="368">
        <f t="shared" si="1864"/>
        <v>0</v>
      </c>
      <c r="EA229" s="368">
        <f t="shared" si="1865"/>
        <v>0</v>
      </c>
      <c r="EB229" s="368">
        <f t="shared" si="1866"/>
        <v>0</v>
      </c>
      <c r="EC229" s="368">
        <f t="shared" si="1867"/>
        <v>0</v>
      </c>
      <c r="ED229" s="368">
        <f t="shared" si="1774"/>
        <v>0</v>
      </c>
      <c r="EE229" s="368">
        <f t="shared" si="1775"/>
        <v>0</v>
      </c>
      <c r="EF229" s="368">
        <f t="shared" si="1776"/>
        <v>0</v>
      </c>
      <c r="EG229" s="368">
        <f t="shared" si="1777"/>
        <v>0</v>
      </c>
      <c r="EH229" s="368">
        <f t="shared" si="1778"/>
        <v>0</v>
      </c>
      <c r="EI229" s="368">
        <f t="shared" si="1779"/>
        <v>0</v>
      </c>
      <c r="EJ229" s="368">
        <f t="shared" si="1780"/>
        <v>0</v>
      </c>
      <c r="EK229" s="368">
        <f t="shared" si="1781"/>
        <v>0</v>
      </c>
      <c r="EL229" s="368">
        <f t="shared" si="1782"/>
        <v>0</v>
      </c>
      <c r="EM229" s="368">
        <f t="shared" si="1783"/>
        <v>0</v>
      </c>
      <c r="EN229" s="368">
        <f t="shared" si="1784"/>
        <v>0</v>
      </c>
      <c r="EO229" s="368">
        <f t="shared" si="1785"/>
        <v>0</v>
      </c>
      <c r="EP229" s="368">
        <f t="shared" si="1786"/>
        <v>0</v>
      </c>
      <c r="EQ229" s="368">
        <f t="shared" si="1787"/>
        <v>0</v>
      </c>
      <c r="ER229" s="368">
        <f t="shared" si="1788"/>
        <v>0</v>
      </c>
      <c r="ES229" s="368">
        <f t="shared" si="1789"/>
        <v>0</v>
      </c>
      <c r="ET229" s="368">
        <f t="shared" si="1789"/>
        <v>0</v>
      </c>
      <c r="EU229" s="368">
        <f t="shared" si="1790"/>
        <v>0</v>
      </c>
      <c r="EV229" s="368">
        <f t="shared" si="1791"/>
        <v>0</v>
      </c>
      <c r="EW229" s="368">
        <f t="shared" si="1792"/>
        <v>0</v>
      </c>
      <c r="EX229" s="368">
        <f t="shared" si="1793"/>
        <v>0</v>
      </c>
      <c r="EY229" s="368">
        <f t="shared" si="1794"/>
        <v>0</v>
      </c>
      <c r="EZ229" s="368">
        <f t="shared" si="1795"/>
        <v>0</v>
      </c>
      <c r="FA229" s="368">
        <f t="shared" si="1796"/>
        <v>0</v>
      </c>
      <c r="FB229" s="368">
        <f t="shared" si="1797"/>
        <v>0</v>
      </c>
      <c r="FC229" s="368">
        <f t="shared" si="1798"/>
        <v>0</v>
      </c>
      <c r="FD229" s="368">
        <f t="shared" si="1799"/>
        <v>0</v>
      </c>
      <c r="FE229" s="368">
        <f t="shared" si="1800"/>
        <v>0</v>
      </c>
      <c r="FF229" s="368">
        <f t="shared" si="1801"/>
        <v>0</v>
      </c>
      <c r="FG229" s="368">
        <f t="shared" si="1802"/>
        <v>0</v>
      </c>
      <c r="FH229" s="368">
        <f t="shared" si="1803"/>
        <v>0</v>
      </c>
      <c r="FI229" s="368">
        <f t="shared" si="1804"/>
        <v>0</v>
      </c>
      <c r="FJ229" s="368">
        <f t="shared" si="1805"/>
        <v>0</v>
      </c>
      <c r="FK229" s="368">
        <f t="shared" si="1806"/>
        <v>0</v>
      </c>
      <c r="FL229" s="368">
        <f t="shared" si="1807"/>
        <v>0</v>
      </c>
      <c r="FM229" s="368">
        <f t="shared" si="1808"/>
        <v>0</v>
      </c>
      <c r="FN229" s="368">
        <f t="shared" si="1809"/>
        <v>0</v>
      </c>
      <c r="FO229" s="368">
        <f t="shared" si="1810"/>
        <v>0</v>
      </c>
      <c r="FP229" s="368">
        <f t="shared" si="1811"/>
        <v>0</v>
      </c>
      <c r="FQ229" s="368">
        <f t="shared" si="1812"/>
        <v>0</v>
      </c>
      <c r="FR229" s="368">
        <f t="shared" si="1813"/>
        <v>0</v>
      </c>
      <c r="FS229" s="368">
        <f t="shared" si="1814"/>
        <v>0</v>
      </c>
      <c r="FT229" s="368">
        <f t="shared" si="1815"/>
        <v>0</v>
      </c>
      <c r="FU229" s="368"/>
      <c r="FV229" s="368"/>
      <c r="FW229" s="368"/>
      <c r="FX229" s="368"/>
      <c r="FY229" s="368">
        <f t="shared" si="1820"/>
        <v>0</v>
      </c>
      <c r="FZ229" s="368">
        <f t="shared" si="1821"/>
        <v>0</v>
      </c>
      <c r="GA229" s="368">
        <f t="shared" si="1822"/>
        <v>0</v>
      </c>
      <c r="GB229" s="368">
        <f t="shared" si="1823"/>
        <v>0</v>
      </c>
      <c r="GC229" s="368">
        <f t="shared" si="1824"/>
        <v>0</v>
      </c>
      <c r="GD229" s="368">
        <f t="shared" si="1825"/>
        <v>0</v>
      </c>
      <c r="GE229" s="368">
        <f t="shared" si="1826"/>
        <v>0</v>
      </c>
      <c r="GF229" s="368">
        <f t="shared" si="1827"/>
        <v>0</v>
      </c>
      <c r="GG229" s="368">
        <f t="shared" si="1828"/>
        <v>0</v>
      </c>
      <c r="GH229" s="368">
        <f t="shared" si="1829"/>
        <v>0</v>
      </c>
      <c r="GI229" s="368">
        <f t="shared" si="1830"/>
        <v>0</v>
      </c>
      <c r="GJ229" s="368">
        <f t="shared" si="1831"/>
        <v>0</v>
      </c>
      <c r="GK229" s="368">
        <f t="shared" si="1750"/>
        <v>0</v>
      </c>
      <c r="GL229" s="368"/>
      <c r="GM229" s="368">
        <f t="shared" si="1832"/>
        <v>0</v>
      </c>
    </row>
    <row r="230" spans="1:195" s="83" customFormat="1" ht="20.100000000000001" hidden="1" customHeight="1">
      <c r="A230" s="357" t="s">
        <v>334</v>
      </c>
      <c r="B230" s="562" t="s">
        <v>527</v>
      </c>
      <c r="C230" s="357" t="str">
        <f t="shared" si="1833"/>
        <v>EPMCC-1</v>
      </c>
      <c r="D230" s="566" t="s">
        <v>686</v>
      </c>
      <c r="E230" s="421" t="s">
        <v>345</v>
      </c>
      <c r="F230" s="357" t="s">
        <v>28</v>
      </c>
      <c r="G230" s="357" t="s">
        <v>350</v>
      </c>
      <c r="H230" s="352">
        <v>55</v>
      </c>
      <c r="I230" s="357" t="s">
        <v>330</v>
      </c>
      <c r="J230" s="357" t="s">
        <v>331</v>
      </c>
      <c r="K230" s="353">
        <v>400</v>
      </c>
      <c r="L230" s="360">
        <v>0.85</v>
      </c>
      <c r="M230" s="352">
        <v>0.95400000000000007</v>
      </c>
      <c r="N230" s="359">
        <f>IF(I230="kVA",IF(J230="3Ph",(H230*1000/(1.732*M230*K230)),(H230*1000/(M230*K230))),IF(I230="kW",IF(J230="3Ph",(H230*1000/(1.732*M230*K230*L230)),(H230*1000/(M230*K230*L230)))))</f>
        <v>97.901086153810226</v>
      </c>
      <c r="O230" s="359">
        <f t="shared" si="1771"/>
        <v>587.40651692286133</v>
      </c>
      <c r="P230" s="360">
        <f t="shared" si="1835"/>
        <v>0.2</v>
      </c>
      <c r="Q230" s="352">
        <v>50</v>
      </c>
      <c r="R230" s="352">
        <v>0</v>
      </c>
      <c r="S230" s="352">
        <f t="shared" si="1836"/>
        <v>0</v>
      </c>
      <c r="T230" s="360" t="s">
        <v>131</v>
      </c>
      <c r="U230" s="352" t="s">
        <v>333</v>
      </c>
      <c r="V230" s="360">
        <v>120</v>
      </c>
      <c r="W230" s="360" t="str">
        <f t="shared" si="1837"/>
        <v>3C X 120</v>
      </c>
      <c r="X230" s="360" t="str">
        <f t="shared" si="1838"/>
        <v>3C X 120+PE</v>
      </c>
      <c r="Y230" s="360" t="s">
        <v>358</v>
      </c>
      <c r="Z230" s="361">
        <f>IF(T230="AIR",VLOOKUP(W230,'Catalogue Aluminium'!$B$9:$G$93,2,FALSE),IF(T230="GROUND",VLOOKUP(W230,'Catalogue Aluminium'!$B$9:$G$93,3,FALSE),IF(T230="DUCT",VLOOKUP(W230,'Catalogue Aluminium'!$B$9:$G$93,4,FALSE),IF(T230="TRENCH",VLOOKUP(W230,'Catalogue Aluminium'!$B$9:$G$93,2,FALSE)))))</f>
        <v>257</v>
      </c>
      <c r="AA230" s="362">
        <f>VLOOKUP(W230,'Catalogue Aluminium'!$B$9:$G$93,5,FALSE)</f>
        <v>0.32400000000000001</v>
      </c>
      <c r="AB230" s="362">
        <f>VLOOKUP(W230,'Catalogue Aluminium'!$B$9:$G$93,6,FALSE)</f>
        <v>7.2599999999999998E-2</v>
      </c>
      <c r="AC230" s="564">
        <f>28+7</f>
        <v>35</v>
      </c>
      <c r="AD230" s="360">
        <f t="shared" si="1879"/>
        <v>255</v>
      </c>
      <c r="AE230" s="456">
        <f t="shared" si="1839"/>
        <v>38</v>
      </c>
      <c r="AF230" s="360">
        <v>8</v>
      </c>
      <c r="AG230" s="360">
        <f t="shared" si="1840"/>
        <v>34</v>
      </c>
      <c r="AH230" s="363"/>
      <c r="AI230" s="361">
        <f>IF(T230="AIR",'Catalogue Aluminium'!$K$9,IF(T230="TRENCH",'Catalogue Aluminium'!$K$12,"NA"))</f>
        <v>0.89</v>
      </c>
      <c r="AJ230" s="359">
        <f>IF(T230="Air",(IF(U230="1C",'Catalogue Aluminium'!$L$9,'Catalogue Aluminium'!$M$9)),IF(T230="DUCT",(IF($U230="1C",'Catalogue Aluminium'!$L$10,'Catalogue Aluminium'!$M$10)),IF(T230="GROUND",(IF($U230="1C",'Catalogue Aluminium'!$L$11,'Catalogue Aluminium'!$M$11)),IF(T230="TRENCH",(IF($U230="1C",'Catalogue Aluminium'!$L$12,'Catalogue Aluminium'!$M$12))))))</f>
        <v>0.66</v>
      </c>
      <c r="AK230" s="361" t="str">
        <f>IF(T230="Air",'Catalogue Aluminium'!$N$9,IF(T230="GROUND",'Catalogue Aluminium'!$N$10,IF(T230="DUCT",'Catalogue Aluminium'!$N$11,IF(T230="TRENCH",'Catalogue Aluminium'!$N$12,"NA"))))</f>
        <v>NA</v>
      </c>
      <c r="AL230" s="361" t="str">
        <f>IF(T230="Air",(IF(U230="1C",'Catalogue Aluminium'!$O$9,'Catalogue Aluminium'!$P$9)),IF(T230="DUCT",(IF($U230="1C",'Catalogue Aluminium'!$O$10,'Catalogue Aluminium'!$P$10)),IF(T230="GROUND",(IF($U230="1C",'Catalogue Aluminium'!$O$11,'Catalogue Aluminium'!$P$11)),IF(T230="TRENCH",(IF($U230="1C",'Catalogue Aluminium'!$O$12,'Catalogue Aluminium'!$P$12))))))</f>
        <v>NA</v>
      </c>
      <c r="AM230" s="361" t="str">
        <f>IF(T230="AIR","NA",IF(T230="TRENCH","NA",IF(T230="DUCT",IF(U230="1C",VLOOKUP(V230,'Catalogue Aluminium'!$Q$9:$S$28,2,FALSE),VLOOKUP(V230,'Catalogue Aluminium'!$Q$9:$S$28,3)),IF(T230="GROUND",IF(U230="1C",VLOOKUP(V230,'Catalogue Aluminium'!$Q$9:$S$28,2,FALSE),VLOOKUP(V230,'Catalogue Aluminium'!$Q$9:$S$28,3))))))</f>
        <v>NA</v>
      </c>
      <c r="AN230" s="365">
        <f t="shared" si="1841"/>
        <v>0.58740000000000003</v>
      </c>
      <c r="AO230" s="352">
        <f t="shared" si="1842"/>
        <v>150.96180000000001</v>
      </c>
      <c r="AP230" s="495">
        <f t="shared" si="1303"/>
        <v>1</v>
      </c>
      <c r="AQ230" s="352" t="str">
        <f t="shared" si="1843"/>
        <v>YES</v>
      </c>
      <c r="AR230" s="365">
        <f t="shared" si="1844"/>
        <v>0</v>
      </c>
      <c r="AS230" s="496" t="str">
        <f t="shared" si="1845"/>
        <v>YES</v>
      </c>
      <c r="AT230" s="497">
        <f t="shared" si="1846"/>
        <v>0</v>
      </c>
      <c r="AU230" s="360" t="str">
        <f t="shared" si="1847"/>
        <v>YES</v>
      </c>
      <c r="AV230" s="366" t="str">
        <f t="shared" si="1848"/>
        <v>1R x 0.6/1kV x 3C x 120 Sqmm</v>
      </c>
      <c r="AW230" s="366" t="str">
        <f t="shared" si="1849"/>
        <v>1R x 0.6/1kV x 3C x 120+PE Sqmm</v>
      </c>
      <c r="AX230" s="360"/>
      <c r="AY230" s="367"/>
      <c r="AZ230" s="367"/>
      <c r="BA230" s="520" t="str">
        <f t="shared" si="1851"/>
        <v/>
      </c>
      <c r="BB230" s="498"/>
      <c r="BC230" s="426"/>
      <c r="BE230" s="368"/>
      <c r="BF230" s="368"/>
      <c r="BG230" s="368"/>
      <c r="BH230" s="368"/>
      <c r="BI230" s="368"/>
      <c r="BJ230" s="368"/>
      <c r="BK230" s="368"/>
      <c r="BL230" s="368"/>
      <c r="BM230" s="368"/>
      <c r="BN230" s="368"/>
      <c r="BO230" s="368"/>
      <c r="BP230" s="368"/>
      <c r="BQ230" s="368"/>
      <c r="BR230" s="368"/>
      <c r="BS230" s="368"/>
      <c r="BT230" s="368"/>
      <c r="BU230" s="368"/>
      <c r="BV230" s="368"/>
      <c r="BW230" s="368"/>
      <c r="BX230" s="368"/>
      <c r="BY230" s="368"/>
      <c r="BZ230" s="368"/>
      <c r="CA230" s="368"/>
      <c r="CB230" s="368"/>
      <c r="CC230" s="368"/>
      <c r="CD230" s="368"/>
      <c r="CE230" s="368"/>
      <c r="CF230" s="368"/>
      <c r="CG230" s="368"/>
      <c r="CH230" s="368"/>
      <c r="CI230" s="368"/>
      <c r="CJ230" s="368"/>
      <c r="CK230" s="368"/>
      <c r="CL230" s="368"/>
      <c r="CM230" s="368"/>
      <c r="CN230" s="368"/>
      <c r="CO230" s="368"/>
      <c r="CP230" s="368"/>
      <c r="CQ230" s="368"/>
      <c r="CR230" s="368"/>
      <c r="CS230" s="368"/>
      <c r="CT230" s="368"/>
      <c r="CU230" s="368"/>
      <c r="CV230" s="368"/>
      <c r="CW230" s="368"/>
      <c r="CX230" s="368"/>
      <c r="CY230" s="368"/>
      <c r="CZ230" s="368"/>
      <c r="DA230" s="368"/>
      <c r="DB230" s="368"/>
      <c r="DC230" s="368"/>
      <c r="DD230" s="368"/>
      <c r="DE230" s="368"/>
      <c r="DF230" s="368"/>
      <c r="DG230" s="368"/>
      <c r="DH230" s="368"/>
      <c r="DI230" s="368"/>
      <c r="DJ230" s="368"/>
      <c r="DK230" s="368"/>
      <c r="DL230" s="368"/>
      <c r="DM230" s="368"/>
      <c r="DN230" s="368"/>
      <c r="DO230" s="368"/>
      <c r="DP230" s="368"/>
      <c r="DQ230" s="368"/>
      <c r="DR230" s="368"/>
      <c r="DS230" s="368"/>
      <c r="DT230" s="368"/>
      <c r="DU230" s="368"/>
      <c r="DW230" s="368">
        <f t="shared" si="1872"/>
        <v>0</v>
      </c>
      <c r="DX230" s="368">
        <f t="shared" si="1862"/>
        <v>0</v>
      </c>
      <c r="DY230" s="368">
        <f t="shared" si="1863"/>
        <v>0</v>
      </c>
      <c r="DZ230" s="368">
        <f t="shared" si="1864"/>
        <v>0</v>
      </c>
      <c r="EA230" s="368">
        <f t="shared" si="1865"/>
        <v>0</v>
      </c>
      <c r="EB230" s="368">
        <f t="shared" si="1866"/>
        <v>0</v>
      </c>
      <c r="EC230" s="368">
        <f t="shared" si="1867"/>
        <v>0</v>
      </c>
      <c r="ED230" s="368">
        <f t="shared" si="1774"/>
        <v>0</v>
      </c>
      <c r="EE230" s="368">
        <f t="shared" si="1775"/>
        <v>0</v>
      </c>
      <c r="EF230" s="368">
        <f t="shared" si="1776"/>
        <v>0</v>
      </c>
      <c r="EG230" s="368">
        <f t="shared" si="1777"/>
        <v>0</v>
      </c>
      <c r="EH230" s="368">
        <f t="shared" si="1778"/>
        <v>0</v>
      </c>
      <c r="EI230" s="368">
        <f t="shared" si="1779"/>
        <v>0</v>
      </c>
      <c r="EJ230" s="368">
        <f t="shared" si="1780"/>
        <v>0</v>
      </c>
      <c r="EK230" s="368">
        <f t="shared" si="1781"/>
        <v>0</v>
      </c>
      <c r="EL230" s="368">
        <f t="shared" si="1782"/>
        <v>0</v>
      </c>
      <c r="EM230" s="368">
        <f t="shared" si="1783"/>
        <v>0</v>
      </c>
      <c r="EN230" s="368">
        <f t="shared" si="1784"/>
        <v>0</v>
      </c>
      <c r="EO230" s="368">
        <f t="shared" si="1785"/>
        <v>0</v>
      </c>
      <c r="EP230" s="368">
        <f t="shared" si="1786"/>
        <v>0</v>
      </c>
      <c r="EQ230" s="368">
        <f t="shared" si="1787"/>
        <v>0</v>
      </c>
      <c r="ER230" s="368">
        <f t="shared" si="1788"/>
        <v>0</v>
      </c>
      <c r="ES230" s="368">
        <f t="shared" si="1789"/>
        <v>0</v>
      </c>
      <c r="ET230" s="368">
        <f t="shared" si="1789"/>
        <v>0</v>
      </c>
      <c r="EU230" s="368">
        <f t="shared" si="1790"/>
        <v>0</v>
      </c>
      <c r="EV230" s="368">
        <f t="shared" si="1791"/>
        <v>0</v>
      </c>
      <c r="EW230" s="368">
        <f t="shared" si="1792"/>
        <v>0</v>
      </c>
      <c r="EX230" s="368">
        <f t="shared" si="1793"/>
        <v>0</v>
      </c>
      <c r="EY230" s="368">
        <f t="shared" si="1794"/>
        <v>0</v>
      </c>
      <c r="EZ230" s="368">
        <f t="shared" si="1795"/>
        <v>0</v>
      </c>
      <c r="FA230" s="368">
        <f t="shared" si="1796"/>
        <v>0</v>
      </c>
      <c r="FB230" s="368">
        <f t="shared" si="1797"/>
        <v>0</v>
      </c>
      <c r="FC230" s="368">
        <f t="shared" si="1798"/>
        <v>0</v>
      </c>
      <c r="FD230" s="368">
        <f t="shared" si="1799"/>
        <v>0</v>
      </c>
      <c r="FE230" s="368">
        <f t="shared" si="1800"/>
        <v>0</v>
      </c>
      <c r="FF230" s="368">
        <f t="shared" si="1801"/>
        <v>0</v>
      </c>
      <c r="FG230" s="368">
        <f t="shared" si="1802"/>
        <v>0</v>
      </c>
      <c r="FH230" s="368">
        <f t="shared" si="1803"/>
        <v>0</v>
      </c>
      <c r="FI230" s="368">
        <f t="shared" si="1804"/>
        <v>0</v>
      </c>
      <c r="FJ230" s="368">
        <f t="shared" si="1805"/>
        <v>0</v>
      </c>
      <c r="FK230" s="368">
        <f t="shared" si="1806"/>
        <v>0</v>
      </c>
      <c r="FL230" s="368">
        <f t="shared" si="1807"/>
        <v>0</v>
      </c>
      <c r="FM230" s="368">
        <f t="shared" si="1808"/>
        <v>0</v>
      </c>
      <c r="FN230" s="368">
        <f t="shared" si="1809"/>
        <v>0</v>
      </c>
      <c r="FO230" s="368">
        <f t="shared" si="1810"/>
        <v>0</v>
      </c>
      <c r="FP230" s="368">
        <f t="shared" si="1811"/>
        <v>0</v>
      </c>
      <c r="FQ230" s="368">
        <f t="shared" si="1812"/>
        <v>0</v>
      </c>
      <c r="FR230" s="368">
        <f t="shared" si="1813"/>
        <v>0</v>
      </c>
      <c r="FS230" s="368">
        <f t="shared" si="1814"/>
        <v>0</v>
      </c>
      <c r="FT230" s="368">
        <f t="shared" si="1815"/>
        <v>0</v>
      </c>
      <c r="FU230" s="368"/>
      <c r="FV230" s="368"/>
      <c r="FW230" s="368"/>
      <c r="FX230" s="368"/>
      <c r="FY230" s="368">
        <f t="shared" si="1820"/>
        <v>0</v>
      </c>
      <c r="FZ230" s="368">
        <f t="shared" si="1821"/>
        <v>0</v>
      </c>
      <c r="GA230" s="368">
        <f t="shared" si="1822"/>
        <v>0</v>
      </c>
      <c r="GB230" s="368">
        <f t="shared" si="1823"/>
        <v>0</v>
      </c>
      <c r="GC230" s="368">
        <f t="shared" si="1824"/>
        <v>0</v>
      </c>
      <c r="GD230" s="368">
        <f t="shared" si="1825"/>
        <v>0</v>
      </c>
      <c r="GE230" s="368">
        <f t="shared" si="1826"/>
        <v>0</v>
      </c>
      <c r="GF230" s="368">
        <f t="shared" si="1827"/>
        <v>0</v>
      </c>
      <c r="GG230" s="368">
        <f t="shared" si="1828"/>
        <v>0</v>
      </c>
      <c r="GH230" s="368">
        <f t="shared" si="1829"/>
        <v>0</v>
      </c>
      <c r="GI230" s="368">
        <f t="shared" si="1830"/>
        <v>0</v>
      </c>
      <c r="GJ230" s="368">
        <f t="shared" si="1831"/>
        <v>0</v>
      </c>
      <c r="GK230" s="368">
        <f t="shared" si="1750"/>
        <v>0</v>
      </c>
      <c r="GL230" s="368"/>
      <c r="GM230" s="368">
        <f t="shared" si="1832"/>
        <v>0</v>
      </c>
    </row>
    <row r="231" spans="1:195" ht="20.100000000000001" customHeight="1">
      <c r="A231" s="337">
        <f>1+A228</f>
        <v>150</v>
      </c>
      <c r="B231" s="898" t="s">
        <v>1691</v>
      </c>
      <c r="C231" s="337" t="str">
        <f t="shared" si="1833"/>
        <v>EPMCC-1</v>
      </c>
      <c r="D231" s="172" t="s">
        <v>687</v>
      </c>
      <c r="E231" s="453" t="s">
        <v>345</v>
      </c>
      <c r="F231" s="337" t="s">
        <v>29</v>
      </c>
      <c r="G231" s="337" t="s">
        <v>350</v>
      </c>
      <c r="H231" s="418">
        <v>5.5</v>
      </c>
      <c r="I231" s="337" t="s">
        <v>330</v>
      </c>
      <c r="J231" s="337" t="s">
        <v>331</v>
      </c>
      <c r="K231" s="349">
        <v>400</v>
      </c>
      <c r="L231" s="343">
        <v>0.79</v>
      </c>
      <c r="M231" s="350">
        <v>0.8859999999999999</v>
      </c>
      <c r="N231" s="342">
        <f t="shared" si="1834"/>
        <v>11.342113718622269</v>
      </c>
      <c r="O231" s="342">
        <f t="shared" si="1771"/>
        <v>68.052682311733605</v>
      </c>
      <c r="P231" s="343">
        <f t="shared" si="1835"/>
        <v>0.2</v>
      </c>
      <c r="Q231" s="350">
        <v>50</v>
      </c>
      <c r="R231" s="350">
        <v>0</v>
      </c>
      <c r="S231" s="350">
        <f t="shared" si="1836"/>
        <v>0</v>
      </c>
      <c r="T231" s="343" t="s">
        <v>131</v>
      </c>
      <c r="U231" s="350" t="s">
        <v>333</v>
      </c>
      <c r="V231" s="343">
        <v>25</v>
      </c>
      <c r="W231" s="343" t="str">
        <f t="shared" si="1837"/>
        <v>3C X 25</v>
      </c>
      <c r="X231" s="343" t="str">
        <f t="shared" si="1838"/>
        <v>3C X 25+PE</v>
      </c>
      <c r="Y231" s="343" t="s">
        <v>358</v>
      </c>
      <c r="Z231" s="344">
        <f>IF(T231="AIR",VLOOKUP(W231,'Catalogue Aluminium'!$B$9:$G$93,2,FALSE),IF(T231="GROUND",VLOOKUP(W231,'Catalogue Aluminium'!$B$9:$G$93,3,FALSE),IF(T231="DUCT",VLOOKUP(W231,'Catalogue Aluminium'!$B$9:$G$93,4,FALSE),IF(T231="TRENCH",VLOOKUP(W231,'Catalogue Aluminium'!$B$9:$G$93,2,FALSE)))))</f>
        <v>95</v>
      </c>
      <c r="AA231" s="345">
        <f>VLOOKUP(W231,'Catalogue Aluminium'!$B$9:$G$93,5,FALSE)</f>
        <v>1.54</v>
      </c>
      <c r="AB231" s="345">
        <f>VLOOKUP(W231,'Catalogue Aluminium'!$B$9:$G$93,6,FALSE)</f>
        <v>8.1600000000000006E-2</v>
      </c>
      <c r="AC231" s="457">
        <f>25+8</f>
        <v>33</v>
      </c>
      <c r="AD231" s="401">
        <f>40+50+38+50+17+(27+49)</f>
        <v>271</v>
      </c>
      <c r="AE231" s="401">
        <f t="shared" si="1839"/>
        <v>38</v>
      </c>
      <c r="AF231" s="401">
        <v>8</v>
      </c>
      <c r="AG231" s="401">
        <f t="shared" si="1840"/>
        <v>35</v>
      </c>
      <c r="AH231" s="347">
        <f t="shared" si="1850"/>
        <v>385</v>
      </c>
      <c r="AI231" s="344">
        <f>IF(T231="AIR",'Catalogue Aluminium'!$K$9,IF(T231="TRENCH",'Catalogue Aluminium'!$K$12,"NA"))</f>
        <v>0.89</v>
      </c>
      <c r="AJ231" s="342">
        <f>IF(T231="Air",(IF(U231="1C",'Catalogue Aluminium'!$L$9,'Catalogue Aluminium'!$M$9)),IF(T231="DUCT",(IF($U231="1C",'Catalogue Aluminium'!$L$10,'Catalogue Aluminium'!$M$10)),IF(T231="GROUND",(IF($U231="1C",'Catalogue Aluminium'!$L$11,'Catalogue Aluminium'!$M$11)),IF(T231="TRENCH",(IF($U231="1C",'Catalogue Aluminium'!$L$12,'Catalogue Aluminium'!$M$12))))))</f>
        <v>0.66</v>
      </c>
      <c r="AK231" s="344" t="str">
        <f>IF(T231="Air",'Catalogue Aluminium'!$N$9,IF(T231="GROUND",'Catalogue Aluminium'!$N$10,IF(T231="DUCT",'Catalogue Aluminium'!$N$11,IF(T231="TRENCH",'Catalogue Aluminium'!$N$12,"NA"))))</f>
        <v>NA</v>
      </c>
      <c r="AL231" s="344" t="str">
        <f>IF(T231="Air",(IF(U231="1C",'Catalogue Aluminium'!$O$9,'Catalogue Aluminium'!$P$9)),IF(T231="DUCT",(IF($U231="1C",'Catalogue Aluminium'!$O$10,'Catalogue Aluminium'!$P$10)),IF(T231="GROUND",(IF($U231="1C",'Catalogue Aluminium'!$O$11,'Catalogue Aluminium'!$P$11)),IF(T231="TRENCH",(IF($U231="1C",'Catalogue Aluminium'!$O$12,'Catalogue Aluminium'!$P$12))))))</f>
        <v>NA</v>
      </c>
      <c r="AM231" s="344" t="str">
        <f>IF(T231="AIR","NA",IF(T231="TRENCH","NA",IF(T231="DUCT",IF(U231="1C",VLOOKUP(V231,'Catalogue Aluminium'!$Q$9:$S$28,2,FALSE),VLOOKUP(V231,'Catalogue Aluminium'!$Q$9:$S$28,3)),IF(T231="GROUND",IF(U231="1C",VLOOKUP(V231,'Catalogue Aluminium'!$Q$9:$S$28,2,FALSE),VLOOKUP(V231,'Catalogue Aluminium'!$Q$9:$S$28,3))))))</f>
        <v>NA</v>
      </c>
      <c r="AN231" s="351">
        <f t="shared" si="1841"/>
        <v>0.58740000000000003</v>
      </c>
      <c r="AO231" s="350">
        <f t="shared" si="1842"/>
        <v>55.803000000000004</v>
      </c>
      <c r="AP231" s="349">
        <f t="shared" si="1303"/>
        <v>1</v>
      </c>
      <c r="AQ231" s="350" t="str">
        <f t="shared" si="1843"/>
        <v>YES</v>
      </c>
      <c r="AR231" s="351">
        <f t="shared" si="1844"/>
        <v>2.3949969667936588</v>
      </c>
      <c r="AS231" s="343" t="str">
        <f t="shared" si="1845"/>
        <v>YES</v>
      </c>
      <c r="AT231" s="351">
        <f t="shared" si="1846"/>
        <v>4.4013294254611868</v>
      </c>
      <c r="AU231" s="343" t="str">
        <f t="shared" si="1847"/>
        <v>YES</v>
      </c>
      <c r="AV231" s="354" t="str">
        <f t="shared" si="1848"/>
        <v>1R x 0.6/1kV x 3C x 25 Sqmm</v>
      </c>
      <c r="AW231" s="354" t="str">
        <f t="shared" si="1849"/>
        <v>1R x 0.6/1kV x 3C x 25+PE Sqmm</v>
      </c>
      <c r="AX231" s="343">
        <f>(IF(K231=400,(IF(U231="1C",(4*AH231*AP231),(AH231*AP231))),IF(K231=230,(AH231*AP231))))</f>
        <v>385</v>
      </c>
      <c r="AY231" s="355"/>
      <c r="AZ231" s="355">
        <f>IF(U231="1C",(3*AP231*2),(AP231*2))</f>
        <v>2</v>
      </c>
      <c r="BA231" s="356" t="str">
        <f t="shared" si="1851"/>
        <v>ACDEE1E2</v>
      </c>
      <c r="BB231" s="501">
        <f>VLOOKUP(W231,'Catalogue Aluminium'!$B$9:$H$93,7,FALSE)</f>
        <v>21</v>
      </c>
      <c r="BC231" s="328">
        <f>AP231*BB231</f>
        <v>21</v>
      </c>
      <c r="BE231" s="336"/>
      <c r="BF231" s="336">
        <v>1</v>
      </c>
      <c r="BG231" s="336"/>
      <c r="BH231" s="336"/>
      <c r="BI231" s="336">
        <v>1</v>
      </c>
      <c r="BJ231" s="336">
        <v>1</v>
      </c>
      <c r="BK231" s="336"/>
      <c r="BL231" s="336"/>
      <c r="BM231" s="336"/>
      <c r="BN231" s="336">
        <v>1</v>
      </c>
      <c r="BO231" s="336"/>
      <c r="BP231" s="336">
        <v>1</v>
      </c>
      <c r="BQ231" s="336">
        <v>1</v>
      </c>
      <c r="BR231" s="336"/>
      <c r="BS231" s="336"/>
      <c r="BT231" s="336"/>
      <c r="BU231" s="336"/>
      <c r="BV231" s="336"/>
      <c r="BW231" s="336"/>
      <c r="BX231" s="336"/>
      <c r="BY231" s="336"/>
      <c r="BZ231" s="336"/>
      <c r="CA231" s="336"/>
      <c r="CB231" s="336"/>
      <c r="CC231" s="336"/>
      <c r="CD231" s="336"/>
      <c r="CE231" s="336"/>
      <c r="CF231" s="336"/>
      <c r="CG231" s="336"/>
      <c r="CH231" s="336"/>
      <c r="CI231" s="336"/>
      <c r="CJ231" s="336"/>
      <c r="CK231" s="336"/>
      <c r="CL231" s="336"/>
      <c r="CM231" s="336"/>
      <c r="CN231" s="336"/>
      <c r="CO231" s="336"/>
      <c r="CP231" s="336"/>
      <c r="CQ231" s="336"/>
      <c r="CR231" s="336"/>
      <c r="CS231" s="336"/>
      <c r="CT231" s="336"/>
      <c r="CU231" s="336"/>
      <c r="CV231" s="336"/>
      <c r="CW231" s="336"/>
      <c r="CX231" s="336"/>
      <c r="CY231" s="336"/>
      <c r="CZ231" s="336"/>
      <c r="DA231" s="336"/>
      <c r="DB231" s="336"/>
      <c r="DC231" s="336"/>
      <c r="DD231" s="336"/>
      <c r="DE231" s="336"/>
      <c r="DF231" s="336"/>
      <c r="DG231" s="336"/>
      <c r="DH231" s="336"/>
      <c r="DI231" s="336"/>
      <c r="DJ231" s="336"/>
      <c r="DK231" s="336"/>
      <c r="DL231" s="336"/>
      <c r="DM231" s="336"/>
      <c r="DN231" s="336"/>
      <c r="DO231" s="336"/>
      <c r="DP231" s="336"/>
      <c r="DQ231" s="336"/>
      <c r="DR231" s="336"/>
      <c r="DS231" s="336"/>
      <c r="DT231" s="336"/>
      <c r="DU231" s="336"/>
      <c r="DW231" s="336">
        <f t="shared" si="1872"/>
        <v>0</v>
      </c>
      <c r="DX231" s="336">
        <f t="shared" si="1862"/>
        <v>21</v>
      </c>
      <c r="DY231" s="336">
        <f t="shared" si="1863"/>
        <v>0</v>
      </c>
      <c r="DZ231" s="336">
        <f t="shared" si="1864"/>
        <v>0</v>
      </c>
      <c r="EA231" s="336">
        <f t="shared" si="1865"/>
        <v>21</v>
      </c>
      <c r="EB231" s="336">
        <f t="shared" si="1866"/>
        <v>21</v>
      </c>
      <c r="EC231" s="336">
        <f t="shared" si="1867"/>
        <v>0</v>
      </c>
      <c r="ED231" s="336">
        <f t="shared" si="1774"/>
        <v>0</v>
      </c>
      <c r="EE231" s="336">
        <f t="shared" si="1775"/>
        <v>0</v>
      </c>
      <c r="EF231" s="336">
        <f t="shared" si="1776"/>
        <v>21</v>
      </c>
      <c r="EG231" s="336">
        <f t="shared" si="1777"/>
        <v>0</v>
      </c>
      <c r="EH231" s="336">
        <f t="shared" si="1778"/>
        <v>21</v>
      </c>
      <c r="EI231" s="336">
        <f t="shared" si="1779"/>
        <v>21</v>
      </c>
      <c r="EJ231" s="336">
        <f t="shared" si="1780"/>
        <v>0</v>
      </c>
      <c r="EK231" s="336">
        <f t="shared" si="1781"/>
        <v>0</v>
      </c>
      <c r="EL231" s="336">
        <f t="shared" si="1782"/>
        <v>0</v>
      </c>
      <c r="EM231" s="336">
        <f t="shared" si="1783"/>
        <v>0</v>
      </c>
      <c r="EN231" s="336">
        <f t="shared" si="1784"/>
        <v>0</v>
      </c>
      <c r="EO231" s="336">
        <f t="shared" si="1785"/>
        <v>0</v>
      </c>
      <c r="EP231" s="336">
        <f t="shared" si="1786"/>
        <v>0</v>
      </c>
      <c r="EQ231" s="336">
        <f t="shared" si="1787"/>
        <v>0</v>
      </c>
      <c r="ER231" s="336">
        <f t="shared" si="1788"/>
        <v>0</v>
      </c>
      <c r="ES231" s="336">
        <f t="shared" si="1789"/>
        <v>0</v>
      </c>
      <c r="ET231" s="336">
        <f t="shared" si="1789"/>
        <v>0</v>
      </c>
      <c r="EU231" s="336">
        <f t="shared" si="1790"/>
        <v>0</v>
      </c>
      <c r="EV231" s="336">
        <f t="shared" si="1791"/>
        <v>0</v>
      </c>
      <c r="EW231" s="336">
        <f t="shared" si="1792"/>
        <v>0</v>
      </c>
      <c r="EX231" s="336">
        <f t="shared" si="1793"/>
        <v>0</v>
      </c>
      <c r="EY231" s="336">
        <f t="shared" si="1794"/>
        <v>0</v>
      </c>
      <c r="EZ231" s="336">
        <f t="shared" si="1795"/>
        <v>0</v>
      </c>
      <c r="FA231" s="336">
        <f t="shared" si="1796"/>
        <v>0</v>
      </c>
      <c r="FB231" s="336">
        <f t="shared" si="1797"/>
        <v>0</v>
      </c>
      <c r="FC231" s="336">
        <f t="shared" si="1798"/>
        <v>0</v>
      </c>
      <c r="FD231" s="336">
        <f t="shared" si="1799"/>
        <v>0</v>
      </c>
      <c r="FE231" s="336">
        <f t="shared" si="1800"/>
        <v>0</v>
      </c>
      <c r="FF231" s="336">
        <f t="shared" si="1801"/>
        <v>0</v>
      </c>
      <c r="FG231" s="336">
        <f t="shared" si="1802"/>
        <v>0</v>
      </c>
      <c r="FH231" s="336">
        <f t="shared" si="1803"/>
        <v>0</v>
      </c>
      <c r="FI231" s="336">
        <f t="shared" si="1804"/>
        <v>0</v>
      </c>
      <c r="FJ231" s="336">
        <f t="shared" si="1805"/>
        <v>0</v>
      </c>
      <c r="FK231" s="336">
        <f t="shared" si="1806"/>
        <v>0</v>
      </c>
      <c r="FL231" s="336">
        <f t="shared" si="1807"/>
        <v>0</v>
      </c>
      <c r="FM231" s="336">
        <f t="shared" si="1808"/>
        <v>0</v>
      </c>
      <c r="FN231" s="336">
        <f t="shared" si="1809"/>
        <v>0</v>
      </c>
      <c r="FO231" s="336">
        <f t="shared" si="1810"/>
        <v>0</v>
      </c>
      <c r="FP231" s="336">
        <f t="shared" si="1811"/>
        <v>0</v>
      </c>
      <c r="FQ231" s="336">
        <f t="shared" si="1812"/>
        <v>0</v>
      </c>
      <c r="FR231" s="336">
        <f t="shared" si="1813"/>
        <v>0</v>
      </c>
      <c r="FS231" s="336">
        <f t="shared" si="1814"/>
        <v>0</v>
      </c>
      <c r="FT231" s="336">
        <f t="shared" si="1815"/>
        <v>0</v>
      </c>
      <c r="FU231" s="336">
        <f t="shared" ref="FU231" si="1880">IF(DC231=1,($BC231*DC231),0)</f>
        <v>0</v>
      </c>
      <c r="FV231" s="336">
        <f t="shared" ref="FV231" si="1881">IF(DD231=1,($BC231*DD231),0)</f>
        <v>0</v>
      </c>
      <c r="FW231" s="336">
        <f t="shared" ref="FW231" si="1882">IF(DE231=1,($BC231*DE231),0)</f>
        <v>0</v>
      </c>
      <c r="FX231" s="336">
        <f t="shared" ref="FX231" si="1883">IF(DF231=1,($BC231*DF231),0)</f>
        <v>0</v>
      </c>
      <c r="FY231" s="336">
        <f t="shared" si="1820"/>
        <v>0</v>
      </c>
      <c r="FZ231" s="336">
        <f t="shared" si="1821"/>
        <v>0</v>
      </c>
      <c r="GA231" s="336">
        <f t="shared" si="1822"/>
        <v>0</v>
      </c>
      <c r="GB231" s="336">
        <f t="shared" si="1823"/>
        <v>0</v>
      </c>
      <c r="GC231" s="336">
        <f t="shared" si="1824"/>
        <v>0</v>
      </c>
      <c r="GD231" s="336">
        <f t="shared" si="1825"/>
        <v>0</v>
      </c>
      <c r="GE231" s="336">
        <f t="shared" si="1826"/>
        <v>0</v>
      </c>
      <c r="GF231" s="336">
        <f t="shared" si="1827"/>
        <v>0</v>
      </c>
      <c r="GG231" s="336">
        <f t="shared" si="1828"/>
        <v>0</v>
      </c>
      <c r="GH231" s="336">
        <f t="shared" si="1829"/>
        <v>0</v>
      </c>
      <c r="GI231" s="336">
        <f t="shared" si="1830"/>
        <v>0</v>
      </c>
      <c r="GJ231" s="336">
        <f t="shared" si="1831"/>
        <v>0</v>
      </c>
      <c r="GK231" s="336">
        <f t="shared" si="1750"/>
        <v>0</v>
      </c>
      <c r="GL231" s="336">
        <f>IF(DT231=1,($BC231*DT231),0)</f>
        <v>0</v>
      </c>
      <c r="GM231" s="336">
        <f t="shared" si="1832"/>
        <v>0</v>
      </c>
    </row>
    <row r="232" spans="1:195" s="83" customFormat="1" ht="20.100000000000001" hidden="1" customHeight="1">
      <c r="A232" s="357" t="s">
        <v>334</v>
      </c>
      <c r="B232" s="562" t="s">
        <v>527</v>
      </c>
      <c r="C232" s="357" t="str">
        <f t="shared" si="1833"/>
        <v>EPMCC-1</v>
      </c>
      <c r="D232" s="160" t="s">
        <v>598</v>
      </c>
      <c r="E232" s="421" t="s">
        <v>345</v>
      </c>
      <c r="F232" s="357" t="s">
        <v>28</v>
      </c>
      <c r="G232" s="357" t="s">
        <v>329</v>
      </c>
      <c r="H232" s="352">
        <v>25</v>
      </c>
      <c r="I232" s="357" t="s">
        <v>330</v>
      </c>
      <c r="J232" s="357" t="s">
        <v>331</v>
      </c>
      <c r="K232" s="353">
        <v>400</v>
      </c>
      <c r="L232" s="360">
        <v>0.85</v>
      </c>
      <c r="M232" s="352">
        <v>0.95</v>
      </c>
      <c r="N232" s="359">
        <f t="shared" si="1834"/>
        <v>44.687864206093288</v>
      </c>
      <c r="O232" s="359">
        <f t="shared" si="1771"/>
        <v>0</v>
      </c>
      <c r="P232" s="360" t="str">
        <f t="shared" si="1835"/>
        <v>0.00</v>
      </c>
      <c r="Q232" s="352">
        <v>50</v>
      </c>
      <c r="R232" s="352">
        <v>0</v>
      </c>
      <c r="S232" s="352">
        <f t="shared" si="1836"/>
        <v>0</v>
      </c>
      <c r="T232" s="360" t="s">
        <v>131</v>
      </c>
      <c r="U232" s="352" t="s">
        <v>535</v>
      </c>
      <c r="V232" s="360">
        <v>120</v>
      </c>
      <c r="W232" s="360" t="str">
        <f t="shared" si="1837"/>
        <v>3.5C X 120</v>
      </c>
      <c r="X232" s="360" t="str">
        <f t="shared" si="1838"/>
        <v>3.5C X 120</v>
      </c>
      <c r="Y232" s="360" t="s">
        <v>358</v>
      </c>
      <c r="Z232" s="361">
        <f>IF(T232="AIR",VLOOKUP(W232,'Catalogue Aluminium'!$B$9:$G$93,2,FALSE),IF(T232="GROUND",VLOOKUP(W232,'Catalogue Aluminium'!$B$9:$G$93,3,FALSE),IF(T232="DUCT",VLOOKUP(W232,'Catalogue Aluminium'!$B$9:$G$93,4,FALSE),IF(T232="TRENCH",VLOOKUP(W232,'Catalogue Aluminium'!$B$9:$G$93,2,FALSE)))))</f>
        <v>257</v>
      </c>
      <c r="AA232" s="362">
        <f>VLOOKUP(W232,'Catalogue Aluminium'!$B$9:$G$93,5,FALSE)</f>
        <v>0.32400000000000001</v>
      </c>
      <c r="AB232" s="362">
        <f>VLOOKUP(W232,'Catalogue Aluminium'!$B$9:$G$93,6,FALSE)</f>
        <v>7.2599999999999998E-2</v>
      </c>
      <c r="AC232" s="564">
        <f>28+7</f>
        <v>35</v>
      </c>
      <c r="AD232" s="360">
        <f t="shared" si="1879"/>
        <v>255</v>
      </c>
      <c r="AE232" s="456">
        <f t="shared" si="1839"/>
        <v>38</v>
      </c>
      <c r="AF232" s="360">
        <v>8</v>
      </c>
      <c r="AG232" s="360">
        <f t="shared" si="1840"/>
        <v>34</v>
      </c>
      <c r="AH232" s="363"/>
      <c r="AI232" s="361">
        <f>IF(T232="AIR",'Catalogue Aluminium'!$K$9,IF(T232="TRENCH",'Catalogue Aluminium'!$K$12,"NA"))</f>
        <v>0.89</v>
      </c>
      <c r="AJ232" s="359">
        <f>IF(T232="Air",(IF(U232="1C",'Catalogue Aluminium'!$L$9,'Catalogue Aluminium'!$M$9)),IF(T232="DUCT",(IF($U232="1C",'Catalogue Aluminium'!$L$10,'Catalogue Aluminium'!$M$10)),IF(T232="GROUND",(IF($U232="1C",'Catalogue Aluminium'!$L$11,'Catalogue Aluminium'!$M$11)),IF(T232="TRENCH",(IF($U232="1C",'Catalogue Aluminium'!$L$12,'Catalogue Aluminium'!$M$12))))))</f>
        <v>0.66</v>
      </c>
      <c r="AK232" s="361" t="str">
        <f>IF(T232="Air",'Catalogue Aluminium'!$N$9,IF(T232="GROUND",'Catalogue Aluminium'!$N$10,IF(T232="DUCT",'Catalogue Aluminium'!$N$11,IF(T232="TRENCH",'Catalogue Aluminium'!$N$12,"NA"))))</f>
        <v>NA</v>
      </c>
      <c r="AL232" s="361" t="str">
        <f>IF(T232="Air",(IF(U232="1C",'Catalogue Aluminium'!$O$9,'Catalogue Aluminium'!$P$9)),IF(T232="DUCT",(IF($U232="1C",'Catalogue Aluminium'!$O$10,'Catalogue Aluminium'!$P$10)),IF(T232="GROUND",(IF($U232="1C",'Catalogue Aluminium'!$O$11,'Catalogue Aluminium'!$P$11)),IF(T232="TRENCH",(IF($U232="1C",'Catalogue Aluminium'!$O$12,'Catalogue Aluminium'!$P$12))))))</f>
        <v>NA</v>
      </c>
      <c r="AM232" s="361" t="str">
        <f>IF(T232="AIR","NA",IF(T232="TRENCH","NA",IF(T232="DUCT",IF(U232="1C",VLOOKUP(V232,'Catalogue Aluminium'!$Q$9:$S$28,2,FALSE),VLOOKUP(V232,'Catalogue Aluminium'!$Q$9:$S$28,3)),IF(T232="GROUND",IF(U232="1C",VLOOKUP(V232,'Catalogue Aluminium'!$Q$9:$S$28,2,FALSE),VLOOKUP(V232,'Catalogue Aluminium'!$Q$9:$S$28,3))))))</f>
        <v>NA</v>
      </c>
      <c r="AN232" s="365">
        <f t="shared" si="1841"/>
        <v>0.58740000000000003</v>
      </c>
      <c r="AO232" s="352">
        <f t="shared" si="1842"/>
        <v>150.96180000000001</v>
      </c>
      <c r="AP232" s="353">
        <f t="shared" si="1303"/>
        <v>1</v>
      </c>
      <c r="AQ232" s="352" t="str">
        <f t="shared" si="1843"/>
        <v>YES</v>
      </c>
      <c r="AR232" s="365">
        <f t="shared" si="1844"/>
        <v>0</v>
      </c>
      <c r="AS232" s="496" t="str">
        <f t="shared" si="1845"/>
        <v>YES</v>
      </c>
      <c r="AT232" s="497" t="str">
        <f t="shared" si="1846"/>
        <v>NA</v>
      </c>
      <c r="AU232" s="360" t="str">
        <f t="shared" si="1847"/>
        <v>NA</v>
      </c>
      <c r="AV232" s="366" t="str">
        <f t="shared" si="1848"/>
        <v>1R x 0.6/1kV x 3.5C x 120 Sqmm</v>
      </c>
      <c r="AW232" s="366" t="str">
        <f t="shared" si="1849"/>
        <v>1R x 0.6/1kV x 3.5C x 120 Sqmm</v>
      </c>
      <c r="AX232" s="360"/>
      <c r="AY232" s="367"/>
      <c r="AZ232" s="367"/>
      <c r="BA232" s="520" t="str">
        <f t="shared" si="1851"/>
        <v/>
      </c>
      <c r="BB232" s="498"/>
      <c r="BC232" s="426"/>
      <c r="BE232" s="368"/>
      <c r="BF232" s="368"/>
      <c r="BG232" s="368"/>
      <c r="BH232" s="368"/>
      <c r="BI232" s="368"/>
      <c r="BJ232" s="368"/>
      <c r="BK232" s="368"/>
      <c r="BL232" s="368"/>
      <c r="BM232" s="368"/>
      <c r="BN232" s="368"/>
      <c r="BO232" s="368"/>
      <c r="BP232" s="368"/>
      <c r="BQ232" s="368"/>
      <c r="BR232" s="368"/>
      <c r="BS232" s="368"/>
      <c r="BT232" s="368"/>
      <c r="BU232" s="368"/>
      <c r="BV232" s="368"/>
      <c r="BW232" s="368"/>
      <c r="BX232" s="368"/>
      <c r="BY232" s="368"/>
      <c r="BZ232" s="368"/>
      <c r="CA232" s="368"/>
      <c r="CB232" s="368"/>
      <c r="CC232" s="368"/>
      <c r="CD232" s="368"/>
      <c r="CE232" s="368"/>
      <c r="CF232" s="368"/>
      <c r="CG232" s="368"/>
      <c r="CH232" s="368"/>
      <c r="CI232" s="368"/>
      <c r="CJ232" s="368"/>
      <c r="CK232" s="368"/>
      <c r="CL232" s="368"/>
      <c r="CM232" s="368"/>
      <c r="CN232" s="368"/>
      <c r="CO232" s="368"/>
      <c r="CP232" s="368"/>
      <c r="CQ232" s="368"/>
      <c r="CR232" s="368"/>
      <c r="CS232" s="368"/>
      <c r="CT232" s="368"/>
      <c r="CU232" s="368"/>
      <c r="CV232" s="368"/>
      <c r="CW232" s="368"/>
      <c r="CX232" s="368"/>
      <c r="CY232" s="368"/>
      <c r="CZ232" s="368"/>
      <c r="DA232" s="368"/>
      <c r="DB232" s="368"/>
      <c r="DC232" s="368"/>
      <c r="DD232" s="368"/>
      <c r="DE232" s="368"/>
      <c r="DF232" s="368"/>
      <c r="DG232" s="368"/>
      <c r="DH232" s="368"/>
      <c r="DI232" s="368"/>
      <c r="DJ232" s="368"/>
      <c r="DK232" s="368"/>
      <c r="DL232" s="368"/>
      <c r="DM232" s="368"/>
      <c r="DN232" s="368"/>
      <c r="DO232" s="368"/>
      <c r="DP232" s="368"/>
      <c r="DQ232" s="368"/>
      <c r="DR232" s="368"/>
      <c r="DS232" s="368"/>
      <c r="DT232" s="368"/>
      <c r="DU232" s="368"/>
      <c r="DW232" s="368">
        <f t="shared" si="1872"/>
        <v>0</v>
      </c>
      <c r="DX232" s="368">
        <f t="shared" si="1862"/>
        <v>0</v>
      </c>
      <c r="DY232" s="368">
        <f t="shared" si="1863"/>
        <v>0</v>
      </c>
      <c r="DZ232" s="368">
        <f t="shared" si="1864"/>
        <v>0</v>
      </c>
      <c r="EA232" s="368">
        <f t="shared" si="1865"/>
        <v>0</v>
      </c>
      <c r="EB232" s="368">
        <f t="shared" si="1866"/>
        <v>0</v>
      </c>
      <c r="EC232" s="368">
        <f t="shared" si="1867"/>
        <v>0</v>
      </c>
      <c r="ED232" s="368">
        <f t="shared" si="1774"/>
        <v>0</v>
      </c>
      <c r="EE232" s="368">
        <f t="shared" si="1775"/>
        <v>0</v>
      </c>
      <c r="EF232" s="368">
        <f t="shared" si="1776"/>
        <v>0</v>
      </c>
      <c r="EG232" s="368">
        <f t="shared" si="1777"/>
        <v>0</v>
      </c>
      <c r="EH232" s="368">
        <f t="shared" si="1778"/>
        <v>0</v>
      </c>
      <c r="EI232" s="368">
        <f t="shared" si="1779"/>
        <v>0</v>
      </c>
      <c r="EJ232" s="368">
        <f t="shared" si="1780"/>
        <v>0</v>
      </c>
      <c r="EK232" s="368">
        <f t="shared" si="1781"/>
        <v>0</v>
      </c>
      <c r="EL232" s="368">
        <f t="shared" si="1782"/>
        <v>0</v>
      </c>
      <c r="EM232" s="368">
        <f t="shared" si="1783"/>
        <v>0</v>
      </c>
      <c r="EN232" s="368">
        <f t="shared" si="1784"/>
        <v>0</v>
      </c>
      <c r="EO232" s="368">
        <f t="shared" si="1785"/>
        <v>0</v>
      </c>
      <c r="EP232" s="368">
        <f t="shared" si="1786"/>
        <v>0</v>
      </c>
      <c r="EQ232" s="368">
        <f t="shared" si="1787"/>
        <v>0</v>
      </c>
      <c r="ER232" s="368">
        <f t="shared" si="1788"/>
        <v>0</v>
      </c>
      <c r="ES232" s="368">
        <f t="shared" si="1789"/>
        <v>0</v>
      </c>
      <c r="ET232" s="368">
        <f t="shared" si="1789"/>
        <v>0</v>
      </c>
      <c r="EU232" s="368">
        <f t="shared" si="1790"/>
        <v>0</v>
      </c>
      <c r="EV232" s="368">
        <f t="shared" si="1791"/>
        <v>0</v>
      </c>
      <c r="EW232" s="368">
        <f t="shared" si="1792"/>
        <v>0</v>
      </c>
      <c r="EX232" s="368">
        <f t="shared" si="1793"/>
        <v>0</v>
      </c>
      <c r="EY232" s="368">
        <f t="shared" si="1794"/>
        <v>0</v>
      </c>
      <c r="EZ232" s="368">
        <f t="shared" si="1795"/>
        <v>0</v>
      </c>
      <c r="FA232" s="368">
        <f t="shared" si="1796"/>
        <v>0</v>
      </c>
      <c r="FB232" s="368">
        <f t="shared" si="1797"/>
        <v>0</v>
      </c>
      <c r="FC232" s="368">
        <f t="shared" si="1798"/>
        <v>0</v>
      </c>
      <c r="FD232" s="368">
        <f t="shared" si="1799"/>
        <v>0</v>
      </c>
      <c r="FE232" s="368">
        <f t="shared" si="1800"/>
        <v>0</v>
      </c>
      <c r="FF232" s="368">
        <f t="shared" si="1801"/>
        <v>0</v>
      </c>
      <c r="FG232" s="368">
        <f t="shared" si="1802"/>
        <v>0</v>
      </c>
      <c r="FH232" s="368">
        <f t="shared" si="1803"/>
        <v>0</v>
      </c>
      <c r="FI232" s="368">
        <f t="shared" si="1804"/>
        <v>0</v>
      </c>
      <c r="FJ232" s="368">
        <f t="shared" si="1805"/>
        <v>0</v>
      </c>
      <c r="FK232" s="368">
        <f t="shared" si="1806"/>
        <v>0</v>
      </c>
      <c r="FL232" s="368">
        <f t="shared" si="1807"/>
        <v>0</v>
      </c>
      <c r="FM232" s="368">
        <f t="shared" si="1808"/>
        <v>0</v>
      </c>
      <c r="FN232" s="368">
        <f t="shared" si="1809"/>
        <v>0</v>
      </c>
      <c r="FO232" s="368">
        <f t="shared" si="1810"/>
        <v>0</v>
      </c>
      <c r="FP232" s="368">
        <f t="shared" si="1811"/>
        <v>0</v>
      </c>
      <c r="FQ232" s="368">
        <f t="shared" si="1812"/>
        <v>0</v>
      </c>
      <c r="FR232" s="368">
        <f t="shared" si="1813"/>
        <v>0</v>
      </c>
      <c r="FS232" s="368">
        <f t="shared" si="1814"/>
        <v>0</v>
      </c>
      <c r="FT232" s="368">
        <f t="shared" si="1815"/>
        <v>0</v>
      </c>
      <c r="FU232" s="368"/>
      <c r="FV232" s="368"/>
      <c r="FW232" s="368"/>
      <c r="FX232" s="368"/>
      <c r="FY232" s="368">
        <f t="shared" si="1820"/>
        <v>0</v>
      </c>
      <c r="FZ232" s="368">
        <f t="shared" si="1821"/>
        <v>0</v>
      </c>
      <c r="GA232" s="368">
        <f t="shared" si="1822"/>
        <v>0</v>
      </c>
      <c r="GB232" s="368">
        <f t="shared" si="1823"/>
        <v>0</v>
      </c>
      <c r="GC232" s="368">
        <f t="shared" si="1824"/>
        <v>0</v>
      </c>
      <c r="GD232" s="368">
        <f t="shared" si="1825"/>
        <v>0</v>
      </c>
      <c r="GE232" s="368">
        <f t="shared" si="1826"/>
        <v>0</v>
      </c>
      <c r="GF232" s="368">
        <f t="shared" si="1827"/>
        <v>0</v>
      </c>
      <c r="GG232" s="368">
        <f t="shared" si="1828"/>
        <v>0</v>
      </c>
      <c r="GH232" s="368">
        <f t="shared" si="1829"/>
        <v>0</v>
      </c>
      <c r="GI232" s="368">
        <f t="shared" si="1830"/>
        <v>0</v>
      </c>
      <c r="GJ232" s="368">
        <f t="shared" si="1831"/>
        <v>0</v>
      </c>
      <c r="GK232" s="368">
        <f t="shared" si="1750"/>
        <v>0</v>
      </c>
      <c r="GL232" s="368"/>
      <c r="GM232" s="368">
        <f t="shared" si="1832"/>
        <v>0</v>
      </c>
    </row>
    <row r="233" spans="1:195" s="83" customFormat="1" ht="20.100000000000001" hidden="1" customHeight="1">
      <c r="A233" s="357" t="s">
        <v>334</v>
      </c>
      <c r="B233" s="562" t="s">
        <v>527</v>
      </c>
      <c r="C233" s="357" t="str">
        <f t="shared" si="1833"/>
        <v>EPMCC-1</v>
      </c>
      <c r="D233" s="395" t="s">
        <v>688</v>
      </c>
      <c r="E233" s="421" t="s">
        <v>345</v>
      </c>
      <c r="F233" s="357" t="s">
        <v>29</v>
      </c>
      <c r="G233" s="357" t="s">
        <v>329</v>
      </c>
      <c r="H233" s="352">
        <v>1.5</v>
      </c>
      <c r="I233" s="357" t="s">
        <v>330</v>
      </c>
      <c r="J233" s="357" t="s">
        <v>331</v>
      </c>
      <c r="K233" s="353">
        <v>400</v>
      </c>
      <c r="L233" s="360">
        <v>0.85</v>
      </c>
      <c r="M233" s="352">
        <v>0.95</v>
      </c>
      <c r="N233" s="359">
        <f t="shared" si="1834"/>
        <v>2.681271852365597</v>
      </c>
      <c r="O233" s="359">
        <f t="shared" si="1771"/>
        <v>0</v>
      </c>
      <c r="P233" s="360" t="str">
        <f t="shared" si="1835"/>
        <v>0.00</v>
      </c>
      <c r="Q233" s="352">
        <v>50</v>
      </c>
      <c r="R233" s="352">
        <v>0</v>
      </c>
      <c r="S233" s="352">
        <f t="shared" si="1836"/>
        <v>0</v>
      </c>
      <c r="T233" s="360" t="s">
        <v>131</v>
      </c>
      <c r="U233" s="352" t="s">
        <v>522</v>
      </c>
      <c r="V233" s="360">
        <v>4</v>
      </c>
      <c r="W233" s="360" t="str">
        <f t="shared" si="1837"/>
        <v>4C X 4</v>
      </c>
      <c r="X233" s="360" t="str">
        <f t="shared" si="1838"/>
        <v>4C X 4</v>
      </c>
      <c r="Y233" s="360" t="s">
        <v>358</v>
      </c>
      <c r="Z233" s="361">
        <f>IF(T233="AIR",VLOOKUP(W233,'Catalogue Aluminium'!$B$9:$G$93,2,FALSE),IF(T233="GROUND",VLOOKUP(W233,'Catalogue Aluminium'!$B$9:$G$93,3,FALSE),IF(T233="DUCT",VLOOKUP(W233,'Catalogue Aluminium'!$B$9:$G$93,4,FALSE),IF(T233="TRENCH",VLOOKUP(W233,'Catalogue Aluminium'!$B$9:$G$93,2,FALSE)))))</f>
        <v>38</v>
      </c>
      <c r="AA233" s="362">
        <f>VLOOKUP(W233,'Catalogue Aluminium'!$B$9:$G$93,5,FALSE)</f>
        <v>5.9</v>
      </c>
      <c r="AB233" s="362">
        <f>VLOOKUP(W233,'Catalogue Aluminium'!$B$9:$G$93,6,FALSE)</f>
        <v>9.4700000000000006E-2</v>
      </c>
      <c r="AC233" s="564">
        <f>22+7</f>
        <v>29</v>
      </c>
      <c r="AD233" s="360">
        <f t="shared" si="1879"/>
        <v>255</v>
      </c>
      <c r="AE233" s="456">
        <f t="shared" si="1839"/>
        <v>38</v>
      </c>
      <c r="AF233" s="360">
        <v>8</v>
      </c>
      <c r="AG233" s="360">
        <f t="shared" si="1840"/>
        <v>33</v>
      </c>
      <c r="AH233" s="363"/>
      <c r="AI233" s="361">
        <f>IF(T233="AIR",'Catalogue Aluminium'!$K$9,IF(T233="TRENCH",'Catalogue Aluminium'!$K$12,"NA"))</f>
        <v>0.89</v>
      </c>
      <c r="AJ233" s="359">
        <f>IF(T233="Air",(IF(U233="1C",'Catalogue Aluminium'!$L$9,'Catalogue Aluminium'!$M$9)),IF(T233="DUCT",(IF($U233="1C",'Catalogue Aluminium'!$L$10,'Catalogue Aluminium'!$M$10)),IF(T233="GROUND",(IF($U233="1C",'Catalogue Aluminium'!$L$11,'Catalogue Aluminium'!$M$11)),IF(T233="TRENCH",(IF($U233="1C",'Catalogue Aluminium'!$L$12,'Catalogue Aluminium'!$M$12))))))</f>
        <v>0.66</v>
      </c>
      <c r="AK233" s="361" t="str">
        <f>IF(T233="Air",'Catalogue Aluminium'!$N$9,IF(T233="GROUND",'Catalogue Aluminium'!$N$10,IF(T233="DUCT",'Catalogue Aluminium'!$N$11,IF(T233="TRENCH",'Catalogue Aluminium'!$N$12,"NA"))))</f>
        <v>NA</v>
      </c>
      <c r="AL233" s="361" t="str">
        <f>IF(T233="Air",(IF(U233="1C",'Catalogue Aluminium'!$O$9,'Catalogue Aluminium'!$P$9)),IF(T233="DUCT",(IF($U233="1C",'Catalogue Aluminium'!$O$10,'Catalogue Aluminium'!$P$10)),IF(T233="GROUND",(IF($U233="1C",'Catalogue Aluminium'!$O$11,'Catalogue Aluminium'!$P$11)),IF(T233="TRENCH",(IF($U233="1C",'Catalogue Aluminium'!$O$12,'Catalogue Aluminium'!$P$12))))))</f>
        <v>NA</v>
      </c>
      <c r="AM233" s="361" t="str">
        <f>IF(T233="AIR","NA",IF(T233="TRENCH","NA",IF(T233="DUCT",IF(U233="1C",VLOOKUP(V233,'Catalogue Aluminium'!$Q$9:$S$28,2,FALSE),VLOOKUP(V233,'Catalogue Aluminium'!$Q$9:$S$28,3)),IF(T233="GROUND",IF(U233="1C",VLOOKUP(V233,'Catalogue Aluminium'!$Q$9:$S$28,2,FALSE),VLOOKUP(V233,'Catalogue Aluminium'!$Q$9:$S$28,3))))))</f>
        <v>NA</v>
      </c>
      <c r="AN233" s="365">
        <f t="shared" si="1841"/>
        <v>0.58740000000000003</v>
      </c>
      <c r="AO233" s="352">
        <f t="shared" si="1842"/>
        <v>22.321200000000001</v>
      </c>
      <c r="AP233" s="353">
        <f t="shared" si="1303"/>
        <v>1</v>
      </c>
      <c r="AQ233" s="352" t="str">
        <f t="shared" si="1843"/>
        <v>YES</v>
      </c>
      <c r="AR233" s="365">
        <f t="shared" si="1844"/>
        <v>0</v>
      </c>
      <c r="AS233" s="496" t="str">
        <f t="shared" si="1845"/>
        <v>YES</v>
      </c>
      <c r="AT233" s="497" t="str">
        <f t="shared" si="1846"/>
        <v>NA</v>
      </c>
      <c r="AU233" s="360" t="str">
        <f t="shared" si="1847"/>
        <v>NA</v>
      </c>
      <c r="AV233" s="366" t="str">
        <f t="shared" si="1848"/>
        <v>1R x 0.6/1kV x 4C x 4 Sqmm</v>
      </c>
      <c r="AW233" s="366" t="str">
        <f t="shared" si="1849"/>
        <v>1R x 0.6/1kV x 4C x 4 Sqmm</v>
      </c>
      <c r="AX233" s="360"/>
      <c r="AY233" s="367"/>
      <c r="AZ233" s="367"/>
      <c r="BA233" s="520" t="str">
        <f t="shared" si="1851"/>
        <v/>
      </c>
      <c r="BB233" s="498"/>
      <c r="BC233" s="426"/>
      <c r="BE233" s="368"/>
      <c r="BF233" s="368"/>
      <c r="BG233" s="368"/>
      <c r="BH233" s="368"/>
      <c r="BI233" s="368"/>
      <c r="BJ233" s="368"/>
      <c r="BK233" s="368"/>
      <c r="BL233" s="368"/>
      <c r="BM233" s="368"/>
      <c r="BN233" s="368"/>
      <c r="BO233" s="368"/>
      <c r="BP233" s="368"/>
      <c r="BQ233" s="368"/>
      <c r="BR233" s="368"/>
      <c r="BS233" s="368"/>
      <c r="BT233" s="368"/>
      <c r="BU233" s="368"/>
      <c r="BV233" s="368"/>
      <c r="BW233" s="368"/>
      <c r="BX233" s="368"/>
      <c r="BY233" s="368"/>
      <c r="BZ233" s="368"/>
      <c r="CA233" s="368"/>
      <c r="CB233" s="368"/>
      <c r="CC233" s="368"/>
      <c r="CD233" s="368"/>
      <c r="CE233" s="368"/>
      <c r="CF233" s="368"/>
      <c r="CG233" s="368"/>
      <c r="CH233" s="368"/>
      <c r="CI233" s="368"/>
      <c r="CJ233" s="368"/>
      <c r="CK233" s="368"/>
      <c r="CL233" s="368"/>
      <c r="CM233" s="368"/>
      <c r="CN233" s="368"/>
      <c r="CO233" s="368"/>
      <c r="CP233" s="368"/>
      <c r="CQ233" s="368"/>
      <c r="CR233" s="368"/>
      <c r="CS233" s="368"/>
      <c r="CT233" s="368"/>
      <c r="CU233" s="368"/>
      <c r="CV233" s="368"/>
      <c r="CW233" s="368"/>
      <c r="CX233" s="368"/>
      <c r="CY233" s="368"/>
      <c r="CZ233" s="368"/>
      <c r="DA233" s="368"/>
      <c r="DB233" s="368"/>
      <c r="DC233" s="368"/>
      <c r="DD233" s="368"/>
      <c r="DE233" s="368"/>
      <c r="DF233" s="368"/>
      <c r="DG233" s="368"/>
      <c r="DH233" s="368"/>
      <c r="DI233" s="368"/>
      <c r="DJ233" s="368"/>
      <c r="DK233" s="368"/>
      <c r="DL233" s="368"/>
      <c r="DM233" s="368"/>
      <c r="DN233" s="368"/>
      <c r="DO233" s="368"/>
      <c r="DP233" s="368"/>
      <c r="DQ233" s="368"/>
      <c r="DR233" s="368"/>
      <c r="DS233" s="368"/>
      <c r="DT233" s="368"/>
      <c r="DU233" s="368"/>
      <c r="DW233" s="368">
        <f t="shared" si="1872"/>
        <v>0</v>
      </c>
      <c r="DX233" s="368">
        <f t="shared" si="1862"/>
        <v>0</v>
      </c>
      <c r="DY233" s="368">
        <f t="shared" si="1863"/>
        <v>0</v>
      </c>
      <c r="DZ233" s="368">
        <f t="shared" si="1864"/>
        <v>0</v>
      </c>
      <c r="EA233" s="368">
        <f t="shared" si="1865"/>
        <v>0</v>
      </c>
      <c r="EB233" s="368">
        <f t="shared" si="1866"/>
        <v>0</v>
      </c>
      <c r="EC233" s="368">
        <f t="shared" si="1867"/>
        <v>0</v>
      </c>
      <c r="ED233" s="368">
        <f t="shared" si="1774"/>
        <v>0</v>
      </c>
      <c r="EE233" s="368">
        <f t="shared" si="1775"/>
        <v>0</v>
      </c>
      <c r="EF233" s="368">
        <f t="shared" si="1776"/>
        <v>0</v>
      </c>
      <c r="EG233" s="368">
        <f t="shared" si="1777"/>
        <v>0</v>
      </c>
      <c r="EH233" s="368">
        <f t="shared" si="1778"/>
        <v>0</v>
      </c>
      <c r="EI233" s="368">
        <f t="shared" si="1779"/>
        <v>0</v>
      </c>
      <c r="EJ233" s="368">
        <f t="shared" si="1780"/>
        <v>0</v>
      </c>
      <c r="EK233" s="368">
        <f t="shared" si="1781"/>
        <v>0</v>
      </c>
      <c r="EL233" s="368">
        <f t="shared" si="1782"/>
        <v>0</v>
      </c>
      <c r="EM233" s="368">
        <f t="shared" si="1783"/>
        <v>0</v>
      </c>
      <c r="EN233" s="368">
        <f t="shared" si="1784"/>
        <v>0</v>
      </c>
      <c r="EO233" s="368">
        <f t="shared" si="1785"/>
        <v>0</v>
      </c>
      <c r="EP233" s="368">
        <f t="shared" si="1786"/>
        <v>0</v>
      </c>
      <c r="EQ233" s="368">
        <f t="shared" si="1787"/>
        <v>0</v>
      </c>
      <c r="ER233" s="368">
        <f t="shared" si="1788"/>
        <v>0</v>
      </c>
      <c r="ES233" s="368">
        <f t="shared" si="1789"/>
        <v>0</v>
      </c>
      <c r="ET233" s="368">
        <f t="shared" si="1789"/>
        <v>0</v>
      </c>
      <c r="EU233" s="368">
        <f t="shared" si="1790"/>
        <v>0</v>
      </c>
      <c r="EV233" s="368">
        <f t="shared" si="1791"/>
        <v>0</v>
      </c>
      <c r="EW233" s="368">
        <f t="shared" si="1792"/>
        <v>0</v>
      </c>
      <c r="EX233" s="368">
        <f t="shared" si="1793"/>
        <v>0</v>
      </c>
      <c r="EY233" s="368">
        <f t="shared" si="1794"/>
        <v>0</v>
      </c>
      <c r="EZ233" s="368">
        <f t="shared" si="1795"/>
        <v>0</v>
      </c>
      <c r="FA233" s="368">
        <f t="shared" si="1796"/>
        <v>0</v>
      </c>
      <c r="FB233" s="368">
        <f t="shared" si="1797"/>
        <v>0</v>
      </c>
      <c r="FC233" s="368">
        <f t="shared" si="1798"/>
        <v>0</v>
      </c>
      <c r="FD233" s="368">
        <f t="shared" si="1799"/>
        <v>0</v>
      </c>
      <c r="FE233" s="368">
        <f t="shared" si="1800"/>
        <v>0</v>
      </c>
      <c r="FF233" s="368">
        <f t="shared" si="1801"/>
        <v>0</v>
      </c>
      <c r="FG233" s="368">
        <f t="shared" si="1802"/>
        <v>0</v>
      </c>
      <c r="FH233" s="368">
        <f t="shared" si="1803"/>
        <v>0</v>
      </c>
      <c r="FI233" s="368">
        <f t="shared" si="1804"/>
        <v>0</v>
      </c>
      <c r="FJ233" s="368">
        <f t="shared" si="1805"/>
        <v>0</v>
      </c>
      <c r="FK233" s="368">
        <f t="shared" si="1806"/>
        <v>0</v>
      </c>
      <c r="FL233" s="368">
        <f t="shared" si="1807"/>
        <v>0</v>
      </c>
      <c r="FM233" s="368">
        <f t="shared" si="1808"/>
        <v>0</v>
      </c>
      <c r="FN233" s="368">
        <f t="shared" si="1809"/>
        <v>0</v>
      </c>
      <c r="FO233" s="368">
        <f t="shared" si="1810"/>
        <v>0</v>
      </c>
      <c r="FP233" s="368">
        <f t="shared" si="1811"/>
        <v>0</v>
      </c>
      <c r="FQ233" s="368">
        <f t="shared" si="1812"/>
        <v>0</v>
      </c>
      <c r="FR233" s="368">
        <f t="shared" si="1813"/>
        <v>0</v>
      </c>
      <c r="FS233" s="368">
        <f t="shared" si="1814"/>
        <v>0</v>
      </c>
      <c r="FT233" s="368">
        <f t="shared" si="1815"/>
        <v>0</v>
      </c>
      <c r="FU233" s="368"/>
      <c r="FV233" s="368"/>
      <c r="FW233" s="368"/>
      <c r="FX233" s="368"/>
      <c r="FY233" s="368">
        <f t="shared" si="1820"/>
        <v>0</v>
      </c>
      <c r="FZ233" s="368">
        <f t="shared" si="1821"/>
        <v>0</v>
      </c>
      <c r="GA233" s="368">
        <f t="shared" si="1822"/>
        <v>0</v>
      </c>
      <c r="GB233" s="368">
        <f t="shared" si="1823"/>
        <v>0</v>
      </c>
      <c r="GC233" s="368">
        <f t="shared" si="1824"/>
        <v>0</v>
      </c>
      <c r="GD233" s="368">
        <f t="shared" si="1825"/>
        <v>0</v>
      </c>
      <c r="GE233" s="368">
        <f t="shared" si="1826"/>
        <v>0</v>
      </c>
      <c r="GF233" s="368">
        <f t="shared" si="1827"/>
        <v>0</v>
      </c>
      <c r="GG233" s="368">
        <f t="shared" si="1828"/>
        <v>0</v>
      </c>
      <c r="GH233" s="368">
        <f t="shared" si="1829"/>
        <v>0</v>
      </c>
      <c r="GI233" s="368">
        <f t="shared" si="1830"/>
        <v>0</v>
      </c>
      <c r="GJ233" s="368">
        <f t="shared" si="1831"/>
        <v>0</v>
      </c>
      <c r="GK233" s="368">
        <f t="shared" si="1750"/>
        <v>0</v>
      </c>
      <c r="GL233" s="368"/>
      <c r="GM233" s="368">
        <f t="shared" si="1832"/>
        <v>0</v>
      </c>
    </row>
    <row r="234" spans="1:195" s="83" customFormat="1" ht="20.100000000000001" hidden="1" customHeight="1">
      <c r="A234" s="357" t="s">
        <v>334</v>
      </c>
      <c r="B234" s="562" t="s">
        <v>527</v>
      </c>
      <c r="C234" s="357" t="str">
        <f t="shared" si="1833"/>
        <v>EPMCC-1</v>
      </c>
      <c r="D234" s="395" t="s">
        <v>689</v>
      </c>
      <c r="E234" s="421" t="s">
        <v>345</v>
      </c>
      <c r="F234" s="357" t="s">
        <v>28</v>
      </c>
      <c r="G234" s="357" t="s">
        <v>329</v>
      </c>
      <c r="H234" s="352">
        <v>40</v>
      </c>
      <c r="I234" s="357" t="s">
        <v>330</v>
      </c>
      <c r="J234" s="357" t="s">
        <v>331</v>
      </c>
      <c r="K234" s="353">
        <v>400</v>
      </c>
      <c r="L234" s="360">
        <v>0.85</v>
      </c>
      <c r="M234" s="352">
        <v>0.95</v>
      </c>
      <c r="N234" s="359">
        <f t="shared" si="1834"/>
        <v>71.500582729749254</v>
      </c>
      <c r="O234" s="359">
        <f t="shared" si="1771"/>
        <v>0</v>
      </c>
      <c r="P234" s="360" t="str">
        <f t="shared" si="1835"/>
        <v>0.00</v>
      </c>
      <c r="Q234" s="352">
        <v>50</v>
      </c>
      <c r="R234" s="352">
        <v>0</v>
      </c>
      <c r="S234" s="352">
        <f t="shared" si="1836"/>
        <v>0</v>
      </c>
      <c r="T234" s="360" t="s">
        <v>131</v>
      </c>
      <c r="U234" s="352" t="s">
        <v>535</v>
      </c>
      <c r="V234" s="360">
        <v>240</v>
      </c>
      <c r="W234" s="360" t="str">
        <f t="shared" si="1837"/>
        <v>3.5C X 240</v>
      </c>
      <c r="X234" s="360" t="str">
        <f t="shared" si="1838"/>
        <v>3.5C X 240</v>
      </c>
      <c r="Y234" s="360" t="s">
        <v>358</v>
      </c>
      <c r="Z234" s="361">
        <f>IF(T234="AIR",VLOOKUP(W234,'Catalogue Aluminium'!$B$9:$G$93,2,FALSE),IF(T234="GROUND",VLOOKUP(W234,'Catalogue Aluminium'!$B$9:$G$93,3,FALSE),IF(T234="DUCT",VLOOKUP(W234,'Catalogue Aluminium'!$B$9:$G$93,4,FALSE),IF(T234="TRENCH",VLOOKUP(W234,'Catalogue Aluminium'!$B$9:$G$93,2,FALSE)))))</f>
        <v>401</v>
      </c>
      <c r="AA234" s="362">
        <f>VLOOKUP(W234,'Catalogue Aluminium'!$B$9:$G$93,5,FALSE)</f>
        <v>0.16</v>
      </c>
      <c r="AB234" s="362">
        <f>VLOOKUP(W234,'Catalogue Aluminium'!$B$9:$G$93,6,FALSE)</f>
        <v>7.1900000000000006E-2</v>
      </c>
      <c r="AC234" s="564">
        <f>28+7</f>
        <v>35</v>
      </c>
      <c r="AD234" s="360">
        <f t="shared" si="1879"/>
        <v>255</v>
      </c>
      <c r="AE234" s="360">
        <f t="shared" si="1839"/>
        <v>38</v>
      </c>
      <c r="AF234" s="360">
        <v>8</v>
      </c>
      <c r="AG234" s="360">
        <f t="shared" si="1840"/>
        <v>34</v>
      </c>
      <c r="AH234" s="363"/>
      <c r="AI234" s="361">
        <f>IF(T234="AIR",'Catalogue Aluminium'!$K$9,IF(T234="TRENCH",'Catalogue Aluminium'!$K$12,"NA"))</f>
        <v>0.89</v>
      </c>
      <c r="AJ234" s="359">
        <f>IF(T234="Air",(IF(U234="1C",'Catalogue Aluminium'!$L$9,'Catalogue Aluminium'!$M$9)),IF(T234="DUCT",(IF($U234="1C",'Catalogue Aluminium'!$L$10,'Catalogue Aluminium'!$M$10)),IF(T234="GROUND",(IF($U234="1C",'Catalogue Aluminium'!$L$11,'Catalogue Aluminium'!$M$11)),IF(T234="TRENCH",(IF($U234="1C",'Catalogue Aluminium'!$L$12,'Catalogue Aluminium'!$M$12))))))</f>
        <v>0.66</v>
      </c>
      <c r="AK234" s="361" t="str">
        <f>IF(T234="Air",'Catalogue Aluminium'!$N$9,IF(T234="GROUND",'Catalogue Aluminium'!$N$10,IF(T234="DUCT",'Catalogue Aluminium'!$N$11,IF(T234="TRENCH",'Catalogue Aluminium'!$N$12,"NA"))))</f>
        <v>NA</v>
      </c>
      <c r="AL234" s="361" t="str">
        <f>IF(T234="Air",(IF(U234="1C",'Catalogue Aluminium'!$O$9,'Catalogue Aluminium'!$P$9)),IF(T234="DUCT",(IF($U234="1C",'Catalogue Aluminium'!$O$10,'Catalogue Aluminium'!$P$10)),IF(T234="GROUND",(IF($U234="1C",'Catalogue Aluminium'!$O$11,'Catalogue Aluminium'!$P$11)),IF(T234="TRENCH",(IF($U234="1C",'Catalogue Aluminium'!$O$12,'Catalogue Aluminium'!$P$12))))))</f>
        <v>NA</v>
      </c>
      <c r="AM234" s="361" t="str">
        <f>IF(T234="AIR","NA",IF(T234="TRENCH","NA",IF(T234="DUCT",IF(U234="1C",VLOOKUP(V234,'Catalogue Aluminium'!$Q$9:$S$28,2,FALSE),VLOOKUP(V234,'Catalogue Aluminium'!$Q$9:$S$28,3)),IF(T234="GROUND",IF(U234="1C",VLOOKUP(V234,'Catalogue Aluminium'!$Q$9:$S$28,2,FALSE),VLOOKUP(V234,'Catalogue Aluminium'!$Q$9:$S$28,3))))))</f>
        <v>NA</v>
      </c>
      <c r="AN234" s="365">
        <f t="shared" si="1841"/>
        <v>0.58740000000000003</v>
      </c>
      <c r="AO234" s="352">
        <f t="shared" si="1842"/>
        <v>235.54740000000001</v>
      </c>
      <c r="AP234" s="353">
        <f t="shared" si="1303"/>
        <v>1</v>
      </c>
      <c r="AQ234" s="352" t="str">
        <f t="shared" si="1843"/>
        <v>YES</v>
      </c>
      <c r="AR234" s="365">
        <f t="shared" si="1844"/>
        <v>0</v>
      </c>
      <c r="AS234" s="496" t="str">
        <f t="shared" si="1845"/>
        <v>YES</v>
      </c>
      <c r="AT234" s="497" t="str">
        <f t="shared" si="1846"/>
        <v>NA</v>
      </c>
      <c r="AU234" s="360" t="str">
        <f t="shared" si="1847"/>
        <v>NA</v>
      </c>
      <c r="AV234" s="366" t="str">
        <f t="shared" si="1848"/>
        <v>1R x 0.6/1kV x 3.5C x 240 Sqmm</v>
      </c>
      <c r="AW234" s="366" t="str">
        <f t="shared" si="1849"/>
        <v>1R x 0.6/1kV x 3.5C x 240 Sqmm</v>
      </c>
      <c r="AX234" s="360"/>
      <c r="AY234" s="367"/>
      <c r="AZ234" s="367"/>
      <c r="BA234" s="520" t="str">
        <f t="shared" si="1851"/>
        <v/>
      </c>
      <c r="BB234" s="498"/>
      <c r="BC234" s="426"/>
      <c r="BE234" s="368"/>
      <c r="BF234" s="368"/>
      <c r="BG234" s="368"/>
      <c r="BH234" s="368"/>
      <c r="BI234" s="368"/>
      <c r="BJ234" s="368"/>
      <c r="BK234" s="368"/>
      <c r="BL234" s="368"/>
      <c r="BM234" s="368"/>
      <c r="BN234" s="368"/>
      <c r="BO234" s="368"/>
      <c r="BP234" s="368"/>
      <c r="BQ234" s="368"/>
      <c r="BR234" s="368"/>
      <c r="BS234" s="368"/>
      <c r="BT234" s="368"/>
      <c r="BU234" s="368"/>
      <c r="BV234" s="368"/>
      <c r="BW234" s="368"/>
      <c r="BX234" s="368"/>
      <c r="BY234" s="368"/>
      <c r="BZ234" s="368"/>
      <c r="CA234" s="368"/>
      <c r="CB234" s="368"/>
      <c r="CC234" s="368"/>
      <c r="CD234" s="368"/>
      <c r="CE234" s="368"/>
      <c r="CF234" s="368"/>
      <c r="CG234" s="368"/>
      <c r="CH234" s="368"/>
      <c r="CI234" s="368"/>
      <c r="CJ234" s="368"/>
      <c r="CK234" s="368"/>
      <c r="CL234" s="368"/>
      <c r="CM234" s="368"/>
      <c r="CN234" s="368"/>
      <c r="CO234" s="368"/>
      <c r="CP234" s="368"/>
      <c r="CQ234" s="368"/>
      <c r="CR234" s="368"/>
      <c r="CS234" s="368"/>
      <c r="CT234" s="368"/>
      <c r="CU234" s="368"/>
      <c r="CV234" s="368"/>
      <c r="CW234" s="368"/>
      <c r="CX234" s="368"/>
      <c r="CY234" s="368"/>
      <c r="CZ234" s="368"/>
      <c r="DA234" s="368"/>
      <c r="DB234" s="368"/>
      <c r="DC234" s="368"/>
      <c r="DD234" s="368"/>
      <c r="DE234" s="368"/>
      <c r="DF234" s="368"/>
      <c r="DG234" s="368"/>
      <c r="DH234" s="368"/>
      <c r="DI234" s="368"/>
      <c r="DJ234" s="368"/>
      <c r="DK234" s="368"/>
      <c r="DL234" s="368"/>
      <c r="DM234" s="368"/>
      <c r="DN234" s="368"/>
      <c r="DO234" s="368"/>
      <c r="DP234" s="368"/>
      <c r="DQ234" s="368"/>
      <c r="DR234" s="368"/>
      <c r="DS234" s="368"/>
      <c r="DT234" s="368"/>
      <c r="DU234" s="368"/>
      <c r="DW234" s="368">
        <f t="shared" si="1872"/>
        <v>0</v>
      </c>
      <c r="DX234" s="368">
        <f t="shared" si="1862"/>
        <v>0</v>
      </c>
      <c r="DY234" s="368">
        <f t="shared" si="1863"/>
        <v>0</v>
      </c>
      <c r="DZ234" s="368">
        <f t="shared" si="1864"/>
        <v>0</v>
      </c>
      <c r="EA234" s="368">
        <f t="shared" si="1865"/>
        <v>0</v>
      </c>
      <c r="EB234" s="368">
        <f t="shared" si="1866"/>
        <v>0</v>
      </c>
      <c r="EC234" s="368">
        <f t="shared" si="1867"/>
        <v>0</v>
      </c>
      <c r="ED234" s="368">
        <f t="shared" si="1774"/>
        <v>0</v>
      </c>
      <c r="EE234" s="368">
        <f t="shared" si="1775"/>
        <v>0</v>
      </c>
      <c r="EF234" s="368">
        <f t="shared" si="1776"/>
        <v>0</v>
      </c>
      <c r="EG234" s="368">
        <f t="shared" si="1777"/>
        <v>0</v>
      </c>
      <c r="EH234" s="368">
        <f t="shared" si="1778"/>
        <v>0</v>
      </c>
      <c r="EI234" s="368">
        <f t="shared" si="1779"/>
        <v>0</v>
      </c>
      <c r="EJ234" s="368">
        <f t="shared" si="1780"/>
        <v>0</v>
      </c>
      <c r="EK234" s="368">
        <f t="shared" si="1781"/>
        <v>0</v>
      </c>
      <c r="EL234" s="368">
        <f t="shared" si="1782"/>
        <v>0</v>
      </c>
      <c r="EM234" s="368">
        <f t="shared" si="1783"/>
        <v>0</v>
      </c>
      <c r="EN234" s="368">
        <f t="shared" si="1784"/>
        <v>0</v>
      </c>
      <c r="EO234" s="368">
        <f t="shared" si="1785"/>
        <v>0</v>
      </c>
      <c r="EP234" s="368">
        <f t="shared" si="1786"/>
        <v>0</v>
      </c>
      <c r="EQ234" s="368">
        <f t="shared" si="1787"/>
        <v>0</v>
      </c>
      <c r="ER234" s="368">
        <f t="shared" si="1788"/>
        <v>0</v>
      </c>
      <c r="ES234" s="368">
        <f t="shared" si="1789"/>
        <v>0</v>
      </c>
      <c r="ET234" s="368">
        <f t="shared" si="1789"/>
        <v>0</v>
      </c>
      <c r="EU234" s="368">
        <f t="shared" si="1790"/>
        <v>0</v>
      </c>
      <c r="EV234" s="368">
        <f t="shared" si="1791"/>
        <v>0</v>
      </c>
      <c r="EW234" s="368">
        <f t="shared" si="1792"/>
        <v>0</v>
      </c>
      <c r="EX234" s="368">
        <f t="shared" si="1793"/>
        <v>0</v>
      </c>
      <c r="EY234" s="368">
        <f t="shared" si="1794"/>
        <v>0</v>
      </c>
      <c r="EZ234" s="368">
        <f t="shared" si="1795"/>
        <v>0</v>
      </c>
      <c r="FA234" s="368">
        <f t="shared" si="1796"/>
        <v>0</v>
      </c>
      <c r="FB234" s="368">
        <f t="shared" si="1797"/>
        <v>0</v>
      </c>
      <c r="FC234" s="368">
        <f t="shared" si="1798"/>
        <v>0</v>
      </c>
      <c r="FD234" s="368">
        <f t="shared" si="1799"/>
        <v>0</v>
      </c>
      <c r="FE234" s="368">
        <f t="shared" si="1800"/>
        <v>0</v>
      </c>
      <c r="FF234" s="368">
        <f t="shared" si="1801"/>
        <v>0</v>
      </c>
      <c r="FG234" s="368">
        <f t="shared" si="1802"/>
        <v>0</v>
      </c>
      <c r="FH234" s="368">
        <f t="shared" si="1803"/>
        <v>0</v>
      </c>
      <c r="FI234" s="368">
        <f t="shared" si="1804"/>
        <v>0</v>
      </c>
      <c r="FJ234" s="368">
        <f t="shared" si="1805"/>
        <v>0</v>
      </c>
      <c r="FK234" s="368">
        <f t="shared" si="1806"/>
        <v>0</v>
      </c>
      <c r="FL234" s="368">
        <f t="shared" si="1807"/>
        <v>0</v>
      </c>
      <c r="FM234" s="368">
        <f t="shared" si="1808"/>
        <v>0</v>
      </c>
      <c r="FN234" s="368">
        <f t="shared" si="1809"/>
        <v>0</v>
      </c>
      <c r="FO234" s="368">
        <f t="shared" si="1810"/>
        <v>0</v>
      </c>
      <c r="FP234" s="368">
        <f t="shared" si="1811"/>
        <v>0</v>
      </c>
      <c r="FQ234" s="368">
        <f t="shared" si="1812"/>
        <v>0</v>
      </c>
      <c r="FR234" s="368">
        <f t="shared" si="1813"/>
        <v>0</v>
      </c>
      <c r="FS234" s="368">
        <f t="shared" si="1814"/>
        <v>0</v>
      </c>
      <c r="FT234" s="368">
        <f t="shared" si="1815"/>
        <v>0</v>
      </c>
      <c r="FU234" s="368"/>
      <c r="FV234" s="368"/>
      <c r="FW234" s="368"/>
      <c r="FX234" s="368"/>
      <c r="FY234" s="368">
        <f t="shared" si="1820"/>
        <v>0</v>
      </c>
      <c r="FZ234" s="368">
        <f t="shared" si="1821"/>
        <v>0</v>
      </c>
      <c r="GA234" s="368">
        <f t="shared" si="1822"/>
        <v>0</v>
      </c>
      <c r="GB234" s="368">
        <f t="shared" si="1823"/>
        <v>0</v>
      </c>
      <c r="GC234" s="368">
        <f t="shared" si="1824"/>
        <v>0</v>
      </c>
      <c r="GD234" s="368">
        <f t="shared" si="1825"/>
        <v>0</v>
      </c>
      <c r="GE234" s="368">
        <f t="shared" si="1826"/>
        <v>0</v>
      </c>
      <c r="GF234" s="368">
        <f t="shared" si="1827"/>
        <v>0</v>
      </c>
      <c r="GG234" s="368">
        <f t="shared" si="1828"/>
        <v>0</v>
      </c>
      <c r="GH234" s="368">
        <f t="shared" si="1829"/>
        <v>0</v>
      </c>
      <c r="GI234" s="368">
        <f t="shared" si="1830"/>
        <v>0</v>
      </c>
      <c r="GJ234" s="368">
        <f t="shared" si="1831"/>
        <v>0</v>
      </c>
      <c r="GK234" s="368">
        <f t="shared" si="1750"/>
        <v>0</v>
      </c>
      <c r="GL234" s="368"/>
      <c r="GM234" s="368">
        <f t="shared" si="1832"/>
        <v>0</v>
      </c>
    </row>
    <row r="235" spans="1:195" ht="21.75" customHeight="1">
      <c r="A235" s="337">
        <f>1+A231</f>
        <v>151</v>
      </c>
      <c r="B235" s="526" t="s">
        <v>527</v>
      </c>
      <c r="C235" s="337" t="str">
        <f t="shared" si="1833"/>
        <v>EPMCC-1</v>
      </c>
      <c r="D235" s="338" t="s">
        <v>680</v>
      </c>
      <c r="E235" s="500" t="s">
        <v>555</v>
      </c>
      <c r="F235" s="516" t="s">
        <v>29</v>
      </c>
      <c r="G235" s="337" t="s">
        <v>329</v>
      </c>
      <c r="H235" s="583">
        <v>1.45</v>
      </c>
      <c r="I235" s="337" t="s">
        <v>330</v>
      </c>
      <c r="J235" s="337" t="s">
        <v>357</v>
      </c>
      <c r="K235" s="349">
        <v>230</v>
      </c>
      <c r="L235" s="343">
        <v>0.85</v>
      </c>
      <c r="M235" s="350">
        <v>0.95</v>
      </c>
      <c r="N235" s="342">
        <f t="shared" si="1834"/>
        <v>7.8072418898909683</v>
      </c>
      <c r="O235" s="342">
        <f t="shared" si="1771"/>
        <v>0</v>
      </c>
      <c r="P235" s="343" t="str">
        <f t="shared" si="1835"/>
        <v>0.00</v>
      </c>
      <c r="Q235" s="350">
        <v>50</v>
      </c>
      <c r="R235" s="350">
        <v>0</v>
      </c>
      <c r="S235" s="350">
        <f t="shared" si="1836"/>
        <v>0</v>
      </c>
      <c r="T235" s="343" t="s">
        <v>131</v>
      </c>
      <c r="U235" s="350" t="s">
        <v>333</v>
      </c>
      <c r="V235" s="343">
        <v>16</v>
      </c>
      <c r="W235" s="343" t="str">
        <f t="shared" si="1837"/>
        <v>3C X 16</v>
      </c>
      <c r="X235" s="343" t="str">
        <f t="shared" si="1838"/>
        <v>3C X 16</v>
      </c>
      <c r="Y235" s="343" t="s">
        <v>358</v>
      </c>
      <c r="Z235" s="344">
        <f>IF(T235="AIR",VLOOKUP(W235,'Catalogue Aluminium'!$B$9:$G$93,2,FALSE),IF(T235="GROUND",VLOOKUP(W235,'Catalogue Aluminium'!$B$9:$G$93,3,FALSE),IF(T235="DUCT",VLOOKUP(W235,'Catalogue Aluminium'!$B$9:$G$93,4,FALSE),IF(T235="TRENCH",VLOOKUP(W235,'Catalogue Aluminium'!$B$9:$G$93,2,FALSE)))))</f>
        <v>70</v>
      </c>
      <c r="AA235" s="345">
        <f>VLOOKUP(W235,'Catalogue Aluminium'!$B$9:$G$93,5,FALSE)</f>
        <v>2.44</v>
      </c>
      <c r="AB235" s="345">
        <f>VLOOKUP(W235,'Catalogue Aluminium'!$B$9:$G$93,6,FALSE)</f>
        <v>8.1500000000000003E-2</v>
      </c>
      <c r="AC235" s="457">
        <f>24+6</f>
        <v>30</v>
      </c>
      <c r="AD235" s="401">
        <v>80</v>
      </c>
      <c r="AE235" s="401">
        <v>5</v>
      </c>
      <c r="AF235" s="401">
        <v>8</v>
      </c>
      <c r="AG235" s="401">
        <f t="shared" si="1840"/>
        <v>13</v>
      </c>
      <c r="AH235" s="347">
        <f t="shared" si="1850"/>
        <v>136</v>
      </c>
      <c r="AI235" s="344">
        <f>IF(T235="AIR",'Catalogue Aluminium'!$K$9,IF(T235="TRENCH",'Catalogue Aluminium'!$K$12,"NA"))</f>
        <v>0.89</v>
      </c>
      <c r="AJ235" s="342">
        <f>IF(T235="Air",(IF(U235="1C",'Catalogue Aluminium'!$L$9,'Catalogue Aluminium'!$M$9)),IF(T235="DUCT",(IF($U235="1C",'Catalogue Aluminium'!$L$10,'Catalogue Aluminium'!$M$10)),IF(T235="GROUND",(IF($U235="1C",'Catalogue Aluminium'!$L$11,'Catalogue Aluminium'!$M$11)),IF(T235="TRENCH",(IF($U235="1C",'Catalogue Aluminium'!$L$12,'Catalogue Aluminium'!$M$12))))))</f>
        <v>0.66</v>
      </c>
      <c r="AK235" s="344" t="str">
        <f>IF(T235="Air",'Catalogue Aluminium'!$N$9,IF(T235="GROUND",'Catalogue Aluminium'!$N$10,IF(T235="DUCT",'Catalogue Aluminium'!$N$11,IF(T235="TRENCH",'Catalogue Aluminium'!$N$12,"NA"))))</f>
        <v>NA</v>
      </c>
      <c r="AL235" s="344" t="str">
        <f>IF(T235="Air",(IF(U235="1C",'Catalogue Aluminium'!$O$9,'Catalogue Aluminium'!$P$9)),IF(T235="DUCT",(IF($U235="1C",'Catalogue Aluminium'!$O$10,'Catalogue Aluminium'!$P$10)),IF(T235="GROUND",(IF($U235="1C",'Catalogue Aluminium'!$O$11,'Catalogue Aluminium'!$P$11)),IF(T235="TRENCH",(IF($U235="1C",'Catalogue Aluminium'!$O$12,'Catalogue Aluminium'!$P$12))))))</f>
        <v>NA</v>
      </c>
      <c r="AM235" s="344" t="str">
        <f>IF(T235="AIR","NA",IF(T235="TRENCH","NA",IF(T235="DUCT",IF(U235="1C",VLOOKUP(V235,'Catalogue Aluminium'!$Q$9:$S$28,2,FALSE),VLOOKUP(V235,'Catalogue Aluminium'!$Q$9:$S$28,3)),IF(T235="GROUND",IF(U235="1C",VLOOKUP(V235,'Catalogue Aluminium'!$Q$9:$S$28,2,FALSE),VLOOKUP(V235,'Catalogue Aluminium'!$Q$9:$S$28,3))))))</f>
        <v>NA</v>
      </c>
      <c r="AN235" s="351">
        <f t="shared" si="1841"/>
        <v>0.58740000000000003</v>
      </c>
      <c r="AO235" s="350">
        <f t="shared" si="1842"/>
        <v>41.118000000000002</v>
      </c>
      <c r="AP235" s="349">
        <f t="shared" si="1303"/>
        <v>1</v>
      </c>
      <c r="AQ235" s="350" t="str">
        <f t="shared" si="1843"/>
        <v>YES</v>
      </c>
      <c r="AR235" s="351">
        <f t="shared" si="1844"/>
        <v>1.6926860094811131</v>
      </c>
      <c r="AS235" s="343" t="str">
        <f t="shared" si="1845"/>
        <v>YES</v>
      </c>
      <c r="AT235" s="351" t="str">
        <f t="shared" si="1846"/>
        <v>NA</v>
      </c>
      <c r="AU235" s="343" t="str">
        <f t="shared" si="1847"/>
        <v>NA</v>
      </c>
      <c r="AV235" s="354" t="str">
        <f t="shared" si="1848"/>
        <v>1R x 0.6/1kV x 3C x 16 Sqmm</v>
      </c>
      <c r="AW235" s="354" t="str">
        <f t="shared" si="1849"/>
        <v>1R x 0.6/1kV x 3C x 16 Sqmm</v>
      </c>
      <c r="AX235" s="343">
        <f>(IF(K235=400,(IF(U235="1C",(4*AH235*AP235),(AH235*AP235))),IF(K235=230,(AH235*AP235))))</f>
        <v>136</v>
      </c>
      <c r="AY235" s="355"/>
      <c r="AZ235" s="355">
        <f>IF(U235="1C",(3*AP235*2),(AP235*2))</f>
        <v>2</v>
      </c>
      <c r="BA235" s="356" t="str">
        <f t="shared" si="1851"/>
        <v>AB</v>
      </c>
      <c r="BB235" s="501">
        <f>VLOOKUP(W235,'Catalogue Aluminium'!$B$9:$H$93,7,FALSE)</f>
        <v>19</v>
      </c>
      <c r="BC235" s="328">
        <f>AP235*BB235</f>
        <v>19</v>
      </c>
      <c r="BE235" s="336"/>
      <c r="BF235" s="336">
        <v>1</v>
      </c>
      <c r="BG235" s="336">
        <v>1</v>
      </c>
      <c r="BH235" s="336"/>
      <c r="BI235" s="336"/>
      <c r="BJ235" s="336"/>
      <c r="BK235" s="336"/>
      <c r="BL235" s="336"/>
      <c r="BM235" s="336"/>
      <c r="BN235" s="336"/>
      <c r="BO235" s="336"/>
      <c r="BP235" s="336"/>
      <c r="BQ235" s="336"/>
      <c r="BR235" s="336"/>
      <c r="BS235" s="336"/>
      <c r="BT235" s="336"/>
      <c r="BU235" s="336"/>
      <c r="BV235" s="336"/>
      <c r="BW235" s="336"/>
      <c r="BX235" s="336"/>
      <c r="BY235" s="336"/>
      <c r="BZ235" s="336"/>
      <c r="CA235" s="336"/>
      <c r="CB235" s="336"/>
      <c r="CC235" s="336"/>
      <c r="CD235" s="336"/>
      <c r="CE235" s="336"/>
      <c r="CF235" s="336"/>
      <c r="CG235" s="336"/>
      <c r="CH235" s="336"/>
      <c r="CI235" s="336"/>
      <c r="CJ235" s="336"/>
      <c r="CK235" s="336"/>
      <c r="CL235" s="336"/>
      <c r="CM235" s="336"/>
      <c r="CN235" s="336"/>
      <c r="CO235" s="336"/>
      <c r="CP235" s="336"/>
      <c r="CQ235" s="336"/>
      <c r="CR235" s="336"/>
      <c r="CS235" s="336"/>
      <c r="CT235" s="336"/>
      <c r="CU235" s="336"/>
      <c r="CV235" s="336"/>
      <c r="CW235" s="336"/>
      <c r="CX235" s="336"/>
      <c r="CY235" s="336"/>
      <c r="CZ235" s="336"/>
      <c r="DA235" s="336"/>
      <c r="DB235" s="336"/>
      <c r="DC235" s="336"/>
      <c r="DD235" s="336"/>
      <c r="DE235" s="336"/>
      <c r="DF235" s="336"/>
      <c r="DG235" s="336"/>
      <c r="DH235" s="336"/>
      <c r="DI235" s="336"/>
      <c r="DJ235" s="336"/>
      <c r="DK235" s="336"/>
      <c r="DL235" s="336"/>
      <c r="DM235" s="336"/>
      <c r="DN235" s="336"/>
      <c r="DO235" s="336"/>
      <c r="DP235" s="336"/>
      <c r="DQ235" s="336"/>
      <c r="DR235" s="336"/>
      <c r="DS235" s="336"/>
      <c r="DT235" s="336"/>
      <c r="DU235" s="336"/>
      <c r="DW235" s="336">
        <f t="shared" si="1872"/>
        <v>0</v>
      </c>
      <c r="DX235" s="336">
        <f t="shared" si="1862"/>
        <v>19</v>
      </c>
      <c r="DY235" s="336">
        <f t="shared" si="1863"/>
        <v>19</v>
      </c>
      <c r="DZ235" s="336">
        <f t="shared" si="1864"/>
        <v>0</v>
      </c>
      <c r="EA235" s="336">
        <f t="shared" si="1865"/>
        <v>0</v>
      </c>
      <c r="EB235" s="336">
        <f t="shared" si="1866"/>
        <v>0</v>
      </c>
      <c r="EC235" s="336">
        <f t="shared" si="1867"/>
        <v>0</v>
      </c>
      <c r="ED235" s="336">
        <f t="shared" si="1774"/>
        <v>0</v>
      </c>
      <c r="EE235" s="336">
        <f t="shared" si="1775"/>
        <v>0</v>
      </c>
      <c r="EF235" s="336">
        <f t="shared" si="1776"/>
        <v>0</v>
      </c>
      <c r="EG235" s="336">
        <f t="shared" si="1777"/>
        <v>0</v>
      </c>
      <c r="EH235" s="336">
        <f t="shared" si="1778"/>
        <v>0</v>
      </c>
      <c r="EI235" s="336">
        <f t="shared" si="1779"/>
        <v>0</v>
      </c>
      <c r="EJ235" s="336">
        <f t="shared" si="1780"/>
        <v>0</v>
      </c>
      <c r="EK235" s="336">
        <f t="shared" si="1781"/>
        <v>0</v>
      </c>
      <c r="EL235" s="336">
        <f t="shared" si="1782"/>
        <v>0</v>
      </c>
      <c r="EM235" s="336">
        <f t="shared" si="1783"/>
        <v>0</v>
      </c>
      <c r="EN235" s="336">
        <f t="shared" si="1784"/>
        <v>0</v>
      </c>
      <c r="EO235" s="336">
        <f t="shared" si="1785"/>
        <v>0</v>
      </c>
      <c r="EP235" s="336">
        <f t="shared" si="1786"/>
        <v>0</v>
      </c>
      <c r="EQ235" s="336">
        <f t="shared" si="1787"/>
        <v>0</v>
      </c>
      <c r="ER235" s="336">
        <f t="shared" si="1788"/>
        <v>0</v>
      </c>
      <c r="ES235" s="336">
        <f t="shared" si="1789"/>
        <v>0</v>
      </c>
      <c r="ET235" s="336">
        <f t="shared" si="1789"/>
        <v>0</v>
      </c>
      <c r="EU235" s="336">
        <f t="shared" si="1790"/>
        <v>0</v>
      </c>
      <c r="EV235" s="336">
        <f t="shared" si="1791"/>
        <v>0</v>
      </c>
      <c r="EW235" s="336">
        <f t="shared" si="1792"/>
        <v>0</v>
      </c>
      <c r="EX235" s="336">
        <f t="shared" si="1793"/>
        <v>0</v>
      </c>
      <c r="EY235" s="336">
        <f t="shared" si="1794"/>
        <v>0</v>
      </c>
      <c r="EZ235" s="336">
        <f t="shared" si="1795"/>
        <v>0</v>
      </c>
      <c r="FA235" s="336">
        <f t="shared" si="1796"/>
        <v>0</v>
      </c>
      <c r="FB235" s="336">
        <f t="shared" si="1797"/>
        <v>0</v>
      </c>
      <c r="FC235" s="336">
        <f t="shared" si="1798"/>
        <v>0</v>
      </c>
      <c r="FD235" s="336">
        <f t="shared" si="1799"/>
        <v>0</v>
      </c>
      <c r="FE235" s="336">
        <f t="shared" si="1800"/>
        <v>0</v>
      </c>
      <c r="FF235" s="336">
        <f t="shared" si="1801"/>
        <v>0</v>
      </c>
      <c r="FG235" s="336">
        <f t="shared" si="1802"/>
        <v>0</v>
      </c>
      <c r="FH235" s="336">
        <f t="shared" si="1803"/>
        <v>0</v>
      </c>
      <c r="FI235" s="336">
        <f t="shared" si="1804"/>
        <v>0</v>
      </c>
      <c r="FJ235" s="336">
        <f t="shared" si="1805"/>
        <v>0</v>
      </c>
      <c r="FK235" s="336">
        <f t="shared" si="1806"/>
        <v>0</v>
      </c>
      <c r="FL235" s="336">
        <f t="shared" si="1807"/>
        <v>0</v>
      </c>
      <c r="FM235" s="336">
        <f t="shared" si="1808"/>
        <v>0</v>
      </c>
      <c r="FN235" s="336">
        <f t="shared" si="1809"/>
        <v>0</v>
      </c>
      <c r="FO235" s="336">
        <f t="shared" si="1810"/>
        <v>0</v>
      </c>
      <c r="FP235" s="336">
        <f t="shared" si="1811"/>
        <v>0</v>
      </c>
      <c r="FQ235" s="336">
        <f t="shared" si="1812"/>
        <v>0</v>
      </c>
      <c r="FR235" s="336">
        <f t="shared" si="1813"/>
        <v>0</v>
      </c>
      <c r="FS235" s="336">
        <f t="shared" si="1814"/>
        <v>0</v>
      </c>
      <c r="FT235" s="336">
        <f t="shared" si="1815"/>
        <v>0</v>
      </c>
      <c r="FU235" s="336">
        <f t="shared" ref="FU235" si="1884">IF(DC235=1,($BC235*DC235),0)</f>
        <v>0</v>
      </c>
      <c r="FV235" s="336">
        <f t="shared" ref="FV235" si="1885">IF(DD235=1,($BC235*DD235),0)</f>
        <v>0</v>
      </c>
      <c r="FW235" s="336">
        <f t="shared" ref="FW235" si="1886">IF(DE235=1,($BC235*DE235),0)</f>
        <v>0</v>
      </c>
      <c r="FX235" s="336">
        <f t="shared" ref="FX235" si="1887">IF(DF235=1,($BC235*DF235),0)</f>
        <v>0</v>
      </c>
      <c r="FY235" s="336">
        <f t="shared" si="1820"/>
        <v>0</v>
      </c>
      <c r="FZ235" s="336">
        <f t="shared" si="1821"/>
        <v>0</v>
      </c>
      <c r="GA235" s="336">
        <f t="shared" si="1822"/>
        <v>0</v>
      </c>
      <c r="GB235" s="336">
        <f t="shared" si="1823"/>
        <v>0</v>
      </c>
      <c r="GC235" s="336">
        <f t="shared" si="1824"/>
        <v>0</v>
      </c>
      <c r="GD235" s="336">
        <f t="shared" si="1825"/>
        <v>0</v>
      </c>
      <c r="GE235" s="336">
        <f t="shared" si="1826"/>
        <v>0</v>
      </c>
      <c r="GF235" s="336">
        <f t="shared" si="1827"/>
        <v>0</v>
      </c>
      <c r="GG235" s="336">
        <f t="shared" si="1828"/>
        <v>0</v>
      </c>
      <c r="GH235" s="336">
        <f t="shared" si="1829"/>
        <v>0</v>
      </c>
      <c r="GI235" s="336">
        <f t="shared" si="1830"/>
        <v>0</v>
      </c>
      <c r="GJ235" s="336">
        <f t="shared" si="1831"/>
        <v>0</v>
      </c>
      <c r="GK235" s="336">
        <f t="shared" si="1750"/>
        <v>0</v>
      </c>
      <c r="GL235" s="336">
        <f>IF(DT235=1,($BC235*DT235),0)</f>
        <v>0</v>
      </c>
      <c r="GM235" s="336">
        <f t="shared" si="1832"/>
        <v>0</v>
      </c>
    </row>
    <row r="236" spans="1:195" s="83" customFormat="1" ht="20.100000000000001" hidden="1" customHeight="1">
      <c r="A236" s="357" t="s">
        <v>334</v>
      </c>
      <c r="B236" s="562" t="s">
        <v>527</v>
      </c>
      <c r="C236" s="357" t="str">
        <f t="shared" si="1833"/>
        <v>EPMCC-1</v>
      </c>
      <c r="D236" s="395" t="s">
        <v>690</v>
      </c>
      <c r="E236" s="421" t="s">
        <v>345</v>
      </c>
      <c r="F236" s="357" t="s">
        <v>28</v>
      </c>
      <c r="G236" s="357" t="s">
        <v>329</v>
      </c>
      <c r="H236" s="352">
        <v>4</v>
      </c>
      <c r="I236" s="357" t="s">
        <v>330</v>
      </c>
      <c r="J236" s="357" t="s">
        <v>331</v>
      </c>
      <c r="K236" s="353">
        <v>400</v>
      </c>
      <c r="L236" s="360">
        <v>0.85</v>
      </c>
      <c r="M236" s="352">
        <v>0.95</v>
      </c>
      <c r="N236" s="359">
        <f t="shared" si="1834"/>
        <v>7.1500582729749258</v>
      </c>
      <c r="O236" s="359">
        <f t="shared" si="1771"/>
        <v>0</v>
      </c>
      <c r="P236" s="360" t="str">
        <f t="shared" si="1835"/>
        <v>0.00</v>
      </c>
      <c r="Q236" s="352">
        <v>50</v>
      </c>
      <c r="R236" s="352">
        <v>0</v>
      </c>
      <c r="S236" s="352">
        <f t="shared" si="1836"/>
        <v>0</v>
      </c>
      <c r="T236" s="360" t="s">
        <v>131</v>
      </c>
      <c r="U236" s="352" t="s">
        <v>522</v>
      </c>
      <c r="V236" s="360">
        <v>16</v>
      </c>
      <c r="W236" s="360" t="str">
        <f t="shared" si="1837"/>
        <v>4C X 16</v>
      </c>
      <c r="X236" s="360" t="str">
        <f t="shared" si="1838"/>
        <v>4C X 16</v>
      </c>
      <c r="Y236" s="360" t="s">
        <v>358</v>
      </c>
      <c r="Z236" s="361">
        <f>IF(T236="AIR",VLOOKUP(W236,'Catalogue Aluminium'!$B$9:$G$93,2,FALSE),IF(T236="GROUND",VLOOKUP(W236,'Catalogue Aluminium'!$B$9:$G$93,3,FALSE),IF(T236="DUCT",VLOOKUP(W236,'Catalogue Aluminium'!$B$9:$G$93,4,FALSE),IF(T236="TRENCH",VLOOKUP(W236,'Catalogue Aluminium'!$B$9:$G$93,2,FALSE)))))</f>
        <v>70</v>
      </c>
      <c r="AA236" s="362">
        <f>VLOOKUP(W236,'Catalogue Aluminium'!$B$9:$G$93,5,FALSE)</f>
        <v>2.44</v>
      </c>
      <c r="AB236" s="362">
        <f>VLOOKUP(W236,'Catalogue Aluminium'!$B$9:$G$93,6,FALSE)</f>
        <v>8.1500000000000003E-2</v>
      </c>
      <c r="AC236" s="564">
        <f>28+7</f>
        <v>35</v>
      </c>
      <c r="AD236" s="360">
        <f t="shared" si="1879"/>
        <v>255</v>
      </c>
      <c r="AE236" s="456">
        <f t="shared" si="1839"/>
        <v>38</v>
      </c>
      <c r="AF236" s="360">
        <v>8</v>
      </c>
      <c r="AG236" s="360">
        <f t="shared" si="1840"/>
        <v>34</v>
      </c>
      <c r="AH236" s="363"/>
      <c r="AI236" s="361">
        <f>IF(T236="AIR",'Catalogue Aluminium'!$K$9,IF(T236="TRENCH",'Catalogue Aluminium'!$K$12,"NA"))</f>
        <v>0.89</v>
      </c>
      <c r="AJ236" s="359">
        <f>IF(T236="Air",(IF(U236="1C",'Catalogue Aluminium'!$L$9,'Catalogue Aluminium'!$M$9)),IF(T236="DUCT",(IF($U236="1C",'Catalogue Aluminium'!$L$10,'Catalogue Aluminium'!$M$10)),IF(T236="GROUND",(IF($U236="1C",'Catalogue Aluminium'!$L$11,'Catalogue Aluminium'!$M$11)),IF(T236="TRENCH",(IF($U236="1C",'Catalogue Aluminium'!$L$12,'Catalogue Aluminium'!$M$12))))))</f>
        <v>0.66</v>
      </c>
      <c r="AK236" s="361" t="str">
        <f>IF(T236="Air",'Catalogue Aluminium'!$N$9,IF(T236="GROUND",'Catalogue Aluminium'!$N$10,IF(T236="DUCT",'Catalogue Aluminium'!$N$11,IF(T236="TRENCH",'Catalogue Aluminium'!$N$12,"NA"))))</f>
        <v>NA</v>
      </c>
      <c r="AL236" s="361" t="str">
        <f>IF(T236="Air",(IF(U236="1C",'Catalogue Aluminium'!$O$9,'Catalogue Aluminium'!$P$9)),IF(T236="DUCT",(IF($U236="1C",'Catalogue Aluminium'!$O$10,'Catalogue Aluminium'!$P$10)),IF(T236="GROUND",(IF($U236="1C",'Catalogue Aluminium'!$O$11,'Catalogue Aluminium'!$P$11)),IF(T236="TRENCH",(IF($U236="1C",'Catalogue Aluminium'!$O$12,'Catalogue Aluminium'!$P$12))))))</f>
        <v>NA</v>
      </c>
      <c r="AM236" s="361" t="str">
        <f>IF(T236="AIR","NA",IF(T236="TRENCH","NA",IF(T236="DUCT",IF(U236="1C",VLOOKUP(V236,'Catalogue Aluminium'!$Q$9:$S$28,2,FALSE),VLOOKUP(V236,'Catalogue Aluminium'!$Q$9:$S$28,3)),IF(T236="GROUND",IF(U236="1C",VLOOKUP(V236,'Catalogue Aluminium'!$Q$9:$S$28,2,FALSE),VLOOKUP(V236,'Catalogue Aluminium'!$Q$9:$S$28,3))))))</f>
        <v>NA</v>
      </c>
      <c r="AN236" s="365">
        <f t="shared" si="1841"/>
        <v>0.58740000000000003</v>
      </c>
      <c r="AO236" s="352">
        <f t="shared" si="1842"/>
        <v>41.118000000000002</v>
      </c>
      <c r="AP236" s="353">
        <f t="shared" si="1303"/>
        <v>1</v>
      </c>
      <c r="AQ236" s="352" t="str">
        <f t="shared" si="1843"/>
        <v>YES</v>
      </c>
      <c r="AR236" s="365">
        <f t="shared" si="1844"/>
        <v>0</v>
      </c>
      <c r="AS236" s="496" t="str">
        <f t="shared" si="1845"/>
        <v>YES</v>
      </c>
      <c r="AT236" s="497" t="str">
        <f t="shared" si="1846"/>
        <v>NA</v>
      </c>
      <c r="AU236" s="360" t="str">
        <f t="shared" si="1847"/>
        <v>NA</v>
      </c>
      <c r="AV236" s="366" t="str">
        <f t="shared" si="1848"/>
        <v>1R x 0.6/1kV x 4C x 16 Sqmm</v>
      </c>
      <c r="AW236" s="366" t="str">
        <f t="shared" si="1849"/>
        <v>1R x 0.6/1kV x 4C x 16 Sqmm</v>
      </c>
      <c r="AX236" s="360"/>
      <c r="AY236" s="367"/>
      <c r="AZ236" s="367"/>
      <c r="BA236" s="520" t="str">
        <f t="shared" si="1851"/>
        <v/>
      </c>
      <c r="BB236" s="498"/>
      <c r="BC236" s="426"/>
      <c r="BE236" s="368"/>
      <c r="BF236" s="368"/>
      <c r="BG236" s="368"/>
      <c r="BH236" s="368"/>
      <c r="BI236" s="368"/>
      <c r="BJ236" s="368"/>
      <c r="BK236" s="368"/>
      <c r="BL236" s="368"/>
      <c r="BM236" s="368"/>
      <c r="BN236" s="368"/>
      <c r="BO236" s="368"/>
      <c r="BP236" s="368"/>
      <c r="BQ236" s="368"/>
      <c r="BR236" s="368"/>
      <c r="BS236" s="368"/>
      <c r="BT236" s="368"/>
      <c r="BU236" s="368"/>
      <c r="BV236" s="368"/>
      <c r="BW236" s="368"/>
      <c r="BX236" s="368"/>
      <c r="BY236" s="368"/>
      <c r="BZ236" s="368"/>
      <c r="CA236" s="368"/>
      <c r="CB236" s="368"/>
      <c r="CC236" s="368"/>
      <c r="CD236" s="368"/>
      <c r="CE236" s="368"/>
      <c r="CF236" s="368"/>
      <c r="CG236" s="368"/>
      <c r="CH236" s="368"/>
      <c r="CI236" s="368"/>
      <c r="CJ236" s="368"/>
      <c r="CK236" s="368"/>
      <c r="CL236" s="368"/>
      <c r="CM236" s="368"/>
      <c r="CN236" s="368"/>
      <c r="CO236" s="368"/>
      <c r="CP236" s="368"/>
      <c r="CQ236" s="368"/>
      <c r="CR236" s="368"/>
      <c r="CS236" s="368"/>
      <c r="CT236" s="368"/>
      <c r="CU236" s="368"/>
      <c r="CV236" s="368"/>
      <c r="CW236" s="368"/>
      <c r="CX236" s="368"/>
      <c r="CY236" s="368"/>
      <c r="CZ236" s="368"/>
      <c r="DA236" s="368"/>
      <c r="DB236" s="368"/>
      <c r="DC236" s="368"/>
      <c r="DD236" s="368"/>
      <c r="DE236" s="368"/>
      <c r="DF236" s="368"/>
      <c r="DG236" s="368"/>
      <c r="DH236" s="368"/>
      <c r="DI236" s="368"/>
      <c r="DJ236" s="368"/>
      <c r="DK236" s="368"/>
      <c r="DL236" s="368"/>
      <c r="DM236" s="368"/>
      <c r="DN236" s="368"/>
      <c r="DO236" s="368"/>
      <c r="DP236" s="368"/>
      <c r="DQ236" s="368"/>
      <c r="DR236" s="368"/>
      <c r="DS236" s="368"/>
      <c r="DT236" s="368"/>
      <c r="DU236" s="368"/>
      <c r="DW236" s="368">
        <f t="shared" si="1872"/>
        <v>0</v>
      </c>
      <c r="DX236" s="368">
        <f t="shared" si="1862"/>
        <v>0</v>
      </c>
      <c r="DY236" s="368">
        <f t="shared" si="1863"/>
        <v>0</v>
      </c>
      <c r="DZ236" s="368">
        <f t="shared" si="1864"/>
        <v>0</v>
      </c>
      <c r="EA236" s="368">
        <f t="shared" si="1865"/>
        <v>0</v>
      </c>
      <c r="EB236" s="368">
        <f t="shared" si="1866"/>
        <v>0</v>
      </c>
      <c r="EC236" s="368">
        <f t="shared" si="1867"/>
        <v>0</v>
      </c>
      <c r="ED236" s="368">
        <f t="shared" si="1774"/>
        <v>0</v>
      </c>
      <c r="EE236" s="368">
        <f t="shared" si="1775"/>
        <v>0</v>
      </c>
      <c r="EF236" s="368">
        <f t="shared" si="1776"/>
        <v>0</v>
      </c>
      <c r="EG236" s="368">
        <f t="shared" si="1777"/>
        <v>0</v>
      </c>
      <c r="EH236" s="368">
        <f t="shared" si="1778"/>
        <v>0</v>
      </c>
      <c r="EI236" s="368">
        <f t="shared" si="1779"/>
        <v>0</v>
      </c>
      <c r="EJ236" s="368">
        <f t="shared" si="1780"/>
        <v>0</v>
      </c>
      <c r="EK236" s="368">
        <f t="shared" si="1781"/>
        <v>0</v>
      </c>
      <c r="EL236" s="368">
        <f t="shared" si="1782"/>
        <v>0</v>
      </c>
      <c r="EM236" s="368">
        <f t="shared" si="1783"/>
        <v>0</v>
      </c>
      <c r="EN236" s="368">
        <f t="shared" si="1784"/>
        <v>0</v>
      </c>
      <c r="EO236" s="368">
        <f t="shared" si="1785"/>
        <v>0</v>
      </c>
      <c r="EP236" s="368">
        <f t="shared" si="1786"/>
        <v>0</v>
      </c>
      <c r="EQ236" s="368">
        <f t="shared" si="1787"/>
        <v>0</v>
      </c>
      <c r="ER236" s="368">
        <f t="shared" si="1788"/>
        <v>0</v>
      </c>
      <c r="ES236" s="368">
        <f t="shared" si="1789"/>
        <v>0</v>
      </c>
      <c r="ET236" s="368">
        <f t="shared" si="1789"/>
        <v>0</v>
      </c>
      <c r="EU236" s="368">
        <f t="shared" si="1790"/>
        <v>0</v>
      </c>
      <c r="EV236" s="368">
        <f t="shared" si="1791"/>
        <v>0</v>
      </c>
      <c r="EW236" s="368">
        <f t="shared" si="1792"/>
        <v>0</v>
      </c>
      <c r="EX236" s="368">
        <f t="shared" si="1793"/>
        <v>0</v>
      </c>
      <c r="EY236" s="368">
        <f t="shared" si="1794"/>
        <v>0</v>
      </c>
      <c r="EZ236" s="368">
        <f t="shared" si="1795"/>
        <v>0</v>
      </c>
      <c r="FA236" s="368">
        <f t="shared" si="1796"/>
        <v>0</v>
      </c>
      <c r="FB236" s="368">
        <f t="shared" si="1797"/>
        <v>0</v>
      </c>
      <c r="FC236" s="368">
        <f t="shared" si="1798"/>
        <v>0</v>
      </c>
      <c r="FD236" s="368">
        <f t="shared" si="1799"/>
        <v>0</v>
      </c>
      <c r="FE236" s="368">
        <f t="shared" si="1800"/>
        <v>0</v>
      </c>
      <c r="FF236" s="368">
        <f t="shared" si="1801"/>
        <v>0</v>
      </c>
      <c r="FG236" s="368">
        <f t="shared" si="1802"/>
        <v>0</v>
      </c>
      <c r="FH236" s="368">
        <f t="shared" si="1803"/>
        <v>0</v>
      </c>
      <c r="FI236" s="368">
        <f t="shared" si="1804"/>
        <v>0</v>
      </c>
      <c r="FJ236" s="368">
        <f t="shared" si="1805"/>
        <v>0</v>
      </c>
      <c r="FK236" s="368">
        <f t="shared" si="1806"/>
        <v>0</v>
      </c>
      <c r="FL236" s="368">
        <f t="shared" si="1807"/>
        <v>0</v>
      </c>
      <c r="FM236" s="368">
        <f t="shared" si="1808"/>
        <v>0</v>
      </c>
      <c r="FN236" s="368">
        <f t="shared" si="1809"/>
        <v>0</v>
      </c>
      <c r="FO236" s="368">
        <f t="shared" si="1810"/>
        <v>0</v>
      </c>
      <c r="FP236" s="368">
        <f t="shared" si="1811"/>
        <v>0</v>
      </c>
      <c r="FQ236" s="368">
        <f t="shared" si="1812"/>
        <v>0</v>
      </c>
      <c r="FR236" s="368">
        <f t="shared" si="1813"/>
        <v>0</v>
      </c>
      <c r="FS236" s="368">
        <f t="shared" si="1814"/>
        <v>0</v>
      </c>
      <c r="FT236" s="368">
        <f t="shared" si="1815"/>
        <v>0</v>
      </c>
      <c r="FU236" s="368"/>
      <c r="FV236" s="368"/>
      <c r="FW236" s="368"/>
      <c r="FX236" s="368"/>
      <c r="FY236" s="368">
        <f t="shared" si="1820"/>
        <v>0</v>
      </c>
      <c r="FZ236" s="368">
        <f t="shared" si="1821"/>
        <v>0</v>
      </c>
      <c r="GA236" s="368">
        <f t="shared" si="1822"/>
        <v>0</v>
      </c>
      <c r="GB236" s="368">
        <f t="shared" si="1823"/>
        <v>0</v>
      </c>
      <c r="GC236" s="368">
        <f t="shared" si="1824"/>
        <v>0</v>
      </c>
      <c r="GD236" s="368">
        <f t="shared" si="1825"/>
        <v>0</v>
      </c>
      <c r="GE236" s="368">
        <f t="shared" si="1826"/>
        <v>0</v>
      </c>
      <c r="GF236" s="368">
        <f t="shared" si="1827"/>
        <v>0</v>
      </c>
      <c r="GG236" s="368">
        <f t="shared" si="1828"/>
        <v>0</v>
      </c>
      <c r="GH236" s="368">
        <f t="shared" si="1829"/>
        <v>0</v>
      </c>
      <c r="GI236" s="368">
        <f t="shared" si="1830"/>
        <v>0</v>
      </c>
      <c r="GJ236" s="368">
        <f t="shared" si="1831"/>
        <v>0</v>
      </c>
      <c r="GK236" s="368">
        <f t="shared" si="1750"/>
        <v>0</v>
      </c>
      <c r="GL236" s="368"/>
      <c r="GM236" s="368">
        <f t="shared" si="1832"/>
        <v>0</v>
      </c>
    </row>
    <row r="237" spans="1:195" s="83" customFormat="1" ht="20.100000000000001" hidden="1" customHeight="1">
      <c r="A237" s="357" t="s">
        <v>334</v>
      </c>
      <c r="B237" s="562" t="s">
        <v>527</v>
      </c>
      <c r="C237" s="357" t="str">
        <f t="shared" si="1833"/>
        <v>EPMCC-1</v>
      </c>
      <c r="D237" s="395" t="s">
        <v>691</v>
      </c>
      <c r="E237" s="421" t="s">
        <v>345</v>
      </c>
      <c r="F237" s="357" t="s">
        <v>29</v>
      </c>
      <c r="G237" s="357" t="s">
        <v>329</v>
      </c>
      <c r="H237" s="352">
        <v>2</v>
      </c>
      <c r="I237" s="357" t="s">
        <v>330</v>
      </c>
      <c r="J237" s="357" t="s">
        <v>331</v>
      </c>
      <c r="K237" s="353">
        <v>400</v>
      </c>
      <c r="L237" s="360">
        <v>0.85</v>
      </c>
      <c r="M237" s="352">
        <v>0.95</v>
      </c>
      <c r="N237" s="359">
        <f t="shared" si="1834"/>
        <v>3.5750291364874629</v>
      </c>
      <c r="O237" s="359">
        <f t="shared" si="1771"/>
        <v>0</v>
      </c>
      <c r="P237" s="360" t="str">
        <f t="shared" si="1835"/>
        <v>0.00</v>
      </c>
      <c r="Q237" s="352">
        <v>50</v>
      </c>
      <c r="R237" s="352">
        <v>0</v>
      </c>
      <c r="S237" s="352">
        <f t="shared" si="1836"/>
        <v>0</v>
      </c>
      <c r="T237" s="360" t="s">
        <v>131</v>
      </c>
      <c r="U237" s="352" t="s">
        <v>522</v>
      </c>
      <c r="V237" s="524">
        <v>6</v>
      </c>
      <c r="W237" s="360" t="str">
        <f t="shared" si="1837"/>
        <v>4C X 6</v>
      </c>
      <c r="X237" s="360" t="str">
        <f t="shared" si="1838"/>
        <v>4C X 6</v>
      </c>
      <c r="Y237" s="360" t="s">
        <v>358</v>
      </c>
      <c r="Z237" s="361">
        <f>IF(T237="AIR",VLOOKUP(W237,'Catalogue Aluminium'!$B$9:$G$93,2,FALSE),IF(T237="GROUND",VLOOKUP(W237,'Catalogue Aluminium'!$B$9:$G$93,3,FALSE),IF(T237="DUCT",VLOOKUP(W237,'Catalogue Aluminium'!$B$9:$G$93,4,FALSE),IF(T237="TRENCH",VLOOKUP(W237,'Catalogue Aluminium'!$B$9:$G$93,2,FALSE)))))</f>
        <v>51</v>
      </c>
      <c r="AA237" s="362">
        <f>VLOOKUP(W237,'Catalogue Aluminium'!$B$9:$G$93,5,FALSE)</f>
        <v>3.94</v>
      </c>
      <c r="AB237" s="362">
        <f>VLOOKUP(W237,'Catalogue Aluminium'!$B$9:$G$93,6,FALSE)</f>
        <v>9.0200000000000002E-2</v>
      </c>
      <c r="AC237" s="564">
        <f>22+7</f>
        <v>29</v>
      </c>
      <c r="AD237" s="360">
        <f t="shared" si="1879"/>
        <v>255</v>
      </c>
      <c r="AE237" s="456">
        <f t="shared" si="1839"/>
        <v>38</v>
      </c>
      <c r="AF237" s="360">
        <v>8</v>
      </c>
      <c r="AG237" s="360">
        <f t="shared" si="1840"/>
        <v>33</v>
      </c>
      <c r="AH237" s="363"/>
      <c r="AI237" s="361">
        <f>IF(T237="AIR",'Catalogue Aluminium'!$K$9,IF(T237="TRENCH",'Catalogue Aluminium'!$K$12,"NA"))</f>
        <v>0.89</v>
      </c>
      <c r="AJ237" s="359">
        <f>IF(T237="Air",(IF(U237="1C",'Catalogue Aluminium'!$L$9,'Catalogue Aluminium'!$M$9)),IF(T237="DUCT",(IF($U237="1C",'Catalogue Aluminium'!$L$10,'Catalogue Aluminium'!$M$10)),IF(T237="GROUND",(IF($U237="1C",'Catalogue Aluminium'!$L$11,'Catalogue Aluminium'!$M$11)),IF(T237="TRENCH",(IF($U237="1C",'Catalogue Aluminium'!$L$12,'Catalogue Aluminium'!$M$12))))))</f>
        <v>0.66</v>
      </c>
      <c r="AK237" s="361" t="str">
        <f>IF(T237="Air",'Catalogue Aluminium'!$N$9,IF(T237="GROUND",'Catalogue Aluminium'!$N$10,IF(T237="DUCT",'Catalogue Aluminium'!$N$11,IF(T237="TRENCH",'Catalogue Aluminium'!$N$12,"NA"))))</f>
        <v>NA</v>
      </c>
      <c r="AL237" s="361" t="str">
        <f>IF(T237="Air",(IF(U237="1C",'Catalogue Aluminium'!$O$9,'Catalogue Aluminium'!$P$9)),IF(T237="DUCT",(IF($U237="1C",'Catalogue Aluminium'!$O$10,'Catalogue Aluminium'!$P$10)),IF(T237="GROUND",(IF($U237="1C",'Catalogue Aluminium'!$O$11,'Catalogue Aluminium'!$P$11)),IF(T237="TRENCH",(IF($U237="1C",'Catalogue Aluminium'!$O$12,'Catalogue Aluminium'!$P$12))))))</f>
        <v>NA</v>
      </c>
      <c r="AM237" s="361" t="str">
        <f>IF(T237="AIR","NA",IF(T237="TRENCH","NA",IF(T237="DUCT",IF(U237="1C",VLOOKUP(V237,'Catalogue Aluminium'!$Q$9:$S$28,2,FALSE),VLOOKUP(V237,'Catalogue Aluminium'!$Q$9:$S$28,3)),IF(T237="GROUND",IF(U237="1C",VLOOKUP(V237,'Catalogue Aluminium'!$Q$9:$S$28,2,FALSE),VLOOKUP(V237,'Catalogue Aluminium'!$Q$9:$S$28,3))))))</f>
        <v>NA</v>
      </c>
      <c r="AN237" s="365">
        <f t="shared" si="1841"/>
        <v>0.58740000000000003</v>
      </c>
      <c r="AO237" s="352">
        <f t="shared" si="1842"/>
        <v>29.957400000000003</v>
      </c>
      <c r="AP237" s="353">
        <f t="shared" ref="AP237:AP289" si="1888">CEILING(((N237)/AO237),1)</f>
        <v>1</v>
      </c>
      <c r="AQ237" s="352" t="str">
        <f t="shared" si="1843"/>
        <v>YES</v>
      </c>
      <c r="AR237" s="365">
        <f t="shared" si="1844"/>
        <v>0</v>
      </c>
      <c r="AS237" s="496" t="str">
        <f t="shared" si="1845"/>
        <v>YES</v>
      </c>
      <c r="AT237" s="497" t="str">
        <f t="shared" si="1846"/>
        <v>NA</v>
      </c>
      <c r="AU237" s="360" t="str">
        <f t="shared" si="1847"/>
        <v>NA</v>
      </c>
      <c r="AV237" s="366" t="str">
        <f t="shared" si="1848"/>
        <v>1R x 0.6/1kV x 4C x 6 Sqmm</v>
      </c>
      <c r="AW237" s="366" t="str">
        <f t="shared" si="1849"/>
        <v>1R x 0.6/1kV x 4C x 6 Sqmm</v>
      </c>
      <c r="AX237" s="360"/>
      <c r="AY237" s="367"/>
      <c r="AZ237" s="367"/>
      <c r="BA237" s="520" t="str">
        <f t="shared" si="1851"/>
        <v/>
      </c>
      <c r="BB237" s="498"/>
      <c r="BC237" s="426"/>
      <c r="BE237" s="368"/>
      <c r="BF237" s="368"/>
      <c r="BG237" s="368"/>
      <c r="BH237" s="368"/>
      <c r="BI237" s="368"/>
      <c r="BJ237" s="368"/>
      <c r="BK237" s="368"/>
      <c r="BL237" s="368"/>
      <c r="BM237" s="368"/>
      <c r="BN237" s="368"/>
      <c r="BO237" s="368"/>
      <c r="BP237" s="368"/>
      <c r="BQ237" s="368"/>
      <c r="BR237" s="368"/>
      <c r="BS237" s="368"/>
      <c r="BT237" s="368"/>
      <c r="BU237" s="368"/>
      <c r="BV237" s="368"/>
      <c r="BW237" s="368"/>
      <c r="BX237" s="368"/>
      <c r="BY237" s="368"/>
      <c r="BZ237" s="368"/>
      <c r="CA237" s="368"/>
      <c r="CB237" s="368"/>
      <c r="CC237" s="368"/>
      <c r="CD237" s="368"/>
      <c r="CE237" s="368"/>
      <c r="CF237" s="368"/>
      <c r="CG237" s="368"/>
      <c r="CH237" s="368"/>
      <c r="CI237" s="368"/>
      <c r="CJ237" s="368"/>
      <c r="CK237" s="368"/>
      <c r="CL237" s="368"/>
      <c r="CM237" s="368"/>
      <c r="CN237" s="368"/>
      <c r="CO237" s="368"/>
      <c r="CP237" s="368"/>
      <c r="CQ237" s="368"/>
      <c r="CR237" s="368"/>
      <c r="CS237" s="368"/>
      <c r="CT237" s="368"/>
      <c r="CU237" s="368"/>
      <c r="CV237" s="368"/>
      <c r="CW237" s="368"/>
      <c r="CX237" s="368"/>
      <c r="CY237" s="368"/>
      <c r="CZ237" s="368"/>
      <c r="DA237" s="368"/>
      <c r="DB237" s="368"/>
      <c r="DC237" s="368"/>
      <c r="DD237" s="368"/>
      <c r="DE237" s="368"/>
      <c r="DF237" s="368"/>
      <c r="DG237" s="368"/>
      <c r="DH237" s="368"/>
      <c r="DI237" s="368"/>
      <c r="DJ237" s="368"/>
      <c r="DK237" s="368"/>
      <c r="DL237" s="368"/>
      <c r="DM237" s="368"/>
      <c r="DN237" s="368"/>
      <c r="DO237" s="368"/>
      <c r="DP237" s="368"/>
      <c r="DQ237" s="368"/>
      <c r="DR237" s="368"/>
      <c r="DS237" s="368"/>
      <c r="DT237" s="368"/>
      <c r="DU237" s="368"/>
      <c r="DW237" s="368">
        <f t="shared" si="1872"/>
        <v>0</v>
      </c>
      <c r="DX237" s="368">
        <f t="shared" si="1862"/>
        <v>0</v>
      </c>
      <c r="DY237" s="368">
        <f t="shared" si="1863"/>
        <v>0</v>
      </c>
      <c r="DZ237" s="368">
        <f t="shared" si="1864"/>
        <v>0</v>
      </c>
      <c r="EA237" s="368">
        <f t="shared" si="1865"/>
        <v>0</v>
      </c>
      <c r="EB237" s="368">
        <f t="shared" si="1866"/>
        <v>0</v>
      </c>
      <c r="EC237" s="368">
        <f t="shared" si="1867"/>
        <v>0</v>
      </c>
      <c r="ED237" s="368">
        <f t="shared" si="1774"/>
        <v>0</v>
      </c>
      <c r="EE237" s="368">
        <f t="shared" si="1775"/>
        <v>0</v>
      </c>
      <c r="EF237" s="368">
        <f t="shared" si="1776"/>
        <v>0</v>
      </c>
      <c r="EG237" s="368">
        <f t="shared" si="1777"/>
        <v>0</v>
      </c>
      <c r="EH237" s="368">
        <f t="shared" si="1778"/>
        <v>0</v>
      </c>
      <c r="EI237" s="368">
        <f t="shared" si="1779"/>
        <v>0</v>
      </c>
      <c r="EJ237" s="368">
        <f t="shared" si="1780"/>
        <v>0</v>
      </c>
      <c r="EK237" s="368">
        <f t="shared" si="1781"/>
        <v>0</v>
      </c>
      <c r="EL237" s="368">
        <f t="shared" si="1782"/>
        <v>0</v>
      </c>
      <c r="EM237" s="368">
        <f t="shared" si="1783"/>
        <v>0</v>
      </c>
      <c r="EN237" s="368">
        <f t="shared" si="1784"/>
        <v>0</v>
      </c>
      <c r="EO237" s="368">
        <f t="shared" si="1785"/>
        <v>0</v>
      </c>
      <c r="EP237" s="368">
        <f t="shared" si="1786"/>
        <v>0</v>
      </c>
      <c r="EQ237" s="368">
        <f t="shared" si="1787"/>
        <v>0</v>
      </c>
      <c r="ER237" s="368">
        <f t="shared" si="1788"/>
        <v>0</v>
      </c>
      <c r="ES237" s="368">
        <f t="shared" si="1789"/>
        <v>0</v>
      </c>
      <c r="ET237" s="368">
        <f t="shared" si="1789"/>
        <v>0</v>
      </c>
      <c r="EU237" s="368">
        <f t="shared" si="1790"/>
        <v>0</v>
      </c>
      <c r="EV237" s="368">
        <f t="shared" si="1791"/>
        <v>0</v>
      </c>
      <c r="EW237" s="368">
        <f t="shared" si="1792"/>
        <v>0</v>
      </c>
      <c r="EX237" s="368">
        <f t="shared" si="1793"/>
        <v>0</v>
      </c>
      <c r="EY237" s="368">
        <f t="shared" si="1794"/>
        <v>0</v>
      </c>
      <c r="EZ237" s="368">
        <f t="shared" si="1795"/>
        <v>0</v>
      </c>
      <c r="FA237" s="368">
        <f t="shared" si="1796"/>
        <v>0</v>
      </c>
      <c r="FB237" s="368">
        <f t="shared" si="1797"/>
        <v>0</v>
      </c>
      <c r="FC237" s="368">
        <f t="shared" si="1798"/>
        <v>0</v>
      </c>
      <c r="FD237" s="368">
        <f t="shared" si="1799"/>
        <v>0</v>
      </c>
      <c r="FE237" s="368">
        <f t="shared" si="1800"/>
        <v>0</v>
      </c>
      <c r="FF237" s="368">
        <f t="shared" si="1801"/>
        <v>0</v>
      </c>
      <c r="FG237" s="368">
        <f t="shared" si="1802"/>
        <v>0</v>
      </c>
      <c r="FH237" s="368">
        <f t="shared" si="1803"/>
        <v>0</v>
      </c>
      <c r="FI237" s="368">
        <f t="shared" si="1804"/>
        <v>0</v>
      </c>
      <c r="FJ237" s="368">
        <f t="shared" si="1805"/>
        <v>0</v>
      </c>
      <c r="FK237" s="368">
        <f t="shared" si="1806"/>
        <v>0</v>
      </c>
      <c r="FL237" s="368">
        <f t="shared" si="1807"/>
        <v>0</v>
      </c>
      <c r="FM237" s="368">
        <f t="shared" si="1808"/>
        <v>0</v>
      </c>
      <c r="FN237" s="368">
        <f t="shared" si="1809"/>
        <v>0</v>
      </c>
      <c r="FO237" s="368">
        <f t="shared" si="1810"/>
        <v>0</v>
      </c>
      <c r="FP237" s="368">
        <f t="shared" si="1811"/>
        <v>0</v>
      </c>
      <c r="FQ237" s="368">
        <f t="shared" si="1812"/>
        <v>0</v>
      </c>
      <c r="FR237" s="368">
        <f t="shared" si="1813"/>
        <v>0</v>
      </c>
      <c r="FS237" s="368">
        <f t="shared" si="1814"/>
        <v>0</v>
      </c>
      <c r="FT237" s="368">
        <f t="shared" si="1815"/>
        <v>0</v>
      </c>
      <c r="FU237" s="368"/>
      <c r="FV237" s="368"/>
      <c r="FW237" s="368"/>
      <c r="FX237" s="368"/>
      <c r="FY237" s="368">
        <f t="shared" si="1820"/>
        <v>0</v>
      </c>
      <c r="FZ237" s="368">
        <f t="shared" si="1821"/>
        <v>0</v>
      </c>
      <c r="GA237" s="368">
        <f t="shared" si="1822"/>
        <v>0</v>
      </c>
      <c r="GB237" s="368">
        <f t="shared" si="1823"/>
        <v>0</v>
      </c>
      <c r="GC237" s="368">
        <f t="shared" si="1824"/>
        <v>0</v>
      </c>
      <c r="GD237" s="368">
        <f t="shared" si="1825"/>
        <v>0</v>
      </c>
      <c r="GE237" s="368">
        <f t="shared" si="1826"/>
        <v>0</v>
      </c>
      <c r="GF237" s="368">
        <f t="shared" si="1827"/>
        <v>0</v>
      </c>
      <c r="GG237" s="368">
        <f t="shared" si="1828"/>
        <v>0</v>
      </c>
      <c r="GH237" s="368">
        <f t="shared" si="1829"/>
        <v>0</v>
      </c>
      <c r="GI237" s="368">
        <f t="shared" si="1830"/>
        <v>0</v>
      </c>
      <c r="GJ237" s="368">
        <f t="shared" si="1831"/>
        <v>0</v>
      </c>
      <c r="GK237" s="368">
        <f t="shared" si="1750"/>
        <v>0</v>
      </c>
      <c r="GL237" s="368"/>
      <c r="GM237" s="368">
        <f t="shared" si="1832"/>
        <v>0</v>
      </c>
    </row>
    <row r="238" spans="1:195" ht="20.100000000000001" customHeight="1">
      <c r="A238" s="337">
        <f>1+A235</f>
        <v>152</v>
      </c>
      <c r="B238" s="897" t="s">
        <v>1692</v>
      </c>
      <c r="C238" s="337" t="s">
        <v>636</v>
      </c>
      <c r="D238" s="372" t="s">
        <v>692</v>
      </c>
      <c r="E238" s="453" t="s">
        <v>345</v>
      </c>
      <c r="F238" s="337" t="s">
        <v>28</v>
      </c>
      <c r="G238" s="337" t="s">
        <v>329</v>
      </c>
      <c r="H238" s="583">
        <v>22</v>
      </c>
      <c r="I238" s="337" t="s">
        <v>330</v>
      </c>
      <c r="J238" s="337" t="s">
        <v>331</v>
      </c>
      <c r="K238" s="349">
        <v>400</v>
      </c>
      <c r="L238" s="343">
        <v>0.85</v>
      </c>
      <c r="M238" s="350">
        <v>0.95</v>
      </c>
      <c r="N238" s="342">
        <f t="shared" si="1834"/>
        <v>39.325320501362093</v>
      </c>
      <c r="O238" s="342">
        <f t="shared" si="1771"/>
        <v>0</v>
      </c>
      <c r="P238" s="343" t="str">
        <f t="shared" si="1835"/>
        <v>0.00</v>
      </c>
      <c r="Q238" s="350">
        <v>65</v>
      </c>
      <c r="R238" s="350">
        <v>0</v>
      </c>
      <c r="S238" s="350">
        <f t="shared" si="1836"/>
        <v>0</v>
      </c>
      <c r="T238" s="343" t="s">
        <v>131</v>
      </c>
      <c r="U238" s="350" t="s">
        <v>535</v>
      </c>
      <c r="V238" s="343">
        <v>50</v>
      </c>
      <c r="W238" s="343" t="str">
        <f t="shared" si="1837"/>
        <v>3.5C X 50</v>
      </c>
      <c r="X238" s="343" t="str">
        <f t="shared" si="1838"/>
        <v>3.5C X 50</v>
      </c>
      <c r="Y238" s="343" t="s">
        <v>358</v>
      </c>
      <c r="Z238" s="344">
        <f>IF(T238="AIR",VLOOKUP(W238,'Catalogue Aluminium'!$B$9:$G$93,2,FALSE),IF(T238="GROUND",VLOOKUP(W238,'Catalogue Aluminium'!$B$9:$G$93,3,FALSE),IF(T238="DUCT",VLOOKUP(W238,'Catalogue Aluminium'!$B$9:$G$93,4,FALSE),IF(T238="TRENCH",VLOOKUP(W238,'Catalogue Aluminium'!$B$9:$G$93,2,FALSE)))))</f>
        <v>141</v>
      </c>
      <c r="AA238" s="345">
        <f>VLOOKUP(W238,'Catalogue Aluminium'!$B$9:$G$93,5,FALSE)</f>
        <v>0.82</v>
      </c>
      <c r="AB238" s="345">
        <f>VLOOKUP(W238,'Catalogue Aluminium'!$B$9:$G$93,6,FALSE)</f>
        <v>7.9200000000000007E-2</v>
      </c>
      <c r="AC238" s="457">
        <f t="shared" ref="AC238:AC245" si="1889">32+6</f>
        <v>38</v>
      </c>
      <c r="AD238" s="401">
        <f>40+50+38+50+17+(27+46)</f>
        <v>268</v>
      </c>
      <c r="AE238" s="401">
        <f t="shared" si="1839"/>
        <v>38</v>
      </c>
      <c r="AF238" s="401">
        <v>8</v>
      </c>
      <c r="AG238" s="401">
        <f t="shared" si="1840"/>
        <v>36</v>
      </c>
      <c r="AH238" s="347">
        <f t="shared" si="1850"/>
        <v>388</v>
      </c>
      <c r="AI238" s="344">
        <f>IF(T238="AIR",'Catalogue Aluminium'!$K$9,IF(T238="TRENCH",'Catalogue Aluminium'!$K$12,"NA"))</f>
        <v>0.89</v>
      </c>
      <c r="AJ238" s="342">
        <f>IF(T238="Air",(IF(U238="1C",'Catalogue Aluminium'!$L$9,'Catalogue Aluminium'!$M$9)),IF(T238="DUCT",(IF($U238="1C",'Catalogue Aluminium'!$L$10,'Catalogue Aluminium'!$M$10)),IF(T238="GROUND",(IF($U238="1C",'Catalogue Aluminium'!$L$11,'Catalogue Aluminium'!$M$11)),IF(T238="TRENCH",(IF($U238="1C",'Catalogue Aluminium'!$L$12,'Catalogue Aluminium'!$M$12))))))</f>
        <v>0.66</v>
      </c>
      <c r="AK238" s="344" t="str">
        <f>IF(T238="Air",'Catalogue Aluminium'!$N$9,IF(T238="GROUND",'Catalogue Aluminium'!$N$10,IF(T238="DUCT",'Catalogue Aluminium'!$N$11,IF(T238="TRENCH",'Catalogue Aluminium'!$N$12,"NA"))))</f>
        <v>NA</v>
      </c>
      <c r="AL238" s="344" t="str">
        <f>IF(T238="Air",(IF(U238="1C",'Catalogue Aluminium'!$O$9,'Catalogue Aluminium'!$P$9)),IF(T238="DUCT",(IF($U238="1C",'Catalogue Aluminium'!$O$10,'Catalogue Aluminium'!$P$10)),IF(T238="GROUND",(IF($U238="1C",'Catalogue Aluminium'!$O$11,'Catalogue Aluminium'!$P$11)),IF(T238="TRENCH",(IF($U238="1C",'Catalogue Aluminium'!$O$12,'Catalogue Aluminium'!$P$12))))))</f>
        <v>NA</v>
      </c>
      <c r="AM238" s="344" t="str">
        <f>IF(T238="AIR","NA",IF(T238="TRENCH","NA",IF(T238="DUCT",IF(U238="1C",VLOOKUP(V238,'Catalogue Aluminium'!$Q$9:$S$28,2,FALSE),VLOOKUP(V238,'Catalogue Aluminium'!$Q$9:$S$28,3)),IF(T238="GROUND",IF(U238="1C",VLOOKUP(V238,'Catalogue Aluminium'!$Q$9:$S$28,2,FALSE),VLOOKUP(V238,'Catalogue Aluminium'!$Q$9:$S$28,3))))))</f>
        <v>NA</v>
      </c>
      <c r="AN238" s="351">
        <f t="shared" si="1841"/>
        <v>0.58740000000000003</v>
      </c>
      <c r="AO238" s="350">
        <f t="shared" si="1842"/>
        <v>82.823400000000007</v>
      </c>
      <c r="AP238" s="349">
        <v>2</v>
      </c>
      <c r="AQ238" s="350" t="str">
        <f t="shared" si="1843"/>
        <v>YES</v>
      </c>
      <c r="AR238" s="351">
        <f t="shared" si="1844"/>
        <v>2.4403672771536433</v>
      </c>
      <c r="AS238" s="343" t="str">
        <f t="shared" si="1845"/>
        <v>YES</v>
      </c>
      <c r="AT238" s="351" t="str">
        <f t="shared" si="1846"/>
        <v>NA</v>
      </c>
      <c r="AU238" s="343" t="str">
        <f t="shared" si="1847"/>
        <v>NA</v>
      </c>
      <c r="AV238" s="354" t="str">
        <f t="shared" si="1848"/>
        <v>2R x 0.6/1kV x 3.5C x 50 Sqmm</v>
      </c>
      <c r="AW238" s="354" t="str">
        <f t="shared" si="1849"/>
        <v>2R x 0.6/1kV x 3.5C x 50 Sqmm</v>
      </c>
      <c r="AX238" s="343">
        <f t="shared" ref="AX238:AX245" si="1890">(IF(K238=400,(IF(U238="1C",(4*AH238*AP238),(AH238*AP238))),IF(K238=230,(AH238*AP238))))</f>
        <v>776</v>
      </c>
      <c r="AY238" s="355"/>
      <c r="AZ238" s="355">
        <f t="shared" ref="AZ238:AZ245" si="1891">IF(U238="1C",(3*AP238*2),(AP238*2))</f>
        <v>4</v>
      </c>
      <c r="BA238" s="356" t="str">
        <f t="shared" si="1851"/>
        <v>ACDEE1E2</v>
      </c>
      <c r="BB238" s="501">
        <f>VLOOKUP(W238,'Catalogue Aluminium'!$B$9:$H$93,7,FALSE)</f>
        <v>30</v>
      </c>
      <c r="BC238" s="328">
        <f t="shared" ref="BC238:BC245" si="1892">AP238*BB238</f>
        <v>60</v>
      </c>
      <c r="BE238" s="336"/>
      <c r="BF238" s="336">
        <v>1</v>
      </c>
      <c r="BG238" s="336"/>
      <c r="BH238" s="336"/>
      <c r="BI238" s="336">
        <v>1</v>
      </c>
      <c r="BJ238" s="336">
        <v>1</v>
      </c>
      <c r="BK238" s="336"/>
      <c r="BL238" s="336"/>
      <c r="BM238" s="336"/>
      <c r="BN238" s="336">
        <v>1</v>
      </c>
      <c r="BO238" s="336"/>
      <c r="BP238" s="336">
        <v>1</v>
      </c>
      <c r="BQ238" s="336">
        <v>1</v>
      </c>
      <c r="BR238" s="336"/>
      <c r="BS238" s="336"/>
      <c r="BT238" s="336"/>
      <c r="BU238" s="336"/>
      <c r="BV238" s="336"/>
      <c r="BW238" s="336"/>
      <c r="BX238" s="336"/>
      <c r="BY238" s="336"/>
      <c r="BZ238" s="336"/>
      <c r="CA238" s="336"/>
      <c r="CB238" s="336"/>
      <c r="CC238" s="336"/>
      <c r="CD238" s="336"/>
      <c r="CE238" s="336"/>
      <c r="CF238" s="336"/>
      <c r="CG238" s="336"/>
      <c r="CH238" s="336"/>
      <c r="CI238" s="336"/>
      <c r="CJ238" s="336"/>
      <c r="CK238" s="336"/>
      <c r="CL238" s="336"/>
      <c r="CM238" s="336"/>
      <c r="CN238" s="336"/>
      <c r="CO238" s="336"/>
      <c r="CP238" s="336"/>
      <c r="CQ238" s="336"/>
      <c r="CR238" s="336"/>
      <c r="CS238" s="336"/>
      <c r="CT238" s="336"/>
      <c r="CU238" s="336"/>
      <c r="CV238" s="336"/>
      <c r="CW238" s="336"/>
      <c r="CX238" s="336"/>
      <c r="CY238" s="336"/>
      <c r="CZ238" s="336"/>
      <c r="DA238" s="336"/>
      <c r="DB238" s="336"/>
      <c r="DC238" s="336"/>
      <c r="DD238" s="336"/>
      <c r="DE238" s="336"/>
      <c r="DF238" s="336"/>
      <c r="DG238" s="336"/>
      <c r="DH238" s="336"/>
      <c r="DI238" s="336"/>
      <c r="DJ238" s="336"/>
      <c r="DK238" s="336"/>
      <c r="DL238" s="336"/>
      <c r="DM238" s="336"/>
      <c r="DN238" s="336"/>
      <c r="DO238" s="336"/>
      <c r="DP238" s="336"/>
      <c r="DQ238" s="336"/>
      <c r="DR238" s="336"/>
      <c r="DS238" s="336"/>
      <c r="DT238" s="336"/>
      <c r="DU238" s="336"/>
      <c r="DW238" s="336">
        <f t="shared" si="1872"/>
        <v>0</v>
      </c>
      <c r="DX238" s="336">
        <f t="shared" si="1862"/>
        <v>60</v>
      </c>
      <c r="DY238" s="336">
        <f t="shared" si="1863"/>
        <v>0</v>
      </c>
      <c r="DZ238" s="336">
        <f t="shared" si="1864"/>
        <v>0</v>
      </c>
      <c r="EA238" s="336">
        <f t="shared" si="1865"/>
        <v>60</v>
      </c>
      <c r="EB238" s="336">
        <f t="shared" si="1866"/>
        <v>60</v>
      </c>
      <c r="EC238" s="336">
        <f t="shared" si="1867"/>
        <v>0</v>
      </c>
      <c r="ED238" s="336">
        <f t="shared" si="1774"/>
        <v>0</v>
      </c>
      <c r="EE238" s="336">
        <f t="shared" si="1775"/>
        <v>0</v>
      </c>
      <c r="EF238" s="336">
        <f t="shared" si="1776"/>
        <v>60</v>
      </c>
      <c r="EG238" s="336">
        <f t="shared" si="1777"/>
        <v>0</v>
      </c>
      <c r="EH238" s="336">
        <f t="shared" si="1778"/>
        <v>60</v>
      </c>
      <c r="EI238" s="336">
        <f t="shared" si="1779"/>
        <v>60</v>
      </c>
      <c r="EJ238" s="336">
        <f t="shared" si="1780"/>
        <v>0</v>
      </c>
      <c r="EK238" s="336">
        <f t="shared" si="1781"/>
        <v>0</v>
      </c>
      <c r="EL238" s="336">
        <f t="shared" si="1782"/>
        <v>0</v>
      </c>
      <c r="EM238" s="336">
        <f t="shared" si="1783"/>
        <v>0</v>
      </c>
      <c r="EN238" s="336">
        <f t="shared" si="1784"/>
        <v>0</v>
      </c>
      <c r="EO238" s="336">
        <f t="shared" si="1785"/>
        <v>0</v>
      </c>
      <c r="EP238" s="336">
        <f t="shared" si="1786"/>
        <v>0</v>
      </c>
      <c r="EQ238" s="336">
        <f t="shared" si="1787"/>
        <v>0</v>
      </c>
      <c r="ER238" s="336">
        <f t="shared" si="1788"/>
        <v>0</v>
      </c>
      <c r="ES238" s="336">
        <f t="shared" si="1789"/>
        <v>0</v>
      </c>
      <c r="ET238" s="336">
        <f t="shared" si="1789"/>
        <v>0</v>
      </c>
      <c r="EU238" s="336">
        <f t="shared" si="1790"/>
        <v>0</v>
      </c>
      <c r="EV238" s="336">
        <f t="shared" si="1791"/>
        <v>0</v>
      </c>
      <c r="EW238" s="336">
        <f t="shared" si="1792"/>
        <v>0</v>
      </c>
      <c r="EX238" s="336">
        <f t="shared" si="1793"/>
        <v>0</v>
      </c>
      <c r="EY238" s="336">
        <f t="shared" si="1794"/>
        <v>0</v>
      </c>
      <c r="EZ238" s="336">
        <f t="shared" si="1795"/>
        <v>0</v>
      </c>
      <c r="FA238" s="336">
        <f t="shared" si="1796"/>
        <v>0</v>
      </c>
      <c r="FB238" s="336">
        <f t="shared" si="1797"/>
        <v>0</v>
      </c>
      <c r="FC238" s="336">
        <f t="shared" si="1798"/>
        <v>0</v>
      </c>
      <c r="FD238" s="336">
        <f t="shared" si="1799"/>
        <v>0</v>
      </c>
      <c r="FE238" s="336">
        <f t="shared" si="1800"/>
        <v>0</v>
      </c>
      <c r="FF238" s="336">
        <f t="shared" si="1801"/>
        <v>0</v>
      </c>
      <c r="FG238" s="336">
        <f t="shared" si="1802"/>
        <v>0</v>
      </c>
      <c r="FH238" s="336">
        <f t="shared" si="1803"/>
        <v>0</v>
      </c>
      <c r="FI238" s="336">
        <f t="shared" si="1804"/>
        <v>0</v>
      </c>
      <c r="FJ238" s="336">
        <f t="shared" si="1805"/>
        <v>0</v>
      </c>
      <c r="FK238" s="336">
        <f t="shared" si="1806"/>
        <v>0</v>
      </c>
      <c r="FL238" s="336">
        <f t="shared" si="1807"/>
        <v>0</v>
      </c>
      <c r="FM238" s="336">
        <f t="shared" si="1808"/>
        <v>0</v>
      </c>
      <c r="FN238" s="336">
        <f t="shared" si="1809"/>
        <v>0</v>
      </c>
      <c r="FO238" s="336">
        <f t="shared" si="1810"/>
        <v>0</v>
      </c>
      <c r="FP238" s="336">
        <f t="shared" si="1811"/>
        <v>0</v>
      </c>
      <c r="FQ238" s="336">
        <f t="shared" si="1812"/>
        <v>0</v>
      </c>
      <c r="FR238" s="336">
        <f t="shared" si="1813"/>
        <v>0</v>
      </c>
      <c r="FS238" s="336">
        <f t="shared" si="1814"/>
        <v>0</v>
      </c>
      <c r="FT238" s="336">
        <f t="shared" si="1815"/>
        <v>0</v>
      </c>
      <c r="FU238" s="336">
        <f t="shared" ref="FU238:FU247" si="1893">IF(DC238=1,($BC238*DC238),0)</f>
        <v>0</v>
      </c>
      <c r="FV238" s="336">
        <f t="shared" ref="FV238:FV247" si="1894">IF(DD238=1,($BC238*DD238),0)</f>
        <v>0</v>
      </c>
      <c r="FW238" s="336">
        <f t="shared" ref="FW238:FW247" si="1895">IF(DE238=1,($BC238*DE238),0)</f>
        <v>0</v>
      </c>
      <c r="FX238" s="336">
        <f t="shared" ref="FX238:FX247" si="1896">IF(DF238=1,($BC238*DF238),0)</f>
        <v>0</v>
      </c>
      <c r="FY238" s="336">
        <f t="shared" si="1820"/>
        <v>0</v>
      </c>
      <c r="FZ238" s="336">
        <f t="shared" si="1821"/>
        <v>0</v>
      </c>
      <c r="GA238" s="336">
        <f t="shared" si="1822"/>
        <v>0</v>
      </c>
      <c r="GB238" s="336">
        <f t="shared" si="1823"/>
        <v>0</v>
      </c>
      <c r="GC238" s="336">
        <f t="shared" si="1824"/>
        <v>0</v>
      </c>
      <c r="GD238" s="336">
        <f t="shared" si="1825"/>
        <v>0</v>
      </c>
      <c r="GE238" s="336">
        <f t="shared" si="1826"/>
        <v>0</v>
      </c>
      <c r="GF238" s="336">
        <f t="shared" si="1827"/>
        <v>0</v>
      </c>
      <c r="GG238" s="336">
        <f t="shared" si="1828"/>
        <v>0</v>
      </c>
      <c r="GH238" s="336">
        <f t="shared" si="1829"/>
        <v>0</v>
      </c>
      <c r="GI238" s="336">
        <f t="shared" si="1830"/>
        <v>0</v>
      </c>
      <c r="GJ238" s="336">
        <f t="shared" si="1831"/>
        <v>0</v>
      </c>
      <c r="GK238" s="336">
        <f t="shared" si="1750"/>
        <v>0</v>
      </c>
      <c r="GL238" s="336">
        <f t="shared" ref="GL238:GL247" si="1897">IF(DT238=1,($BC238*DT238),0)</f>
        <v>0</v>
      </c>
      <c r="GM238" s="336">
        <f t="shared" si="1832"/>
        <v>0</v>
      </c>
    </row>
    <row r="239" spans="1:195" ht="27" customHeight="1">
      <c r="A239" s="337">
        <f t="shared" ref="A239:A245" si="1898">1+A238</f>
        <v>153</v>
      </c>
      <c r="B239" s="526"/>
      <c r="C239" s="337" t="s">
        <v>636</v>
      </c>
      <c r="D239" s="787" t="s">
        <v>1685</v>
      </c>
      <c r="E239" s="500" t="s">
        <v>555</v>
      </c>
      <c r="F239" s="516" t="s">
        <v>28</v>
      </c>
      <c r="G239" s="337" t="s">
        <v>329</v>
      </c>
      <c r="H239" s="583">
        <v>1.8</v>
      </c>
      <c r="I239" s="337" t="s">
        <v>330</v>
      </c>
      <c r="J239" s="337" t="s">
        <v>357</v>
      </c>
      <c r="K239" s="349">
        <v>230</v>
      </c>
      <c r="L239" s="343">
        <v>0.85</v>
      </c>
      <c r="M239" s="350">
        <v>0.95</v>
      </c>
      <c r="N239" s="342">
        <f t="shared" si="1834"/>
        <v>9.6917485529680985</v>
      </c>
      <c r="O239" s="342">
        <f t="shared" si="1771"/>
        <v>0</v>
      </c>
      <c r="P239" s="343" t="str">
        <f t="shared" si="1835"/>
        <v>0.00</v>
      </c>
      <c r="Q239" s="350">
        <v>65</v>
      </c>
      <c r="R239" s="350">
        <v>0</v>
      </c>
      <c r="S239" s="350">
        <f t="shared" si="1836"/>
        <v>0</v>
      </c>
      <c r="T239" s="343" t="s">
        <v>131</v>
      </c>
      <c r="U239" s="350" t="s">
        <v>333</v>
      </c>
      <c r="V239" s="343">
        <v>16</v>
      </c>
      <c r="W239" s="343" t="str">
        <f t="shared" si="1837"/>
        <v>3C X 16</v>
      </c>
      <c r="X239" s="343" t="str">
        <f t="shared" si="1838"/>
        <v>3C X 16</v>
      </c>
      <c r="Y239" s="343" t="s">
        <v>358</v>
      </c>
      <c r="Z239" s="344">
        <f>IF(T239="AIR",VLOOKUP(W239,'Catalogue Aluminium'!$B$9:$G$93,2,FALSE),IF(T239="GROUND",VLOOKUP(W239,'Catalogue Aluminium'!$B$9:$G$93,3,FALSE),IF(T239="DUCT",VLOOKUP(W239,'Catalogue Aluminium'!$B$9:$G$93,4,FALSE),IF(T239="TRENCH",VLOOKUP(W239,'Catalogue Aluminium'!$B$9:$G$93,2,FALSE)))))</f>
        <v>70</v>
      </c>
      <c r="AA239" s="345">
        <f>VLOOKUP(W239,'Catalogue Aluminium'!$B$9:$G$93,5,FALSE)</f>
        <v>2.44</v>
      </c>
      <c r="AB239" s="345">
        <f>VLOOKUP(W239,'Catalogue Aluminium'!$B$9:$G$93,6,FALSE)</f>
        <v>8.1500000000000003E-2</v>
      </c>
      <c r="AC239" s="457">
        <f t="shared" si="1889"/>
        <v>38</v>
      </c>
      <c r="AD239" s="401">
        <v>80</v>
      </c>
      <c r="AE239" s="401">
        <v>5</v>
      </c>
      <c r="AF239" s="401">
        <v>8</v>
      </c>
      <c r="AG239" s="401">
        <f t="shared" si="1840"/>
        <v>14</v>
      </c>
      <c r="AH239" s="347">
        <f t="shared" si="1850"/>
        <v>145</v>
      </c>
      <c r="AI239" s="344">
        <f>IF(T239="AIR",'Catalogue Aluminium'!$K$9,IF(T239="TRENCH",'Catalogue Aluminium'!$K$12,"NA"))</f>
        <v>0.89</v>
      </c>
      <c r="AJ239" s="342">
        <f>IF(T239="Air",(IF(U239="1C",'Catalogue Aluminium'!$L$9,'Catalogue Aluminium'!$M$9)),IF(T239="DUCT",(IF($U239="1C",'Catalogue Aluminium'!$L$10,'Catalogue Aluminium'!$M$10)),IF(T239="GROUND",(IF($U239="1C",'Catalogue Aluminium'!$L$11,'Catalogue Aluminium'!$M$11)),IF(T239="TRENCH",(IF($U239="1C",'Catalogue Aluminium'!$L$12,'Catalogue Aluminium'!$M$12))))))</f>
        <v>0.66</v>
      </c>
      <c r="AK239" s="344" t="str">
        <f>IF(T239="Air",'Catalogue Aluminium'!$N$9,IF(T239="GROUND",'Catalogue Aluminium'!$N$10,IF(T239="DUCT",'Catalogue Aluminium'!$N$11,IF(T239="TRENCH",'Catalogue Aluminium'!$N$12,"NA"))))</f>
        <v>NA</v>
      </c>
      <c r="AL239" s="344" t="str">
        <f>IF(T239="Air",(IF(U239="1C",'Catalogue Aluminium'!$O$9,'Catalogue Aluminium'!$P$9)),IF(T239="DUCT",(IF($U239="1C",'Catalogue Aluminium'!$O$10,'Catalogue Aluminium'!$P$10)),IF(T239="GROUND",(IF($U239="1C",'Catalogue Aluminium'!$O$11,'Catalogue Aluminium'!$P$11)),IF(T239="TRENCH",(IF($U239="1C",'Catalogue Aluminium'!$O$12,'Catalogue Aluminium'!$P$12))))))</f>
        <v>NA</v>
      </c>
      <c r="AM239" s="344" t="str">
        <f>IF(T239="AIR","NA",IF(T239="TRENCH","NA",IF(T239="DUCT",IF(U239="1C",VLOOKUP(V239,'Catalogue Aluminium'!$Q$9:$S$28,2,FALSE),VLOOKUP(V239,'Catalogue Aluminium'!$Q$9:$S$28,3)),IF(T239="GROUND",IF(U239="1C",VLOOKUP(V239,'Catalogue Aluminium'!$Q$9:$S$28,2,FALSE),VLOOKUP(V239,'Catalogue Aluminium'!$Q$9:$S$28,3))))))</f>
        <v>NA</v>
      </c>
      <c r="AN239" s="351">
        <f t="shared" si="1841"/>
        <v>0.58740000000000003</v>
      </c>
      <c r="AO239" s="350">
        <f t="shared" si="1842"/>
        <v>41.118000000000002</v>
      </c>
      <c r="AP239" s="349">
        <f t="shared" si="1888"/>
        <v>1</v>
      </c>
      <c r="AQ239" s="350" t="str">
        <f t="shared" si="1843"/>
        <v>YES</v>
      </c>
      <c r="AR239" s="351">
        <f t="shared" si="1844"/>
        <v>2.2403197184308845</v>
      </c>
      <c r="AS239" s="343" t="str">
        <f t="shared" si="1845"/>
        <v>YES</v>
      </c>
      <c r="AT239" s="351" t="str">
        <f t="shared" si="1846"/>
        <v>NA</v>
      </c>
      <c r="AU239" s="343" t="str">
        <f t="shared" si="1847"/>
        <v>NA</v>
      </c>
      <c r="AV239" s="354" t="str">
        <f t="shared" si="1848"/>
        <v>1R x 0.6/1kV x 3C x 16 Sqmm</v>
      </c>
      <c r="AW239" s="354" t="str">
        <f t="shared" si="1849"/>
        <v>1R x 0.6/1kV x 3C x 16 Sqmm</v>
      </c>
      <c r="AX239" s="343">
        <f t="shared" si="1890"/>
        <v>145</v>
      </c>
      <c r="AY239" s="355"/>
      <c r="AZ239" s="355">
        <f t="shared" si="1891"/>
        <v>2</v>
      </c>
      <c r="BA239" s="356" t="str">
        <f t="shared" si="1851"/>
        <v>AB</v>
      </c>
      <c r="BB239" s="501">
        <f>VLOOKUP(W239,'Catalogue Aluminium'!$B$9:$H$93,7,FALSE)</f>
        <v>19</v>
      </c>
      <c r="BC239" s="328">
        <f t="shared" si="1892"/>
        <v>19</v>
      </c>
      <c r="BE239" s="336"/>
      <c r="BF239" s="336">
        <v>1</v>
      </c>
      <c r="BG239" s="336">
        <v>1</v>
      </c>
      <c r="BH239" s="336"/>
      <c r="BI239" s="336"/>
      <c r="BJ239" s="336"/>
      <c r="BK239" s="336"/>
      <c r="BL239" s="336"/>
      <c r="BM239" s="336"/>
      <c r="BN239" s="336"/>
      <c r="BO239" s="336"/>
      <c r="BP239" s="336"/>
      <c r="BQ239" s="336"/>
      <c r="BR239" s="336"/>
      <c r="BS239" s="336"/>
      <c r="BT239" s="336"/>
      <c r="BU239" s="336"/>
      <c r="BV239" s="336"/>
      <c r="BW239" s="336"/>
      <c r="BX239" s="336"/>
      <c r="BY239" s="336"/>
      <c r="BZ239" s="336"/>
      <c r="CA239" s="336"/>
      <c r="CB239" s="336"/>
      <c r="CC239" s="336"/>
      <c r="CD239" s="336"/>
      <c r="CE239" s="336"/>
      <c r="CF239" s="336"/>
      <c r="CG239" s="336"/>
      <c r="CH239" s="336"/>
      <c r="CI239" s="336"/>
      <c r="CJ239" s="336"/>
      <c r="CK239" s="336"/>
      <c r="CL239" s="336"/>
      <c r="CM239" s="336"/>
      <c r="CN239" s="336"/>
      <c r="CO239" s="336"/>
      <c r="CP239" s="336"/>
      <c r="CQ239" s="336"/>
      <c r="CR239" s="336"/>
      <c r="CS239" s="336"/>
      <c r="CT239" s="336"/>
      <c r="CU239" s="336"/>
      <c r="CV239" s="336"/>
      <c r="CW239" s="336"/>
      <c r="CX239" s="336"/>
      <c r="CY239" s="336"/>
      <c r="CZ239" s="336"/>
      <c r="DA239" s="336"/>
      <c r="DB239" s="336"/>
      <c r="DC239" s="336"/>
      <c r="DD239" s="336"/>
      <c r="DE239" s="336"/>
      <c r="DF239" s="336"/>
      <c r="DG239" s="336"/>
      <c r="DH239" s="336"/>
      <c r="DI239" s="336"/>
      <c r="DJ239" s="336"/>
      <c r="DK239" s="336"/>
      <c r="DL239" s="336"/>
      <c r="DM239" s="336"/>
      <c r="DN239" s="336"/>
      <c r="DO239" s="336"/>
      <c r="DP239" s="336"/>
      <c r="DQ239" s="336"/>
      <c r="DR239" s="336"/>
      <c r="DS239" s="336"/>
      <c r="DT239" s="336"/>
      <c r="DU239" s="336"/>
      <c r="DW239" s="336">
        <f t="shared" si="1872"/>
        <v>0</v>
      </c>
      <c r="DX239" s="336">
        <f t="shared" si="1862"/>
        <v>19</v>
      </c>
      <c r="DY239" s="336">
        <f t="shared" si="1863"/>
        <v>19</v>
      </c>
      <c r="DZ239" s="336">
        <f t="shared" si="1864"/>
        <v>0</v>
      </c>
      <c r="EA239" s="336">
        <f t="shared" si="1865"/>
        <v>0</v>
      </c>
      <c r="EB239" s="336">
        <f t="shared" si="1866"/>
        <v>0</v>
      </c>
      <c r="EC239" s="336">
        <f t="shared" si="1867"/>
        <v>0</v>
      </c>
      <c r="ED239" s="336">
        <f t="shared" si="1774"/>
        <v>0</v>
      </c>
      <c r="EE239" s="336">
        <f t="shared" si="1775"/>
        <v>0</v>
      </c>
      <c r="EF239" s="336">
        <f t="shared" si="1776"/>
        <v>0</v>
      </c>
      <c r="EG239" s="336">
        <f t="shared" si="1777"/>
        <v>0</v>
      </c>
      <c r="EH239" s="336">
        <f t="shared" si="1778"/>
        <v>0</v>
      </c>
      <c r="EI239" s="336">
        <f t="shared" si="1779"/>
        <v>0</v>
      </c>
      <c r="EJ239" s="336">
        <f t="shared" si="1780"/>
        <v>0</v>
      </c>
      <c r="EK239" s="336">
        <f t="shared" si="1781"/>
        <v>0</v>
      </c>
      <c r="EL239" s="336">
        <f t="shared" si="1782"/>
        <v>0</v>
      </c>
      <c r="EM239" s="336">
        <f t="shared" si="1783"/>
        <v>0</v>
      </c>
      <c r="EN239" s="336">
        <f t="shared" si="1784"/>
        <v>0</v>
      </c>
      <c r="EO239" s="336">
        <f t="shared" si="1785"/>
        <v>0</v>
      </c>
      <c r="EP239" s="336">
        <f t="shared" si="1786"/>
        <v>0</v>
      </c>
      <c r="EQ239" s="336">
        <f t="shared" si="1787"/>
        <v>0</v>
      </c>
      <c r="ER239" s="336">
        <f t="shared" si="1788"/>
        <v>0</v>
      </c>
      <c r="ES239" s="336">
        <f t="shared" si="1789"/>
        <v>0</v>
      </c>
      <c r="ET239" s="336">
        <f t="shared" si="1789"/>
        <v>0</v>
      </c>
      <c r="EU239" s="336">
        <f t="shared" si="1790"/>
        <v>0</v>
      </c>
      <c r="EV239" s="336">
        <f t="shared" si="1791"/>
        <v>0</v>
      </c>
      <c r="EW239" s="336">
        <f t="shared" si="1792"/>
        <v>0</v>
      </c>
      <c r="EX239" s="336">
        <f t="shared" si="1793"/>
        <v>0</v>
      </c>
      <c r="EY239" s="336">
        <f t="shared" si="1794"/>
        <v>0</v>
      </c>
      <c r="EZ239" s="336">
        <f t="shared" si="1795"/>
        <v>0</v>
      </c>
      <c r="FA239" s="336">
        <f t="shared" si="1796"/>
        <v>0</v>
      </c>
      <c r="FB239" s="336">
        <f t="shared" si="1797"/>
        <v>0</v>
      </c>
      <c r="FC239" s="336">
        <f t="shared" si="1798"/>
        <v>0</v>
      </c>
      <c r="FD239" s="336">
        <f t="shared" si="1799"/>
        <v>0</v>
      </c>
      <c r="FE239" s="336">
        <f t="shared" si="1800"/>
        <v>0</v>
      </c>
      <c r="FF239" s="336">
        <f t="shared" si="1801"/>
        <v>0</v>
      </c>
      <c r="FG239" s="336">
        <f t="shared" si="1802"/>
        <v>0</v>
      </c>
      <c r="FH239" s="336">
        <f t="shared" si="1803"/>
        <v>0</v>
      </c>
      <c r="FI239" s="336">
        <f t="shared" si="1804"/>
        <v>0</v>
      </c>
      <c r="FJ239" s="336">
        <f t="shared" si="1805"/>
        <v>0</v>
      </c>
      <c r="FK239" s="336">
        <f t="shared" si="1806"/>
        <v>0</v>
      </c>
      <c r="FL239" s="336">
        <f t="shared" si="1807"/>
        <v>0</v>
      </c>
      <c r="FM239" s="336">
        <f t="shared" si="1808"/>
        <v>0</v>
      </c>
      <c r="FN239" s="336">
        <f t="shared" si="1809"/>
        <v>0</v>
      </c>
      <c r="FO239" s="336">
        <f t="shared" si="1810"/>
        <v>0</v>
      </c>
      <c r="FP239" s="336">
        <f t="shared" si="1811"/>
        <v>0</v>
      </c>
      <c r="FQ239" s="336">
        <f t="shared" si="1812"/>
        <v>0</v>
      </c>
      <c r="FR239" s="336">
        <f t="shared" si="1813"/>
        <v>0</v>
      </c>
      <c r="FS239" s="336">
        <f t="shared" si="1814"/>
        <v>0</v>
      </c>
      <c r="FT239" s="336">
        <f t="shared" si="1815"/>
        <v>0</v>
      </c>
      <c r="FU239" s="336">
        <f t="shared" si="1893"/>
        <v>0</v>
      </c>
      <c r="FV239" s="336">
        <f t="shared" si="1894"/>
        <v>0</v>
      </c>
      <c r="FW239" s="336">
        <f t="shared" si="1895"/>
        <v>0</v>
      </c>
      <c r="FX239" s="336">
        <f t="shared" si="1896"/>
        <v>0</v>
      </c>
      <c r="FY239" s="336">
        <f t="shared" si="1820"/>
        <v>0</v>
      </c>
      <c r="FZ239" s="336">
        <f t="shared" si="1821"/>
        <v>0</v>
      </c>
      <c r="GA239" s="336">
        <f t="shared" si="1822"/>
        <v>0</v>
      </c>
      <c r="GB239" s="336">
        <f t="shared" si="1823"/>
        <v>0</v>
      </c>
      <c r="GC239" s="336">
        <f t="shared" si="1824"/>
        <v>0</v>
      </c>
      <c r="GD239" s="336">
        <f t="shared" si="1825"/>
        <v>0</v>
      </c>
      <c r="GE239" s="336">
        <f t="shared" si="1826"/>
        <v>0</v>
      </c>
      <c r="GF239" s="336">
        <f t="shared" si="1827"/>
        <v>0</v>
      </c>
      <c r="GG239" s="336">
        <f t="shared" si="1828"/>
        <v>0</v>
      </c>
      <c r="GH239" s="336">
        <f t="shared" si="1829"/>
        <v>0</v>
      </c>
      <c r="GI239" s="336">
        <f t="shared" si="1830"/>
        <v>0</v>
      </c>
      <c r="GJ239" s="336">
        <f t="shared" si="1831"/>
        <v>0</v>
      </c>
      <c r="GK239" s="336">
        <f t="shared" si="1750"/>
        <v>0</v>
      </c>
      <c r="GL239" s="336">
        <f t="shared" si="1897"/>
        <v>0</v>
      </c>
      <c r="GM239" s="336">
        <f t="shared" si="1832"/>
        <v>0</v>
      </c>
    </row>
    <row r="240" spans="1:195" ht="20.100000000000001" customHeight="1">
      <c r="A240" s="337">
        <f t="shared" si="1898"/>
        <v>154</v>
      </c>
      <c r="B240" s="526"/>
      <c r="C240" s="337" t="s">
        <v>636</v>
      </c>
      <c r="D240" s="372" t="s">
        <v>693</v>
      </c>
      <c r="E240" s="500" t="s">
        <v>555</v>
      </c>
      <c r="F240" s="516" t="s">
        <v>28</v>
      </c>
      <c r="G240" s="337" t="s">
        <v>329</v>
      </c>
      <c r="H240" s="583">
        <v>0.18</v>
      </c>
      <c r="I240" s="337" t="s">
        <v>330</v>
      </c>
      <c r="J240" s="337" t="s">
        <v>357</v>
      </c>
      <c r="K240" s="349">
        <v>230</v>
      </c>
      <c r="L240" s="343">
        <v>0.85</v>
      </c>
      <c r="M240" s="350">
        <v>0.95</v>
      </c>
      <c r="N240" s="342">
        <f t="shared" si="1834"/>
        <v>0.9691748552968098</v>
      </c>
      <c r="O240" s="342">
        <f t="shared" si="1771"/>
        <v>0</v>
      </c>
      <c r="P240" s="343" t="str">
        <f t="shared" si="1835"/>
        <v>0.00</v>
      </c>
      <c r="Q240" s="350">
        <v>65</v>
      </c>
      <c r="R240" s="350">
        <v>0</v>
      </c>
      <c r="S240" s="350">
        <f t="shared" si="1836"/>
        <v>0</v>
      </c>
      <c r="T240" s="343" t="s">
        <v>131</v>
      </c>
      <c r="U240" s="350" t="s">
        <v>333</v>
      </c>
      <c r="V240" s="343">
        <v>4</v>
      </c>
      <c r="W240" s="343" t="str">
        <f t="shared" si="1837"/>
        <v>3C X 4</v>
      </c>
      <c r="X240" s="343" t="str">
        <f t="shared" si="1838"/>
        <v>3C X 4</v>
      </c>
      <c r="Y240" s="343" t="s">
        <v>358</v>
      </c>
      <c r="Z240" s="344">
        <f>IF(T240="AIR",VLOOKUP(W240,'Catalogue Aluminium'!$B$9:$G$93,2,FALSE),IF(T240="GROUND",VLOOKUP(W240,'Catalogue Aluminium'!$B$9:$G$93,3,FALSE),IF(T240="DUCT",VLOOKUP(W240,'Catalogue Aluminium'!$B$9:$G$93,4,FALSE),IF(T240="TRENCH",VLOOKUP(W240,'Catalogue Aluminium'!$B$9:$G$93,2,FALSE)))))</f>
        <v>38</v>
      </c>
      <c r="AA240" s="345">
        <f>VLOOKUP(W240,'Catalogue Aluminium'!$B$9:$G$93,5,FALSE)</f>
        <v>5.9</v>
      </c>
      <c r="AB240" s="345">
        <f>VLOOKUP(W240,'Catalogue Aluminium'!$B$9:$G$93,6,FALSE)</f>
        <v>9.4700000000000006E-2</v>
      </c>
      <c r="AC240" s="457">
        <f t="shared" si="1889"/>
        <v>38</v>
      </c>
      <c r="AD240" s="401">
        <v>80</v>
      </c>
      <c r="AE240" s="401">
        <v>5</v>
      </c>
      <c r="AF240" s="401">
        <v>8</v>
      </c>
      <c r="AG240" s="401">
        <f t="shared" si="1840"/>
        <v>14</v>
      </c>
      <c r="AH240" s="347">
        <f t="shared" si="1850"/>
        <v>145</v>
      </c>
      <c r="AI240" s="344">
        <f>IF(T240="AIR",'Catalogue Aluminium'!$K$9,IF(T240="TRENCH",'Catalogue Aluminium'!$K$12,"NA"))</f>
        <v>0.89</v>
      </c>
      <c r="AJ240" s="342">
        <f>IF(T240="Air",(IF(U240="1C",'Catalogue Aluminium'!$L$9,'Catalogue Aluminium'!$M$9)),IF(T240="DUCT",(IF($U240="1C",'Catalogue Aluminium'!$L$10,'Catalogue Aluminium'!$M$10)),IF(T240="GROUND",(IF($U240="1C",'Catalogue Aluminium'!$L$11,'Catalogue Aluminium'!$M$11)),IF(T240="TRENCH",(IF($U240="1C",'Catalogue Aluminium'!$L$12,'Catalogue Aluminium'!$M$12))))))</f>
        <v>0.66</v>
      </c>
      <c r="AK240" s="344" t="str">
        <f>IF(T240="Air",'Catalogue Aluminium'!$N$9,IF(T240="GROUND",'Catalogue Aluminium'!$N$10,IF(T240="DUCT",'Catalogue Aluminium'!$N$11,IF(T240="TRENCH",'Catalogue Aluminium'!$N$12,"NA"))))</f>
        <v>NA</v>
      </c>
      <c r="AL240" s="344" t="str">
        <f>IF(T240="Air",(IF(U240="1C",'Catalogue Aluminium'!$O$9,'Catalogue Aluminium'!$P$9)),IF(T240="DUCT",(IF($U240="1C",'Catalogue Aluminium'!$O$10,'Catalogue Aluminium'!$P$10)),IF(T240="GROUND",(IF($U240="1C",'Catalogue Aluminium'!$O$11,'Catalogue Aluminium'!$P$11)),IF(T240="TRENCH",(IF($U240="1C",'Catalogue Aluminium'!$O$12,'Catalogue Aluminium'!$P$12))))))</f>
        <v>NA</v>
      </c>
      <c r="AM240" s="344" t="str">
        <f>IF(T240="AIR","NA",IF(T240="TRENCH","NA",IF(T240="DUCT",IF(U240="1C",VLOOKUP(V240,'Catalogue Aluminium'!$Q$9:$S$28,2,FALSE),VLOOKUP(V240,'Catalogue Aluminium'!$Q$9:$S$28,3)),IF(T240="GROUND",IF(U240="1C",VLOOKUP(V240,'Catalogue Aluminium'!$Q$9:$S$28,2,FALSE),VLOOKUP(V240,'Catalogue Aluminium'!$Q$9:$S$28,3))))))</f>
        <v>NA</v>
      </c>
      <c r="AN240" s="351">
        <f t="shared" si="1841"/>
        <v>0.58740000000000003</v>
      </c>
      <c r="AO240" s="350">
        <f t="shared" si="1842"/>
        <v>22.321200000000001</v>
      </c>
      <c r="AP240" s="349">
        <f t="shared" si="1888"/>
        <v>1</v>
      </c>
      <c r="AQ240" s="350" t="str">
        <f t="shared" si="1843"/>
        <v>YES</v>
      </c>
      <c r="AR240" s="351">
        <f t="shared" si="1844"/>
        <v>0.53600968128050719</v>
      </c>
      <c r="AS240" s="343" t="str">
        <f t="shared" si="1845"/>
        <v>YES</v>
      </c>
      <c r="AT240" s="351" t="str">
        <f t="shared" si="1846"/>
        <v>NA</v>
      </c>
      <c r="AU240" s="343" t="str">
        <f t="shared" si="1847"/>
        <v>NA</v>
      </c>
      <c r="AV240" s="354" t="str">
        <f t="shared" si="1848"/>
        <v>1R x 0.6/1kV x 3C x 4 Sqmm</v>
      </c>
      <c r="AW240" s="354" t="str">
        <f t="shared" si="1849"/>
        <v>1R x 0.6/1kV x 3C x 4 Sqmm</v>
      </c>
      <c r="AX240" s="343">
        <f t="shared" si="1890"/>
        <v>145</v>
      </c>
      <c r="AY240" s="355"/>
      <c r="AZ240" s="355">
        <f t="shared" si="1891"/>
        <v>2</v>
      </c>
      <c r="BA240" s="356" t="str">
        <f t="shared" si="1851"/>
        <v>AB</v>
      </c>
      <c r="BB240" s="501">
        <f>VLOOKUP(W240,'Catalogue Aluminium'!$B$9:$H$93,7,FALSE)</f>
        <v>15</v>
      </c>
      <c r="BC240" s="328">
        <f t="shared" si="1892"/>
        <v>15</v>
      </c>
      <c r="BE240" s="336"/>
      <c r="BF240" s="336">
        <v>1</v>
      </c>
      <c r="BG240" s="336">
        <v>1</v>
      </c>
      <c r="BH240" s="336"/>
      <c r="BI240" s="336"/>
      <c r="BJ240" s="336"/>
      <c r="BK240" s="336"/>
      <c r="BL240" s="336"/>
      <c r="BM240" s="336"/>
      <c r="BN240" s="336"/>
      <c r="BO240" s="336"/>
      <c r="BP240" s="336"/>
      <c r="BQ240" s="336"/>
      <c r="BR240" s="336"/>
      <c r="BS240" s="336"/>
      <c r="BT240" s="336"/>
      <c r="BU240" s="336"/>
      <c r="BV240" s="336"/>
      <c r="BW240" s="336"/>
      <c r="BX240" s="336"/>
      <c r="BY240" s="336"/>
      <c r="BZ240" s="336"/>
      <c r="CA240" s="336"/>
      <c r="CB240" s="336"/>
      <c r="CC240" s="336"/>
      <c r="CD240" s="336"/>
      <c r="CE240" s="336"/>
      <c r="CF240" s="336"/>
      <c r="CG240" s="336"/>
      <c r="CH240" s="336"/>
      <c r="CI240" s="336"/>
      <c r="CJ240" s="336"/>
      <c r="CK240" s="336"/>
      <c r="CL240" s="336"/>
      <c r="CM240" s="336"/>
      <c r="CN240" s="336"/>
      <c r="CO240" s="336"/>
      <c r="CP240" s="336"/>
      <c r="CQ240" s="336"/>
      <c r="CR240" s="336"/>
      <c r="CS240" s="336"/>
      <c r="CT240" s="336"/>
      <c r="CU240" s="336"/>
      <c r="CV240" s="336"/>
      <c r="CW240" s="336"/>
      <c r="CX240" s="336"/>
      <c r="CY240" s="336"/>
      <c r="CZ240" s="336"/>
      <c r="DA240" s="336"/>
      <c r="DB240" s="336"/>
      <c r="DC240" s="336"/>
      <c r="DD240" s="336"/>
      <c r="DE240" s="336"/>
      <c r="DF240" s="336"/>
      <c r="DG240" s="336"/>
      <c r="DH240" s="336"/>
      <c r="DI240" s="336"/>
      <c r="DJ240" s="336"/>
      <c r="DK240" s="336"/>
      <c r="DL240" s="336"/>
      <c r="DM240" s="336"/>
      <c r="DN240" s="336"/>
      <c r="DO240" s="336"/>
      <c r="DP240" s="336"/>
      <c r="DQ240" s="336"/>
      <c r="DR240" s="336"/>
      <c r="DS240" s="336"/>
      <c r="DT240" s="336"/>
      <c r="DU240" s="336"/>
      <c r="DW240" s="336">
        <f t="shared" si="1872"/>
        <v>0</v>
      </c>
      <c r="DX240" s="336">
        <f t="shared" si="1862"/>
        <v>15</v>
      </c>
      <c r="DY240" s="336">
        <f t="shared" si="1863"/>
        <v>15</v>
      </c>
      <c r="DZ240" s="336">
        <f t="shared" si="1864"/>
        <v>0</v>
      </c>
      <c r="EA240" s="336">
        <f t="shared" si="1865"/>
        <v>0</v>
      </c>
      <c r="EB240" s="336">
        <f t="shared" si="1866"/>
        <v>0</v>
      </c>
      <c r="EC240" s="336">
        <f t="shared" si="1867"/>
        <v>0</v>
      </c>
      <c r="ED240" s="336">
        <f t="shared" si="1774"/>
        <v>0</v>
      </c>
      <c r="EE240" s="336">
        <f t="shared" si="1775"/>
        <v>0</v>
      </c>
      <c r="EF240" s="336">
        <f t="shared" si="1776"/>
        <v>0</v>
      </c>
      <c r="EG240" s="336">
        <f t="shared" si="1777"/>
        <v>0</v>
      </c>
      <c r="EH240" s="336">
        <f t="shared" si="1778"/>
        <v>0</v>
      </c>
      <c r="EI240" s="336">
        <f t="shared" si="1779"/>
        <v>0</v>
      </c>
      <c r="EJ240" s="336">
        <f t="shared" si="1780"/>
        <v>0</v>
      </c>
      <c r="EK240" s="336">
        <f t="shared" si="1781"/>
        <v>0</v>
      </c>
      <c r="EL240" s="336">
        <f t="shared" si="1782"/>
        <v>0</v>
      </c>
      <c r="EM240" s="336">
        <f t="shared" si="1783"/>
        <v>0</v>
      </c>
      <c r="EN240" s="336">
        <f t="shared" si="1784"/>
        <v>0</v>
      </c>
      <c r="EO240" s="336">
        <f t="shared" si="1785"/>
        <v>0</v>
      </c>
      <c r="EP240" s="336">
        <f t="shared" si="1786"/>
        <v>0</v>
      </c>
      <c r="EQ240" s="336">
        <f t="shared" si="1787"/>
        <v>0</v>
      </c>
      <c r="ER240" s="336">
        <f t="shared" si="1788"/>
        <v>0</v>
      </c>
      <c r="ES240" s="336">
        <f t="shared" si="1789"/>
        <v>0</v>
      </c>
      <c r="ET240" s="336">
        <f t="shared" si="1789"/>
        <v>0</v>
      </c>
      <c r="EU240" s="336">
        <f t="shared" si="1790"/>
        <v>0</v>
      </c>
      <c r="EV240" s="336">
        <f t="shared" si="1791"/>
        <v>0</v>
      </c>
      <c r="EW240" s="336">
        <f t="shared" si="1792"/>
        <v>0</v>
      </c>
      <c r="EX240" s="336">
        <f t="shared" si="1793"/>
        <v>0</v>
      </c>
      <c r="EY240" s="336">
        <f t="shared" si="1794"/>
        <v>0</v>
      </c>
      <c r="EZ240" s="336">
        <f t="shared" si="1795"/>
        <v>0</v>
      </c>
      <c r="FA240" s="336">
        <f t="shared" si="1796"/>
        <v>0</v>
      </c>
      <c r="FB240" s="336">
        <f t="shared" si="1797"/>
        <v>0</v>
      </c>
      <c r="FC240" s="336">
        <f t="shared" si="1798"/>
        <v>0</v>
      </c>
      <c r="FD240" s="336">
        <f t="shared" si="1799"/>
        <v>0</v>
      </c>
      <c r="FE240" s="336">
        <f t="shared" si="1800"/>
        <v>0</v>
      </c>
      <c r="FF240" s="336">
        <f t="shared" si="1801"/>
        <v>0</v>
      </c>
      <c r="FG240" s="336">
        <f t="shared" si="1802"/>
        <v>0</v>
      </c>
      <c r="FH240" s="336">
        <f t="shared" si="1803"/>
        <v>0</v>
      </c>
      <c r="FI240" s="336">
        <f t="shared" si="1804"/>
        <v>0</v>
      </c>
      <c r="FJ240" s="336">
        <f t="shared" si="1805"/>
        <v>0</v>
      </c>
      <c r="FK240" s="336">
        <f t="shared" si="1806"/>
        <v>0</v>
      </c>
      <c r="FL240" s="336">
        <f t="shared" si="1807"/>
        <v>0</v>
      </c>
      <c r="FM240" s="336">
        <f t="shared" si="1808"/>
        <v>0</v>
      </c>
      <c r="FN240" s="336">
        <f t="shared" si="1809"/>
        <v>0</v>
      </c>
      <c r="FO240" s="336">
        <f t="shared" si="1810"/>
        <v>0</v>
      </c>
      <c r="FP240" s="336">
        <f t="shared" si="1811"/>
        <v>0</v>
      </c>
      <c r="FQ240" s="336">
        <f t="shared" si="1812"/>
        <v>0</v>
      </c>
      <c r="FR240" s="336">
        <f t="shared" si="1813"/>
        <v>0</v>
      </c>
      <c r="FS240" s="336">
        <f t="shared" si="1814"/>
        <v>0</v>
      </c>
      <c r="FT240" s="336">
        <f t="shared" si="1815"/>
        <v>0</v>
      </c>
      <c r="FU240" s="336">
        <f t="shared" si="1893"/>
        <v>0</v>
      </c>
      <c r="FV240" s="336">
        <f t="shared" si="1894"/>
        <v>0</v>
      </c>
      <c r="FW240" s="336">
        <f t="shared" si="1895"/>
        <v>0</v>
      </c>
      <c r="FX240" s="336">
        <f t="shared" si="1896"/>
        <v>0</v>
      </c>
      <c r="FY240" s="336">
        <f t="shared" si="1820"/>
        <v>0</v>
      </c>
      <c r="FZ240" s="336">
        <f t="shared" si="1821"/>
        <v>0</v>
      </c>
      <c r="GA240" s="336">
        <f t="shared" si="1822"/>
        <v>0</v>
      </c>
      <c r="GB240" s="336">
        <f t="shared" si="1823"/>
        <v>0</v>
      </c>
      <c r="GC240" s="336">
        <f t="shared" si="1824"/>
        <v>0</v>
      </c>
      <c r="GD240" s="336">
        <f t="shared" si="1825"/>
        <v>0</v>
      </c>
      <c r="GE240" s="336">
        <f t="shared" si="1826"/>
        <v>0</v>
      </c>
      <c r="GF240" s="336">
        <f t="shared" si="1827"/>
        <v>0</v>
      </c>
      <c r="GG240" s="336">
        <f t="shared" si="1828"/>
        <v>0</v>
      </c>
      <c r="GH240" s="336">
        <f t="shared" si="1829"/>
        <v>0</v>
      </c>
      <c r="GI240" s="336">
        <f t="shared" si="1830"/>
        <v>0</v>
      </c>
      <c r="GJ240" s="336">
        <f t="shared" si="1831"/>
        <v>0</v>
      </c>
      <c r="GK240" s="336">
        <f t="shared" si="1750"/>
        <v>0</v>
      </c>
      <c r="GL240" s="336">
        <f t="shared" si="1897"/>
        <v>0</v>
      </c>
      <c r="GM240" s="336">
        <f t="shared" si="1832"/>
        <v>0</v>
      </c>
    </row>
    <row r="241" spans="1:195" ht="29.25" customHeight="1">
      <c r="A241" s="337">
        <f t="shared" si="1898"/>
        <v>155</v>
      </c>
      <c r="B241" s="526"/>
      <c r="C241" s="337" t="s">
        <v>636</v>
      </c>
      <c r="D241" s="787" t="s">
        <v>1686</v>
      </c>
      <c r="E241" s="500" t="s">
        <v>555</v>
      </c>
      <c r="F241" s="516" t="s">
        <v>28</v>
      </c>
      <c r="G241" s="337" t="s">
        <v>329</v>
      </c>
      <c r="H241" s="583">
        <v>0.81</v>
      </c>
      <c r="I241" s="337" t="s">
        <v>330</v>
      </c>
      <c r="J241" s="337" t="s">
        <v>357</v>
      </c>
      <c r="K241" s="349">
        <v>230</v>
      </c>
      <c r="L241" s="343">
        <v>0.85</v>
      </c>
      <c r="M241" s="350">
        <v>0.95</v>
      </c>
      <c r="N241" s="342">
        <f t="shared" si="1834"/>
        <v>4.3612868488356442</v>
      </c>
      <c r="O241" s="342">
        <f t="shared" ref="O241:O274" si="1899">IF(G241="MOTOR",(6*N241),IF(G241="VFD",(1*N241),0))</f>
        <v>0</v>
      </c>
      <c r="P241" s="343" t="str">
        <f t="shared" si="1835"/>
        <v>0.00</v>
      </c>
      <c r="Q241" s="350">
        <v>65</v>
      </c>
      <c r="R241" s="350">
        <v>0</v>
      </c>
      <c r="S241" s="350">
        <f t="shared" si="1836"/>
        <v>0</v>
      </c>
      <c r="T241" s="343" t="s">
        <v>131</v>
      </c>
      <c r="U241" s="350" t="s">
        <v>333</v>
      </c>
      <c r="V241" s="343">
        <v>4</v>
      </c>
      <c r="W241" s="343" t="str">
        <f t="shared" si="1837"/>
        <v>3C X 4</v>
      </c>
      <c r="X241" s="343" t="str">
        <f t="shared" si="1838"/>
        <v>3C X 4</v>
      </c>
      <c r="Y241" s="343" t="s">
        <v>358</v>
      </c>
      <c r="Z241" s="344">
        <f>IF(T241="AIR",VLOOKUP(W241,'Catalogue Aluminium'!$B$9:$G$93,2,FALSE),IF(T241="GROUND",VLOOKUP(W241,'Catalogue Aluminium'!$B$9:$G$93,3,FALSE),IF(T241="DUCT",VLOOKUP(W241,'Catalogue Aluminium'!$B$9:$G$93,4,FALSE),IF(T241="TRENCH",VLOOKUP(W241,'Catalogue Aluminium'!$B$9:$G$93,2,FALSE)))))</f>
        <v>38</v>
      </c>
      <c r="AA241" s="345">
        <f>VLOOKUP(W241,'Catalogue Aluminium'!$B$9:$G$93,5,FALSE)</f>
        <v>5.9</v>
      </c>
      <c r="AB241" s="345">
        <f>VLOOKUP(W241,'Catalogue Aluminium'!$B$9:$G$93,6,FALSE)</f>
        <v>9.4700000000000006E-2</v>
      </c>
      <c r="AC241" s="457">
        <f t="shared" si="1889"/>
        <v>38</v>
      </c>
      <c r="AD241" s="401">
        <v>80</v>
      </c>
      <c r="AE241" s="401">
        <v>5</v>
      </c>
      <c r="AF241" s="401">
        <v>8</v>
      </c>
      <c r="AG241" s="401">
        <f t="shared" si="1840"/>
        <v>14</v>
      </c>
      <c r="AH241" s="347">
        <f t="shared" si="1850"/>
        <v>145</v>
      </c>
      <c r="AI241" s="344">
        <f>IF(T241="AIR",'Catalogue Aluminium'!$K$9,IF(T241="TRENCH",'Catalogue Aluminium'!$K$12,"NA"))</f>
        <v>0.89</v>
      </c>
      <c r="AJ241" s="342">
        <f>IF(T241="Air",(IF(U241="1C",'Catalogue Aluminium'!$L$9,'Catalogue Aluminium'!$M$9)),IF(T241="DUCT",(IF($U241="1C",'Catalogue Aluminium'!$L$10,'Catalogue Aluminium'!$M$10)),IF(T241="GROUND",(IF($U241="1C",'Catalogue Aluminium'!$L$11,'Catalogue Aluminium'!$M$11)),IF(T241="TRENCH",(IF($U241="1C",'Catalogue Aluminium'!$L$12,'Catalogue Aluminium'!$M$12))))))</f>
        <v>0.66</v>
      </c>
      <c r="AK241" s="344" t="str">
        <f>IF(T241="Air",'Catalogue Aluminium'!$N$9,IF(T241="GROUND",'Catalogue Aluminium'!$N$10,IF(T241="DUCT",'Catalogue Aluminium'!$N$11,IF(T241="TRENCH",'Catalogue Aluminium'!$N$12,"NA"))))</f>
        <v>NA</v>
      </c>
      <c r="AL241" s="344" t="str">
        <f>IF(T241="Air",(IF(U241="1C",'Catalogue Aluminium'!$O$9,'Catalogue Aluminium'!$P$9)),IF(T241="DUCT",(IF($U241="1C",'Catalogue Aluminium'!$O$10,'Catalogue Aluminium'!$P$10)),IF(T241="GROUND",(IF($U241="1C",'Catalogue Aluminium'!$O$11,'Catalogue Aluminium'!$P$11)),IF(T241="TRENCH",(IF($U241="1C",'Catalogue Aluminium'!$O$12,'Catalogue Aluminium'!$P$12))))))</f>
        <v>NA</v>
      </c>
      <c r="AM241" s="344" t="str">
        <f>IF(T241="AIR","NA",IF(T241="TRENCH","NA",IF(T241="DUCT",IF(U241="1C",VLOOKUP(V241,'Catalogue Aluminium'!$Q$9:$S$28,2,FALSE),VLOOKUP(V241,'Catalogue Aluminium'!$Q$9:$S$28,3)),IF(T241="GROUND",IF(U241="1C",VLOOKUP(V241,'Catalogue Aluminium'!$Q$9:$S$28,2,FALSE),VLOOKUP(V241,'Catalogue Aluminium'!$Q$9:$S$28,3))))))</f>
        <v>NA</v>
      </c>
      <c r="AN241" s="351">
        <f t="shared" si="1841"/>
        <v>0.58740000000000003</v>
      </c>
      <c r="AO241" s="350">
        <f t="shared" si="1842"/>
        <v>22.321200000000001</v>
      </c>
      <c r="AP241" s="349">
        <f t="shared" si="1888"/>
        <v>1</v>
      </c>
      <c r="AQ241" s="350" t="str">
        <f t="shared" si="1843"/>
        <v>YES</v>
      </c>
      <c r="AR241" s="351">
        <f t="shared" si="1844"/>
        <v>2.4120435657622825</v>
      </c>
      <c r="AS241" s="343" t="str">
        <f t="shared" si="1845"/>
        <v>YES</v>
      </c>
      <c r="AT241" s="351" t="str">
        <f t="shared" si="1846"/>
        <v>NA</v>
      </c>
      <c r="AU241" s="343" t="str">
        <f t="shared" si="1847"/>
        <v>NA</v>
      </c>
      <c r="AV241" s="354" t="str">
        <f t="shared" si="1848"/>
        <v>1R x 0.6/1kV x 3C x 4 Sqmm</v>
      </c>
      <c r="AW241" s="354" t="str">
        <f t="shared" si="1849"/>
        <v>1R x 0.6/1kV x 3C x 4 Sqmm</v>
      </c>
      <c r="AX241" s="343">
        <f t="shared" si="1890"/>
        <v>145</v>
      </c>
      <c r="AY241" s="355"/>
      <c r="AZ241" s="355">
        <f t="shared" si="1891"/>
        <v>2</v>
      </c>
      <c r="BA241" s="356" t="str">
        <f t="shared" si="1851"/>
        <v>AB</v>
      </c>
      <c r="BB241" s="501">
        <f>VLOOKUP(W241,'Catalogue Aluminium'!$B$9:$H$93,7,FALSE)</f>
        <v>15</v>
      </c>
      <c r="BC241" s="328">
        <f t="shared" si="1892"/>
        <v>15</v>
      </c>
      <c r="BE241" s="336"/>
      <c r="BF241" s="336">
        <v>1</v>
      </c>
      <c r="BG241" s="336">
        <v>1</v>
      </c>
      <c r="BH241" s="336"/>
      <c r="BI241" s="336"/>
      <c r="BJ241" s="336"/>
      <c r="BK241" s="336"/>
      <c r="BL241" s="336"/>
      <c r="BM241" s="336"/>
      <c r="BN241" s="336"/>
      <c r="BO241" s="336"/>
      <c r="BP241" s="336"/>
      <c r="BQ241" s="336"/>
      <c r="BR241" s="336"/>
      <c r="BS241" s="336"/>
      <c r="BT241" s="336"/>
      <c r="BU241" s="336"/>
      <c r="BV241" s="336"/>
      <c r="BW241" s="336"/>
      <c r="BX241" s="336"/>
      <c r="BY241" s="336"/>
      <c r="BZ241" s="336"/>
      <c r="CA241" s="336"/>
      <c r="CB241" s="336"/>
      <c r="CC241" s="336"/>
      <c r="CD241" s="336"/>
      <c r="CE241" s="336"/>
      <c r="CF241" s="336"/>
      <c r="CG241" s="336"/>
      <c r="CH241" s="336"/>
      <c r="CI241" s="336"/>
      <c r="CJ241" s="336"/>
      <c r="CK241" s="336"/>
      <c r="CL241" s="336"/>
      <c r="CM241" s="336"/>
      <c r="CN241" s="336"/>
      <c r="CO241" s="336"/>
      <c r="CP241" s="336"/>
      <c r="CQ241" s="336"/>
      <c r="CR241" s="336"/>
      <c r="CS241" s="336"/>
      <c r="CT241" s="336"/>
      <c r="CU241" s="336"/>
      <c r="CV241" s="336"/>
      <c r="CW241" s="336"/>
      <c r="CX241" s="336"/>
      <c r="CY241" s="336"/>
      <c r="CZ241" s="336"/>
      <c r="DA241" s="336"/>
      <c r="DB241" s="336"/>
      <c r="DC241" s="336"/>
      <c r="DD241" s="336"/>
      <c r="DE241" s="336"/>
      <c r="DF241" s="336"/>
      <c r="DG241" s="336"/>
      <c r="DH241" s="336"/>
      <c r="DI241" s="336"/>
      <c r="DJ241" s="336"/>
      <c r="DK241" s="336"/>
      <c r="DL241" s="336"/>
      <c r="DM241" s="336"/>
      <c r="DN241" s="336"/>
      <c r="DO241" s="336"/>
      <c r="DP241" s="336"/>
      <c r="DQ241" s="336"/>
      <c r="DR241" s="336"/>
      <c r="DS241" s="336"/>
      <c r="DT241" s="336"/>
      <c r="DU241" s="336"/>
      <c r="DW241" s="336">
        <f t="shared" si="1872"/>
        <v>0</v>
      </c>
      <c r="DX241" s="336">
        <f t="shared" si="1862"/>
        <v>15</v>
      </c>
      <c r="DY241" s="336">
        <f t="shared" si="1863"/>
        <v>15</v>
      </c>
      <c r="DZ241" s="336">
        <f t="shared" si="1864"/>
        <v>0</v>
      </c>
      <c r="EA241" s="336">
        <f t="shared" si="1865"/>
        <v>0</v>
      </c>
      <c r="EB241" s="336">
        <f t="shared" si="1866"/>
        <v>0</v>
      </c>
      <c r="EC241" s="336">
        <f t="shared" si="1867"/>
        <v>0</v>
      </c>
      <c r="ED241" s="336">
        <f t="shared" si="1774"/>
        <v>0</v>
      </c>
      <c r="EE241" s="336">
        <f t="shared" si="1775"/>
        <v>0</v>
      </c>
      <c r="EF241" s="336">
        <f t="shared" si="1776"/>
        <v>0</v>
      </c>
      <c r="EG241" s="336">
        <f t="shared" si="1777"/>
        <v>0</v>
      </c>
      <c r="EH241" s="336">
        <f t="shared" si="1778"/>
        <v>0</v>
      </c>
      <c r="EI241" s="336">
        <f t="shared" si="1779"/>
        <v>0</v>
      </c>
      <c r="EJ241" s="336">
        <f t="shared" si="1780"/>
        <v>0</v>
      </c>
      <c r="EK241" s="336">
        <f t="shared" si="1781"/>
        <v>0</v>
      </c>
      <c r="EL241" s="336">
        <f t="shared" si="1782"/>
        <v>0</v>
      </c>
      <c r="EM241" s="336">
        <f t="shared" si="1783"/>
        <v>0</v>
      </c>
      <c r="EN241" s="336">
        <f t="shared" si="1784"/>
        <v>0</v>
      </c>
      <c r="EO241" s="336">
        <f t="shared" si="1785"/>
        <v>0</v>
      </c>
      <c r="EP241" s="336">
        <f t="shared" si="1786"/>
        <v>0</v>
      </c>
      <c r="EQ241" s="336">
        <f t="shared" si="1787"/>
        <v>0</v>
      </c>
      <c r="ER241" s="336">
        <f t="shared" si="1788"/>
        <v>0</v>
      </c>
      <c r="ES241" s="336">
        <f t="shared" si="1789"/>
        <v>0</v>
      </c>
      <c r="ET241" s="336">
        <f t="shared" si="1789"/>
        <v>0</v>
      </c>
      <c r="EU241" s="336">
        <f t="shared" si="1790"/>
        <v>0</v>
      </c>
      <c r="EV241" s="336">
        <f t="shared" si="1791"/>
        <v>0</v>
      </c>
      <c r="EW241" s="336">
        <f t="shared" si="1792"/>
        <v>0</v>
      </c>
      <c r="EX241" s="336">
        <f t="shared" si="1793"/>
        <v>0</v>
      </c>
      <c r="EY241" s="336">
        <f t="shared" si="1794"/>
        <v>0</v>
      </c>
      <c r="EZ241" s="336">
        <f t="shared" si="1795"/>
        <v>0</v>
      </c>
      <c r="FA241" s="336">
        <f t="shared" si="1796"/>
        <v>0</v>
      </c>
      <c r="FB241" s="336">
        <f t="shared" si="1797"/>
        <v>0</v>
      </c>
      <c r="FC241" s="336">
        <f t="shared" si="1798"/>
        <v>0</v>
      </c>
      <c r="FD241" s="336">
        <f t="shared" si="1799"/>
        <v>0</v>
      </c>
      <c r="FE241" s="336">
        <f t="shared" si="1800"/>
        <v>0</v>
      </c>
      <c r="FF241" s="336">
        <f t="shared" si="1801"/>
        <v>0</v>
      </c>
      <c r="FG241" s="336">
        <f t="shared" si="1802"/>
        <v>0</v>
      </c>
      <c r="FH241" s="336">
        <f t="shared" si="1803"/>
        <v>0</v>
      </c>
      <c r="FI241" s="336">
        <f t="shared" si="1804"/>
        <v>0</v>
      </c>
      <c r="FJ241" s="336">
        <f t="shared" si="1805"/>
        <v>0</v>
      </c>
      <c r="FK241" s="336">
        <f t="shared" si="1806"/>
        <v>0</v>
      </c>
      <c r="FL241" s="336">
        <f t="shared" si="1807"/>
        <v>0</v>
      </c>
      <c r="FM241" s="336">
        <f t="shared" si="1808"/>
        <v>0</v>
      </c>
      <c r="FN241" s="336">
        <f t="shared" si="1809"/>
        <v>0</v>
      </c>
      <c r="FO241" s="336">
        <f t="shared" si="1810"/>
        <v>0</v>
      </c>
      <c r="FP241" s="336">
        <f t="shared" si="1811"/>
        <v>0</v>
      </c>
      <c r="FQ241" s="336">
        <f t="shared" si="1812"/>
        <v>0</v>
      </c>
      <c r="FR241" s="336">
        <f t="shared" si="1813"/>
        <v>0</v>
      </c>
      <c r="FS241" s="336">
        <f t="shared" si="1814"/>
        <v>0</v>
      </c>
      <c r="FT241" s="336">
        <f t="shared" si="1815"/>
        <v>0</v>
      </c>
      <c r="FU241" s="336">
        <f t="shared" si="1893"/>
        <v>0</v>
      </c>
      <c r="FV241" s="336">
        <f t="shared" si="1894"/>
        <v>0</v>
      </c>
      <c r="FW241" s="336">
        <f t="shared" si="1895"/>
        <v>0</v>
      </c>
      <c r="FX241" s="336">
        <f t="shared" si="1896"/>
        <v>0</v>
      </c>
      <c r="FY241" s="336">
        <f t="shared" si="1820"/>
        <v>0</v>
      </c>
      <c r="FZ241" s="336">
        <f t="shared" si="1821"/>
        <v>0</v>
      </c>
      <c r="GA241" s="336">
        <f t="shared" si="1822"/>
        <v>0</v>
      </c>
      <c r="GB241" s="336">
        <f t="shared" si="1823"/>
        <v>0</v>
      </c>
      <c r="GC241" s="336">
        <f t="shared" si="1824"/>
        <v>0</v>
      </c>
      <c r="GD241" s="336">
        <f t="shared" si="1825"/>
        <v>0</v>
      </c>
      <c r="GE241" s="336">
        <f t="shared" si="1826"/>
        <v>0</v>
      </c>
      <c r="GF241" s="336">
        <f t="shared" si="1827"/>
        <v>0</v>
      </c>
      <c r="GG241" s="336">
        <f t="shared" si="1828"/>
        <v>0</v>
      </c>
      <c r="GH241" s="336">
        <f t="shared" si="1829"/>
        <v>0</v>
      </c>
      <c r="GI241" s="336">
        <f t="shared" si="1830"/>
        <v>0</v>
      </c>
      <c r="GJ241" s="336">
        <f t="shared" si="1831"/>
        <v>0</v>
      </c>
      <c r="GK241" s="336">
        <f t="shared" si="1750"/>
        <v>0</v>
      </c>
      <c r="GL241" s="336">
        <f t="shared" si="1897"/>
        <v>0</v>
      </c>
      <c r="GM241" s="336">
        <f t="shared" si="1832"/>
        <v>0</v>
      </c>
    </row>
    <row r="242" spans="1:195" ht="20.100000000000001" customHeight="1">
      <c r="A242" s="337">
        <f t="shared" si="1898"/>
        <v>156</v>
      </c>
      <c r="B242" s="897" t="s">
        <v>1693</v>
      </c>
      <c r="C242" s="337" t="s">
        <v>636</v>
      </c>
      <c r="D242" s="372" t="s">
        <v>692</v>
      </c>
      <c r="E242" s="453" t="s">
        <v>345</v>
      </c>
      <c r="F242" s="337" t="s">
        <v>28</v>
      </c>
      <c r="G242" s="337" t="s">
        <v>329</v>
      </c>
      <c r="H242" s="583">
        <v>22</v>
      </c>
      <c r="I242" s="337" t="s">
        <v>330</v>
      </c>
      <c r="J242" s="337" t="s">
        <v>331</v>
      </c>
      <c r="K242" s="349">
        <v>400</v>
      </c>
      <c r="L242" s="343">
        <v>0.85</v>
      </c>
      <c r="M242" s="350">
        <v>0.95</v>
      </c>
      <c r="N242" s="342">
        <f t="shared" si="1834"/>
        <v>39.325320501362093</v>
      </c>
      <c r="O242" s="342">
        <f t="shared" si="1899"/>
        <v>0</v>
      </c>
      <c r="P242" s="343" t="str">
        <f t="shared" si="1835"/>
        <v>0.00</v>
      </c>
      <c r="Q242" s="350">
        <v>65</v>
      </c>
      <c r="R242" s="350">
        <v>0</v>
      </c>
      <c r="S242" s="350">
        <f t="shared" si="1836"/>
        <v>0</v>
      </c>
      <c r="T242" s="343" t="s">
        <v>131</v>
      </c>
      <c r="U242" s="350" t="s">
        <v>535</v>
      </c>
      <c r="V242" s="343">
        <v>50</v>
      </c>
      <c r="W242" s="343" t="str">
        <f t="shared" si="1837"/>
        <v>3.5C X 50</v>
      </c>
      <c r="X242" s="343" t="str">
        <f t="shared" si="1838"/>
        <v>3.5C X 50</v>
      </c>
      <c r="Y242" s="343" t="s">
        <v>358</v>
      </c>
      <c r="Z242" s="344">
        <f>IF(T242="AIR",VLOOKUP(W242,'Catalogue Aluminium'!$B$9:$G$93,2,FALSE),IF(T242="GROUND",VLOOKUP(W242,'Catalogue Aluminium'!$B$9:$G$93,3,FALSE),IF(T242="DUCT",VLOOKUP(W242,'Catalogue Aluminium'!$B$9:$G$93,4,FALSE),IF(T242="TRENCH",VLOOKUP(W242,'Catalogue Aluminium'!$B$9:$G$93,2,FALSE)))))</f>
        <v>141</v>
      </c>
      <c r="AA242" s="345">
        <f>VLOOKUP(W242,'Catalogue Aluminium'!$B$9:$G$93,5,FALSE)</f>
        <v>0.82</v>
      </c>
      <c r="AB242" s="345">
        <f>VLOOKUP(W242,'Catalogue Aluminium'!$B$9:$G$93,6,FALSE)</f>
        <v>7.9200000000000007E-2</v>
      </c>
      <c r="AC242" s="457">
        <f t="shared" si="1889"/>
        <v>38</v>
      </c>
      <c r="AD242" s="401">
        <f t="shared" ref="AD242" si="1900">40+50+38+50+17+(27+46)</f>
        <v>268</v>
      </c>
      <c r="AE242" s="401">
        <f t="shared" ref="AE242" si="1901">11+8+8+11</f>
        <v>38</v>
      </c>
      <c r="AF242" s="401">
        <v>8</v>
      </c>
      <c r="AG242" s="401">
        <f t="shared" si="1840"/>
        <v>36</v>
      </c>
      <c r="AH242" s="347">
        <f t="shared" si="1850"/>
        <v>388</v>
      </c>
      <c r="AI242" s="344">
        <f>IF(T242="AIR",'Catalogue Aluminium'!$K$9,IF(T242="TRENCH",'Catalogue Aluminium'!$K$12,"NA"))</f>
        <v>0.89</v>
      </c>
      <c r="AJ242" s="342">
        <f>IF(T242="Air",(IF(U242="1C",'Catalogue Aluminium'!$L$9,'Catalogue Aluminium'!$M$9)),IF(T242="DUCT",(IF($U242="1C",'Catalogue Aluminium'!$L$10,'Catalogue Aluminium'!$M$10)),IF(T242="GROUND",(IF($U242="1C",'Catalogue Aluminium'!$L$11,'Catalogue Aluminium'!$M$11)),IF(T242="TRENCH",(IF($U242="1C",'Catalogue Aluminium'!$L$12,'Catalogue Aluminium'!$M$12))))))</f>
        <v>0.66</v>
      </c>
      <c r="AK242" s="344" t="str">
        <f>IF(T242="Air",'Catalogue Aluminium'!$N$9,IF(T242="GROUND",'Catalogue Aluminium'!$N$10,IF(T242="DUCT",'Catalogue Aluminium'!$N$11,IF(T242="TRENCH",'Catalogue Aluminium'!$N$12,"NA"))))</f>
        <v>NA</v>
      </c>
      <c r="AL242" s="344" t="str">
        <f>IF(T242="Air",(IF(U242="1C",'Catalogue Aluminium'!$O$9,'Catalogue Aluminium'!$P$9)),IF(T242="DUCT",(IF($U242="1C",'Catalogue Aluminium'!$O$10,'Catalogue Aluminium'!$P$10)),IF(T242="GROUND",(IF($U242="1C",'Catalogue Aluminium'!$O$11,'Catalogue Aluminium'!$P$11)),IF(T242="TRENCH",(IF($U242="1C",'Catalogue Aluminium'!$O$12,'Catalogue Aluminium'!$P$12))))))</f>
        <v>NA</v>
      </c>
      <c r="AM242" s="344" t="str">
        <f>IF(T242="AIR","NA",IF(T242="TRENCH","NA",IF(T242="DUCT",IF(U242="1C",VLOOKUP(V242,'Catalogue Aluminium'!$Q$9:$S$28,2,FALSE),VLOOKUP(V242,'Catalogue Aluminium'!$Q$9:$S$28,3)),IF(T242="GROUND",IF(U242="1C",VLOOKUP(V242,'Catalogue Aluminium'!$Q$9:$S$28,2,FALSE),VLOOKUP(V242,'Catalogue Aluminium'!$Q$9:$S$28,3))))))</f>
        <v>NA</v>
      </c>
      <c r="AN242" s="351">
        <f t="shared" si="1841"/>
        <v>0.58740000000000003</v>
      </c>
      <c r="AO242" s="350">
        <f t="shared" si="1842"/>
        <v>82.823400000000007</v>
      </c>
      <c r="AP242" s="349">
        <v>2</v>
      </c>
      <c r="AQ242" s="350" t="str">
        <f t="shared" si="1843"/>
        <v>YES</v>
      </c>
      <c r="AR242" s="351">
        <f t="shared" si="1844"/>
        <v>2.4403672771536433</v>
      </c>
      <c r="AS242" s="343" t="str">
        <f t="shared" si="1845"/>
        <v>YES</v>
      </c>
      <c r="AT242" s="351" t="str">
        <f t="shared" si="1846"/>
        <v>NA</v>
      </c>
      <c r="AU242" s="343" t="str">
        <f t="shared" si="1847"/>
        <v>NA</v>
      </c>
      <c r="AV242" s="354" t="str">
        <f t="shared" si="1848"/>
        <v>2R x 0.6/1kV x 3.5C x 50 Sqmm</v>
      </c>
      <c r="AW242" s="354" t="str">
        <f t="shared" si="1849"/>
        <v>2R x 0.6/1kV x 3.5C x 50 Sqmm</v>
      </c>
      <c r="AX242" s="343">
        <f t="shared" si="1890"/>
        <v>776</v>
      </c>
      <c r="AY242" s="355"/>
      <c r="AZ242" s="355">
        <f t="shared" si="1891"/>
        <v>4</v>
      </c>
      <c r="BA242" s="356" t="str">
        <f t="shared" si="1851"/>
        <v>ACDEE1E2</v>
      </c>
      <c r="BB242" s="501">
        <f>VLOOKUP(W242,'Catalogue Aluminium'!$B$9:$H$93,7,FALSE)</f>
        <v>30</v>
      </c>
      <c r="BC242" s="328">
        <f t="shared" si="1892"/>
        <v>60</v>
      </c>
      <c r="BE242" s="336"/>
      <c r="BF242" s="336">
        <v>1</v>
      </c>
      <c r="BG242" s="336"/>
      <c r="BH242" s="336"/>
      <c r="BI242" s="336">
        <v>1</v>
      </c>
      <c r="BJ242" s="336">
        <v>1</v>
      </c>
      <c r="BK242" s="336"/>
      <c r="BL242" s="336"/>
      <c r="BM242" s="336"/>
      <c r="BN242" s="336">
        <v>1</v>
      </c>
      <c r="BO242" s="336"/>
      <c r="BP242" s="336">
        <v>1</v>
      </c>
      <c r="BQ242" s="336">
        <v>1</v>
      </c>
      <c r="BR242" s="336"/>
      <c r="BS242" s="336"/>
      <c r="BT242" s="336"/>
      <c r="BU242" s="336"/>
      <c r="BV242" s="336"/>
      <c r="BW242" s="336"/>
      <c r="BX242" s="336"/>
      <c r="BY242" s="336"/>
      <c r="BZ242" s="336"/>
      <c r="CA242" s="336"/>
      <c r="CB242" s="336"/>
      <c r="CC242" s="336"/>
      <c r="CD242" s="336"/>
      <c r="CE242" s="336"/>
      <c r="CF242" s="336"/>
      <c r="CG242" s="336"/>
      <c r="CH242" s="336"/>
      <c r="CI242" s="336"/>
      <c r="CJ242" s="336"/>
      <c r="CK242" s="336"/>
      <c r="CL242" s="336"/>
      <c r="CM242" s="336"/>
      <c r="CN242" s="336"/>
      <c r="CO242" s="336"/>
      <c r="CP242" s="336"/>
      <c r="CQ242" s="336"/>
      <c r="CR242" s="336"/>
      <c r="CS242" s="336"/>
      <c r="CT242" s="336"/>
      <c r="CU242" s="336"/>
      <c r="CV242" s="336"/>
      <c r="CW242" s="336"/>
      <c r="CX242" s="336"/>
      <c r="CY242" s="336"/>
      <c r="CZ242" s="336"/>
      <c r="DA242" s="336"/>
      <c r="DB242" s="336"/>
      <c r="DC242" s="336"/>
      <c r="DD242" s="336"/>
      <c r="DE242" s="336"/>
      <c r="DF242" s="336"/>
      <c r="DG242" s="336"/>
      <c r="DH242" s="336"/>
      <c r="DI242" s="336"/>
      <c r="DJ242" s="336"/>
      <c r="DK242" s="336"/>
      <c r="DL242" s="336"/>
      <c r="DM242" s="336"/>
      <c r="DN242" s="336"/>
      <c r="DO242" s="336"/>
      <c r="DP242" s="336"/>
      <c r="DQ242" s="336"/>
      <c r="DR242" s="336"/>
      <c r="DS242" s="336"/>
      <c r="DT242" s="336"/>
      <c r="DU242" s="336"/>
      <c r="DW242" s="336">
        <f t="shared" si="1872"/>
        <v>0</v>
      </c>
      <c r="DX242" s="336">
        <f t="shared" si="1862"/>
        <v>60</v>
      </c>
      <c r="DY242" s="336">
        <f t="shared" si="1863"/>
        <v>0</v>
      </c>
      <c r="DZ242" s="336">
        <f t="shared" si="1864"/>
        <v>0</v>
      </c>
      <c r="EA242" s="336">
        <f t="shared" si="1865"/>
        <v>60</v>
      </c>
      <c r="EB242" s="336">
        <f t="shared" si="1866"/>
        <v>60</v>
      </c>
      <c r="EC242" s="336">
        <f t="shared" si="1867"/>
        <v>0</v>
      </c>
      <c r="ED242" s="336">
        <f t="shared" si="1774"/>
        <v>0</v>
      </c>
      <c r="EE242" s="336">
        <f t="shared" si="1775"/>
        <v>0</v>
      </c>
      <c r="EF242" s="336">
        <f t="shared" si="1776"/>
        <v>60</v>
      </c>
      <c r="EG242" s="336">
        <f t="shared" si="1777"/>
        <v>0</v>
      </c>
      <c r="EH242" s="336">
        <f t="shared" si="1778"/>
        <v>60</v>
      </c>
      <c r="EI242" s="336">
        <f t="shared" si="1779"/>
        <v>60</v>
      </c>
      <c r="EJ242" s="336">
        <f t="shared" si="1780"/>
        <v>0</v>
      </c>
      <c r="EK242" s="336">
        <f t="shared" si="1781"/>
        <v>0</v>
      </c>
      <c r="EL242" s="336">
        <f t="shared" si="1782"/>
        <v>0</v>
      </c>
      <c r="EM242" s="336">
        <f t="shared" si="1783"/>
        <v>0</v>
      </c>
      <c r="EN242" s="336">
        <f t="shared" si="1784"/>
        <v>0</v>
      </c>
      <c r="EO242" s="336">
        <f t="shared" si="1785"/>
        <v>0</v>
      </c>
      <c r="EP242" s="336">
        <f t="shared" si="1786"/>
        <v>0</v>
      </c>
      <c r="EQ242" s="336">
        <f t="shared" si="1787"/>
        <v>0</v>
      </c>
      <c r="ER242" s="336">
        <f t="shared" si="1788"/>
        <v>0</v>
      </c>
      <c r="ES242" s="336">
        <f t="shared" si="1789"/>
        <v>0</v>
      </c>
      <c r="ET242" s="336">
        <f t="shared" si="1789"/>
        <v>0</v>
      </c>
      <c r="EU242" s="336">
        <f t="shared" si="1790"/>
        <v>0</v>
      </c>
      <c r="EV242" s="336">
        <f t="shared" si="1791"/>
        <v>0</v>
      </c>
      <c r="EW242" s="336">
        <f t="shared" si="1792"/>
        <v>0</v>
      </c>
      <c r="EX242" s="336">
        <f t="shared" si="1793"/>
        <v>0</v>
      </c>
      <c r="EY242" s="336">
        <f t="shared" si="1794"/>
        <v>0</v>
      </c>
      <c r="EZ242" s="336">
        <f t="shared" si="1795"/>
        <v>0</v>
      </c>
      <c r="FA242" s="336">
        <f t="shared" si="1796"/>
        <v>0</v>
      </c>
      <c r="FB242" s="336">
        <f t="shared" si="1797"/>
        <v>0</v>
      </c>
      <c r="FC242" s="336">
        <f t="shared" si="1798"/>
        <v>0</v>
      </c>
      <c r="FD242" s="336">
        <f t="shared" si="1799"/>
        <v>0</v>
      </c>
      <c r="FE242" s="336">
        <f t="shared" si="1800"/>
        <v>0</v>
      </c>
      <c r="FF242" s="336">
        <f t="shared" si="1801"/>
        <v>0</v>
      </c>
      <c r="FG242" s="336">
        <f t="shared" si="1802"/>
        <v>0</v>
      </c>
      <c r="FH242" s="336">
        <f t="shared" si="1803"/>
        <v>0</v>
      </c>
      <c r="FI242" s="336">
        <f t="shared" si="1804"/>
        <v>0</v>
      </c>
      <c r="FJ242" s="336">
        <f t="shared" si="1805"/>
        <v>0</v>
      </c>
      <c r="FK242" s="336">
        <f t="shared" si="1806"/>
        <v>0</v>
      </c>
      <c r="FL242" s="336">
        <f t="shared" si="1807"/>
        <v>0</v>
      </c>
      <c r="FM242" s="336">
        <f t="shared" si="1808"/>
        <v>0</v>
      </c>
      <c r="FN242" s="336">
        <f t="shared" si="1809"/>
        <v>0</v>
      </c>
      <c r="FO242" s="336">
        <f t="shared" si="1810"/>
        <v>0</v>
      </c>
      <c r="FP242" s="336">
        <f t="shared" si="1811"/>
        <v>0</v>
      </c>
      <c r="FQ242" s="336">
        <f t="shared" si="1812"/>
        <v>0</v>
      </c>
      <c r="FR242" s="336">
        <f t="shared" si="1813"/>
        <v>0</v>
      </c>
      <c r="FS242" s="336">
        <f t="shared" si="1814"/>
        <v>0</v>
      </c>
      <c r="FT242" s="336">
        <f t="shared" si="1815"/>
        <v>0</v>
      </c>
      <c r="FU242" s="336">
        <f t="shared" si="1893"/>
        <v>0</v>
      </c>
      <c r="FV242" s="336">
        <f t="shared" si="1894"/>
        <v>0</v>
      </c>
      <c r="FW242" s="336">
        <f t="shared" si="1895"/>
        <v>0</v>
      </c>
      <c r="FX242" s="336">
        <f t="shared" si="1896"/>
        <v>0</v>
      </c>
      <c r="FY242" s="336">
        <f t="shared" si="1820"/>
        <v>0</v>
      </c>
      <c r="FZ242" s="336">
        <f t="shared" si="1821"/>
        <v>0</v>
      </c>
      <c r="GA242" s="336">
        <f t="shared" si="1822"/>
        <v>0</v>
      </c>
      <c r="GB242" s="336">
        <f t="shared" si="1823"/>
        <v>0</v>
      </c>
      <c r="GC242" s="336">
        <f t="shared" si="1824"/>
        <v>0</v>
      </c>
      <c r="GD242" s="336">
        <f t="shared" si="1825"/>
        <v>0</v>
      </c>
      <c r="GE242" s="336">
        <f t="shared" si="1826"/>
        <v>0</v>
      </c>
      <c r="GF242" s="336">
        <f t="shared" si="1827"/>
        <v>0</v>
      </c>
      <c r="GG242" s="336">
        <f t="shared" si="1828"/>
        <v>0</v>
      </c>
      <c r="GH242" s="336">
        <f t="shared" si="1829"/>
        <v>0</v>
      </c>
      <c r="GI242" s="336">
        <f t="shared" si="1830"/>
        <v>0</v>
      </c>
      <c r="GJ242" s="336">
        <f t="shared" si="1831"/>
        <v>0</v>
      </c>
      <c r="GK242" s="336">
        <f t="shared" si="1750"/>
        <v>0</v>
      </c>
      <c r="GL242" s="336">
        <f t="shared" si="1897"/>
        <v>0</v>
      </c>
      <c r="GM242" s="336">
        <f t="shared" si="1832"/>
        <v>0</v>
      </c>
    </row>
    <row r="243" spans="1:195" ht="31.5" customHeight="1">
      <c r="A243" s="337">
        <f t="shared" si="1898"/>
        <v>157</v>
      </c>
      <c r="B243" s="526"/>
      <c r="C243" s="337" t="s">
        <v>636</v>
      </c>
      <c r="D243" s="787" t="s">
        <v>1685</v>
      </c>
      <c r="E243" s="500" t="s">
        <v>555</v>
      </c>
      <c r="F243" s="516" t="s">
        <v>28</v>
      </c>
      <c r="G243" s="337" t="s">
        <v>329</v>
      </c>
      <c r="H243" s="583">
        <v>1.8</v>
      </c>
      <c r="I243" s="337" t="s">
        <v>330</v>
      </c>
      <c r="J243" s="337" t="s">
        <v>357</v>
      </c>
      <c r="K243" s="349">
        <v>230</v>
      </c>
      <c r="L243" s="343">
        <v>0.85</v>
      </c>
      <c r="M243" s="350">
        <v>0.95</v>
      </c>
      <c r="N243" s="342">
        <f t="shared" si="1834"/>
        <v>9.6917485529680985</v>
      </c>
      <c r="O243" s="342">
        <f t="shared" si="1899"/>
        <v>0</v>
      </c>
      <c r="P243" s="343" t="str">
        <f t="shared" si="1835"/>
        <v>0.00</v>
      </c>
      <c r="Q243" s="350">
        <v>65</v>
      </c>
      <c r="R243" s="350">
        <v>0</v>
      </c>
      <c r="S243" s="350">
        <f t="shared" si="1836"/>
        <v>0</v>
      </c>
      <c r="T243" s="343" t="s">
        <v>131</v>
      </c>
      <c r="U243" s="350" t="s">
        <v>333</v>
      </c>
      <c r="V243" s="343">
        <v>16</v>
      </c>
      <c r="W243" s="343" t="str">
        <f t="shared" si="1837"/>
        <v>3C X 16</v>
      </c>
      <c r="X243" s="343" t="str">
        <f t="shared" si="1838"/>
        <v>3C X 16</v>
      </c>
      <c r="Y243" s="343" t="s">
        <v>358</v>
      </c>
      <c r="Z243" s="344">
        <f>IF(T243="AIR",VLOOKUP(W243,'Catalogue Aluminium'!$B$9:$G$93,2,FALSE),IF(T243="GROUND",VLOOKUP(W243,'Catalogue Aluminium'!$B$9:$G$93,3,FALSE),IF(T243="DUCT",VLOOKUP(W243,'Catalogue Aluminium'!$B$9:$G$93,4,FALSE),IF(T243="TRENCH",VLOOKUP(W243,'Catalogue Aluminium'!$B$9:$G$93,2,FALSE)))))</f>
        <v>70</v>
      </c>
      <c r="AA243" s="345">
        <f>VLOOKUP(W243,'Catalogue Aluminium'!$B$9:$G$93,5,FALSE)</f>
        <v>2.44</v>
      </c>
      <c r="AB243" s="345">
        <f>VLOOKUP(W243,'Catalogue Aluminium'!$B$9:$G$93,6,FALSE)</f>
        <v>8.1500000000000003E-2</v>
      </c>
      <c r="AC243" s="457">
        <f t="shared" si="1889"/>
        <v>38</v>
      </c>
      <c r="AD243" s="401">
        <v>80</v>
      </c>
      <c r="AE243" s="401">
        <v>5</v>
      </c>
      <c r="AF243" s="401">
        <v>8</v>
      </c>
      <c r="AG243" s="401">
        <f t="shared" si="1840"/>
        <v>14</v>
      </c>
      <c r="AH243" s="347">
        <f t="shared" si="1850"/>
        <v>145</v>
      </c>
      <c r="AI243" s="344">
        <f>IF(T243="AIR",'Catalogue Aluminium'!$K$9,IF(T243="TRENCH",'Catalogue Aluminium'!$K$12,"NA"))</f>
        <v>0.89</v>
      </c>
      <c r="AJ243" s="342">
        <f>IF(T243="Air",(IF(U243="1C",'Catalogue Aluminium'!$L$9,'Catalogue Aluminium'!$M$9)),IF(T243="DUCT",(IF($U243="1C",'Catalogue Aluminium'!$L$10,'Catalogue Aluminium'!$M$10)),IF(T243="GROUND",(IF($U243="1C",'Catalogue Aluminium'!$L$11,'Catalogue Aluminium'!$M$11)),IF(T243="TRENCH",(IF($U243="1C",'Catalogue Aluminium'!$L$12,'Catalogue Aluminium'!$M$12))))))</f>
        <v>0.66</v>
      </c>
      <c r="AK243" s="344" t="str">
        <f>IF(T243="Air",'Catalogue Aluminium'!$N$9,IF(T243="GROUND",'Catalogue Aluminium'!$N$10,IF(T243="DUCT",'Catalogue Aluminium'!$N$11,IF(T243="TRENCH",'Catalogue Aluminium'!$N$12,"NA"))))</f>
        <v>NA</v>
      </c>
      <c r="AL243" s="344" t="str">
        <f>IF(T243="Air",(IF(U243="1C",'Catalogue Aluminium'!$O$9,'Catalogue Aluminium'!$P$9)),IF(T243="DUCT",(IF($U243="1C",'Catalogue Aluminium'!$O$10,'Catalogue Aluminium'!$P$10)),IF(T243="GROUND",(IF($U243="1C",'Catalogue Aluminium'!$O$11,'Catalogue Aluminium'!$P$11)),IF(T243="TRENCH",(IF($U243="1C",'Catalogue Aluminium'!$O$12,'Catalogue Aluminium'!$P$12))))))</f>
        <v>NA</v>
      </c>
      <c r="AM243" s="344" t="str">
        <f>IF(T243="AIR","NA",IF(T243="TRENCH","NA",IF(T243="DUCT",IF(U243="1C",VLOOKUP(V243,'Catalogue Aluminium'!$Q$9:$S$28,2,FALSE),VLOOKUP(V243,'Catalogue Aluminium'!$Q$9:$S$28,3)),IF(T243="GROUND",IF(U243="1C",VLOOKUP(V243,'Catalogue Aluminium'!$Q$9:$S$28,2,FALSE),VLOOKUP(V243,'Catalogue Aluminium'!$Q$9:$S$28,3))))))</f>
        <v>NA</v>
      </c>
      <c r="AN243" s="351">
        <f t="shared" si="1841"/>
        <v>0.58740000000000003</v>
      </c>
      <c r="AO243" s="350">
        <f t="shared" si="1842"/>
        <v>41.118000000000002</v>
      </c>
      <c r="AP243" s="349">
        <f t="shared" si="1888"/>
        <v>1</v>
      </c>
      <c r="AQ243" s="350" t="str">
        <f t="shared" si="1843"/>
        <v>YES</v>
      </c>
      <c r="AR243" s="351">
        <f t="shared" si="1844"/>
        <v>2.2403197184308845</v>
      </c>
      <c r="AS243" s="343" t="str">
        <f t="shared" si="1845"/>
        <v>YES</v>
      </c>
      <c r="AT243" s="351" t="str">
        <f t="shared" si="1846"/>
        <v>NA</v>
      </c>
      <c r="AU243" s="343" t="str">
        <f t="shared" si="1847"/>
        <v>NA</v>
      </c>
      <c r="AV243" s="354" t="str">
        <f t="shared" si="1848"/>
        <v>1R x 0.6/1kV x 3C x 16 Sqmm</v>
      </c>
      <c r="AW243" s="354" t="str">
        <f t="shared" si="1849"/>
        <v>1R x 0.6/1kV x 3C x 16 Sqmm</v>
      </c>
      <c r="AX243" s="343">
        <f t="shared" si="1890"/>
        <v>145</v>
      </c>
      <c r="AY243" s="355"/>
      <c r="AZ243" s="355">
        <f t="shared" si="1891"/>
        <v>2</v>
      </c>
      <c r="BA243" s="356" t="str">
        <f t="shared" si="1851"/>
        <v>AB</v>
      </c>
      <c r="BB243" s="501">
        <f>VLOOKUP(W243,'Catalogue Aluminium'!$B$9:$H$93,7,FALSE)</f>
        <v>19</v>
      </c>
      <c r="BC243" s="328">
        <f t="shared" si="1892"/>
        <v>19</v>
      </c>
      <c r="BE243" s="336"/>
      <c r="BF243" s="336">
        <v>1</v>
      </c>
      <c r="BG243" s="336">
        <v>1</v>
      </c>
      <c r="BH243" s="336"/>
      <c r="BI243" s="336"/>
      <c r="BJ243" s="336"/>
      <c r="BK243" s="336"/>
      <c r="BL243" s="336"/>
      <c r="BM243" s="336"/>
      <c r="BN243" s="336"/>
      <c r="BO243" s="336"/>
      <c r="BP243" s="336"/>
      <c r="BQ243" s="336"/>
      <c r="BR243" s="336"/>
      <c r="BS243" s="336"/>
      <c r="BT243" s="336"/>
      <c r="BU243" s="336"/>
      <c r="BV243" s="336"/>
      <c r="BW243" s="336"/>
      <c r="BX243" s="336"/>
      <c r="BY243" s="336"/>
      <c r="BZ243" s="336"/>
      <c r="CA243" s="336"/>
      <c r="CB243" s="336"/>
      <c r="CC243" s="336"/>
      <c r="CD243" s="336"/>
      <c r="CE243" s="336"/>
      <c r="CF243" s="336"/>
      <c r="CG243" s="336"/>
      <c r="CH243" s="336"/>
      <c r="CI243" s="336"/>
      <c r="CJ243" s="336"/>
      <c r="CK243" s="336"/>
      <c r="CL243" s="336"/>
      <c r="CM243" s="336"/>
      <c r="CN243" s="336"/>
      <c r="CO243" s="336"/>
      <c r="CP243" s="336"/>
      <c r="CQ243" s="336"/>
      <c r="CR243" s="336"/>
      <c r="CS243" s="336"/>
      <c r="CT243" s="336"/>
      <c r="CU243" s="336"/>
      <c r="CV243" s="336"/>
      <c r="CW243" s="336"/>
      <c r="CX243" s="336"/>
      <c r="CY243" s="336"/>
      <c r="CZ243" s="336"/>
      <c r="DA243" s="336"/>
      <c r="DB243" s="336"/>
      <c r="DC243" s="336"/>
      <c r="DD243" s="336"/>
      <c r="DE243" s="336"/>
      <c r="DF243" s="336"/>
      <c r="DG243" s="336"/>
      <c r="DH243" s="336"/>
      <c r="DI243" s="336"/>
      <c r="DJ243" s="336"/>
      <c r="DK243" s="336"/>
      <c r="DL243" s="336"/>
      <c r="DM243" s="336"/>
      <c r="DN243" s="336"/>
      <c r="DO243" s="336"/>
      <c r="DP243" s="336"/>
      <c r="DQ243" s="336"/>
      <c r="DR243" s="336"/>
      <c r="DS243" s="336"/>
      <c r="DT243" s="336"/>
      <c r="DU243" s="336"/>
      <c r="DW243" s="336">
        <f t="shared" si="1872"/>
        <v>0</v>
      </c>
      <c r="DX243" s="336">
        <f t="shared" si="1862"/>
        <v>19</v>
      </c>
      <c r="DY243" s="336">
        <f t="shared" si="1863"/>
        <v>19</v>
      </c>
      <c r="DZ243" s="336">
        <f t="shared" si="1864"/>
        <v>0</v>
      </c>
      <c r="EA243" s="336">
        <f t="shared" si="1865"/>
        <v>0</v>
      </c>
      <c r="EB243" s="336">
        <f t="shared" si="1866"/>
        <v>0</v>
      </c>
      <c r="EC243" s="336">
        <f t="shared" si="1867"/>
        <v>0</v>
      </c>
      <c r="ED243" s="336">
        <f t="shared" si="1774"/>
        <v>0</v>
      </c>
      <c r="EE243" s="336">
        <f t="shared" si="1775"/>
        <v>0</v>
      </c>
      <c r="EF243" s="336">
        <f t="shared" si="1776"/>
        <v>0</v>
      </c>
      <c r="EG243" s="336">
        <f t="shared" si="1777"/>
        <v>0</v>
      </c>
      <c r="EH243" s="336">
        <f t="shared" si="1778"/>
        <v>0</v>
      </c>
      <c r="EI243" s="336">
        <f t="shared" si="1779"/>
        <v>0</v>
      </c>
      <c r="EJ243" s="336">
        <f t="shared" si="1780"/>
        <v>0</v>
      </c>
      <c r="EK243" s="336">
        <f t="shared" si="1781"/>
        <v>0</v>
      </c>
      <c r="EL243" s="336">
        <f t="shared" si="1782"/>
        <v>0</v>
      </c>
      <c r="EM243" s="336">
        <f t="shared" si="1783"/>
        <v>0</v>
      </c>
      <c r="EN243" s="336">
        <f t="shared" si="1784"/>
        <v>0</v>
      </c>
      <c r="EO243" s="336">
        <f t="shared" si="1785"/>
        <v>0</v>
      </c>
      <c r="EP243" s="336">
        <f t="shared" si="1786"/>
        <v>0</v>
      </c>
      <c r="EQ243" s="336">
        <f t="shared" si="1787"/>
        <v>0</v>
      </c>
      <c r="ER243" s="336">
        <f t="shared" si="1788"/>
        <v>0</v>
      </c>
      <c r="ES243" s="336">
        <f t="shared" si="1789"/>
        <v>0</v>
      </c>
      <c r="ET243" s="336">
        <f t="shared" si="1789"/>
        <v>0</v>
      </c>
      <c r="EU243" s="336">
        <f t="shared" si="1790"/>
        <v>0</v>
      </c>
      <c r="EV243" s="336">
        <f t="shared" si="1791"/>
        <v>0</v>
      </c>
      <c r="EW243" s="336">
        <f t="shared" si="1792"/>
        <v>0</v>
      </c>
      <c r="EX243" s="336">
        <f t="shared" si="1793"/>
        <v>0</v>
      </c>
      <c r="EY243" s="336">
        <f t="shared" si="1794"/>
        <v>0</v>
      </c>
      <c r="EZ243" s="336">
        <f t="shared" si="1795"/>
        <v>0</v>
      </c>
      <c r="FA243" s="336">
        <f t="shared" si="1796"/>
        <v>0</v>
      </c>
      <c r="FB243" s="336">
        <f t="shared" si="1797"/>
        <v>0</v>
      </c>
      <c r="FC243" s="336">
        <f t="shared" si="1798"/>
        <v>0</v>
      </c>
      <c r="FD243" s="336">
        <f t="shared" si="1799"/>
        <v>0</v>
      </c>
      <c r="FE243" s="336">
        <f t="shared" si="1800"/>
        <v>0</v>
      </c>
      <c r="FF243" s="336">
        <f t="shared" si="1801"/>
        <v>0</v>
      </c>
      <c r="FG243" s="336">
        <f t="shared" si="1802"/>
        <v>0</v>
      </c>
      <c r="FH243" s="336">
        <f t="shared" si="1803"/>
        <v>0</v>
      </c>
      <c r="FI243" s="336">
        <f t="shared" si="1804"/>
        <v>0</v>
      </c>
      <c r="FJ243" s="336">
        <f t="shared" si="1805"/>
        <v>0</v>
      </c>
      <c r="FK243" s="336">
        <f t="shared" si="1806"/>
        <v>0</v>
      </c>
      <c r="FL243" s="336">
        <f t="shared" si="1807"/>
        <v>0</v>
      </c>
      <c r="FM243" s="336">
        <f t="shared" si="1808"/>
        <v>0</v>
      </c>
      <c r="FN243" s="336">
        <f t="shared" si="1809"/>
        <v>0</v>
      </c>
      <c r="FO243" s="336">
        <f t="shared" si="1810"/>
        <v>0</v>
      </c>
      <c r="FP243" s="336">
        <f t="shared" si="1811"/>
        <v>0</v>
      </c>
      <c r="FQ243" s="336">
        <f t="shared" si="1812"/>
        <v>0</v>
      </c>
      <c r="FR243" s="336">
        <f t="shared" si="1813"/>
        <v>0</v>
      </c>
      <c r="FS243" s="336">
        <f t="shared" si="1814"/>
        <v>0</v>
      </c>
      <c r="FT243" s="336">
        <f t="shared" si="1815"/>
        <v>0</v>
      </c>
      <c r="FU243" s="336">
        <f t="shared" si="1893"/>
        <v>0</v>
      </c>
      <c r="FV243" s="336">
        <f t="shared" si="1894"/>
        <v>0</v>
      </c>
      <c r="FW243" s="336">
        <f t="shared" si="1895"/>
        <v>0</v>
      </c>
      <c r="FX243" s="336">
        <f t="shared" si="1896"/>
        <v>0</v>
      </c>
      <c r="FY243" s="336">
        <f t="shared" si="1820"/>
        <v>0</v>
      </c>
      <c r="FZ243" s="336">
        <f t="shared" si="1821"/>
        <v>0</v>
      </c>
      <c r="GA243" s="336">
        <f t="shared" si="1822"/>
        <v>0</v>
      </c>
      <c r="GB243" s="336">
        <f t="shared" si="1823"/>
        <v>0</v>
      </c>
      <c r="GC243" s="336">
        <f t="shared" si="1824"/>
        <v>0</v>
      </c>
      <c r="GD243" s="336">
        <f t="shared" si="1825"/>
        <v>0</v>
      </c>
      <c r="GE243" s="336">
        <f t="shared" si="1826"/>
        <v>0</v>
      </c>
      <c r="GF243" s="336">
        <f t="shared" si="1827"/>
        <v>0</v>
      </c>
      <c r="GG243" s="336">
        <f t="shared" si="1828"/>
        <v>0</v>
      </c>
      <c r="GH243" s="336">
        <f t="shared" si="1829"/>
        <v>0</v>
      </c>
      <c r="GI243" s="336">
        <f t="shared" si="1830"/>
        <v>0</v>
      </c>
      <c r="GJ243" s="336">
        <f t="shared" si="1831"/>
        <v>0</v>
      </c>
      <c r="GK243" s="336">
        <f t="shared" si="1750"/>
        <v>0</v>
      </c>
      <c r="GL243" s="336">
        <f t="shared" si="1897"/>
        <v>0</v>
      </c>
      <c r="GM243" s="336">
        <f t="shared" si="1832"/>
        <v>0</v>
      </c>
    </row>
    <row r="244" spans="1:195" ht="20.100000000000001" customHeight="1">
      <c r="A244" s="337">
        <f t="shared" si="1898"/>
        <v>158</v>
      </c>
      <c r="B244" s="526"/>
      <c r="C244" s="337" t="s">
        <v>636</v>
      </c>
      <c r="D244" s="372" t="s">
        <v>694</v>
      </c>
      <c r="E244" s="500" t="s">
        <v>555</v>
      </c>
      <c r="F244" s="516" t="s">
        <v>28</v>
      </c>
      <c r="G244" s="337" t="s">
        <v>329</v>
      </c>
      <c r="H244" s="583">
        <v>0.18</v>
      </c>
      <c r="I244" s="337" t="s">
        <v>330</v>
      </c>
      <c r="J244" s="337" t="s">
        <v>357</v>
      </c>
      <c r="K244" s="349">
        <v>230</v>
      </c>
      <c r="L244" s="343">
        <v>0.85</v>
      </c>
      <c r="M244" s="350">
        <v>0.95</v>
      </c>
      <c r="N244" s="342">
        <f t="shared" si="1834"/>
        <v>0.9691748552968098</v>
      </c>
      <c r="O244" s="342">
        <f t="shared" si="1899"/>
        <v>0</v>
      </c>
      <c r="P244" s="343" t="str">
        <f t="shared" si="1835"/>
        <v>0.00</v>
      </c>
      <c r="Q244" s="350">
        <v>65</v>
      </c>
      <c r="R244" s="350">
        <v>0</v>
      </c>
      <c r="S244" s="350">
        <f t="shared" si="1836"/>
        <v>0</v>
      </c>
      <c r="T244" s="343" t="s">
        <v>131</v>
      </c>
      <c r="U244" s="350" t="s">
        <v>333</v>
      </c>
      <c r="V244" s="343">
        <v>4</v>
      </c>
      <c r="W244" s="343" t="str">
        <f t="shared" si="1837"/>
        <v>3C X 4</v>
      </c>
      <c r="X244" s="343" t="str">
        <f t="shared" si="1838"/>
        <v>3C X 4</v>
      </c>
      <c r="Y244" s="343" t="s">
        <v>358</v>
      </c>
      <c r="Z244" s="344">
        <f>IF(T244="AIR",VLOOKUP(W244,'Catalogue Aluminium'!$B$9:$G$93,2,FALSE),IF(T244="GROUND",VLOOKUP(W244,'Catalogue Aluminium'!$B$9:$G$93,3,FALSE),IF(T244="DUCT",VLOOKUP(W244,'Catalogue Aluminium'!$B$9:$G$93,4,FALSE),IF(T244="TRENCH",VLOOKUP(W244,'Catalogue Aluminium'!$B$9:$G$93,2,FALSE)))))</f>
        <v>38</v>
      </c>
      <c r="AA244" s="345">
        <f>VLOOKUP(W244,'Catalogue Aluminium'!$B$9:$G$93,5,FALSE)</f>
        <v>5.9</v>
      </c>
      <c r="AB244" s="345">
        <f>VLOOKUP(W244,'Catalogue Aluminium'!$B$9:$G$93,6,FALSE)</f>
        <v>9.4700000000000006E-2</v>
      </c>
      <c r="AC244" s="457">
        <f t="shared" si="1889"/>
        <v>38</v>
      </c>
      <c r="AD244" s="401">
        <v>80</v>
      </c>
      <c r="AE244" s="401">
        <v>5</v>
      </c>
      <c r="AF244" s="401">
        <v>8</v>
      </c>
      <c r="AG244" s="401">
        <f t="shared" si="1840"/>
        <v>14</v>
      </c>
      <c r="AH244" s="347">
        <f t="shared" si="1850"/>
        <v>145</v>
      </c>
      <c r="AI244" s="344">
        <f>IF(T244="AIR",'Catalogue Aluminium'!$K$9,IF(T244="TRENCH",'Catalogue Aluminium'!$K$12,"NA"))</f>
        <v>0.89</v>
      </c>
      <c r="AJ244" s="342">
        <f>IF(T244="Air",(IF(U244="1C",'Catalogue Aluminium'!$L$9,'Catalogue Aluminium'!$M$9)),IF(T244="DUCT",(IF($U244="1C",'Catalogue Aluminium'!$L$10,'Catalogue Aluminium'!$M$10)),IF(T244="GROUND",(IF($U244="1C",'Catalogue Aluminium'!$L$11,'Catalogue Aluminium'!$M$11)),IF(T244="TRENCH",(IF($U244="1C",'Catalogue Aluminium'!$L$12,'Catalogue Aluminium'!$M$12))))))</f>
        <v>0.66</v>
      </c>
      <c r="AK244" s="344" t="str">
        <f>IF(T244="Air",'Catalogue Aluminium'!$N$9,IF(T244="GROUND",'Catalogue Aluminium'!$N$10,IF(T244="DUCT",'Catalogue Aluminium'!$N$11,IF(T244="TRENCH",'Catalogue Aluminium'!$N$12,"NA"))))</f>
        <v>NA</v>
      </c>
      <c r="AL244" s="344" t="str">
        <f>IF(T244="Air",(IF(U244="1C",'Catalogue Aluminium'!$O$9,'Catalogue Aluminium'!$P$9)),IF(T244="DUCT",(IF($U244="1C",'Catalogue Aluminium'!$O$10,'Catalogue Aluminium'!$P$10)),IF(T244="GROUND",(IF($U244="1C",'Catalogue Aluminium'!$O$11,'Catalogue Aluminium'!$P$11)),IF(T244="TRENCH",(IF($U244="1C",'Catalogue Aluminium'!$O$12,'Catalogue Aluminium'!$P$12))))))</f>
        <v>NA</v>
      </c>
      <c r="AM244" s="344" t="str">
        <f>IF(T244="AIR","NA",IF(T244="TRENCH","NA",IF(T244="DUCT",IF(U244="1C",VLOOKUP(V244,'Catalogue Aluminium'!$Q$9:$S$28,2,FALSE),VLOOKUP(V244,'Catalogue Aluminium'!$Q$9:$S$28,3)),IF(T244="GROUND",IF(U244="1C",VLOOKUP(V244,'Catalogue Aluminium'!$Q$9:$S$28,2,FALSE),VLOOKUP(V244,'Catalogue Aluminium'!$Q$9:$S$28,3))))))</f>
        <v>NA</v>
      </c>
      <c r="AN244" s="351">
        <f t="shared" si="1841"/>
        <v>0.58740000000000003</v>
      </c>
      <c r="AO244" s="350">
        <f t="shared" si="1842"/>
        <v>22.321200000000001</v>
      </c>
      <c r="AP244" s="349">
        <f t="shared" si="1888"/>
        <v>1</v>
      </c>
      <c r="AQ244" s="350" t="str">
        <f t="shared" si="1843"/>
        <v>YES</v>
      </c>
      <c r="AR244" s="351">
        <f t="shared" si="1844"/>
        <v>0.53600968128050719</v>
      </c>
      <c r="AS244" s="343" t="str">
        <f t="shared" si="1845"/>
        <v>YES</v>
      </c>
      <c r="AT244" s="351" t="str">
        <f t="shared" si="1846"/>
        <v>NA</v>
      </c>
      <c r="AU244" s="343" t="str">
        <f t="shared" si="1847"/>
        <v>NA</v>
      </c>
      <c r="AV244" s="354" t="str">
        <f t="shared" si="1848"/>
        <v>1R x 0.6/1kV x 3C x 4 Sqmm</v>
      </c>
      <c r="AW244" s="354" t="str">
        <f t="shared" si="1849"/>
        <v>1R x 0.6/1kV x 3C x 4 Sqmm</v>
      </c>
      <c r="AX244" s="343">
        <f t="shared" si="1890"/>
        <v>145</v>
      </c>
      <c r="AY244" s="355"/>
      <c r="AZ244" s="355">
        <f t="shared" si="1891"/>
        <v>2</v>
      </c>
      <c r="BA244" s="356" t="str">
        <f t="shared" si="1851"/>
        <v>AB</v>
      </c>
      <c r="BB244" s="501">
        <f>VLOOKUP(W244,'Catalogue Aluminium'!$B$9:$H$93,7,FALSE)</f>
        <v>15</v>
      </c>
      <c r="BC244" s="328">
        <f t="shared" si="1892"/>
        <v>15</v>
      </c>
      <c r="BE244" s="336"/>
      <c r="BF244" s="336">
        <v>1</v>
      </c>
      <c r="BG244" s="336">
        <v>1</v>
      </c>
      <c r="BH244" s="336"/>
      <c r="BI244" s="336"/>
      <c r="BJ244" s="336"/>
      <c r="BK244" s="336"/>
      <c r="BL244" s="336"/>
      <c r="BM244" s="336"/>
      <c r="BN244" s="336"/>
      <c r="BO244" s="336"/>
      <c r="BP244" s="336"/>
      <c r="BQ244" s="336"/>
      <c r="BR244" s="336"/>
      <c r="BS244" s="336"/>
      <c r="BT244" s="336"/>
      <c r="BU244" s="336"/>
      <c r="BV244" s="336"/>
      <c r="BW244" s="336"/>
      <c r="BX244" s="336"/>
      <c r="BY244" s="336"/>
      <c r="BZ244" s="336"/>
      <c r="CA244" s="336"/>
      <c r="CB244" s="336"/>
      <c r="CC244" s="336"/>
      <c r="CD244" s="336"/>
      <c r="CE244" s="336"/>
      <c r="CF244" s="336"/>
      <c r="CG244" s="336"/>
      <c r="CH244" s="336"/>
      <c r="CI244" s="336"/>
      <c r="CJ244" s="336"/>
      <c r="CK244" s="336"/>
      <c r="CL244" s="336"/>
      <c r="CM244" s="336"/>
      <c r="CN244" s="336"/>
      <c r="CO244" s="336"/>
      <c r="CP244" s="336"/>
      <c r="CQ244" s="336"/>
      <c r="CR244" s="336"/>
      <c r="CS244" s="336"/>
      <c r="CT244" s="336"/>
      <c r="CU244" s="336"/>
      <c r="CV244" s="336"/>
      <c r="CW244" s="336"/>
      <c r="CX244" s="336"/>
      <c r="CY244" s="336"/>
      <c r="CZ244" s="336"/>
      <c r="DA244" s="336"/>
      <c r="DB244" s="336"/>
      <c r="DC244" s="336"/>
      <c r="DD244" s="336"/>
      <c r="DE244" s="336"/>
      <c r="DF244" s="336"/>
      <c r="DG244" s="336"/>
      <c r="DH244" s="336"/>
      <c r="DI244" s="336"/>
      <c r="DJ244" s="336"/>
      <c r="DK244" s="336"/>
      <c r="DL244" s="336"/>
      <c r="DM244" s="336"/>
      <c r="DN244" s="336"/>
      <c r="DO244" s="336"/>
      <c r="DP244" s="336"/>
      <c r="DQ244" s="336"/>
      <c r="DR244" s="336"/>
      <c r="DS244" s="336"/>
      <c r="DT244" s="336"/>
      <c r="DU244" s="336"/>
      <c r="DW244" s="336">
        <f t="shared" si="1872"/>
        <v>0</v>
      </c>
      <c r="DX244" s="336">
        <f t="shared" si="1862"/>
        <v>15</v>
      </c>
      <c r="DY244" s="336">
        <f t="shared" si="1863"/>
        <v>15</v>
      </c>
      <c r="DZ244" s="336">
        <f t="shared" si="1864"/>
        <v>0</v>
      </c>
      <c r="EA244" s="336">
        <f t="shared" si="1865"/>
        <v>0</v>
      </c>
      <c r="EB244" s="336">
        <f t="shared" si="1866"/>
        <v>0</v>
      </c>
      <c r="EC244" s="336">
        <f t="shared" si="1867"/>
        <v>0</v>
      </c>
      <c r="ED244" s="336">
        <f t="shared" si="1774"/>
        <v>0</v>
      </c>
      <c r="EE244" s="336">
        <f t="shared" si="1775"/>
        <v>0</v>
      </c>
      <c r="EF244" s="336">
        <f t="shared" si="1776"/>
        <v>0</v>
      </c>
      <c r="EG244" s="336">
        <f t="shared" si="1777"/>
        <v>0</v>
      </c>
      <c r="EH244" s="336">
        <f t="shared" si="1778"/>
        <v>0</v>
      </c>
      <c r="EI244" s="336">
        <f t="shared" si="1779"/>
        <v>0</v>
      </c>
      <c r="EJ244" s="336">
        <f t="shared" si="1780"/>
        <v>0</v>
      </c>
      <c r="EK244" s="336">
        <f t="shared" si="1781"/>
        <v>0</v>
      </c>
      <c r="EL244" s="336">
        <f t="shared" si="1782"/>
        <v>0</v>
      </c>
      <c r="EM244" s="336">
        <f t="shared" si="1783"/>
        <v>0</v>
      </c>
      <c r="EN244" s="336">
        <f t="shared" si="1784"/>
        <v>0</v>
      </c>
      <c r="EO244" s="336">
        <f t="shared" si="1785"/>
        <v>0</v>
      </c>
      <c r="EP244" s="336">
        <f t="shared" si="1786"/>
        <v>0</v>
      </c>
      <c r="EQ244" s="336">
        <f t="shared" si="1787"/>
        <v>0</v>
      </c>
      <c r="ER244" s="336">
        <f t="shared" si="1788"/>
        <v>0</v>
      </c>
      <c r="ES244" s="336">
        <f t="shared" si="1789"/>
        <v>0</v>
      </c>
      <c r="ET244" s="336">
        <f t="shared" si="1789"/>
        <v>0</v>
      </c>
      <c r="EU244" s="336">
        <f t="shared" si="1790"/>
        <v>0</v>
      </c>
      <c r="EV244" s="336">
        <f t="shared" si="1791"/>
        <v>0</v>
      </c>
      <c r="EW244" s="336">
        <f t="shared" si="1792"/>
        <v>0</v>
      </c>
      <c r="EX244" s="336">
        <f t="shared" si="1793"/>
        <v>0</v>
      </c>
      <c r="EY244" s="336">
        <f t="shared" si="1794"/>
        <v>0</v>
      </c>
      <c r="EZ244" s="336">
        <f t="shared" si="1795"/>
        <v>0</v>
      </c>
      <c r="FA244" s="336">
        <f t="shared" si="1796"/>
        <v>0</v>
      </c>
      <c r="FB244" s="336">
        <f t="shared" si="1797"/>
        <v>0</v>
      </c>
      <c r="FC244" s="336">
        <f t="shared" si="1798"/>
        <v>0</v>
      </c>
      <c r="FD244" s="336">
        <f t="shared" si="1799"/>
        <v>0</v>
      </c>
      <c r="FE244" s="336">
        <f t="shared" si="1800"/>
        <v>0</v>
      </c>
      <c r="FF244" s="336">
        <f t="shared" si="1801"/>
        <v>0</v>
      </c>
      <c r="FG244" s="336">
        <f t="shared" si="1802"/>
        <v>0</v>
      </c>
      <c r="FH244" s="336">
        <f t="shared" si="1803"/>
        <v>0</v>
      </c>
      <c r="FI244" s="336">
        <f t="shared" si="1804"/>
        <v>0</v>
      </c>
      <c r="FJ244" s="336">
        <f t="shared" si="1805"/>
        <v>0</v>
      </c>
      <c r="FK244" s="336">
        <f t="shared" si="1806"/>
        <v>0</v>
      </c>
      <c r="FL244" s="336">
        <f t="shared" si="1807"/>
        <v>0</v>
      </c>
      <c r="FM244" s="336">
        <f t="shared" si="1808"/>
        <v>0</v>
      </c>
      <c r="FN244" s="336">
        <f t="shared" si="1809"/>
        <v>0</v>
      </c>
      <c r="FO244" s="336">
        <f t="shared" si="1810"/>
        <v>0</v>
      </c>
      <c r="FP244" s="336">
        <f t="shared" si="1811"/>
        <v>0</v>
      </c>
      <c r="FQ244" s="336">
        <f t="shared" si="1812"/>
        <v>0</v>
      </c>
      <c r="FR244" s="336">
        <f t="shared" si="1813"/>
        <v>0</v>
      </c>
      <c r="FS244" s="336">
        <f t="shared" si="1814"/>
        <v>0</v>
      </c>
      <c r="FT244" s="336">
        <f t="shared" si="1815"/>
        <v>0</v>
      </c>
      <c r="FU244" s="336">
        <f t="shared" si="1893"/>
        <v>0</v>
      </c>
      <c r="FV244" s="336">
        <f t="shared" si="1894"/>
        <v>0</v>
      </c>
      <c r="FW244" s="336">
        <f t="shared" si="1895"/>
        <v>0</v>
      </c>
      <c r="FX244" s="336">
        <f t="shared" si="1896"/>
        <v>0</v>
      </c>
      <c r="FY244" s="336">
        <f t="shared" si="1820"/>
        <v>0</v>
      </c>
      <c r="FZ244" s="336">
        <f t="shared" si="1821"/>
        <v>0</v>
      </c>
      <c r="GA244" s="336">
        <f t="shared" si="1822"/>
        <v>0</v>
      </c>
      <c r="GB244" s="336">
        <f t="shared" si="1823"/>
        <v>0</v>
      </c>
      <c r="GC244" s="336">
        <f t="shared" si="1824"/>
        <v>0</v>
      </c>
      <c r="GD244" s="336">
        <f t="shared" si="1825"/>
        <v>0</v>
      </c>
      <c r="GE244" s="336">
        <f t="shared" si="1826"/>
        <v>0</v>
      </c>
      <c r="GF244" s="336">
        <f t="shared" si="1827"/>
        <v>0</v>
      </c>
      <c r="GG244" s="336">
        <f t="shared" si="1828"/>
        <v>0</v>
      </c>
      <c r="GH244" s="336">
        <f t="shared" si="1829"/>
        <v>0</v>
      </c>
      <c r="GI244" s="336">
        <f t="shared" si="1830"/>
        <v>0</v>
      </c>
      <c r="GJ244" s="336">
        <f t="shared" si="1831"/>
        <v>0</v>
      </c>
      <c r="GK244" s="336">
        <f t="shared" si="1750"/>
        <v>0</v>
      </c>
      <c r="GL244" s="336">
        <f t="shared" si="1897"/>
        <v>0</v>
      </c>
      <c r="GM244" s="336">
        <f t="shared" si="1832"/>
        <v>0</v>
      </c>
    </row>
    <row r="245" spans="1:195" ht="20.100000000000001" customHeight="1">
      <c r="A245" s="337">
        <f t="shared" si="1898"/>
        <v>159</v>
      </c>
      <c r="B245" s="526"/>
      <c r="C245" s="337" t="s">
        <v>636</v>
      </c>
      <c r="D245" s="787" t="s">
        <v>1687</v>
      </c>
      <c r="E245" s="500" t="s">
        <v>555</v>
      </c>
      <c r="F245" s="516" t="s">
        <v>28</v>
      </c>
      <c r="G245" s="337" t="s">
        <v>329</v>
      </c>
      <c r="H245" s="583">
        <v>0.81</v>
      </c>
      <c r="I245" s="337" t="s">
        <v>330</v>
      </c>
      <c r="J245" s="337" t="s">
        <v>357</v>
      </c>
      <c r="K245" s="349">
        <v>230</v>
      </c>
      <c r="L245" s="343">
        <v>0.85</v>
      </c>
      <c r="M245" s="350">
        <v>0.95</v>
      </c>
      <c r="N245" s="342">
        <f t="shared" si="1834"/>
        <v>4.3612868488356442</v>
      </c>
      <c r="O245" s="342">
        <f t="shared" si="1899"/>
        <v>0</v>
      </c>
      <c r="P245" s="343" t="str">
        <f t="shared" si="1835"/>
        <v>0.00</v>
      </c>
      <c r="Q245" s="350">
        <v>65</v>
      </c>
      <c r="R245" s="350">
        <v>0</v>
      </c>
      <c r="S245" s="350">
        <f t="shared" si="1836"/>
        <v>0</v>
      </c>
      <c r="T245" s="343" t="s">
        <v>131</v>
      </c>
      <c r="U245" s="350" t="s">
        <v>333</v>
      </c>
      <c r="V245" s="343">
        <v>4</v>
      </c>
      <c r="W245" s="343" t="str">
        <f t="shared" si="1837"/>
        <v>3C X 4</v>
      </c>
      <c r="X245" s="343" t="str">
        <f t="shared" si="1838"/>
        <v>3C X 4</v>
      </c>
      <c r="Y245" s="343" t="s">
        <v>358</v>
      </c>
      <c r="Z245" s="344">
        <f>IF(T245="AIR",VLOOKUP(W245,'Catalogue Aluminium'!$B$9:$G$93,2,FALSE),IF(T245="GROUND",VLOOKUP(W245,'Catalogue Aluminium'!$B$9:$G$93,3,FALSE),IF(T245="DUCT",VLOOKUP(W245,'Catalogue Aluminium'!$B$9:$G$93,4,FALSE),IF(T245="TRENCH",VLOOKUP(W245,'Catalogue Aluminium'!$B$9:$G$93,2,FALSE)))))</f>
        <v>38</v>
      </c>
      <c r="AA245" s="345">
        <f>VLOOKUP(W245,'Catalogue Aluminium'!$B$9:$G$93,5,FALSE)</f>
        <v>5.9</v>
      </c>
      <c r="AB245" s="345">
        <f>VLOOKUP(W245,'Catalogue Aluminium'!$B$9:$G$93,6,FALSE)</f>
        <v>9.4700000000000006E-2</v>
      </c>
      <c r="AC245" s="457">
        <f t="shared" si="1889"/>
        <v>38</v>
      </c>
      <c r="AD245" s="401">
        <v>80</v>
      </c>
      <c r="AE245" s="401">
        <v>5</v>
      </c>
      <c r="AF245" s="401">
        <v>8</v>
      </c>
      <c r="AG245" s="401">
        <f t="shared" si="1840"/>
        <v>14</v>
      </c>
      <c r="AH245" s="347">
        <f t="shared" si="1850"/>
        <v>145</v>
      </c>
      <c r="AI245" s="344">
        <f>IF(T245="AIR",'Catalogue Aluminium'!$K$9,IF(T245="TRENCH",'Catalogue Aluminium'!$K$12,"NA"))</f>
        <v>0.89</v>
      </c>
      <c r="AJ245" s="342">
        <f>IF(T245="Air",(IF(U245="1C",'Catalogue Aluminium'!$L$9,'Catalogue Aluminium'!$M$9)),IF(T245="DUCT",(IF($U245="1C",'Catalogue Aluminium'!$L$10,'Catalogue Aluminium'!$M$10)),IF(T245="GROUND",(IF($U245="1C",'Catalogue Aluminium'!$L$11,'Catalogue Aluminium'!$M$11)),IF(T245="TRENCH",(IF($U245="1C",'Catalogue Aluminium'!$L$12,'Catalogue Aluminium'!$M$12))))))</f>
        <v>0.66</v>
      </c>
      <c r="AK245" s="344" t="str">
        <f>IF(T245="Air",'Catalogue Aluminium'!$N$9,IF(T245="GROUND",'Catalogue Aluminium'!$N$10,IF(T245="DUCT",'Catalogue Aluminium'!$N$11,IF(T245="TRENCH",'Catalogue Aluminium'!$N$12,"NA"))))</f>
        <v>NA</v>
      </c>
      <c r="AL245" s="344" t="str">
        <f>IF(T245="Air",(IF(U245="1C",'Catalogue Aluminium'!$O$9,'Catalogue Aluminium'!$P$9)),IF(T245="DUCT",(IF($U245="1C",'Catalogue Aluminium'!$O$10,'Catalogue Aluminium'!$P$10)),IF(T245="GROUND",(IF($U245="1C",'Catalogue Aluminium'!$O$11,'Catalogue Aluminium'!$P$11)),IF(T245="TRENCH",(IF($U245="1C",'Catalogue Aluminium'!$O$12,'Catalogue Aluminium'!$P$12))))))</f>
        <v>NA</v>
      </c>
      <c r="AM245" s="344" t="str">
        <f>IF(T245="AIR","NA",IF(T245="TRENCH","NA",IF(T245="DUCT",IF(U245="1C",VLOOKUP(V245,'Catalogue Aluminium'!$Q$9:$S$28,2,FALSE),VLOOKUP(V245,'Catalogue Aluminium'!$Q$9:$S$28,3)),IF(T245="GROUND",IF(U245="1C",VLOOKUP(V245,'Catalogue Aluminium'!$Q$9:$S$28,2,FALSE),VLOOKUP(V245,'Catalogue Aluminium'!$Q$9:$S$28,3))))))</f>
        <v>NA</v>
      </c>
      <c r="AN245" s="351">
        <f t="shared" si="1841"/>
        <v>0.58740000000000003</v>
      </c>
      <c r="AO245" s="350">
        <f t="shared" si="1842"/>
        <v>22.321200000000001</v>
      </c>
      <c r="AP245" s="349">
        <f t="shared" si="1888"/>
        <v>1</v>
      </c>
      <c r="AQ245" s="350" t="str">
        <f t="shared" si="1843"/>
        <v>YES</v>
      </c>
      <c r="AR245" s="351">
        <f t="shared" si="1844"/>
        <v>2.4120435657622825</v>
      </c>
      <c r="AS245" s="343" t="str">
        <f t="shared" si="1845"/>
        <v>YES</v>
      </c>
      <c r="AT245" s="351" t="str">
        <f t="shared" si="1846"/>
        <v>NA</v>
      </c>
      <c r="AU245" s="343" t="str">
        <f t="shared" si="1847"/>
        <v>NA</v>
      </c>
      <c r="AV245" s="354" t="str">
        <f t="shared" si="1848"/>
        <v>1R x 0.6/1kV x 3C x 4 Sqmm</v>
      </c>
      <c r="AW245" s="354" t="str">
        <f t="shared" si="1849"/>
        <v>1R x 0.6/1kV x 3C x 4 Sqmm</v>
      </c>
      <c r="AX245" s="343">
        <f t="shared" si="1890"/>
        <v>145</v>
      </c>
      <c r="AY245" s="355"/>
      <c r="AZ245" s="355">
        <f t="shared" si="1891"/>
        <v>2</v>
      </c>
      <c r="BA245" s="356" t="str">
        <f t="shared" si="1851"/>
        <v>AB</v>
      </c>
      <c r="BB245" s="501">
        <f>VLOOKUP(W245,'Catalogue Aluminium'!$B$9:$H$93,7,FALSE)</f>
        <v>15</v>
      </c>
      <c r="BC245" s="328">
        <f t="shared" si="1892"/>
        <v>15</v>
      </c>
      <c r="BE245" s="336"/>
      <c r="BF245" s="336">
        <v>1</v>
      </c>
      <c r="BG245" s="336">
        <v>1</v>
      </c>
      <c r="BH245" s="336"/>
      <c r="BI245" s="336"/>
      <c r="BJ245" s="336"/>
      <c r="BK245" s="336"/>
      <c r="BL245" s="336"/>
      <c r="BM245" s="336"/>
      <c r="BN245" s="336"/>
      <c r="BO245" s="336"/>
      <c r="BP245" s="336"/>
      <c r="BQ245" s="336"/>
      <c r="BR245" s="336"/>
      <c r="BS245" s="336"/>
      <c r="BT245" s="336"/>
      <c r="BU245" s="336"/>
      <c r="BV245" s="336"/>
      <c r="BW245" s="336"/>
      <c r="BX245" s="336"/>
      <c r="BY245" s="336"/>
      <c r="BZ245" s="336"/>
      <c r="CA245" s="336"/>
      <c r="CB245" s="336"/>
      <c r="CC245" s="336"/>
      <c r="CD245" s="336"/>
      <c r="CE245" s="336"/>
      <c r="CF245" s="336"/>
      <c r="CG245" s="336"/>
      <c r="CH245" s="336"/>
      <c r="CI245" s="336"/>
      <c r="CJ245" s="336"/>
      <c r="CK245" s="336"/>
      <c r="CL245" s="336"/>
      <c r="CM245" s="336"/>
      <c r="CN245" s="336"/>
      <c r="CO245" s="336"/>
      <c r="CP245" s="336"/>
      <c r="CQ245" s="336"/>
      <c r="CR245" s="336"/>
      <c r="CS245" s="336"/>
      <c r="CT245" s="336"/>
      <c r="CU245" s="336"/>
      <c r="CV245" s="336"/>
      <c r="CW245" s="336"/>
      <c r="CX245" s="336"/>
      <c r="CY245" s="336"/>
      <c r="CZ245" s="336"/>
      <c r="DA245" s="336"/>
      <c r="DB245" s="336"/>
      <c r="DC245" s="336"/>
      <c r="DD245" s="336"/>
      <c r="DE245" s="336"/>
      <c r="DF245" s="336"/>
      <c r="DG245" s="336"/>
      <c r="DH245" s="336"/>
      <c r="DI245" s="336"/>
      <c r="DJ245" s="336"/>
      <c r="DK245" s="336"/>
      <c r="DL245" s="336"/>
      <c r="DM245" s="336"/>
      <c r="DN245" s="336"/>
      <c r="DO245" s="336"/>
      <c r="DP245" s="336"/>
      <c r="DQ245" s="336"/>
      <c r="DR245" s="336"/>
      <c r="DS245" s="336"/>
      <c r="DT245" s="336"/>
      <c r="DU245" s="336"/>
      <c r="DW245" s="336">
        <f t="shared" si="1872"/>
        <v>0</v>
      </c>
      <c r="DX245" s="336">
        <f t="shared" si="1862"/>
        <v>15</v>
      </c>
      <c r="DY245" s="336">
        <f t="shared" si="1863"/>
        <v>15</v>
      </c>
      <c r="DZ245" s="336">
        <f t="shared" si="1864"/>
        <v>0</v>
      </c>
      <c r="EA245" s="336">
        <f t="shared" si="1865"/>
        <v>0</v>
      </c>
      <c r="EB245" s="336">
        <f t="shared" si="1866"/>
        <v>0</v>
      </c>
      <c r="EC245" s="336">
        <f t="shared" si="1867"/>
        <v>0</v>
      </c>
      <c r="ED245" s="336">
        <f t="shared" si="1774"/>
        <v>0</v>
      </c>
      <c r="EE245" s="336">
        <f t="shared" si="1775"/>
        <v>0</v>
      </c>
      <c r="EF245" s="336">
        <f t="shared" si="1776"/>
        <v>0</v>
      </c>
      <c r="EG245" s="336">
        <f t="shared" si="1777"/>
        <v>0</v>
      </c>
      <c r="EH245" s="336">
        <f t="shared" si="1778"/>
        <v>0</v>
      </c>
      <c r="EI245" s="336">
        <f t="shared" si="1779"/>
        <v>0</v>
      </c>
      <c r="EJ245" s="336">
        <f t="shared" si="1780"/>
        <v>0</v>
      </c>
      <c r="EK245" s="336">
        <f t="shared" si="1781"/>
        <v>0</v>
      </c>
      <c r="EL245" s="336">
        <f t="shared" si="1782"/>
        <v>0</v>
      </c>
      <c r="EM245" s="336">
        <f t="shared" si="1783"/>
        <v>0</v>
      </c>
      <c r="EN245" s="336">
        <f t="shared" si="1784"/>
        <v>0</v>
      </c>
      <c r="EO245" s="336">
        <f t="shared" si="1785"/>
        <v>0</v>
      </c>
      <c r="EP245" s="336">
        <f t="shared" si="1786"/>
        <v>0</v>
      </c>
      <c r="EQ245" s="336">
        <f t="shared" si="1787"/>
        <v>0</v>
      </c>
      <c r="ER245" s="336">
        <f t="shared" si="1788"/>
        <v>0</v>
      </c>
      <c r="ES245" s="336">
        <f t="shared" si="1789"/>
        <v>0</v>
      </c>
      <c r="ET245" s="336">
        <f t="shared" si="1789"/>
        <v>0</v>
      </c>
      <c r="EU245" s="336">
        <f t="shared" si="1790"/>
        <v>0</v>
      </c>
      <c r="EV245" s="336">
        <f t="shared" si="1791"/>
        <v>0</v>
      </c>
      <c r="EW245" s="336">
        <f t="shared" si="1792"/>
        <v>0</v>
      </c>
      <c r="EX245" s="336">
        <f t="shared" si="1793"/>
        <v>0</v>
      </c>
      <c r="EY245" s="336">
        <f t="shared" si="1794"/>
        <v>0</v>
      </c>
      <c r="EZ245" s="336">
        <f t="shared" si="1795"/>
        <v>0</v>
      </c>
      <c r="FA245" s="336">
        <f t="shared" si="1796"/>
        <v>0</v>
      </c>
      <c r="FB245" s="336">
        <f t="shared" si="1797"/>
        <v>0</v>
      </c>
      <c r="FC245" s="336">
        <f t="shared" si="1798"/>
        <v>0</v>
      </c>
      <c r="FD245" s="336">
        <f t="shared" si="1799"/>
        <v>0</v>
      </c>
      <c r="FE245" s="336">
        <f t="shared" si="1800"/>
        <v>0</v>
      </c>
      <c r="FF245" s="336">
        <f t="shared" si="1801"/>
        <v>0</v>
      </c>
      <c r="FG245" s="336">
        <f t="shared" si="1802"/>
        <v>0</v>
      </c>
      <c r="FH245" s="336">
        <f t="shared" si="1803"/>
        <v>0</v>
      </c>
      <c r="FI245" s="336">
        <f t="shared" si="1804"/>
        <v>0</v>
      </c>
      <c r="FJ245" s="336">
        <f t="shared" si="1805"/>
        <v>0</v>
      </c>
      <c r="FK245" s="336">
        <f t="shared" si="1806"/>
        <v>0</v>
      </c>
      <c r="FL245" s="336">
        <f t="shared" si="1807"/>
        <v>0</v>
      </c>
      <c r="FM245" s="336">
        <f t="shared" si="1808"/>
        <v>0</v>
      </c>
      <c r="FN245" s="336">
        <f t="shared" si="1809"/>
        <v>0</v>
      </c>
      <c r="FO245" s="336">
        <f t="shared" si="1810"/>
        <v>0</v>
      </c>
      <c r="FP245" s="336">
        <f t="shared" si="1811"/>
        <v>0</v>
      </c>
      <c r="FQ245" s="336">
        <f t="shared" si="1812"/>
        <v>0</v>
      </c>
      <c r="FR245" s="336">
        <f t="shared" si="1813"/>
        <v>0</v>
      </c>
      <c r="FS245" s="336">
        <f t="shared" si="1814"/>
        <v>0</v>
      </c>
      <c r="FT245" s="336">
        <f t="shared" si="1815"/>
        <v>0</v>
      </c>
      <c r="FU245" s="336">
        <f t="shared" si="1893"/>
        <v>0</v>
      </c>
      <c r="FV245" s="336">
        <f t="shared" si="1894"/>
        <v>0</v>
      </c>
      <c r="FW245" s="336">
        <f t="shared" si="1895"/>
        <v>0</v>
      </c>
      <c r="FX245" s="336">
        <f t="shared" si="1896"/>
        <v>0</v>
      </c>
      <c r="FY245" s="336">
        <f t="shared" si="1820"/>
        <v>0</v>
      </c>
      <c r="FZ245" s="336">
        <f t="shared" si="1821"/>
        <v>0</v>
      </c>
      <c r="GA245" s="336">
        <f t="shared" si="1822"/>
        <v>0</v>
      </c>
      <c r="GB245" s="336">
        <f t="shared" si="1823"/>
        <v>0</v>
      </c>
      <c r="GC245" s="336">
        <f t="shared" si="1824"/>
        <v>0</v>
      </c>
      <c r="GD245" s="336">
        <f t="shared" si="1825"/>
        <v>0</v>
      </c>
      <c r="GE245" s="336">
        <f t="shared" si="1826"/>
        <v>0</v>
      </c>
      <c r="GF245" s="336">
        <f t="shared" si="1827"/>
        <v>0</v>
      </c>
      <c r="GG245" s="336">
        <f t="shared" si="1828"/>
        <v>0</v>
      </c>
      <c r="GH245" s="336">
        <f t="shared" si="1829"/>
        <v>0</v>
      </c>
      <c r="GI245" s="336">
        <f t="shared" si="1830"/>
        <v>0</v>
      </c>
      <c r="GJ245" s="336">
        <f t="shared" si="1831"/>
        <v>0</v>
      </c>
      <c r="GK245" s="336">
        <f t="shared" si="1750"/>
        <v>0</v>
      </c>
      <c r="GL245" s="336">
        <f t="shared" si="1897"/>
        <v>0</v>
      </c>
      <c r="GM245" s="336">
        <f t="shared" si="1832"/>
        <v>0</v>
      </c>
    </row>
    <row r="246" spans="1:195" s="76" customFormat="1" ht="20.100000000000001" customHeight="1">
      <c r="A246" s="373"/>
      <c r="B246" s="373"/>
      <c r="C246" s="373"/>
      <c r="D246" s="508" t="s">
        <v>695</v>
      </c>
      <c r="E246" s="509"/>
      <c r="F246" s="510"/>
      <c r="G246" s="373"/>
      <c r="H246" s="382"/>
      <c r="I246" s="373"/>
      <c r="J246" s="373"/>
      <c r="K246" s="381"/>
      <c r="L246" s="376"/>
      <c r="M246" s="382"/>
      <c r="N246" s="375"/>
      <c r="O246" s="375"/>
      <c r="P246" s="376"/>
      <c r="Q246" s="382"/>
      <c r="R246" s="382"/>
      <c r="S246" s="382"/>
      <c r="T246" s="376"/>
      <c r="U246" s="382"/>
      <c r="V246" s="376"/>
      <c r="W246" s="376"/>
      <c r="X246" s="376"/>
      <c r="Y246" s="376"/>
      <c r="Z246" s="377"/>
      <c r="AA246" s="378"/>
      <c r="AB246" s="378"/>
      <c r="AC246" s="378"/>
      <c r="AD246" s="378"/>
      <c r="AE246" s="378"/>
      <c r="AF246" s="378"/>
      <c r="AG246" s="378"/>
      <c r="AH246" s="378"/>
      <c r="AI246" s="377"/>
      <c r="AJ246" s="375"/>
      <c r="AK246" s="377"/>
      <c r="AL246" s="377"/>
      <c r="AM246" s="377"/>
      <c r="AN246" s="383"/>
      <c r="AO246" s="382"/>
      <c r="AP246" s="381"/>
      <c r="AQ246" s="382"/>
      <c r="AR246" s="383"/>
      <c r="AS246" s="376"/>
      <c r="AT246" s="383"/>
      <c r="AU246" s="383"/>
      <c r="AV246" s="384"/>
      <c r="AW246" s="384"/>
      <c r="AX246" s="376"/>
      <c r="AY246" s="385"/>
      <c r="AZ246" s="385"/>
      <c r="BA246" s="513" t="str">
        <f t="shared" ref="BA246:BA289" si="1902">CONCATENATE(IF(BE246=1,BE$4,""),IF(BF246=1,BF$4,""),IF(BG246=1,BG$4,""),IF(BH246=1,BH$4,""),IF(BI246=1,BI$4,""),IF(BJ246=1,BJ$4,""),IF(BK246=1,BK$4,""),IF(BL246=1,BL$4,""),IF(BM246=1,BM$4,""),IF(BN246=1,BN$4,""),IF(BO246=1,BO$4,""),IF(BP246=1,BP$4,""),IF(BQ246=1,BQ$4,""),IF(BR246=1,BR$4,""),IF(BS246=1,BS$4,""),IF(BT246=1,BT$4,""),IF(BU246=1,BU$4,""),IF(BV246=1,BV$4,""),IF(BW246=1,BW$4,""),IF(BX246=1,BX$4,""),IF(BY246=1,BY$4,""),IF(BZ246=1,BZ$4,""),IF(CA246=1,CA$4,""),IF(CC246=1,CC$4,""),IF(CD246=1,CD$4,""),IF(CE246=1,CE$4,""),IF(CF246=1,CF$4,""),IF(CG246=1,CG$4,""),IF(CH246=1,CH$4,""),IF(CI246=1,CI$4,""),IF(CJ246=1,CJ$4,""),IF(CK246=1,CK$4,""),IF(CL246=1,CL$4,""),IF(CM246=1,CM$4,""),IF(CN246=1,CN$4,""),IF(CO246=1,CO$4,""),IF(CP246=1,CP$4,""),IF(CQ246=1,CQ$4,""),IF(CR246=1,CR$4,""),IF(CS246=1,CS$4,""),IF(CT246=1,CT$4,""),IF(CU246=1,CU$4,""),IF(CV246=1,CV$4,""),IF(CW246=1,CW$4,""),IF(CX246=1,CX$4,""),IF(CY246=1,CY$4,""),IF(CZ246=1,CZ$4,""),IF(DA246=1,DA$4,""),IF(DB246=1,DB$4,""),IF(DC246=1,DC$4,""),IF(DD246=1,DD$4,""),IF(DE246=1,DE$4,""),IF(DF246=1,DF$4,""),IF(DG246=1,DG$4,""),IF(DH246=1,DH$4,""),IF(DI246=1,DI$4,""),IF(DJ246=1,DJ$4,""),IF(DK246=1,DK$4,""),IF(DL246=1,DL$4,""),IF(DM246=1,DM$4,""),IF(DN246=1,DN$4,""),IF(DO246=1,DO$4,""),IF(DP246=1,DP$4,""),IF(DQ246=1,DQ$4,""),IF(DR246=1,DR$4,""),IF(DS246=1,DS$4,""),IF(DT246=1,DT$4,""),IF(DU246=1,DU$4,""))</f>
        <v/>
      </c>
      <c r="BB246" s="513"/>
      <c r="BC246" s="513"/>
      <c r="BE246" s="513"/>
      <c r="BF246" s="513"/>
      <c r="BG246" s="513"/>
      <c r="BH246" s="513"/>
      <c r="BI246" s="513"/>
      <c r="BJ246" s="513"/>
      <c r="BK246" s="513"/>
      <c r="BL246" s="513"/>
      <c r="BM246" s="513"/>
      <c r="BN246" s="513"/>
      <c r="BO246" s="513"/>
      <c r="BP246" s="513"/>
      <c r="BQ246" s="513"/>
      <c r="BR246" s="513"/>
      <c r="BS246" s="513"/>
      <c r="BT246" s="513"/>
      <c r="BU246" s="513"/>
      <c r="BV246" s="513"/>
      <c r="BW246" s="513"/>
      <c r="BX246" s="513"/>
      <c r="BY246" s="513"/>
      <c r="BZ246" s="513"/>
      <c r="CA246" s="513"/>
      <c r="CB246" s="513"/>
      <c r="CC246" s="513"/>
      <c r="CD246" s="513"/>
      <c r="CE246" s="513"/>
      <c r="CF246" s="513"/>
      <c r="CG246" s="513"/>
      <c r="CH246" s="513"/>
      <c r="CI246" s="513"/>
      <c r="CJ246" s="513"/>
      <c r="CK246" s="513"/>
      <c r="CL246" s="513"/>
      <c r="CM246" s="513"/>
      <c r="CN246" s="513"/>
      <c r="CO246" s="513"/>
      <c r="CP246" s="513"/>
      <c r="CQ246" s="513"/>
      <c r="CR246" s="513"/>
      <c r="CS246" s="513"/>
      <c r="CT246" s="513"/>
      <c r="CU246" s="513"/>
      <c r="CV246" s="513"/>
      <c r="CW246" s="513"/>
      <c r="CX246" s="513"/>
      <c r="CY246" s="513"/>
      <c r="CZ246" s="513"/>
      <c r="DA246" s="513"/>
      <c r="DB246" s="513"/>
      <c r="DC246" s="513"/>
      <c r="DD246" s="513"/>
      <c r="DE246" s="513"/>
      <c r="DF246" s="513"/>
      <c r="DG246" s="513"/>
      <c r="DH246" s="513"/>
      <c r="DI246" s="513"/>
      <c r="DJ246" s="513"/>
      <c r="DK246" s="513"/>
      <c r="DL246" s="513"/>
      <c r="DM246" s="513"/>
      <c r="DN246" s="513"/>
      <c r="DO246" s="513"/>
      <c r="DP246" s="513"/>
      <c r="DQ246" s="513"/>
      <c r="DR246" s="513"/>
      <c r="DS246" s="513"/>
      <c r="DT246" s="513"/>
      <c r="DU246" s="513"/>
      <c r="DV246" s="61"/>
      <c r="DW246" s="336">
        <f t="shared" si="1872"/>
        <v>0</v>
      </c>
      <c r="DX246" s="336">
        <f t="shared" si="1862"/>
        <v>0</v>
      </c>
      <c r="DY246" s="336">
        <f t="shared" si="1863"/>
        <v>0</v>
      </c>
      <c r="DZ246" s="336">
        <f t="shared" si="1864"/>
        <v>0</v>
      </c>
      <c r="EA246" s="336">
        <f t="shared" si="1865"/>
        <v>0</v>
      </c>
      <c r="EB246" s="336">
        <f t="shared" si="1866"/>
        <v>0</v>
      </c>
      <c r="EC246" s="336">
        <f t="shared" si="1867"/>
        <v>0</v>
      </c>
      <c r="ED246" s="336">
        <f t="shared" si="1774"/>
        <v>0</v>
      </c>
      <c r="EE246" s="336">
        <f t="shared" si="1775"/>
        <v>0</v>
      </c>
      <c r="EF246" s="336">
        <f t="shared" si="1776"/>
        <v>0</v>
      </c>
      <c r="EG246" s="336">
        <f t="shared" si="1777"/>
        <v>0</v>
      </c>
      <c r="EH246" s="336">
        <f t="shared" si="1778"/>
        <v>0</v>
      </c>
      <c r="EI246" s="336">
        <f t="shared" si="1779"/>
        <v>0</v>
      </c>
      <c r="EJ246" s="336">
        <f t="shared" si="1780"/>
        <v>0</v>
      </c>
      <c r="EK246" s="336">
        <f t="shared" si="1781"/>
        <v>0</v>
      </c>
      <c r="EL246" s="336">
        <f t="shared" si="1782"/>
        <v>0</v>
      </c>
      <c r="EM246" s="336">
        <f t="shared" si="1783"/>
        <v>0</v>
      </c>
      <c r="EN246" s="336">
        <f t="shared" si="1784"/>
        <v>0</v>
      </c>
      <c r="EO246" s="336">
        <f t="shared" si="1785"/>
        <v>0</v>
      </c>
      <c r="EP246" s="336">
        <f t="shared" si="1786"/>
        <v>0</v>
      </c>
      <c r="EQ246" s="336">
        <f t="shared" si="1787"/>
        <v>0</v>
      </c>
      <c r="ER246" s="336">
        <f t="shared" si="1788"/>
        <v>0</v>
      </c>
      <c r="ES246" s="336">
        <f t="shared" si="1789"/>
        <v>0</v>
      </c>
      <c r="ET246" s="336">
        <f t="shared" si="1789"/>
        <v>0</v>
      </c>
      <c r="EU246" s="336">
        <f t="shared" si="1790"/>
        <v>0</v>
      </c>
      <c r="EV246" s="336">
        <f t="shared" si="1791"/>
        <v>0</v>
      </c>
      <c r="EW246" s="336">
        <f t="shared" si="1792"/>
        <v>0</v>
      </c>
      <c r="EX246" s="336">
        <f t="shared" si="1793"/>
        <v>0</v>
      </c>
      <c r="EY246" s="336">
        <f t="shared" si="1794"/>
        <v>0</v>
      </c>
      <c r="EZ246" s="336">
        <f t="shared" si="1795"/>
        <v>0</v>
      </c>
      <c r="FA246" s="336">
        <f t="shared" si="1796"/>
        <v>0</v>
      </c>
      <c r="FB246" s="336">
        <f t="shared" si="1797"/>
        <v>0</v>
      </c>
      <c r="FC246" s="336">
        <f t="shared" si="1798"/>
        <v>0</v>
      </c>
      <c r="FD246" s="336">
        <f t="shared" si="1799"/>
        <v>0</v>
      </c>
      <c r="FE246" s="336">
        <f t="shared" si="1800"/>
        <v>0</v>
      </c>
      <c r="FF246" s="336">
        <f t="shared" si="1801"/>
        <v>0</v>
      </c>
      <c r="FG246" s="336">
        <f t="shared" si="1802"/>
        <v>0</v>
      </c>
      <c r="FH246" s="336">
        <f t="shared" si="1803"/>
        <v>0</v>
      </c>
      <c r="FI246" s="336">
        <f t="shared" si="1804"/>
        <v>0</v>
      </c>
      <c r="FJ246" s="336">
        <f t="shared" si="1805"/>
        <v>0</v>
      </c>
      <c r="FK246" s="336">
        <f t="shared" si="1806"/>
        <v>0</v>
      </c>
      <c r="FL246" s="336">
        <f t="shared" si="1807"/>
        <v>0</v>
      </c>
      <c r="FM246" s="336">
        <f t="shared" si="1808"/>
        <v>0</v>
      </c>
      <c r="FN246" s="336">
        <f t="shared" si="1809"/>
        <v>0</v>
      </c>
      <c r="FO246" s="492">
        <f t="shared" si="1810"/>
        <v>0</v>
      </c>
      <c r="FP246" s="492">
        <f t="shared" si="1811"/>
        <v>0</v>
      </c>
      <c r="FQ246" s="492">
        <f t="shared" si="1812"/>
        <v>0</v>
      </c>
      <c r="FR246" s="492">
        <f t="shared" si="1813"/>
        <v>0</v>
      </c>
      <c r="FS246" s="492">
        <f t="shared" si="1814"/>
        <v>0</v>
      </c>
      <c r="FT246" s="492">
        <f t="shared" si="1815"/>
        <v>0</v>
      </c>
      <c r="FU246" s="336">
        <f t="shared" si="1893"/>
        <v>0</v>
      </c>
      <c r="FV246" s="336">
        <f t="shared" si="1894"/>
        <v>0</v>
      </c>
      <c r="FW246" s="336">
        <f t="shared" si="1895"/>
        <v>0</v>
      </c>
      <c r="FX246" s="336">
        <f t="shared" si="1896"/>
        <v>0</v>
      </c>
      <c r="FY246" s="492">
        <f t="shared" si="1820"/>
        <v>0</v>
      </c>
      <c r="FZ246" s="492">
        <f t="shared" si="1821"/>
        <v>0</v>
      </c>
      <c r="GA246" s="492">
        <f t="shared" si="1822"/>
        <v>0</v>
      </c>
      <c r="GB246" s="492">
        <f t="shared" si="1823"/>
        <v>0</v>
      </c>
      <c r="GC246" s="492">
        <f t="shared" si="1824"/>
        <v>0</v>
      </c>
      <c r="GD246" s="492">
        <f t="shared" si="1825"/>
        <v>0</v>
      </c>
      <c r="GE246" s="492">
        <f t="shared" si="1826"/>
        <v>0</v>
      </c>
      <c r="GF246" s="492">
        <f t="shared" si="1827"/>
        <v>0</v>
      </c>
      <c r="GG246" s="492">
        <f t="shared" si="1828"/>
        <v>0</v>
      </c>
      <c r="GH246" s="492">
        <f t="shared" si="1829"/>
        <v>0</v>
      </c>
      <c r="GI246" s="492">
        <f t="shared" si="1830"/>
        <v>0</v>
      </c>
      <c r="GJ246" s="492">
        <f t="shared" si="1831"/>
        <v>0</v>
      </c>
      <c r="GK246" s="492">
        <f t="shared" si="1750"/>
        <v>0</v>
      </c>
      <c r="GL246" s="336">
        <f t="shared" si="1897"/>
        <v>0</v>
      </c>
      <c r="GM246" s="492">
        <f t="shared" si="1832"/>
        <v>0</v>
      </c>
    </row>
    <row r="247" spans="1:195" ht="20.100000000000001" customHeight="1">
      <c r="A247" s="337">
        <f>1+A245</f>
        <v>160</v>
      </c>
      <c r="B247" s="897" t="s">
        <v>1694</v>
      </c>
      <c r="C247" s="337" t="str">
        <f t="shared" ref="C247:C264" si="1903">$D$164</f>
        <v>EPMCC-1</v>
      </c>
      <c r="D247" s="372" t="s">
        <v>696</v>
      </c>
      <c r="E247" s="453" t="s">
        <v>345</v>
      </c>
      <c r="F247" s="337" t="s">
        <v>28</v>
      </c>
      <c r="G247" s="337" t="s">
        <v>350</v>
      </c>
      <c r="H247" s="418">
        <v>5.5</v>
      </c>
      <c r="I247" s="337" t="s">
        <v>330</v>
      </c>
      <c r="J247" s="337" t="s">
        <v>331</v>
      </c>
      <c r="K247" s="349">
        <v>400</v>
      </c>
      <c r="L247" s="343">
        <v>0.84</v>
      </c>
      <c r="M247" s="350">
        <v>0.92700000000000005</v>
      </c>
      <c r="N247" s="342">
        <f t="shared" ref="N247:N274" si="1904">IF(I247="kVA",IF(J247="3Ph",(H247*1000/(1.732*M247*K247)),(H247*1000/(M247*K247))),IF(I247="kW",IF(J247="3Ph",(H247*1000/(1.732*M247*K247*L247)),(H247*1000/(M247*K247*L247)))))</f>
        <v>10.195200950599055</v>
      </c>
      <c r="O247" s="342">
        <f t="shared" si="1899"/>
        <v>61.171205703594332</v>
      </c>
      <c r="P247" s="343">
        <f t="shared" ref="P247:P274" si="1905">IF(G247="MOTOR",0.2,"0.00")</f>
        <v>0.2</v>
      </c>
      <c r="Q247" s="350">
        <v>50</v>
      </c>
      <c r="R247" s="350">
        <v>0</v>
      </c>
      <c r="S247" s="350">
        <f t="shared" ref="S247:S274" si="1906">(Q247*1000*SQRT(R247)/143)</f>
        <v>0</v>
      </c>
      <c r="T247" s="343" t="s">
        <v>131</v>
      </c>
      <c r="U247" s="350" t="s">
        <v>333</v>
      </c>
      <c r="V247" s="343">
        <v>25</v>
      </c>
      <c r="W247" s="343" t="str">
        <f t="shared" ref="W247:W274" si="1907">CONCATENATE(U247," X ",V247)</f>
        <v>3C X 25</v>
      </c>
      <c r="X247" s="343" t="str">
        <f t="shared" ref="X247:X274" si="1908">(IF(J247="1Ph",W247,IF(J247="3Ph",(IF(G247="MOTOR",(CONCATENATE(W247,"+PE")),W247)))))</f>
        <v>3C X 25+PE</v>
      </c>
      <c r="Y247" s="343" t="s">
        <v>358</v>
      </c>
      <c r="Z247" s="344">
        <f>IF(T247="AIR",VLOOKUP(W247,'Catalogue Aluminium'!$B$9:$G$93,2,FALSE),IF(T247="GROUND",VLOOKUP(W247,'Catalogue Aluminium'!$B$9:$G$93,3,FALSE),IF(T247="DUCT",VLOOKUP(W247,'Catalogue Aluminium'!$B$9:$G$93,4,FALSE),IF(T247="TRENCH",VLOOKUP(W247,'Catalogue Aluminium'!$B$9:$G$93,2,FALSE)))))</f>
        <v>95</v>
      </c>
      <c r="AA247" s="345">
        <f>VLOOKUP(W247,'Catalogue Aluminium'!$B$9:$G$93,5,FALSE)</f>
        <v>1.54</v>
      </c>
      <c r="AB247" s="345">
        <f>VLOOKUP(W247,'Catalogue Aluminium'!$B$9:$G$93,6,FALSE)</f>
        <v>8.1600000000000006E-2</v>
      </c>
      <c r="AC247" s="457">
        <f t="shared" ref="AC247" si="1909">32+6</f>
        <v>38</v>
      </c>
      <c r="AD247" s="401">
        <f>40+50+38+50+17+(27+25)</f>
        <v>247</v>
      </c>
      <c r="AE247" s="401">
        <f t="shared" ref="AE247:AE278" si="1910">11+8+8+11</f>
        <v>38</v>
      </c>
      <c r="AF247" s="401">
        <v>8</v>
      </c>
      <c r="AG247" s="401">
        <f t="shared" ref="AG247:AG274" si="1911">ROUNDUP((SUM(AC247:AF247)*0.1),0)</f>
        <v>34</v>
      </c>
      <c r="AH247" s="347">
        <f t="shared" ref="AH247:AH274" si="1912">SUM(AC247:AG247)</f>
        <v>365</v>
      </c>
      <c r="AI247" s="344">
        <f>IF(T247="AIR",'Catalogue Aluminium'!$K$9,IF(T247="TRENCH",'Catalogue Aluminium'!$K$12,"NA"))</f>
        <v>0.89</v>
      </c>
      <c r="AJ247" s="342">
        <f>IF(T247="Air",(IF(U247="1C",'Catalogue Aluminium'!$L$9,'Catalogue Aluminium'!$M$9)),IF(T247="DUCT",(IF($U247="1C",'Catalogue Aluminium'!$L$10,'Catalogue Aluminium'!$M$10)),IF(T247="GROUND",(IF($U247="1C",'Catalogue Aluminium'!$L$11,'Catalogue Aluminium'!$M$11)),IF(T247="TRENCH",(IF($U247="1C",'Catalogue Aluminium'!$L$12,'Catalogue Aluminium'!$M$12))))))</f>
        <v>0.66</v>
      </c>
      <c r="AK247" s="344" t="str">
        <f>IF(T247="Air",'Catalogue Aluminium'!$N$9,IF(T247="GROUND",'Catalogue Aluminium'!$N$10,IF(T247="DUCT",'Catalogue Aluminium'!$N$11,IF(T247="TRENCH",'Catalogue Aluminium'!$N$12,"NA"))))</f>
        <v>NA</v>
      </c>
      <c r="AL247" s="344" t="str">
        <f>IF(T247="Air",(IF(U247="1C",'Catalogue Aluminium'!$O$9,'Catalogue Aluminium'!$P$9)),IF(T247="DUCT",(IF($U247="1C",'Catalogue Aluminium'!$O$10,'Catalogue Aluminium'!$P$10)),IF(T247="GROUND",(IF($U247="1C",'Catalogue Aluminium'!$O$11,'Catalogue Aluminium'!$P$11)),IF(T247="TRENCH",(IF($U247="1C",'Catalogue Aluminium'!$O$12,'Catalogue Aluminium'!$P$12))))))</f>
        <v>NA</v>
      </c>
      <c r="AM247" s="344" t="str">
        <f>IF(T247="AIR","NA",IF(T247="TRENCH","NA",IF(T247="DUCT",IF(U247="1C",VLOOKUP(V247,'Catalogue Aluminium'!$Q$9:$S$28,2,FALSE),VLOOKUP(V247,'Catalogue Aluminium'!$Q$9:$S$28,3)),IF(T247="GROUND",IF(U247="1C",VLOOKUP(V247,'Catalogue Aluminium'!$Q$9:$S$28,2,FALSE),VLOOKUP(V247,'Catalogue Aluminium'!$Q$9:$S$28,3))))))</f>
        <v>NA</v>
      </c>
      <c r="AN247" s="351">
        <f t="shared" ref="AN247:AN274" si="1913">IF(T247="AIR",AI247*AJ247,IF(T247="TRENCH",AI247*AJ247,IF(T247="DUCT",AJ247*AK247*AL247*AM247,IF(T247="GROUND",AJ247*AK247*AL247*AM247))))</f>
        <v>0.58740000000000003</v>
      </c>
      <c r="AO247" s="350">
        <f t="shared" ref="AO247:AO274" si="1914">Z247*AN247</f>
        <v>55.803000000000004</v>
      </c>
      <c r="AP247" s="349">
        <f t="shared" si="1888"/>
        <v>1</v>
      </c>
      <c r="AQ247" s="350" t="str">
        <f t="shared" ref="AQ247:AQ274" si="1915">IF(AO247*AP247&gt;=N247,"YES","NO")</f>
        <v>YES</v>
      </c>
      <c r="AR247" s="351">
        <f t="shared" ref="AR247:AR274" si="1916">SQRT(3)*AH247*N247*((AA247*L247)+(AB247*SIN(ACOS(L247))))*100/(AP247*K247*1000)</f>
        <v>2.1557820202172246</v>
      </c>
      <c r="AS247" s="343" t="str">
        <f t="shared" ref="AS247:AS274" si="1917">IF(G247="INCOMER",(IF(AR247&lt;=2,"YES","NO")),IF(G247="POWER",(IF(AR247&lt;=2.5,"YES","NO")),IF(G247="MOTOR",(IF(AR247&lt;=3,"YES","NO")))))</f>
        <v>YES</v>
      </c>
      <c r="AT247" s="351">
        <f t="shared" ref="AT247:AT274" si="1918">IF(G247="MOTOR",(SQRT(3)*AH247*O247*((AA247*P247)+(AB247*SIN(ACOS(P247))))*100/(AP247*K247*1000)),"NA")</f>
        <v>3.7507472822502677</v>
      </c>
      <c r="AU247" s="343" t="str">
        <f t="shared" ref="AU247:AU274" si="1919">IF(G247="MOTOR",IF(AT247&lt;=15,"YES","NO"),"NA")</f>
        <v>YES</v>
      </c>
      <c r="AV247" s="354" t="str">
        <f t="shared" ref="AV247:AV274" si="1920">IF(U247="1C",CONCATENATE(AP247,"R x ",Y247,"kV x ",U247," x ",V247," Sqmm/Phase"),CONCATENATE(AP247,"R x ",0.6,"/1kV x ",U247," x ",V247," Sqmm"))</f>
        <v>1R x 0.6/1kV x 3C x 25 Sqmm</v>
      </c>
      <c r="AW247" s="354" t="str">
        <f t="shared" ref="AW247:AW274" si="1921">IF(U247="1C",CONCATENATE(AP247,"R x ",Y247,"kV x ",U247," x ",V247," Sqmm/Phase"),CONCATENATE(AP247,"R x ",0.6,"/1kV x ",U247," x ",V247,(IF(G247="MOTOR","+PE",""))," Sqmm"))</f>
        <v>1R x 0.6/1kV x 3C x 25+PE Sqmm</v>
      </c>
      <c r="AX247" s="343">
        <f>(IF(K247=400,(IF(U247="1C",(4*AH247*AP247),(AH247*AP247))),IF(K247=230,(AH247*AP247))))</f>
        <v>365</v>
      </c>
      <c r="AY247" s="355"/>
      <c r="AZ247" s="355">
        <f>IF(U247="1C",(3*AP247*2),(AP247*2))</f>
        <v>2</v>
      </c>
      <c r="BA247" s="356" t="str">
        <f t="shared" ref="BA247:BA257" si="1922">CONCATENATE(IF(BE247=1,BE$4,""),IF(BF247=1,BF$4,""),IF(BG247=1,BG$4,""),IF(BH247=1,BH$4,""),IF(BI247=1,BI$4,""),IF(BJ247=1,BJ$4,""),IF(BK247=1,BK$4,""),IF(BL247=1,BL$4,""),IF(BM247=1,BM$4,""),IF(BN247=1,BN$4,""),IF(BO247=1,BO$4,""),IF(BP247=1,BP$4,""),IF(BQ247=1,BQ$4,""),IF(BR247=1,BR$4,""),IF(BS247=1,BS$4,""),IF(BT247=1,BT$4,""),IF(BU247=1,BU$4,""),IF(BV247=1,BV$4,""),IF(BW247=1,BW$4,""),IF(BX247=1,BX$4,""),IF(BY247=1,BY$4,""),IF(BZ247=1,BZ$4,""),IF(CA247=1,CA$4,""),IF(CB247=1,CB$4,""),IF(CC247=1,CC$4,""),IF(CD247=1,CD$4,""),IF(CE247=1,CE$4,""),IF(CF247=1,CF$4,""),IF(CG247=1,CG$4,""),IF(CH247=1,CH$4,""),IF(CI247=1,CI$4,""),IF(CJ247=1,CJ$4,""),IF(CK247=1,CK$4,""),IF(CL247=1,CL$4,""),IF(CM247=1,CM$4,""),IF(CN247=1,CN$4,""),IF(CO247=1,CO$4,""),IF(CP247=1,CP$4,""),IF(CQ247=1,CQ$4,""),IF(CR247=1,CR$4,""),IF(CS247=1,CS$4,""),IF(CT247=1,CT$4,""),IF(CU247=1,CU$4,""),IF(CV247=1,CV$4,""),IF(CW247=1,CW$4,""),IF(CX247=1,CX$4,""),IF(CY247=1,CY$4,""),IF(CZ247=1,CZ$4,""),IF(DA247=1,DA$4,""),IF(DB247=1,DB$4,""),IF(DC247=1,DC$4,""),IF(DD247=1,DD$4,""),IF(DE247=1,DE$4,""),IF(DF247=1,DF$4,""),IF(DG247=1,DG$4,""),IF(DH247=1,DH$4,""),IF(DI247=1,DI$4,""),IF(DJ247=1,DJ$4,""),IF(DK247=1,DK$4,""),IF(DL247=1,DL$4,""),IF(DM247=1,DM$4,""),IF(DN247=1,DN$4,""),IF(DO247=1,DO$4,""),IF(DP247=1,DP$4,""),IF(DQ247=1,DQ$4,""),IF(DR247=1,DR$4,""),IF(DS247=1,DS$4,""),IF(DT247=1,DT$4,""),IF(DU247=1,DU$4,""))</f>
        <v>ACDEE1E2</v>
      </c>
      <c r="BB247" s="501">
        <f>VLOOKUP(W247,'Catalogue Aluminium'!$B$9:$H$93,7,FALSE)</f>
        <v>21</v>
      </c>
      <c r="BC247" s="328">
        <f>AP247*BB247</f>
        <v>21</v>
      </c>
      <c r="BE247" s="336"/>
      <c r="BF247" s="336">
        <v>1</v>
      </c>
      <c r="BG247" s="336"/>
      <c r="BH247" s="336"/>
      <c r="BI247" s="336">
        <v>1</v>
      </c>
      <c r="BJ247" s="336">
        <v>1</v>
      </c>
      <c r="BK247" s="336"/>
      <c r="BL247" s="336"/>
      <c r="BM247" s="336"/>
      <c r="BN247" s="336">
        <v>1</v>
      </c>
      <c r="BO247" s="336"/>
      <c r="BP247" s="336">
        <v>1</v>
      </c>
      <c r="BQ247" s="336">
        <v>1</v>
      </c>
      <c r="BR247" s="336"/>
      <c r="BS247" s="336"/>
      <c r="BT247" s="336"/>
      <c r="BU247" s="336"/>
      <c r="BV247" s="336"/>
      <c r="BW247" s="336"/>
      <c r="BX247" s="336"/>
      <c r="BY247" s="336"/>
      <c r="BZ247" s="336"/>
      <c r="CA247" s="336"/>
      <c r="CB247" s="336"/>
      <c r="CC247" s="336"/>
      <c r="CD247" s="336"/>
      <c r="CE247" s="336"/>
      <c r="CF247" s="336"/>
      <c r="CG247" s="336"/>
      <c r="CH247" s="336"/>
      <c r="CI247" s="336"/>
      <c r="CJ247" s="336"/>
      <c r="CK247" s="336"/>
      <c r="CL247" s="336"/>
      <c r="CM247" s="336"/>
      <c r="CN247" s="336"/>
      <c r="CO247" s="336"/>
      <c r="CP247" s="336"/>
      <c r="CQ247" s="336"/>
      <c r="CR247" s="336"/>
      <c r="CS247" s="336"/>
      <c r="CT247" s="336"/>
      <c r="CU247" s="336"/>
      <c r="CV247" s="336"/>
      <c r="CW247" s="336"/>
      <c r="CX247" s="336"/>
      <c r="CY247" s="336"/>
      <c r="CZ247" s="336"/>
      <c r="DA247" s="336"/>
      <c r="DB247" s="336"/>
      <c r="DC247" s="336"/>
      <c r="DD247" s="336"/>
      <c r="DE247" s="336"/>
      <c r="DF247" s="336"/>
      <c r="DG247" s="336"/>
      <c r="DH247" s="336"/>
      <c r="DI247" s="336"/>
      <c r="DJ247" s="336"/>
      <c r="DK247" s="336"/>
      <c r="DL247" s="336"/>
      <c r="DM247" s="336"/>
      <c r="DN247" s="336"/>
      <c r="DO247" s="336"/>
      <c r="DP247" s="336"/>
      <c r="DQ247" s="336"/>
      <c r="DR247" s="336"/>
      <c r="DS247" s="336"/>
      <c r="DT247" s="336"/>
      <c r="DU247" s="336"/>
      <c r="DW247" s="336">
        <f t="shared" si="1872"/>
        <v>0</v>
      </c>
      <c r="DX247" s="336">
        <f t="shared" si="1862"/>
        <v>21</v>
      </c>
      <c r="DY247" s="336">
        <f t="shared" si="1863"/>
        <v>0</v>
      </c>
      <c r="DZ247" s="336">
        <f t="shared" si="1864"/>
        <v>0</v>
      </c>
      <c r="EA247" s="336">
        <f t="shared" si="1865"/>
        <v>21</v>
      </c>
      <c r="EB247" s="336">
        <f t="shared" si="1866"/>
        <v>21</v>
      </c>
      <c r="EC247" s="336">
        <f t="shared" si="1867"/>
        <v>0</v>
      </c>
      <c r="ED247" s="336">
        <f t="shared" si="1774"/>
        <v>0</v>
      </c>
      <c r="EE247" s="336">
        <f t="shared" si="1775"/>
        <v>0</v>
      </c>
      <c r="EF247" s="336">
        <f t="shared" si="1776"/>
        <v>21</v>
      </c>
      <c r="EG247" s="336">
        <f t="shared" si="1777"/>
        <v>0</v>
      </c>
      <c r="EH247" s="336">
        <f t="shared" si="1778"/>
        <v>21</v>
      </c>
      <c r="EI247" s="336">
        <f t="shared" si="1779"/>
        <v>21</v>
      </c>
      <c r="EJ247" s="336">
        <f t="shared" si="1780"/>
        <v>0</v>
      </c>
      <c r="EK247" s="336">
        <f t="shared" si="1781"/>
        <v>0</v>
      </c>
      <c r="EL247" s="336">
        <f t="shared" si="1782"/>
        <v>0</v>
      </c>
      <c r="EM247" s="336">
        <f t="shared" si="1783"/>
        <v>0</v>
      </c>
      <c r="EN247" s="336">
        <f t="shared" si="1784"/>
        <v>0</v>
      </c>
      <c r="EO247" s="336">
        <f t="shared" si="1785"/>
        <v>0</v>
      </c>
      <c r="EP247" s="336">
        <f t="shared" si="1786"/>
        <v>0</v>
      </c>
      <c r="EQ247" s="336">
        <f t="shared" si="1787"/>
        <v>0</v>
      </c>
      <c r="ER247" s="336">
        <f t="shared" si="1788"/>
        <v>0</v>
      </c>
      <c r="ES247" s="336">
        <f t="shared" si="1789"/>
        <v>0</v>
      </c>
      <c r="ET247" s="336">
        <f t="shared" si="1789"/>
        <v>0</v>
      </c>
      <c r="EU247" s="336">
        <f t="shared" si="1790"/>
        <v>0</v>
      </c>
      <c r="EV247" s="336">
        <f t="shared" si="1791"/>
        <v>0</v>
      </c>
      <c r="EW247" s="336">
        <f t="shared" si="1792"/>
        <v>0</v>
      </c>
      <c r="EX247" s="336">
        <f t="shared" si="1793"/>
        <v>0</v>
      </c>
      <c r="EY247" s="336">
        <f t="shared" si="1794"/>
        <v>0</v>
      </c>
      <c r="EZ247" s="336">
        <f t="shared" si="1795"/>
        <v>0</v>
      </c>
      <c r="FA247" s="336">
        <f t="shared" si="1796"/>
        <v>0</v>
      </c>
      <c r="FB247" s="336">
        <f t="shared" si="1797"/>
        <v>0</v>
      </c>
      <c r="FC247" s="336">
        <f t="shared" si="1798"/>
        <v>0</v>
      </c>
      <c r="FD247" s="336">
        <f t="shared" si="1799"/>
        <v>0</v>
      </c>
      <c r="FE247" s="336">
        <f t="shared" si="1800"/>
        <v>0</v>
      </c>
      <c r="FF247" s="336">
        <f t="shared" si="1801"/>
        <v>0</v>
      </c>
      <c r="FG247" s="336">
        <f t="shared" si="1802"/>
        <v>0</v>
      </c>
      <c r="FH247" s="336">
        <f t="shared" si="1803"/>
        <v>0</v>
      </c>
      <c r="FI247" s="336">
        <f t="shared" si="1804"/>
        <v>0</v>
      </c>
      <c r="FJ247" s="336">
        <f t="shared" si="1805"/>
        <v>0</v>
      </c>
      <c r="FK247" s="336">
        <f t="shared" si="1806"/>
        <v>0</v>
      </c>
      <c r="FL247" s="336">
        <f t="shared" si="1807"/>
        <v>0</v>
      </c>
      <c r="FM247" s="336">
        <f t="shared" si="1808"/>
        <v>0</v>
      </c>
      <c r="FN247" s="336">
        <f t="shared" si="1809"/>
        <v>0</v>
      </c>
      <c r="FO247" s="336">
        <f t="shared" si="1810"/>
        <v>0</v>
      </c>
      <c r="FP247" s="336">
        <f t="shared" si="1811"/>
        <v>0</v>
      </c>
      <c r="FQ247" s="336">
        <f t="shared" si="1812"/>
        <v>0</v>
      </c>
      <c r="FR247" s="336">
        <f t="shared" si="1813"/>
        <v>0</v>
      </c>
      <c r="FS247" s="336">
        <f t="shared" si="1814"/>
        <v>0</v>
      </c>
      <c r="FT247" s="336">
        <f t="shared" si="1815"/>
        <v>0</v>
      </c>
      <c r="FU247" s="336">
        <f t="shared" si="1893"/>
        <v>0</v>
      </c>
      <c r="FV247" s="336">
        <f t="shared" si="1894"/>
        <v>0</v>
      </c>
      <c r="FW247" s="336">
        <f t="shared" si="1895"/>
        <v>0</v>
      </c>
      <c r="FX247" s="336">
        <f t="shared" si="1896"/>
        <v>0</v>
      </c>
      <c r="FY247" s="336">
        <f t="shared" si="1820"/>
        <v>0</v>
      </c>
      <c r="FZ247" s="336">
        <f t="shared" si="1821"/>
        <v>0</v>
      </c>
      <c r="GA247" s="336">
        <f t="shared" si="1822"/>
        <v>0</v>
      </c>
      <c r="GB247" s="336">
        <f t="shared" si="1823"/>
        <v>0</v>
      </c>
      <c r="GC247" s="336">
        <f t="shared" si="1824"/>
        <v>0</v>
      </c>
      <c r="GD247" s="336">
        <f t="shared" si="1825"/>
        <v>0</v>
      </c>
      <c r="GE247" s="336">
        <f t="shared" si="1826"/>
        <v>0</v>
      </c>
      <c r="GF247" s="336">
        <f t="shared" si="1827"/>
        <v>0</v>
      </c>
      <c r="GG247" s="336">
        <f t="shared" si="1828"/>
        <v>0</v>
      </c>
      <c r="GH247" s="336">
        <f t="shared" si="1829"/>
        <v>0</v>
      </c>
      <c r="GI247" s="336">
        <f t="shared" si="1830"/>
        <v>0</v>
      </c>
      <c r="GJ247" s="336">
        <f t="shared" si="1831"/>
        <v>0</v>
      </c>
      <c r="GK247" s="336">
        <f t="shared" si="1750"/>
        <v>0</v>
      </c>
      <c r="GL247" s="336">
        <f t="shared" si="1897"/>
        <v>0</v>
      </c>
      <c r="GM247" s="336">
        <f t="shared" si="1832"/>
        <v>0</v>
      </c>
    </row>
    <row r="248" spans="1:195" s="83" customFormat="1" ht="20.100000000000001" hidden="1" customHeight="1">
      <c r="A248" s="357" t="s">
        <v>334</v>
      </c>
      <c r="B248" s="562" t="s">
        <v>527</v>
      </c>
      <c r="C248" s="357" t="str">
        <f t="shared" si="1903"/>
        <v>EPMCC-1</v>
      </c>
      <c r="D248" s="395" t="s">
        <v>697</v>
      </c>
      <c r="E248" s="421" t="s">
        <v>345</v>
      </c>
      <c r="F248" s="357" t="s">
        <v>29</v>
      </c>
      <c r="G248" s="357" t="s">
        <v>350</v>
      </c>
      <c r="H248" s="352">
        <v>15</v>
      </c>
      <c r="I248" s="357" t="s">
        <v>330</v>
      </c>
      <c r="J248" s="357" t="s">
        <v>331</v>
      </c>
      <c r="K248" s="353">
        <v>400</v>
      </c>
      <c r="L248" s="360">
        <v>0.84</v>
      </c>
      <c r="M248" s="352">
        <v>0.92700000000000005</v>
      </c>
      <c r="N248" s="359">
        <f t="shared" si="1904"/>
        <v>27.805093501633788</v>
      </c>
      <c r="O248" s="359">
        <f t="shared" si="1899"/>
        <v>166.83056100980272</v>
      </c>
      <c r="P248" s="360">
        <f t="shared" si="1905"/>
        <v>0.2</v>
      </c>
      <c r="Q248" s="352">
        <v>50</v>
      </c>
      <c r="R248" s="352">
        <v>0</v>
      </c>
      <c r="S248" s="352">
        <f t="shared" si="1906"/>
        <v>0</v>
      </c>
      <c r="T248" s="360" t="s">
        <v>131</v>
      </c>
      <c r="U248" s="352" t="s">
        <v>333</v>
      </c>
      <c r="V248" s="360">
        <v>70</v>
      </c>
      <c r="W248" s="360" t="str">
        <f t="shared" si="1907"/>
        <v>3C X 70</v>
      </c>
      <c r="X248" s="360" t="str">
        <f t="shared" si="1908"/>
        <v>3C X 70+PE</v>
      </c>
      <c r="Y248" s="360" t="s">
        <v>358</v>
      </c>
      <c r="Z248" s="361">
        <f>IF(T248="AIR",VLOOKUP(W248,'Catalogue Aluminium'!$B$9:$G$93,2,FALSE),IF(T248="GROUND",VLOOKUP(W248,'Catalogue Aluminium'!$B$9:$G$93,3,FALSE),IF(T248="DUCT",VLOOKUP(W248,'Catalogue Aluminium'!$B$9:$G$93,4,FALSE),IF(T248="TRENCH",VLOOKUP(W248,'Catalogue Aluminium'!$B$9:$G$93,2,FALSE)))))</f>
        <v>177</v>
      </c>
      <c r="AA248" s="362">
        <f>VLOOKUP(W248,'Catalogue Aluminium'!$B$9:$G$93,5,FALSE)</f>
        <v>0.56699999999999995</v>
      </c>
      <c r="AB248" s="362">
        <f>VLOOKUP(W248,'Catalogue Aluminium'!$B$9:$G$93,6,FALSE)</f>
        <v>7.5200000000000003E-2</v>
      </c>
      <c r="AC248" s="564">
        <f>22+7</f>
        <v>29</v>
      </c>
      <c r="AD248" s="360">
        <f t="shared" ref="AD248:AD256" si="1923">11+34+48+35+30+11+24+(15+3+26)</f>
        <v>237</v>
      </c>
      <c r="AE248" s="456">
        <f t="shared" si="1910"/>
        <v>38</v>
      </c>
      <c r="AF248" s="360">
        <v>8</v>
      </c>
      <c r="AG248" s="360">
        <f t="shared" si="1911"/>
        <v>32</v>
      </c>
      <c r="AH248" s="363"/>
      <c r="AI248" s="361">
        <f>IF(T248="AIR",'Catalogue Aluminium'!$K$9,IF(T248="TRENCH",'Catalogue Aluminium'!$K$12,"NA"))</f>
        <v>0.89</v>
      </c>
      <c r="AJ248" s="359">
        <f>IF(T248="Air",(IF(U248="1C",'Catalogue Aluminium'!$L$9,'Catalogue Aluminium'!$M$9)),IF(T248="DUCT",(IF($U248="1C",'Catalogue Aluminium'!$L$10,'Catalogue Aluminium'!$M$10)),IF(T248="GROUND",(IF($U248="1C",'Catalogue Aluminium'!$L$11,'Catalogue Aluminium'!$M$11)),IF(T248="TRENCH",(IF($U248="1C",'Catalogue Aluminium'!$L$12,'Catalogue Aluminium'!$M$12))))))</f>
        <v>0.66</v>
      </c>
      <c r="AK248" s="361" t="str">
        <f>IF(T248="Air",'Catalogue Aluminium'!$N$9,IF(T248="GROUND",'Catalogue Aluminium'!$N$10,IF(T248="DUCT",'Catalogue Aluminium'!$N$11,IF(T248="TRENCH",'Catalogue Aluminium'!$N$12,"NA"))))</f>
        <v>NA</v>
      </c>
      <c r="AL248" s="361" t="str">
        <f>IF(T248="Air",(IF(U248="1C",'Catalogue Aluminium'!$O$9,'Catalogue Aluminium'!$P$9)),IF(T248="DUCT",(IF($U248="1C",'Catalogue Aluminium'!$O$10,'Catalogue Aluminium'!$P$10)),IF(T248="GROUND",(IF($U248="1C",'Catalogue Aluminium'!$O$11,'Catalogue Aluminium'!$P$11)),IF(T248="TRENCH",(IF($U248="1C",'Catalogue Aluminium'!$O$12,'Catalogue Aluminium'!$P$12))))))</f>
        <v>NA</v>
      </c>
      <c r="AM248" s="361" t="str">
        <f>IF(T248="AIR","NA",IF(T248="TRENCH","NA",IF(T248="DUCT",IF(U248="1C",VLOOKUP(V248,'Catalogue Aluminium'!$Q$9:$S$28,2,FALSE),VLOOKUP(V248,'Catalogue Aluminium'!$Q$9:$S$28,3)),IF(T248="GROUND",IF(U248="1C",VLOOKUP(V248,'Catalogue Aluminium'!$Q$9:$S$28,2,FALSE),VLOOKUP(V248,'Catalogue Aluminium'!$Q$9:$S$28,3))))))</f>
        <v>NA</v>
      </c>
      <c r="AN248" s="365">
        <f t="shared" si="1913"/>
        <v>0.58740000000000003</v>
      </c>
      <c r="AO248" s="352">
        <f t="shared" si="1914"/>
        <v>103.96980000000001</v>
      </c>
      <c r="AP248" s="353">
        <f t="shared" si="1888"/>
        <v>1</v>
      </c>
      <c r="AQ248" s="352" t="str">
        <f t="shared" si="1915"/>
        <v>YES</v>
      </c>
      <c r="AR248" s="365">
        <f t="shared" si="1916"/>
        <v>0</v>
      </c>
      <c r="AS248" s="496" t="str">
        <f t="shared" si="1917"/>
        <v>YES</v>
      </c>
      <c r="AT248" s="497">
        <f t="shared" si="1918"/>
        <v>0</v>
      </c>
      <c r="AU248" s="360" t="str">
        <f t="shared" si="1919"/>
        <v>YES</v>
      </c>
      <c r="AV248" s="366" t="str">
        <f t="shared" si="1920"/>
        <v>1R x 0.6/1kV x 3C x 70 Sqmm</v>
      </c>
      <c r="AW248" s="366" t="str">
        <f t="shared" si="1921"/>
        <v>1R x 0.6/1kV x 3C x 70+PE Sqmm</v>
      </c>
      <c r="AX248" s="360"/>
      <c r="AY248" s="367"/>
      <c r="AZ248" s="367"/>
      <c r="BA248" s="520" t="str">
        <f t="shared" si="1922"/>
        <v/>
      </c>
      <c r="BB248" s="498"/>
      <c r="BC248" s="426"/>
      <c r="BE248" s="368"/>
      <c r="BF248" s="368"/>
      <c r="BG248" s="368"/>
      <c r="BH248" s="368"/>
      <c r="BI248" s="368"/>
      <c r="BJ248" s="368"/>
      <c r="BK248" s="368"/>
      <c r="BL248" s="368"/>
      <c r="BM248" s="368"/>
      <c r="BN248" s="368"/>
      <c r="BO248" s="368"/>
      <c r="BP248" s="368"/>
      <c r="BQ248" s="336"/>
      <c r="BR248" s="368"/>
      <c r="BS248" s="368"/>
      <c r="BT248" s="368"/>
      <c r="BU248" s="368"/>
      <c r="BV248" s="368"/>
      <c r="BW248" s="368"/>
      <c r="BX248" s="368"/>
      <c r="BY248" s="368"/>
      <c r="BZ248" s="368"/>
      <c r="CA248" s="368"/>
      <c r="CB248" s="368"/>
      <c r="CC248" s="368"/>
      <c r="CD248" s="368"/>
      <c r="CE248" s="368"/>
      <c r="CF248" s="368"/>
      <c r="CG248" s="368"/>
      <c r="CH248" s="368"/>
      <c r="CI248" s="368"/>
      <c r="CJ248" s="368"/>
      <c r="CK248" s="368"/>
      <c r="CL248" s="368"/>
      <c r="CM248" s="368"/>
      <c r="CN248" s="368"/>
      <c r="CO248" s="368"/>
      <c r="CP248" s="368"/>
      <c r="CQ248" s="368"/>
      <c r="CR248" s="368"/>
      <c r="CS248" s="368"/>
      <c r="CT248" s="368"/>
      <c r="CU248" s="368"/>
      <c r="CV248" s="368"/>
      <c r="CW248" s="368"/>
      <c r="CX248" s="368"/>
      <c r="CY248" s="368"/>
      <c r="CZ248" s="368"/>
      <c r="DA248" s="368"/>
      <c r="DB248" s="368"/>
      <c r="DC248" s="368"/>
      <c r="DD248" s="368"/>
      <c r="DE248" s="368"/>
      <c r="DF248" s="368"/>
      <c r="DG248" s="368"/>
      <c r="DH248" s="368"/>
      <c r="DI248" s="368"/>
      <c r="DJ248" s="368"/>
      <c r="DK248" s="368"/>
      <c r="DL248" s="368"/>
      <c r="DM248" s="368"/>
      <c r="DN248" s="368"/>
      <c r="DO248" s="368"/>
      <c r="DP248" s="368"/>
      <c r="DQ248" s="368"/>
      <c r="DR248" s="368"/>
      <c r="DS248" s="368"/>
      <c r="DT248" s="368"/>
      <c r="DU248" s="368"/>
      <c r="DW248" s="368">
        <f t="shared" si="1872"/>
        <v>0</v>
      </c>
      <c r="DX248" s="368">
        <f t="shared" si="1862"/>
        <v>0</v>
      </c>
      <c r="DY248" s="368">
        <f t="shared" si="1863"/>
        <v>0</v>
      </c>
      <c r="DZ248" s="368">
        <f t="shared" si="1864"/>
        <v>0</v>
      </c>
      <c r="EA248" s="368">
        <f t="shared" si="1865"/>
        <v>0</v>
      </c>
      <c r="EB248" s="368">
        <f t="shared" si="1866"/>
        <v>0</v>
      </c>
      <c r="EC248" s="368">
        <f t="shared" si="1867"/>
        <v>0</v>
      </c>
      <c r="ED248" s="368">
        <f t="shared" si="1774"/>
        <v>0</v>
      </c>
      <c r="EE248" s="368">
        <f t="shared" si="1775"/>
        <v>0</v>
      </c>
      <c r="EF248" s="368">
        <f t="shared" si="1776"/>
        <v>0</v>
      </c>
      <c r="EG248" s="368">
        <f t="shared" si="1777"/>
        <v>0</v>
      </c>
      <c r="EH248" s="368">
        <f t="shared" si="1778"/>
        <v>0</v>
      </c>
      <c r="EI248" s="368">
        <f t="shared" si="1779"/>
        <v>0</v>
      </c>
      <c r="EJ248" s="368">
        <f t="shared" si="1780"/>
        <v>0</v>
      </c>
      <c r="EK248" s="368">
        <f t="shared" si="1781"/>
        <v>0</v>
      </c>
      <c r="EL248" s="368">
        <f t="shared" si="1782"/>
        <v>0</v>
      </c>
      <c r="EM248" s="368">
        <f t="shared" si="1783"/>
        <v>0</v>
      </c>
      <c r="EN248" s="368">
        <f t="shared" si="1784"/>
        <v>0</v>
      </c>
      <c r="EO248" s="368">
        <f t="shared" si="1785"/>
        <v>0</v>
      </c>
      <c r="EP248" s="368">
        <f t="shared" si="1786"/>
        <v>0</v>
      </c>
      <c r="EQ248" s="368">
        <f t="shared" si="1787"/>
        <v>0</v>
      </c>
      <c r="ER248" s="368">
        <f t="shared" si="1788"/>
        <v>0</v>
      </c>
      <c r="ES248" s="368">
        <f t="shared" si="1789"/>
        <v>0</v>
      </c>
      <c r="ET248" s="368">
        <f t="shared" si="1789"/>
        <v>0</v>
      </c>
      <c r="EU248" s="368">
        <f t="shared" si="1790"/>
        <v>0</v>
      </c>
      <c r="EV248" s="368">
        <f t="shared" si="1791"/>
        <v>0</v>
      </c>
      <c r="EW248" s="368">
        <f t="shared" si="1792"/>
        <v>0</v>
      </c>
      <c r="EX248" s="368">
        <f t="shared" si="1793"/>
        <v>0</v>
      </c>
      <c r="EY248" s="368">
        <f t="shared" si="1794"/>
        <v>0</v>
      </c>
      <c r="EZ248" s="368">
        <f t="shared" si="1795"/>
        <v>0</v>
      </c>
      <c r="FA248" s="368">
        <f t="shared" si="1796"/>
        <v>0</v>
      </c>
      <c r="FB248" s="368">
        <f t="shared" si="1797"/>
        <v>0</v>
      </c>
      <c r="FC248" s="368">
        <f t="shared" si="1798"/>
        <v>0</v>
      </c>
      <c r="FD248" s="368">
        <f t="shared" si="1799"/>
        <v>0</v>
      </c>
      <c r="FE248" s="368">
        <f t="shared" si="1800"/>
        <v>0</v>
      </c>
      <c r="FF248" s="368">
        <f t="shared" si="1801"/>
        <v>0</v>
      </c>
      <c r="FG248" s="368">
        <f t="shared" si="1802"/>
        <v>0</v>
      </c>
      <c r="FH248" s="368">
        <f t="shared" si="1803"/>
        <v>0</v>
      </c>
      <c r="FI248" s="368">
        <f t="shared" si="1804"/>
        <v>0</v>
      </c>
      <c r="FJ248" s="368">
        <f t="shared" si="1805"/>
        <v>0</v>
      </c>
      <c r="FK248" s="368">
        <f t="shared" si="1806"/>
        <v>0</v>
      </c>
      <c r="FL248" s="368">
        <f t="shared" si="1807"/>
        <v>0</v>
      </c>
      <c r="FM248" s="368">
        <f t="shared" si="1808"/>
        <v>0</v>
      </c>
      <c r="FN248" s="368">
        <f t="shared" si="1809"/>
        <v>0</v>
      </c>
      <c r="FO248" s="368">
        <f t="shared" si="1810"/>
        <v>0</v>
      </c>
      <c r="FP248" s="368">
        <f t="shared" si="1811"/>
        <v>0</v>
      </c>
      <c r="FQ248" s="368">
        <f t="shared" si="1812"/>
        <v>0</v>
      </c>
      <c r="FR248" s="368">
        <f t="shared" si="1813"/>
        <v>0</v>
      </c>
      <c r="FS248" s="368">
        <f t="shared" si="1814"/>
        <v>0</v>
      </c>
      <c r="FT248" s="368">
        <f t="shared" si="1815"/>
        <v>0</v>
      </c>
      <c r="FU248" s="368"/>
      <c r="FV248" s="368"/>
      <c r="FW248" s="368"/>
      <c r="FX248" s="368"/>
      <c r="FY248" s="368">
        <f t="shared" si="1820"/>
        <v>0</v>
      </c>
      <c r="FZ248" s="368">
        <f t="shared" si="1821"/>
        <v>0</v>
      </c>
      <c r="GA248" s="368">
        <f t="shared" si="1822"/>
        <v>0</v>
      </c>
      <c r="GB248" s="368">
        <f t="shared" si="1823"/>
        <v>0</v>
      </c>
      <c r="GC248" s="368">
        <f t="shared" si="1824"/>
        <v>0</v>
      </c>
      <c r="GD248" s="368">
        <f t="shared" si="1825"/>
        <v>0</v>
      </c>
      <c r="GE248" s="368">
        <f t="shared" si="1826"/>
        <v>0</v>
      </c>
      <c r="GF248" s="368">
        <f t="shared" si="1827"/>
        <v>0</v>
      </c>
      <c r="GG248" s="368">
        <f t="shared" si="1828"/>
        <v>0</v>
      </c>
      <c r="GH248" s="368">
        <f t="shared" si="1829"/>
        <v>0</v>
      </c>
      <c r="GI248" s="368">
        <f t="shared" si="1830"/>
        <v>0</v>
      </c>
      <c r="GJ248" s="368">
        <f t="shared" si="1831"/>
        <v>0</v>
      </c>
      <c r="GK248" s="368">
        <f t="shared" si="1750"/>
        <v>0</v>
      </c>
      <c r="GL248" s="368"/>
      <c r="GM248" s="368">
        <f t="shared" si="1832"/>
        <v>0</v>
      </c>
    </row>
    <row r="249" spans="1:195" ht="36.75" customHeight="1">
      <c r="A249" s="337">
        <f>1+A247</f>
        <v>161</v>
      </c>
      <c r="B249" s="897" t="s">
        <v>1695</v>
      </c>
      <c r="C249" s="337" t="str">
        <f t="shared" si="1903"/>
        <v>EPMCC-1</v>
      </c>
      <c r="D249" s="372" t="s">
        <v>698</v>
      </c>
      <c r="E249" s="453" t="s">
        <v>345</v>
      </c>
      <c r="F249" s="337" t="s">
        <v>28</v>
      </c>
      <c r="G249" s="337" t="s">
        <v>350</v>
      </c>
      <c r="H249" s="418">
        <v>30</v>
      </c>
      <c r="I249" s="337" t="s">
        <v>330</v>
      </c>
      <c r="J249" s="337" t="s">
        <v>331</v>
      </c>
      <c r="K249" s="349">
        <v>400</v>
      </c>
      <c r="L249" s="343">
        <v>0.85</v>
      </c>
      <c r="M249" s="350">
        <v>0.95400000000000007</v>
      </c>
      <c r="N249" s="342">
        <f t="shared" si="1904"/>
        <v>53.400592447532851</v>
      </c>
      <c r="O249" s="342">
        <f t="shared" si="1899"/>
        <v>320.40355468519709</v>
      </c>
      <c r="P249" s="343">
        <f t="shared" si="1905"/>
        <v>0.2</v>
      </c>
      <c r="Q249" s="350">
        <v>50</v>
      </c>
      <c r="R249" s="350">
        <v>0</v>
      </c>
      <c r="S249" s="350">
        <f t="shared" si="1906"/>
        <v>0</v>
      </c>
      <c r="T249" s="343" t="s">
        <v>131</v>
      </c>
      <c r="U249" s="350" t="s">
        <v>333</v>
      </c>
      <c r="V249" s="343">
        <v>70</v>
      </c>
      <c r="W249" s="343" t="str">
        <f t="shared" si="1907"/>
        <v>3C X 70</v>
      </c>
      <c r="X249" s="343" t="str">
        <f t="shared" si="1908"/>
        <v>3C X 70+PE</v>
      </c>
      <c r="Y249" s="343" t="s">
        <v>358</v>
      </c>
      <c r="Z249" s="344">
        <f>IF(T249="AIR",VLOOKUP(W249,'Catalogue Aluminium'!$B$9:$G$93,2,FALSE),IF(T249="GROUND",VLOOKUP(W249,'Catalogue Aluminium'!$B$9:$G$93,3,FALSE),IF(T249="DUCT",VLOOKUP(W249,'Catalogue Aluminium'!$B$9:$G$93,4,FALSE),IF(T249="TRENCH",VLOOKUP(W249,'Catalogue Aluminium'!$B$9:$G$93,2,FALSE)))))</f>
        <v>177</v>
      </c>
      <c r="AA249" s="345">
        <f>VLOOKUP(W249,'Catalogue Aluminium'!$B$9:$G$93,5,FALSE)</f>
        <v>0.56699999999999995</v>
      </c>
      <c r="AB249" s="345">
        <f>VLOOKUP(W249,'Catalogue Aluminium'!$B$9:$G$93,6,FALSE)</f>
        <v>7.5200000000000003E-2</v>
      </c>
      <c r="AC249" s="457">
        <f t="shared" ref="AC249:AC250" si="1924">32+6</f>
        <v>38</v>
      </c>
      <c r="AD249" s="401">
        <f t="shared" ref="AD249:AD252" si="1925">40+50+38+50+17+(27+25)</f>
        <v>247</v>
      </c>
      <c r="AE249" s="401">
        <f t="shared" si="1910"/>
        <v>38</v>
      </c>
      <c r="AF249" s="401">
        <v>8</v>
      </c>
      <c r="AG249" s="401">
        <f t="shared" si="1911"/>
        <v>34</v>
      </c>
      <c r="AH249" s="347">
        <f t="shared" si="1912"/>
        <v>365</v>
      </c>
      <c r="AI249" s="344">
        <f>IF(T249="AIR",'Catalogue Aluminium'!$K$9,IF(T249="TRENCH",'Catalogue Aluminium'!$K$12,"NA"))</f>
        <v>0.89</v>
      </c>
      <c r="AJ249" s="342">
        <f>IF(T249="Air",(IF(U249="1C",'Catalogue Aluminium'!$L$9,'Catalogue Aluminium'!$M$9)),IF(T249="DUCT",(IF($U249="1C",'Catalogue Aluminium'!$L$10,'Catalogue Aluminium'!$M$10)),IF(T249="GROUND",(IF($U249="1C",'Catalogue Aluminium'!$L$11,'Catalogue Aluminium'!$M$11)),IF(T249="TRENCH",(IF($U249="1C",'Catalogue Aluminium'!$L$12,'Catalogue Aluminium'!$M$12))))))</f>
        <v>0.66</v>
      </c>
      <c r="AK249" s="344" t="str">
        <f>IF(T249="Air",'Catalogue Aluminium'!$N$9,IF(T249="GROUND",'Catalogue Aluminium'!$N$10,IF(T249="DUCT",'Catalogue Aluminium'!$N$11,IF(T249="TRENCH",'Catalogue Aluminium'!$N$12,"NA"))))</f>
        <v>NA</v>
      </c>
      <c r="AL249" s="344" t="str">
        <f>IF(T249="Air",(IF(U249="1C",'Catalogue Aluminium'!$O$9,'Catalogue Aluminium'!$P$9)),IF(T249="DUCT",(IF($U249="1C",'Catalogue Aluminium'!$O$10,'Catalogue Aluminium'!$P$10)),IF(T249="GROUND",(IF($U249="1C",'Catalogue Aluminium'!$O$11,'Catalogue Aluminium'!$P$11)),IF(T249="TRENCH",(IF($U249="1C",'Catalogue Aluminium'!$O$12,'Catalogue Aluminium'!$P$12))))))</f>
        <v>NA</v>
      </c>
      <c r="AM249" s="344" t="str">
        <f>IF(T249="AIR","NA",IF(T249="TRENCH","NA",IF(T249="DUCT",IF(U249="1C",VLOOKUP(V249,'Catalogue Aluminium'!$Q$9:$S$28,2,FALSE),VLOOKUP(V249,'Catalogue Aluminium'!$Q$9:$S$28,3)),IF(T249="GROUND",IF(U249="1C",VLOOKUP(V249,'Catalogue Aluminium'!$Q$9:$S$28,2,FALSE),VLOOKUP(V249,'Catalogue Aluminium'!$Q$9:$S$28,3))))))</f>
        <v>NA</v>
      </c>
      <c r="AN249" s="351">
        <f t="shared" si="1913"/>
        <v>0.58740000000000003</v>
      </c>
      <c r="AO249" s="350">
        <f t="shared" si="1914"/>
        <v>103.96980000000001</v>
      </c>
      <c r="AP249" s="349">
        <v>2</v>
      </c>
      <c r="AQ249" s="350" t="str">
        <f t="shared" si="1915"/>
        <v>YES</v>
      </c>
      <c r="AR249" s="351">
        <f t="shared" si="1916"/>
        <v>2.2009857758583973</v>
      </c>
      <c r="AS249" s="343" t="str">
        <f t="shared" si="1917"/>
        <v>YES</v>
      </c>
      <c r="AT249" s="351">
        <f t="shared" si="1918"/>
        <v>4.7368507826218655</v>
      </c>
      <c r="AU249" s="343" t="str">
        <f t="shared" si="1919"/>
        <v>YES</v>
      </c>
      <c r="AV249" s="354" t="str">
        <f t="shared" si="1920"/>
        <v>2R x 0.6/1kV x 3C x 70 Sqmm</v>
      </c>
      <c r="AW249" s="354" t="str">
        <f t="shared" si="1921"/>
        <v>2R x 0.6/1kV x 3C x 70+PE Sqmm</v>
      </c>
      <c r="AX249" s="343">
        <f>(IF(K249=400,(IF(U249="1C",(4*AH249*AP249),(AH249*AP249))),IF(K249=230,(AH249*AP249))))</f>
        <v>730</v>
      </c>
      <c r="AY249" s="355"/>
      <c r="AZ249" s="355">
        <f>IF(U249="1C",(3*AP249*2),(AP249*2))</f>
        <v>4</v>
      </c>
      <c r="BA249" s="356" t="str">
        <f t="shared" si="1922"/>
        <v>ACDEE1E2</v>
      </c>
      <c r="BB249" s="501">
        <f>VLOOKUP(W249,'Catalogue Aluminium'!$B$9:$H$93,7,FALSE)</f>
        <v>30</v>
      </c>
      <c r="BC249" s="328">
        <f>AP249*BB249</f>
        <v>60</v>
      </c>
      <c r="BE249" s="336"/>
      <c r="BF249" s="336">
        <v>1</v>
      </c>
      <c r="BG249" s="336"/>
      <c r="BH249" s="336"/>
      <c r="BI249" s="336">
        <v>1</v>
      </c>
      <c r="BJ249" s="336">
        <v>1</v>
      </c>
      <c r="BK249" s="336"/>
      <c r="BL249" s="336"/>
      <c r="BM249" s="336"/>
      <c r="BN249" s="336">
        <v>1</v>
      </c>
      <c r="BO249" s="336"/>
      <c r="BP249" s="336">
        <v>1</v>
      </c>
      <c r="BQ249" s="336">
        <v>1</v>
      </c>
      <c r="BR249" s="336"/>
      <c r="BS249" s="336"/>
      <c r="BT249" s="336"/>
      <c r="BU249" s="336"/>
      <c r="BV249" s="336"/>
      <c r="BW249" s="336"/>
      <c r="BX249" s="336"/>
      <c r="BY249" s="336"/>
      <c r="BZ249" s="336"/>
      <c r="CA249" s="336"/>
      <c r="CB249" s="336"/>
      <c r="CC249" s="336"/>
      <c r="CD249" s="336"/>
      <c r="CE249" s="336"/>
      <c r="CF249" s="336"/>
      <c r="CG249" s="336"/>
      <c r="CH249" s="336"/>
      <c r="CI249" s="336"/>
      <c r="CJ249" s="336"/>
      <c r="CK249" s="336"/>
      <c r="CL249" s="336"/>
      <c r="CM249" s="336"/>
      <c r="CN249" s="336"/>
      <c r="CO249" s="336"/>
      <c r="CP249" s="336"/>
      <c r="CQ249" s="336"/>
      <c r="CR249" s="336"/>
      <c r="CS249" s="336"/>
      <c r="CT249" s="336"/>
      <c r="CU249" s="336"/>
      <c r="CV249" s="336"/>
      <c r="CW249" s="336"/>
      <c r="CX249" s="336"/>
      <c r="CY249" s="336"/>
      <c r="CZ249" s="336"/>
      <c r="DA249" s="336"/>
      <c r="DB249" s="336"/>
      <c r="DC249" s="336"/>
      <c r="DD249" s="336"/>
      <c r="DE249" s="336"/>
      <c r="DF249" s="336"/>
      <c r="DG249" s="336"/>
      <c r="DH249" s="336"/>
      <c r="DI249" s="336"/>
      <c r="DJ249" s="336"/>
      <c r="DK249" s="336"/>
      <c r="DL249" s="336"/>
      <c r="DM249" s="336"/>
      <c r="DN249" s="336"/>
      <c r="DO249" s="336"/>
      <c r="DP249" s="336"/>
      <c r="DQ249" s="336"/>
      <c r="DR249" s="336"/>
      <c r="DS249" s="336"/>
      <c r="DT249" s="336"/>
      <c r="DU249" s="336"/>
      <c r="DW249" s="336">
        <f t="shared" si="1872"/>
        <v>0</v>
      </c>
      <c r="DX249" s="336">
        <f t="shared" si="1862"/>
        <v>60</v>
      </c>
      <c r="DY249" s="336">
        <f t="shared" si="1863"/>
        <v>0</v>
      </c>
      <c r="DZ249" s="336">
        <f t="shared" si="1864"/>
        <v>0</v>
      </c>
      <c r="EA249" s="336">
        <f t="shared" si="1865"/>
        <v>60</v>
      </c>
      <c r="EB249" s="336">
        <f t="shared" si="1866"/>
        <v>60</v>
      </c>
      <c r="EC249" s="336">
        <f t="shared" si="1867"/>
        <v>0</v>
      </c>
      <c r="ED249" s="336">
        <f t="shared" si="1774"/>
        <v>0</v>
      </c>
      <c r="EE249" s="336">
        <f t="shared" si="1775"/>
        <v>0</v>
      </c>
      <c r="EF249" s="336">
        <f t="shared" si="1776"/>
        <v>60</v>
      </c>
      <c r="EG249" s="336">
        <f t="shared" si="1777"/>
        <v>0</v>
      </c>
      <c r="EH249" s="336">
        <f t="shared" si="1778"/>
        <v>60</v>
      </c>
      <c r="EI249" s="336">
        <f t="shared" si="1779"/>
        <v>60</v>
      </c>
      <c r="EJ249" s="336">
        <f t="shared" si="1780"/>
        <v>0</v>
      </c>
      <c r="EK249" s="336">
        <f t="shared" si="1781"/>
        <v>0</v>
      </c>
      <c r="EL249" s="336">
        <f t="shared" si="1782"/>
        <v>0</v>
      </c>
      <c r="EM249" s="336">
        <f t="shared" si="1783"/>
        <v>0</v>
      </c>
      <c r="EN249" s="336">
        <f t="shared" si="1784"/>
        <v>0</v>
      </c>
      <c r="EO249" s="336">
        <f t="shared" si="1785"/>
        <v>0</v>
      </c>
      <c r="EP249" s="336">
        <f t="shared" si="1786"/>
        <v>0</v>
      </c>
      <c r="EQ249" s="336">
        <f t="shared" si="1787"/>
        <v>0</v>
      </c>
      <c r="ER249" s="336">
        <f t="shared" si="1788"/>
        <v>0</v>
      </c>
      <c r="ES249" s="336">
        <f t="shared" si="1789"/>
        <v>0</v>
      </c>
      <c r="ET249" s="336">
        <f t="shared" si="1789"/>
        <v>0</v>
      </c>
      <c r="EU249" s="336">
        <f t="shared" si="1790"/>
        <v>0</v>
      </c>
      <c r="EV249" s="336">
        <f t="shared" si="1791"/>
        <v>0</v>
      </c>
      <c r="EW249" s="336">
        <f t="shared" si="1792"/>
        <v>0</v>
      </c>
      <c r="EX249" s="336">
        <f t="shared" si="1793"/>
        <v>0</v>
      </c>
      <c r="EY249" s="336">
        <f t="shared" si="1794"/>
        <v>0</v>
      </c>
      <c r="EZ249" s="336">
        <f t="shared" si="1795"/>
        <v>0</v>
      </c>
      <c r="FA249" s="336">
        <f t="shared" si="1796"/>
        <v>0</v>
      </c>
      <c r="FB249" s="336">
        <f t="shared" si="1797"/>
        <v>0</v>
      </c>
      <c r="FC249" s="336">
        <f t="shared" si="1798"/>
        <v>0</v>
      </c>
      <c r="FD249" s="336">
        <f t="shared" si="1799"/>
        <v>0</v>
      </c>
      <c r="FE249" s="336">
        <f t="shared" si="1800"/>
        <v>0</v>
      </c>
      <c r="FF249" s="336">
        <f t="shared" si="1801"/>
        <v>0</v>
      </c>
      <c r="FG249" s="336">
        <f t="shared" si="1802"/>
        <v>0</v>
      </c>
      <c r="FH249" s="336">
        <f t="shared" si="1803"/>
        <v>0</v>
      </c>
      <c r="FI249" s="336">
        <f t="shared" si="1804"/>
        <v>0</v>
      </c>
      <c r="FJ249" s="336">
        <f t="shared" si="1805"/>
        <v>0</v>
      </c>
      <c r="FK249" s="336">
        <f t="shared" si="1806"/>
        <v>0</v>
      </c>
      <c r="FL249" s="336">
        <f t="shared" si="1807"/>
        <v>0</v>
      </c>
      <c r="FM249" s="336">
        <f t="shared" si="1808"/>
        <v>0</v>
      </c>
      <c r="FN249" s="336">
        <f t="shared" si="1809"/>
        <v>0</v>
      </c>
      <c r="FO249" s="336">
        <f t="shared" si="1810"/>
        <v>0</v>
      </c>
      <c r="FP249" s="336">
        <f t="shared" si="1811"/>
        <v>0</v>
      </c>
      <c r="FQ249" s="336">
        <f t="shared" si="1812"/>
        <v>0</v>
      </c>
      <c r="FR249" s="336">
        <f t="shared" si="1813"/>
        <v>0</v>
      </c>
      <c r="FS249" s="336">
        <f t="shared" si="1814"/>
        <v>0</v>
      </c>
      <c r="FT249" s="336">
        <f t="shared" si="1815"/>
        <v>0</v>
      </c>
      <c r="FU249" s="336">
        <f t="shared" ref="FU249:FU253" si="1926">IF(DC249=1,($BC249*DC249),0)</f>
        <v>0</v>
      </c>
      <c r="FV249" s="336">
        <f t="shared" ref="FV249:FV253" si="1927">IF(DD249=1,($BC249*DD249),0)</f>
        <v>0</v>
      </c>
      <c r="FW249" s="336">
        <f t="shared" ref="FW249:FW253" si="1928">IF(DE249=1,($BC249*DE249),0)</f>
        <v>0</v>
      </c>
      <c r="FX249" s="336">
        <f t="shared" ref="FX249:FX253" si="1929">IF(DF249=1,($BC249*DF249),0)</f>
        <v>0</v>
      </c>
      <c r="FY249" s="336">
        <f t="shared" si="1820"/>
        <v>0</v>
      </c>
      <c r="FZ249" s="336">
        <f t="shared" si="1821"/>
        <v>0</v>
      </c>
      <c r="GA249" s="336">
        <f t="shared" si="1822"/>
        <v>0</v>
      </c>
      <c r="GB249" s="336">
        <f t="shared" si="1823"/>
        <v>0</v>
      </c>
      <c r="GC249" s="336">
        <f t="shared" si="1824"/>
        <v>0</v>
      </c>
      <c r="GD249" s="336">
        <f t="shared" si="1825"/>
        <v>0</v>
      </c>
      <c r="GE249" s="336">
        <f t="shared" si="1826"/>
        <v>0</v>
      </c>
      <c r="GF249" s="336">
        <f t="shared" si="1827"/>
        <v>0</v>
      </c>
      <c r="GG249" s="336">
        <f t="shared" si="1828"/>
        <v>0</v>
      </c>
      <c r="GH249" s="336">
        <f t="shared" si="1829"/>
        <v>0</v>
      </c>
      <c r="GI249" s="336">
        <f t="shared" si="1830"/>
        <v>0</v>
      </c>
      <c r="GJ249" s="336">
        <f t="shared" si="1831"/>
        <v>0</v>
      </c>
      <c r="GK249" s="336">
        <f t="shared" si="1750"/>
        <v>0</v>
      </c>
      <c r="GL249" s="336">
        <f>IF(DT249=1,($BC249*DT249),0)</f>
        <v>0</v>
      </c>
      <c r="GM249" s="336">
        <f t="shared" si="1832"/>
        <v>0</v>
      </c>
    </row>
    <row r="250" spans="1:195" ht="36.75" customHeight="1">
      <c r="A250" s="388">
        <f t="shared" ref="A250:A252" si="1930">1+A249</f>
        <v>162</v>
      </c>
      <c r="B250" s="506" t="s">
        <v>527</v>
      </c>
      <c r="C250" s="388" t="str">
        <f t="shared" si="1903"/>
        <v>EPMCC-1</v>
      </c>
      <c r="D250" s="338" t="s">
        <v>699</v>
      </c>
      <c r="E250" s="454" t="s">
        <v>345</v>
      </c>
      <c r="F250" s="388" t="s">
        <v>28</v>
      </c>
      <c r="G250" s="388" t="s">
        <v>329</v>
      </c>
      <c r="H250" s="396">
        <v>0.2</v>
      </c>
      <c r="I250" s="388" t="s">
        <v>330</v>
      </c>
      <c r="J250" s="388" t="s">
        <v>357</v>
      </c>
      <c r="K250" s="434">
        <v>230</v>
      </c>
      <c r="L250" s="401">
        <v>0.85</v>
      </c>
      <c r="M250" s="418">
        <v>0.95</v>
      </c>
      <c r="N250" s="392">
        <f t="shared" si="1904"/>
        <v>1.0768609503297888</v>
      </c>
      <c r="O250" s="392">
        <f t="shared" si="1899"/>
        <v>0</v>
      </c>
      <c r="P250" s="401" t="str">
        <f t="shared" si="1905"/>
        <v>0.00</v>
      </c>
      <c r="Q250" s="418">
        <v>65</v>
      </c>
      <c r="R250" s="418">
        <v>0</v>
      </c>
      <c r="S250" s="418">
        <f t="shared" si="1906"/>
        <v>0</v>
      </c>
      <c r="T250" s="401" t="s">
        <v>131</v>
      </c>
      <c r="U250" s="418" t="s">
        <v>333</v>
      </c>
      <c r="V250" s="401">
        <v>2.5</v>
      </c>
      <c r="W250" s="401" t="str">
        <f t="shared" si="1907"/>
        <v>3C X 2.5</v>
      </c>
      <c r="X250" s="401" t="str">
        <f t="shared" ref="X250" si="1931">(IF(J250="1Ph",W250,IF(J250="3Ph",(IF(G250="MOTOR",(CONCATENATE(W250,"+PE")),W250)))))</f>
        <v>3C X 2.5</v>
      </c>
      <c r="Y250" s="401" t="s">
        <v>358</v>
      </c>
      <c r="Z250" s="393">
        <f>IF(T250="AIR",VLOOKUP(W250,'Catalogue Aluminium'!$B$9:$G$93,2,FALSE),IF(T250="GROUND",VLOOKUP(W250,'Catalogue Aluminium'!$B$9:$G$93,3,FALSE),IF(T250="DUCT",VLOOKUP(W250,'Catalogue Aluminium'!$B$9:$G$93,4,FALSE),IF(T250="TRENCH",VLOOKUP(W250,'Catalogue Aluminium'!$B$9:$G$93,2,FALSE)))))</f>
        <v>28</v>
      </c>
      <c r="AA250" s="402">
        <f>VLOOKUP(W250,'Catalogue Aluminium'!$B$9:$G$93,5,FALSE)</f>
        <v>9.48</v>
      </c>
      <c r="AB250" s="402">
        <f>VLOOKUP(W250,'Catalogue Aluminium'!$B$9:$G$93,6,FALSE)</f>
        <v>0.1007</v>
      </c>
      <c r="AC250" s="457">
        <f t="shared" si="1924"/>
        <v>38</v>
      </c>
      <c r="AD250" s="401">
        <f t="shared" si="1925"/>
        <v>247</v>
      </c>
      <c r="AE250" s="401">
        <f t="shared" si="1910"/>
        <v>38</v>
      </c>
      <c r="AF250" s="401">
        <v>8</v>
      </c>
      <c r="AG250" s="401">
        <f t="shared" ref="AG250" si="1932">ROUNDUP((SUM(AC250:AF250)*0.1),0)</f>
        <v>34</v>
      </c>
      <c r="AH250" s="436">
        <f t="shared" ref="AH250" si="1933">SUM(AC250:AG250)</f>
        <v>365</v>
      </c>
      <c r="AI250" s="393">
        <f>IF(T250="AIR",'Catalogue Aluminium'!$K$9,IF(T250="TRENCH",'Catalogue Aluminium'!$K$12,"NA"))</f>
        <v>0.89</v>
      </c>
      <c r="AJ250" s="392">
        <f>IF(T250="Air",(IF(U250="1C",'Catalogue Aluminium'!$L$9,'Catalogue Aluminium'!$M$9)),IF(T250="DUCT",(IF($U250="1C",'Catalogue Aluminium'!$L$10,'Catalogue Aluminium'!$M$10)),IF(T250="GROUND",(IF($U250="1C",'Catalogue Aluminium'!$L$11,'Catalogue Aluminium'!$M$11)),IF(T250="TRENCH",(IF($U250="1C",'Catalogue Aluminium'!$L$12,'Catalogue Aluminium'!$M$12))))))</f>
        <v>0.66</v>
      </c>
      <c r="AK250" s="393" t="str">
        <f>IF(T250="Air",'Catalogue Aluminium'!$N$9,IF(T250="GROUND",'Catalogue Aluminium'!$N$10,IF(T250="DUCT",'Catalogue Aluminium'!$N$11,IF(T250="TRENCH",'Catalogue Aluminium'!$N$12,"NA"))))</f>
        <v>NA</v>
      </c>
      <c r="AL250" s="393" t="str">
        <f>IF(T250="Air",(IF(U250="1C",'Catalogue Aluminium'!$O$9,'Catalogue Aluminium'!$P$9)),IF(T250="DUCT",(IF($U250="1C",'Catalogue Aluminium'!$O$10,'Catalogue Aluminium'!$P$10)),IF(T250="GROUND",(IF($U250="1C",'Catalogue Aluminium'!$O$11,'Catalogue Aluminium'!$P$11)),IF(T250="TRENCH",(IF($U250="1C",'Catalogue Aluminium'!$O$12,'Catalogue Aluminium'!$P$12))))))</f>
        <v>NA</v>
      </c>
      <c r="AM250" s="393" t="str">
        <f>IF(T250="AIR","NA",IF(T250="TRENCH","NA",IF(T250="DUCT",IF(U250="1C",VLOOKUP(V250,'Catalogue Aluminium'!$Q$9:$S$28,2,FALSE),VLOOKUP(V250,'Catalogue Aluminium'!$Q$9:$S$28,3)),IF(T250="GROUND",IF(U250="1C",VLOOKUP(V250,'Catalogue Aluminium'!$Q$9:$S$28,2,FALSE),VLOOKUP(V250,'Catalogue Aluminium'!$Q$9:$S$28,3))))))</f>
        <v>NA</v>
      </c>
      <c r="AN250" s="437">
        <f t="shared" ref="AN250" si="1934">IF(T250="AIR",AI250*AJ250,IF(T250="TRENCH",AI250*AJ250,IF(T250="DUCT",AJ250*AK250*AL250*AM250,IF(T250="GROUND",AJ250*AK250*AL250*AM250))))</f>
        <v>0.58740000000000003</v>
      </c>
      <c r="AO250" s="418">
        <f t="shared" ref="AO250" si="1935">Z250*AN250</f>
        <v>16.447200000000002</v>
      </c>
      <c r="AP250" s="434">
        <f t="shared" ref="AP250" si="1936">CEILING(((N250)/AO250),1)</f>
        <v>1</v>
      </c>
      <c r="AQ250" s="418" t="str">
        <f t="shared" ref="AQ250" si="1937">IF(AO250*AP250&gt;=N250,"YES","NO")</f>
        <v>YES</v>
      </c>
      <c r="AR250" s="437">
        <f t="shared" ref="AR250" si="1938">SQRT(3)*AH250*N250*((AA250*L250)+(AB250*SIN(ACOS(L250))))*100/(AP250*K250*1000)</f>
        <v>2.4008343895191984</v>
      </c>
      <c r="AS250" s="401" t="str">
        <f t="shared" ref="AS250" si="1939">IF(G250="INCOMER",(IF(AR250&lt;=2,"YES","NO")),IF(G250="POWER",(IF(AR250&lt;=2.5,"YES","NO")),IF(G250="MOTOR",(IF(AR250&lt;=3,"YES","NO")))))</f>
        <v>YES</v>
      </c>
      <c r="AT250" s="437" t="str">
        <f t="shared" si="1918"/>
        <v>NA</v>
      </c>
      <c r="AU250" s="401" t="str">
        <f t="shared" si="1919"/>
        <v>NA</v>
      </c>
      <c r="AV250" s="503" t="str">
        <f t="shared" si="1920"/>
        <v>1R x 0.6/1kV x 3C x 2.5 Sqmm</v>
      </c>
      <c r="AW250" s="503" t="str">
        <f t="shared" si="1921"/>
        <v>1R x 0.6/1kV x 3C x 2.5 Sqmm</v>
      </c>
      <c r="AX250" s="401">
        <f>(IF(K250=400,(IF(U250="1C",(4*AH250*AP250),(AH250*AP250))),IF(K250=230,(AH250*AP250))))</f>
        <v>365</v>
      </c>
      <c r="AY250" s="504"/>
      <c r="AZ250" s="504">
        <f>IF(U250="1C",(3*AP250*2),(AP250*2))</f>
        <v>2</v>
      </c>
      <c r="BA250" s="438" t="str">
        <f t="shared" si="1922"/>
        <v>ACDEE1E2</v>
      </c>
      <c r="BB250" s="505">
        <f>VLOOKUP(W250,'Catalogue Aluminium'!$B$9:$H$93,7,FALSE)</f>
        <v>14</v>
      </c>
      <c r="BC250" s="439">
        <f>AP250*BB250</f>
        <v>14</v>
      </c>
      <c r="BE250" s="336"/>
      <c r="BF250" s="336">
        <v>1</v>
      </c>
      <c r="BG250" s="336"/>
      <c r="BH250" s="336"/>
      <c r="BI250" s="336">
        <v>1</v>
      </c>
      <c r="BJ250" s="336">
        <v>1</v>
      </c>
      <c r="BK250" s="336"/>
      <c r="BL250" s="336"/>
      <c r="BM250" s="336"/>
      <c r="BN250" s="336">
        <v>1</v>
      </c>
      <c r="BO250" s="336"/>
      <c r="BP250" s="336">
        <v>1</v>
      </c>
      <c r="BQ250" s="336">
        <v>1</v>
      </c>
      <c r="BR250" s="336"/>
      <c r="BS250" s="336"/>
      <c r="BT250" s="336"/>
      <c r="BU250" s="336"/>
      <c r="BV250" s="336"/>
      <c r="BW250" s="336"/>
      <c r="BX250" s="336"/>
      <c r="BY250" s="336"/>
      <c r="BZ250" s="336"/>
      <c r="CA250" s="336"/>
      <c r="CB250" s="336"/>
      <c r="CC250" s="336"/>
      <c r="CD250" s="336"/>
      <c r="CE250" s="336"/>
      <c r="CF250" s="336"/>
      <c r="CG250" s="336"/>
      <c r="CH250" s="336"/>
      <c r="CI250" s="336"/>
      <c r="CJ250" s="336"/>
      <c r="CK250" s="336"/>
      <c r="CL250" s="336"/>
      <c r="CM250" s="336"/>
      <c r="CN250" s="336"/>
      <c r="CO250" s="336"/>
      <c r="CP250" s="336"/>
      <c r="CQ250" s="336"/>
      <c r="CR250" s="336"/>
      <c r="CS250" s="336"/>
      <c r="CT250" s="336"/>
      <c r="CU250" s="336"/>
      <c r="CV250" s="336"/>
      <c r="CW250" s="336"/>
      <c r="CX250" s="336"/>
      <c r="CY250" s="336"/>
      <c r="CZ250" s="336"/>
      <c r="DA250" s="336"/>
      <c r="DB250" s="336"/>
      <c r="DC250" s="336"/>
      <c r="DD250" s="336"/>
      <c r="DE250" s="336"/>
      <c r="DF250" s="336"/>
      <c r="DG250" s="336"/>
      <c r="DH250" s="336"/>
      <c r="DI250" s="336"/>
      <c r="DJ250" s="336"/>
      <c r="DK250" s="336"/>
      <c r="DL250" s="336"/>
      <c r="DM250" s="336"/>
      <c r="DN250" s="336"/>
      <c r="DO250" s="336"/>
      <c r="DP250" s="336"/>
      <c r="DQ250" s="336"/>
      <c r="DR250" s="336"/>
      <c r="DS250" s="336"/>
      <c r="DT250" s="336"/>
      <c r="DU250" s="336"/>
      <c r="DW250" s="336">
        <f t="shared" ref="DW250" si="1940">IF(BE250=1,($BC250*BE250),0)</f>
        <v>0</v>
      </c>
      <c r="DX250" s="336">
        <f t="shared" ref="DX250" si="1941">IF(BF250=1,($BC250*BF250),0)</f>
        <v>14</v>
      </c>
      <c r="DY250" s="336">
        <f t="shared" ref="DY250" si="1942">IF(BG250=1,($BC250*BG250),0)</f>
        <v>0</v>
      </c>
      <c r="DZ250" s="336">
        <f t="shared" ref="DZ250" si="1943">IF(BH250=1,($BC250*BH250),0)</f>
        <v>0</v>
      </c>
      <c r="EA250" s="336">
        <f t="shared" ref="EA250" si="1944">IF(BI250=1,($BC250*BI250),0)</f>
        <v>14</v>
      </c>
      <c r="EB250" s="336">
        <f t="shared" ref="EB250" si="1945">IF(BJ250=1,($BC250*BJ250),0)</f>
        <v>14</v>
      </c>
      <c r="EC250" s="336">
        <f t="shared" ref="EC250" si="1946">IF(BK250=1,($BC250*BK250),0)</f>
        <v>0</v>
      </c>
      <c r="ED250" s="336">
        <f t="shared" si="1774"/>
        <v>0</v>
      </c>
      <c r="EE250" s="336">
        <f t="shared" si="1775"/>
        <v>0</v>
      </c>
      <c r="EF250" s="336">
        <f t="shared" si="1776"/>
        <v>14</v>
      </c>
      <c r="EG250" s="336">
        <f t="shared" si="1777"/>
        <v>0</v>
      </c>
      <c r="EH250" s="336">
        <f t="shared" si="1778"/>
        <v>14</v>
      </c>
      <c r="EI250" s="336">
        <f t="shared" si="1779"/>
        <v>14</v>
      </c>
      <c r="EJ250" s="336">
        <f t="shared" si="1780"/>
        <v>0</v>
      </c>
      <c r="EK250" s="336">
        <f t="shared" si="1781"/>
        <v>0</v>
      </c>
      <c r="EL250" s="336">
        <f t="shared" si="1782"/>
        <v>0</v>
      </c>
      <c r="EM250" s="336">
        <f t="shared" si="1783"/>
        <v>0</v>
      </c>
      <c r="EN250" s="336">
        <f t="shared" si="1784"/>
        <v>0</v>
      </c>
      <c r="EO250" s="336">
        <f t="shared" si="1785"/>
        <v>0</v>
      </c>
      <c r="EP250" s="336">
        <f t="shared" si="1786"/>
        <v>0</v>
      </c>
      <c r="EQ250" s="336">
        <f t="shared" si="1787"/>
        <v>0</v>
      </c>
      <c r="ER250" s="336">
        <f t="shared" si="1788"/>
        <v>0</v>
      </c>
      <c r="ES250" s="336">
        <f t="shared" si="1789"/>
        <v>0</v>
      </c>
      <c r="ET250" s="336">
        <f t="shared" si="1789"/>
        <v>0</v>
      </c>
      <c r="EU250" s="336">
        <f t="shared" si="1790"/>
        <v>0</v>
      </c>
      <c r="EV250" s="336">
        <f t="shared" si="1791"/>
        <v>0</v>
      </c>
      <c r="EW250" s="336">
        <f t="shared" si="1792"/>
        <v>0</v>
      </c>
      <c r="EX250" s="336">
        <f t="shared" si="1793"/>
        <v>0</v>
      </c>
      <c r="EY250" s="336">
        <f t="shared" si="1794"/>
        <v>0</v>
      </c>
      <c r="EZ250" s="336">
        <f t="shared" si="1795"/>
        <v>0</v>
      </c>
      <c r="FA250" s="336">
        <f t="shared" si="1796"/>
        <v>0</v>
      </c>
      <c r="FB250" s="336">
        <f t="shared" si="1797"/>
        <v>0</v>
      </c>
      <c r="FC250" s="336">
        <f t="shared" si="1798"/>
        <v>0</v>
      </c>
      <c r="FD250" s="336">
        <f t="shared" si="1799"/>
        <v>0</v>
      </c>
      <c r="FE250" s="336">
        <f t="shared" si="1800"/>
        <v>0</v>
      </c>
      <c r="FF250" s="336">
        <f t="shared" si="1801"/>
        <v>0</v>
      </c>
      <c r="FG250" s="336">
        <f t="shared" si="1802"/>
        <v>0</v>
      </c>
      <c r="FH250" s="336">
        <f t="shared" si="1803"/>
        <v>0</v>
      </c>
      <c r="FI250" s="336">
        <f t="shared" si="1804"/>
        <v>0</v>
      </c>
      <c r="FJ250" s="336">
        <f t="shared" si="1805"/>
        <v>0</v>
      </c>
      <c r="FK250" s="336">
        <f t="shared" si="1806"/>
        <v>0</v>
      </c>
      <c r="FL250" s="336">
        <f t="shared" si="1807"/>
        <v>0</v>
      </c>
      <c r="FM250" s="336">
        <f t="shared" si="1808"/>
        <v>0</v>
      </c>
      <c r="FN250" s="336">
        <f t="shared" si="1809"/>
        <v>0</v>
      </c>
      <c r="FO250" s="336">
        <f t="shared" si="1810"/>
        <v>0</v>
      </c>
      <c r="FP250" s="336">
        <f t="shared" si="1811"/>
        <v>0</v>
      </c>
      <c r="FQ250" s="336">
        <f t="shared" si="1812"/>
        <v>0</v>
      </c>
      <c r="FR250" s="336">
        <f t="shared" si="1813"/>
        <v>0</v>
      </c>
      <c r="FS250" s="336">
        <f t="shared" si="1814"/>
        <v>0</v>
      </c>
      <c r="FT250" s="336">
        <f t="shared" si="1815"/>
        <v>0</v>
      </c>
      <c r="FU250" s="336">
        <f t="shared" si="1926"/>
        <v>0</v>
      </c>
      <c r="FV250" s="336">
        <f t="shared" si="1927"/>
        <v>0</v>
      </c>
      <c r="FW250" s="336">
        <f t="shared" si="1928"/>
        <v>0</v>
      </c>
      <c r="FX250" s="336">
        <f t="shared" si="1929"/>
        <v>0</v>
      </c>
      <c r="FY250" s="336">
        <f t="shared" si="1820"/>
        <v>0</v>
      </c>
      <c r="FZ250" s="336">
        <f t="shared" si="1821"/>
        <v>0</v>
      </c>
      <c r="GA250" s="336">
        <f t="shared" si="1822"/>
        <v>0</v>
      </c>
      <c r="GB250" s="336">
        <f t="shared" si="1823"/>
        <v>0</v>
      </c>
      <c r="GC250" s="336">
        <f t="shared" si="1824"/>
        <v>0</v>
      </c>
      <c r="GD250" s="336">
        <f t="shared" si="1825"/>
        <v>0</v>
      </c>
      <c r="GE250" s="336">
        <f t="shared" si="1826"/>
        <v>0</v>
      </c>
      <c r="GF250" s="336">
        <f t="shared" si="1827"/>
        <v>0</v>
      </c>
      <c r="GG250" s="336">
        <f t="shared" si="1828"/>
        <v>0</v>
      </c>
      <c r="GH250" s="336">
        <f t="shared" si="1829"/>
        <v>0</v>
      </c>
      <c r="GI250" s="336">
        <f t="shared" si="1830"/>
        <v>0</v>
      </c>
      <c r="GJ250" s="336">
        <f t="shared" si="1831"/>
        <v>0</v>
      </c>
      <c r="GK250" s="336">
        <f t="shared" si="1750"/>
        <v>0</v>
      </c>
      <c r="GL250" s="336">
        <f>IF(DT250=1,($BC250*DT250),0)</f>
        <v>0</v>
      </c>
      <c r="GM250" s="336">
        <f t="shared" si="1832"/>
        <v>0</v>
      </c>
    </row>
    <row r="251" spans="1:195" ht="26.1" customHeight="1">
      <c r="A251" s="337">
        <f t="shared" si="1930"/>
        <v>163</v>
      </c>
      <c r="B251" s="897" t="s">
        <v>1696</v>
      </c>
      <c r="C251" s="337" t="str">
        <f t="shared" si="1903"/>
        <v>EPMCC-1</v>
      </c>
      <c r="D251" s="372" t="s">
        <v>700</v>
      </c>
      <c r="E251" s="453" t="s">
        <v>345</v>
      </c>
      <c r="F251" s="337" t="s">
        <v>29</v>
      </c>
      <c r="G251" s="337" t="s">
        <v>350</v>
      </c>
      <c r="H251" s="418">
        <v>30</v>
      </c>
      <c r="I251" s="337" t="s">
        <v>330</v>
      </c>
      <c r="J251" s="337" t="s">
        <v>331</v>
      </c>
      <c r="K251" s="349">
        <v>400</v>
      </c>
      <c r="L251" s="343">
        <v>0.85</v>
      </c>
      <c r="M251" s="350">
        <v>0.95400000000000007</v>
      </c>
      <c r="N251" s="342">
        <f t="shared" si="1904"/>
        <v>53.400592447532851</v>
      </c>
      <c r="O251" s="342">
        <f t="shared" si="1899"/>
        <v>320.40355468519709</v>
      </c>
      <c r="P251" s="343">
        <f t="shared" si="1905"/>
        <v>0.2</v>
      </c>
      <c r="Q251" s="350">
        <v>50</v>
      </c>
      <c r="R251" s="350">
        <v>0</v>
      </c>
      <c r="S251" s="350">
        <f t="shared" si="1906"/>
        <v>0</v>
      </c>
      <c r="T251" s="343" t="s">
        <v>131</v>
      </c>
      <c r="U251" s="350" t="s">
        <v>333</v>
      </c>
      <c r="V251" s="343">
        <v>70</v>
      </c>
      <c r="W251" s="343" t="str">
        <f t="shared" si="1907"/>
        <v>3C X 70</v>
      </c>
      <c r="X251" s="343" t="str">
        <f t="shared" si="1908"/>
        <v>3C X 70+PE</v>
      </c>
      <c r="Y251" s="343" t="s">
        <v>358</v>
      </c>
      <c r="Z251" s="344">
        <f>IF(T251="AIR",VLOOKUP(W251,'Catalogue Aluminium'!$B$9:$G$93,2,FALSE),IF(T251="GROUND",VLOOKUP(W251,'Catalogue Aluminium'!$B$9:$G$93,3,FALSE),IF(T251="DUCT",VLOOKUP(W251,'Catalogue Aluminium'!$B$9:$G$93,4,FALSE),IF(T251="TRENCH",VLOOKUP(W251,'Catalogue Aluminium'!$B$9:$G$93,2,FALSE)))))</f>
        <v>177</v>
      </c>
      <c r="AA251" s="345">
        <f>VLOOKUP(W251,'Catalogue Aluminium'!$B$9:$G$93,5,FALSE)</f>
        <v>0.56699999999999995</v>
      </c>
      <c r="AB251" s="345">
        <f>VLOOKUP(W251,'Catalogue Aluminium'!$B$9:$G$93,6,FALSE)</f>
        <v>7.5200000000000003E-2</v>
      </c>
      <c r="AC251" s="457">
        <f>24+6</f>
        <v>30</v>
      </c>
      <c r="AD251" s="401">
        <f t="shared" si="1925"/>
        <v>247</v>
      </c>
      <c r="AE251" s="401">
        <f t="shared" si="1910"/>
        <v>38</v>
      </c>
      <c r="AF251" s="401">
        <v>8</v>
      </c>
      <c r="AG251" s="401">
        <f t="shared" si="1911"/>
        <v>33</v>
      </c>
      <c r="AH251" s="347">
        <f t="shared" si="1912"/>
        <v>356</v>
      </c>
      <c r="AI251" s="344">
        <f>IF(T251="AIR",'Catalogue Aluminium'!$K$9,IF(T251="TRENCH",'Catalogue Aluminium'!$K$12,"NA"))</f>
        <v>0.89</v>
      </c>
      <c r="AJ251" s="342">
        <f>IF(T251="Air",(IF(U251="1C",'Catalogue Aluminium'!$L$9,'Catalogue Aluminium'!$M$9)),IF(T251="DUCT",(IF($U251="1C",'Catalogue Aluminium'!$L$10,'Catalogue Aluminium'!$M$10)),IF(T251="GROUND",(IF($U251="1C",'Catalogue Aluminium'!$L$11,'Catalogue Aluminium'!$M$11)),IF(T251="TRENCH",(IF($U251="1C",'Catalogue Aluminium'!$L$12,'Catalogue Aluminium'!$M$12))))))</f>
        <v>0.66</v>
      </c>
      <c r="AK251" s="344" t="str">
        <f>IF(T251="Air",'Catalogue Aluminium'!$N$9,IF(T251="GROUND",'Catalogue Aluminium'!$N$10,IF(T251="DUCT",'Catalogue Aluminium'!$N$11,IF(T251="TRENCH",'Catalogue Aluminium'!$N$12,"NA"))))</f>
        <v>NA</v>
      </c>
      <c r="AL251" s="344" t="str">
        <f>IF(T251="Air",(IF(U251="1C",'Catalogue Aluminium'!$O$9,'Catalogue Aluminium'!$P$9)),IF(T251="DUCT",(IF($U251="1C",'Catalogue Aluminium'!$O$10,'Catalogue Aluminium'!$P$10)),IF(T251="GROUND",(IF($U251="1C",'Catalogue Aluminium'!$O$11,'Catalogue Aluminium'!$P$11)),IF(T251="TRENCH",(IF($U251="1C",'Catalogue Aluminium'!$O$12,'Catalogue Aluminium'!$P$12))))))</f>
        <v>NA</v>
      </c>
      <c r="AM251" s="344" t="str">
        <f>IF(T251="AIR","NA",IF(T251="TRENCH","NA",IF(T251="DUCT",IF(U251="1C",VLOOKUP(V251,'Catalogue Aluminium'!$Q$9:$S$28,2,FALSE),VLOOKUP(V251,'Catalogue Aluminium'!$Q$9:$S$28,3)),IF(T251="GROUND",IF(U251="1C",VLOOKUP(V251,'Catalogue Aluminium'!$Q$9:$S$28,2,FALSE),VLOOKUP(V251,'Catalogue Aluminium'!$Q$9:$S$28,3))))))</f>
        <v>NA</v>
      </c>
      <c r="AN251" s="351">
        <f t="shared" si="1913"/>
        <v>0.58740000000000003</v>
      </c>
      <c r="AO251" s="350">
        <f t="shared" si="1914"/>
        <v>103.96980000000001</v>
      </c>
      <c r="AP251" s="349">
        <v>2</v>
      </c>
      <c r="AQ251" s="350" t="str">
        <f t="shared" si="1915"/>
        <v>YES</v>
      </c>
      <c r="AR251" s="351">
        <f t="shared" si="1916"/>
        <v>2.146714893713944</v>
      </c>
      <c r="AS251" s="343" t="str">
        <f t="shared" si="1917"/>
        <v>YES</v>
      </c>
      <c r="AT251" s="351">
        <f t="shared" si="1918"/>
        <v>4.6200517222284496</v>
      </c>
      <c r="AU251" s="343" t="str">
        <f t="shared" si="1919"/>
        <v>YES</v>
      </c>
      <c r="AV251" s="354" t="str">
        <f t="shared" si="1920"/>
        <v>2R x 0.6/1kV x 3C x 70 Sqmm</v>
      </c>
      <c r="AW251" s="354" t="str">
        <f t="shared" si="1921"/>
        <v>2R x 0.6/1kV x 3C x 70+PE Sqmm</v>
      </c>
      <c r="AX251" s="343">
        <f>(IF(K251=400,(IF(U251="1C",(4*AH251*AP251),(AH251*AP251))),IF(K251=230,(AH251*AP251))))</f>
        <v>712</v>
      </c>
      <c r="AY251" s="355"/>
      <c r="AZ251" s="355">
        <f>IF(U251="1C",(3*AP251*2),(AP251*2))</f>
        <v>4</v>
      </c>
      <c r="BA251" s="356" t="str">
        <f t="shared" si="1922"/>
        <v>ACDEE1E2</v>
      </c>
      <c r="BB251" s="501">
        <f>VLOOKUP(W251,'Catalogue Aluminium'!$B$9:$H$93,7,FALSE)</f>
        <v>30</v>
      </c>
      <c r="BC251" s="328">
        <f>AP251*BB251</f>
        <v>60</v>
      </c>
      <c r="BE251" s="336"/>
      <c r="BF251" s="336">
        <v>1</v>
      </c>
      <c r="BG251" s="336"/>
      <c r="BH251" s="336"/>
      <c r="BI251" s="336">
        <v>1</v>
      </c>
      <c r="BJ251" s="336">
        <v>1</v>
      </c>
      <c r="BK251" s="336"/>
      <c r="BL251" s="336"/>
      <c r="BM251" s="336"/>
      <c r="BN251" s="336">
        <v>1</v>
      </c>
      <c r="BO251" s="336"/>
      <c r="BP251" s="336">
        <v>1</v>
      </c>
      <c r="BQ251" s="336">
        <v>1</v>
      </c>
      <c r="BR251" s="336"/>
      <c r="BS251" s="336"/>
      <c r="BT251" s="336"/>
      <c r="BU251" s="336"/>
      <c r="BV251" s="336"/>
      <c r="BW251" s="336"/>
      <c r="BX251" s="336"/>
      <c r="BY251" s="336"/>
      <c r="BZ251" s="336"/>
      <c r="CA251" s="336"/>
      <c r="CB251" s="336"/>
      <c r="CC251" s="336"/>
      <c r="CD251" s="336"/>
      <c r="CE251" s="336"/>
      <c r="CF251" s="336"/>
      <c r="CG251" s="336"/>
      <c r="CH251" s="336"/>
      <c r="CI251" s="336"/>
      <c r="CJ251" s="336"/>
      <c r="CK251" s="336"/>
      <c r="CL251" s="336"/>
      <c r="CM251" s="336"/>
      <c r="CN251" s="336"/>
      <c r="CO251" s="336"/>
      <c r="CP251" s="336"/>
      <c r="CQ251" s="336"/>
      <c r="CR251" s="336"/>
      <c r="CS251" s="336"/>
      <c r="CT251" s="336"/>
      <c r="CU251" s="336"/>
      <c r="CV251" s="336"/>
      <c r="CW251" s="336"/>
      <c r="CX251" s="336"/>
      <c r="CY251" s="336"/>
      <c r="CZ251" s="336"/>
      <c r="DA251" s="336"/>
      <c r="DB251" s="336"/>
      <c r="DC251" s="336"/>
      <c r="DD251" s="336"/>
      <c r="DE251" s="336"/>
      <c r="DF251" s="336"/>
      <c r="DG251" s="336"/>
      <c r="DH251" s="336"/>
      <c r="DI251" s="336"/>
      <c r="DJ251" s="336"/>
      <c r="DK251" s="336"/>
      <c r="DL251" s="336"/>
      <c r="DM251" s="336"/>
      <c r="DN251" s="336"/>
      <c r="DO251" s="336"/>
      <c r="DP251" s="336"/>
      <c r="DQ251" s="336"/>
      <c r="DR251" s="336"/>
      <c r="DS251" s="336"/>
      <c r="DT251" s="336"/>
      <c r="DU251" s="336"/>
      <c r="DW251" s="336">
        <f t="shared" si="1872"/>
        <v>0</v>
      </c>
      <c r="DX251" s="336">
        <f t="shared" si="1862"/>
        <v>60</v>
      </c>
      <c r="DY251" s="336">
        <f t="shared" si="1863"/>
        <v>0</v>
      </c>
      <c r="DZ251" s="336">
        <f t="shared" si="1864"/>
        <v>0</v>
      </c>
      <c r="EA251" s="336">
        <f t="shared" si="1865"/>
        <v>60</v>
      </c>
      <c r="EB251" s="336">
        <f t="shared" si="1866"/>
        <v>60</v>
      </c>
      <c r="EC251" s="336">
        <f t="shared" si="1867"/>
        <v>0</v>
      </c>
      <c r="ED251" s="336">
        <f t="shared" si="1774"/>
        <v>0</v>
      </c>
      <c r="EE251" s="336">
        <f t="shared" si="1775"/>
        <v>0</v>
      </c>
      <c r="EF251" s="336">
        <f t="shared" si="1776"/>
        <v>60</v>
      </c>
      <c r="EG251" s="336">
        <f t="shared" si="1777"/>
        <v>0</v>
      </c>
      <c r="EH251" s="336">
        <f t="shared" si="1778"/>
        <v>60</v>
      </c>
      <c r="EI251" s="336">
        <f t="shared" si="1779"/>
        <v>60</v>
      </c>
      <c r="EJ251" s="336">
        <f t="shared" si="1780"/>
        <v>0</v>
      </c>
      <c r="EK251" s="336">
        <f t="shared" si="1781"/>
        <v>0</v>
      </c>
      <c r="EL251" s="336">
        <f t="shared" si="1782"/>
        <v>0</v>
      </c>
      <c r="EM251" s="336">
        <f t="shared" si="1783"/>
        <v>0</v>
      </c>
      <c r="EN251" s="336">
        <f t="shared" si="1784"/>
        <v>0</v>
      </c>
      <c r="EO251" s="336">
        <f t="shared" si="1785"/>
        <v>0</v>
      </c>
      <c r="EP251" s="336">
        <f t="shared" si="1786"/>
        <v>0</v>
      </c>
      <c r="EQ251" s="336">
        <f t="shared" si="1787"/>
        <v>0</v>
      </c>
      <c r="ER251" s="336">
        <f t="shared" si="1788"/>
        <v>0</v>
      </c>
      <c r="ES251" s="336">
        <f t="shared" si="1789"/>
        <v>0</v>
      </c>
      <c r="ET251" s="336">
        <f t="shared" si="1789"/>
        <v>0</v>
      </c>
      <c r="EU251" s="336">
        <f t="shared" si="1790"/>
        <v>0</v>
      </c>
      <c r="EV251" s="336">
        <f t="shared" si="1791"/>
        <v>0</v>
      </c>
      <c r="EW251" s="336">
        <f t="shared" si="1792"/>
        <v>0</v>
      </c>
      <c r="EX251" s="336">
        <f t="shared" si="1793"/>
        <v>0</v>
      </c>
      <c r="EY251" s="336">
        <f t="shared" si="1794"/>
        <v>0</v>
      </c>
      <c r="EZ251" s="336">
        <f t="shared" si="1795"/>
        <v>0</v>
      </c>
      <c r="FA251" s="336">
        <f t="shared" si="1796"/>
        <v>0</v>
      </c>
      <c r="FB251" s="336">
        <f t="shared" si="1797"/>
        <v>0</v>
      </c>
      <c r="FC251" s="336">
        <f t="shared" si="1798"/>
        <v>0</v>
      </c>
      <c r="FD251" s="336">
        <f t="shared" si="1799"/>
        <v>0</v>
      </c>
      <c r="FE251" s="336">
        <f t="shared" si="1800"/>
        <v>0</v>
      </c>
      <c r="FF251" s="336">
        <f t="shared" si="1801"/>
        <v>0</v>
      </c>
      <c r="FG251" s="336">
        <f t="shared" si="1802"/>
        <v>0</v>
      </c>
      <c r="FH251" s="336">
        <f t="shared" si="1803"/>
        <v>0</v>
      </c>
      <c r="FI251" s="336">
        <f t="shared" si="1804"/>
        <v>0</v>
      </c>
      <c r="FJ251" s="336">
        <f t="shared" si="1805"/>
        <v>0</v>
      </c>
      <c r="FK251" s="336">
        <f t="shared" si="1806"/>
        <v>0</v>
      </c>
      <c r="FL251" s="336">
        <f t="shared" si="1807"/>
        <v>0</v>
      </c>
      <c r="FM251" s="336">
        <f t="shared" si="1808"/>
        <v>0</v>
      </c>
      <c r="FN251" s="336">
        <f t="shared" si="1809"/>
        <v>0</v>
      </c>
      <c r="FO251" s="336">
        <f t="shared" si="1810"/>
        <v>0</v>
      </c>
      <c r="FP251" s="336">
        <f t="shared" si="1811"/>
        <v>0</v>
      </c>
      <c r="FQ251" s="336">
        <f t="shared" si="1812"/>
        <v>0</v>
      </c>
      <c r="FR251" s="336">
        <f t="shared" si="1813"/>
        <v>0</v>
      </c>
      <c r="FS251" s="336">
        <f t="shared" si="1814"/>
        <v>0</v>
      </c>
      <c r="FT251" s="336">
        <f t="shared" si="1815"/>
        <v>0</v>
      </c>
      <c r="FU251" s="336">
        <f t="shared" si="1926"/>
        <v>0</v>
      </c>
      <c r="FV251" s="336">
        <f t="shared" si="1927"/>
        <v>0</v>
      </c>
      <c r="FW251" s="336">
        <f t="shared" si="1928"/>
        <v>0</v>
      </c>
      <c r="FX251" s="336">
        <f t="shared" si="1929"/>
        <v>0</v>
      </c>
      <c r="FY251" s="336">
        <f t="shared" si="1820"/>
        <v>0</v>
      </c>
      <c r="FZ251" s="336">
        <f t="shared" si="1821"/>
        <v>0</v>
      </c>
      <c r="GA251" s="336">
        <f t="shared" si="1822"/>
        <v>0</v>
      </c>
      <c r="GB251" s="336">
        <f t="shared" si="1823"/>
        <v>0</v>
      </c>
      <c r="GC251" s="336">
        <f t="shared" si="1824"/>
        <v>0</v>
      </c>
      <c r="GD251" s="336">
        <f t="shared" si="1825"/>
        <v>0</v>
      </c>
      <c r="GE251" s="336">
        <f t="shared" si="1826"/>
        <v>0</v>
      </c>
      <c r="GF251" s="336">
        <f t="shared" si="1827"/>
        <v>0</v>
      </c>
      <c r="GG251" s="336">
        <f t="shared" si="1828"/>
        <v>0</v>
      </c>
      <c r="GH251" s="336">
        <f t="shared" si="1829"/>
        <v>0</v>
      </c>
      <c r="GI251" s="336">
        <f t="shared" si="1830"/>
        <v>0</v>
      </c>
      <c r="GJ251" s="336">
        <f t="shared" si="1831"/>
        <v>0</v>
      </c>
      <c r="GK251" s="336">
        <f t="shared" si="1750"/>
        <v>0</v>
      </c>
      <c r="GL251" s="336">
        <f>IF(DT251=1,($BC251*DT251),0)</f>
        <v>0</v>
      </c>
      <c r="GM251" s="336">
        <f t="shared" si="1832"/>
        <v>0</v>
      </c>
    </row>
    <row r="252" spans="1:195" ht="26.1" customHeight="1">
      <c r="A252" s="388">
        <f t="shared" si="1930"/>
        <v>164</v>
      </c>
      <c r="B252" s="506" t="s">
        <v>527</v>
      </c>
      <c r="C252" s="388" t="str">
        <f t="shared" si="1903"/>
        <v>EPMCC-1</v>
      </c>
      <c r="D252" s="338" t="s">
        <v>701</v>
      </c>
      <c r="E252" s="454" t="s">
        <v>345</v>
      </c>
      <c r="F252" s="388" t="s">
        <v>29</v>
      </c>
      <c r="G252" s="388" t="s">
        <v>329</v>
      </c>
      <c r="H252" s="396">
        <v>0.2</v>
      </c>
      <c r="I252" s="388" t="s">
        <v>330</v>
      </c>
      <c r="J252" s="388" t="s">
        <v>357</v>
      </c>
      <c r="K252" s="434">
        <v>230</v>
      </c>
      <c r="L252" s="401">
        <v>0.85</v>
      </c>
      <c r="M252" s="418">
        <v>0.95</v>
      </c>
      <c r="N252" s="392">
        <f t="shared" si="1904"/>
        <v>1.0768609503297888</v>
      </c>
      <c r="O252" s="392">
        <f t="shared" si="1899"/>
        <v>0</v>
      </c>
      <c r="P252" s="401" t="str">
        <f t="shared" si="1905"/>
        <v>0.00</v>
      </c>
      <c r="Q252" s="418">
        <v>65</v>
      </c>
      <c r="R252" s="418">
        <v>0</v>
      </c>
      <c r="S252" s="418">
        <f t="shared" si="1906"/>
        <v>0</v>
      </c>
      <c r="T252" s="401" t="s">
        <v>131</v>
      </c>
      <c r="U252" s="418" t="s">
        <v>333</v>
      </c>
      <c r="V252" s="401">
        <v>2.5</v>
      </c>
      <c r="W252" s="401" t="str">
        <f t="shared" si="1907"/>
        <v>3C X 2.5</v>
      </c>
      <c r="X252" s="401" t="str">
        <f t="shared" ref="X252" si="1947">(IF(J252="1Ph",W252,IF(J252="3Ph",(IF(G252="MOTOR",(CONCATENATE(W252,"+PE")),W252)))))</f>
        <v>3C X 2.5</v>
      </c>
      <c r="Y252" s="401" t="s">
        <v>358</v>
      </c>
      <c r="Z252" s="393">
        <f>IF(T252="AIR",VLOOKUP(W252,'Catalogue Aluminium'!$B$9:$G$93,2,FALSE),IF(T252="GROUND",VLOOKUP(W252,'Catalogue Aluminium'!$B$9:$G$93,3,FALSE),IF(T252="DUCT",VLOOKUP(W252,'Catalogue Aluminium'!$B$9:$G$93,4,FALSE),IF(T252="TRENCH",VLOOKUP(W252,'Catalogue Aluminium'!$B$9:$G$93,2,FALSE)))))</f>
        <v>28</v>
      </c>
      <c r="AA252" s="402">
        <f>VLOOKUP(W252,'Catalogue Aluminium'!$B$9:$G$93,5,FALSE)</f>
        <v>9.48</v>
      </c>
      <c r="AB252" s="402">
        <f>VLOOKUP(W252,'Catalogue Aluminium'!$B$9:$G$93,6,FALSE)</f>
        <v>0.1007</v>
      </c>
      <c r="AC252" s="457">
        <f>24+6</f>
        <v>30</v>
      </c>
      <c r="AD252" s="401">
        <f t="shared" si="1925"/>
        <v>247</v>
      </c>
      <c r="AE252" s="401">
        <f t="shared" si="1910"/>
        <v>38</v>
      </c>
      <c r="AF252" s="401">
        <v>8</v>
      </c>
      <c r="AG252" s="401">
        <f t="shared" ref="AG252" si="1948">ROUNDUP((SUM(AC252:AF252)*0.1),0)</f>
        <v>33</v>
      </c>
      <c r="AH252" s="436">
        <f t="shared" ref="AH252" si="1949">SUM(AC252:AG252)</f>
        <v>356</v>
      </c>
      <c r="AI252" s="393">
        <f>IF(T252="AIR",'Catalogue Aluminium'!$K$9,IF(T252="TRENCH",'Catalogue Aluminium'!$K$12,"NA"))</f>
        <v>0.89</v>
      </c>
      <c r="AJ252" s="392">
        <f>IF(T252="Air",(IF(U252="1C",'Catalogue Aluminium'!$L$9,'Catalogue Aluminium'!$M$9)),IF(T252="DUCT",(IF($U252="1C",'Catalogue Aluminium'!$L$10,'Catalogue Aluminium'!$M$10)),IF(T252="GROUND",(IF($U252="1C",'Catalogue Aluminium'!$L$11,'Catalogue Aluminium'!$M$11)),IF(T252="TRENCH",(IF($U252="1C",'Catalogue Aluminium'!$L$12,'Catalogue Aluminium'!$M$12))))))</f>
        <v>0.66</v>
      </c>
      <c r="AK252" s="393" t="str">
        <f>IF(T252="Air",'Catalogue Aluminium'!$N$9,IF(T252="GROUND",'Catalogue Aluminium'!$N$10,IF(T252="DUCT",'Catalogue Aluminium'!$N$11,IF(T252="TRENCH",'Catalogue Aluminium'!$N$12,"NA"))))</f>
        <v>NA</v>
      </c>
      <c r="AL252" s="393" t="str">
        <f>IF(T252="Air",(IF(U252="1C",'Catalogue Aluminium'!$O$9,'Catalogue Aluminium'!$P$9)),IF(T252="DUCT",(IF($U252="1C",'Catalogue Aluminium'!$O$10,'Catalogue Aluminium'!$P$10)),IF(T252="GROUND",(IF($U252="1C",'Catalogue Aluminium'!$O$11,'Catalogue Aluminium'!$P$11)),IF(T252="TRENCH",(IF($U252="1C",'Catalogue Aluminium'!$O$12,'Catalogue Aluminium'!$P$12))))))</f>
        <v>NA</v>
      </c>
      <c r="AM252" s="393" t="str">
        <f>IF(T252="AIR","NA",IF(T252="TRENCH","NA",IF(T252="DUCT",IF(U252="1C",VLOOKUP(V252,'Catalogue Aluminium'!$Q$9:$S$28,2,FALSE),VLOOKUP(V252,'Catalogue Aluminium'!$Q$9:$S$28,3)),IF(T252="GROUND",IF(U252="1C",VLOOKUP(V252,'Catalogue Aluminium'!$Q$9:$S$28,2,FALSE),VLOOKUP(V252,'Catalogue Aluminium'!$Q$9:$S$28,3))))))</f>
        <v>NA</v>
      </c>
      <c r="AN252" s="437">
        <f t="shared" ref="AN252" si="1950">IF(T252="AIR",AI252*AJ252,IF(T252="TRENCH",AI252*AJ252,IF(T252="DUCT",AJ252*AK252*AL252*AM252,IF(T252="GROUND",AJ252*AK252*AL252*AM252))))</f>
        <v>0.58740000000000003</v>
      </c>
      <c r="AO252" s="418">
        <f t="shared" ref="AO252" si="1951">Z252*AN252</f>
        <v>16.447200000000002</v>
      </c>
      <c r="AP252" s="434">
        <f t="shared" ref="AP252" si="1952">CEILING(((N252)/AO252),1)</f>
        <v>1</v>
      </c>
      <c r="AQ252" s="418" t="str">
        <f t="shared" ref="AQ252" si="1953">IF(AO252*AP252&gt;=N252,"YES","NO")</f>
        <v>YES</v>
      </c>
      <c r="AR252" s="437">
        <f t="shared" ref="AR252" si="1954">SQRT(3)*AH252*N252*((AA252*L252)+(AB252*SIN(ACOS(L252))))*100/(AP252*K252*1000)</f>
        <v>2.341635733339273</v>
      </c>
      <c r="AS252" s="401" t="str">
        <f t="shared" ref="AS252" si="1955">IF(G252="INCOMER",(IF(AR252&lt;=2,"YES","NO")),IF(G252="POWER",(IF(AR252&lt;=2.5,"YES","NO")),IF(G252="MOTOR",(IF(AR252&lt;=3,"YES","NO")))))</f>
        <v>YES</v>
      </c>
      <c r="AT252" s="437" t="str">
        <f t="shared" si="1918"/>
        <v>NA</v>
      </c>
      <c r="AU252" s="401" t="str">
        <f t="shared" si="1919"/>
        <v>NA</v>
      </c>
      <c r="AV252" s="503" t="str">
        <f t="shared" si="1920"/>
        <v>1R x 0.6/1kV x 3C x 2.5 Sqmm</v>
      </c>
      <c r="AW252" s="503" t="str">
        <f t="shared" si="1921"/>
        <v>1R x 0.6/1kV x 3C x 2.5 Sqmm</v>
      </c>
      <c r="AX252" s="401">
        <f>(IF(K252=400,(IF(U252="1C",(4*AH252*AP252),(AH252*AP252))),IF(K252=230,(AH252*AP252))))</f>
        <v>356</v>
      </c>
      <c r="AY252" s="504"/>
      <c r="AZ252" s="504">
        <f>IF(U252="1C",(3*AP252*2),(AP252*2))</f>
        <v>2</v>
      </c>
      <c r="BA252" s="438" t="str">
        <f t="shared" si="1922"/>
        <v>ACDEE1E2</v>
      </c>
      <c r="BB252" s="505">
        <f>VLOOKUP(W252,'Catalogue Aluminium'!$B$9:$H$93,7,FALSE)</f>
        <v>14</v>
      </c>
      <c r="BC252" s="439">
        <f>AP252*BB252</f>
        <v>14</v>
      </c>
      <c r="BE252" s="336"/>
      <c r="BF252" s="336">
        <v>1</v>
      </c>
      <c r="BG252" s="336"/>
      <c r="BH252" s="336"/>
      <c r="BI252" s="336">
        <v>1</v>
      </c>
      <c r="BJ252" s="336">
        <v>1</v>
      </c>
      <c r="BK252" s="336"/>
      <c r="BL252" s="336"/>
      <c r="BM252" s="336"/>
      <c r="BN252" s="336">
        <v>1</v>
      </c>
      <c r="BO252" s="336"/>
      <c r="BP252" s="336">
        <v>1</v>
      </c>
      <c r="BQ252" s="336">
        <v>1</v>
      </c>
      <c r="BR252" s="336"/>
      <c r="BS252" s="336"/>
      <c r="BT252" s="336"/>
      <c r="BU252" s="336"/>
      <c r="BV252" s="336"/>
      <c r="BW252" s="336"/>
      <c r="BX252" s="336"/>
      <c r="BY252" s="336"/>
      <c r="BZ252" s="336"/>
      <c r="CA252" s="336"/>
      <c r="CB252" s="336"/>
      <c r="CC252" s="336"/>
      <c r="CD252" s="336"/>
      <c r="CE252" s="336"/>
      <c r="CF252" s="336"/>
      <c r="CG252" s="336"/>
      <c r="CH252" s="336"/>
      <c r="CI252" s="336"/>
      <c r="CJ252" s="336"/>
      <c r="CK252" s="336"/>
      <c r="CL252" s="336"/>
      <c r="CM252" s="336"/>
      <c r="CN252" s="336"/>
      <c r="CO252" s="336"/>
      <c r="CP252" s="336"/>
      <c r="CQ252" s="336"/>
      <c r="CR252" s="336"/>
      <c r="CS252" s="336"/>
      <c r="CT252" s="336"/>
      <c r="CU252" s="336"/>
      <c r="CV252" s="336"/>
      <c r="CW252" s="336"/>
      <c r="CX252" s="336"/>
      <c r="CY252" s="336"/>
      <c r="CZ252" s="336"/>
      <c r="DA252" s="336"/>
      <c r="DB252" s="336"/>
      <c r="DC252" s="336"/>
      <c r="DD252" s="336"/>
      <c r="DE252" s="336"/>
      <c r="DF252" s="336"/>
      <c r="DG252" s="336"/>
      <c r="DH252" s="336"/>
      <c r="DI252" s="336"/>
      <c r="DJ252" s="336"/>
      <c r="DK252" s="336"/>
      <c r="DL252" s="336"/>
      <c r="DM252" s="336"/>
      <c r="DN252" s="336"/>
      <c r="DO252" s="336"/>
      <c r="DP252" s="336"/>
      <c r="DQ252" s="336"/>
      <c r="DR252" s="336"/>
      <c r="DS252" s="336"/>
      <c r="DT252" s="336"/>
      <c r="DU252" s="336"/>
      <c r="DW252" s="336">
        <f t="shared" ref="DW252" si="1956">IF(BE252=1,($BC252*BE252),0)</f>
        <v>0</v>
      </c>
      <c r="DX252" s="336">
        <f t="shared" ref="DX252" si="1957">IF(BF252=1,($BC252*BF252),0)</f>
        <v>14</v>
      </c>
      <c r="DY252" s="336">
        <f t="shared" ref="DY252" si="1958">IF(BG252=1,($BC252*BG252),0)</f>
        <v>0</v>
      </c>
      <c r="DZ252" s="336">
        <f t="shared" ref="DZ252" si="1959">IF(BH252=1,($BC252*BH252),0)</f>
        <v>0</v>
      </c>
      <c r="EA252" s="336">
        <f t="shared" ref="EA252" si="1960">IF(BI252=1,($BC252*BI252),0)</f>
        <v>14</v>
      </c>
      <c r="EB252" s="336">
        <f t="shared" ref="EB252" si="1961">IF(BJ252=1,($BC252*BJ252),0)</f>
        <v>14</v>
      </c>
      <c r="EC252" s="336">
        <f t="shared" ref="EC252" si="1962">IF(BK252=1,($BC252*BK252),0)</f>
        <v>0</v>
      </c>
      <c r="ED252" s="336">
        <f t="shared" si="1774"/>
        <v>0</v>
      </c>
      <c r="EE252" s="336">
        <f t="shared" si="1775"/>
        <v>0</v>
      </c>
      <c r="EF252" s="336">
        <f t="shared" si="1776"/>
        <v>14</v>
      </c>
      <c r="EG252" s="336">
        <f t="shared" si="1777"/>
        <v>0</v>
      </c>
      <c r="EH252" s="336">
        <f t="shared" si="1778"/>
        <v>14</v>
      </c>
      <c r="EI252" s="336">
        <f t="shared" si="1779"/>
        <v>14</v>
      </c>
      <c r="EJ252" s="336">
        <f t="shared" si="1780"/>
        <v>0</v>
      </c>
      <c r="EK252" s="336">
        <f t="shared" si="1781"/>
        <v>0</v>
      </c>
      <c r="EL252" s="336">
        <f t="shared" si="1782"/>
        <v>0</v>
      </c>
      <c r="EM252" s="336">
        <f t="shared" si="1783"/>
        <v>0</v>
      </c>
      <c r="EN252" s="336">
        <f t="shared" si="1784"/>
        <v>0</v>
      </c>
      <c r="EO252" s="336">
        <f t="shared" si="1785"/>
        <v>0</v>
      </c>
      <c r="EP252" s="336">
        <f t="shared" si="1786"/>
        <v>0</v>
      </c>
      <c r="EQ252" s="336">
        <f t="shared" si="1787"/>
        <v>0</v>
      </c>
      <c r="ER252" s="336">
        <f t="shared" si="1788"/>
        <v>0</v>
      </c>
      <c r="ES252" s="336">
        <f t="shared" si="1789"/>
        <v>0</v>
      </c>
      <c r="ET252" s="336">
        <f t="shared" si="1789"/>
        <v>0</v>
      </c>
      <c r="EU252" s="336">
        <f t="shared" si="1790"/>
        <v>0</v>
      </c>
      <c r="EV252" s="336">
        <f t="shared" si="1791"/>
        <v>0</v>
      </c>
      <c r="EW252" s="336">
        <f t="shared" si="1792"/>
        <v>0</v>
      </c>
      <c r="EX252" s="336">
        <f t="shared" si="1793"/>
        <v>0</v>
      </c>
      <c r="EY252" s="336">
        <f t="shared" si="1794"/>
        <v>0</v>
      </c>
      <c r="EZ252" s="336">
        <f t="shared" si="1795"/>
        <v>0</v>
      </c>
      <c r="FA252" s="336">
        <f t="shared" si="1796"/>
        <v>0</v>
      </c>
      <c r="FB252" s="336">
        <f t="shared" si="1797"/>
        <v>0</v>
      </c>
      <c r="FC252" s="336">
        <f t="shared" si="1798"/>
        <v>0</v>
      </c>
      <c r="FD252" s="336">
        <f t="shared" si="1799"/>
        <v>0</v>
      </c>
      <c r="FE252" s="336">
        <f t="shared" si="1800"/>
        <v>0</v>
      </c>
      <c r="FF252" s="336">
        <f t="shared" si="1801"/>
        <v>0</v>
      </c>
      <c r="FG252" s="336">
        <f t="shared" si="1802"/>
        <v>0</v>
      </c>
      <c r="FH252" s="336">
        <f t="shared" si="1803"/>
        <v>0</v>
      </c>
      <c r="FI252" s="336">
        <f t="shared" si="1804"/>
        <v>0</v>
      </c>
      <c r="FJ252" s="336">
        <f t="shared" si="1805"/>
        <v>0</v>
      </c>
      <c r="FK252" s="336">
        <f t="shared" si="1806"/>
        <v>0</v>
      </c>
      <c r="FL252" s="336">
        <f t="shared" si="1807"/>
        <v>0</v>
      </c>
      <c r="FM252" s="336">
        <f t="shared" si="1808"/>
        <v>0</v>
      </c>
      <c r="FN252" s="336">
        <f t="shared" si="1809"/>
        <v>0</v>
      </c>
      <c r="FO252" s="336">
        <f t="shared" si="1810"/>
        <v>0</v>
      </c>
      <c r="FP252" s="336">
        <f t="shared" si="1811"/>
        <v>0</v>
      </c>
      <c r="FQ252" s="336">
        <f t="shared" si="1812"/>
        <v>0</v>
      </c>
      <c r="FR252" s="336">
        <f t="shared" si="1813"/>
        <v>0</v>
      </c>
      <c r="FS252" s="336">
        <f t="shared" si="1814"/>
        <v>0</v>
      </c>
      <c r="FT252" s="336">
        <f t="shared" si="1815"/>
        <v>0</v>
      </c>
      <c r="FU252" s="336">
        <f t="shared" si="1926"/>
        <v>0</v>
      </c>
      <c r="FV252" s="336">
        <f t="shared" si="1927"/>
        <v>0</v>
      </c>
      <c r="FW252" s="336">
        <f t="shared" si="1928"/>
        <v>0</v>
      </c>
      <c r="FX252" s="336">
        <f t="shared" si="1929"/>
        <v>0</v>
      </c>
      <c r="FY252" s="336">
        <f t="shared" si="1820"/>
        <v>0</v>
      </c>
      <c r="FZ252" s="336">
        <f t="shared" si="1821"/>
        <v>0</v>
      </c>
      <c r="GA252" s="336">
        <f t="shared" si="1822"/>
        <v>0</v>
      </c>
      <c r="GB252" s="336">
        <f t="shared" si="1823"/>
        <v>0</v>
      </c>
      <c r="GC252" s="336">
        <f t="shared" si="1824"/>
        <v>0</v>
      </c>
      <c r="GD252" s="336">
        <f t="shared" si="1825"/>
        <v>0</v>
      </c>
      <c r="GE252" s="336">
        <f t="shared" si="1826"/>
        <v>0</v>
      </c>
      <c r="GF252" s="336">
        <f t="shared" si="1827"/>
        <v>0</v>
      </c>
      <c r="GG252" s="336">
        <f t="shared" si="1828"/>
        <v>0</v>
      </c>
      <c r="GH252" s="336">
        <f t="shared" si="1829"/>
        <v>0</v>
      </c>
      <c r="GI252" s="336">
        <f t="shared" si="1830"/>
        <v>0</v>
      </c>
      <c r="GJ252" s="336">
        <f t="shared" si="1831"/>
        <v>0</v>
      </c>
      <c r="GK252" s="336">
        <f t="shared" si="1750"/>
        <v>0</v>
      </c>
      <c r="GL252" s="336">
        <f>IF(DT252=1,($BC252*DT252),0)</f>
        <v>0</v>
      </c>
      <c r="GM252" s="336">
        <f t="shared" si="1832"/>
        <v>0</v>
      </c>
    </row>
    <row r="253" spans="1:195" ht="20.100000000000001" customHeight="1">
      <c r="A253" s="337">
        <f>1+A252</f>
        <v>165</v>
      </c>
      <c r="B253" s="897" t="s">
        <v>1697</v>
      </c>
      <c r="C253" s="337" t="str">
        <f t="shared" si="1903"/>
        <v>EPMCC-1</v>
      </c>
      <c r="D253" s="372" t="s">
        <v>702</v>
      </c>
      <c r="E253" s="453" t="s">
        <v>345</v>
      </c>
      <c r="F253" s="337" t="s">
        <v>28</v>
      </c>
      <c r="G253" s="337" t="s">
        <v>350</v>
      </c>
      <c r="H253" s="418">
        <v>5.5</v>
      </c>
      <c r="I253" s="337" t="s">
        <v>330</v>
      </c>
      <c r="J253" s="337" t="s">
        <v>331</v>
      </c>
      <c r="K253" s="349">
        <v>400</v>
      </c>
      <c r="L253" s="343">
        <v>0.79</v>
      </c>
      <c r="M253" s="350">
        <v>0.8859999999999999</v>
      </c>
      <c r="N253" s="342">
        <f t="shared" si="1904"/>
        <v>11.342113718622269</v>
      </c>
      <c r="O253" s="342">
        <f t="shared" si="1899"/>
        <v>68.052682311733605</v>
      </c>
      <c r="P253" s="343">
        <f t="shared" si="1905"/>
        <v>0.2</v>
      </c>
      <c r="Q253" s="350">
        <v>50</v>
      </c>
      <c r="R253" s="350">
        <v>0</v>
      </c>
      <c r="S253" s="350">
        <f t="shared" si="1906"/>
        <v>0</v>
      </c>
      <c r="T253" s="343" t="s">
        <v>131</v>
      </c>
      <c r="U253" s="350" t="s">
        <v>333</v>
      </c>
      <c r="V253" s="343">
        <v>25</v>
      </c>
      <c r="W253" s="343" t="str">
        <f t="shared" si="1907"/>
        <v>3C X 25</v>
      </c>
      <c r="X253" s="343" t="str">
        <f t="shared" si="1908"/>
        <v>3C X 25+PE</v>
      </c>
      <c r="Y253" s="343" t="s">
        <v>358</v>
      </c>
      <c r="Z253" s="344">
        <f>IF(T253="AIR",VLOOKUP(W253,'Catalogue Aluminium'!$B$9:$G$93,2,FALSE),IF(T253="GROUND",VLOOKUP(W253,'Catalogue Aluminium'!$B$9:$G$93,3,FALSE),IF(T253="DUCT",VLOOKUP(W253,'Catalogue Aluminium'!$B$9:$G$93,4,FALSE),IF(T253="TRENCH",VLOOKUP(W253,'Catalogue Aluminium'!$B$9:$G$93,2,FALSE)))))</f>
        <v>95</v>
      </c>
      <c r="AA253" s="345">
        <f>VLOOKUP(W253,'Catalogue Aluminium'!$B$9:$G$93,5,FALSE)</f>
        <v>1.54</v>
      </c>
      <c r="AB253" s="345">
        <f>VLOOKUP(W253,'Catalogue Aluminium'!$B$9:$G$93,6,FALSE)</f>
        <v>8.1600000000000006E-2</v>
      </c>
      <c r="AC253" s="457">
        <f t="shared" ref="AC253" si="1963">32+6</f>
        <v>38</v>
      </c>
      <c r="AD253" s="401">
        <f>40+50+38+50+17+(27+35)</f>
        <v>257</v>
      </c>
      <c r="AE253" s="401">
        <f t="shared" si="1910"/>
        <v>38</v>
      </c>
      <c r="AF253" s="401">
        <v>8</v>
      </c>
      <c r="AG253" s="401">
        <f t="shared" si="1911"/>
        <v>35</v>
      </c>
      <c r="AH253" s="347">
        <f t="shared" si="1912"/>
        <v>376</v>
      </c>
      <c r="AI253" s="344">
        <f>IF(T253="AIR",'Catalogue Aluminium'!$K$9,IF(T253="TRENCH",'Catalogue Aluminium'!$K$12,"NA"))</f>
        <v>0.89</v>
      </c>
      <c r="AJ253" s="342">
        <f>IF(T253="Air",(IF(U253="1C",'Catalogue Aluminium'!$L$9,'Catalogue Aluminium'!$M$9)),IF(T253="DUCT",(IF($U253="1C",'Catalogue Aluminium'!$L$10,'Catalogue Aluminium'!$M$10)),IF(T253="GROUND",(IF($U253="1C",'Catalogue Aluminium'!$L$11,'Catalogue Aluminium'!$M$11)),IF(T253="TRENCH",(IF($U253="1C",'Catalogue Aluminium'!$L$12,'Catalogue Aluminium'!$M$12))))))</f>
        <v>0.66</v>
      </c>
      <c r="AK253" s="344" t="str">
        <f>IF(T253="Air",'Catalogue Aluminium'!$N$9,IF(T253="GROUND",'Catalogue Aluminium'!$N$10,IF(T253="DUCT",'Catalogue Aluminium'!$N$11,IF(T253="TRENCH",'Catalogue Aluminium'!$N$12,"NA"))))</f>
        <v>NA</v>
      </c>
      <c r="AL253" s="344" t="str">
        <f>IF(T253="Air",(IF(U253="1C",'Catalogue Aluminium'!$O$9,'Catalogue Aluminium'!$P$9)),IF(T253="DUCT",(IF($U253="1C",'Catalogue Aluminium'!$O$10,'Catalogue Aluminium'!$P$10)),IF(T253="GROUND",(IF($U253="1C",'Catalogue Aluminium'!$O$11,'Catalogue Aluminium'!$P$11)),IF(T253="TRENCH",(IF($U253="1C",'Catalogue Aluminium'!$O$12,'Catalogue Aluminium'!$P$12))))))</f>
        <v>NA</v>
      </c>
      <c r="AM253" s="344" t="str">
        <f>IF(T253="AIR","NA",IF(T253="TRENCH","NA",IF(T253="DUCT",IF(U253="1C",VLOOKUP(V253,'Catalogue Aluminium'!$Q$9:$S$28,2,FALSE),VLOOKUP(V253,'Catalogue Aluminium'!$Q$9:$S$28,3)),IF(T253="GROUND",IF(U253="1C",VLOOKUP(V253,'Catalogue Aluminium'!$Q$9:$S$28,2,FALSE),VLOOKUP(V253,'Catalogue Aluminium'!$Q$9:$S$28,3))))))</f>
        <v>NA</v>
      </c>
      <c r="AN253" s="351">
        <f t="shared" si="1913"/>
        <v>0.58740000000000003</v>
      </c>
      <c r="AO253" s="350">
        <f t="shared" si="1914"/>
        <v>55.803000000000004</v>
      </c>
      <c r="AP253" s="349">
        <f t="shared" si="1888"/>
        <v>1</v>
      </c>
      <c r="AQ253" s="350" t="str">
        <f t="shared" si="1915"/>
        <v>YES</v>
      </c>
      <c r="AR253" s="351">
        <f t="shared" si="1916"/>
        <v>2.3390100247127679</v>
      </c>
      <c r="AS253" s="343" t="str">
        <f t="shared" si="1917"/>
        <v>YES</v>
      </c>
      <c r="AT253" s="351">
        <f t="shared" si="1918"/>
        <v>4.2984412051257292</v>
      </c>
      <c r="AU253" s="343" t="str">
        <f t="shared" si="1919"/>
        <v>YES</v>
      </c>
      <c r="AV253" s="354" t="str">
        <f t="shared" si="1920"/>
        <v>1R x 0.6/1kV x 3C x 25 Sqmm</v>
      </c>
      <c r="AW253" s="354" t="str">
        <f t="shared" si="1921"/>
        <v>1R x 0.6/1kV x 3C x 25+PE Sqmm</v>
      </c>
      <c r="AX253" s="343">
        <f>(IF(K253=400,(IF(U253="1C",(4*AH253*AP253),(AH253*AP253))),IF(K253=230,(AH253*AP253))))</f>
        <v>376</v>
      </c>
      <c r="AY253" s="355"/>
      <c r="AZ253" s="355">
        <f>IF(U253="1C",(3*AP253*2),(AP253*2))</f>
        <v>2</v>
      </c>
      <c r="BA253" s="356" t="str">
        <f t="shared" si="1922"/>
        <v>ACDEE1E2</v>
      </c>
      <c r="BB253" s="501">
        <f>VLOOKUP(W253,'Catalogue Aluminium'!$B$9:$H$93,7,FALSE)</f>
        <v>21</v>
      </c>
      <c r="BC253" s="328">
        <f>AP253*BB253</f>
        <v>21</v>
      </c>
      <c r="BE253" s="336"/>
      <c r="BF253" s="336">
        <v>1</v>
      </c>
      <c r="BG253" s="336"/>
      <c r="BH253" s="336"/>
      <c r="BI253" s="336">
        <v>1</v>
      </c>
      <c r="BJ253" s="336">
        <v>1</v>
      </c>
      <c r="BK253" s="336"/>
      <c r="BL253" s="336"/>
      <c r="BM253" s="336"/>
      <c r="BN253" s="336">
        <v>1</v>
      </c>
      <c r="BO253" s="336"/>
      <c r="BP253" s="336">
        <v>1</v>
      </c>
      <c r="BQ253" s="336">
        <v>1</v>
      </c>
      <c r="BR253" s="336"/>
      <c r="BS253" s="336"/>
      <c r="BT253" s="336"/>
      <c r="BU253" s="336"/>
      <c r="BV253" s="336"/>
      <c r="BW253" s="336"/>
      <c r="BX253" s="336"/>
      <c r="BY253" s="336"/>
      <c r="BZ253" s="336"/>
      <c r="CA253" s="336"/>
      <c r="CB253" s="336"/>
      <c r="CC253" s="336"/>
      <c r="CD253" s="336"/>
      <c r="CE253" s="336"/>
      <c r="CF253" s="336"/>
      <c r="CG253" s="336"/>
      <c r="CH253" s="336"/>
      <c r="CI253" s="336"/>
      <c r="CJ253" s="336"/>
      <c r="CK253" s="336"/>
      <c r="CL253" s="336"/>
      <c r="CM253" s="336"/>
      <c r="CN253" s="336"/>
      <c r="CO253" s="336"/>
      <c r="CP253" s="336"/>
      <c r="CQ253" s="336"/>
      <c r="CR253" s="336"/>
      <c r="CS253" s="336"/>
      <c r="CT253" s="336"/>
      <c r="CU253" s="336"/>
      <c r="CV253" s="336"/>
      <c r="CW253" s="336"/>
      <c r="CX253" s="336"/>
      <c r="CY253" s="336"/>
      <c r="CZ253" s="336"/>
      <c r="DA253" s="336"/>
      <c r="DB253" s="336"/>
      <c r="DC253" s="336"/>
      <c r="DD253" s="336"/>
      <c r="DE253" s="336"/>
      <c r="DF253" s="336"/>
      <c r="DG253" s="336"/>
      <c r="DH253" s="336"/>
      <c r="DI253" s="336"/>
      <c r="DJ253" s="336"/>
      <c r="DK253" s="336"/>
      <c r="DL253" s="336"/>
      <c r="DM253" s="336"/>
      <c r="DN253" s="336"/>
      <c r="DO253" s="336"/>
      <c r="DP253" s="336"/>
      <c r="DQ253" s="336"/>
      <c r="DR253" s="336"/>
      <c r="DS253" s="336"/>
      <c r="DT253" s="336"/>
      <c r="DU253" s="336"/>
      <c r="DW253" s="336">
        <f t="shared" si="1872"/>
        <v>0</v>
      </c>
      <c r="DX253" s="336">
        <f t="shared" si="1862"/>
        <v>21</v>
      </c>
      <c r="DY253" s="336">
        <f t="shared" si="1863"/>
        <v>0</v>
      </c>
      <c r="DZ253" s="336">
        <f t="shared" si="1864"/>
        <v>0</v>
      </c>
      <c r="EA253" s="336">
        <f t="shared" si="1865"/>
        <v>21</v>
      </c>
      <c r="EB253" s="336">
        <f t="shared" si="1866"/>
        <v>21</v>
      </c>
      <c r="EC253" s="336">
        <f t="shared" si="1867"/>
        <v>0</v>
      </c>
      <c r="ED253" s="336">
        <f t="shared" si="1774"/>
        <v>0</v>
      </c>
      <c r="EE253" s="336">
        <f t="shared" si="1775"/>
        <v>0</v>
      </c>
      <c r="EF253" s="336">
        <f t="shared" si="1776"/>
        <v>21</v>
      </c>
      <c r="EG253" s="336">
        <f t="shared" si="1777"/>
        <v>0</v>
      </c>
      <c r="EH253" s="336">
        <f t="shared" si="1778"/>
        <v>21</v>
      </c>
      <c r="EI253" s="336">
        <f t="shared" si="1779"/>
        <v>21</v>
      </c>
      <c r="EJ253" s="336">
        <f t="shared" si="1780"/>
        <v>0</v>
      </c>
      <c r="EK253" s="336">
        <f t="shared" si="1781"/>
        <v>0</v>
      </c>
      <c r="EL253" s="336">
        <f t="shared" si="1782"/>
        <v>0</v>
      </c>
      <c r="EM253" s="336">
        <f t="shared" si="1783"/>
        <v>0</v>
      </c>
      <c r="EN253" s="336">
        <f t="shared" si="1784"/>
        <v>0</v>
      </c>
      <c r="EO253" s="336">
        <f t="shared" si="1785"/>
        <v>0</v>
      </c>
      <c r="EP253" s="336">
        <f t="shared" si="1786"/>
        <v>0</v>
      </c>
      <c r="EQ253" s="336">
        <f t="shared" si="1787"/>
        <v>0</v>
      </c>
      <c r="ER253" s="336">
        <f t="shared" si="1788"/>
        <v>0</v>
      </c>
      <c r="ES253" s="336">
        <f t="shared" si="1789"/>
        <v>0</v>
      </c>
      <c r="ET253" s="336">
        <f t="shared" si="1789"/>
        <v>0</v>
      </c>
      <c r="EU253" s="336">
        <f t="shared" si="1790"/>
        <v>0</v>
      </c>
      <c r="EV253" s="336">
        <f t="shared" si="1791"/>
        <v>0</v>
      </c>
      <c r="EW253" s="336">
        <f t="shared" si="1792"/>
        <v>0</v>
      </c>
      <c r="EX253" s="336">
        <f t="shared" si="1793"/>
        <v>0</v>
      </c>
      <c r="EY253" s="336">
        <f t="shared" si="1794"/>
        <v>0</v>
      </c>
      <c r="EZ253" s="336">
        <f t="shared" si="1795"/>
        <v>0</v>
      </c>
      <c r="FA253" s="336">
        <f t="shared" si="1796"/>
        <v>0</v>
      </c>
      <c r="FB253" s="336">
        <f t="shared" si="1797"/>
        <v>0</v>
      </c>
      <c r="FC253" s="336">
        <f t="shared" si="1798"/>
        <v>0</v>
      </c>
      <c r="FD253" s="336">
        <f t="shared" si="1799"/>
        <v>0</v>
      </c>
      <c r="FE253" s="336">
        <f t="shared" si="1800"/>
        <v>0</v>
      </c>
      <c r="FF253" s="336">
        <f t="shared" si="1801"/>
        <v>0</v>
      </c>
      <c r="FG253" s="336">
        <f t="shared" si="1802"/>
        <v>0</v>
      </c>
      <c r="FH253" s="336">
        <f t="shared" si="1803"/>
        <v>0</v>
      </c>
      <c r="FI253" s="336">
        <f t="shared" si="1804"/>
        <v>0</v>
      </c>
      <c r="FJ253" s="336">
        <f t="shared" si="1805"/>
        <v>0</v>
      </c>
      <c r="FK253" s="336">
        <f t="shared" si="1806"/>
        <v>0</v>
      </c>
      <c r="FL253" s="336">
        <f t="shared" si="1807"/>
        <v>0</v>
      </c>
      <c r="FM253" s="336">
        <f t="shared" si="1808"/>
        <v>0</v>
      </c>
      <c r="FN253" s="336">
        <f t="shared" si="1809"/>
        <v>0</v>
      </c>
      <c r="FO253" s="336">
        <f t="shared" si="1810"/>
        <v>0</v>
      </c>
      <c r="FP253" s="336">
        <f t="shared" si="1811"/>
        <v>0</v>
      </c>
      <c r="FQ253" s="336">
        <f t="shared" si="1812"/>
        <v>0</v>
      </c>
      <c r="FR253" s="336">
        <f t="shared" si="1813"/>
        <v>0</v>
      </c>
      <c r="FS253" s="336">
        <f t="shared" si="1814"/>
        <v>0</v>
      </c>
      <c r="FT253" s="336">
        <f t="shared" si="1815"/>
        <v>0</v>
      </c>
      <c r="FU253" s="336">
        <f t="shared" si="1926"/>
        <v>0</v>
      </c>
      <c r="FV253" s="336">
        <f t="shared" si="1927"/>
        <v>0</v>
      </c>
      <c r="FW253" s="336">
        <f t="shared" si="1928"/>
        <v>0</v>
      </c>
      <c r="FX253" s="336">
        <f t="shared" si="1929"/>
        <v>0</v>
      </c>
      <c r="FY253" s="336">
        <f t="shared" si="1820"/>
        <v>0</v>
      </c>
      <c r="FZ253" s="336">
        <f t="shared" si="1821"/>
        <v>0</v>
      </c>
      <c r="GA253" s="336">
        <f t="shared" si="1822"/>
        <v>0</v>
      </c>
      <c r="GB253" s="336">
        <f t="shared" si="1823"/>
        <v>0</v>
      </c>
      <c r="GC253" s="336">
        <f t="shared" si="1824"/>
        <v>0</v>
      </c>
      <c r="GD253" s="336">
        <f t="shared" si="1825"/>
        <v>0</v>
      </c>
      <c r="GE253" s="336">
        <f t="shared" si="1826"/>
        <v>0</v>
      </c>
      <c r="GF253" s="336">
        <f t="shared" si="1827"/>
        <v>0</v>
      </c>
      <c r="GG253" s="336">
        <f t="shared" si="1828"/>
        <v>0</v>
      </c>
      <c r="GH253" s="336">
        <f t="shared" si="1829"/>
        <v>0</v>
      </c>
      <c r="GI253" s="336">
        <f t="shared" si="1830"/>
        <v>0</v>
      </c>
      <c r="GJ253" s="336">
        <f t="shared" si="1831"/>
        <v>0</v>
      </c>
      <c r="GK253" s="336">
        <f t="shared" si="1750"/>
        <v>0</v>
      </c>
      <c r="GL253" s="336">
        <f>IF(DT253=1,($BC253*DT253),0)</f>
        <v>0</v>
      </c>
      <c r="GM253" s="336">
        <f t="shared" si="1832"/>
        <v>0</v>
      </c>
    </row>
    <row r="254" spans="1:195" s="83" customFormat="1" ht="20.100000000000001" hidden="1" customHeight="1">
      <c r="A254" s="357" t="s">
        <v>334</v>
      </c>
      <c r="B254" s="562" t="s">
        <v>527</v>
      </c>
      <c r="C254" s="357" t="str">
        <f t="shared" si="1903"/>
        <v>EPMCC-1</v>
      </c>
      <c r="D254" s="395" t="s">
        <v>601</v>
      </c>
      <c r="E254" s="421" t="s">
        <v>345</v>
      </c>
      <c r="F254" s="357" t="s">
        <v>29</v>
      </c>
      <c r="G254" s="357" t="s">
        <v>329</v>
      </c>
      <c r="H254" s="352">
        <v>25</v>
      </c>
      <c r="I254" s="357" t="s">
        <v>330</v>
      </c>
      <c r="J254" s="357" t="s">
        <v>331</v>
      </c>
      <c r="K254" s="353">
        <v>400</v>
      </c>
      <c r="L254" s="360">
        <v>0.85</v>
      </c>
      <c r="M254" s="352">
        <v>0.95</v>
      </c>
      <c r="N254" s="359">
        <f t="shared" si="1904"/>
        <v>44.687864206093288</v>
      </c>
      <c r="O254" s="359">
        <f t="shared" si="1899"/>
        <v>0</v>
      </c>
      <c r="P254" s="360" t="str">
        <f t="shared" si="1905"/>
        <v>0.00</v>
      </c>
      <c r="Q254" s="352">
        <v>50</v>
      </c>
      <c r="R254" s="352">
        <v>0</v>
      </c>
      <c r="S254" s="352">
        <f t="shared" si="1906"/>
        <v>0</v>
      </c>
      <c r="T254" s="360" t="s">
        <v>131</v>
      </c>
      <c r="U254" s="352" t="s">
        <v>535</v>
      </c>
      <c r="V254" s="360">
        <v>120</v>
      </c>
      <c r="W254" s="360" t="str">
        <f t="shared" si="1907"/>
        <v>3.5C X 120</v>
      </c>
      <c r="X254" s="360" t="str">
        <f t="shared" si="1908"/>
        <v>3.5C X 120</v>
      </c>
      <c r="Y254" s="360" t="s">
        <v>358</v>
      </c>
      <c r="Z254" s="361">
        <f>IF(T254="AIR",VLOOKUP(W254,'Catalogue Aluminium'!$B$9:$G$93,2,FALSE),IF(T254="GROUND",VLOOKUP(W254,'Catalogue Aluminium'!$B$9:$G$93,3,FALSE),IF(T254="DUCT",VLOOKUP(W254,'Catalogue Aluminium'!$B$9:$G$93,4,FALSE),IF(T254="TRENCH",VLOOKUP(W254,'Catalogue Aluminium'!$B$9:$G$93,2,FALSE)))))</f>
        <v>257</v>
      </c>
      <c r="AA254" s="362">
        <f>VLOOKUP(W254,'Catalogue Aluminium'!$B$9:$G$93,5,FALSE)</f>
        <v>0.32400000000000001</v>
      </c>
      <c r="AB254" s="362">
        <f>VLOOKUP(W254,'Catalogue Aluminium'!$B$9:$G$93,6,FALSE)</f>
        <v>7.2599999999999998E-2</v>
      </c>
      <c r="AC254" s="564">
        <f>22+7</f>
        <v>29</v>
      </c>
      <c r="AD254" s="360">
        <f t="shared" si="1923"/>
        <v>237</v>
      </c>
      <c r="AE254" s="456">
        <f t="shared" si="1910"/>
        <v>38</v>
      </c>
      <c r="AF254" s="360">
        <v>8</v>
      </c>
      <c r="AG254" s="360">
        <f t="shared" si="1911"/>
        <v>32</v>
      </c>
      <c r="AH254" s="363"/>
      <c r="AI254" s="361">
        <f>IF(T254="AIR",'Catalogue Aluminium'!$K$9,IF(T254="TRENCH",'Catalogue Aluminium'!$K$12,"NA"))</f>
        <v>0.89</v>
      </c>
      <c r="AJ254" s="359">
        <f>IF(T254="Air",(IF(U254="1C",'Catalogue Aluminium'!$L$9,'Catalogue Aluminium'!$M$9)),IF(T254="DUCT",(IF($U254="1C",'Catalogue Aluminium'!$L$10,'Catalogue Aluminium'!$M$10)),IF(T254="GROUND",(IF($U254="1C",'Catalogue Aluminium'!$L$11,'Catalogue Aluminium'!$M$11)),IF(T254="TRENCH",(IF($U254="1C",'Catalogue Aluminium'!$L$12,'Catalogue Aluminium'!$M$12))))))</f>
        <v>0.66</v>
      </c>
      <c r="AK254" s="361" t="str">
        <f>IF(T254="Air",'Catalogue Aluminium'!$N$9,IF(T254="GROUND",'Catalogue Aluminium'!$N$10,IF(T254="DUCT",'Catalogue Aluminium'!$N$11,IF(T254="TRENCH",'Catalogue Aluminium'!$N$12,"NA"))))</f>
        <v>NA</v>
      </c>
      <c r="AL254" s="361" t="str">
        <f>IF(T254="Air",(IF(U254="1C",'Catalogue Aluminium'!$O$9,'Catalogue Aluminium'!$P$9)),IF(T254="DUCT",(IF($U254="1C",'Catalogue Aluminium'!$O$10,'Catalogue Aluminium'!$P$10)),IF(T254="GROUND",(IF($U254="1C",'Catalogue Aluminium'!$O$11,'Catalogue Aluminium'!$P$11)),IF(T254="TRENCH",(IF($U254="1C",'Catalogue Aluminium'!$O$12,'Catalogue Aluminium'!$P$12))))))</f>
        <v>NA</v>
      </c>
      <c r="AM254" s="361" t="str">
        <f>IF(T254="AIR","NA",IF(T254="TRENCH","NA",IF(T254="DUCT",IF(U254="1C",VLOOKUP(V254,'Catalogue Aluminium'!$Q$9:$S$28,2,FALSE),VLOOKUP(V254,'Catalogue Aluminium'!$Q$9:$S$28,3)),IF(T254="GROUND",IF(U254="1C",VLOOKUP(V254,'Catalogue Aluminium'!$Q$9:$S$28,2,FALSE),VLOOKUP(V254,'Catalogue Aluminium'!$Q$9:$S$28,3))))))</f>
        <v>NA</v>
      </c>
      <c r="AN254" s="365">
        <f t="shared" si="1913"/>
        <v>0.58740000000000003</v>
      </c>
      <c r="AO254" s="352">
        <f t="shared" si="1914"/>
        <v>150.96180000000001</v>
      </c>
      <c r="AP254" s="353">
        <f t="shared" si="1888"/>
        <v>1</v>
      </c>
      <c r="AQ254" s="352" t="str">
        <f t="shared" si="1915"/>
        <v>YES</v>
      </c>
      <c r="AR254" s="365">
        <f t="shared" si="1916"/>
        <v>0</v>
      </c>
      <c r="AS254" s="496" t="str">
        <f t="shared" si="1917"/>
        <v>YES</v>
      </c>
      <c r="AT254" s="497" t="str">
        <f t="shared" si="1918"/>
        <v>NA</v>
      </c>
      <c r="AU254" s="360" t="str">
        <f t="shared" si="1919"/>
        <v>NA</v>
      </c>
      <c r="AV254" s="366" t="str">
        <f t="shared" si="1920"/>
        <v>1R x 0.6/1kV x 3.5C x 120 Sqmm</v>
      </c>
      <c r="AW254" s="366" t="str">
        <f t="shared" si="1921"/>
        <v>1R x 0.6/1kV x 3.5C x 120 Sqmm</v>
      </c>
      <c r="AX254" s="360"/>
      <c r="AY254" s="367"/>
      <c r="AZ254" s="367"/>
      <c r="BA254" s="520" t="str">
        <f t="shared" si="1922"/>
        <v/>
      </c>
      <c r="BB254" s="498"/>
      <c r="BC254" s="426"/>
      <c r="BE254" s="368"/>
      <c r="BF254" s="368"/>
      <c r="BG254" s="368"/>
      <c r="BH254" s="368"/>
      <c r="BI254" s="368"/>
      <c r="BJ254" s="368"/>
      <c r="BK254" s="368"/>
      <c r="BL254" s="368"/>
      <c r="BM254" s="368"/>
      <c r="BN254" s="368"/>
      <c r="BO254" s="368"/>
      <c r="BP254" s="368"/>
      <c r="BQ254" s="368"/>
      <c r="BR254" s="368"/>
      <c r="BS254" s="368"/>
      <c r="BT254" s="368"/>
      <c r="BU254" s="368"/>
      <c r="BV254" s="368"/>
      <c r="BW254" s="368"/>
      <c r="BX254" s="368"/>
      <c r="BY254" s="368"/>
      <c r="BZ254" s="368"/>
      <c r="CA254" s="368"/>
      <c r="CB254" s="368"/>
      <c r="CC254" s="368"/>
      <c r="CD254" s="368"/>
      <c r="CE254" s="368"/>
      <c r="CF254" s="368"/>
      <c r="CG254" s="368"/>
      <c r="CH254" s="368"/>
      <c r="CI254" s="368"/>
      <c r="CJ254" s="368"/>
      <c r="CK254" s="368"/>
      <c r="CL254" s="368"/>
      <c r="CM254" s="368"/>
      <c r="CN254" s="368"/>
      <c r="CO254" s="368"/>
      <c r="CP254" s="368"/>
      <c r="CQ254" s="368"/>
      <c r="CR254" s="368"/>
      <c r="CS254" s="368"/>
      <c r="CT254" s="368"/>
      <c r="CU254" s="368"/>
      <c r="CV254" s="368"/>
      <c r="CW254" s="368"/>
      <c r="CX254" s="368"/>
      <c r="CY254" s="368"/>
      <c r="CZ254" s="368"/>
      <c r="DA254" s="368"/>
      <c r="DB254" s="368"/>
      <c r="DC254" s="368"/>
      <c r="DD254" s="368"/>
      <c r="DE254" s="368"/>
      <c r="DF254" s="368"/>
      <c r="DG254" s="368"/>
      <c r="DH254" s="368"/>
      <c r="DI254" s="368"/>
      <c r="DJ254" s="368"/>
      <c r="DK254" s="368"/>
      <c r="DL254" s="368"/>
      <c r="DM254" s="368"/>
      <c r="DN254" s="368"/>
      <c r="DO254" s="368"/>
      <c r="DP254" s="368"/>
      <c r="DQ254" s="368"/>
      <c r="DR254" s="368"/>
      <c r="DS254" s="368"/>
      <c r="DT254" s="368"/>
      <c r="DU254" s="368"/>
      <c r="DW254" s="368">
        <f t="shared" si="1872"/>
        <v>0</v>
      </c>
      <c r="DX254" s="368">
        <f t="shared" si="1862"/>
        <v>0</v>
      </c>
      <c r="DY254" s="368">
        <f t="shared" si="1863"/>
        <v>0</v>
      </c>
      <c r="DZ254" s="368">
        <f t="shared" si="1864"/>
        <v>0</v>
      </c>
      <c r="EA254" s="368">
        <f t="shared" si="1865"/>
        <v>0</v>
      </c>
      <c r="EB254" s="368">
        <f t="shared" si="1866"/>
        <v>0</v>
      </c>
      <c r="EC254" s="368">
        <f t="shared" si="1867"/>
        <v>0</v>
      </c>
      <c r="ED254" s="368">
        <f t="shared" si="1774"/>
        <v>0</v>
      </c>
      <c r="EE254" s="368">
        <f t="shared" si="1775"/>
        <v>0</v>
      </c>
      <c r="EF254" s="368">
        <f t="shared" si="1776"/>
        <v>0</v>
      </c>
      <c r="EG254" s="368">
        <f t="shared" si="1777"/>
        <v>0</v>
      </c>
      <c r="EH254" s="368">
        <f t="shared" si="1778"/>
        <v>0</v>
      </c>
      <c r="EI254" s="368">
        <f t="shared" si="1779"/>
        <v>0</v>
      </c>
      <c r="EJ254" s="368">
        <f t="shared" si="1780"/>
        <v>0</v>
      </c>
      <c r="EK254" s="368">
        <f t="shared" si="1781"/>
        <v>0</v>
      </c>
      <c r="EL254" s="368">
        <f t="shared" si="1782"/>
        <v>0</v>
      </c>
      <c r="EM254" s="368">
        <f t="shared" si="1783"/>
        <v>0</v>
      </c>
      <c r="EN254" s="368">
        <f t="shared" si="1784"/>
        <v>0</v>
      </c>
      <c r="EO254" s="368">
        <f t="shared" si="1785"/>
        <v>0</v>
      </c>
      <c r="EP254" s="368">
        <f t="shared" si="1786"/>
        <v>0</v>
      </c>
      <c r="EQ254" s="368">
        <f t="shared" si="1787"/>
        <v>0</v>
      </c>
      <c r="ER254" s="368">
        <f t="shared" si="1788"/>
        <v>0</v>
      </c>
      <c r="ES254" s="368">
        <f t="shared" si="1789"/>
        <v>0</v>
      </c>
      <c r="ET254" s="368">
        <f t="shared" si="1789"/>
        <v>0</v>
      </c>
      <c r="EU254" s="368">
        <f t="shared" si="1790"/>
        <v>0</v>
      </c>
      <c r="EV254" s="368">
        <f t="shared" si="1791"/>
        <v>0</v>
      </c>
      <c r="EW254" s="368">
        <f t="shared" si="1792"/>
        <v>0</v>
      </c>
      <c r="EX254" s="368">
        <f t="shared" si="1793"/>
        <v>0</v>
      </c>
      <c r="EY254" s="368">
        <f t="shared" si="1794"/>
        <v>0</v>
      </c>
      <c r="EZ254" s="368">
        <f t="shared" si="1795"/>
        <v>0</v>
      </c>
      <c r="FA254" s="368">
        <f t="shared" si="1796"/>
        <v>0</v>
      </c>
      <c r="FB254" s="368">
        <f t="shared" si="1797"/>
        <v>0</v>
      </c>
      <c r="FC254" s="368">
        <f t="shared" si="1798"/>
        <v>0</v>
      </c>
      <c r="FD254" s="368">
        <f t="shared" si="1799"/>
        <v>0</v>
      </c>
      <c r="FE254" s="368">
        <f t="shared" si="1800"/>
        <v>0</v>
      </c>
      <c r="FF254" s="368">
        <f t="shared" si="1801"/>
        <v>0</v>
      </c>
      <c r="FG254" s="368">
        <f t="shared" si="1802"/>
        <v>0</v>
      </c>
      <c r="FH254" s="368">
        <f t="shared" si="1803"/>
        <v>0</v>
      </c>
      <c r="FI254" s="368">
        <f t="shared" si="1804"/>
        <v>0</v>
      </c>
      <c r="FJ254" s="368">
        <f t="shared" si="1805"/>
        <v>0</v>
      </c>
      <c r="FK254" s="368">
        <f t="shared" si="1806"/>
        <v>0</v>
      </c>
      <c r="FL254" s="368">
        <f t="shared" si="1807"/>
        <v>0</v>
      </c>
      <c r="FM254" s="368">
        <f t="shared" si="1808"/>
        <v>0</v>
      </c>
      <c r="FN254" s="368">
        <f t="shared" si="1809"/>
        <v>0</v>
      </c>
      <c r="FO254" s="368">
        <f t="shared" si="1810"/>
        <v>0</v>
      </c>
      <c r="FP254" s="368">
        <f t="shared" si="1811"/>
        <v>0</v>
      </c>
      <c r="FQ254" s="368">
        <f t="shared" si="1812"/>
        <v>0</v>
      </c>
      <c r="FR254" s="368">
        <f t="shared" si="1813"/>
        <v>0</v>
      </c>
      <c r="FS254" s="368">
        <f t="shared" si="1814"/>
        <v>0</v>
      </c>
      <c r="FT254" s="368">
        <f t="shared" si="1815"/>
        <v>0</v>
      </c>
      <c r="FU254" s="368"/>
      <c r="FV254" s="368"/>
      <c r="FW254" s="368"/>
      <c r="FX254" s="368"/>
      <c r="FY254" s="368">
        <f t="shared" si="1820"/>
        <v>0</v>
      </c>
      <c r="FZ254" s="368">
        <f t="shared" si="1821"/>
        <v>0</v>
      </c>
      <c r="GA254" s="368">
        <f t="shared" si="1822"/>
        <v>0</v>
      </c>
      <c r="GB254" s="368">
        <f t="shared" si="1823"/>
        <v>0</v>
      </c>
      <c r="GC254" s="368">
        <f t="shared" si="1824"/>
        <v>0</v>
      </c>
      <c r="GD254" s="368">
        <f t="shared" si="1825"/>
        <v>0</v>
      </c>
      <c r="GE254" s="368">
        <f t="shared" si="1826"/>
        <v>0</v>
      </c>
      <c r="GF254" s="368">
        <f t="shared" si="1827"/>
        <v>0</v>
      </c>
      <c r="GG254" s="368">
        <f t="shared" si="1828"/>
        <v>0</v>
      </c>
      <c r="GH254" s="368">
        <f t="shared" si="1829"/>
        <v>0</v>
      </c>
      <c r="GI254" s="368">
        <f t="shared" si="1830"/>
        <v>0</v>
      </c>
      <c r="GJ254" s="368">
        <f t="shared" si="1831"/>
        <v>0</v>
      </c>
      <c r="GK254" s="368">
        <f t="shared" si="1750"/>
        <v>0</v>
      </c>
      <c r="GL254" s="368"/>
      <c r="GM254" s="368">
        <f t="shared" si="1832"/>
        <v>0</v>
      </c>
    </row>
    <row r="255" spans="1:195" s="83" customFormat="1" ht="20.100000000000001" hidden="1" customHeight="1">
      <c r="A255" s="357" t="s">
        <v>334</v>
      </c>
      <c r="B255" s="562" t="s">
        <v>527</v>
      </c>
      <c r="C255" s="357" t="str">
        <f t="shared" si="1903"/>
        <v>EPMCC-1</v>
      </c>
      <c r="D255" s="395" t="s">
        <v>703</v>
      </c>
      <c r="E255" s="421" t="s">
        <v>345</v>
      </c>
      <c r="F255" s="357" t="s">
        <v>28</v>
      </c>
      <c r="G255" s="357" t="s">
        <v>329</v>
      </c>
      <c r="H255" s="352">
        <v>1.5</v>
      </c>
      <c r="I255" s="357" t="s">
        <v>330</v>
      </c>
      <c r="J255" s="357" t="s">
        <v>331</v>
      </c>
      <c r="K255" s="353">
        <v>400</v>
      </c>
      <c r="L255" s="360">
        <v>0.85</v>
      </c>
      <c r="M255" s="352">
        <v>0.95</v>
      </c>
      <c r="N255" s="359">
        <f t="shared" si="1904"/>
        <v>2.681271852365597</v>
      </c>
      <c r="O255" s="359">
        <f t="shared" si="1899"/>
        <v>0</v>
      </c>
      <c r="P255" s="360" t="str">
        <f t="shared" si="1905"/>
        <v>0.00</v>
      </c>
      <c r="Q255" s="352">
        <v>50</v>
      </c>
      <c r="R255" s="352">
        <v>0</v>
      </c>
      <c r="S255" s="352">
        <f t="shared" si="1906"/>
        <v>0</v>
      </c>
      <c r="T255" s="360" t="s">
        <v>131</v>
      </c>
      <c r="U255" s="352" t="s">
        <v>522</v>
      </c>
      <c r="V255" s="360">
        <v>4</v>
      </c>
      <c r="W255" s="360" t="str">
        <f t="shared" si="1907"/>
        <v>4C X 4</v>
      </c>
      <c r="X255" s="360" t="str">
        <f t="shared" si="1908"/>
        <v>4C X 4</v>
      </c>
      <c r="Y255" s="360" t="s">
        <v>358</v>
      </c>
      <c r="Z255" s="361">
        <f>IF(T255="AIR",VLOOKUP(W255,'Catalogue Aluminium'!$B$9:$G$93,2,FALSE),IF(T255="GROUND",VLOOKUP(W255,'Catalogue Aluminium'!$B$9:$G$93,3,FALSE),IF(T255="DUCT",VLOOKUP(W255,'Catalogue Aluminium'!$B$9:$G$93,4,FALSE),IF(T255="TRENCH",VLOOKUP(W255,'Catalogue Aluminium'!$B$9:$G$93,2,FALSE)))))</f>
        <v>38</v>
      </c>
      <c r="AA255" s="362">
        <f>VLOOKUP(W255,'Catalogue Aluminium'!$B$9:$G$93,5,FALSE)</f>
        <v>5.9</v>
      </c>
      <c r="AB255" s="362">
        <f>VLOOKUP(W255,'Catalogue Aluminium'!$B$9:$G$93,6,FALSE)</f>
        <v>9.4700000000000006E-2</v>
      </c>
      <c r="AC255" s="564">
        <f>28+7</f>
        <v>35</v>
      </c>
      <c r="AD255" s="360">
        <f t="shared" si="1923"/>
        <v>237</v>
      </c>
      <c r="AE255" s="456">
        <f t="shared" si="1910"/>
        <v>38</v>
      </c>
      <c r="AF255" s="360">
        <v>8</v>
      </c>
      <c r="AG255" s="360">
        <f t="shared" si="1911"/>
        <v>32</v>
      </c>
      <c r="AH255" s="363"/>
      <c r="AI255" s="361">
        <f>IF(T255="AIR",'Catalogue Aluminium'!$K$9,IF(T255="TRENCH",'Catalogue Aluminium'!$K$12,"NA"))</f>
        <v>0.89</v>
      </c>
      <c r="AJ255" s="359">
        <f>IF(T255="Air",(IF(U255="1C",'Catalogue Aluminium'!$L$9,'Catalogue Aluminium'!$M$9)),IF(T255="DUCT",(IF($U255="1C",'Catalogue Aluminium'!$L$10,'Catalogue Aluminium'!$M$10)),IF(T255="GROUND",(IF($U255="1C",'Catalogue Aluminium'!$L$11,'Catalogue Aluminium'!$M$11)),IF(T255="TRENCH",(IF($U255="1C",'Catalogue Aluminium'!$L$12,'Catalogue Aluminium'!$M$12))))))</f>
        <v>0.66</v>
      </c>
      <c r="AK255" s="361" t="str">
        <f>IF(T255="Air",'Catalogue Aluminium'!$N$9,IF(T255="GROUND",'Catalogue Aluminium'!$N$10,IF(T255="DUCT",'Catalogue Aluminium'!$N$11,IF(T255="TRENCH",'Catalogue Aluminium'!$N$12,"NA"))))</f>
        <v>NA</v>
      </c>
      <c r="AL255" s="361" t="str">
        <f>IF(T255="Air",(IF(U255="1C",'Catalogue Aluminium'!$O$9,'Catalogue Aluminium'!$P$9)),IF(T255="DUCT",(IF($U255="1C",'Catalogue Aluminium'!$O$10,'Catalogue Aluminium'!$P$10)),IF(T255="GROUND",(IF($U255="1C",'Catalogue Aluminium'!$O$11,'Catalogue Aluminium'!$P$11)),IF(T255="TRENCH",(IF($U255="1C",'Catalogue Aluminium'!$O$12,'Catalogue Aluminium'!$P$12))))))</f>
        <v>NA</v>
      </c>
      <c r="AM255" s="361" t="str">
        <f>IF(T255="AIR","NA",IF(T255="TRENCH","NA",IF(T255="DUCT",IF(U255="1C",VLOOKUP(V255,'Catalogue Aluminium'!$Q$9:$S$28,2,FALSE),VLOOKUP(V255,'Catalogue Aluminium'!$Q$9:$S$28,3)),IF(T255="GROUND",IF(U255="1C",VLOOKUP(V255,'Catalogue Aluminium'!$Q$9:$S$28,2,FALSE),VLOOKUP(V255,'Catalogue Aluminium'!$Q$9:$S$28,3))))))</f>
        <v>NA</v>
      </c>
      <c r="AN255" s="365">
        <f t="shared" si="1913"/>
        <v>0.58740000000000003</v>
      </c>
      <c r="AO255" s="352">
        <f t="shared" si="1914"/>
        <v>22.321200000000001</v>
      </c>
      <c r="AP255" s="353">
        <f t="shared" si="1888"/>
        <v>1</v>
      </c>
      <c r="AQ255" s="352" t="str">
        <f t="shared" si="1915"/>
        <v>YES</v>
      </c>
      <c r="AR255" s="365">
        <f t="shared" si="1916"/>
        <v>0</v>
      </c>
      <c r="AS255" s="496" t="str">
        <f t="shared" si="1917"/>
        <v>YES</v>
      </c>
      <c r="AT255" s="497" t="str">
        <f t="shared" si="1918"/>
        <v>NA</v>
      </c>
      <c r="AU255" s="360" t="str">
        <f t="shared" si="1919"/>
        <v>NA</v>
      </c>
      <c r="AV255" s="366" t="str">
        <f t="shared" si="1920"/>
        <v>1R x 0.6/1kV x 4C x 4 Sqmm</v>
      </c>
      <c r="AW255" s="366" t="str">
        <f t="shared" si="1921"/>
        <v>1R x 0.6/1kV x 4C x 4 Sqmm</v>
      </c>
      <c r="AX255" s="360"/>
      <c r="AY255" s="367"/>
      <c r="AZ255" s="367"/>
      <c r="BA255" s="520" t="str">
        <f t="shared" si="1922"/>
        <v/>
      </c>
      <c r="BB255" s="498"/>
      <c r="BC255" s="426"/>
      <c r="BE255" s="368"/>
      <c r="BF255" s="368"/>
      <c r="BG255" s="368"/>
      <c r="BH255" s="368"/>
      <c r="BI255" s="368"/>
      <c r="BJ255" s="368"/>
      <c r="BK255" s="368"/>
      <c r="BL255" s="368"/>
      <c r="BM255" s="368"/>
      <c r="BN255" s="368"/>
      <c r="BO255" s="368"/>
      <c r="BP255" s="368"/>
      <c r="BQ255" s="368"/>
      <c r="BR255" s="368"/>
      <c r="BS255" s="368"/>
      <c r="BT255" s="368"/>
      <c r="BU255" s="368"/>
      <c r="BV255" s="368"/>
      <c r="BW255" s="368"/>
      <c r="BX255" s="368"/>
      <c r="BY255" s="368"/>
      <c r="BZ255" s="368"/>
      <c r="CA255" s="368"/>
      <c r="CB255" s="368"/>
      <c r="CC255" s="368"/>
      <c r="CD255" s="368"/>
      <c r="CE255" s="368"/>
      <c r="CF255" s="368"/>
      <c r="CG255" s="368"/>
      <c r="CH255" s="368"/>
      <c r="CI255" s="368"/>
      <c r="CJ255" s="368"/>
      <c r="CK255" s="368"/>
      <c r="CL255" s="368"/>
      <c r="CM255" s="368"/>
      <c r="CN255" s="368"/>
      <c r="CO255" s="368"/>
      <c r="CP255" s="368"/>
      <c r="CQ255" s="368"/>
      <c r="CR255" s="368"/>
      <c r="CS255" s="368"/>
      <c r="CT255" s="368"/>
      <c r="CU255" s="368"/>
      <c r="CV255" s="368"/>
      <c r="CW255" s="368"/>
      <c r="CX255" s="368"/>
      <c r="CY255" s="368"/>
      <c r="CZ255" s="368"/>
      <c r="DA255" s="368"/>
      <c r="DB255" s="368"/>
      <c r="DC255" s="368"/>
      <c r="DD255" s="368"/>
      <c r="DE255" s="368"/>
      <c r="DF255" s="368"/>
      <c r="DG255" s="368"/>
      <c r="DH255" s="368"/>
      <c r="DI255" s="368"/>
      <c r="DJ255" s="368"/>
      <c r="DK255" s="368"/>
      <c r="DL255" s="368"/>
      <c r="DM255" s="368"/>
      <c r="DN255" s="368"/>
      <c r="DO255" s="368"/>
      <c r="DP255" s="368"/>
      <c r="DQ255" s="368"/>
      <c r="DR255" s="368"/>
      <c r="DS255" s="368"/>
      <c r="DT255" s="368"/>
      <c r="DU255" s="368"/>
      <c r="DW255" s="368">
        <f t="shared" si="1872"/>
        <v>0</v>
      </c>
      <c r="DX255" s="368">
        <f t="shared" si="1862"/>
        <v>0</v>
      </c>
      <c r="DY255" s="368">
        <f t="shared" si="1863"/>
        <v>0</v>
      </c>
      <c r="DZ255" s="368">
        <f t="shared" si="1864"/>
        <v>0</v>
      </c>
      <c r="EA255" s="368">
        <f t="shared" si="1865"/>
        <v>0</v>
      </c>
      <c r="EB255" s="368">
        <f t="shared" si="1866"/>
        <v>0</v>
      </c>
      <c r="EC255" s="368">
        <f t="shared" si="1867"/>
        <v>0</v>
      </c>
      <c r="ED255" s="368">
        <f t="shared" si="1774"/>
        <v>0</v>
      </c>
      <c r="EE255" s="368">
        <f t="shared" si="1775"/>
        <v>0</v>
      </c>
      <c r="EF255" s="368">
        <f t="shared" si="1776"/>
        <v>0</v>
      </c>
      <c r="EG255" s="368">
        <f t="shared" si="1777"/>
        <v>0</v>
      </c>
      <c r="EH255" s="368">
        <f t="shared" si="1778"/>
        <v>0</v>
      </c>
      <c r="EI255" s="368">
        <f t="shared" si="1779"/>
        <v>0</v>
      </c>
      <c r="EJ255" s="368">
        <f t="shared" si="1780"/>
        <v>0</v>
      </c>
      <c r="EK255" s="368">
        <f t="shared" si="1781"/>
        <v>0</v>
      </c>
      <c r="EL255" s="368">
        <f t="shared" si="1782"/>
        <v>0</v>
      </c>
      <c r="EM255" s="368">
        <f t="shared" si="1783"/>
        <v>0</v>
      </c>
      <c r="EN255" s="368">
        <f t="shared" si="1784"/>
        <v>0</v>
      </c>
      <c r="EO255" s="368">
        <f t="shared" si="1785"/>
        <v>0</v>
      </c>
      <c r="EP255" s="368">
        <f t="shared" si="1786"/>
        <v>0</v>
      </c>
      <c r="EQ255" s="368">
        <f t="shared" si="1787"/>
        <v>0</v>
      </c>
      <c r="ER255" s="368">
        <f t="shared" si="1788"/>
        <v>0</v>
      </c>
      <c r="ES255" s="368">
        <f t="shared" si="1789"/>
        <v>0</v>
      </c>
      <c r="ET255" s="368">
        <f t="shared" si="1789"/>
        <v>0</v>
      </c>
      <c r="EU255" s="368">
        <f t="shared" si="1790"/>
        <v>0</v>
      </c>
      <c r="EV255" s="368">
        <f t="shared" si="1791"/>
        <v>0</v>
      </c>
      <c r="EW255" s="368">
        <f t="shared" si="1792"/>
        <v>0</v>
      </c>
      <c r="EX255" s="368">
        <f t="shared" si="1793"/>
        <v>0</v>
      </c>
      <c r="EY255" s="368">
        <f t="shared" si="1794"/>
        <v>0</v>
      </c>
      <c r="EZ255" s="368">
        <f t="shared" si="1795"/>
        <v>0</v>
      </c>
      <c r="FA255" s="368">
        <f t="shared" si="1796"/>
        <v>0</v>
      </c>
      <c r="FB255" s="368">
        <f t="shared" si="1797"/>
        <v>0</v>
      </c>
      <c r="FC255" s="368">
        <f t="shared" si="1798"/>
        <v>0</v>
      </c>
      <c r="FD255" s="368">
        <f t="shared" si="1799"/>
        <v>0</v>
      </c>
      <c r="FE255" s="368">
        <f t="shared" si="1800"/>
        <v>0</v>
      </c>
      <c r="FF255" s="368">
        <f t="shared" si="1801"/>
        <v>0</v>
      </c>
      <c r="FG255" s="368">
        <f t="shared" si="1802"/>
        <v>0</v>
      </c>
      <c r="FH255" s="368">
        <f t="shared" si="1803"/>
        <v>0</v>
      </c>
      <c r="FI255" s="368">
        <f t="shared" si="1804"/>
        <v>0</v>
      </c>
      <c r="FJ255" s="368">
        <f t="shared" si="1805"/>
        <v>0</v>
      </c>
      <c r="FK255" s="368">
        <f t="shared" si="1806"/>
        <v>0</v>
      </c>
      <c r="FL255" s="368">
        <f t="shared" si="1807"/>
        <v>0</v>
      </c>
      <c r="FM255" s="368">
        <f t="shared" si="1808"/>
        <v>0</v>
      </c>
      <c r="FN255" s="368">
        <f t="shared" si="1809"/>
        <v>0</v>
      </c>
      <c r="FO255" s="368">
        <f t="shared" si="1810"/>
        <v>0</v>
      </c>
      <c r="FP255" s="368">
        <f t="shared" si="1811"/>
        <v>0</v>
      </c>
      <c r="FQ255" s="368">
        <f t="shared" si="1812"/>
        <v>0</v>
      </c>
      <c r="FR255" s="368">
        <f t="shared" si="1813"/>
        <v>0</v>
      </c>
      <c r="FS255" s="368">
        <f t="shared" si="1814"/>
        <v>0</v>
      </c>
      <c r="FT255" s="368">
        <f t="shared" si="1815"/>
        <v>0</v>
      </c>
      <c r="FU255" s="368"/>
      <c r="FV255" s="368"/>
      <c r="FW255" s="368"/>
      <c r="FX255" s="368"/>
      <c r="FY255" s="368">
        <f t="shared" si="1820"/>
        <v>0</v>
      </c>
      <c r="FZ255" s="368">
        <f t="shared" si="1821"/>
        <v>0</v>
      </c>
      <c r="GA255" s="368">
        <f t="shared" si="1822"/>
        <v>0</v>
      </c>
      <c r="GB255" s="368">
        <f t="shared" si="1823"/>
        <v>0</v>
      </c>
      <c r="GC255" s="368">
        <f t="shared" si="1824"/>
        <v>0</v>
      </c>
      <c r="GD255" s="368">
        <f t="shared" si="1825"/>
        <v>0</v>
      </c>
      <c r="GE255" s="368">
        <f t="shared" si="1826"/>
        <v>0</v>
      </c>
      <c r="GF255" s="368">
        <f t="shared" si="1827"/>
        <v>0</v>
      </c>
      <c r="GG255" s="368">
        <f t="shared" si="1828"/>
        <v>0</v>
      </c>
      <c r="GH255" s="368">
        <f t="shared" si="1829"/>
        <v>0</v>
      </c>
      <c r="GI255" s="368">
        <f t="shared" si="1830"/>
        <v>0</v>
      </c>
      <c r="GJ255" s="368">
        <f t="shared" si="1831"/>
        <v>0</v>
      </c>
      <c r="GK255" s="368">
        <f t="shared" si="1750"/>
        <v>0</v>
      </c>
      <c r="GL255" s="368"/>
      <c r="GM255" s="368">
        <f t="shared" si="1832"/>
        <v>0</v>
      </c>
    </row>
    <row r="256" spans="1:195" s="83" customFormat="1" ht="20.100000000000001" hidden="1" customHeight="1">
      <c r="A256" s="357" t="s">
        <v>334</v>
      </c>
      <c r="B256" s="562" t="s">
        <v>527</v>
      </c>
      <c r="C256" s="357" t="str">
        <f t="shared" si="1903"/>
        <v>EPMCC-1</v>
      </c>
      <c r="D256" s="395" t="s">
        <v>704</v>
      </c>
      <c r="E256" s="421" t="s">
        <v>345</v>
      </c>
      <c r="F256" s="357" t="s">
        <v>29</v>
      </c>
      <c r="G256" s="357" t="s">
        <v>329</v>
      </c>
      <c r="H256" s="352">
        <v>40</v>
      </c>
      <c r="I256" s="357" t="s">
        <v>330</v>
      </c>
      <c r="J256" s="357" t="s">
        <v>331</v>
      </c>
      <c r="K256" s="353">
        <v>400</v>
      </c>
      <c r="L256" s="360">
        <v>0.85</v>
      </c>
      <c r="M256" s="352">
        <v>0.95</v>
      </c>
      <c r="N256" s="359">
        <f t="shared" si="1904"/>
        <v>71.500582729749254</v>
      </c>
      <c r="O256" s="359">
        <f t="shared" si="1899"/>
        <v>0</v>
      </c>
      <c r="P256" s="360" t="str">
        <f t="shared" si="1905"/>
        <v>0.00</v>
      </c>
      <c r="Q256" s="352">
        <v>50</v>
      </c>
      <c r="R256" s="352">
        <v>0</v>
      </c>
      <c r="S256" s="352">
        <f t="shared" si="1906"/>
        <v>0</v>
      </c>
      <c r="T256" s="360" t="s">
        <v>131</v>
      </c>
      <c r="U256" s="352" t="s">
        <v>535</v>
      </c>
      <c r="V256" s="360">
        <v>240</v>
      </c>
      <c r="W256" s="360" t="str">
        <f t="shared" si="1907"/>
        <v>3.5C X 240</v>
      </c>
      <c r="X256" s="360" t="str">
        <f t="shared" si="1908"/>
        <v>3.5C X 240</v>
      </c>
      <c r="Y256" s="360" t="s">
        <v>358</v>
      </c>
      <c r="Z256" s="361">
        <f>IF(T256="AIR",VLOOKUP(W256,'Catalogue Aluminium'!$B$9:$G$93,2,FALSE),IF(T256="GROUND",VLOOKUP(W256,'Catalogue Aluminium'!$B$9:$G$93,3,FALSE),IF(T256="DUCT",VLOOKUP(W256,'Catalogue Aluminium'!$B$9:$G$93,4,FALSE),IF(T256="TRENCH",VLOOKUP(W256,'Catalogue Aluminium'!$B$9:$G$93,2,FALSE)))))</f>
        <v>401</v>
      </c>
      <c r="AA256" s="362">
        <f>VLOOKUP(W256,'Catalogue Aluminium'!$B$9:$G$93,5,FALSE)</f>
        <v>0.16</v>
      </c>
      <c r="AB256" s="362">
        <f>VLOOKUP(W256,'Catalogue Aluminium'!$B$9:$G$93,6,FALSE)</f>
        <v>7.1900000000000006E-2</v>
      </c>
      <c r="AC256" s="564">
        <f>22+7</f>
        <v>29</v>
      </c>
      <c r="AD256" s="360">
        <f t="shared" si="1923"/>
        <v>237</v>
      </c>
      <c r="AE256" s="360">
        <f t="shared" si="1910"/>
        <v>38</v>
      </c>
      <c r="AF256" s="360">
        <v>8</v>
      </c>
      <c r="AG256" s="360">
        <f t="shared" si="1911"/>
        <v>32</v>
      </c>
      <c r="AH256" s="363"/>
      <c r="AI256" s="361">
        <f>IF(T256="AIR",'Catalogue Aluminium'!$K$9,IF(T256="TRENCH",'Catalogue Aluminium'!$K$12,"NA"))</f>
        <v>0.89</v>
      </c>
      <c r="AJ256" s="359">
        <f>IF(T256="Air",(IF(U256="1C",'Catalogue Aluminium'!$L$9,'Catalogue Aluminium'!$M$9)),IF(T256="DUCT",(IF($U256="1C",'Catalogue Aluminium'!$L$10,'Catalogue Aluminium'!$M$10)),IF(T256="GROUND",(IF($U256="1C",'Catalogue Aluminium'!$L$11,'Catalogue Aluminium'!$M$11)),IF(T256="TRENCH",(IF($U256="1C",'Catalogue Aluminium'!$L$12,'Catalogue Aluminium'!$M$12))))))</f>
        <v>0.66</v>
      </c>
      <c r="AK256" s="361" t="str">
        <f>IF(T256="Air",'Catalogue Aluminium'!$N$9,IF(T256="GROUND",'Catalogue Aluminium'!$N$10,IF(T256="DUCT",'Catalogue Aluminium'!$N$11,IF(T256="TRENCH",'Catalogue Aluminium'!$N$12,"NA"))))</f>
        <v>NA</v>
      </c>
      <c r="AL256" s="361" t="str">
        <f>IF(T256="Air",(IF(U256="1C",'Catalogue Aluminium'!$O$9,'Catalogue Aluminium'!$P$9)),IF(T256="DUCT",(IF($U256="1C",'Catalogue Aluminium'!$O$10,'Catalogue Aluminium'!$P$10)),IF(T256="GROUND",(IF($U256="1C",'Catalogue Aluminium'!$O$11,'Catalogue Aluminium'!$P$11)),IF(T256="TRENCH",(IF($U256="1C",'Catalogue Aluminium'!$O$12,'Catalogue Aluminium'!$P$12))))))</f>
        <v>NA</v>
      </c>
      <c r="AM256" s="361" t="str">
        <f>IF(T256="AIR","NA",IF(T256="TRENCH","NA",IF(T256="DUCT",IF(U256="1C",VLOOKUP(V256,'Catalogue Aluminium'!$Q$9:$S$28,2,FALSE),VLOOKUP(V256,'Catalogue Aluminium'!$Q$9:$S$28,3)),IF(T256="GROUND",IF(U256="1C",VLOOKUP(V256,'Catalogue Aluminium'!$Q$9:$S$28,2,FALSE),VLOOKUP(V256,'Catalogue Aluminium'!$Q$9:$S$28,3))))))</f>
        <v>NA</v>
      </c>
      <c r="AN256" s="365">
        <f t="shared" si="1913"/>
        <v>0.58740000000000003</v>
      </c>
      <c r="AO256" s="352">
        <f t="shared" si="1914"/>
        <v>235.54740000000001</v>
      </c>
      <c r="AP256" s="353">
        <f t="shared" si="1888"/>
        <v>1</v>
      </c>
      <c r="AQ256" s="352" t="str">
        <f t="shared" si="1915"/>
        <v>YES</v>
      </c>
      <c r="AR256" s="365">
        <f t="shared" si="1916"/>
        <v>0</v>
      </c>
      <c r="AS256" s="496" t="str">
        <f t="shared" si="1917"/>
        <v>YES</v>
      </c>
      <c r="AT256" s="497" t="str">
        <f t="shared" si="1918"/>
        <v>NA</v>
      </c>
      <c r="AU256" s="360" t="str">
        <f t="shared" si="1919"/>
        <v>NA</v>
      </c>
      <c r="AV256" s="366" t="str">
        <f t="shared" si="1920"/>
        <v>1R x 0.6/1kV x 3.5C x 240 Sqmm</v>
      </c>
      <c r="AW256" s="366" t="str">
        <f t="shared" si="1921"/>
        <v>1R x 0.6/1kV x 3.5C x 240 Sqmm</v>
      </c>
      <c r="AX256" s="360"/>
      <c r="AY256" s="367"/>
      <c r="AZ256" s="367"/>
      <c r="BA256" s="520" t="str">
        <f t="shared" si="1922"/>
        <v/>
      </c>
      <c r="BB256" s="498"/>
      <c r="BC256" s="426"/>
      <c r="BE256" s="368"/>
      <c r="BF256" s="368"/>
      <c r="BG256" s="368"/>
      <c r="BH256" s="368"/>
      <c r="BI256" s="368"/>
      <c r="BJ256" s="368"/>
      <c r="BK256" s="368"/>
      <c r="BL256" s="368"/>
      <c r="BM256" s="368"/>
      <c r="BN256" s="368"/>
      <c r="BO256" s="368"/>
      <c r="BP256" s="368"/>
      <c r="BQ256" s="368"/>
      <c r="BR256" s="368"/>
      <c r="BS256" s="368"/>
      <c r="BT256" s="368"/>
      <c r="BU256" s="368"/>
      <c r="BV256" s="368"/>
      <c r="BW256" s="368"/>
      <c r="BX256" s="368"/>
      <c r="BY256" s="368"/>
      <c r="BZ256" s="368"/>
      <c r="CA256" s="368"/>
      <c r="CB256" s="368"/>
      <c r="CC256" s="368"/>
      <c r="CD256" s="368"/>
      <c r="CE256" s="368"/>
      <c r="CF256" s="368"/>
      <c r="CG256" s="368"/>
      <c r="CH256" s="368"/>
      <c r="CI256" s="368"/>
      <c r="CJ256" s="368"/>
      <c r="CK256" s="368"/>
      <c r="CL256" s="368"/>
      <c r="CM256" s="368"/>
      <c r="CN256" s="368"/>
      <c r="CO256" s="368"/>
      <c r="CP256" s="368"/>
      <c r="CQ256" s="368"/>
      <c r="CR256" s="368"/>
      <c r="CS256" s="368"/>
      <c r="CT256" s="368"/>
      <c r="CU256" s="368"/>
      <c r="CV256" s="368"/>
      <c r="CW256" s="368"/>
      <c r="CX256" s="368"/>
      <c r="CY256" s="368"/>
      <c r="CZ256" s="368"/>
      <c r="DA256" s="368"/>
      <c r="DB256" s="368"/>
      <c r="DC256" s="368"/>
      <c r="DD256" s="368"/>
      <c r="DE256" s="368"/>
      <c r="DF256" s="368"/>
      <c r="DG256" s="368"/>
      <c r="DH256" s="368"/>
      <c r="DI256" s="368"/>
      <c r="DJ256" s="368"/>
      <c r="DK256" s="368"/>
      <c r="DL256" s="368"/>
      <c r="DM256" s="368"/>
      <c r="DN256" s="368"/>
      <c r="DO256" s="368"/>
      <c r="DP256" s="368"/>
      <c r="DQ256" s="368"/>
      <c r="DR256" s="368"/>
      <c r="DS256" s="368"/>
      <c r="DT256" s="368"/>
      <c r="DU256" s="368"/>
      <c r="DW256" s="368">
        <f t="shared" si="1872"/>
        <v>0</v>
      </c>
      <c r="DX256" s="368">
        <f t="shared" si="1862"/>
        <v>0</v>
      </c>
      <c r="DY256" s="368">
        <f t="shared" si="1863"/>
        <v>0</v>
      </c>
      <c r="DZ256" s="368">
        <f t="shared" si="1864"/>
        <v>0</v>
      </c>
      <c r="EA256" s="368">
        <f t="shared" si="1865"/>
        <v>0</v>
      </c>
      <c r="EB256" s="368">
        <f t="shared" si="1866"/>
        <v>0</v>
      </c>
      <c r="EC256" s="368">
        <f t="shared" si="1867"/>
        <v>0</v>
      </c>
      <c r="ED256" s="368">
        <f t="shared" si="1774"/>
        <v>0</v>
      </c>
      <c r="EE256" s="368">
        <f t="shared" si="1775"/>
        <v>0</v>
      </c>
      <c r="EF256" s="368">
        <f t="shared" si="1776"/>
        <v>0</v>
      </c>
      <c r="EG256" s="368">
        <f t="shared" si="1777"/>
        <v>0</v>
      </c>
      <c r="EH256" s="368">
        <f t="shared" si="1778"/>
        <v>0</v>
      </c>
      <c r="EI256" s="368">
        <f t="shared" si="1779"/>
        <v>0</v>
      </c>
      <c r="EJ256" s="368">
        <f t="shared" si="1780"/>
        <v>0</v>
      </c>
      <c r="EK256" s="368">
        <f t="shared" si="1781"/>
        <v>0</v>
      </c>
      <c r="EL256" s="368">
        <f t="shared" si="1782"/>
        <v>0</v>
      </c>
      <c r="EM256" s="368">
        <f t="shared" si="1783"/>
        <v>0</v>
      </c>
      <c r="EN256" s="368">
        <f t="shared" si="1784"/>
        <v>0</v>
      </c>
      <c r="EO256" s="368">
        <f t="shared" si="1785"/>
        <v>0</v>
      </c>
      <c r="EP256" s="368">
        <f t="shared" si="1786"/>
        <v>0</v>
      </c>
      <c r="EQ256" s="368">
        <f t="shared" si="1787"/>
        <v>0</v>
      </c>
      <c r="ER256" s="368">
        <f t="shared" si="1788"/>
        <v>0</v>
      </c>
      <c r="ES256" s="368">
        <f t="shared" si="1789"/>
        <v>0</v>
      </c>
      <c r="ET256" s="368">
        <f t="shared" si="1789"/>
        <v>0</v>
      </c>
      <c r="EU256" s="368">
        <f t="shared" si="1790"/>
        <v>0</v>
      </c>
      <c r="EV256" s="368">
        <f t="shared" si="1791"/>
        <v>0</v>
      </c>
      <c r="EW256" s="368">
        <f t="shared" si="1792"/>
        <v>0</v>
      </c>
      <c r="EX256" s="368">
        <f t="shared" si="1793"/>
        <v>0</v>
      </c>
      <c r="EY256" s="368">
        <f t="shared" si="1794"/>
        <v>0</v>
      </c>
      <c r="EZ256" s="368">
        <f t="shared" si="1795"/>
        <v>0</v>
      </c>
      <c r="FA256" s="368">
        <f t="shared" si="1796"/>
        <v>0</v>
      </c>
      <c r="FB256" s="368">
        <f t="shared" si="1797"/>
        <v>0</v>
      </c>
      <c r="FC256" s="368">
        <f t="shared" si="1798"/>
        <v>0</v>
      </c>
      <c r="FD256" s="368">
        <f t="shared" si="1799"/>
        <v>0</v>
      </c>
      <c r="FE256" s="368">
        <f t="shared" si="1800"/>
        <v>0</v>
      </c>
      <c r="FF256" s="368">
        <f t="shared" si="1801"/>
        <v>0</v>
      </c>
      <c r="FG256" s="368">
        <f t="shared" si="1802"/>
        <v>0</v>
      </c>
      <c r="FH256" s="368">
        <f t="shared" si="1803"/>
        <v>0</v>
      </c>
      <c r="FI256" s="368">
        <f t="shared" si="1804"/>
        <v>0</v>
      </c>
      <c r="FJ256" s="368">
        <f t="shared" si="1805"/>
        <v>0</v>
      </c>
      <c r="FK256" s="368">
        <f t="shared" si="1806"/>
        <v>0</v>
      </c>
      <c r="FL256" s="368">
        <f t="shared" si="1807"/>
        <v>0</v>
      </c>
      <c r="FM256" s="368">
        <f t="shared" si="1808"/>
        <v>0</v>
      </c>
      <c r="FN256" s="368">
        <f t="shared" si="1809"/>
        <v>0</v>
      </c>
      <c r="FO256" s="368">
        <f t="shared" si="1810"/>
        <v>0</v>
      </c>
      <c r="FP256" s="368">
        <f t="shared" si="1811"/>
        <v>0</v>
      </c>
      <c r="FQ256" s="368">
        <f t="shared" si="1812"/>
        <v>0</v>
      </c>
      <c r="FR256" s="368">
        <f t="shared" si="1813"/>
        <v>0</v>
      </c>
      <c r="FS256" s="368">
        <f t="shared" si="1814"/>
        <v>0</v>
      </c>
      <c r="FT256" s="368">
        <f t="shared" si="1815"/>
        <v>0</v>
      </c>
      <c r="FU256" s="368"/>
      <c r="FV256" s="368"/>
      <c r="FW256" s="368"/>
      <c r="FX256" s="368"/>
      <c r="FY256" s="368">
        <f t="shared" si="1820"/>
        <v>0</v>
      </c>
      <c r="FZ256" s="368">
        <f t="shared" si="1821"/>
        <v>0</v>
      </c>
      <c r="GA256" s="368">
        <f t="shared" si="1822"/>
        <v>0</v>
      </c>
      <c r="GB256" s="368">
        <f t="shared" si="1823"/>
        <v>0</v>
      </c>
      <c r="GC256" s="368">
        <f t="shared" si="1824"/>
        <v>0</v>
      </c>
      <c r="GD256" s="368">
        <f t="shared" si="1825"/>
        <v>0</v>
      </c>
      <c r="GE256" s="368">
        <f t="shared" si="1826"/>
        <v>0</v>
      </c>
      <c r="GF256" s="368">
        <f t="shared" si="1827"/>
        <v>0</v>
      </c>
      <c r="GG256" s="368">
        <f t="shared" si="1828"/>
        <v>0</v>
      </c>
      <c r="GH256" s="368">
        <f t="shared" si="1829"/>
        <v>0</v>
      </c>
      <c r="GI256" s="368">
        <f t="shared" si="1830"/>
        <v>0</v>
      </c>
      <c r="GJ256" s="368">
        <f t="shared" si="1831"/>
        <v>0</v>
      </c>
      <c r="GK256" s="368">
        <f t="shared" si="1750"/>
        <v>0</v>
      </c>
      <c r="GL256" s="368"/>
      <c r="GM256" s="368">
        <f t="shared" si="1832"/>
        <v>0</v>
      </c>
    </row>
    <row r="257" spans="1:195" ht="20.100000000000001" customHeight="1">
      <c r="A257" s="337">
        <f>1+A253</f>
        <v>166</v>
      </c>
      <c r="B257" s="897" t="s">
        <v>1698</v>
      </c>
      <c r="C257" s="337" t="str">
        <f t="shared" si="1903"/>
        <v>EPMCC-1</v>
      </c>
      <c r="D257" s="372" t="s">
        <v>705</v>
      </c>
      <c r="E257" s="453" t="s">
        <v>345</v>
      </c>
      <c r="F257" s="337" t="s">
        <v>28</v>
      </c>
      <c r="G257" s="337" t="s">
        <v>350</v>
      </c>
      <c r="H257" s="418">
        <v>5.5</v>
      </c>
      <c r="I257" s="337" t="s">
        <v>330</v>
      </c>
      <c r="J257" s="337" t="s">
        <v>331</v>
      </c>
      <c r="K257" s="349">
        <v>400</v>
      </c>
      <c r="L257" s="343">
        <v>0.84</v>
      </c>
      <c r="M257" s="350">
        <v>0.92700000000000005</v>
      </c>
      <c r="N257" s="342">
        <f t="shared" si="1904"/>
        <v>10.195200950599055</v>
      </c>
      <c r="O257" s="342">
        <f t="shared" si="1899"/>
        <v>61.171205703594332</v>
      </c>
      <c r="P257" s="343">
        <f t="shared" si="1905"/>
        <v>0.2</v>
      </c>
      <c r="Q257" s="350">
        <v>50</v>
      </c>
      <c r="R257" s="350">
        <v>0</v>
      </c>
      <c r="S257" s="350">
        <f t="shared" si="1906"/>
        <v>0</v>
      </c>
      <c r="T257" s="343" t="s">
        <v>131</v>
      </c>
      <c r="U257" s="350" t="s">
        <v>333</v>
      </c>
      <c r="V257" s="343">
        <v>25</v>
      </c>
      <c r="W257" s="343" t="str">
        <f t="shared" si="1907"/>
        <v>3C X 25</v>
      </c>
      <c r="X257" s="343" t="str">
        <f t="shared" si="1908"/>
        <v>3C X 25+PE</v>
      </c>
      <c r="Y257" s="343" t="s">
        <v>358</v>
      </c>
      <c r="Z257" s="344">
        <f>IF(T257="AIR",VLOOKUP(W257,'Catalogue Aluminium'!$B$9:$G$93,2,FALSE),IF(T257="GROUND",VLOOKUP(W257,'Catalogue Aluminium'!$B$9:$G$93,3,FALSE),IF(T257="DUCT",VLOOKUP(W257,'Catalogue Aluminium'!$B$9:$G$93,4,FALSE),IF(T257="TRENCH",VLOOKUP(W257,'Catalogue Aluminium'!$B$9:$G$93,2,FALSE)))))</f>
        <v>95</v>
      </c>
      <c r="AA257" s="345">
        <f>VLOOKUP(W257,'Catalogue Aluminium'!$B$9:$G$93,5,FALSE)</f>
        <v>1.54</v>
      </c>
      <c r="AB257" s="345">
        <f>VLOOKUP(W257,'Catalogue Aluminium'!$B$9:$G$93,6,FALSE)</f>
        <v>8.1600000000000006E-2</v>
      </c>
      <c r="AC257" s="457">
        <f t="shared" ref="AC257" si="1964">32+6</f>
        <v>38</v>
      </c>
      <c r="AD257" s="401">
        <f>40+50+38+50+17+(27+26)</f>
        <v>248</v>
      </c>
      <c r="AE257" s="401">
        <f t="shared" si="1910"/>
        <v>38</v>
      </c>
      <c r="AF257" s="401">
        <v>8</v>
      </c>
      <c r="AG257" s="401">
        <f t="shared" si="1911"/>
        <v>34</v>
      </c>
      <c r="AH257" s="347">
        <f t="shared" si="1912"/>
        <v>366</v>
      </c>
      <c r="AI257" s="344">
        <f>IF(T257="AIR",'Catalogue Aluminium'!$K$9,IF(T257="TRENCH",'Catalogue Aluminium'!$K$12,"NA"))</f>
        <v>0.89</v>
      </c>
      <c r="AJ257" s="342">
        <f>IF(T257="Air",(IF(U257="1C",'Catalogue Aluminium'!$L$9,'Catalogue Aluminium'!$M$9)),IF(T257="DUCT",(IF($U257="1C",'Catalogue Aluminium'!$L$10,'Catalogue Aluminium'!$M$10)),IF(T257="GROUND",(IF($U257="1C",'Catalogue Aluminium'!$L$11,'Catalogue Aluminium'!$M$11)),IF(T257="TRENCH",(IF($U257="1C",'Catalogue Aluminium'!$L$12,'Catalogue Aluminium'!$M$12))))))</f>
        <v>0.66</v>
      </c>
      <c r="AK257" s="344" t="str">
        <f>IF(T257="Air",'Catalogue Aluminium'!$N$9,IF(T257="GROUND",'Catalogue Aluminium'!$N$10,IF(T257="DUCT",'Catalogue Aluminium'!$N$11,IF(T257="TRENCH",'Catalogue Aluminium'!$N$12,"NA"))))</f>
        <v>NA</v>
      </c>
      <c r="AL257" s="344" t="str">
        <f>IF(T257="Air",(IF(U257="1C",'Catalogue Aluminium'!$O$9,'Catalogue Aluminium'!$P$9)),IF(T257="DUCT",(IF($U257="1C",'Catalogue Aluminium'!$O$10,'Catalogue Aluminium'!$P$10)),IF(T257="GROUND",(IF($U257="1C",'Catalogue Aluminium'!$O$11,'Catalogue Aluminium'!$P$11)),IF(T257="TRENCH",(IF($U257="1C",'Catalogue Aluminium'!$O$12,'Catalogue Aluminium'!$P$12))))))</f>
        <v>NA</v>
      </c>
      <c r="AM257" s="344" t="str">
        <f>IF(T257="AIR","NA",IF(T257="TRENCH","NA",IF(T257="DUCT",IF(U257="1C",VLOOKUP(V257,'Catalogue Aluminium'!$Q$9:$S$28,2,FALSE),VLOOKUP(V257,'Catalogue Aluminium'!$Q$9:$S$28,3)),IF(T257="GROUND",IF(U257="1C",VLOOKUP(V257,'Catalogue Aluminium'!$Q$9:$S$28,2,FALSE),VLOOKUP(V257,'Catalogue Aluminium'!$Q$9:$S$28,3))))))</f>
        <v>NA</v>
      </c>
      <c r="AN257" s="351">
        <f t="shared" si="1913"/>
        <v>0.58740000000000003</v>
      </c>
      <c r="AO257" s="350">
        <f t="shared" si="1914"/>
        <v>55.803000000000004</v>
      </c>
      <c r="AP257" s="349">
        <f t="shared" si="1888"/>
        <v>1</v>
      </c>
      <c r="AQ257" s="350" t="str">
        <f t="shared" si="1915"/>
        <v>YES</v>
      </c>
      <c r="AR257" s="351">
        <f t="shared" si="1916"/>
        <v>2.1616882723274093</v>
      </c>
      <c r="AS257" s="343" t="str">
        <f t="shared" si="1917"/>
        <v>YES</v>
      </c>
      <c r="AT257" s="351">
        <f t="shared" si="1918"/>
        <v>3.7610233022016382</v>
      </c>
      <c r="AU257" s="343" t="str">
        <f t="shared" si="1919"/>
        <v>YES</v>
      </c>
      <c r="AV257" s="354" t="str">
        <f t="shared" si="1920"/>
        <v>1R x 0.6/1kV x 3C x 25 Sqmm</v>
      </c>
      <c r="AW257" s="354" t="str">
        <f t="shared" si="1921"/>
        <v>1R x 0.6/1kV x 3C x 25+PE Sqmm</v>
      </c>
      <c r="AX257" s="343">
        <f>(IF(K257=400,(IF(U257="1C",(4*AH257*AP257),(AH257*AP257))),IF(K257=230,(AH257*AP257))))</f>
        <v>366</v>
      </c>
      <c r="AY257" s="355"/>
      <c r="AZ257" s="355">
        <f>IF(U257="1C",(3*AP257*2),(AP257*2))</f>
        <v>2</v>
      </c>
      <c r="BA257" s="356" t="str">
        <f t="shared" si="1922"/>
        <v>ACDEE1E2</v>
      </c>
      <c r="BB257" s="501">
        <f>VLOOKUP(W257,'Catalogue Aluminium'!$B$9:$H$93,7,FALSE)</f>
        <v>21</v>
      </c>
      <c r="BC257" s="328">
        <f>AP257*BB257</f>
        <v>21</v>
      </c>
      <c r="BE257" s="336"/>
      <c r="BF257" s="336">
        <v>1</v>
      </c>
      <c r="BG257" s="336"/>
      <c r="BH257" s="336"/>
      <c r="BI257" s="336">
        <v>1</v>
      </c>
      <c r="BJ257" s="336">
        <v>1</v>
      </c>
      <c r="BK257" s="336"/>
      <c r="BL257" s="336"/>
      <c r="BM257" s="336"/>
      <c r="BN257" s="336">
        <v>1</v>
      </c>
      <c r="BO257" s="336"/>
      <c r="BP257" s="336">
        <v>1</v>
      </c>
      <c r="BQ257" s="336">
        <v>1</v>
      </c>
      <c r="BR257" s="336"/>
      <c r="BS257" s="336"/>
      <c r="BT257" s="336"/>
      <c r="BU257" s="336"/>
      <c r="BV257" s="336"/>
      <c r="BW257" s="336"/>
      <c r="BX257" s="336"/>
      <c r="BY257" s="336"/>
      <c r="BZ257" s="336"/>
      <c r="CA257" s="336"/>
      <c r="CB257" s="336"/>
      <c r="CC257" s="336"/>
      <c r="CD257" s="336"/>
      <c r="CE257" s="336"/>
      <c r="CF257" s="336"/>
      <c r="CG257" s="336"/>
      <c r="CH257" s="336"/>
      <c r="CI257" s="336"/>
      <c r="CJ257" s="336"/>
      <c r="CK257" s="336"/>
      <c r="CL257" s="336"/>
      <c r="CM257" s="336"/>
      <c r="CN257" s="336"/>
      <c r="CO257" s="336"/>
      <c r="CP257" s="336"/>
      <c r="CQ257" s="336"/>
      <c r="CR257" s="336"/>
      <c r="CS257" s="336"/>
      <c r="CT257" s="336"/>
      <c r="CU257" s="336"/>
      <c r="CV257" s="336"/>
      <c r="CW257" s="336"/>
      <c r="CX257" s="336"/>
      <c r="CY257" s="336"/>
      <c r="CZ257" s="336"/>
      <c r="DA257" s="336"/>
      <c r="DB257" s="336"/>
      <c r="DC257" s="336"/>
      <c r="DD257" s="336"/>
      <c r="DE257" s="336"/>
      <c r="DF257" s="336"/>
      <c r="DG257" s="336"/>
      <c r="DH257" s="336"/>
      <c r="DI257" s="336"/>
      <c r="DJ257" s="336"/>
      <c r="DK257" s="336"/>
      <c r="DL257" s="336"/>
      <c r="DM257" s="336"/>
      <c r="DN257" s="336"/>
      <c r="DO257" s="336"/>
      <c r="DP257" s="336"/>
      <c r="DQ257" s="336"/>
      <c r="DR257" s="336"/>
      <c r="DS257" s="336"/>
      <c r="DT257" s="336"/>
      <c r="DU257" s="336"/>
      <c r="DW257" s="336">
        <f t="shared" si="1872"/>
        <v>0</v>
      </c>
      <c r="DX257" s="336">
        <f t="shared" si="1862"/>
        <v>21</v>
      </c>
      <c r="DY257" s="336">
        <f t="shared" si="1863"/>
        <v>0</v>
      </c>
      <c r="DZ257" s="336">
        <f t="shared" si="1864"/>
        <v>0</v>
      </c>
      <c r="EA257" s="336">
        <f t="shared" si="1865"/>
        <v>21</v>
      </c>
      <c r="EB257" s="336">
        <f t="shared" si="1866"/>
        <v>21</v>
      </c>
      <c r="EC257" s="336">
        <f t="shared" si="1867"/>
        <v>0</v>
      </c>
      <c r="ED257" s="336">
        <f t="shared" si="1774"/>
        <v>0</v>
      </c>
      <c r="EE257" s="336">
        <f t="shared" si="1775"/>
        <v>0</v>
      </c>
      <c r="EF257" s="336">
        <f t="shared" si="1776"/>
        <v>21</v>
      </c>
      <c r="EG257" s="336">
        <f t="shared" si="1777"/>
        <v>0</v>
      </c>
      <c r="EH257" s="336">
        <f t="shared" si="1778"/>
        <v>21</v>
      </c>
      <c r="EI257" s="336">
        <f t="shared" si="1779"/>
        <v>21</v>
      </c>
      <c r="EJ257" s="336">
        <f t="shared" si="1780"/>
        <v>0</v>
      </c>
      <c r="EK257" s="336">
        <f t="shared" si="1781"/>
        <v>0</v>
      </c>
      <c r="EL257" s="336">
        <f t="shared" si="1782"/>
        <v>0</v>
      </c>
      <c r="EM257" s="336">
        <f t="shared" si="1783"/>
        <v>0</v>
      </c>
      <c r="EN257" s="336">
        <f t="shared" si="1784"/>
        <v>0</v>
      </c>
      <c r="EO257" s="336">
        <f t="shared" si="1785"/>
        <v>0</v>
      </c>
      <c r="EP257" s="336">
        <f t="shared" si="1786"/>
        <v>0</v>
      </c>
      <c r="EQ257" s="336">
        <f t="shared" si="1787"/>
        <v>0</v>
      </c>
      <c r="ER257" s="336">
        <f t="shared" si="1788"/>
        <v>0</v>
      </c>
      <c r="ES257" s="336">
        <f t="shared" si="1789"/>
        <v>0</v>
      </c>
      <c r="ET257" s="336">
        <f t="shared" si="1789"/>
        <v>0</v>
      </c>
      <c r="EU257" s="336">
        <f t="shared" si="1790"/>
        <v>0</v>
      </c>
      <c r="EV257" s="336">
        <f t="shared" si="1791"/>
        <v>0</v>
      </c>
      <c r="EW257" s="336">
        <f t="shared" si="1792"/>
        <v>0</v>
      </c>
      <c r="EX257" s="336">
        <f t="shared" si="1793"/>
        <v>0</v>
      </c>
      <c r="EY257" s="336">
        <f t="shared" si="1794"/>
        <v>0</v>
      </c>
      <c r="EZ257" s="336">
        <f t="shared" si="1795"/>
        <v>0</v>
      </c>
      <c r="FA257" s="336">
        <f t="shared" si="1796"/>
        <v>0</v>
      </c>
      <c r="FB257" s="336">
        <f t="shared" si="1797"/>
        <v>0</v>
      </c>
      <c r="FC257" s="336">
        <f t="shared" si="1798"/>
        <v>0</v>
      </c>
      <c r="FD257" s="336">
        <f t="shared" si="1799"/>
        <v>0</v>
      </c>
      <c r="FE257" s="336">
        <f t="shared" si="1800"/>
        <v>0</v>
      </c>
      <c r="FF257" s="336">
        <f t="shared" si="1801"/>
        <v>0</v>
      </c>
      <c r="FG257" s="336">
        <f t="shared" si="1802"/>
        <v>0</v>
      </c>
      <c r="FH257" s="336">
        <f t="shared" si="1803"/>
        <v>0</v>
      </c>
      <c r="FI257" s="336">
        <f t="shared" si="1804"/>
        <v>0</v>
      </c>
      <c r="FJ257" s="336">
        <f t="shared" si="1805"/>
        <v>0</v>
      </c>
      <c r="FK257" s="336">
        <f t="shared" si="1806"/>
        <v>0</v>
      </c>
      <c r="FL257" s="336">
        <f t="shared" si="1807"/>
        <v>0</v>
      </c>
      <c r="FM257" s="336">
        <f t="shared" si="1808"/>
        <v>0</v>
      </c>
      <c r="FN257" s="336">
        <f t="shared" si="1809"/>
        <v>0</v>
      </c>
      <c r="FO257" s="336">
        <f t="shared" si="1810"/>
        <v>0</v>
      </c>
      <c r="FP257" s="336">
        <f t="shared" si="1811"/>
        <v>0</v>
      </c>
      <c r="FQ257" s="336">
        <f t="shared" si="1812"/>
        <v>0</v>
      </c>
      <c r="FR257" s="336">
        <f t="shared" si="1813"/>
        <v>0</v>
      </c>
      <c r="FS257" s="336">
        <f t="shared" si="1814"/>
        <v>0</v>
      </c>
      <c r="FT257" s="336">
        <f t="shared" si="1815"/>
        <v>0</v>
      </c>
      <c r="FU257" s="336">
        <f t="shared" ref="FU257" si="1965">IF(DC257=1,($BC257*DC257),0)</f>
        <v>0</v>
      </c>
      <c r="FV257" s="336">
        <f t="shared" ref="FV257" si="1966">IF(DD257=1,($BC257*DD257),0)</f>
        <v>0</v>
      </c>
      <c r="FW257" s="336">
        <f t="shared" ref="FW257" si="1967">IF(DE257=1,($BC257*DE257),0)</f>
        <v>0</v>
      </c>
      <c r="FX257" s="336">
        <f t="shared" ref="FX257" si="1968">IF(DF257=1,($BC257*DF257),0)</f>
        <v>0</v>
      </c>
      <c r="FY257" s="336">
        <f t="shared" si="1820"/>
        <v>0</v>
      </c>
      <c r="FZ257" s="336">
        <f t="shared" si="1821"/>
        <v>0</v>
      </c>
      <c r="GA257" s="336">
        <f t="shared" si="1822"/>
        <v>0</v>
      </c>
      <c r="GB257" s="336">
        <f t="shared" si="1823"/>
        <v>0</v>
      </c>
      <c r="GC257" s="336">
        <f t="shared" si="1824"/>
        <v>0</v>
      </c>
      <c r="GD257" s="336">
        <f t="shared" si="1825"/>
        <v>0</v>
      </c>
      <c r="GE257" s="336">
        <f t="shared" si="1826"/>
        <v>0</v>
      </c>
      <c r="GF257" s="336">
        <f t="shared" si="1827"/>
        <v>0</v>
      </c>
      <c r="GG257" s="336">
        <f t="shared" si="1828"/>
        <v>0</v>
      </c>
      <c r="GH257" s="336">
        <f t="shared" si="1829"/>
        <v>0</v>
      </c>
      <c r="GI257" s="336">
        <f t="shared" si="1830"/>
        <v>0</v>
      </c>
      <c r="GJ257" s="336">
        <f t="shared" si="1831"/>
        <v>0</v>
      </c>
      <c r="GK257" s="336">
        <f t="shared" si="1750"/>
        <v>0</v>
      </c>
      <c r="GL257" s="336">
        <f>IF(DT257=1,($BC257*DT257),0)</f>
        <v>0</v>
      </c>
      <c r="GM257" s="336">
        <f t="shared" si="1832"/>
        <v>0</v>
      </c>
    </row>
    <row r="258" spans="1:195" s="83" customFormat="1" ht="19.5" hidden="1" customHeight="1">
      <c r="A258" s="357" t="s">
        <v>334</v>
      </c>
      <c r="B258" s="562" t="s">
        <v>328</v>
      </c>
      <c r="C258" s="357" t="str">
        <f t="shared" si="1903"/>
        <v>EPMCC-1</v>
      </c>
      <c r="D258" s="395" t="s">
        <v>706</v>
      </c>
      <c r="E258" s="421" t="s">
        <v>345</v>
      </c>
      <c r="F258" s="357" t="s">
        <v>29</v>
      </c>
      <c r="G258" s="357" t="s">
        <v>350</v>
      </c>
      <c r="H258" s="352">
        <v>15</v>
      </c>
      <c r="I258" s="357" t="s">
        <v>330</v>
      </c>
      <c r="J258" s="357" t="s">
        <v>331</v>
      </c>
      <c r="K258" s="353">
        <v>400</v>
      </c>
      <c r="L258" s="360">
        <v>0.84</v>
      </c>
      <c r="M258" s="352">
        <v>0.92700000000000005</v>
      </c>
      <c r="N258" s="359">
        <f t="shared" si="1904"/>
        <v>27.805093501633788</v>
      </c>
      <c r="O258" s="359">
        <f t="shared" si="1899"/>
        <v>166.83056100980272</v>
      </c>
      <c r="P258" s="360">
        <f t="shared" si="1905"/>
        <v>0.2</v>
      </c>
      <c r="Q258" s="352">
        <v>50</v>
      </c>
      <c r="R258" s="352">
        <v>0</v>
      </c>
      <c r="S258" s="352">
        <f t="shared" si="1906"/>
        <v>0</v>
      </c>
      <c r="T258" s="360" t="s">
        <v>131</v>
      </c>
      <c r="U258" s="352" t="s">
        <v>333</v>
      </c>
      <c r="V258" s="360">
        <v>70</v>
      </c>
      <c r="W258" s="360" t="str">
        <f t="shared" si="1907"/>
        <v>3C X 70</v>
      </c>
      <c r="X258" s="360" t="str">
        <f t="shared" si="1908"/>
        <v>3C X 70+PE</v>
      </c>
      <c r="Y258" s="360" t="s">
        <v>358</v>
      </c>
      <c r="Z258" s="361">
        <f>IF(T258="AIR",VLOOKUP(W258,'Catalogue Aluminium'!$B$9:$G$93,2,FALSE),IF(T258="GROUND",VLOOKUP(W258,'Catalogue Aluminium'!$B$9:$G$93,3,FALSE),IF(T258="DUCT",VLOOKUP(W258,'Catalogue Aluminium'!$B$9:$G$93,4,FALSE),IF(T258="TRENCH",VLOOKUP(W258,'Catalogue Aluminium'!$B$9:$G$93,2,FALSE)))))</f>
        <v>177</v>
      </c>
      <c r="AA258" s="362">
        <f>VLOOKUP(W258,'Catalogue Aluminium'!$B$9:$G$93,5,FALSE)</f>
        <v>0.56699999999999995</v>
      </c>
      <c r="AB258" s="362">
        <f>VLOOKUP(W258,'Catalogue Aluminium'!$B$9:$G$93,6,FALSE)</f>
        <v>7.5200000000000003E-2</v>
      </c>
      <c r="AC258" s="564">
        <f>22+7</f>
        <v>29</v>
      </c>
      <c r="AD258" s="360">
        <f t="shared" ref="AD258:AD264" si="1969">11+34+48+35+30+11+24+(15+18+3+26)</f>
        <v>255</v>
      </c>
      <c r="AE258" s="456">
        <f t="shared" si="1910"/>
        <v>38</v>
      </c>
      <c r="AF258" s="360">
        <v>8</v>
      </c>
      <c r="AG258" s="360">
        <f t="shared" si="1911"/>
        <v>33</v>
      </c>
      <c r="AH258" s="363"/>
      <c r="AI258" s="361">
        <f>IF(T258="AIR",'Catalogue Aluminium'!$K$9,IF(T258="TRENCH",'Catalogue Aluminium'!$K$12,"NA"))</f>
        <v>0.89</v>
      </c>
      <c r="AJ258" s="359">
        <f>IF(T258="Air",(IF(U258="1C",'Catalogue Aluminium'!$L$9,'Catalogue Aluminium'!$M$9)),IF(T258="DUCT",(IF($U258="1C",'Catalogue Aluminium'!$L$10,'Catalogue Aluminium'!$M$10)),IF(T258="GROUND",(IF($U258="1C",'Catalogue Aluminium'!$L$11,'Catalogue Aluminium'!$M$11)),IF(T258="TRENCH",(IF($U258="1C",'Catalogue Aluminium'!$L$12,'Catalogue Aluminium'!$M$12))))))</f>
        <v>0.66</v>
      </c>
      <c r="AK258" s="361" t="str">
        <f>IF(T258="Air",'Catalogue Aluminium'!$N$9,IF(T258="GROUND",'Catalogue Aluminium'!$N$10,IF(T258="DUCT",'Catalogue Aluminium'!$N$11,IF(T258="TRENCH",'Catalogue Aluminium'!$N$12,"NA"))))</f>
        <v>NA</v>
      </c>
      <c r="AL258" s="361" t="str">
        <f>IF(T258="Air",(IF(U258="1C",'Catalogue Aluminium'!$O$9,'Catalogue Aluminium'!$P$9)),IF(T258="DUCT",(IF($U258="1C",'Catalogue Aluminium'!$O$10,'Catalogue Aluminium'!$P$10)),IF(T258="GROUND",(IF($U258="1C",'Catalogue Aluminium'!$O$11,'Catalogue Aluminium'!$P$11)),IF(T258="TRENCH",(IF($U258="1C",'Catalogue Aluminium'!$O$12,'Catalogue Aluminium'!$P$12))))))</f>
        <v>NA</v>
      </c>
      <c r="AM258" s="361" t="str">
        <f>IF(T258="AIR","NA",IF(T258="TRENCH","NA",IF(T258="DUCT",IF(U258="1C",VLOOKUP(V258,'Catalogue Aluminium'!$Q$9:$S$28,2,FALSE),VLOOKUP(V258,'Catalogue Aluminium'!$Q$9:$S$28,3)),IF(T258="GROUND",IF(U258="1C",VLOOKUP(V258,'Catalogue Aluminium'!$Q$9:$S$28,2,FALSE),VLOOKUP(V258,'Catalogue Aluminium'!$Q$9:$S$28,3))))))</f>
        <v>NA</v>
      </c>
      <c r="AN258" s="365">
        <f t="shared" si="1913"/>
        <v>0.58740000000000003</v>
      </c>
      <c r="AO258" s="352">
        <f t="shared" si="1914"/>
        <v>103.96980000000001</v>
      </c>
      <c r="AP258" s="353">
        <f t="shared" si="1888"/>
        <v>1</v>
      </c>
      <c r="AQ258" s="352" t="str">
        <f t="shared" si="1915"/>
        <v>YES</v>
      </c>
      <c r="AR258" s="365">
        <f t="shared" si="1916"/>
        <v>0</v>
      </c>
      <c r="AS258" s="496" t="str">
        <f t="shared" si="1917"/>
        <v>YES</v>
      </c>
      <c r="AT258" s="497">
        <f t="shared" si="1918"/>
        <v>0</v>
      </c>
      <c r="AU258" s="360" t="str">
        <f t="shared" si="1919"/>
        <v>YES</v>
      </c>
      <c r="AV258" s="366" t="str">
        <f t="shared" si="1920"/>
        <v>1R x 0.6/1kV x 3C x 70 Sqmm</v>
      </c>
      <c r="AW258" s="366" t="str">
        <f t="shared" si="1921"/>
        <v>1R x 0.6/1kV x 3C x 70+PE Sqmm</v>
      </c>
      <c r="AX258" s="360"/>
      <c r="AY258" s="367"/>
      <c r="AZ258" s="367"/>
      <c r="BA258" s="520" t="str">
        <f t="shared" si="1902"/>
        <v/>
      </c>
      <c r="BB258" s="498"/>
      <c r="BC258" s="426"/>
      <c r="BE258" s="368"/>
      <c r="BF258" s="368"/>
      <c r="BG258" s="368"/>
      <c r="BH258" s="368"/>
      <c r="BI258" s="368"/>
      <c r="BJ258" s="368"/>
      <c r="BK258" s="368"/>
      <c r="BL258" s="368"/>
      <c r="BM258" s="368"/>
      <c r="BN258" s="368"/>
      <c r="BO258" s="368"/>
      <c r="BP258" s="368"/>
      <c r="BQ258" s="368"/>
      <c r="BR258" s="368"/>
      <c r="BS258" s="368"/>
      <c r="BT258" s="368"/>
      <c r="BU258" s="368"/>
      <c r="BV258" s="368"/>
      <c r="BW258" s="368"/>
      <c r="BX258" s="368"/>
      <c r="BY258" s="368"/>
      <c r="BZ258" s="368"/>
      <c r="CA258" s="368"/>
      <c r="CB258" s="368"/>
      <c r="CC258" s="368"/>
      <c r="CD258" s="368"/>
      <c r="CE258" s="368"/>
      <c r="CF258" s="368"/>
      <c r="CG258" s="368"/>
      <c r="CH258" s="368"/>
      <c r="CI258" s="368"/>
      <c r="CJ258" s="368"/>
      <c r="CK258" s="368"/>
      <c r="CL258" s="368"/>
      <c r="CM258" s="368"/>
      <c r="CN258" s="368"/>
      <c r="CO258" s="368"/>
      <c r="CP258" s="368"/>
      <c r="CQ258" s="368"/>
      <c r="CR258" s="368"/>
      <c r="CS258" s="368"/>
      <c r="CT258" s="368"/>
      <c r="CU258" s="368"/>
      <c r="CV258" s="368"/>
      <c r="CW258" s="368"/>
      <c r="CX258" s="368"/>
      <c r="CY258" s="368"/>
      <c r="CZ258" s="368"/>
      <c r="DA258" s="368"/>
      <c r="DB258" s="368"/>
      <c r="DC258" s="368"/>
      <c r="DD258" s="368"/>
      <c r="DE258" s="368"/>
      <c r="DF258" s="368"/>
      <c r="DG258" s="368"/>
      <c r="DH258" s="368"/>
      <c r="DI258" s="368"/>
      <c r="DJ258" s="368"/>
      <c r="DK258" s="368"/>
      <c r="DL258" s="368"/>
      <c r="DM258" s="368"/>
      <c r="DN258" s="368"/>
      <c r="DO258" s="368"/>
      <c r="DP258" s="368"/>
      <c r="DQ258" s="368"/>
      <c r="DR258" s="368"/>
      <c r="DS258" s="368"/>
      <c r="DT258" s="368"/>
      <c r="DU258" s="368"/>
      <c r="DW258" s="368">
        <f t="shared" si="1872"/>
        <v>0</v>
      </c>
      <c r="DX258" s="368">
        <f t="shared" si="1862"/>
        <v>0</v>
      </c>
      <c r="DY258" s="368">
        <f t="shared" si="1863"/>
        <v>0</v>
      </c>
      <c r="DZ258" s="368">
        <f t="shared" si="1864"/>
        <v>0</v>
      </c>
      <c r="EA258" s="368">
        <f t="shared" si="1865"/>
        <v>0</v>
      </c>
      <c r="EB258" s="368">
        <f t="shared" si="1866"/>
        <v>0</v>
      </c>
      <c r="EC258" s="368">
        <f t="shared" si="1867"/>
        <v>0</v>
      </c>
      <c r="ED258" s="368">
        <f t="shared" si="1774"/>
        <v>0</v>
      </c>
      <c r="EE258" s="368">
        <f t="shared" si="1775"/>
        <v>0</v>
      </c>
      <c r="EF258" s="368">
        <f t="shared" si="1776"/>
        <v>0</v>
      </c>
      <c r="EG258" s="368">
        <f t="shared" si="1777"/>
        <v>0</v>
      </c>
      <c r="EH258" s="368">
        <f t="shared" si="1778"/>
        <v>0</v>
      </c>
      <c r="EI258" s="368">
        <f t="shared" si="1779"/>
        <v>0</v>
      </c>
      <c r="EJ258" s="368">
        <f t="shared" si="1780"/>
        <v>0</v>
      </c>
      <c r="EK258" s="368">
        <f t="shared" si="1781"/>
        <v>0</v>
      </c>
      <c r="EL258" s="368">
        <f t="shared" si="1782"/>
        <v>0</v>
      </c>
      <c r="EM258" s="368">
        <f t="shared" si="1783"/>
        <v>0</v>
      </c>
      <c r="EN258" s="368">
        <f t="shared" si="1784"/>
        <v>0</v>
      </c>
      <c r="EO258" s="368">
        <f t="shared" si="1785"/>
        <v>0</v>
      </c>
      <c r="EP258" s="368">
        <f t="shared" si="1786"/>
        <v>0</v>
      </c>
      <c r="EQ258" s="368">
        <f t="shared" si="1787"/>
        <v>0</v>
      </c>
      <c r="ER258" s="368">
        <f t="shared" si="1788"/>
        <v>0</v>
      </c>
      <c r="ES258" s="368">
        <f t="shared" si="1789"/>
        <v>0</v>
      </c>
      <c r="ET258" s="368">
        <f t="shared" si="1789"/>
        <v>0</v>
      </c>
      <c r="EU258" s="368">
        <f t="shared" si="1790"/>
        <v>0</v>
      </c>
      <c r="EV258" s="368">
        <f t="shared" si="1791"/>
        <v>0</v>
      </c>
      <c r="EW258" s="368">
        <f t="shared" si="1792"/>
        <v>0</v>
      </c>
      <c r="EX258" s="368">
        <f t="shared" si="1793"/>
        <v>0</v>
      </c>
      <c r="EY258" s="368">
        <f t="shared" si="1794"/>
        <v>0</v>
      </c>
      <c r="EZ258" s="368">
        <f t="shared" si="1795"/>
        <v>0</v>
      </c>
      <c r="FA258" s="368">
        <f t="shared" si="1796"/>
        <v>0</v>
      </c>
      <c r="FB258" s="368">
        <f t="shared" si="1797"/>
        <v>0</v>
      </c>
      <c r="FC258" s="368">
        <f t="shared" si="1798"/>
        <v>0</v>
      </c>
      <c r="FD258" s="368">
        <f t="shared" si="1799"/>
        <v>0</v>
      </c>
      <c r="FE258" s="368">
        <f t="shared" si="1800"/>
        <v>0</v>
      </c>
      <c r="FF258" s="368">
        <f t="shared" si="1801"/>
        <v>0</v>
      </c>
      <c r="FG258" s="368">
        <f t="shared" si="1802"/>
        <v>0</v>
      </c>
      <c r="FH258" s="368">
        <f t="shared" si="1803"/>
        <v>0</v>
      </c>
      <c r="FI258" s="368">
        <f t="shared" si="1804"/>
        <v>0</v>
      </c>
      <c r="FJ258" s="368">
        <f t="shared" si="1805"/>
        <v>0</v>
      </c>
      <c r="FK258" s="368">
        <f t="shared" si="1806"/>
        <v>0</v>
      </c>
      <c r="FL258" s="368">
        <f t="shared" si="1807"/>
        <v>0</v>
      </c>
      <c r="FM258" s="368">
        <f t="shared" si="1808"/>
        <v>0</v>
      </c>
      <c r="FN258" s="368">
        <f t="shared" si="1809"/>
        <v>0</v>
      </c>
      <c r="FO258" s="368">
        <f t="shared" si="1810"/>
        <v>0</v>
      </c>
      <c r="FP258" s="368">
        <f t="shared" si="1811"/>
        <v>0</v>
      </c>
      <c r="FQ258" s="368">
        <f t="shared" si="1812"/>
        <v>0</v>
      </c>
      <c r="FR258" s="368">
        <f t="shared" si="1813"/>
        <v>0</v>
      </c>
      <c r="FS258" s="368">
        <f t="shared" si="1814"/>
        <v>0</v>
      </c>
      <c r="FT258" s="368">
        <f t="shared" si="1815"/>
        <v>0</v>
      </c>
      <c r="FU258" s="368"/>
      <c r="FV258" s="368"/>
      <c r="FW258" s="368"/>
      <c r="FX258" s="368"/>
      <c r="FY258" s="368">
        <f t="shared" si="1820"/>
        <v>0</v>
      </c>
      <c r="FZ258" s="368">
        <f t="shared" si="1821"/>
        <v>0</v>
      </c>
      <c r="GA258" s="368">
        <f t="shared" si="1822"/>
        <v>0</v>
      </c>
      <c r="GB258" s="368">
        <f t="shared" si="1823"/>
        <v>0</v>
      </c>
      <c r="GC258" s="368">
        <f t="shared" si="1824"/>
        <v>0</v>
      </c>
      <c r="GD258" s="368">
        <f t="shared" si="1825"/>
        <v>0</v>
      </c>
      <c r="GE258" s="368">
        <f t="shared" si="1826"/>
        <v>0</v>
      </c>
      <c r="GF258" s="368">
        <f t="shared" si="1827"/>
        <v>0</v>
      </c>
      <c r="GG258" s="368">
        <f t="shared" si="1828"/>
        <v>0</v>
      </c>
      <c r="GH258" s="368">
        <f t="shared" si="1829"/>
        <v>0</v>
      </c>
      <c r="GI258" s="368">
        <f t="shared" si="1830"/>
        <v>0</v>
      </c>
      <c r="GJ258" s="368">
        <f t="shared" si="1831"/>
        <v>0</v>
      </c>
      <c r="GK258" s="368">
        <f t="shared" si="1750"/>
        <v>0</v>
      </c>
      <c r="GL258" s="368"/>
      <c r="GM258" s="368">
        <f t="shared" si="1832"/>
        <v>0</v>
      </c>
    </row>
    <row r="259" spans="1:195" s="83" customFormat="1" ht="20.100000000000001" hidden="1" customHeight="1">
      <c r="A259" s="357" t="s">
        <v>334</v>
      </c>
      <c r="B259" s="562" t="s">
        <v>328</v>
      </c>
      <c r="C259" s="357" t="str">
        <f t="shared" si="1903"/>
        <v>EPMCC-1</v>
      </c>
      <c r="D259" s="395" t="s">
        <v>707</v>
      </c>
      <c r="E259" s="421" t="s">
        <v>345</v>
      </c>
      <c r="F259" s="357" t="s">
        <v>28</v>
      </c>
      <c r="G259" s="357" t="s">
        <v>350</v>
      </c>
      <c r="H259" s="352">
        <v>55</v>
      </c>
      <c r="I259" s="357" t="s">
        <v>330</v>
      </c>
      <c r="J259" s="357" t="s">
        <v>331</v>
      </c>
      <c r="K259" s="353">
        <v>400</v>
      </c>
      <c r="L259" s="360">
        <v>0.85</v>
      </c>
      <c r="M259" s="352">
        <v>0.95400000000000007</v>
      </c>
      <c r="N259" s="359">
        <f t="shared" si="1904"/>
        <v>97.901086153810226</v>
      </c>
      <c r="O259" s="359">
        <f t="shared" si="1899"/>
        <v>587.40651692286133</v>
      </c>
      <c r="P259" s="360">
        <f t="shared" si="1905"/>
        <v>0.2</v>
      </c>
      <c r="Q259" s="352">
        <v>50</v>
      </c>
      <c r="R259" s="352">
        <v>0</v>
      </c>
      <c r="S259" s="352">
        <f t="shared" si="1906"/>
        <v>0</v>
      </c>
      <c r="T259" s="360" t="s">
        <v>131</v>
      </c>
      <c r="U259" s="352" t="s">
        <v>333</v>
      </c>
      <c r="V259" s="360">
        <v>120</v>
      </c>
      <c r="W259" s="360" t="str">
        <f t="shared" si="1907"/>
        <v>3C X 120</v>
      </c>
      <c r="X259" s="360" t="str">
        <f t="shared" si="1908"/>
        <v>3C X 120+PE</v>
      </c>
      <c r="Y259" s="360" t="s">
        <v>358</v>
      </c>
      <c r="Z259" s="361">
        <f>IF(T259="AIR",VLOOKUP(W259,'Catalogue Aluminium'!$B$9:$G$93,2,FALSE),IF(T259="GROUND",VLOOKUP(W259,'Catalogue Aluminium'!$B$9:$G$93,3,FALSE),IF(T259="DUCT",VLOOKUP(W259,'Catalogue Aluminium'!$B$9:$G$93,4,FALSE),IF(T259="TRENCH",VLOOKUP(W259,'Catalogue Aluminium'!$B$9:$G$93,2,FALSE)))))</f>
        <v>257</v>
      </c>
      <c r="AA259" s="362">
        <f>VLOOKUP(W259,'Catalogue Aluminium'!$B$9:$G$93,5,FALSE)</f>
        <v>0.32400000000000001</v>
      </c>
      <c r="AB259" s="362">
        <f>VLOOKUP(W259,'Catalogue Aluminium'!$B$9:$G$93,6,FALSE)</f>
        <v>7.2599999999999998E-2</v>
      </c>
      <c r="AC259" s="564">
        <f>28+7</f>
        <v>35</v>
      </c>
      <c r="AD259" s="360">
        <f t="shared" si="1969"/>
        <v>255</v>
      </c>
      <c r="AE259" s="456">
        <f t="shared" si="1910"/>
        <v>38</v>
      </c>
      <c r="AF259" s="360">
        <v>8</v>
      </c>
      <c r="AG259" s="360">
        <f t="shared" si="1911"/>
        <v>34</v>
      </c>
      <c r="AH259" s="363"/>
      <c r="AI259" s="361">
        <f>IF(T259="AIR",'Catalogue Aluminium'!$K$9,IF(T259="TRENCH",'Catalogue Aluminium'!$K$12,"NA"))</f>
        <v>0.89</v>
      </c>
      <c r="AJ259" s="359">
        <f>IF(T259="Air",(IF(U259="1C",'Catalogue Aluminium'!$L$9,'Catalogue Aluminium'!$M$9)),IF(T259="DUCT",(IF($U259="1C",'Catalogue Aluminium'!$L$10,'Catalogue Aluminium'!$M$10)),IF(T259="GROUND",(IF($U259="1C",'Catalogue Aluminium'!$L$11,'Catalogue Aluminium'!$M$11)),IF(T259="TRENCH",(IF($U259="1C",'Catalogue Aluminium'!$L$12,'Catalogue Aluminium'!$M$12))))))</f>
        <v>0.66</v>
      </c>
      <c r="AK259" s="361" t="str">
        <f>IF(T259="Air",'Catalogue Aluminium'!$N$9,IF(T259="GROUND",'Catalogue Aluminium'!$N$10,IF(T259="DUCT",'Catalogue Aluminium'!$N$11,IF(T259="TRENCH",'Catalogue Aluminium'!$N$12,"NA"))))</f>
        <v>NA</v>
      </c>
      <c r="AL259" s="361" t="str">
        <f>IF(T259="Air",(IF(U259="1C",'Catalogue Aluminium'!$O$9,'Catalogue Aluminium'!$P$9)),IF(T259="DUCT",(IF($U259="1C",'Catalogue Aluminium'!$O$10,'Catalogue Aluminium'!$P$10)),IF(T259="GROUND",(IF($U259="1C",'Catalogue Aluminium'!$O$11,'Catalogue Aluminium'!$P$11)),IF(T259="TRENCH",(IF($U259="1C",'Catalogue Aluminium'!$O$12,'Catalogue Aluminium'!$P$12))))))</f>
        <v>NA</v>
      </c>
      <c r="AM259" s="361" t="str">
        <f>IF(T259="AIR","NA",IF(T259="TRENCH","NA",IF(T259="DUCT",IF(U259="1C",VLOOKUP(V259,'Catalogue Aluminium'!$Q$9:$S$28,2,FALSE),VLOOKUP(V259,'Catalogue Aluminium'!$Q$9:$S$28,3)),IF(T259="GROUND",IF(U259="1C",VLOOKUP(V259,'Catalogue Aluminium'!$Q$9:$S$28,2,FALSE),VLOOKUP(V259,'Catalogue Aluminium'!$Q$9:$S$28,3))))))</f>
        <v>NA</v>
      </c>
      <c r="AN259" s="365">
        <f t="shared" si="1913"/>
        <v>0.58740000000000003</v>
      </c>
      <c r="AO259" s="352">
        <f t="shared" si="1914"/>
        <v>150.96180000000001</v>
      </c>
      <c r="AP259" s="495">
        <f t="shared" si="1888"/>
        <v>1</v>
      </c>
      <c r="AQ259" s="352" t="str">
        <f t="shared" si="1915"/>
        <v>YES</v>
      </c>
      <c r="AR259" s="365">
        <f t="shared" si="1916"/>
        <v>0</v>
      </c>
      <c r="AS259" s="496" t="str">
        <f t="shared" si="1917"/>
        <v>YES</v>
      </c>
      <c r="AT259" s="497">
        <f t="shared" si="1918"/>
        <v>0</v>
      </c>
      <c r="AU259" s="360" t="str">
        <f t="shared" si="1919"/>
        <v>YES</v>
      </c>
      <c r="AV259" s="366" t="str">
        <f t="shared" si="1920"/>
        <v>1R x 0.6/1kV x 3C x 120 Sqmm</v>
      </c>
      <c r="AW259" s="366" t="str">
        <f t="shared" si="1921"/>
        <v>1R x 0.6/1kV x 3C x 120+PE Sqmm</v>
      </c>
      <c r="AX259" s="360"/>
      <c r="AY259" s="367"/>
      <c r="AZ259" s="367"/>
      <c r="BA259" s="520" t="str">
        <f t="shared" si="1902"/>
        <v/>
      </c>
      <c r="BB259" s="498"/>
      <c r="BC259" s="426"/>
      <c r="BE259" s="368"/>
      <c r="BF259" s="368"/>
      <c r="BG259" s="368"/>
      <c r="BH259" s="368"/>
      <c r="BI259" s="368"/>
      <c r="BJ259" s="368"/>
      <c r="BK259" s="368"/>
      <c r="BL259" s="368"/>
      <c r="BM259" s="368"/>
      <c r="BN259" s="368"/>
      <c r="BO259" s="368"/>
      <c r="BP259" s="368"/>
      <c r="BQ259" s="368"/>
      <c r="BR259" s="368"/>
      <c r="BS259" s="368"/>
      <c r="BT259" s="368"/>
      <c r="BU259" s="368"/>
      <c r="BV259" s="368"/>
      <c r="BW259" s="368"/>
      <c r="BX259" s="368"/>
      <c r="BY259" s="368"/>
      <c r="BZ259" s="368"/>
      <c r="CA259" s="368"/>
      <c r="CB259" s="368"/>
      <c r="CC259" s="368"/>
      <c r="CD259" s="368"/>
      <c r="CE259" s="368"/>
      <c r="CF259" s="368"/>
      <c r="CG259" s="368"/>
      <c r="CH259" s="368"/>
      <c r="CI259" s="368"/>
      <c r="CJ259" s="368"/>
      <c r="CK259" s="368"/>
      <c r="CL259" s="368"/>
      <c r="CM259" s="368"/>
      <c r="CN259" s="368"/>
      <c r="CO259" s="368"/>
      <c r="CP259" s="368"/>
      <c r="CQ259" s="368"/>
      <c r="CR259" s="368"/>
      <c r="CS259" s="368"/>
      <c r="CT259" s="368"/>
      <c r="CU259" s="368"/>
      <c r="CV259" s="368"/>
      <c r="CW259" s="368"/>
      <c r="CX259" s="368"/>
      <c r="CY259" s="368"/>
      <c r="CZ259" s="368"/>
      <c r="DA259" s="368"/>
      <c r="DB259" s="368"/>
      <c r="DC259" s="368"/>
      <c r="DD259" s="368"/>
      <c r="DE259" s="368"/>
      <c r="DF259" s="368"/>
      <c r="DG259" s="368"/>
      <c r="DH259" s="368"/>
      <c r="DI259" s="368"/>
      <c r="DJ259" s="368"/>
      <c r="DK259" s="368"/>
      <c r="DL259" s="368"/>
      <c r="DM259" s="368"/>
      <c r="DN259" s="368"/>
      <c r="DO259" s="368"/>
      <c r="DP259" s="368"/>
      <c r="DQ259" s="368"/>
      <c r="DR259" s="368"/>
      <c r="DS259" s="368"/>
      <c r="DT259" s="368"/>
      <c r="DU259" s="368"/>
      <c r="DW259" s="368">
        <f t="shared" si="1872"/>
        <v>0</v>
      </c>
      <c r="DX259" s="368">
        <f t="shared" si="1862"/>
        <v>0</v>
      </c>
      <c r="DY259" s="368">
        <f t="shared" si="1863"/>
        <v>0</v>
      </c>
      <c r="DZ259" s="368">
        <f t="shared" si="1864"/>
        <v>0</v>
      </c>
      <c r="EA259" s="368">
        <f t="shared" si="1865"/>
        <v>0</v>
      </c>
      <c r="EB259" s="368">
        <f t="shared" si="1866"/>
        <v>0</v>
      </c>
      <c r="EC259" s="368">
        <f t="shared" si="1867"/>
        <v>0</v>
      </c>
      <c r="ED259" s="368">
        <f t="shared" si="1774"/>
        <v>0</v>
      </c>
      <c r="EE259" s="368">
        <f t="shared" si="1775"/>
        <v>0</v>
      </c>
      <c r="EF259" s="368">
        <f t="shared" si="1776"/>
        <v>0</v>
      </c>
      <c r="EG259" s="368">
        <f t="shared" si="1777"/>
        <v>0</v>
      </c>
      <c r="EH259" s="368">
        <f t="shared" si="1778"/>
        <v>0</v>
      </c>
      <c r="EI259" s="368">
        <f t="shared" si="1779"/>
        <v>0</v>
      </c>
      <c r="EJ259" s="368">
        <f t="shared" si="1780"/>
        <v>0</v>
      </c>
      <c r="EK259" s="368">
        <f t="shared" si="1781"/>
        <v>0</v>
      </c>
      <c r="EL259" s="368">
        <f t="shared" si="1782"/>
        <v>0</v>
      </c>
      <c r="EM259" s="368">
        <f t="shared" si="1783"/>
        <v>0</v>
      </c>
      <c r="EN259" s="368">
        <f t="shared" si="1784"/>
        <v>0</v>
      </c>
      <c r="EO259" s="368">
        <f t="shared" si="1785"/>
        <v>0</v>
      </c>
      <c r="EP259" s="368">
        <f t="shared" si="1786"/>
        <v>0</v>
      </c>
      <c r="EQ259" s="368">
        <f t="shared" si="1787"/>
        <v>0</v>
      </c>
      <c r="ER259" s="368">
        <f t="shared" si="1788"/>
        <v>0</v>
      </c>
      <c r="ES259" s="368">
        <f t="shared" si="1789"/>
        <v>0</v>
      </c>
      <c r="ET259" s="368">
        <f t="shared" si="1789"/>
        <v>0</v>
      </c>
      <c r="EU259" s="368">
        <f t="shared" si="1790"/>
        <v>0</v>
      </c>
      <c r="EV259" s="368">
        <f t="shared" si="1791"/>
        <v>0</v>
      </c>
      <c r="EW259" s="368">
        <f t="shared" si="1792"/>
        <v>0</v>
      </c>
      <c r="EX259" s="368">
        <f t="shared" si="1793"/>
        <v>0</v>
      </c>
      <c r="EY259" s="368">
        <f t="shared" si="1794"/>
        <v>0</v>
      </c>
      <c r="EZ259" s="368">
        <f t="shared" si="1795"/>
        <v>0</v>
      </c>
      <c r="FA259" s="368">
        <f t="shared" si="1796"/>
        <v>0</v>
      </c>
      <c r="FB259" s="368">
        <f t="shared" si="1797"/>
        <v>0</v>
      </c>
      <c r="FC259" s="368">
        <f t="shared" si="1798"/>
        <v>0</v>
      </c>
      <c r="FD259" s="368">
        <f t="shared" si="1799"/>
        <v>0</v>
      </c>
      <c r="FE259" s="368">
        <f t="shared" si="1800"/>
        <v>0</v>
      </c>
      <c r="FF259" s="368">
        <f t="shared" si="1801"/>
        <v>0</v>
      </c>
      <c r="FG259" s="368">
        <f t="shared" si="1802"/>
        <v>0</v>
      </c>
      <c r="FH259" s="368">
        <f t="shared" si="1803"/>
        <v>0</v>
      </c>
      <c r="FI259" s="368">
        <f t="shared" si="1804"/>
        <v>0</v>
      </c>
      <c r="FJ259" s="368">
        <f t="shared" si="1805"/>
        <v>0</v>
      </c>
      <c r="FK259" s="368">
        <f t="shared" si="1806"/>
        <v>0</v>
      </c>
      <c r="FL259" s="368">
        <f t="shared" si="1807"/>
        <v>0</v>
      </c>
      <c r="FM259" s="368">
        <f t="shared" si="1808"/>
        <v>0</v>
      </c>
      <c r="FN259" s="368">
        <f t="shared" si="1809"/>
        <v>0</v>
      </c>
      <c r="FO259" s="368">
        <f t="shared" si="1810"/>
        <v>0</v>
      </c>
      <c r="FP259" s="368">
        <f t="shared" si="1811"/>
        <v>0</v>
      </c>
      <c r="FQ259" s="368">
        <f t="shared" si="1812"/>
        <v>0</v>
      </c>
      <c r="FR259" s="368">
        <f t="shared" si="1813"/>
        <v>0</v>
      </c>
      <c r="FS259" s="368">
        <f t="shared" si="1814"/>
        <v>0</v>
      </c>
      <c r="FT259" s="368">
        <f t="shared" si="1815"/>
        <v>0</v>
      </c>
      <c r="FU259" s="368"/>
      <c r="FV259" s="368"/>
      <c r="FW259" s="368"/>
      <c r="FX259" s="368"/>
      <c r="FY259" s="368">
        <f t="shared" si="1820"/>
        <v>0</v>
      </c>
      <c r="FZ259" s="368">
        <f t="shared" si="1821"/>
        <v>0</v>
      </c>
      <c r="GA259" s="368">
        <f t="shared" si="1822"/>
        <v>0</v>
      </c>
      <c r="GB259" s="368">
        <f t="shared" si="1823"/>
        <v>0</v>
      </c>
      <c r="GC259" s="368">
        <f t="shared" si="1824"/>
        <v>0</v>
      </c>
      <c r="GD259" s="368">
        <f t="shared" si="1825"/>
        <v>0</v>
      </c>
      <c r="GE259" s="368">
        <f t="shared" si="1826"/>
        <v>0</v>
      </c>
      <c r="GF259" s="368">
        <f t="shared" si="1827"/>
        <v>0</v>
      </c>
      <c r="GG259" s="368">
        <f t="shared" si="1828"/>
        <v>0</v>
      </c>
      <c r="GH259" s="368">
        <f t="shared" si="1829"/>
        <v>0</v>
      </c>
      <c r="GI259" s="368">
        <f t="shared" si="1830"/>
        <v>0</v>
      </c>
      <c r="GJ259" s="368">
        <f t="shared" si="1831"/>
        <v>0</v>
      </c>
      <c r="GK259" s="368">
        <f t="shared" si="1750"/>
        <v>0</v>
      </c>
      <c r="GL259" s="368"/>
      <c r="GM259" s="368">
        <f t="shared" si="1832"/>
        <v>0</v>
      </c>
    </row>
    <row r="260" spans="1:195" s="83" customFormat="1" ht="20.100000000000001" hidden="1" customHeight="1">
      <c r="A260" s="357" t="s">
        <v>334</v>
      </c>
      <c r="B260" s="562" t="s">
        <v>328</v>
      </c>
      <c r="C260" s="357" t="str">
        <f t="shared" si="1903"/>
        <v>EPMCC-1</v>
      </c>
      <c r="D260" s="395" t="s">
        <v>708</v>
      </c>
      <c r="E260" s="421" t="s">
        <v>345</v>
      </c>
      <c r="F260" s="357" t="s">
        <v>29</v>
      </c>
      <c r="G260" s="357" t="s">
        <v>350</v>
      </c>
      <c r="H260" s="352">
        <v>55</v>
      </c>
      <c r="I260" s="357" t="s">
        <v>330</v>
      </c>
      <c r="J260" s="357" t="s">
        <v>331</v>
      </c>
      <c r="K260" s="353">
        <v>400</v>
      </c>
      <c r="L260" s="360">
        <v>0.85</v>
      </c>
      <c r="M260" s="352">
        <v>0.95400000000000007</v>
      </c>
      <c r="N260" s="359">
        <f t="shared" si="1904"/>
        <v>97.901086153810226</v>
      </c>
      <c r="O260" s="359">
        <f t="shared" si="1899"/>
        <v>587.40651692286133</v>
      </c>
      <c r="P260" s="360">
        <f t="shared" si="1905"/>
        <v>0.2</v>
      </c>
      <c r="Q260" s="352">
        <v>50</v>
      </c>
      <c r="R260" s="352">
        <v>0</v>
      </c>
      <c r="S260" s="352">
        <f t="shared" si="1906"/>
        <v>0</v>
      </c>
      <c r="T260" s="360" t="s">
        <v>131</v>
      </c>
      <c r="U260" s="352" t="s">
        <v>333</v>
      </c>
      <c r="V260" s="360">
        <v>240</v>
      </c>
      <c r="W260" s="360" t="str">
        <f t="shared" si="1907"/>
        <v>3C X 240</v>
      </c>
      <c r="X260" s="360" t="str">
        <f t="shared" si="1908"/>
        <v>3C X 240+PE</v>
      </c>
      <c r="Y260" s="360" t="s">
        <v>358</v>
      </c>
      <c r="Z260" s="361">
        <f>IF(T260="AIR",VLOOKUP(W260,'Catalogue Aluminium'!$B$9:$G$93,2,FALSE),IF(T260="GROUND",VLOOKUP(W260,'Catalogue Aluminium'!$B$9:$G$93,3,FALSE),IF(T260="DUCT",VLOOKUP(W260,'Catalogue Aluminium'!$B$9:$G$93,4,FALSE),IF(T260="TRENCH",VLOOKUP(W260,'Catalogue Aluminium'!$B$9:$G$93,2,FALSE)))))</f>
        <v>401</v>
      </c>
      <c r="AA260" s="362">
        <f>VLOOKUP(W260,'Catalogue Aluminium'!$B$9:$G$93,5,FALSE)</f>
        <v>0.16</v>
      </c>
      <c r="AB260" s="362">
        <f>VLOOKUP(W260,'Catalogue Aluminium'!$B$9:$G$93,6,FALSE)</f>
        <v>7.1900000000000006E-2</v>
      </c>
      <c r="AC260" s="564">
        <f>22+7</f>
        <v>29</v>
      </c>
      <c r="AD260" s="360">
        <f t="shared" si="1969"/>
        <v>255</v>
      </c>
      <c r="AE260" s="456">
        <f t="shared" si="1910"/>
        <v>38</v>
      </c>
      <c r="AF260" s="360">
        <v>8</v>
      </c>
      <c r="AG260" s="360">
        <f t="shared" si="1911"/>
        <v>33</v>
      </c>
      <c r="AH260" s="363"/>
      <c r="AI260" s="361">
        <f>IF(T260="AIR",'Catalogue Aluminium'!$K$9,IF(T260="TRENCH",'Catalogue Aluminium'!$K$12,"NA"))</f>
        <v>0.89</v>
      </c>
      <c r="AJ260" s="359">
        <f>IF(T260="Air",(IF(U260="1C",'Catalogue Aluminium'!$L$9,'Catalogue Aluminium'!$M$9)),IF(T260="DUCT",(IF($U260="1C",'Catalogue Aluminium'!$L$10,'Catalogue Aluminium'!$M$10)),IF(T260="GROUND",(IF($U260="1C",'Catalogue Aluminium'!$L$11,'Catalogue Aluminium'!$M$11)),IF(T260="TRENCH",(IF($U260="1C",'Catalogue Aluminium'!$L$12,'Catalogue Aluminium'!$M$12))))))</f>
        <v>0.66</v>
      </c>
      <c r="AK260" s="361" t="str">
        <f>IF(T260="Air",'Catalogue Aluminium'!$N$9,IF(T260="GROUND",'Catalogue Aluminium'!$N$10,IF(T260="DUCT",'Catalogue Aluminium'!$N$11,IF(T260="TRENCH",'Catalogue Aluminium'!$N$12,"NA"))))</f>
        <v>NA</v>
      </c>
      <c r="AL260" s="361" t="str">
        <f>IF(T260="Air",(IF(U260="1C",'Catalogue Aluminium'!$O$9,'Catalogue Aluminium'!$P$9)),IF(T260="DUCT",(IF($U260="1C",'Catalogue Aluminium'!$O$10,'Catalogue Aluminium'!$P$10)),IF(T260="GROUND",(IF($U260="1C",'Catalogue Aluminium'!$O$11,'Catalogue Aluminium'!$P$11)),IF(T260="TRENCH",(IF($U260="1C",'Catalogue Aluminium'!$O$12,'Catalogue Aluminium'!$P$12))))))</f>
        <v>NA</v>
      </c>
      <c r="AM260" s="361" t="str">
        <f>IF(T260="AIR","NA",IF(T260="TRENCH","NA",IF(T260="DUCT",IF(U260="1C",VLOOKUP(V260,'Catalogue Aluminium'!$Q$9:$S$28,2,FALSE),VLOOKUP(V260,'Catalogue Aluminium'!$Q$9:$S$28,3)),IF(T260="GROUND",IF(U260="1C",VLOOKUP(V260,'Catalogue Aluminium'!$Q$9:$S$28,2,FALSE),VLOOKUP(V260,'Catalogue Aluminium'!$Q$9:$S$28,3))))))</f>
        <v>NA</v>
      </c>
      <c r="AN260" s="365">
        <f t="shared" si="1913"/>
        <v>0.58740000000000003</v>
      </c>
      <c r="AO260" s="352">
        <f t="shared" si="1914"/>
        <v>235.54740000000001</v>
      </c>
      <c r="AP260" s="495">
        <f t="shared" si="1888"/>
        <v>1</v>
      </c>
      <c r="AQ260" s="352" t="str">
        <f t="shared" si="1915"/>
        <v>YES</v>
      </c>
      <c r="AR260" s="365">
        <f t="shared" si="1916"/>
        <v>0</v>
      </c>
      <c r="AS260" s="496" t="str">
        <f t="shared" si="1917"/>
        <v>YES</v>
      </c>
      <c r="AT260" s="497">
        <f t="shared" si="1918"/>
        <v>0</v>
      </c>
      <c r="AU260" s="360" t="str">
        <f t="shared" si="1919"/>
        <v>YES</v>
      </c>
      <c r="AV260" s="366" t="str">
        <f t="shared" si="1920"/>
        <v>1R x 0.6/1kV x 3C x 240 Sqmm</v>
      </c>
      <c r="AW260" s="366" t="str">
        <f t="shared" si="1921"/>
        <v>1R x 0.6/1kV x 3C x 240+PE Sqmm</v>
      </c>
      <c r="AX260" s="360"/>
      <c r="AY260" s="367"/>
      <c r="AZ260" s="367"/>
      <c r="BA260" s="520" t="str">
        <f t="shared" si="1902"/>
        <v/>
      </c>
      <c r="BB260" s="498"/>
      <c r="BC260" s="426"/>
      <c r="BE260" s="368"/>
      <c r="BF260" s="368"/>
      <c r="BG260" s="368"/>
      <c r="BH260" s="368"/>
      <c r="BI260" s="368"/>
      <c r="BJ260" s="368"/>
      <c r="BK260" s="368"/>
      <c r="BL260" s="368"/>
      <c r="BM260" s="368"/>
      <c r="BN260" s="368"/>
      <c r="BO260" s="368"/>
      <c r="BP260" s="368"/>
      <c r="BQ260" s="368"/>
      <c r="BR260" s="368"/>
      <c r="BS260" s="368"/>
      <c r="BT260" s="368"/>
      <c r="BU260" s="368"/>
      <c r="BV260" s="368"/>
      <c r="BW260" s="368"/>
      <c r="BX260" s="368"/>
      <c r="BY260" s="368"/>
      <c r="BZ260" s="368"/>
      <c r="CA260" s="368"/>
      <c r="CB260" s="368"/>
      <c r="CC260" s="368"/>
      <c r="CD260" s="368"/>
      <c r="CE260" s="368"/>
      <c r="CF260" s="368"/>
      <c r="CG260" s="368"/>
      <c r="CH260" s="368"/>
      <c r="CI260" s="368"/>
      <c r="CJ260" s="368"/>
      <c r="CK260" s="368"/>
      <c r="CL260" s="368"/>
      <c r="CM260" s="368"/>
      <c r="CN260" s="368"/>
      <c r="CO260" s="368"/>
      <c r="CP260" s="368"/>
      <c r="CQ260" s="368"/>
      <c r="CR260" s="368"/>
      <c r="CS260" s="368"/>
      <c r="CT260" s="368"/>
      <c r="CU260" s="368"/>
      <c r="CV260" s="368"/>
      <c r="CW260" s="368"/>
      <c r="CX260" s="368"/>
      <c r="CY260" s="368"/>
      <c r="CZ260" s="368"/>
      <c r="DA260" s="368"/>
      <c r="DB260" s="368"/>
      <c r="DC260" s="368"/>
      <c r="DD260" s="368"/>
      <c r="DE260" s="368"/>
      <c r="DF260" s="368"/>
      <c r="DG260" s="368"/>
      <c r="DH260" s="368"/>
      <c r="DI260" s="368"/>
      <c r="DJ260" s="368"/>
      <c r="DK260" s="368"/>
      <c r="DL260" s="368"/>
      <c r="DM260" s="368"/>
      <c r="DN260" s="368"/>
      <c r="DO260" s="368"/>
      <c r="DP260" s="368"/>
      <c r="DQ260" s="368"/>
      <c r="DR260" s="368"/>
      <c r="DS260" s="368"/>
      <c r="DT260" s="368"/>
      <c r="DU260" s="368"/>
      <c r="DW260" s="368">
        <f t="shared" si="1872"/>
        <v>0</v>
      </c>
      <c r="DX260" s="368">
        <f t="shared" si="1862"/>
        <v>0</v>
      </c>
      <c r="DY260" s="368">
        <f t="shared" si="1863"/>
        <v>0</v>
      </c>
      <c r="DZ260" s="368">
        <f t="shared" si="1864"/>
        <v>0</v>
      </c>
      <c r="EA260" s="368">
        <f t="shared" si="1865"/>
        <v>0</v>
      </c>
      <c r="EB260" s="368">
        <f t="shared" si="1866"/>
        <v>0</v>
      </c>
      <c r="EC260" s="368">
        <f t="shared" si="1867"/>
        <v>0</v>
      </c>
      <c r="ED260" s="368">
        <f t="shared" si="1774"/>
        <v>0</v>
      </c>
      <c r="EE260" s="368">
        <f t="shared" si="1775"/>
        <v>0</v>
      </c>
      <c r="EF260" s="368">
        <f t="shared" si="1776"/>
        <v>0</v>
      </c>
      <c r="EG260" s="368">
        <f t="shared" si="1777"/>
        <v>0</v>
      </c>
      <c r="EH260" s="368">
        <f t="shared" si="1778"/>
        <v>0</v>
      </c>
      <c r="EI260" s="368">
        <f t="shared" si="1779"/>
        <v>0</v>
      </c>
      <c r="EJ260" s="368">
        <f t="shared" si="1780"/>
        <v>0</v>
      </c>
      <c r="EK260" s="368">
        <f t="shared" si="1781"/>
        <v>0</v>
      </c>
      <c r="EL260" s="368">
        <f t="shared" si="1782"/>
        <v>0</v>
      </c>
      <c r="EM260" s="368">
        <f t="shared" si="1783"/>
        <v>0</v>
      </c>
      <c r="EN260" s="368">
        <f t="shared" si="1784"/>
        <v>0</v>
      </c>
      <c r="EO260" s="368">
        <f t="shared" si="1785"/>
        <v>0</v>
      </c>
      <c r="EP260" s="368">
        <f t="shared" si="1786"/>
        <v>0</v>
      </c>
      <c r="EQ260" s="368">
        <f t="shared" si="1787"/>
        <v>0</v>
      </c>
      <c r="ER260" s="368">
        <f t="shared" si="1788"/>
        <v>0</v>
      </c>
      <c r="ES260" s="368">
        <f t="shared" si="1789"/>
        <v>0</v>
      </c>
      <c r="ET260" s="368">
        <f t="shared" si="1789"/>
        <v>0</v>
      </c>
      <c r="EU260" s="368">
        <f t="shared" si="1790"/>
        <v>0</v>
      </c>
      <c r="EV260" s="368">
        <f t="shared" si="1791"/>
        <v>0</v>
      </c>
      <c r="EW260" s="368">
        <f t="shared" si="1792"/>
        <v>0</v>
      </c>
      <c r="EX260" s="368">
        <f t="shared" si="1793"/>
        <v>0</v>
      </c>
      <c r="EY260" s="368">
        <f t="shared" si="1794"/>
        <v>0</v>
      </c>
      <c r="EZ260" s="368">
        <f t="shared" si="1795"/>
        <v>0</v>
      </c>
      <c r="FA260" s="368">
        <f t="shared" si="1796"/>
        <v>0</v>
      </c>
      <c r="FB260" s="368">
        <f t="shared" si="1797"/>
        <v>0</v>
      </c>
      <c r="FC260" s="368">
        <f t="shared" si="1798"/>
        <v>0</v>
      </c>
      <c r="FD260" s="368">
        <f t="shared" si="1799"/>
        <v>0</v>
      </c>
      <c r="FE260" s="368">
        <f t="shared" si="1800"/>
        <v>0</v>
      </c>
      <c r="FF260" s="368">
        <f t="shared" si="1801"/>
        <v>0</v>
      </c>
      <c r="FG260" s="368">
        <f t="shared" si="1802"/>
        <v>0</v>
      </c>
      <c r="FH260" s="368">
        <f t="shared" si="1803"/>
        <v>0</v>
      </c>
      <c r="FI260" s="368">
        <f t="shared" si="1804"/>
        <v>0</v>
      </c>
      <c r="FJ260" s="368">
        <f t="shared" si="1805"/>
        <v>0</v>
      </c>
      <c r="FK260" s="368">
        <f t="shared" si="1806"/>
        <v>0</v>
      </c>
      <c r="FL260" s="368">
        <f t="shared" si="1807"/>
        <v>0</v>
      </c>
      <c r="FM260" s="368">
        <f t="shared" si="1808"/>
        <v>0</v>
      </c>
      <c r="FN260" s="368">
        <f t="shared" si="1809"/>
        <v>0</v>
      </c>
      <c r="FO260" s="368">
        <f t="shared" si="1810"/>
        <v>0</v>
      </c>
      <c r="FP260" s="368">
        <f t="shared" si="1811"/>
        <v>0</v>
      </c>
      <c r="FQ260" s="368">
        <f t="shared" si="1812"/>
        <v>0</v>
      </c>
      <c r="FR260" s="368">
        <f t="shared" si="1813"/>
        <v>0</v>
      </c>
      <c r="FS260" s="368">
        <f t="shared" si="1814"/>
        <v>0</v>
      </c>
      <c r="FT260" s="368">
        <f t="shared" si="1815"/>
        <v>0</v>
      </c>
      <c r="FU260" s="368"/>
      <c r="FV260" s="368"/>
      <c r="FW260" s="368"/>
      <c r="FX260" s="368"/>
      <c r="FY260" s="368">
        <f t="shared" si="1820"/>
        <v>0</v>
      </c>
      <c r="FZ260" s="368">
        <f t="shared" si="1821"/>
        <v>0</v>
      </c>
      <c r="GA260" s="368">
        <f t="shared" si="1822"/>
        <v>0</v>
      </c>
      <c r="GB260" s="368">
        <f t="shared" si="1823"/>
        <v>0</v>
      </c>
      <c r="GC260" s="368">
        <f t="shared" si="1824"/>
        <v>0</v>
      </c>
      <c r="GD260" s="368">
        <f t="shared" si="1825"/>
        <v>0</v>
      </c>
      <c r="GE260" s="368">
        <f t="shared" si="1826"/>
        <v>0</v>
      </c>
      <c r="GF260" s="368">
        <f t="shared" si="1827"/>
        <v>0</v>
      </c>
      <c r="GG260" s="368">
        <f t="shared" si="1828"/>
        <v>0</v>
      </c>
      <c r="GH260" s="368">
        <f t="shared" si="1829"/>
        <v>0</v>
      </c>
      <c r="GI260" s="368">
        <f t="shared" si="1830"/>
        <v>0</v>
      </c>
      <c r="GJ260" s="368">
        <f t="shared" si="1831"/>
        <v>0</v>
      </c>
      <c r="GK260" s="368">
        <f t="shared" si="1750"/>
        <v>0</v>
      </c>
      <c r="GL260" s="368"/>
      <c r="GM260" s="368">
        <f t="shared" si="1832"/>
        <v>0</v>
      </c>
    </row>
    <row r="261" spans="1:195" ht="20.100000000000001" customHeight="1">
      <c r="A261" s="337">
        <f>1+A257</f>
        <v>167</v>
      </c>
      <c r="B261" s="897" t="s">
        <v>1699</v>
      </c>
      <c r="C261" s="337" t="str">
        <f t="shared" si="1903"/>
        <v>EPMCC-1</v>
      </c>
      <c r="D261" s="372" t="s">
        <v>709</v>
      </c>
      <c r="E261" s="453" t="s">
        <v>345</v>
      </c>
      <c r="F261" s="337" t="s">
        <v>28</v>
      </c>
      <c r="G261" s="337" t="s">
        <v>350</v>
      </c>
      <c r="H261" s="418">
        <v>5.5</v>
      </c>
      <c r="I261" s="337" t="s">
        <v>330</v>
      </c>
      <c r="J261" s="337" t="s">
        <v>331</v>
      </c>
      <c r="K261" s="349">
        <v>400</v>
      </c>
      <c r="L261" s="343">
        <v>0.79</v>
      </c>
      <c r="M261" s="350">
        <v>0.8859999999999999</v>
      </c>
      <c r="N261" s="342">
        <f t="shared" si="1904"/>
        <v>11.342113718622269</v>
      </c>
      <c r="O261" s="342">
        <f t="shared" si="1899"/>
        <v>68.052682311733605</v>
      </c>
      <c r="P261" s="343">
        <f t="shared" si="1905"/>
        <v>0.2</v>
      </c>
      <c r="Q261" s="350">
        <v>50</v>
      </c>
      <c r="R261" s="350">
        <v>0</v>
      </c>
      <c r="S261" s="350">
        <f t="shared" si="1906"/>
        <v>0</v>
      </c>
      <c r="T261" s="343" t="s">
        <v>131</v>
      </c>
      <c r="U261" s="350" t="s">
        <v>333</v>
      </c>
      <c r="V261" s="343">
        <v>25</v>
      </c>
      <c r="W261" s="343" t="str">
        <f t="shared" si="1907"/>
        <v>3C X 25</v>
      </c>
      <c r="X261" s="343" t="str">
        <f t="shared" si="1908"/>
        <v>3C X 25+PE</v>
      </c>
      <c r="Y261" s="343" t="s">
        <v>358</v>
      </c>
      <c r="Z261" s="344">
        <f>IF(T261="AIR",VLOOKUP(W261,'Catalogue Aluminium'!$B$9:$G$93,2,FALSE),IF(T261="GROUND",VLOOKUP(W261,'Catalogue Aluminium'!$B$9:$G$93,3,FALSE),IF(T261="DUCT",VLOOKUP(W261,'Catalogue Aluminium'!$B$9:$G$93,4,FALSE),IF(T261="TRENCH",VLOOKUP(W261,'Catalogue Aluminium'!$B$9:$G$93,2,FALSE)))))</f>
        <v>95</v>
      </c>
      <c r="AA261" s="345">
        <f>VLOOKUP(W261,'Catalogue Aluminium'!$B$9:$G$93,5,FALSE)</f>
        <v>1.54</v>
      </c>
      <c r="AB261" s="345">
        <f>VLOOKUP(W261,'Catalogue Aluminium'!$B$9:$G$93,6,FALSE)</f>
        <v>8.1600000000000006E-2</v>
      </c>
      <c r="AC261" s="457">
        <f t="shared" ref="AC261" si="1970">32+6</f>
        <v>38</v>
      </c>
      <c r="AD261" s="401">
        <f>40+50+38+50+17+(27+41)</f>
        <v>263</v>
      </c>
      <c r="AE261" s="401">
        <f t="shared" si="1910"/>
        <v>38</v>
      </c>
      <c r="AF261" s="401">
        <v>8</v>
      </c>
      <c r="AG261" s="401">
        <f t="shared" si="1911"/>
        <v>35</v>
      </c>
      <c r="AH261" s="347">
        <f t="shared" si="1912"/>
        <v>382</v>
      </c>
      <c r="AI261" s="344">
        <f>IF(T261="AIR",'Catalogue Aluminium'!$K$9,IF(T261="TRENCH",'Catalogue Aluminium'!$K$12,"NA"))</f>
        <v>0.89</v>
      </c>
      <c r="AJ261" s="342">
        <f>IF(T261="Air",(IF(U261="1C",'Catalogue Aluminium'!$L$9,'Catalogue Aluminium'!$M$9)),IF(T261="DUCT",(IF($U261="1C",'Catalogue Aluminium'!$L$10,'Catalogue Aluminium'!$M$10)),IF(T261="GROUND",(IF($U261="1C",'Catalogue Aluminium'!$L$11,'Catalogue Aluminium'!$M$11)),IF(T261="TRENCH",(IF($U261="1C",'Catalogue Aluminium'!$L$12,'Catalogue Aluminium'!$M$12))))))</f>
        <v>0.66</v>
      </c>
      <c r="AK261" s="344" t="str">
        <f>IF(T261="Air",'Catalogue Aluminium'!$N$9,IF(T261="GROUND",'Catalogue Aluminium'!$N$10,IF(T261="DUCT",'Catalogue Aluminium'!$N$11,IF(T261="TRENCH",'Catalogue Aluminium'!$N$12,"NA"))))</f>
        <v>NA</v>
      </c>
      <c r="AL261" s="344" t="str">
        <f>IF(T261="Air",(IF(U261="1C",'Catalogue Aluminium'!$O$9,'Catalogue Aluminium'!$P$9)),IF(T261="DUCT",(IF($U261="1C",'Catalogue Aluminium'!$O$10,'Catalogue Aluminium'!$P$10)),IF(T261="GROUND",(IF($U261="1C",'Catalogue Aluminium'!$O$11,'Catalogue Aluminium'!$P$11)),IF(T261="TRENCH",(IF($U261="1C",'Catalogue Aluminium'!$O$12,'Catalogue Aluminium'!$P$12))))))</f>
        <v>NA</v>
      </c>
      <c r="AM261" s="344" t="str">
        <f>IF(T261="AIR","NA",IF(T261="TRENCH","NA",IF(T261="DUCT",IF(U261="1C",VLOOKUP(V261,'Catalogue Aluminium'!$Q$9:$S$28,2,FALSE),VLOOKUP(V261,'Catalogue Aluminium'!$Q$9:$S$28,3)),IF(T261="GROUND",IF(U261="1C",VLOOKUP(V261,'Catalogue Aluminium'!$Q$9:$S$28,2,FALSE),VLOOKUP(V261,'Catalogue Aluminium'!$Q$9:$S$28,3))))))</f>
        <v>NA</v>
      </c>
      <c r="AN261" s="351">
        <f t="shared" si="1913"/>
        <v>0.58740000000000003</v>
      </c>
      <c r="AO261" s="350">
        <f t="shared" si="1914"/>
        <v>55.803000000000004</v>
      </c>
      <c r="AP261" s="349">
        <f t="shared" si="1888"/>
        <v>1</v>
      </c>
      <c r="AQ261" s="350" t="str">
        <f t="shared" si="1915"/>
        <v>YES</v>
      </c>
      <c r="AR261" s="351">
        <f t="shared" si="1916"/>
        <v>2.3763346527666953</v>
      </c>
      <c r="AS261" s="343" t="str">
        <f t="shared" si="1917"/>
        <v>YES</v>
      </c>
      <c r="AT261" s="351">
        <f t="shared" si="1918"/>
        <v>4.3670333520160334</v>
      </c>
      <c r="AU261" s="343" t="str">
        <f t="shared" si="1919"/>
        <v>YES</v>
      </c>
      <c r="AV261" s="354" t="str">
        <f t="shared" si="1920"/>
        <v>1R x 0.6/1kV x 3C x 25 Sqmm</v>
      </c>
      <c r="AW261" s="354" t="str">
        <f t="shared" si="1921"/>
        <v>1R x 0.6/1kV x 3C x 25+PE Sqmm</v>
      </c>
      <c r="AX261" s="343">
        <f>(IF(K261=400,(IF(U261="1C",(4*AH261*AP261),(AH261*AP261))),IF(K261=230,(AH261*AP261))))</f>
        <v>382</v>
      </c>
      <c r="AY261" s="355"/>
      <c r="AZ261" s="355">
        <f>IF(U261="1C",(3*AP261*2),(AP261*2))</f>
        <v>2</v>
      </c>
      <c r="BA261" s="356" t="str">
        <f t="shared" ref="BA261:BA274" si="1971">CONCATENATE(IF(BE261=1,BE$4,""),IF(BF261=1,BF$4,""),IF(BG261=1,BG$4,""),IF(BH261=1,BH$4,""),IF(BI261=1,BI$4,""),IF(BJ261=1,BJ$4,""),IF(BK261=1,BK$4,""),IF(BL261=1,BL$4,""),IF(BM261=1,BM$4,""),IF(BN261=1,BN$4,""),IF(BO261=1,BO$4,""),IF(BP261=1,BP$4,""),IF(BQ261=1,BQ$4,""),IF(BR261=1,BR$4,""),IF(BS261=1,BS$4,""),IF(BT261=1,BT$4,""),IF(BU261=1,BU$4,""),IF(BV261=1,BV$4,""),IF(BW261=1,BW$4,""),IF(BX261=1,BX$4,""),IF(BY261=1,BY$4,""),IF(BZ261=1,BZ$4,""),IF(CA261=1,CA$4,""),IF(CB261=1,CB$4,""),IF(CC261=1,CC$4,""),IF(CD261=1,CD$4,""),IF(CE261=1,CE$4,""),IF(CF261=1,CF$4,""),IF(CG261=1,CG$4,""),IF(CH261=1,CH$4,""),IF(CI261=1,CI$4,""),IF(CJ261=1,CJ$4,""),IF(CK261=1,CK$4,""),IF(CL261=1,CL$4,""),IF(CM261=1,CM$4,""),IF(CN261=1,CN$4,""),IF(CO261=1,CO$4,""),IF(CP261=1,CP$4,""),IF(CQ261=1,CQ$4,""),IF(CR261=1,CR$4,""),IF(CS261=1,CS$4,""),IF(CT261=1,CT$4,""),IF(CU261=1,CU$4,""),IF(CV261=1,CV$4,""),IF(CW261=1,CW$4,""),IF(CX261=1,CX$4,""),IF(CY261=1,CY$4,""),IF(CZ261=1,CZ$4,""),IF(DA261=1,DA$4,""),IF(DB261=1,DB$4,""),IF(DC261=1,DC$4,""),IF(DD261=1,DD$4,""),IF(DE261=1,DE$4,""),IF(DF261=1,DF$4,""),IF(DG261=1,DG$4,""),IF(DH261=1,DH$4,""),IF(DI261=1,DI$4,""),IF(DJ261=1,DJ$4,""),IF(DK261=1,DK$4,""),IF(DL261=1,DL$4,""),IF(DM261=1,DM$4,""),IF(DN261=1,DN$4,""),IF(DO261=1,DO$4,""),IF(DP261=1,DP$4,""),IF(DQ261=1,DQ$4,""),IF(DR261=1,DR$4,""),IF(DS261=1,DS$4,""),IF(DT261=1,DT$4,""),IF(DU261=1,DU$4,""))</f>
        <v>ACDEE1E2</v>
      </c>
      <c r="BB261" s="501">
        <f>VLOOKUP(W261,'Catalogue Aluminium'!$B$9:$H$93,7,FALSE)</f>
        <v>21</v>
      </c>
      <c r="BC261" s="328">
        <f>AP261*BB261</f>
        <v>21</v>
      </c>
      <c r="BE261" s="336"/>
      <c r="BF261" s="336">
        <v>1</v>
      </c>
      <c r="BG261" s="336"/>
      <c r="BH261" s="336"/>
      <c r="BI261" s="336">
        <v>1</v>
      </c>
      <c r="BJ261" s="336">
        <v>1</v>
      </c>
      <c r="BK261" s="336"/>
      <c r="BL261" s="336"/>
      <c r="BM261" s="336"/>
      <c r="BN261" s="336">
        <v>1</v>
      </c>
      <c r="BO261" s="336"/>
      <c r="BP261" s="336">
        <v>1</v>
      </c>
      <c r="BQ261" s="336">
        <v>1</v>
      </c>
      <c r="BR261" s="336"/>
      <c r="BS261" s="336"/>
      <c r="BT261" s="336"/>
      <c r="BU261" s="336"/>
      <c r="BV261" s="336"/>
      <c r="BW261" s="336"/>
      <c r="BX261" s="336"/>
      <c r="BY261" s="336"/>
      <c r="BZ261" s="336"/>
      <c r="CA261" s="336"/>
      <c r="CB261" s="336"/>
      <c r="CC261" s="336"/>
      <c r="CD261" s="336"/>
      <c r="CE261" s="336"/>
      <c r="CF261" s="336"/>
      <c r="CG261" s="336"/>
      <c r="CH261" s="336"/>
      <c r="CI261" s="336"/>
      <c r="CJ261" s="336"/>
      <c r="CK261" s="336"/>
      <c r="CL261" s="336"/>
      <c r="CM261" s="336"/>
      <c r="CN261" s="336"/>
      <c r="CO261" s="336"/>
      <c r="CP261" s="336"/>
      <c r="CQ261" s="336"/>
      <c r="CR261" s="336"/>
      <c r="CS261" s="336"/>
      <c r="CT261" s="336"/>
      <c r="CU261" s="336"/>
      <c r="CV261" s="336"/>
      <c r="CW261" s="336"/>
      <c r="CX261" s="336"/>
      <c r="CY261" s="336"/>
      <c r="CZ261" s="336"/>
      <c r="DA261" s="336"/>
      <c r="DB261" s="336"/>
      <c r="DC261" s="336"/>
      <c r="DD261" s="336"/>
      <c r="DE261" s="336"/>
      <c r="DF261" s="336"/>
      <c r="DG261" s="336"/>
      <c r="DH261" s="336"/>
      <c r="DI261" s="336"/>
      <c r="DJ261" s="336"/>
      <c r="DK261" s="336"/>
      <c r="DL261" s="336"/>
      <c r="DM261" s="336"/>
      <c r="DN261" s="336"/>
      <c r="DO261" s="336"/>
      <c r="DP261" s="336"/>
      <c r="DQ261" s="336"/>
      <c r="DR261" s="336"/>
      <c r="DS261" s="336"/>
      <c r="DT261" s="336"/>
      <c r="DU261" s="336"/>
      <c r="DW261" s="336">
        <f t="shared" si="1872"/>
        <v>0</v>
      </c>
      <c r="DX261" s="336">
        <f t="shared" si="1862"/>
        <v>21</v>
      </c>
      <c r="DY261" s="336">
        <f t="shared" si="1863"/>
        <v>0</v>
      </c>
      <c r="DZ261" s="336">
        <f t="shared" si="1864"/>
        <v>0</v>
      </c>
      <c r="EA261" s="336">
        <f t="shared" si="1865"/>
        <v>21</v>
      </c>
      <c r="EB261" s="336">
        <f t="shared" si="1866"/>
        <v>21</v>
      </c>
      <c r="EC261" s="336">
        <f t="shared" si="1867"/>
        <v>0</v>
      </c>
      <c r="ED261" s="336">
        <f t="shared" si="1774"/>
        <v>0</v>
      </c>
      <c r="EE261" s="336">
        <f t="shared" si="1775"/>
        <v>0</v>
      </c>
      <c r="EF261" s="336">
        <f t="shared" si="1776"/>
        <v>21</v>
      </c>
      <c r="EG261" s="336">
        <f t="shared" si="1777"/>
        <v>0</v>
      </c>
      <c r="EH261" s="336">
        <f t="shared" si="1778"/>
        <v>21</v>
      </c>
      <c r="EI261" s="336">
        <f t="shared" si="1779"/>
        <v>21</v>
      </c>
      <c r="EJ261" s="336">
        <f t="shared" si="1780"/>
        <v>0</v>
      </c>
      <c r="EK261" s="336">
        <f t="shared" si="1781"/>
        <v>0</v>
      </c>
      <c r="EL261" s="336">
        <f t="shared" si="1782"/>
        <v>0</v>
      </c>
      <c r="EM261" s="336">
        <f t="shared" si="1783"/>
        <v>0</v>
      </c>
      <c r="EN261" s="336">
        <f t="shared" si="1784"/>
        <v>0</v>
      </c>
      <c r="EO261" s="336">
        <f t="shared" si="1785"/>
        <v>0</v>
      </c>
      <c r="EP261" s="336">
        <f t="shared" si="1786"/>
        <v>0</v>
      </c>
      <c r="EQ261" s="336">
        <f t="shared" si="1787"/>
        <v>0</v>
      </c>
      <c r="ER261" s="336">
        <f t="shared" si="1788"/>
        <v>0</v>
      </c>
      <c r="ES261" s="336">
        <f t="shared" si="1789"/>
        <v>0</v>
      </c>
      <c r="ET261" s="336">
        <f t="shared" si="1789"/>
        <v>0</v>
      </c>
      <c r="EU261" s="336">
        <f t="shared" si="1790"/>
        <v>0</v>
      </c>
      <c r="EV261" s="336">
        <f t="shared" si="1791"/>
        <v>0</v>
      </c>
      <c r="EW261" s="336">
        <f t="shared" si="1792"/>
        <v>0</v>
      </c>
      <c r="EX261" s="336">
        <f t="shared" si="1793"/>
        <v>0</v>
      </c>
      <c r="EY261" s="336">
        <f t="shared" si="1794"/>
        <v>0</v>
      </c>
      <c r="EZ261" s="336">
        <f t="shared" si="1795"/>
        <v>0</v>
      </c>
      <c r="FA261" s="336">
        <f t="shared" si="1796"/>
        <v>0</v>
      </c>
      <c r="FB261" s="336">
        <f t="shared" si="1797"/>
        <v>0</v>
      </c>
      <c r="FC261" s="336">
        <f t="shared" si="1798"/>
        <v>0</v>
      </c>
      <c r="FD261" s="336">
        <f t="shared" si="1799"/>
        <v>0</v>
      </c>
      <c r="FE261" s="336">
        <f t="shared" si="1800"/>
        <v>0</v>
      </c>
      <c r="FF261" s="336">
        <f t="shared" si="1801"/>
        <v>0</v>
      </c>
      <c r="FG261" s="336">
        <f t="shared" si="1802"/>
        <v>0</v>
      </c>
      <c r="FH261" s="336">
        <f t="shared" si="1803"/>
        <v>0</v>
      </c>
      <c r="FI261" s="336">
        <f t="shared" si="1804"/>
        <v>0</v>
      </c>
      <c r="FJ261" s="336">
        <f t="shared" si="1805"/>
        <v>0</v>
      </c>
      <c r="FK261" s="336">
        <f t="shared" si="1806"/>
        <v>0</v>
      </c>
      <c r="FL261" s="336">
        <f t="shared" si="1807"/>
        <v>0</v>
      </c>
      <c r="FM261" s="336">
        <f t="shared" si="1808"/>
        <v>0</v>
      </c>
      <c r="FN261" s="336">
        <f t="shared" si="1809"/>
        <v>0</v>
      </c>
      <c r="FO261" s="336">
        <f t="shared" si="1810"/>
        <v>0</v>
      </c>
      <c r="FP261" s="336">
        <f t="shared" si="1811"/>
        <v>0</v>
      </c>
      <c r="FQ261" s="336">
        <f t="shared" si="1812"/>
        <v>0</v>
      </c>
      <c r="FR261" s="336">
        <f t="shared" si="1813"/>
        <v>0</v>
      </c>
      <c r="FS261" s="336">
        <f t="shared" si="1814"/>
        <v>0</v>
      </c>
      <c r="FT261" s="336">
        <f t="shared" si="1815"/>
        <v>0</v>
      </c>
      <c r="FU261" s="336">
        <f t="shared" ref="FU261" si="1972">IF(DC261=1,($BC261*DC261),0)</f>
        <v>0</v>
      </c>
      <c r="FV261" s="336">
        <f t="shared" ref="FV261" si="1973">IF(DD261=1,($BC261*DD261),0)</f>
        <v>0</v>
      </c>
      <c r="FW261" s="336">
        <f t="shared" ref="FW261" si="1974">IF(DE261=1,($BC261*DE261),0)</f>
        <v>0</v>
      </c>
      <c r="FX261" s="336">
        <f t="shared" ref="FX261" si="1975">IF(DF261=1,($BC261*DF261),0)</f>
        <v>0</v>
      </c>
      <c r="FY261" s="336">
        <f t="shared" si="1820"/>
        <v>0</v>
      </c>
      <c r="FZ261" s="336">
        <f t="shared" si="1821"/>
        <v>0</v>
      </c>
      <c r="GA261" s="336">
        <f t="shared" si="1822"/>
        <v>0</v>
      </c>
      <c r="GB261" s="336">
        <f t="shared" si="1823"/>
        <v>0</v>
      </c>
      <c r="GC261" s="336">
        <f t="shared" si="1824"/>
        <v>0</v>
      </c>
      <c r="GD261" s="336">
        <f t="shared" si="1825"/>
        <v>0</v>
      </c>
      <c r="GE261" s="336">
        <f t="shared" si="1826"/>
        <v>0</v>
      </c>
      <c r="GF261" s="336">
        <f t="shared" si="1827"/>
        <v>0</v>
      </c>
      <c r="GG261" s="336">
        <f t="shared" si="1828"/>
        <v>0</v>
      </c>
      <c r="GH261" s="336">
        <f t="shared" si="1829"/>
        <v>0</v>
      </c>
      <c r="GI261" s="336">
        <f t="shared" si="1830"/>
        <v>0</v>
      </c>
      <c r="GJ261" s="336">
        <f t="shared" si="1831"/>
        <v>0</v>
      </c>
      <c r="GK261" s="336">
        <f t="shared" si="1750"/>
        <v>0</v>
      </c>
      <c r="GL261" s="336">
        <f>IF(DT261=1,($BC261*DT261),0)</f>
        <v>0</v>
      </c>
      <c r="GM261" s="336">
        <f t="shared" si="1832"/>
        <v>0</v>
      </c>
    </row>
    <row r="262" spans="1:195" s="83" customFormat="1" ht="20.100000000000001" hidden="1" customHeight="1">
      <c r="A262" s="357" t="s">
        <v>334</v>
      </c>
      <c r="B262" s="562" t="s">
        <v>527</v>
      </c>
      <c r="C262" s="357" t="str">
        <f t="shared" si="1903"/>
        <v>EPMCC-1</v>
      </c>
      <c r="D262" s="395" t="s">
        <v>710</v>
      </c>
      <c r="E262" s="421" t="s">
        <v>345</v>
      </c>
      <c r="F262" s="357" t="s">
        <v>29</v>
      </c>
      <c r="G262" s="357" t="s">
        <v>329</v>
      </c>
      <c r="H262" s="352">
        <v>25</v>
      </c>
      <c r="I262" s="357" t="s">
        <v>330</v>
      </c>
      <c r="J262" s="357" t="s">
        <v>331</v>
      </c>
      <c r="K262" s="353">
        <v>400</v>
      </c>
      <c r="L262" s="360">
        <v>0.85</v>
      </c>
      <c r="M262" s="352">
        <v>0.95</v>
      </c>
      <c r="N262" s="359">
        <f t="shared" si="1904"/>
        <v>44.687864206093288</v>
      </c>
      <c r="O262" s="359">
        <f t="shared" si="1899"/>
        <v>0</v>
      </c>
      <c r="P262" s="360" t="str">
        <f t="shared" si="1905"/>
        <v>0.00</v>
      </c>
      <c r="Q262" s="352">
        <v>50</v>
      </c>
      <c r="R262" s="352">
        <v>0</v>
      </c>
      <c r="S262" s="352">
        <f t="shared" si="1906"/>
        <v>0</v>
      </c>
      <c r="T262" s="360" t="s">
        <v>131</v>
      </c>
      <c r="U262" s="352" t="s">
        <v>535</v>
      </c>
      <c r="V262" s="360">
        <v>120</v>
      </c>
      <c r="W262" s="360" t="str">
        <f t="shared" si="1907"/>
        <v>3.5C X 120</v>
      </c>
      <c r="X262" s="360" t="str">
        <f t="shared" si="1908"/>
        <v>3.5C X 120</v>
      </c>
      <c r="Y262" s="360" t="s">
        <v>358</v>
      </c>
      <c r="Z262" s="361">
        <f>IF(T262="AIR",VLOOKUP(W262,'Catalogue Aluminium'!$B$9:$G$93,2,FALSE),IF(T262="GROUND",VLOOKUP(W262,'Catalogue Aluminium'!$B$9:$G$93,3,FALSE),IF(T262="DUCT",VLOOKUP(W262,'Catalogue Aluminium'!$B$9:$G$93,4,FALSE),IF(T262="TRENCH",VLOOKUP(W262,'Catalogue Aluminium'!$B$9:$G$93,2,FALSE)))))</f>
        <v>257</v>
      </c>
      <c r="AA262" s="362">
        <f>VLOOKUP(W262,'Catalogue Aluminium'!$B$9:$G$93,5,FALSE)</f>
        <v>0.32400000000000001</v>
      </c>
      <c r="AB262" s="362">
        <f>VLOOKUP(W262,'Catalogue Aluminium'!$B$9:$G$93,6,FALSE)</f>
        <v>7.2599999999999998E-2</v>
      </c>
      <c r="AC262" s="564">
        <f>22+7</f>
        <v>29</v>
      </c>
      <c r="AD262" s="360">
        <f t="shared" si="1969"/>
        <v>255</v>
      </c>
      <c r="AE262" s="456">
        <f t="shared" si="1910"/>
        <v>38</v>
      </c>
      <c r="AF262" s="360">
        <v>8</v>
      </c>
      <c r="AG262" s="360">
        <f t="shared" si="1911"/>
        <v>33</v>
      </c>
      <c r="AH262" s="363"/>
      <c r="AI262" s="361">
        <f>IF(T262="AIR",'Catalogue Aluminium'!$K$9,IF(T262="TRENCH",'Catalogue Aluminium'!$K$12,"NA"))</f>
        <v>0.89</v>
      </c>
      <c r="AJ262" s="359">
        <f>IF(T262="Air",(IF(U262="1C",'Catalogue Aluminium'!$L$9,'Catalogue Aluminium'!$M$9)),IF(T262="DUCT",(IF($U262="1C",'Catalogue Aluminium'!$L$10,'Catalogue Aluminium'!$M$10)),IF(T262="GROUND",(IF($U262="1C",'Catalogue Aluminium'!$L$11,'Catalogue Aluminium'!$M$11)),IF(T262="TRENCH",(IF($U262="1C",'Catalogue Aluminium'!$L$12,'Catalogue Aluminium'!$M$12))))))</f>
        <v>0.66</v>
      </c>
      <c r="AK262" s="361" t="str">
        <f>IF(T262="Air",'Catalogue Aluminium'!$N$9,IF(T262="GROUND",'Catalogue Aluminium'!$N$10,IF(T262="DUCT",'Catalogue Aluminium'!$N$11,IF(T262="TRENCH",'Catalogue Aluminium'!$N$12,"NA"))))</f>
        <v>NA</v>
      </c>
      <c r="AL262" s="361" t="str">
        <f>IF(T262="Air",(IF(U262="1C",'Catalogue Aluminium'!$O$9,'Catalogue Aluminium'!$P$9)),IF(T262="DUCT",(IF($U262="1C",'Catalogue Aluminium'!$O$10,'Catalogue Aluminium'!$P$10)),IF(T262="GROUND",(IF($U262="1C",'Catalogue Aluminium'!$O$11,'Catalogue Aluminium'!$P$11)),IF(T262="TRENCH",(IF($U262="1C",'Catalogue Aluminium'!$O$12,'Catalogue Aluminium'!$P$12))))))</f>
        <v>NA</v>
      </c>
      <c r="AM262" s="361" t="str">
        <f>IF(T262="AIR","NA",IF(T262="TRENCH","NA",IF(T262="DUCT",IF(U262="1C",VLOOKUP(V262,'Catalogue Aluminium'!$Q$9:$S$28,2,FALSE),VLOOKUP(V262,'Catalogue Aluminium'!$Q$9:$S$28,3)),IF(T262="GROUND",IF(U262="1C",VLOOKUP(V262,'Catalogue Aluminium'!$Q$9:$S$28,2,FALSE),VLOOKUP(V262,'Catalogue Aluminium'!$Q$9:$S$28,3))))))</f>
        <v>NA</v>
      </c>
      <c r="AN262" s="365">
        <f t="shared" si="1913"/>
        <v>0.58740000000000003</v>
      </c>
      <c r="AO262" s="352">
        <f t="shared" si="1914"/>
        <v>150.96180000000001</v>
      </c>
      <c r="AP262" s="353">
        <f t="shared" si="1888"/>
        <v>1</v>
      </c>
      <c r="AQ262" s="352" t="str">
        <f t="shared" si="1915"/>
        <v>YES</v>
      </c>
      <c r="AR262" s="365">
        <f t="shared" si="1916"/>
        <v>0</v>
      </c>
      <c r="AS262" s="496" t="str">
        <f t="shared" si="1917"/>
        <v>YES</v>
      </c>
      <c r="AT262" s="497" t="str">
        <f t="shared" si="1918"/>
        <v>NA</v>
      </c>
      <c r="AU262" s="360" t="str">
        <f t="shared" si="1919"/>
        <v>NA</v>
      </c>
      <c r="AV262" s="366" t="str">
        <f t="shared" si="1920"/>
        <v>1R x 0.6/1kV x 3.5C x 120 Sqmm</v>
      </c>
      <c r="AW262" s="366" t="str">
        <f t="shared" si="1921"/>
        <v>1R x 0.6/1kV x 3.5C x 120 Sqmm</v>
      </c>
      <c r="AX262" s="360"/>
      <c r="AY262" s="367"/>
      <c r="AZ262" s="367"/>
      <c r="BA262" s="520" t="str">
        <f t="shared" si="1971"/>
        <v/>
      </c>
      <c r="BB262" s="498"/>
      <c r="BC262" s="426"/>
      <c r="BE262" s="368"/>
      <c r="BF262" s="368"/>
      <c r="BG262" s="368"/>
      <c r="BH262" s="368"/>
      <c r="BI262" s="368"/>
      <c r="BJ262" s="368"/>
      <c r="BK262" s="368"/>
      <c r="BL262" s="368"/>
      <c r="BM262" s="368"/>
      <c r="BN262" s="368"/>
      <c r="BO262" s="368"/>
      <c r="BP262" s="368"/>
      <c r="BQ262" s="368"/>
      <c r="BR262" s="368"/>
      <c r="BS262" s="368"/>
      <c r="BT262" s="368"/>
      <c r="BU262" s="368"/>
      <c r="BV262" s="368"/>
      <c r="BW262" s="368"/>
      <c r="BX262" s="368"/>
      <c r="BY262" s="368"/>
      <c r="BZ262" s="368"/>
      <c r="CA262" s="368"/>
      <c r="CB262" s="368"/>
      <c r="CC262" s="368"/>
      <c r="CD262" s="368"/>
      <c r="CE262" s="368"/>
      <c r="CF262" s="368"/>
      <c r="CG262" s="368"/>
      <c r="CH262" s="368"/>
      <c r="CI262" s="368"/>
      <c r="CJ262" s="368"/>
      <c r="CK262" s="368"/>
      <c r="CL262" s="368"/>
      <c r="CM262" s="368"/>
      <c r="CN262" s="368"/>
      <c r="CO262" s="368"/>
      <c r="CP262" s="368"/>
      <c r="CQ262" s="368"/>
      <c r="CR262" s="368"/>
      <c r="CS262" s="368"/>
      <c r="CT262" s="368"/>
      <c r="CU262" s="368"/>
      <c r="CV262" s="368"/>
      <c r="CW262" s="368"/>
      <c r="CX262" s="368"/>
      <c r="CY262" s="368"/>
      <c r="CZ262" s="368"/>
      <c r="DA262" s="368"/>
      <c r="DB262" s="368"/>
      <c r="DC262" s="368"/>
      <c r="DD262" s="368"/>
      <c r="DE262" s="368"/>
      <c r="DF262" s="368"/>
      <c r="DG262" s="368"/>
      <c r="DH262" s="368"/>
      <c r="DI262" s="368"/>
      <c r="DJ262" s="368"/>
      <c r="DK262" s="368"/>
      <c r="DL262" s="368"/>
      <c r="DM262" s="368"/>
      <c r="DN262" s="368"/>
      <c r="DO262" s="368"/>
      <c r="DP262" s="368"/>
      <c r="DQ262" s="368"/>
      <c r="DR262" s="368"/>
      <c r="DS262" s="368"/>
      <c r="DT262" s="368"/>
      <c r="DU262" s="368"/>
      <c r="DW262" s="368">
        <f t="shared" si="1872"/>
        <v>0</v>
      </c>
      <c r="DX262" s="368">
        <f t="shared" si="1862"/>
        <v>0</v>
      </c>
      <c r="DY262" s="368">
        <f t="shared" si="1863"/>
        <v>0</v>
      </c>
      <c r="DZ262" s="368">
        <f t="shared" si="1864"/>
        <v>0</v>
      </c>
      <c r="EA262" s="368">
        <f t="shared" si="1865"/>
        <v>0</v>
      </c>
      <c r="EB262" s="368">
        <f t="shared" si="1866"/>
        <v>0</v>
      </c>
      <c r="EC262" s="368">
        <f t="shared" si="1867"/>
        <v>0</v>
      </c>
      <c r="ED262" s="368">
        <f t="shared" si="1774"/>
        <v>0</v>
      </c>
      <c r="EE262" s="368">
        <f t="shared" si="1775"/>
        <v>0</v>
      </c>
      <c r="EF262" s="368">
        <f t="shared" si="1776"/>
        <v>0</v>
      </c>
      <c r="EG262" s="368">
        <f t="shared" si="1777"/>
        <v>0</v>
      </c>
      <c r="EH262" s="368">
        <f t="shared" si="1778"/>
        <v>0</v>
      </c>
      <c r="EI262" s="368">
        <f t="shared" si="1779"/>
        <v>0</v>
      </c>
      <c r="EJ262" s="368">
        <f t="shared" si="1780"/>
        <v>0</v>
      </c>
      <c r="EK262" s="368">
        <f t="shared" si="1781"/>
        <v>0</v>
      </c>
      <c r="EL262" s="368">
        <f t="shared" si="1782"/>
        <v>0</v>
      </c>
      <c r="EM262" s="368">
        <f t="shared" si="1783"/>
        <v>0</v>
      </c>
      <c r="EN262" s="368">
        <f t="shared" si="1784"/>
        <v>0</v>
      </c>
      <c r="EO262" s="368">
        <f t="shared" si="1785"/>
        <v>0</v>
      </c>
      <c r="EP262" s="368">
        <f t="shared" si="1786"/>
        <v>0</v>
      </c>
      <c r="EQ262" s="368">
        <f t="shared" si="1787"/>
        <v>0</v>
      </c>
      <c r="ER262" s="368">
        <f t="shared" si="1788"/>
        <v>0</v>
      </c>
      <c r="ES262" s="368">
        <f t="shared" si="1789"/>
        <v>0</v>
      </c>
      <c r="ET262" s="368">
        <f t="shared" si="1789"/>
        <v>0</v>
      </c>
      <c r="EU262" s="368">
        <f t="shared" si="1790"/>
        <v>0</v>
      </c>
      <c r="EV262" s="368">
        <f t="shared" si="1791"/>
        <v>0</v>
      </c>
      <c r="EW262" s="368">
        <f t="shared" si="1792"/>
        <v>0</v>
      </c>
      <c r="EX262" s="368">
        <f t="shared" si="1793"/>
        <v>0</v>
      </c>
      <c r="EY262" s="368">
        <f t="shared" si="1794"/>
        <v>0</v>
      </c>
      <c r="EZ262" s="368">
        <f t="shared" si="1795"/>
        <v>0</v>
      </c>
      <c r="FA262" s="368">
        <f t="shared" si="1796"/>
        <v>0</v>
      </c>
      <c r="FB262" s="368">
        <f t="shared" si="1797"/>
        <v>0</v>
      </c>
      <c r="FC262" s="368">
        <f t="shared" si="1798"/>
        <v>0</v>
      </c>
      <c r="FD262" s="368">
        <f t="shared" si="1799"/>
        <v>0</v>
      </c>
      <c r="FE262" s="368">
        <f t="shared" si="1800"/>
        <v>0</v>
      </c>
      <c r="FF262" s="368">
        <f t="shared" si="1801"/>
        <v>0</v>
      </c>
      <c r="FG262" s="368">
        <f t="shared" si="1802"/>
        <v>0</v>
      </c>
      <c r="FH262" s="368">
        <f t="shared" si="1803"/>
        <v>0</v>
      </c>
      <c r="FI262" s="368">
        <f t="shared" si="1804"/>
        <v>0</v>
      </c>
      <c r="FJ262" s="368">
        <f t="shared" si="1805"/>
        <v>0</v>
      </c>
      <c r="FK262" s="368">
        <f t="shared" si="1806"/>
        <v>0</v>
      </c>
      <c r="FL262" s="368">
        <f t="shared" si="1807"/>
        <v>0</v>
      </c>
      <c r="FM262" s="368">
        <f t="shared" si="1808"/>
        <v>0</v>
      </c>
      <c r="FN262" s="368">
        <f t="shared" si="1809"/>
        <v>0</v>
      </c>
      <c r="FO262" s="368">
        <f t="shared" si="1810"/>
        <v>0</v>
      </c>
      <c r="FP262" s="368">
        <f t="shared" si="1811"/>
        <v>0</v>
      </c>
      <c r="FQ262" s="368">
        <f t="shared" si="1812"/>
        <v>0</v>
      </c>
      <c r="FR262" s="368">
        <f t="shared" si="1813"/>
        <v>0</v>
      </c>
      <c r="FS262" s="368">
        <f t="shared" si="1814"/>
        <v>0</v>
      </c>
      <c r="FT262" s="368">
        <f t="shared" si="1815"/>
        <v>0</v>
      </c>
      <c r="FU262" s="368"/>
      <c r="FV262" s="368"/>
      <c r="FW262" s="368"/>
      <c r="FX262" s="368"/>
      <c r="FY262" s="368">
        <f t="shared" si="1820"/>
        <v>0</v>
      </c>
      <c r="FZ262" s="368">
        <f t="shared" si="1821"/>
        <v>0</v>
      </c>
      <c r="GA262" s="368">
        <f t="shared" si="1822"/>
        <v>0</v>
      </c>
      <c r="GB262" s="368">
        <f t="shared" si="1823"/>
        <v>0</v>
      </c>
      <c r="GC262" s="368">
        <f t="shared" si="1824"/>
        <v>0</v>
      </c>
      <c r="GD262" s="368">
        <f t="shared" si="1825"/>
        <v>0</v>
      </c>
      <c r="GE262" s="368">
        <f t="shared" si="1826"/>
        <v>0</v>
      </c>
      <c r="GF262" s="368">
        <f t="shared" si="1827"/>
        <v>0</v>
      </c>
      <c r="GG262" s="368">
        <f t="shared" si="1828"/>
        <v>0</v>
      </c>
      <c r="GH262" s="368">
        <f t="shared" si="1829"/>
        <v>0</v>
      </c>
      <c r="GI262" s="368">
        <f t="shared" si="1830"/>
        <v>0</v>
      </c>
      <c r="GJ262" s="368">
        <f t="shared" si="1831"/>
        <v>0</v>
      </c>
      <c r="GK262" s="368">
        <f t="shared" si="1750"/>
        <v>0</v>
      </c>
      <c r="GL262" s="368"/>
      <c r="GM262" s="368">
        <f t="shared" si="1832"/>
        <v>0</v>
      </c>
    </row>
    <row r="263" spans="1:195" s="83" customFormat="1" ht="20.100000000000001" hidden="1" customHeight="1">
      <c r="A263" s="357" t="s">
        <v>334</v>
      </c>
      <c r="B263" s="562" t="s">
        <v>527</v>
      </c>
      <c r="C263" s="357" t="str">
        <f t="shared" si="1903"/>
        <v>EPMCC-1</v>
      </c>
      <c r="D263" s="395" t="s">
        <v>711</v>
      </c>
      <c r="E263" s="421" t="s">
        <v>345</v>
      </c>
      <c r="F263" s="357" t="s">
        <v>28</v>
      </c>
      <c r="G263" s="357" t="s">
        <v>329</v>
      </c>
      <c r="H263" s="352">
        <v>1.5</v>
      </c>
      <c r="I263" s="357" t="s">
        <v>330</v>
      </c>
      <c r="J263" s="357" t="s">
        <v>331</v>
      </c>
      <c r="K263" s="353">
        <v>400</v>
      </c>
      <c r="L263" s="360">
        <v>0.85</v>
      </c>
      <c r="M263" s="352">
        <v>0.95</v>
      </c>
      <c r="N263" s="359">
        <f t="shared" si="1904"/>
        <v>2.681271852365597</v>
      </c>
      <c r="O263" s="359">
        <f t="shared" si="1899"/>
        <v>0</v>
      </c>
      <c r="P263" s="360" t="str">
        <f t="shared" si="1905"/>
        <v>0.00</v>
      </c>
      <c r="Q263" s="352">
        <v>50</v>
      </c>
      <c r="R263" s="352">
        <v>0</v>
      </c>
      <c r="S263" s="352">
        <f t="shared" si="1906"/>
        <v>0</v>
      </c>
      <c r="T263" s="360" t="s">
        <v>131</v>
      </c>
      <c r="U263" s="352" t="s">
        <v>522</v>
      </c>
      <c r="V263" s="360">
        <v>4</v>
      </c>
      <c r="W263" s="360" t="str">
        <f t="shared" si="1907"/>
        <v>4C X 4</v>
      </c>
      <c r="X263" s="360" t="str">
        <f t="shared" si="1908"/>
        <v>4C X 4</v>
      </c>
      <c r="Y263" s="360" t="s">
        <v>358</v>
      </c>
      <c r="Z263" s="361">
        <f>IF(T263="AIR",VLOOKUP(W263,'Catalogue Aluminium'!$B$9:$G$93,2,FALSE),IF(T263="GROUND",VLOOKUP(W263,'Catalogue Aluminium'!$B$9:$G$93,3,FALSE),IF(T263="DUCT",VLOOKUP(W263,'Catalogue Aluminium'!$B$9:$G$93,4,FALSE),IF(T263="TRENCH",VLOOKUP(W263,'Catalogue Aluminium'!$B$9:$G$93,2,FALSE)))))</f>
        <v>38</v>
      </c>
      <c r="AA263" s="362">
        <f>VLOOKUP(W263,'Catalogue Aluminium'!$B$9:$G$93,5,FALSE)</f>
        <v>5.9</v>
      </c>
      <c r="AB263" s="362">
        <f>VLOOKUP(W263,'Catalogue Aluminium'!$B$9:$G$93,6,FALSE)</f>
        <v>9.4700000000000006E-2</v>
      </c>
      <c r="AC263" s="564">
        <f>28+7</f>
        <v>35</v>
      </c>
      <c r="AD263" s="360">
        <f t="shared" si="1969"/>
        <v>255</v>
      </c>
      <c r="AE263" s="456">
        <f t="shared" si="1910"/>
        <v>38</v>
      </c>
      <c r="AF263" s="360">
        <v>8</v>
      </c>
      <c r="AG263" s="360">
        <f t="shared" si="1911"/>
        <v>34</v>
      </c>
      <c r="AH263" s="363"/>
      <c r="AI263" s="361">
        <f>IF(T263="AIR",'Catalogue Aluminium'!$K$9,IF(T263="TRENCH",'Catalogue Aluminium'!$K$12,"NA"))</f>
        <v>0.89</v>
      </c>
      <c r="AJ263" s="359">
        <f>IF(T263="Air",(IF(U263="1C",'Catalogue Aluminium'!$L$9,'Catalogue Aluminium'!$M$9)),IF(T263="DUCT",(IF($U263="1C",'Catalogue Aluminium'!$L$10,'Catalogue Aluminium'!$M$10)),IF(T263="GROUND",(IF($U263="1C",'Catalogue Aluminium'!$L$11,'Catalogue Aluminium'!$M$11)),IF(T263="TRENCH",(IF($U263="1C",'Catalogue Aluminium'!$L$12,'Catalogue Aluminium'!$M$12))))))</f>
        <v>0.66</v>
      </c>
      <c r="AK263" s="361" t="str">
        <f>IF(T263="Air",'Catalogue Aluminium'!$N$9,IF(T263="GROUND",'Catalogue Aluminium'!$N$10,IF(T263="DUCT",'Catalogue Aluminium'!$N$11,IF(T263="TRENCH",'Catalogue Aluminium'!$N$12,"NA"))))</f>
        <v>NA</v>
      </c>
      <c r="AL263" s="361" t="str">
        <f>IF(T263="Air",(IF(U263="1C",'Catalogue Aluminium'!$O$9,'Catalogue Aluminium'!$P$9)),IF(T263="DUCT",(IF($U263="1C",'Catalogue Aluminium'!$O$10,'Catalogue Aluminium'!$P$10)),IF(T263="GROUND",(IF($U263="1C",'Catalogue Aluminium'!$O$11,'Catalogue Aluminium'!$P$11)),IF(T263="TRENCH",(IF($U263="1C",'Catalogue Aluminium'!$O$12,'Catalogue Aluminium'!$P$12))))))</f>
        <v>NA</v>
      </c>
      <c r="AM263" s="361" t="str">
        <f>IF(T263="AIR","NA",IF(T263="TRENCH","NA",IF(T263="DUCT",IF(U263="1C",VLOOKUP(V263,'Catalogue Aluminium'!$Q$9:$S$28,2,FALSE),VLOOKUP(V263,'Catalogue Aluminium'!$Q$9:$S$28,3)),IF(T263="GROUND",IF(U263="1C",VLOOKUP(V263,'Catalogue Aluminium'!$Q$9:$S$28,2,FALSE),VLOOKUP(V263,'Catalogue Aluminium'!$Q$9:$S$28,3))))))</f>
        <v>NA</v>
      </c>
      <c r="AN263" s="365">
        <f t="shared" si="1913"/>
        <v>0.58740000000000003</v>
      </c>
      <c r="AO263" s="352">
        <f t="shared" si="1914"/>
        <v>22.321200000000001</v>
      </c>
      <c r="AP263" s="353">
        <f t="shared" si="1888"/>
        <v>1</v>
      </c>
      <c r="AQ263" s="352" t="str">
        <f t="shared" si="1915"/>
        <v>YES</v>
      </c>
      <c r="AR263" s="365">
        <f t="shared" si="1916"/>
        <v>0</v>
      </c>
      <c r="AS263" s="496" t="str">
        <f t="shared" si="1917"/>
        <v>YES</v>
      </c>
      <c r="AT263" s="497" t="str">
        <f t="shared" si="1918"/>
        <v>NA</v>
      </c>
      <c r="AU263" s="360" t="str">
        <f t="shared" si="1919"/>
        <v>NA</v>
      </c>
      <c r="AV263" s="366" t="str">
        <f t="shared" si="1920"/>
        <v>1R x 0.6/1kV x 4C x 4 Sqmm</v>
      </c>
      <c r="AW263" s="366" t="str">
        <f t="shared" si="1921"/>
        <v>1R x 0.6/1kV x 4C x 4 Sqmm</v>
      </c>
      <c r="AX263" s="360"/>
      <c r="AY263" s="367"/>
      <c r="AZ263" s="367"/>
      <c r="BA263" s="520" t="str">
        <f t="shared" si="1971"/>
        <v/>
      </c>
      <c r="BB263" s="498"/>
      <c r="BC263" s="426"/>
      <c r="BE263" s="368"/>
      <c r="BF263" s="368"/>
      <c r="BG263" s="368"/>
      <c r="BH263" s="368"/>
      <c r="BI263" s="368"/>
      <c r="BJ263" s="368"/>
      <c r="BK263" s="368"/>
      <c r="BL263" s="368"/>
      <c r="BM263" s="368"/>
      <c r="BN263" s="368"/>
      <c r="BO263" s="368"/>
      <c r="BP263" s="368"/>
      <c r="BQ263" s="368"/>
      <c r="BR263" s="368"/>
      <c r="BS263" s="368"/>
      <c r="BT263" s="368"/>
      <c r="BU263" s="368"/>
      <c r="BV263" s="368"/>
      <c r="BW263" s="368"/>
      <c r="BX263" s="368"/>
      <c r="BY263" s="368"/>
      <c r="BZ263" s="368"/>
      <c r="CA263" s="368"/>
      <c r="CB263" s="368"/>
      <c r="CC263" s="368"/>
      <c r="CD263" s="368"/>
      <c r="CE263" s="368"/>
      <c r="CF263" s="368"/>
      <c r="CG263" s="368"/>
      <c r="CH263" s="368"/>
      <c r="CI263" s="368"/>
      <c r="CJ263" s="368"/>
      <c r="CK263" s="368"/>
      <c r="CL263" s="368"/>
      <c r="CM263" s="368"/>
      <c r="CN263" s="368"/>
      <c r="CO263" s="368"/>
      <c r="CP263" s="368"/>
      <c r="CQ263" s="368"/>
      <c r="CR263" s="368"/>
      <c r="CS263" s="368"/>
      <c r="CT263" s="368"/>
      <c r="CU263" s="368"/>
      <c r="CV263" s="368"/>
      <c r="CW263" s="368"/>
      <c r="CX263" s="368"/>
      <c r="CY263" s="368"/>
      <c r="CZ263" s="368"/>
      <c r="DA263" s="368"/>
      <c r="DB263" s="368"/>
      <c r="DC263" s="368"/>
      <c r="DD263" s="368"/>
      <c r="DE263" s="368"/>
      <c r="DF263" s="368"/>
      <c r="DG263" s="368"/>
      <c r="DH263" s="368"/>
      <c r="DI263" s="368"/>
      <c r="DJ263" s="368"/>
      <c r="DK263" s="368"/>
      <c r="DL263" s="368"/>
      <c r="DM263" s="368"/>
      <c r="DN263" s="368"/>
      <c r="DO263" s="368"/>
      <c r="DP263" s="368"/>
      <c r="DQ263" s="368"/>
      <c r="DR263" s="368"/>
      <c r="DS263" s="368"/>
      <c r="DT263" s="368"/>
      <c r="DU263" s="368"/>
      <c r="DW263" s="368">
        <f t="shared" si="1872"/>
        <v>0</v>
      </c>
      <c r="DX263" s="368">
        <f t="shared" si="1862"/>
        <v>0</v>
      </c>
      <c r="DY263" s="368">
        <f t="shared" si="1863"/>
        <v>0</v>
      </c>
      <c r="DZ263" s="368">
        <f t="shared" si="1864"/>
        <v>0</v>
      </c>
      <c r="EA263" s="368">
        <f t="shared" si="1865"/>
        <v>0</v>
      </c>
      <c r="EB263" s="368">
        <f t="shared" si="1866"/>
        <v>0</v>
      </c>
      <c r="EC263" s="368">
        <f t="shared" si="1867"/>
        <v>0</v>
      </c>
      <c r="ED263" s="368">
        <f t="shared" si="1774"/>
        <v>0</v>
      </c>
      <c r="EE263" s="368">
        <f t="shared" si="1775"/>
        <v>0</v>
      </c>
      <c r="EF263" s="368">
        <f t="shared" si="1776"/>
        <v>0</v>
      </c>
      <c r="EG263" s="368">
        <f t="shared" si="1777"/>
        <v>0</v>
      </c>
      <c r="EH263" s="368">
        <f t="shared" si="1778"/>
        <v>0</v>
      </c>
      <c r="EI263" s="368">
        <f t="shared" si="1779"/>
        <v>0</v>
      </c>
      <c r="EJ263" s="368">
        <f t="shared" si="1780"/>
        <v>0</v>
      </c>
      <c r="EK263" s="368">
        <f t="shared" si="1781"/>
        <v>0</v>
      </c>
      <c r="EL263" s="368">
        <f t="shared" si="1782"/>
        <v>0</v>
      </c>
      <c r="EM263" s="368">
        <f t="shared" si="1783"/>
        <v>0</v>
      </c>
      <c r="EN263" s="368">
        <f t="shared" si="1784"/>
        <v>0</v>
      </c>
      <c r="EO263" s="368">
        <f t="shared" si="1785"/>
        <v>0</v>
      </c>
      <c r="EP263" s="368">
        <f t="shared" si="1786"/>
        <v>0</v>
      </c>
      <c r="EQ263" s="368">
        <f t="shared" si="1787"/>
        <v>0</v>
      </c>
      <c r="ER263" s="368">
        <f t="shared" si="1788"/>
        <v>0</v>
      </c>
      <c r="ES263" s="368">
        <f t="shared" si="1789"/>
        <v>0</v>
      </c>
      <c r="ET263" s="368">
        <f t="shared" si="1789"/>
        <v>0</v>
      </c>
      <c r="EU263" s="368">
        <f t="shared" si="1790"/>
        <v>0</v>
      </c>
      <c r="EV263" s="368">
        <f t="shared" si="1791"/>
        <v>0</v>
      </c>
      <c r="EW263" s="368">
        <f t="shared" si="1792"/>
        <v>0</v>
      </c>
      <c r="EX263" s="368">
        <f t="shared" si="1793"/>
        <v>0</v>
      </c>
      <c r="EY263" s="368">
        <f t="shared" si="1794"/>
        <v>0</v>
      </c>
      <c r="EZ263" s="368">
        <f t="shared" si="1795"/>
        <v>0</v>
      </c>
      <c r="FA263" s="368">
        <f t="shared" si="1796"/>
        <v>0</v>
      </c>
      <c r="FB263" s="368">
        <f t="shared" si="1797"/>
        <v>0</v>
      </c>
      <c r="FC263" s="368">
        <f t="shared" si="1798"/>
        <v>0</v>
      </c>
      <c r="FD263" s="368">
        <f t="shared" si="1799"/>
        <v>0</v>
      </c>
      <c r="FE263" s="368">
        <f t="shared" si="1800"/>
        <v>0</v>
      </c>
      <c r="FF263" s="368">
        <f t="shared" si="1801"/>
        <v>0</v>
      </c>
      <c r="FG263" s="368">
        <f t="shared" si="1802"/>
        <v>0</v>
      </c>
      <c r="FH263" s="368">
        <f t="shared" si="1803"/>
        <v>0</v>
      </c>
      <c r="FI263" s="368">
        <f t="shared" si="1804"/>
        <v>0</v>
      </c>
      <c r="FJ263" s="368">
        <f t="shared" si="1805"/>
        <v>0</v>
      </c>
      <c r="FK263" s="368">
        <f t="shared" si="1806"/>
        <v>0</v>
      </c>
      <c r="FL263" s="368">
        <f t="shared" si="1807"/>
        <v>0</v>
      </c>
      <c r="FM263" s="368">
        <f t="shared" si="1808"/>
        <v>0</v>
      </c>
      <c r="FN263" s="368">
        <f t="shared" si="1809"/>
        <v>0</v>
      </c>
      <c r="FO263" s="368">
        <f t="shared" si="1810"/>
        <v>0</v>
      </c>
      <c r="FP263" s="368">
        <f t="shared" si="1811"/>
        <v>0</v>
      </c>
      <c r="FQ263" s="368">
        <f t="shared" si="1812"/>
        <v>0</v>
      </c>
      <c r="FR263" s="368">
        <f t="shared" si="1813"/>
        <v>0</v>
      </c>
      <c r="FS263" s="368">
        <f t="shared" si="1814"/>
        <v>0</v>
      </c>
      <c r="FT263" s="368">
        <f t="shared" si="1815"/>
        <v>0</v>
      </c>
      <c r="FU263" s="368"/>
      <c r="FV263" s="368"/>
      <c r="FW263" s="368"/>
      <c r="FX263" s="368"/>
      <c r="FY263" s="368">
        <f t="shared" si="1820"/>
        <v>0</v>
      </c>
      <c r="FZ263" s="368">
        <f t="shared" si="1821"/>
        <v>0</v>
      </c>
      <c r="GA263" s="368">
        <f t="shared" si="1822"/>
        <v>0</v>
      </c>
      <c r="GB263" s="368">
        <f t="shared" si="1823"/>
        <v>0</v>
      </c>
      <c r="GC263" s="368">
        <f t="shared" si="1824"/>
        <v>0</v>
      </c>
      <c r="GD263" s="368">
        <f t="shared" si="1825"/>
        <v>0</v>
      </c>
      <c r="GE263" s="368">
        <f t="shared" si="1826"/>
        <v>0</v>
      </c>
      <c r="GF263" s="368">
        <f t="shared" si="1827"/>
        <v>0</v>
      </c>
      <c r="GG263" s="368">
        <f t="shared" si="1828"/>
        <v>0</v>
      </c>
      <c r="GH263" s="368">
        <f t="shared" si="1829"/>
        <v>0</v>
      </c>
      <c r="GI263" s="368">
        <f t="shared" si="1830"/>
        <v>0</v>
      </c>
      <c r="GJ263" s="368">
        <f t="shared" si="1831"/>
        <v>0</v>
      </c>
      <c r="GK263" s="368">
        <f t="shared" si="1750"/>
        <v>0</v>
      </c>
      <c r="GL263" s="368"/>
      <c r="GM263" s="368">
        <f t="shared" si="1832"/>
        <v>0</v>
      </c>
    </row>
    <row r="264" spans="1:195" s="83" customFormat="1" ht="20.100000000000001" hidden="1" customHeight="1">
      <c r="A264" s="357" t="s">
        <v>334</v>
      </c>
      <c r="B264" s="562" t="s">
        <v>527</v>
      </c>
      <c r="C264" s="357" t="str">
        <f t="shared" si="1903"/>
        <v>EPMCC-1</v>
      </c>
      <c r="D264" s="395" t="s">
        <v>712</v>
      </c>
      <c r="E264" s="421" t="s">
        <v>345</v>
      </c>
      <c r="F264" s="357" t="s">
        <v>29</v>
      </c>
      <c r="G264" s="357" t="s">
        <v>329</v>
      </c>
      <c r="H264" s="352">
        <v>40</v>
      </c>
      <c r="I264" s="357" t="s">
        <v>330</v>
      </c>
      <c r="J264" s="357" t="s">
        <v>331</v>
      </c>
      <c r="K264" s="353">
        <v>400</v>
      </c>
      <c r="L264" s="360">
        <v>0.85</v>
      </c>
      <c r="M264" s="352">
        <v>0.95</v>
      </c>
      <c r="N264" s="359">
        <f t="shared" si="1904"/>
        <v>71.500582729749254</v>
      </c>
      <c r="O264" s="359">
        <f t="shared" si="1899"/>
        <v>0</v>
      </c>
      <c r="P264" s="360" t="str">
        <f t="shared" si="1905"/>
        <v>0.00</v>
      </c>
      <c r="Q264" s="352">
        <v>50</v>
      </c>
      <c r="R264" s="352">
        <v>0</v>
      </c>
      <c r="S264" s="352">
        <f t="shared" si="1906"/>
        <v>0</v>
      </c>
      <c r="T264" s="360" t="s">
        <v>131</v>
      </c>
      <c r="U264" s="352" t="s">
        <v>535</v>
      </c>
      <c r="V264" s="360">
        <v>240</v>
      </c>
      <c r="W264" s="360" t="str">
        <f t="shared" si="1907"/>
        <v>3.5C X 240</v>
      </c>
      <c r="X264" s="360" t="str">
        <f t="shared" si="1908"/>
        <v>3.5C X 240</v>
      </c>
      <c r="Y264" s="360" t="s">
        <v>358</v>
      </c>
      <c r="Z264" s="361">
        <f>IF(T264="AIR",VLOOKUP(W264,'Catalogue Aluminium'!$B$9:$G$93,2,FALSE),IF(T264="GROUND",VLOOKUP(W264,'Catalogue Aluminium'!$B$9:$G$93,3,FALSE),IF(T264="DUCT",VLOOKUP(W264,'Catalogue Aluminium'!$B$9:$G$93,4,FALSE),IF(T264="TRENCH",VLOOKUP(W264,'Catalogue Aluminium'!$B$9:$G$93,2,FALSE)))))</f>
        <v>401</v>
      </c>
      <c r="AA264" s="362">
        <f>VLOOKUP(W264,'Catalogue Aluminium'!$B$9:$G$93,5,FALSE)</f>
        <v>0.16</v>
      </c>
      <c r="AB264" s="362">
        <f>VLOOKUP(W264,'Catalogue Aluminium'!$B$9:$G$93,6,FALSE)</f>
        <v>7.1900000000000006E-2</v>
      </c>
      <c r="AC264" s="564">
        <f>22+7</f>
        <v>29</v>
      </c>
      <c r="AD264" s="360">
        <f t="shared" si="1969"/>
        <v>255</v>
      </c>
      <c r="AE264" s="360">
        <f t="shared" si="1910"/>
        <v>38</v>
      </c>
      <c r="AF264" s="360">
        <v>8</v>
      </c>
      <c r="AG264" s="360">
        <f t="shared" si="1911"/>
        <v>33</v>
      </c>
      <c r="AH264" s="363"/>
      <c r="AI264" s="361">
        <f>IF(T264="AIR",'Catalogue Aluminium'!$K$9,IF(T264="TRENCH",'Catalogue Aluminium'!$K$12,"NA"))</f>
        <v>0.89</v>
      </c>
      <c r="AJ264" s="359">
        <f>IF(T264="Air",(IF(U264="1C",'Catalogue Aluminium'!$L$9,'Catalogue Aluminium'!$M$9)),IF(T264="DUCT",(IF($U264="1C",'Catalogue Aluminium'!$L$10,'Catalogue Aluminium'!$M$10)),IF(T264="GROUND",(IF($U264="1C",'Catalogue Aluminium'!$L$11,'Catalogue Aluminium'!$M$11)),IF(T264="TRENCH",(IF($U264="1C",'Catalogue Aluminium'!$L$12,'Catalogue Aluminium'!$M$12))))))</f>
        <v>0.66</v>
      </c>
      <c r="AK264" s="361" t="str">
        <f>IF(T264="Air",'Catalogue Aluminium'!$N$9,IF(T264="GROUND",'Catalogue Aluminium'!$N$10,IF(T264="DUCT",'Catalogue Aluminium'!$N$11,IF(T264="TRENCH",'Catalogue Aluminium'!$N$12,"NA"))))</f>
        <v>NA</v>
      </c>
      <c r="AL264" s="361" t="str">
        <f>IF(T264="Air",(IF(U264="1C",'Catalogue Aluminium'!$O$9,'Catalogue Aluminium'!$P$9)),IF(T264="DUCT",(IF($U264="1C",'Catalogue Aluminium'!$O$10,'Catalogue Aluminium'!$P$10)),IF(T264="GROUND",(IF($U264="1C",'Catalogue Aluminium'!$O$11,'Catalogue Aluminium'!$P$11)),IF(T264="TRENCH",(IF($U264="1C",'Catalogue Aluminium'!$O$12,'Catalogue Aluminium'!$P$12))))))</f>
        <v>NA</v>
      </c>
      <c r="AM264" s="361" t="str">
        <f>IF(T264="AIR","NA",IF(T264="TRENCH","NA",IF(T264="DUCT",IF(U264="1C",VLOOKUP(V264,'Catalogue Aluminium'!$Q$9:$S$28,2,FALSE),VLOOKUP(V264,'Catalogue Aluminium'!$Q$9:$S$28,3)),IF(T264="GROUND",IF(U264="1C",VLOOKUP(V264,'Catalogue Aluminium'!$Q$9:$S$28,2,FALSE),VLOOKUP(V264,'Catalogue Aluminium'!$Q$9:$S$28,3))))))</f>
        <v>NA</v>
      </c>
      <c r="AN264" s="365">
        <f t="shared" si="1913"/>
        <v>0.58740000000000003</v>
      </c>
      <c r="AO264" s="352">
        <f t="shared" si="1914"/>
        <v>235.54740000000001</v>
      </c>
      <c r="AP264" s="353">
        <f t="shared" si="1888"/>
        <v>1</v>
      </c>
      <c r="AQ264" s="352" t="str">
        <f t="shared" si="1915"/>
        <v>YES</v>
      </c>
      <c r="AR264" s="365">
        <f t="shared" si="1916"/>
        <v>0</v>
      </c>
      <c r="AS264" s="496" t="str">
        <f t="shared" si="1917"/>
        <v>YES</v>
      </c>
      <c r="AT264" s="497" t="str">
        <f t="shared" si="1918"/>
        <v>NA</v>
      </c>
      <c r="AU264" s="360" t="str">
        <f t="shared" si="1919"/>
        <v>NA</v>
      </c>
      <c r="AV264" s="366" t="str">
        <f t="shared" si="1920"/>
        <v>1R x 0.6/1kV x 3.5C x 240 Sqmm</v>
      </c>
      <c r="AW264" s="366" t="str">
        <f t="shared" si="1921"/>
        <v>1R x 0.6/1kV x 3.5C x 240 Sqmm</v>
      </c>
      <c r="AX264" s="360"/>
      <c r="AY264" s="367"/>
      <c r="AZ264" s="367"/>
      <c r="BA264" s="520" t="str">
        <f t="shared" si="1971"/>
        <v/>
      </c>
      <c r="BB264" s="498"/>
      <c r="BC264" s="426"/>
      <c r="BE264" s="368"/>
      <c r="BF264" s="368"/>
      <c r="BG264" s="368"/>
      <c r="BH264" s="368"/>
      <c r="BI264" s="368"/>
      <c r="BJ264" s="368"/>
      <c r="BK264" s="368"/>
      <c r="BL264" s="368"/>
      <c r="BM264" s="368"/>
      <c r="BN264" s="368"/>
      <c r="BO264" s="368"/>
      <c r="BP264" s="368"/>
      <c r="BQ264" s="368"/>
      <c r="BR264" s="368"/>
      <c r="BS264" s="368"/>
      <c r="BT264" s="368"/>
      <c r="BU264" s="368"/>
      <c r="BV264" s="368"/>
      <c r="BW264" s="368"/>
      <c r="BX264" s="368"/>
      <c r="BY264" s="368"/>
      <c r="BZ264" s="368"/>
      <c r="CA264" s="368"/>
      <c r="CB264" s="368"/>
      <c r="CC264" s="368"/>
      <c r="CD264" s="368"/>
      <c r="CE264" s="368"/>
      <c r="CF264" s="368"/>
      <c r="CG264" s="368"/>
      <c r="CH264" s="368"/>
      <c r="CI264" s="368"/>
      <c r="CJ264" s="368"/>
      <c r="CK264" s="368"/>
      <c r="CL264" s="368"/>
      <c r="CM264" s="368"/>
      <c r="CN264" s="368"/>
      <c r="CO264" s="368"/>
      <c r="CP264" s="368"/>
      <c r="CQ264" s="368"/>
      <c r="CR264" s="368"/>
      <c r="CS264" s="368"/>
      <c r="CT264" s="368"/>
      <c r="CU264" s="368"/>
      <c r="CV264" s="368"/>
      <c r="CW264" s="368"/>
      <c r="CX264" s="368"/>
      <c r="CY264" s="368"/>
      <c r="CZ264" s="368"/>
      <c r="DA264" s="368"/>
      <c r="DB264" s="368"/>
      <c r="DC264" s="368"/>
      <c r="DD264" s="368"/>
      <c r="DE264" s="368"/>
      <c r="DF264" s="368"/>
      <c r="DG264" s="368"/>
      <c r="DH264" s="368"/>
      <c r="DI264" s="368"/>
      <c r="DJ264" s="368"/>
      <c r="DK264" s="368"/>
      <c r="DL264" s="368"/>
      <c r="DM264" s="368"/>
      <c r="DN264" s="368"/>
      <c r="DO264" s="368"/>
      <c r="DP264" s="368"/>
      <c r="DQ264" s="368"/>
      <c r="DR264" s="368"/>
      <c r="DS264" s="368"/>
      <c r="DT264" s="368"/>
      <c r="DU264" s="368"/>
      <c r="DW264" s="368">
        <f t="shared" si="1872"/>
        <v>0</v>
      </c>
      <c r="DX264" s="368">
        <f t="shared" si="1862"/>
        <v>0</v>
      </c>
      <c r="DY264" s="368">
        <f t="shared" si="1863"/>
        <v>0</v>
      </c>
      <c r="DZ264" s="368">
        <f t="shared" si="1864"/>
        <v>0</v>
      </c>
      <c r="EA264" s="368">
        <f t="shared" si="1865"/>
        <v>0</v>
      </c>
      <c r="EB264" s="368">
        <f t="shared" si="1866"/>
        <v>0</v>
      </c>
      <c r="EC264" s="368">
        <f t="shared" si="1867"/>
        <v>0</v>
      </c>
      <c r="ED264" s="368">
        <f t="shared" si="1774"/>
        <v>0</v>
      </c>
      <c r="EE264" s="368">
        <f t="shared" si="1775"/>
        <v>0</v>
      </c>
      <c r="EF264" s="368">
        <f t="shared" si="1776"/>
        <v>0</v>
      </c>
      <c r="EG264" s="368">
        <f t="shared" si="1777"/>
        <v>0</v>
      </c>
      <c r="EH264" s="368">
        <f t="shared" si="1778"/>
        <v>0</v>
      </c>
      <c r="EI264" s="368">
        <f t="shared" si="1779"/>
        <v>0</v>
      </c>
      <c r="EJ264" s="368">
        <f t="shared" si="1780"/>
        <v>0</v>
      </c>
      <c r="EK264" s="368">
        <f t="shared" si="1781"/>
        <v>0</v>
      </c>
      <c r="EL264" s="368">
        <f t="shared" si="1782"/>
        <v>0</v>
      </c>
      <c r="EM264" s="368">
        <f t="shared" si="1783"/>
        <v>0</v>
      </c>
      <c r="EN264" s="368">
        <f t="shared" si="1784"/>
        <v>0</v>
      </c>
      <c r="EO264" s="368">
        <f t="shared" si="1785"/>
        <v>0</v>
      </c>
      <c r="EP264" s="368">
        <f t="shared" si="1786"/>
        <v>0</v>
      </c>
      <c r="EQ264" s="368">
        <f t="shared" si="1787"/>
        <v>0</v>
      </c>
      <c r="ER264" s="368">
        <f t="shared" si="1788"/>
        <v>0</v>
      </c>
      <c r="ES264" s="368">
        <f t="shared" si="1789"/>
        <v>0</v>
      </c>
      <c r="ET264" s="368">
        <f t="shared" si="1789"/>
        <v>0</v>
      </c>
      <c r="EU264" s="368">
        <f t="shared" si="1790"/>
        <v>0</v>
      </c>
      <c r="EV264" s="368">
        <f t="shared" si="1791"/>
        <v>0</v>
      </c>
      <c r="EW264" s="368">
        <f t="shared" si="1792"/>
        <v>0</v>
      </c>
      <c r="EX264" s="368">
        <f t="shared" si="1793"/>
        <v>0</v>
      </c>
      <c r="EY264" s="368">
        <f t="shared" si="1794"/>
        <v>0</v>
      </c>
      <c r="EZ264" s="368">
        <f t="shared" si="1795"/>
        <v>0</v>
      </c>
      <c r="FA264" s="368">
        <f t="shared" si="1796"/>
        <v>0</v>
      </c>
      <c r="FB264" s="368">
        <f t="shared" si="1797"/>
        <v>0</v>
      </c>
      <c r="FC264" s="368">
        <f t="shared" si="1798"/>
        <v>0</v>
      </c>
      <c r="FD264" s="368">
        <f t="shared" si="1799"/>
        <v>0</v>
      </c>
      <c r="FE264" s="368">
        <f t="shared" si="1800"/>
        <v>0</v>
      </c>
      <c r="FF264" s="368">
        <f t="shared" si="1801"/>
        <v>0</v>
      </c>
      <c r="FG264" s="368">
        <f t="shared" si="1802"/>
        <v>0</v>
      </c>
      <c r="FH264" s="368">
        <f t="shared" si="1803"/>
        <v>0</v>
      </c>
      <c r="FI264" s="368">
        <f t="shared" si="1804"/>
        <v>0</v>
      </c>
      <c r="FJ264" s="368">
        <f t="shared" si="1805"/>
        <v>0</v>
      </c>
      <c r="FK264" s="368">
        <f t="shared" si="1806"/>
        <v>0</v>
      </c>
      <c r="FL264" s="368">
        <f t="shared" si="1807"/>
        <v>0</v>
      </c>
      <c r="FM264" s="368">
        <f t="shared" si="1808"/>
        <v>0</v>
      </c>
      <c r="FN264" s="368">
        <f t="shared" si="1809"/>
        <v>0</v>
      </c>
      <c r="FO264" s="368">
        <f t="shared" si="1810"/>
        <v>0</v>
      </c>
      <c r="FP264" s="368">
        <f t="shared" si="1811"/>
        <v>0</v>
      </c>
      <c r="FQ264" s="368">
        <f t="shared" si="1812"/>
        <v>0</v>
      </c>
      <c r="FR264" s="368">
        <f t="shared" si="1813"/>
        <v>0</v>
      </c>
      <c r="FS264" s="368">
        <f t="shared" si="1814"/>
        <v>0</v>
      </c>
      <c r="FT264" s="368">
        <f t="shared" si="1815"/>
        <v>0</v>
      </c>
      <c r="FU264" s="368"/>
      <c r="FV264" s="368"/>
      <c r="FW264" s="368"/>
      <c r="FX264" s="368"/>
      <c r="FY264" s="368">
        <f t="shared" si="1820"/>
        <v>0</v>
      </c>
      <c r="FZ264" s="368">
        <f t="shared" si="1821"/>
        <v>0</v>
      </c>
      <c r="GA264" s="368">
        <f t="shared" si="1822"/>
        <v>0</v>
      </c>
      <c r="GB264" s="368">
        <f t="shared" si="1823"/>
        <v>0</v>
      </c>
      <c r="GC264" s="368">
        <f t="shared" si="1824"/>
        <v>0</v>
      </c>
      <c r="GD264" s="368">
        <f t="shared" si="1825"/>
        <v>0</v>
      </c>
      <c r="GE264" s="368">
        <f t="shared" si="1826"/>
        <v>0</v>
      </c>
      <c r="GF264" s="368">
        <f t="shared" si="1827"/>
        <v>0</v>
      </c>
      <c r="GG264" s="368">
        <f t="shared" si="1828"/>
        <v>0</v>
      </c>
      <c r="GH264" s="368">
        <f t="shared" si="1829"/>
        <v>0</v>
      </c>
      <c r="GI264" s="368">
        <f t="shared" si="1830"/>
        <v>0</v>
      </c>
      <c r="GJ264" s="368">
        <f t="shared" si="1831"/>
        <v>0</v>
      </c>
      <c r="GK264" s="368">
        <f t="shared" si="1750"/>
        <v>0</v>
      </c>
      <c r="GL264" s="368"/>
      <c r="GM264" s="368">
        <f t="shared" si="1832"/>
        <v>0</v>
      </c>
    </row>
    <row r="265" spans="1:195" ht="20.100000000000001" customHeight="1">
      <c r="A265" s="388">
        <f>1+A261</f>
        <v>168</v>
      </c>
      <c r="B265" s="897" t="s">
        <v>1700</v>
      </c>
      <c r="C265" s="388" t="s">
        <v>636</v>
      </c>
      <c r="D265" s="338" t="s">
        <v>692</v>
      </c>
      <c r="E265" s="454" t="s">
        <v>345</v>
      </c>
      <c r="F265" s="388" t="s">
        <v>28</v>
      </c>
      <c r="G265" s="388" t="s">
        <v>329</v>
      </c>
      <c r="H265" s="583">
        <v>11</v>
      </c>
      <c r="I265" s="388" t="s">
        <v>330</v>
      </c>
      <c r="J265" s="388" t="s">
        <v>331</v>
      </c>
      <c r="K265" s="434">
        <v>400</v>
      </c>
      <c r="L265" s="401">
        <v>0.85</v>
      </c>
      <c r="M265" s="418">
        <v>0.95</v>
      </c>
      <c r="N265" s="392">
        <f t="shared" si="1904"/>
        <v>19.662660250681046</v>
      </c>
      <c r="O265" s="392">
        <f t="shared" si="1899"/>
        <v>0</v>
      </c>
      <c r="P265" s="401" t="str">
        <f t="shared" si="1905"/>
        <v>0.00</v>
      </c>
      <c r="Q265" s="418">
        <v>65</v>
      </c>
      <c r="R265" s="418">
        <v>0</v>
      </c>
      <c r="S265" s="418">
        <f t="shared" si="1906"/>
        <v>0</v>
      </c>
      <c r="T265" s="401" t="s">
        <v>131</v>
      </c>
      <c r="U265" s="418" t="s">
        <v>535</v>
      </c>
      <c r="V265" s="401">
        <v>50</v>
      </c>
      <c r="W265" s="401" t="str">
        <f t="shared" si="1907"/>
        <v>3.5C X 50</v>
      </c>
      <c r="X265" s="401" t="str">
        <f t="shared" si="1908"/>
        <v>3.5C X 50</v>
      </c>
      <c r="Y265" s="401" t="s">
        <v>358</v>
      </c>
      <c r="Z265" s="393">
        <f>IF(T265="AIR",VLOOKUP(W265,'Catalogue Aluminium'!$B$9:$G$93,2,FALSE),IF(T265="GROUND",VLOOKUP(W265,'Catalogue Aluminium'!$B$9:$G$93,3,FALSE),IF(T265="DUCT",VLOOKUP(W265,'Catalogue Aluminium'!$B$9:$G$93,4,FALSE),IF(T265="TRENCH",VLOOKUP(W265,'Catalogue Aluminium'!$B$9:$G$93,2,FALSE)))))</f>
        <v>141</v>
      </c>
      <c r="AA265" s="402">
        <f>VLOOKUP(W265,'Catalogue Aluminium'!$B$9:$G$93,5,FALSE)</f>
        <v>0.82</v>
      </c>
      <c r="AB265" s="402">
        <f>VLOOKUP(W265,'Catalogue Aluminium'!$B$9:$G$93,6,FALSE)</f>
        <v>7.9200000000000007E-2</v>
      </c>
      <c r="AC265" s="457">
        <f t="shared" ref="AC265:AC274" si="1976">32+6</f>
        <v>38</v>
      </c>
      <c r="AD265" s="401">
        <f>40+50+38+50+17+(27+41)</f>
        <v>263</v>
      </c>
      <c r="AE265" s="401">
        <f t="shared" si="1910"/>
        <v>38</v>
      </c>
      <c r="AF265" s="401">
        <v>8</v>
      </c>
      <c r="AG265" s="401">
        <f t="shared" si="1911"/>
        <v>35</v>
      </c>
      <c r="AH265" s="436">
        <f t="shared" si="1912"/>
        <v>382</v>
      </c>
      <c r="AI265" s="393">
        <f>IF(T265="AIR",'Catalogue Aluminium'!$K$9,IF(T265="TRENCH",'Catalogue Aluminium'!$K$12,"NA"))</f>
        <v>0.89</v>
      </c>
      <c r="AJ265" s="392">
        <f>IF(T265="Air",(IF(U265="1C",'Catalogue Aluminium'!$L$9,'Catalogue Aluminium'!$M$9)),IF(T265="DUCT",(IF($U265="1C",'Catalogue Aluminium'!$L$10,'Catalogue Aluminium'!$M$10)),IF(T265="GROUND",(IF($U265="1C",'Catalogue Aluminium'!$L$11,'Catalogue Aluminium'!$M$11)),IF(T265="TRENCH",(IF($U265="1C",'Catalogue Aluminium'!$L$12,'Catalogue Aluminium'!$M$12))))))</f>
        <v>0.66</v>
      </c>
      <c r="AK265" s="393" t="str">
        <f>IF(T265="Air",'Catalogue Aluminium'!$N$9,IF(T265="GROUND",'Catalogue Aluminium'!$N$10,IF(T265="DUCT",'Catalogue Aluminium'!$N$11,IF(T265="TRENCH",'Catalogue Aluminium'!$N$12,"NA"))))</f>
        <v>NA</v>
      </c>
      <c r="AL265" s="393" t="str">
        <f>IF(T265="Air",(IF(U265="1C",'Catalogue Aluminium'!$O$9,'Catalogue Aluminium'!$P$9)),IF(T265="DUCT",(IF($U265="1C",'Catalogue Aluminium'!$O$10,'Catalogue Aluminium'!$P$10)),IF(T265="GROUND",(IF($U265="1C",'Catalogue Aluminium'!$O$11,'Catalogue Aluminium'!$P$11)),IF(T265="TRENCH",(IF($U265="1C",'Catalogue Aluminium'!$O$12,'Catalogue Aluminium'!$P$12))))))</f>
        <v>NA</v>
      </c>
      <c r="AM265" s="393" t="str">
        <f>IF(T265="AIR","NA",IF(T265="TRENCH","NA",IF(T265="DUCT",IF(U265="1C",VLOOKUP(V265,'Catalogue Aluminium'!$Q$9:$S$28,2,FALSE),VLOOKUP(V265,'Catalogue Aluminium'!$Q$9:$S$28,3)),IF(T265="GROUND",IF(U265="1C",VLOOKUP(V265,'Catalogue Aluminium'!$Q$9:$S$28,2,FALSE),VLOOKUP(V265,'Catalogue Aluminium'!$Q$9:$S$28,3))))))</f>
        <v>NA</v>
      </c>
      <c r="AN265" s="437">
        <f t="shared" si="1913"/>
        <v>0.58740000000000003</v>
      </c>
      <c r="AO265" s="418">
        <f t="shared" si="1914"/>
        <v>82.823400000000007</v>
      </c>
      <c r="AP265" s="434">
        <f t="shared" si="1888"/>
        <v>1</v>
      </c>
      <c r="AQ265" s="418" t="str">
        <f t="shared" si="1915"/>
        <v>YES</v>
      </c>
      <c r="AR265" s="437">
        <f t="shared" si="1916"/>
        <v>2.4026296388471438</v>
      </c>
      <c r="AS265" s="401" t="str">
        <f t="shared" si="1917"/>
        <v>YES</v>
      </c>
      <c r="AT265" s="437" t="str">
        <f t="shared" si="1918"/>
        <v>NA</v>
      </c>
      <c r="AU265" s="401" t="str">
        <f t="shared" si="1919"/>
        <v>NA</v>
      </c>
      <c r="AV265" s="503" t="str">
        <f t="shared" si="1920"/>
        <v>1R x 0.6/1kV x 3.5C x 50 Sqmm</v>
      </c>
      <c r="AW265" s="503" t="str">
        <f t="shared" si="1921"/>
        <v>1R x 0.6/1kV x 3.5C x 50 Sqmm</v>
      </c>
      <c r="AX265" s="401">
        <f t="shared" ref="AX265:AX274" si="1977">(IF(K265=400,(IF(U265="1C",(4*AH265*AP265),(AH265*AP265))),IF(K265=230,(AH265*AP265))))</f>
        <v>382</v>
      </c>
      <c r="AY265" s="504"/>
      <c r="AZ265" s="504">
        <f t="shared" ref="AZ265:AZ274" si="1978">IF(U265="1C",(3*AP265*2),(AP265*2))</f>
        <v>2</v>
      </c>
      <c r="BA265" s="438" t="str">
        <f t="shared" si="1971"/>
        <v>ACDEE1E2</v>
      </c>
      <c r="BB265" s="505">
        <f>VLOOKUP(W265,'Catalogue Aluminium'!$B$9:$H$93,7,FALSE)</f>
        <v>30</v>
      </c>
      <c r="BC265" s="439">
        <f t="shared" ref="BC265:BC274" si="1979">AP265*BB265</f>
        <v>30</v>
      </c>
      <c r="BE265" s="336"/>
      <c r="BF265" s="336">
        <v>1</v>
      </c>
      <c r="BG265" s="336"/>
      <c r="BH265" s="336"/>
      <c r="BI265" s="336">
        <v>1</v>
      </c>
      <c r="BJ265" s="336">
        <v>1</v>
      </c>
      <c r="BK265" s="336"/>
      <c r="BL265" s="336"/>
      <c r="BM265" s="336"/>
      <c r="BN265" s="336">
        <v>1</v>
      </c>
      <c r="BO265" s="336"/>
      <c r="BP265" s="336">
        <v>1</v>
      </c>
      <c r="BQ265" s="336">
        <v>1</v>
      </c>
      <c r="BR265" s="336"/>
      <c r="BS265" s="336"/>
      <c r="BT265" s="336"/>
      <c r="BU265" s="336"/>
      <c r="BV265" s="336"/>
      <c r="BW265" s="336"/>
      <c r="BX265" s="336"/>
      <c r="BY265" s="336"/>
      <c r="BZ265" s="336"/>
      <c r="CA265" s="336"/>
      <c r="CB265" s="336"/>
      <c r="CC265" s="336"/>
      <c r="CD265" s="336"/>
      <c r="CE265" s="336"/>
      <c r="CF265" s="336"/>
      <c r="CG265" s="336"/>
      <c r="CH265" s="336"/>
      <c r="CI265" s="336"/>
      <c r="CJ265" s="336"/>
      <c r="CK265" s="336"/>
      <c r="CL265" s="336"/>
      <c r="CM265" s="336"/>
      <c r="CN265" s="336"/>
      <c r="CO265" s="336"/>
      <c r="CP265" s="336"/>
      <c r="CQ265" s="336"/>
      <c r="CR265" s="336"/>
      <c r="CS265" s="336"/>
      <c r="CT265" s="336"/>
      <c r="CU265" s="336"/>
      <c r="CV265" s="336"/>
      <c r="CW265" s="336"/>
      <c r="CX265" s="336"/>
      <c r="CY265" s="336"/>
      <c r="CZ265" s="336"/>
      <c r="DA265" s="336"/>
      <c r="DB265" s="336"/>
      <c r="DC265" s="336"/>
      <c r="DD265" s="336"/>
      <c r="DE265" s="336"/>
      <c r="DF265" s="336"/>
      <c r="DG265" s="336"/>
      <c r="DH265" s="336"/>
      <c r="DI265" s="336"/>
      <c r="DJ265" s="336"/>
      <c r="DK265" s="336"/>
      <c r="DL265" s="336"/>
      <c r="DM265" s="336"/>
      <c r="DN265" s="336"/>
      <c r="DO265" s="336"/>
      <c r="DP265" s="336"/>
      <c r="DQ265" s="336"/>
      <c r="DR265" s="336"/>
      <c r="DS265" s="336"/>
      <c r="DT265" s="336"/>
      <c r="DU265" s="336"/>
      <c r="DW265" s="336">
        <f t="shared" si="1872"/>
        <v>0</v>
      </c>
      <c r="DX265" s="336">
        <f t="shared" si="1862"/>
        <v>30</v>
      </c>
      <c r="DY265" s="336">
        <f t="shared" si="1863"/>
        <v>0</v>
      </c>
      <c r="DZ265" s="336">
        <f t="shared" si="1864"/>
        <v>0</v>
      </c>
      <c r="EA265" s="336">
        <f t="shared" si="1865"/>
        <v>30</v>
      </c>
      <c r="EB265" s="336">
        <f t="shared" si="1866"/>
        <v>30</v>
      </c>
      <c r="EC265" s="336">
        <f t="shared" si="1867"/>
        <v>0</v>
      </c>
      <c r="ED265" s="336">
        <f t="shared" si="1774"/>
        <v>0</v>
      </c>
      <c r="EE265" s="336">
        <f t="shared" si="1775"/>
        <v>0</v>
      </c>
      <c r="EF265" s="336">
        <f t="shared" si="1776"/>
        <v>30</v>
      </c>
      <c r="EG265" s="336">
        <f t="shared" si="1777"/>
        <v>0</v>
      </c>
      <c r="EH265" s="336">
        <f t="shared" si="1778"/>
        <v>30</v>
      </c>
      <c r="EI265" s="336">
        <f t="shared" si="1779"/>
        <v>30</v>
      </c>
      <c r="EJ265" s="336">
        <f t="shared" si="1780"/>
        <v>0</v>
      </c>
      <c r="EK265" s="336">
        <f t="shared" si="1781"/>
        <v>0</v>
      </c>
      <c r="EL265" s="336">
        <f t="shared" si="1782"/>
        <v>0</v>
      </c>
      <c r="EM265" s="336">
        <f t="shared" si="1783"/>
        <v>0</v>
      </c>
      <c r="EN265" s="336">
        <f t="shared" si="1784"/>
        <v>0</v>
      </c>
      <c r="EO265" s="336">
        <f t="shared" si="1785"/>
        <v>0</v>
      </c>
      <c r="EP265" s="336">
        <f t="shared" si="1786"/>
        <v>0</v>
      </c>
      <c r="EQ265" s="336">
        <f t="shared" si="1787"/>
        <v>0</v>
      </c>
      <c r="ER265" s="336">
        <f t="shared" si="1788"/>
        <v>0</v>
      </c>
      <c r="ES265" s="336">
        <f t="shared" si="1789"/>
        <v>0</v>
      </c>
      <c r="ET265" s="336">
        <f t="shared" si="1789"/>
        <v>0</v>
      </c>
      <c r="EU265" s="336">
        <f t="shared" si="1790"/>
        <v>0</v>
      </c>
      <c r="EV265" s="336">
        <f t="shared" si="1791"/>
        <v>0</v>
      </c>
      <c r="EW265" s="336">
        <f t="shared" si="1792"/>
        <v>0</v>
      </c>
      <c r="EX265" s="336">
        <f t="shared" si="1793"/>
        <v>0</v>
      </c>
      <c r="EY265" s="336">
        <f t="shared" si="1794"/>
        <v>0</v>
      </c>
      <c r="EZ265" s="336">
        <f t="shared" si="1795"/>
        <v>0</v>
      </c>
      <c r="FA265" s="336">
        <f t="shared" si="1796"/>
        <v>0</v>
      </c>
      <c r="FB265" s="336">
        <f t="shared" si="1797"/>
        <v>0</v>
      </c>
      <c r="FC265" s="336">
        <f t="shared" si="1798"/>
        <v>0</v>
      </c>
      <c r="FD265" s="336">
        <f t="shared" si="1799"/>
        <v>0</v>
      </c>
      <c r="FE265" s="336">
        <f t="shared" si="1800"/>
        <v>0</v>
      </c>
      <c r="FF265" s="336">
        <f t="shared" si="1801"/>
        <v>0</v>
      </c>
      <c r="FG265" s="336">
        <f t="shared" si="1802"/>
        <v>0</v>
      </c>
      <c r="FH265" s="336">
        <f t="shared" si="1803"/>
        <v>0</v>
      </c>
      <c r="FI265" s="336">
        <f t="shared" si="1804"/>
        <v>0</v>
      </c>
      <c r="FJ265" s="336">
        <f t="shared" si="1805"/>
        <v>0</v>
      </c>
      <c r="FK265" s="336">
        <f t="shared" si="1806"/>
        <v>0</v>
      </c>
      <c r="FL265" s="336">
        <f t="shared" si="1807"/>
        <v>0</v>
      </c>
      <c r="FM265" s="336">
        <f t="shared" si="1808"/>
        <v>0</v>
      </c>
      <c r="FN265" s="336">
        <f t="shared" si="1809"/>
        <v>0</v>
      </c>
      <c r="FO265" s="336">
        <f t="shared" si="1810"/>
        <v>0</v>
      </c>
      <c r="FP265" s="336">
        <f t="shared" si="1811"/>
        <v>0</v>
      </c>
      <c r="FQ265" s="336">
        <f t="shared" si="1812"/>
        <v>0</v>
      </c>
      <c r="FR265" s="336">
        <f t="shared" si="1813"/>
        <v>0</v>
      </c>
      <c r="FS265" s="336">
        <f t="shared" si="1814"/>
        <v>0</v>
      </c>
      <c r="FT265" s="336">
        <f t="shared" si="1815"/>
        <v>0</v>
      </c>
      <c r="FU265" s="336">
        <f t="shared" ref="FU265:FU302" si="1980">IF(DC265=1,($BC265*DC265),0)</f>
        <v>0</v>
      </c>
      <c r="FV265" s="336">
        <f t="shared" ref="FV265:FV302" si="1981">IF(DD265=1,($BC265*DD265),0)</f>
        <v>0</v>
      </c>
      <c r="FW265" s="336">
        <f t="shared" ref="FW265:FW302" si="1982">IF(DE265=1,($BC265*DE265),0)</f>
        <v>0</v>
      </c>
      <c r="FX265" s="336">
        <f t="shared" ref="FX265:FX302" si="1983">IF(DF265=1,($BC265*DF265),0)</f>
        <v>0</v>
      </c>
      <c r="FY265" s="336">
        <f t="shared" si="1820"/>
        <v>0</v>
      </c>
      <c r="FZ265" s="336">
        <f t="shared" si="1821"/>
        <v>0</v>
      </c>
      <c r="GA265" s="336">
        <f t="shared" si="1822"/>
        <v>0</v>
      </c>
      <c r="GB265" s="336">
        <f t="shared" si="1823"/>
        <v>0</v>
      </c>
      <c r="GC265" s="336">
        <f t="shared" si="1824"/>
        <v>0</v>
      </c>
      <c r="GD265" s="336">
        <f t="shared" si="1825"/>
        <v>0</v>
      </c>
      <c r="GE265" s="336">
        <f t="shared" si="1826"/>
        <v>0</v>
      </c>
      <c r="GF265" s="336">
        <f t="shared" si="1827"/>
        <v>0</v>
      </c>
      <c r="GG265" s="336">
        <f t="shared" si="1828"/>
        <v>0</v>
      </c>
      <c r="GH265" s="336">
        <f t="shared" si="1829"/>
        <v>0</v>
      </c>
      <c r="GI265" s="336">
        <f t="shared" si="1830"/>
        <v>0</v>
      </c>
      <c r="GJ265" s="336">
        <f t="shared" si="1831"/>
        <v>0</v>
      </c>
      <c r="GK265" s="336">
        <f t="shared" si="1750"/>
        <v>0</v>
      </c>
      <c r="GL265" s="336">
        <f t="shared" ref="GL265:GL302" si="1984">IF(DT265=1,($BC265*DT265),0)</f>
        <v>0</v>
      </c>
      <c r="GM265" s="336">
        <f t="shared" si="1832"/>
        <v>0</v>
      </c>
    </row>
    <row r="266" spans="1:195" ht="20.100000000000001" customHeight="1">
      <c r="A266" s="388">
        <f t="shared" ref="A266:A274" si="1985">1+A265</f>
        <v>169</v>
      </c>
      <c r="B266" s="506" t="s">
        <v>527</v>
      </c>
      <c r="C266" s="388" t="s">
        <v>636</v>
      </c>
      <c r="D266" s="338" t="s">
        <v>713</v>
      </c>
      <c r="E266" s="502" t="s">
        <v>555</v>
      </c>
      <c r="F266" s="522" t="s">
        <v>28</v>
      </c>
      <c r="G266" s="388" t="s">
        <v>329</v>
      </c>
      <c r="H266" s="583">
        <v>1.45</v>
      </c>
      <c r="I266" s="388" t="s">
        <v>330</v>
      </c>
      <c r="J266" s="388" t="s">
        <v>357</v>
      </c>
      <c r="K266" s="434">
        <v>230</v>
      </c>
      <c r="L266" s="401">
        <v>0.85</v>
      </c>
      <c r="M266" s="418">
        <v>0.95</v>
      </c>
      <c r="N266" s="392">
        <f t="shared" si="1904"/>
        <v>7.8072418898909683</v>
      </c>
      <c r="O266" s="392">
        <f t="shared" si="1899"/>
        <v>0</v>
      </c>
      <c r="P266" s="401" t="str">
        <f t="shared" si="1905"/>
        <v>0.00</v>
      </c>
      <c r="Q266" s="418">
        <v>65</v>
      </c>
      <c r="R266" s="418">
        <v>0</v>
      </c>
      <c r="S266" s="418">
        <f t="shared" si="1906"/>
        <v>0</v>
      </c>
      <c r="T266" s="401" t="s">
        <v>131</v>
      </c>
      <c r="U266" s="418" t="s">
        <v>333</v>
      </c>
      <c r="V266" s="401">
        <v>16</v>
      </c>
      <c r="W266" s="401" t="str">
        <f t="shared" si="1907"/>
        <v>3C X 16</v>
      </c>
      <c r="X266" s="401" t="str">
        <f t="shared" si="1908"/>
        <v>3C X 16</v>
      </c>
      <c r="Y266" s="401" t="s">
        <v>358</v>
      </c>
      <c r="Z266" s="393">
        <f>IF(T266="AIR",VLOOKUP(W266,'Catalogue Aluminium'!$B$9:$G$93,2,FALSE),IF(T266="GROUND",VLOOKUP(W266,'Catalogue Aluminium'!$B$9:$G$93,3,FALSE),IF(T266="DUCT",VLOOKUP(W266,'Catalogue Aluminium'!$B$9:$G$93,4,FALSE),IF(T266="TRENCH",VLOOKUP(W266,'Catalogue Aluminium'!$B$9:$G$93,2,FALSE)))))</f>
        <v>70</v>
      </c>
      <c r="AA266" s="402">
        <f>VLOOKUP(W266,'Catalogue Aluminium'!$B$9:$G$93,5,FALSE)</f>
        <v>2.44</v>
      </c>
      <c r="AB266" s="402">
        <f>VLOOKUP(W266,'Catalogue Aluminium'!$B$9:$G$93,6,FALSE)</f>
        <v>8.1500000000000003E-2</v>
      </c>
      <c r="AC266" s="457">
        <f t="shared" si="1976"/>
        <v>38</v>
      </c>
      <c r="AD266" s="401">
        <v>80</v>
      </c>
      <c r="AE266" s="401">
        <v>5</v>
      </c>
      <c r="AF266" s="401">
        <v>8</v>
      </c>
      <c r="AG266" s="401">
        <f t="shared" si="1911"/>
        <v>14</v>
      </c>
      <c r="AH266" s="436">
        <f t="shared" si="1912"/>
        <v>145</v>
      </c>
      <c r="AI266" s="393">
        <f>IF(T266="AIR",'Catalogue Aluminium'!$K$9,IF(T266="TRENCH",'Catalogue Aluminium'!$K$12,"NA"))</f>
        <v>0.89</v>
      </c>
      <c r="AJ266" s="392">
        <f>IF(T266="Air",(IF(U266="1C",'Catalogue Aluminium'!$L$9,'Catalogue Aluminium'!$M$9)),IF(T266="DUCT",(IF($U266="1C",'Catalogue Aluminium'!$L$10,'Catalogue Aluminium'!$M$10)),IF(T266="GROUND",(IF($U266="1C",'Catalogue Aluminium'!$L$11,'Catalogue Aluminium'!$M$11)),IF(T266="TRENCH",(IF($U266="1C",'Catalogue Aluminium'!$L$12,'Catalogue Aluminium'!$M$12))))))</f>
        <v>0.66</v>
      </c>
      <c r="AK266" s="393" t="str">
        <f>IF(T266="Air",'Catalogue Aluminium'!$N$9,IF(T266="GROUND",'Catalogue Aluminium'!$N$10,IF(T266="DUCT",'Catalogue Aluminium'!$N$11,IF(T266="TRENCH",'Catalogue Aluminium'!$N$12,"NA"))))</f>
        <v>NA</v>
      </c>
      <c r="AL266" s="393" t="str">
        <f>IF(T266="Air",(IF(U266="1C",'Catalogue Aluminium'!$O$9,'Catalogue Aluminium'!$P$9)),IF(T266="DUCT",(IF($U266="1C",'Catalogue Aluminium'!$O$10,'Catalogue Aluminium'!$P$10)),IF(T266="GROUND",(IF($U266="1C",'Catalogue Aluminium'!$O$11,'Catalogue Aluminium'!$P$11)),IF(T266="TRENCH",(IF($U266="1C",'Catalogue Aluminium'!$O$12,'Catalogue Aluminium'!$P$12))))))</f>
        <v>NA</v>
      </c>
      <c r="AM266" s="393" t="str">
        <f>IF(T266="AIR","NA",IF(T266="TRENCH","NA",IF(T266="DUCT",IF(U266="1C",VLOOKUP(V266,'Catalogue Aluminium'!$Q$9:$S$28,2,FALSE),VLOOKUP(V266,'Catalogue Aluminium'!$Q$9:$S$28,3)),IF(T266="GROUND",IF(U266="1C",VLOOKUP(V266,'Catalogue Aluminium'!$Q$9:$S$28,2,FALSE),VLOOKUP(V266,'Catalogue Aluminium'!$Q$9:$S$28,3))))))</f>
        <v>NA</v>
      </c>
      <c r="AN266" s="437">
        <f t="shared" si="1913"/>
        <v>0.58740000000000003</v>
      </c>
      <c r="AO266" s="418">
        <f t="shared" si="1914"/>
        <v>41.118000000000002</v>
      </c>
      <c r="AP266" s="434">
        <f t="shared" si="1888"/>
        <v>1</v>
      </c>
      <c r="AQ266" s="418" t="str">
        <f t="shared" si="1915"/>
        <v>YES</v>
      </c>
      <c r="AR266" s="437">
        <f t="shared" si="1916"/>
        <v>1.8047019954026575</v>
      </c>
      <c r="AS266" s="401" t="str">
        <f t="shared" si="1917"/>
        <v>YES</v>
      </c>
      <c r="AT266" s="437" t="str">
        <f t="shared" si="1918"/>
        <v>NA</v>
      </c>
      <c r="AU266" s="401" t="str">
        <f t="shared" si="1919"/>
        <v>NA</v>
      </c>
      <c r="AV266" s="503" t="str">
        <f t="shared" si="1920"/>
        <v>1R x 0.6/1kV x 3C x 16 Sqmm</v>
      </c>
      <c r="AW266" s="503" t="str">
        <f t="shared" si="1921"/>
        <v>1R x 0.6/1kV x 3C x 16 Sqmm</v>
      </c>
      <c r="AX266" s="401">
        <f t="shared" si="1977"/>
        <v>145</v>
      </c>
      <c r="AY266" s="504"/>
      <c r="AZ266" s="504">
        <f t="shared" si="1978"/>
        <v>2</v>
      </c>
      <c r="BA266" s="438" t="str">
        <f t="shared" si="1971"/>
        <v>AB</v>
      </c>
      <c r="BB266" s="505">
        <f>VLOOKUP(W266,'Catalogue Aluminium'!$B$9:$H$93,7,FALSE)</f>
        <v>19</v>
      </c>
      <c r="BC266" s="439">
        <f t="shared" si="1979"/>
        <v>19</v>
      </c>
      <c r="BE266" s="336"/>
      <c r="BF266" s="336">
        <v>1</v>
      </c>
      <c r="BG266" s="336">
        <v>1</v>
      </c>
      <c r="BH266" s="336"/>
      <c r="BI266" s="336"/>
      <c r="BJ266" s="336"/>
      <c r="BK266" s="336"/>
      <c r="BL266" s="336"/>
      <c r="BM266" s="336"/>
      <c r="BN266" s="336"/>
      <c r="BO266" s="336"/>
      <c r="BP266" s="336"/>
      <c r="BQ266" s="336"/>
      <c r="BR266" s="336"/>
      <c r="BS266" s="336"/>
      <c r="BT266" s="336"/>
      <c r="BU266" s="336"/>
      <c r="BV266" s="336"/>
      <c r="BW266" s="336"/>
      <c r="BX266" s="336"/>
      <c r="BY266" s="336"/>
      <c r="BZ266" s="336"/>
      <c r="CA266" s="336"/>
      <c r="CB266" s="336"/>
      <c r="CC266" s="336"/>
      <c r="CD266" s="336"/>
      <c r="CE266" s="336"/>
      <c r="CF266" s="336"/>
      <c r="CG266" s="336"/>
      <c r="CH266" s="336"/>
      <c r="CI266" s="336"/>
      <c r="CJ266" s="336"/>
      <c r="CK266" s="336"/>
      <c r="CL266" s="336"/>
      <c r="CM266" s="336"/>
      <c r="CN266" s="336"/>
      <c r="CO266" s="336"/>
      <c r="CP266" s="336"/>
      <c r="CQ266" s="336"/>
      <c r="CR266" s="336"/>
      <c r="CS266" s="336"/>
      <c r="CT266" s="336"/>
      <c r="CU266" s="336"/>
      <c r="CV266" s="336"/>
      <c r="CW266" s="336"/>
      <c r="CX266" s="336"/>
      <c r="CY266" s="336"/>
      <c r="CZ266" s="336"/>
      <c r="DA266" s="336"/>
      <c r="DB266" s="336"/>
      <c r="DC266" s="336"/>
      <c r="DD266" s="336"/>
      <c r="DE266" s="336"/>
      <c r="DF266" s="336"/>
      <c r="DG266" s="336"/>
      <c r="DH266" s="336"/>
      <c r="DI266" s="336"/>
      <c r="DJ266" s="336"/>
      <c r="DK266" s="336"/>
      <c r="DL266" s="336"/>
      <c r="DM266" s="336"/>
      <c r="DN266" s="336"/>
      <c r="DO266" s="336"/>
      <c r="DP266" s="336"/>
      <c r="DQ266" s="336"/>
      <c r="DR266" s="336"/>
      <c r="DS266" s="336"/>
      <c r="DT266" s="336"/>
      <c r="DU266" s="336"/>
      <c r="DW266" s="336">
        <f t="shared" si="1872"/>
        <v>0</v>
      </c>
      <c r="DX266" s="336">
        <f t="shared" si="1862"/>
        <v>19</v>
      </c>
      <c r="DY266" s="336">
        <f t="shared" si="1863"/>
        <v>19</v>
      </c>
      <c r="DZ266" s="336">
        <f t="shared" si="1864"/>
        <v>0</v>
      </c>
      <c r="EA266" s="336">
        <f t="shared" si="1865"/>
        <v>0</v>
      </c>
      <c r="EB266" s="336">
        <f t="shared" si="1866"/>
        <v>0</v>
      </c>
      <c r="EC266" s="336">
        <f t="shared" si="1867"/>
        <v>0</v>
      </c>
      <c r="ED266" s="336">
        <f t="shared" si="1774"/>
        <v>0</v>
      </c>
      <c r="EE266" s="336">
        <f t="shared" si="1775"/>
        <v>0</v>
      </c>
      <c r="EF266" s="336">
        <f t="shared" si="1776"/>
        <v>0</v>
      </c>
      <c r="EG266" s="336">
        <f t="shared" si="1777"/>
        <v>0</v>
      </c>
      <c r="EH266" s="336">
        <f t="shared" si="1778"/>
        <v>0</v>
      </c>
      <c r="EI266" s="336">
        <f t="shared" si="1779"/>
        <v>0</v>
      </c>
      <c r="EJ266" s="336">
        <f t="shared" si="1780"/>
        <v>0</v>
      </c>
      <c r="EK266" s="336">
        <f t="shared" si="1781"/>
        <v>0</v>
      </c>
      <c r="EL266" s="336">
        <f t="shared" si="1782"/>
        <v>0</v>
      </c>
      <c r="EM266" s="336">
        <f t="shared" si="1783"/>
        <v>0</v>
      </c>
      <c r="EN266" s="336">
        <f t="shared" si="1784"/>
        <v>0</v>
      </c>
      <c r="EO266" s="336">
        <f t="shared" si="1785"/>
        <v>0</v>
      </c>
      <c r="EP266" s="336">
        <f t="shared" si="1786"/>
        <v>0</v>
      </c>
      <c r="EQ266" s="336">
        <f t="shared" si="1787"/>
        <v>0</v>
      </c>
      <c r="ER266" s="336">
        <f t="shared" si="1788"/>
        <v>0</v>
      </c>
      <c r="ES266" s="336">
        <f t="shared" si="1789"/>
        <v>0</v>
      </c>
      <c r="ET266" s="336">
        <f t="shared" si="1789"/>
        <v>0</v>
      </c>
      <c r="EU266" s="336">
        <f t="shared" si="1790"/>
        <v>0</v>
      </c>
      <c r="EV266" s="336">
        <f t="shared" si="1791"/>
        <v>0</v>
      </c>
      <c r="EW266" s="336">
        <f t="shared" si="1792"/>
        <v>0</v>
      </c>
      <c r="EX266" s="336">
        <f t="shared" si="1793"/>
        <v>0</v>
      </c>
      <c r="EY266" s="336">
        <f t="shared" si="1794"/>
        <v>0</v>
      </c>
      <c r="EZ266" s="336">
        <f t="shared" si="1795"/>
        <v>0</v>
      </c>
      <c r="FA266" s="336">
        <f t="shared" si="1796"/>
        <v>0</v>
      </c>
      <c r="FB266" s="336">
        <f t="shared" si="1797"/>
        <v>0</v>
      </c>
      <c r="FC266" s="336">
        <f t="shared" si="1798"/>
        <v>0</v>
      </c>
      <c r="FD266" s="336">
        <f t="shared" si="1799"/>
        <v>0</v>
      </c>
      <c r="FE266" s="336">
        <f t="shared" si="1800"/>
        <v>0</v>
      </c>
      <c r="FF266" s="336">
        <f t="shared" si="1801"/>
        <v>0</v>
      </c>
      <c r="FG266" s="336">
        <f t="shared" si="1802"/>
        <v>0</v>
      </c>
      <c r="FH266" s="336">
        <f t="shared" si="1803"/>
        <v>0</v>
      </c>
      <c r="FI266" s="336">
        <f t="shared" si="1804"/>
        <v>0</v>
      </c>
      <c r="FJ266" s="336">
        <f t="shared" si="1805"/>
        <v>0</v>
      </c>
      <c r="FK266" s="336">
        <f t="shared" si="1806"/>
        <v>0</v>
      </c>
      <c r="FL266" s="336">
        <f t="shared" si="1807"/>
        <v>0</v>
      </c>
      <c r="FM266" s="336">
        <f t="shared" si="1808"/>
        <v>0</v>
      </c>
      <c r="FN266" s="336">
        <f t="shared" si="1809"/>
        <v>0</v>
      </c>
      <c r="FO266" s="336">
        <f t="shared" si="1810"/>
        <v>0</v>
      </c>
      <c r="FP266" s="336">
        <f t="shared" si="1811"/>
        <v>0</v>
      </c>
      <c r="FQ266" s="336">
        <f t="shared" si="1812"/>
        <v>0</v>
      </c>
      <c r="FR266" s="336">
        <f t="shared" si="1813"/>
        <v>0</v>
      </c>
      <c r="FS266" s="336">
        <f t="shared" si="1814"/>
        <v>0</v>
      </c>
      <c r="FT266" s="336">
        <f t="shared" si="1815"/>
        <v>0</v>
      </c>
      <c r="FU266" s="336">
        <f t="shared" si="1980"/>
        <v>0</v>
      </c>
      <c r="FV266" s="336">
        <f t="shared" si="1981"/>
        <v>0</v>
      </c>
      <c r="FW266" s="336">
        <f t="shared" si="1982"/>
        <v>0</v>
      </c>
      <c r="FX266" s="336">
        <f t="shared" si="1983"/>
        <v>0</v>
      </c>
      <c r="FY266" s="336">
        <f t="shared" si="1820"/>
        <v>0</v>
      </c>
      <c r="FZ266" s="336">
        <f t="shared" si="1821"/>
        <v>0</v>
      </c>
      <c r="GA266" s="336">
        <f t="shared" si="1822"/>
        <v>0</v>
      </c>
      <c r="GB266" s="336">
        <f t="shared" si="1823"/>
        <v>0</v>
      </c>
      <c r="GC266" s="336">
        <f t="shared" si="1824"/>
        <v>0</v>
      </c>
      <c r="GD266" s="336">
        <f t="shared" si="1825"/>
        <v>0</v>
      </c>
      <c r="GE266" s="336">
        <f t="shared" si="1826"/>
        <v>0</v>
      </c>
      <c r="GF266" s="336">
        <f t="shared" si="1827"/>
        <v>0</v>
      </c>
      <c r="GG266" s="336">
        <f t="shared" si="1828"/>
        <v>0</v>
      </c>
      <c r="GH266" s="336">
        <f t="shared" si="1829"/>
        <v>0</v>
      </c>
      <c r="GI266" s="336">
        <f t="shared" si="1830"/>
        <v>0</v>
      </c>
      <c r="GJ266" s="336">
        <f t="shared" si="1831"/>
        <v>0</v>
      </c>
      <c r="GK266" s="336">
        <f t="shared" si="1750"/>
        <v>0</v>
      </c>
      <c r="GL266" s="336">
        <f t="shared" si="1984"/>
        <v>0</v>
      </c>
      <c r="GM266" s="336">
        <f t="shared" si="1832"/>
        <v>0</v>
      </c>
    </row>
    <row r="267" spans="1:195" ht="25.5" customHeight="1">
      <c r="A267" s="388">
        <f t="shared" si="1985"/>
        <v>170</v>
      </c>
      <c r="B267" s="506" t="s">
        <v>527</v>
      </c>
      <c r="C267" s="388" t="s">
        <v>636</v>
      </c>
      <c r="D267" s="787" t="s">
        <v>1701</v>
      </c>
      <c r="E267" s="502" t="s">
        <v>555</v>
      </c>
      <c r="F267" s="522" t="s">
        <v>28</v>
      </c>
      <c r="G267" s="388" t="s">
        <v>329</v>
      </c>
      <c r="H267" s="583">
        <v>1.8</v>
      </c>
      <c r="I267" s="388" t="s">
        <v>330</v>
      </c>
      <c r="J267" s="388" t="s">
        <v>357</v>
      </c>
      <c r="K267" s="434">
        <v>230</v>
      </c>
      <c r="L267" s="401">
        <v>0.85</v>
      </c>
      <c r="M267" s="418">
        <v>0.95</v>
      </c>
      <c r="N267" s="392">
        <f t="shared" si="1904"/>
        <v>9.6917485529680985</v>
      </c>
      <c r="O267" s="392">
        <f t="shared" si="1899"/>
        <v>0</v>
      </c>
      <c r="P267" s="401" t="str">
        <f t="shared" si="1905"/>
        <v>0.00</v>
      </c>
      <c r="Q267" s="418">
        <v>65</v>
      </c>
      <c r="R267" s="418">
        <v>0</v>
      </c>
      <c r="S267" s="418">
        <f t="shared" si="1906"/>
        <v>0</v>
      </c>
      <c r="T267" s="401" t="s">
        <v>131</v>
      </c>
      <c r="U267" s="418" t="s">
        <v>333</v>
      </c>
      <c r="V267" s="401">
        <v>16</v>
      </c>
      <c r="W267" s="401" t="str">
        <f t="shared" si="1907"/>
        <v>3C X 16</v>
      </c>
      <c r="X267" s="401" t="str">
        <f t="shared" si="1908"/>
        <v>3C X 16</v>
      </c>
      <c r="Y267" s="401" t="s">
        <v>358</v>
      </c>
      <c r="Z267" s="393">
        <f>IF(T267="AIR",VLOOKUP(W267,'Catalogue Aluminium'!$B$9:$G$93,2,FALSE),IF(T267="GROUND",VLOOKUP(W267,'Catalogue Aluminium'!$B$9:$G$93,3,FALSE),IF(T267="DUCT",VLOOKUP(W267,'Catalogue Aluminium'!$B$9:$G$93,4,FALSE),IF(T267="TRENCH",VLOOKUP(W267,'Catalogue Aluminium'!$B$9:$G$93,2,FALSE)))))</f>
        <v>70</v>
      </c>
      <c r="AA267" s="402">
        <f>VLOOKUP(W267,'Catalogue Aluminium'!$B$9:$G$93,5,FALSE)</f>
        <v>2.44</v>
      </c>
      <c r="AB267" s="402">
        <f>VLOOKUP(W267,'Catalogue Aluminium'!$B$9:$G$93,6,FALSE)</f>
        <v>8.1500000000000003E-2</v>
      </c>
      <c r="AC267" s="457">
        <f t="shared" si="1976"/>
        <v>38</v>
      </c>
      <c r="AD267" s="401">
        <v>80</v>
      </c>
      <c r="AE267" s="401">
        <v>5</v>
      </c>
      <c r="AF267" s="401">
        <v>8</v>
      </c>
      <c r="AG267" s="401">
        <f t="shared" si="1911"/>
        <v>14</v>
      </c>
      <c r="AH267" s="436">
        <f t="shared" si="1912"/>
        <v>145</v>
      </c>
      <c r="AI267" s="393">
        <f>IF(T267="AIR",'Catalogue Aluminium'!$K$9,IF(T267="TRENCH",'Catalogue Aluminium'!$K$12,"NA"))</f>
        <v>0.89</v>
      </c>
      <c r="AJ267" s="392">
        <f>IF(T267="Air",(IF(U267="1C",'Catalogue Aluminium'!$L$9,'Catalogue Aluminium'!$M$9)),IF(T267="DUCT",(IF($U267="1C",'Catalogue Aluminium'!$L$10,'Catalogue Aluminium'!$M$10)),IF(T267="GROUND",(IF($U267="1C",'Catalogue Aluminium'!$L$11,'Catalogue Aluminium'!$M$11)),IF(T267="TRENCH",(IF($U267="1C",'Catalogue Aluminium'!$L$12,'Catalogue Aluminium'!$M$12))))))</f>
        <v>0.66</v>
      </c>
      <c r="AK267" s="393" t="str">
        <f>IF(T267="Air",'Catalogue Aluminium'!$N$9,IF(T267="GROUND",'Catalogue Aluminium'!$N$10,IF(T267="DUCT",'Catalogue Aluminium'!$N$11,IF(T267="TRENCH",'Catalogue Aluminium'!$N$12,"NA"))))</f>
        <v>NA</v>
      </c>
      <c r="AL267" s="393" t="str">
        <f>IF(T267="Air",(IF(U267="1C",'Catalogue Aluminium'!$O$9,'Catalogue Aluminium'!$P$9)),IF(T267="DUCT",(IF($U267="1C",'Catalogue Aluminium'!$O$10,'Catalogue Aluminium'!$P$10)),IF(T267="GROUND",(IF($U267="1C",'Catalogue Aluminium'!$O$11,'Catalogue Aluminium'!$P$11)),IF(T267="TRENCH",(IF($U267="1C",'Catalogue Aluminium'!$O$12,'Catalogue Aluminium'!$P$12))))))</f>
        <v>NA</v>
      </c>
      <c r="AM267" s="393" t="str">
        <f>IF(T267="AIR","NA",IF(T267="TRENCH","NA",IF(T267="DUCT",IF(U267="1C",VLOOKUP(V267,'Catalogue Aluminium'!$Q$9:$S$28,2,FALSE),VLOOKUP(V267,'Catalogue Aluminium'!$Q$9:$S$28,3)),IF(T267="GROUND",IF(U267="1C",VLOOKUP(V267,'Catalogue Aluminium'!$Q$9:$S$28,2,FALSE),VLOOKUP(V267,'Catalogue Aluminium'!$Q$9:$S$28,3))))))</f>
        <v>NA</v>
      </c>
      <c r="AN267" s="437">
        <f t="shared" si="1913"/>
        <v>0.58740000000000003</v>
      </c>
      <c r="AO267" s="418">
        <f t="shared" si="1914"/>
        <v>41.118000000000002</v>
      </c>
      <c r="AP267" s="434">
        <f t="shared" si="1888"/>
        <v>1</v>
      </c>
      <c r="AQ267" s="418" t="str">
        <f t="shared" si="1915"/>
        <v>YES</v>
      </c>
      <c r="AR267" s="437">
        <f t="shared" si="1916"/>
        <v>2.2403197184308845</v>
      </c>
      <c r="AS267" s="401" t="str">
        <f t="shared" si="1917"/>
        <v>YES</v>
      </c>
      <c r="AT267" s="437" t="str">
        <f t="shared" si="1918"/>
        <v>NA</v>
      </c>
      <c r="AU267" s="401" t="str">
        <f t="shared" si="1919"/>
        <v>NA</v>
      </c>
      <c r="AV267" s="503" t="str">
        <f t="shared" si="1920"/>
        <v>1R x 0.6/1kV x 3C x 16 Sqmm</v>
      </c>
      <c r="AW267" s="503" t="str">
        <f t="shared" si="1921"/>
        <v>1R x 0.6/1kV x 3C x 16 Sqmm</v>
      </c>
      <c r="AX267" s="401">
        <f t="shared" si="1977"/>
        <v>145</v>
      </c>
      <c r="AY267" s="504"/>
      <c r="AZ267" s="504">
        <f t="shared" si="1978"/>
        <v>2</v>
      </c>
      <c r="BA267" s="438" t="str">
        <f t="shared" si="1971"/>
        <v>AB</v>
      </c>
      <c r="BB267" s="505">
        <f>VLOOKUP(W267,'Catalogue Aluminium'!$B$9:$H$93,7,FALSE)</f>
        <v>19</v>
      </c>
      <c r="BC267" s="439">
        <f t="shared" si="1979"/>
        <v>19</v>
      </c>
      <c r="BE267" s="336"/>
      <c r="BF267" s="336">
        <v>1</v>
      </c>
      <c r="BG267" s="336">
        <v>1</v>
      </c>
      <c r="BH267" s="336"/>
      <c r="BI267" s="336"/>
      <c r="BJ267" s="336"/>
      <c r="BK267" s="336"/>
      <c r="BL267" s="336"/>
      <c r="BM267" s="336"/>
      <c r="BN267" s="336"/>
      <c r="BO267" s="336"/>
      <c r="BP267" s="336"/>
      <c r="BQ267" s="336"/>
      <c r="BR267" s="336"/>
      <c r="BS267" s="336"/>
      <c r="BT267" s="336"/>
      <c r="BU267" s="336"/>
      <c r="BV267" s="336"/>
      <c r="BW267" s="336"/>
      <c r="BX267" s="336"/>
      <c r="BY267" s="336"/>
      <c r="BZ267" s="336"/>
      <c r="CA267" s="336"/>
      <c r="CB267" s="336"/>
      <c r="CC267" s="336"/>
      <c r="CD267" s="336"/>
      <c r="CE267" s="336"/>
      <c r="CF267" s="336"/>
      <c r="CG267" s="336"/>
      <c r="CH267" s="336"/>
      <c r="CI267" s="336"/>
      <c r="CJ267" s="336"/>
      <c r="CK267" s="336"/>
      <c r="CL267" s="336"/>
      <c r="CM267" s="336"/>
      <c r="CN267" s="336"/>
      <c r="CO267" s="336"/>
      <c r="CP267" s="336"/>
      <c r="CQ267" s="336"/>
      <c r="CR267" s="336"/>
      <c r="CS267" s="336"/>
      <c r="CT267" s="336"/>
      <c r="CU267" s="336"/>
      <c r="CV267" s="336"/>
      <c r="CW267" s="336"/>
      <c r="CX267" s="336"/>
      <c r="CY267" s="336"/>
      <c r="CZ267" s="336"/>
      <c r="DA267" s="336"/>
      <c r="DB267" s="336"/>
      <c r="DC267" s="336"/>
      <c r="DD267" s="336"/>
      <c r="DE267" s="336"/>
      <c r="DF267" s="336"/>
      <c r="DG267" s="336"/>
      <c r="DH267" s="336"/>
      <c r="DI267" s="336"/>
      <c r="DJ267" s="336"/>
      <c r="DK267" s="336"/>
      <c r="DL267" s="336"/>
      <c r="DM267" s="336"/>
      <c r="DN267" s="336"/>
      <c r="DO267" s="336"/>
      <c r="DP267" s="336"/>
      <c r="DQ267" s="336"/>
      <c r="DR267" s="336"/>
      <c r="DS267" s="336"/>
      <c r="DT267" s="336"/>
      <c r="DU267" s="336"/>
      <c r="DW267" s="336">
        <f t="shared" si="1872"/>
        <v>0</v>
      </c>
      <c r="DX267" s="336">
        <f t="shared" si="1862"/>
        <v>19</v>
      </c>
      <c r="DY267" s="336">
        <f t="shared" si="1863"/>
        <v>19</v>
      </c>
      <c r="DZ267" s="336">
        <f t="shared" si="1864"/>
        <v>0</v>
      </c>
      <c r="EA267" s="336">
        <f t="shared" si="1865"/>
        <v>0</v>
      </c>
      <c r="EB267" s="336">
        <f t="shared" si="1866"/>
        <v>0</v>
      </c>
      <c r="EC267" s="336">
        <f t="shared" si="1867"/>
        <v>0</v>
      </c>
      <c r="ED267" s="336">
        <f t="shared" si="1774"/>
        <v>0</v>
      </c>
      <c r="EE267" s="336">
        <f t="shared" si="1775"/>
        <v>0</v>
      </c>
      <c r="EF267" s="336">
        <f t="shared" si="1776"/>
        <v>0</v>
      </c>
      <c r="EG267" s="336">
        <f t="shared" si="1777"/>
        <v>0</v>
      </c>
      <c r="EH267" s="336">
        <f t="shared" si="1778"/>
        <v>0</v>
      </c>
      <c r="EI267" s="336">
        <f t="shared" si="1779"/>
        <v>0</v>
      </c>
      <c r="EJ267" s="336">
        <f t="shared" si="1780"/>
        <v>0</v>
      </c>
      <c r="EK267" s="336">
        <f t="shared" si="1781"/>
        <v>0</v>
      </c>
      <c r="EL267" s="336">
        <f t="shared" si="1782"/>
        <v>0</v>
      </c>
      <c r="EM267" s="336">
        <f t="shared" si="1783"/>
        <v>0</v>
      </c>
      <c r="EN267" s="336">
        <f t="shared" si="1784"/>
        <v>0</v>
      </c>
      <c r="EO267" s="336">
        <f t="shared" si="1785"/>
        <v>0</v>
      </c>
      <c r="EP267" s="336">
        <f t="shared" si="1786"/>
        <v>0</v>
      </c>
      <c r="EQ267" s="336">
        <f t="shared" si="1787"/>
        <v>0</v>
      </c>
      <c r="ER267" s="336">
        <f t="shared" si="1788"/>
        <v>0</v>
      </c>
      <c r="ES267" s="336">
        <f t="shared" si="1789"/>
        <v>0</v>
      </c>
      <c r="ET267" s="336">
        <f t="shared" si="1789"/>
        <v>0</v>
      </c>
      <c r="EU267" s="336">
        <f t="shared" si="1790"/>
        <v>0</v>
      </c>
      <c r="EV267" s="336">
        <f t="shared" si="1791"/>
        <v>0</v>
      </c>
      <c r="EW267" s="336">
        <f t="shared" si="1792"/>
        <v>0</v>
      </c>
      <c r="EX267" s="336">
        <f t="shared" si="1793"/>
        <v>0</v>
      </c>
      <c r="EY267" s="336">
        <f t="shared" si="1794"/>
        <v>0</v>
      </c>
      <c r="EZ267" s="336">
        <f t="shared" si="1795"/>
        <v>0</v>
      </c>
      <c r="FA267" s="336">
        <f t="shared" si="1796"/>
        <v>0</v>
      </c>
      <c r="FB267" s="336">
        <f t="shared" si="1797"/>
        <v>0</v>
      </c>
      <c r="FC267" s="336">
        <f t="shared" si="1798"/>
        <v>0</v>
      </c>
      <c r="FD267" s="336">
        <f t="shared" si="1799"/>
        <v>0</v>
      </c>
      <c r="FE267" s="336">
        <f t="shared" si="1800"/>
        <v>0</v>
      </c>
      <c r="FF267" s="336">
        <f t="shared" si="1801"/>
        <v>0</v>
      </c>
      <c r="FG267" s="336">
        <f t="shared" si="1802"/>
        <v>0</v>
      </c>
      <c r="FH267" s="336">
        <f t="shared" si="1803"/>
        <v>0</v>
      </c>
      <c r="FI267" s="336">
        <f t="shared" si="1804"/>
        <v>0</v>
      </c>
      <c r="FJ267" s="336">
        <f t="shared" si="1805"/>
        <v>0</v>
      </c>
      <c r="FK267" s="336">
        <f t="shared" si="1806"/>
        <v>0</v>
      </c>
      <c r="FL267" s="336">
        <f t="shared" si="1807"/>
        <v>0</v>
      </c>
      <c r="FM267" s="336">
        <f t="shared" si="1808"/>
        <v>0</v>
      </c>
      <c r="FN267" s="336">
        <f t="shared" si="1809"/>
        <v>0</v>
      </c>
      <c r="FO267" s="336">
        <f t="shared" si="1810"/>
        <v>0</v>
      </c>
      <c r="FP267" s="336">
        <f t="shared" si="1811"/>
        <v>0</v>
      </c>
      <c r="FQ267" s="336">
        <f t="shared" si="1812"/>
        <v>0</v>
      </c>
      <c r="FR267" s="336">
        <f t="shared" si="1813"/>
        <v>0</v>
      </c>
      <c r="FS267" s="336">
        <f t="shared" si="1814"/>
        <v>0</v>
      </c>
      <c r="FT267" s="336">
        <f t="shared" si="1815"/>
        <v>0</v>
      </c>
      <c r="FU267" s="336">
        <f t="shared" si="1980"/>
        <v>0</v>
      </c>
      <c r="FV267" s="336">
        <f t="shared" si="1981"/>
        <v>0</v>
      </c>
      <c r="FW267" s="336">
        <f t="shared" si="1982"/>
        <v>0</v>
      </c>
      <c r="FX267" s="336">
        <f t="shared" si="1983"/>
        <v>0</v>
      </c>
      <c r="FY267" s="336">
        <f t="shared" si="1820"/>
        <v>0</v>
      </c>
      <c r="FZ267" s="336">
        <f t="shared" si="1821"/>
        <v>0</v>
      </c>
      <c r="GA267" s="336">
        <f t="shared" si="1822"/>
        <v>0</v>
      </c>
      <c r="GB267" s="336">
        <f t="shared" si="1823"/>
        <v>0</v>
      </c>
      <c r="GC267" s="336">
        <f t="shared" si="1824"/>
        <v>0</v>
      </c>
      <c r="GD267" s="336">
        <f t="shared" si="1825"/>
        <v>0</v>
      </c>
      <c r="GE267" s="336">
        <f t="shared" si="1826"/>
        <v>0</v>
      </c>
      <c r="GF267" s="336">
        <f t="shared" si="1827"/>
        <v>0</v>
      </c>
      <c r="GG267" s="336">
        <f t="shared" si="1828"/>
        <v>0</v>
      </c>
      <c r="GH267" s="336">
        <f t="shared" si="1829"/>
        <v>0</v>
      </c>
      <c r="GI267" s="336">
        <f t="shared" si="1830"/>
        <v>0</v>
      </c>
      <c r="GJ267" s="336">
        <f t="shared" si="1831"/>
        <v>0</v>
      </c>
      <c r="GK267" s="336">
        <f t="shared" si="1750"/>
        <v>0</v>
      </c>
      <c r="GL267" s="336">
        <f t="shared" si="1984"/>
        <v>0</v>
      </c>
      <c r="GM267" s="336">
        <f t="shared" si="1832"/>
        <v>0</v>
      </c>
    </row>
    <row r="268" spans="1:195" ht="20.100000000000001" customHeight="1">
      <c r="A268" s="388">
        <f t="shared" si="1985"/>
        <v>171</v>
      </c>
      <c r="B268" s="506" t="s">
        <v>527</v>
      </c>
      <c r="C268" s="388" t="s">
        <v>636</v>
      </c>
      <c r="D268" s="338" t="s">
        <v>694</v>
      </c>
      <c r="E268" s="502" t="s">
        <v>555</v>
      </c>
      <c r="F268" s="522" t="s">
        <v>28</v>
      </c>
      <c r="G268" s="388" t="s">
        <v>329</v>
      </c>
      <c r="H268" s="583">
        <v>0.18</v>
      </c>
      <c r="I268" s="388" t="s">
        <v>330</v>
      </c>
      <c r="J268" s="388" t="s">
        <v>357</v>
      </c>
      <c r="K268" s="434">
        <v>230</v>
      </c>
      <c r="L268" s="401">
        <v>0.85</v>
      </c>
      <c r="M268" s="418">
        <v>0.95</v>
      </c>
      <c r="N268" s="392">
        <f t="shared" si="1904"/>
        <v>0.9691748552968098</v>
      </c>
      <c r="O268" s="392">
        <f t="shared" si="1899"/>
        <v>0</v>
      </c>
      <c r="P268" s="401" t="str">
        <f t="shared" si="1905"/>
        <v>0.00</v>
      </c>
      <c r="Q268" s="418">
        <v>65</v>
      </c>
      <c r="R268" s="418">
        <v>0</v>
      </c>
      <c r="S268" s="418">
        <f t="shared" si="1906"/>
        <v>0</v>
      </c>
      <c r="T268" s="401" t="s">
        <v>131</v>
      </c>
      <c r="U268" s="418" t="s">
        <v>333</v>
      </c>
      <c r="V268" s="401">
        <v>4</v>
      </c>
      <c r="W268" s="401" t="str">
        <f t="shared" si="1907"/>
        <v>3C X 4</v>
      </c>
      <c r="X268" s="401" t="str">
        <f t="shared" si="1908"/>
        <v>3C X 4</v>
      </c>
      <c r="Y268" s="401" t="s">
        <v>358</v>
      </c>
      <c r="Z268" s="393">
        <f>IF(T268="AIR",VLOOKUP(W268,'Catalogue Aluminium'!$B$9:$G$93,2,FALSE),IF(T268="GROUND",VLOOKUP(W268,'Catalogue Aluminium'!$B$9:$G$93,3,FALSE),IF(T268="DUCT",VLOOKUP(W268,'Catalogue Aluminium'!$B$9:$G$93,4,FALSE),IF(T268="TRENCH",VLOOKUP(W268,'Catalogue Aluminium'!$B$9:$G$93,2,FALSE)))))</f>
        <v>38</v>
      </c>
      <c r="AA268" s="402">
        <f>VLOOKUP(W268,'Catalogue Aluminium'!$B$9:$G$93,5,FALSE)</f>
        <v>5.9</v>
      </c>
      <c r="AB268" s="402">
        <f>VLOOKUP(W268,'Catalogue Aluminium'!$B$9:$G$93,6,FALSE)</f>
        <v>9.4700000000000006E-2</v>
      </c>
      <c r="AC268" s="457">
        <f t="shared" si="1976"/>
        <v>38</v>
      </c>
      <c r="AD268" s="401">
        <v>80</v>
      </c>
      <c r="AE268" s="401">
        <v>5</v>
      </c>
      <c r="AF268" s="401">
        <v>8</v>
      </c>
      <c r="AG268" s="401">
        <f t="shared" si="1911"/>
        <v>14</v>
      </c>
      <c r="AH268" s="436">
        <f t="shared" si="1912"/>
        <v>145</v>
      </c>
      <c r="AI268" s="393">
        <f>IF(T268="AIR",'Catalogue Aluminium'!$K$9,IF(T268="TRENCH",'Catalogue Aluminium'!$K$12,"NA"))</f>
        <v>0.89</v>
      </c>
      <c r="AJ268" s="392">
        <f>IF(T268="Air",(IF(U268="1C",'Catalogue Aluminium'!$L$9,'Catalogue Aluminium'!$M$9)),IF(T268="DUCT",(IF($U268="1C",'Catalogue Aluminium'!$L$10,'Catalogue Aluminium'!$M$10)),IF(T268="GROUND",(IF($U268="1C",'Catalogue Aluminium'!$L$11,'Catalogue Aluminium'!$M$11)),IF(T268="TRENCH",(IF($U268="1C",'Catalogue Aluminium'!$L$12,'Catalogue Aluminium'!$M$12))))))</f>
        <v>0.66</v>
      </c>
      <c r="AK268" s="393" t="str">
        <f>IF(T268="Air",'Catalogue Aluminium'!$N$9,IF(T268="GROUND",'Catalogue Aluminium'!$N$10,IF(T268="DUCT",'Catalogue Aluminium'!$N$11,IF(T268="TRENCH",'Catalogue Aluminium'!$N$12,"NA"))))</f>
        <v>NA</v>
      </c>
      <c r="AL268" s="393" t="str">
        <f>IF(T268="Air",(IF(U268="1C",'Catalogue Aluminium'!$O$9,'Catalogue Aluminium'!$P$9)),IF(T268="DUCT",(IF($U268="1C",'Catalogue Aluminium'!$O$10,'Catalogue Aluminium'!$P$10)),IF(T268="GROUND",(IF($U268="1C",'Catalogue Aluminium'!$O$11,'Catalogue Aluminium'!$P$11)),IF(T268="TRENCH",(IF($U268="1C",'Catalogue Aluminium'!$O$12,'Catalogue Aluminium'!$P$12))))))</f>
        <v>NA</v>
      </c>
      <c r="AM268" s="393" t="str">
        <f>IF(T268="AIR","NA",IF(T268="TRENCH","NA",IF(T268="DUCT",IF(U268="1C",VLOOKUP(V268,'Catalogue Aluminium'!$Q$9:$S$28,2,FALSE),VLOOKUP(V268,'Catalogue Aluminium'!$Q$9:$S$28,3)),IF(T268="GROUND",IF(U268="1C",VLOOKUP(V268,'Catalogue Aluminium'!$Q$9:$S$28,2,FALSE),VLOOKUP(V268,'Catalogue Aluminium'!$Q$9:$S$28,3))))))</f>
        <v>NA</v>
      </c>
      <c r="AN268" s="437">
        <f t="shared" si="1913"/>
        <v>0.58740000000000003</v>
      </c>
      <c r="AO268" s="418">
        <f t="shared" si="1914"/>
        <v>22.321200000000001</v>
      </c>
      <c r="AP268" s="434">
        <f t="shared" si="1888"/>
        <v>1</v>
      </c>
      <c r="AQ268" s="418" t="str">
        <f t="shared" si="1915"/>
        <v>YES</v>
      </c>
      <c r="AR268" s="437">
        <f t="shared" si="1916"/>
        <v>0.53600968128050719</v>
      </c>
      <c r="AS268" s="401" t="str">
        <f t="shared" si="1917"/>
        <v>YES</v>
      </c>
      <c r="AT268" s="437" t="str">
        <f t="shared" si="1918"/>
        <v>NA</v>
      </c>
      <c r="AU268" s="401" t="str">
        <f t="shared" si="1919"/>
        <v>NA</v>
      </c>
      <c r="AV268" s="503" t="str">
        <f t="shared" si="1920"/>
        <v>1R x 0.6/1kV x 3C x 4 Sqmm</v>
      </c>
      <c r="AW268" s="503" t="str">
        <f t="shared" si="1921"/>
        <v>1R x 0.6/1kV x 3C x 4 Sqmm</v>
      </c>
      <c r="AX268" s="401">
        <f t="shared" si="1977"/>
        <v>145</v>
      </c>
      <c r="AY268" s="504"/>
      <c r="AZ268" s="504">
        <f t="shared" si="1978"/>
        <v>2</v>
      </c>
      <c r="BA268" s="438" t="str">
        <f t="shared" si="1971"/>
        <v>AB</v>
      </c>
      <c r="BB268" s="505">
        <f>VLOOKUP(W268,'Catalogue Aluminium'!$B$9:$H$93,7,FALSE)</f>
        <v>15</v>
      </c>
      <c r="BC268" s="439">
        <f t="shared" si="1979"/>
        <v>15</v>
      </c>
      <c r="BE268" s="336"/>
      <c r="BF268" s="336">
        <v>1</v>
      </c>
      <c r="BG268" s="336">
        <v>1</v>
      </c>
      <c r="BH268" s="336"/>
      <c r="BI268" s="336"/>
      <c r="BJ268" s="336"/>
      <c r="BK268" s="336"/>
      <c r="BL268" s="336"/>
      <c r="BM268" s="336"/>
      <c r="BN268" s="336"/>
      <c r="BO268" s="336"/>
      <c r="BP268" s="336"/>
      <c r="BQ268" s="336"/>
      <c r="BR268" s="336"/>
      <c r="BS268" s="336"/>
      <c r="BT268" s="336"/>
      <c r="BU268" s="336"/>
      <c r="BV268" s="336"/>
      <c r="BW268" s="336"/>
      <c r="BX268" s="336"/>
      <c r="BY268" s="336"/>
      <c r="BZ268" s="336"/>
      <c r="CA268" s="336"/>
      <c r="CB268" s="336"/>
      <c r="CC268" s="336"/>
      <c r="CD268" s="336"/>
      <c r="CE268" s="336"/>
      <c r="CF268" s="336"/>
      <c r="CG268" s="336"/>
      <c r="CH268" s="336"/>
      <c r="CI268" s="336"/>
      <c r="CJ268" s="336"/>
      <c r="CK268" s="336"/>
      <c r="CL268" s="336"/>
      <c r="CM268" s="336"/>
      <c r="CN268" s="336"/>
      <c r="CO268" s="336"/>
      <c r="CP268" s="336"/>
      <c r="CQ268" s="336"/>
      <c r="CR268" s="336"/>
      <c r="CS268" s="336"/>
      <c r="CT268" s="336"/>
      <c r="CU268" s="336"/>
      <c r="CV268" s="336"/>
      <c r="CW268" s="336"/>
      <c r="CX268" s="336"/>
      <c r="CY268" s="336"/>
      <c r="CZ268" s="336"/>
      <c r="DA268" s="336"/>
      <c r="DB268" s="336"/>
      <c r="DC268" s="336"/>
      <c r="DD268" s="336"/>
      <c r="DE268" s="336"/>
      <c r="DF268" s="336"/>
      <c r="DG268" s="336"/>
      <c r="DH268" s="336"/>
      <c r="DI268" s="336"/>
      <c r="DJ268" s="336"/>
      <c r="DK268" s="336"/>
      <c r="DL268" s="336"/>
      <c r="DM268" s="336"/>
      <c r="DN268" s="336"/>
      <c r="DO268" s="336"/>
      <c r="DP268" s="336"/>
      <c r="DQ268" s="336"/>
      <c r="DR268" s="336"/>
      <c r="DS268" s="336"/>
      <c r="DT268" s="336"/>
      <c r="DU268" s="336"/>
      <c r="DW268" s="336">
        <f t="shared" si="1872"/>
        <v>0</v>
      </c>
      <c r="DX268" s="336">
        <f t="shared" si="1862"/>
        <v>15</v>
      </c>
      <c r="DY268" s="336">
        <f t="shared" si="1863"/>
        <v>15</v>
      </c>
      <c r="DZ268" s="336">
        <f t="shared" si="1864"/>
        <v>0</v>
      </c>
      <c r="EA268" s="336">
        <f t="shared" si="1865"/>
        <v>0</v>
      </c>
      <c r="EB268" s="336">
        <f t="shared" si="1866"/>
        <v>0</v>
      </c>
      <c r="EC268" s="336">
        <f t="shared" si="1867"/>
        <v>0</v>
      </c>
      <c r="ED268" s="336">
        <f t="shared" si="1774"/>
        <v>0</v>
      </c>
      <c r="EE268" s="336">
        <f t="shared" si="1775"/>
        <v>0</v>
      </c>
      <c r="EF268" s="336">
        <f t="shared" si="1776"/>
        <v>0</v>
      </c>
      <c r="EG268" s="336">
        <f t="shared" si="1777"/>
        <v>0</v>
      </c>
      <c r="EH268" s="336">
        <f t="shared" si="1778"/>
        <v>0</v>
      </c>
      <c r="EI268" s="336">
        <f t="shared" si="1779"/>
        <v>0</v>
      </c>
      <c r="EJ268" s="336">
        <f t="shared" si="1780"/>
        <v>0</v>
      </c>
      <c r="EK268" s="336">
        <f t="shared" si="1781"/>
        <v>0</v>
      </c>
      <c r="EL268" s="336">
        <f t="shared" si="1782"/>
        <v>0</v>
      </c>
      <c r="EM268" s="336">
        <f t="shared" si="1783"/>
        <v>0</v>
      </c>
      <c r="EN268" s="336">
        <f t="shared" si="1784"/>
        <v>0</v>
      </c>
      <c r="EO268" s="336">
        <f t="shared" si="1785"/>
        <v>0</v>
      </c>
      <c r="EP268" s="336">
        <f t="shared" si="1786"/>
        <v>0</v>
      </c>
      <c r="EQ268" s="336">
        <f t="shared" si="1787"/>
        <v>0</v>
      </c>
      <c r="ER268" s="336">
        <f t="shared" si="1788"/>
        <v>0</v>
      </c>
      <c r="ES268" s="336">
        <f t="shared" si="1789"/>
        <v>0</v>
      </c>
      <c r="ET268" s="336">
        <f t="shared" si="1789"/>
        <v>0</v>
      </c>
      <c r="EU268" s="336">
        <f t="shared" si="1790"/>
        <v>0</v>
      </c>
      <c r="EV268" s="336">
        <f t="shared" si="1791"/>
        <v>0</v>
      </c>
      <c r="EW268" s="336">
        <f t="shared" si="1792"/>
        <v>0</v>
      </c>
      <c r="EX268" s="336">
        <f t="shared" si="1793"/>
        <v>0</v>
      </c>
      <c r="EY268" s="336">
        <f t="shared" si="1794"/>
        <v>0</v>
      </c>
      <c r="EZ268" s="336">
        <f t="shared" si="1795"/>
        <v>0</v>
      </c>
      <c r="FA268" s="336">
        <f t="shared" si="1796"/>
        <v>0</v>
      </c>
      <c r="FB268" s="336">
        <f t="shared" si="1797"/>
        <v>0</v>
      </c>
      <c r="FC268" s="336">
        <f t="shared" si="1798"/>
        <v>0</v>
      </c>
      <c r="FD268" s="336">
        <f t="shared" si="1799"/>
        <v>0</v>
      </c>
      <c r="FE268" s="336">
        <f t="shared" si="1800"/>
        <v>0</v>
      </c>
      <c r="FF268" s="336">
        <f t="shared" si="1801"/>
        <v>0</v>
      </c>
      <c r="FG268" s="336">
        <f t="shared" si="1802"/>
        <v>0</v>
      </c>
      <c r="FH268" s="336">
        <f t="shared" si="1803"/>
        <v>0</v>
      </c>
      <c r="FI268" s="336">
        <f t="shared" si="1804"/>
        <v>0</v>
      </c>
      <c r="FJ268" s="336">
        <f t="shared" si="1805"/>
        <v>0</v>
      </c>
      <c r="FK268" s="336">
        <f t="shared" si="1806"/>
        <v>0</v>
      </c>
      <c r="FL268" s="336">
        <f t="shared" si="1807"/>
        <v>0</v>
      </c>
      <c r="FM268" s="336">
        <f t="shared" si="1808"/>
        <v>0</v>
      </c>
      <c r="FN268" s="336">
        <f t="shared" si="1809"/>
        <v>0</v>
      </c>
      <c r="FO268" s="336">
        <f t="shared" si="1810"/>
        <v>0</v>
      </c>
      <c r="FP268" s="336">
        <f t="shared" si="1811"/>
        <v>0</v>
      </c>
      <c r="FQ268" s="336">
        <f t="shared" si="1812"/>
        <v>0</v>
      </c>
      <c r="FR268" s="336">
        <f t="shared" si="1813"/>
        <v>0</v>
      </c>
      <c r="FS268" s="336">
        <f t="shared" si="1814"/>
        <v>0</v>
      </c>
      <c r="FT268" s="336">
        <f t="shared" si="1815"/>
        <v>0</v>
      </c>
      <c r="FU268" s="336">
        <f t="shared" si="1980"/>
        <v>0</v>
      </c>
      <c r="FV268" s="336">
        <f t="shared" si="1981"/>
        <v>0</v>
      </c>
      <c r="FW268" s="336">
        <f t="shared" si="1982"/>
        <v>0</v>
      </c>
      <c r="FX268" s="336">
        <f t="shared" si="1983"/>
        <v>0</v>
      </c>
      <c r="FY268" s="336">
        <f t="shared" si="1820"/>
        <v>0</v>
      </c>
      <c r="FZ268" s="336">
        <f t="shared" si="1821"/>
        <v>0</v>
      </c>
      <c r="GA268" s="336">
        <f t="shared" si="1822"/>
        <v>0</v>
      </c>
      <c r="GB268" s="336">
        <f t="shared" si="1823"/>
        <v>0</v>
      </c>
      <c r="GC268" s="336">
        <f t="shared" si="1824"/>
        <v>0</v>
      </c>
      <c r="GD268" s="336">
        <f t="shared" si="1825"/>
        <v>0</v>
      </c>
      <c r="GE268" s="336">
        <f t="shared" si="1826"/>
        <v>0</v>
      </c>
      <c r="GF268" s="336">
        <f t="shared" si="1827"/>
        <v>0</v>
      </c>
      <c r="GG268" s="336">
        <f t="shared" si="1828"/>
        <v>0</v>
      </c>
      <c r="GH268" s="336">
        <f t="shared" si="1829"/>
        <v>0</v>
      </c>
      <c r="GI268" s="336">
        <f t="shared" si="1830"/>
        <v>0</v>
      </c>
      <c r="GJ268" s="336">
        <f t="shared" si="1831"/>
        <v>0</v>
      </c>
      <c r="GK268" s="336">
        <f t="shared" si="1750"/>
        <v>0</v>
      </c>
      <c r="GL268" s="336">
        <f t="shared" si="1984"/>
        <v>0</v>
      </c>
      <c r="GM268" s="336">
        <f t="shared" si="1832"/>
        <v>0</v>
      </c>
    </row>
    <row r="269" spans="1:195" ht="20.100000000000001" customHeight="1">
      <c r="A269" s="388">
        <f t="shared" si="1985"/>
        <v>172</v>
      </c>
      <c r="B269" s="506" t="s">
        <v>527</v>
      </c>
      <c r="C269" s="388" t="s">
        <v>636</v>
      </c>
      <c r="D269" s="787" t="s">
        <v>1687</v>
      </c>
      <c r="E269" s="502" t="s">
        <v>555</v>
      </c>
      <c r="F269" s="522" t="s">
        <v>28</v>
      </c>
      <c r="G269" s="388" t="s">
        <v>329</v>
      </c>
      <c r="H269" s="583">
        <v>0.81</v>
      </c>
      <c r="I269" s="388" t="s">
        <v>330</v>
      </c>
      <c r="J269" s="388" t="s">
        <v>357</v>
      </c>
      <c r="K269" s="434">
        <v>230</v>
      </c>
      <c r="L269" s="401">
        <v>0.85</v>
      </c>
      <c r="M269" s="418">
        <v>0.95</v>
      </c>
      <c r="N269" s="392">
        <f t="shared" si="1904"/>
        <v>4.3612868488356442</v>
      </c>
      <c r="O269" s="392">
        <f t="shared" si="1899"/>
        <v>0</v>
      </c>
      <c r="P269" s="401" t="str">
        <f t="shared" si="1905"/>
        <v>0.00</v>
      </c>
      <c r="Q269" s="418">
        <v>65</v>
      </c>
      <c r="R269" s="418">
        <v>0</v>
      </c>
      <c r="S269" s="418">
        <f t="shared" si="1906"/>
        <v>0</v>
      </c>
      <c r="T269" s="401" t="s">
        <v>131</v>
      </c>
      <c r="U269" s="418" t="s">
        <v>333</v>
      </c>
      <c r="V269" s="401">
        <v>4</v>
      </c>
      <c r="W269" s="401" t="str">
        <f t="shared" si="1907"/>
        <v>3C X 4</v>
      </c>
      <c r="X269" s="401" t="str">
        <f t="shared" si="1908"/>
        <v>3C X 4</v>
      </c>
      <c r="Y269" s="401" t="s">
        <v>358</v>
      </c>
      <c r="Z269" s="393">
        <f>IF(T269="AIR",VLOOKUP(W269,'Catalogue Aluminium'!$B$9:$G$93,2,FALSE),IF(T269="GROUND",VLOOKUP(W269,'Catalogue Aluminium'!$B$9:$G$93,3,FALSE),IF(T269="DUCT",VLOOKUP(W269,'Catalogue Aluminium'!$B$9:$G$93,4,FALSE),IF(T269="TRENCH",VLOOKUP(W269,'Catalogue Aluminium'!$B$9:$G$93,2,FALSE)))))</f>
        <v>38</v>
      </c>
      <c r="AA269" s="402">
        <f>VLOOKUP(W269,'Catalogue Aluminium'!$B$9:$G$93,5,FALSE)</f>
        <v>5.9</v>
      </c>
      <c r="AB269" s="402">
        <f>VLOOKUP(W269,'Catalogue Aluminium'!$B$9:$G$93,6,FALSE)</f>
        <v>9.4700000000000006E-2</v>
      </c>
      <c r="AC269" s="457">
        <f t="shared" si="1976"/>
        <v>38</v>
      </c>
      <c r="AD269" s="401">
        <v>80</v>
      </c>
      <c r="AE269" s="401">
        <v>5</v>
      </c>
      <c r="AF269" s="401">
        <v>8</v>
      </c>
      <c r="AG269" s="401">
        <f t="shared" si="1911"/>
        <v>14</v>
      </c>
      <c r="AH269" s="436">
        <f t="shared" si="1912"/>
        <v>145</v>
      </c>
      <c r="AI269" s="393">
        <f>IF(T269="AIR",'Catalogue Aluminium'!$K$9,IF(T269="TRENCH",'Catalogue Aluminium'!$K$12,"NA"))</f>
        <v>0.89</v>
      </c>
      <c r="AJ269" s="392">
        <f>IF(T269="Air",(IF(U269="1C",'Catalogue Aluminium'!$L$9,'Catalogue Aluminium'!$M$9)),IF(T269="DUCT",(IF($U269="1C",'Catalogue Aluminium'!$L$10,'Catalogue Aluminium'!$M$10)),IF(T269="GROUND",(IF($U269="1C",'Catalogue Aluminium'!$L$11,'Catalogue Aluminium'!$M$11)),IF(T269="TRENCH",(IF($U269="1C",'Catalogue Aluminium'!$L$12,'Catalogue Aluminium'!$M$12))))))</f>
        <v>0.66</v>
      </c>
      <c r="AK269" s="393" t="str">
        <f>IF(T269="Air",'Catalogue Aluminium'!$N$9,IF(T269="GROUND",'Catalogue Aluminium'!$N$10,IF(T269="DUCT",'Catalogue Aluminium'!$N$11,IF(T269="TRENCH",'Catalogue Aluminium'!$N$12,"NA"))))</f>
        <v>NA</v>
      </c>
      <c r="AL269" s="393" t="str">
        <f>IF(T269="Air",(IF(U269="1C",'Catalogue Aluminium'!$O$9,'Catalogue Aluminium'!$P$9)),IF(T269="DUCT",(IF($U269="1C",'Catalogue Aluminium'!$O$10,'Catalogue Aluminium'!$P$10)),IF(T269="GROUND",(IF($U269="1C",'Catalogue Aluminium'!$O$11,'Catalogue Aluminium'!$P$11)),IF(T269="TRENCH",(IF($U269="1C",'Catalogue Aluminium'!$O$12,'Catalogue Aluminium'!$P$12))))))</f>
        <v>NA</v>
      </c>
      <c r="AM269" s="393" t="str">
        <f>IF(T269="AIR","NA",IF(T269="TRENCH","NA",IF(T269="DUCT",IF(U269="1C",VLOOKUP(V269,'Catalogue Aluminium'!$Q$9:$S$28,2,FALSE),VLOOKUP(V269,'Catalogue Aluminium'!$Q$9:$S$28,3)),IF(T269="GROUND",IF(U269="1C",VLOOKUP(V269,'Catalogue Aluminium'!$Q$9:$S$28,2,FALSE),VLOOKUP(V269,'Catalogue Aluminium'!$Q$9:$S$28,3))))))</f>
        <v>NA</v>
      </c>
      <c r="AN269" s="437">
        <f t="shared" si="1913"/>
        <v>0.58740000000000003</v>
      </c>
      <c r="AO269" s="418">
        <f t="shared" si="1914"/>
        <v>22.321200000000001</v>
      </c>
      <c r="AP269" s="434">
        <f t="shared" si="1888"/>
        <v>1</v>
      </c>
      <c r="AQ269" s="418" t="str">
        <f t="shared" si="1915"/>
        <v>YES</v>
      </c>
      <c r="AR269" s="437">
        <f t="shared" si="1916"/>
        <v>2.4120435657622825</v>
      </c>
      <c r="AS269" s="401" t="str">
        <f t="shared" si="1917"/>
        <v>YES</v>
      </c>
      <c r="AT269" s="437" t="str">
        <f t="shared" si="1918"/>
        <v>NA</v>
      </c>
      <c r="AU269" s="401" t="str">
        <f t="shared" si="1919"/>
        <v>NA</v>
      </c>
      <c r="AV269" s="503" t="str">
        <f t="shared" si="1920"/>
        <v>1R x 0.6/1kV x 3C x 4 Sqmm</v>
      </c>
      <c r="AW269" s="503" t="str">
        <f t="shared" si="1921"/>
        <v>1R x 0.6/1kV x 3C x 4 Sqmm</v>
      </c>
      <c r="AX269" s="401">
        <f t="shared" si="1977"/>
        <v>145</v>
      </c>
      <c r="AY269" s="504"/>
      <c r="AZ269" s="504">
        <f t="shared" si="1978"/>
        <v>2</v>
      </c>
      <c r="BA269" s="438" t="str">
        <f t="shared" si="1971"/>
        <v>AB</v>
      </c>
      <c r="BB269" s="505">
        <f>VLOOKUP(W269,'Catalogue Aluminium'!$B$9:$H$93,7,FALSE)</f>
        <v>15</v>
      </c>
      <c r="BC269" s="439">
        <f t="shared" si="1979"/>
        <v>15</v>
      </c>
      <c r="BE269" s="336"/>
      <c r="BF269" s="336">
        <v>1</v>
      </c>
      <c r="BG269" s="336">
        <v>1</v>
      </c>
      <c r="BH269" s="336"/>
      <c r="BI269" s="336"/>
      <c r="BJ269" s="336"/>
      <c r="BK269" s="336"/>
      <c r="BL269" s="336"/>
      <c r="BM269" s="336"/>
      <c r="BN269" s="336"/>
      <c r="BO269" s="336"/>
      <c r="BP269" s="336"/>
      <c r="BQ269" s="336"/>
      <c r="BR269" s="336"/>
      <c r="BS269" s="336"/>
      <c r="BT269" s="336"/>
      <c r="BU269" s="336"/>
      <c r="BV269" s="336"/>
      <c r="BW269" s="336"/>
      <c r="BX269" s="336"/>
      <c r="BY269" s="336"/>
      <c r="BZ269" s="336"/>
      <c r="CA269" s="336"/>
      <c r="CB269" s="336"/>
      <c r="CC269" s="336"/>
      <c r="CD269" s="336"/>
      <c r="CE269" s="336"/>
      <c r="CF269" s="336"/>
      <c r="CG269" s="336"/>
      <c r="CH269" s="336"/>
      <c r="CI269" s="336"/>
      <c r="CJ269" s="336"/>
      <c r="CK269" s="336"/>
      <c r="CL269" s="336"/>
      <c r="CM269" s="336"/>
      <c r="CN269" s="336"/>
      <c r="CO269" s="336"/>
      <c r="CP269" s="336"/>
      <c r="CQ269" s="336"/>
      <c r="CR269" s="336"/>
      <c r="CS269" s="336"/>
      <c r="CT269" s="336"/>
      <c r="CU269" s="336"/>
      <c r="CV269" s="336"/>
      <c r="CW269" s="336"/>
      <c r="CX269" s="336"/>
      <c r="CY269" s="336"/>
      <c r="CZ269" s="336"/>
      <c r="DA269" s="336"/>
      <c r="DB269" s="336"/>
      <c r="DC269" s="336"/>
      <c r="DD269" s="336"/>
      <c r="DE269" s="336"/>
      <c r="DF269" s="336"/>
      <c r="DG269" s="336"/>
      <c r="DH269" s="336"/>
      <c r="DI269" s="336"/>
      <c r="DJ269" s="336"/>
      <c r="DK269" s="336"/>
      <c r="DL269" s="336"/>
      <c r="DM269" s="336"/>
      <c r="DN269" s="336"/>
      <c r="DO269" s="336"/>
      <c r="DP269" s="336"/>
      <c r="DQ269" s="336"/>
      <c r="DR269" s="336"/>
      <c r="DS269" s="336"/>
      <c r="DT269" s="336"/>
      <c r="DU269" s="336"/>
      <c r="DW269" s="336">
        <f t="shared" si="1872"/>
        <v>0</v>
      </c>
      <c r="DX269" s="336">
        <f t="shared" si="1862"/>
        <v>15</v>
      </c>
      <c r="DY269" s="336">
        <f t="shared" si="1863"/>
        <v>15</v>
      </c>
      <c r="DZ269" s="336">
        <f t="shared" si="1864"/>
        <v>0</v>
      </c>
      <c r="EA269" s="336">
        <f t="shared" si="1865"/>
        <v>0</v>
      </c>
      <c r="EB269" s="336">
        <f t="shared" si="1866"/>
        <v>0</v>
      </c>
      <c r="EC269" s="336">
        <f t="shared" si="1867"/>
        <v>0</v>
      </c>
      <c r="ED269" s="336">
        <f t="shared" si="1774"/>
        <v>0</v>
      </c>
      <c r="EE269" s="336">
        <f t="shared" si="1775"/>
        <v>0</v>
      </c>
      <c r="EF269" s="336">
        <f t="shared" si="1776"/>
        <v>0</v>
      </c>
      <c r="EG269" s="336">
        <f t="shared" si="1777"/>
        <v>0</v>
      </c>
      <c r="EH269" s="336">
        <f t="shared" si="1778"/>
        <v>0</v>
      </c>
      <c r="EI269" s="336">
        <f t="shared" si="1779"/>
        <v>0</v>
      </c>
      <c r="EJ269" s="336">
        <f t="shared" si="1780"/>
        <v>0</v>
      </c>
      <c r="EK269" s="336">
        <f t="shared" si="1781"/>
        <v>0</v>
      </c>
      <c r="EL269" s="336">
        <f t="shared" si="1782"/>
        <v>0</v>
      </c>
      <c r="EM269" s="336">
        <f t="shared" si="1783"/>
        <v>0</v>
      </c>
      <c r="EN269" s="336">
        <f t="shared" si="1784"/>
        <v>0</v>
      </c>
      <c r="EO269" s="336">
        <f t="shared" si="1785"/>
        <v>0</v>
      </c>
      <c r="EP269" s="336">
        <f t="shared" si="1786"/>
        <v>0</v>
      </c>
      <c r="EQ269" s="336">
        <f t="shared" si="1787"/>
        <v>0</v>
      </c>
      <c r="ER269" s="336">
        <f t="shared" si="1788"/>
        <v>0</v>
      </c>
      <c r="ES269" s="336">
        <f t="shared" si="1789"/>
        <v>0</v>
      </c>
      <c r="ET269" s="336">
        <f t="shared" si="1789"/>
        <v>0</v>
      </c>
      <c r="EU269" s="336">
        <f t="shared" si="1790"/>
        <v>0</v>
      </c>
      <c r="EV269" s="336">
        <f t="shared" si="1791"/>
        <v>0</v>
      </c>
      <c r="EW269" s="336">
        <f t="shared" si="1792"/>
        <v>0</v>
      </c>
      <c r="EX269" s="336">
        <f t="shared" si="1793"/>
        <v>0</v>
      </c>
      <c r="EY269" s="336">
        <f t="shared" si="1794"/>
        <v>0</v>
      </c>
      <c r="EZ269" s="336">
        <f t="shared" si="1795"/>
        <v>0</v>
      </c>
      <c r="FA269" s="336">
        <f t="shared" si="1796"/>
        <v>0</v>
      </c>
      <c r="FB269" s="336">
        <f t="shared" si="1797"/>
        <v>0</v>
      </c>
      <c r="FC269" s="336">
        <f t="shared" si="1798"/>
        <v>0</v>
      </c>
      <c r="FD269" s="336">
        <f t="shared" si="1799"/>
        <v>0</v>
      </c>
      <c r="FE269" s="336">
        <f t="shared" si="1800"/>
        <v>0</v>
      </c>
      <c r="FF269" s="336">
        <f t="shared" si="1801"/>
        <v>0</v>
      </c>
      <c r="FG269" s="336">
        <f t="shared" si="1802"/>
        <v>0</v>
      </c>
      <c r="FH269" s="336">
        <f t="shared" si="1803"/>
        <v>0</v>
      </c>
      <c r="FI269" s="336">
        <f t="shared" si="1804"/>
        <v>0</v>
      </c>
      <c r="FJ269" s="336">
        <f t="shared" si="1805"/>
        <v>0</v>
      </c>
      <c r="FK269" s="336">
        <f t="shared" si="1806"/>
        <v>0</v>
      </c>
      <c r="FL269" s="336">
        <f t="shared" si="1807"/>
        <v>0</v>
      </c>
      <c r="FM269" s="336">
        <f t="shared" si="1808"/>
        <v>0</v>
      </c>
      <c r="FN269" s="336">
        <f t="shared" si="1809"/>
        <v>0</v>
      </c>
      <c r="FO269" s="336">
        <f t="shared" si="1810"/>
        <v>0</v>
      </c>
      <c r="FP269" s="336">
        <f t="shared" si="1811"/>
        <v>0</v>
      </c>
      <c r="FQ269" s="336">
        <f t="shared" si="1812"/>
        <v>0</v>
      </c>
      <c r="FR269" s="336">
        <f t="shared" si="1813"/>
        <v>0</v>
      </c>
      <c r="FS269" s="336">
        <f t="shared" si="1814"/>
        <v>0</v>
      </c>
      <c r="FT269" s="336">
        <f t="shared" si="1815"/>
        <v>0</v>
      </c>
      <c r="FU269" s="336">
        <f t="shared" si="1980"/>
        <v>0</v>
      </c>
      <c r="FV269" s="336">
        <f t="shared" si="1981"/>
        <v>0</v>
      </c>
      <c r="FW269" s="336">
        <f t="shared" si="1982"/>
        <v>0</v>
      </c>
      <c r="FX269" s="336">
        <f t="shared" si="1983"/>
        <v>0</v>
      </c>
      <c r="FY269" s="336">
        <f t="shared" si="1820"/>
        <v>0</v>
      </c>
      <c r="FZ269" s="336">
        <f t="shared" si="1821"/>
        <v>0</v>
      </c>
      <c r="GA269" s="336">
        <f t="shared" si="1822"/>
        <v>0</v>
      </c>
      <c r="GB269" s="336">
        <f t="shared" si="1823"/>
        <v>0</v>
      </c>
      <c r="GC269" s="336">
        <f t="shared" si="1824"/>
        <v>0</v>
      </c>
      <c r="GD269" s="336">
        <f t="shared" si="1825"/>
        <v>0</v>
      </c>
      <c r="GE269" s="336">
        <f t="shared" si="1826"/>
        <v>0</v>
      </c>
      <c r="GF269" s="336">
        <f t="shared" si="1827"/>
        <v>0</v>
      </c>
      <c r="GG269" s="336">
        <f t="shared" si="1828"/>
        <v>0</v>
      </c>
      <c r="GH269" s="336">
        <f t="shared" si="1829"/>
        <v>0</v>
      </c>
      <c r="GI269" s="336">
        <f t="shared" si="1830"/>
        <v>0</v>
      </c>
      <c r="GJ269" s="336">
        <f t="shared" si="1831"/>
        <v>0</v>
      </c>
      <c r="GK269" s="336">
        <f t="shared" si="1750"/>
        <v>0</v>
      </c>
      <c r="GL269" s="336">
        <f t="shared" si="1984"/>
        <v>0</v>
      </c>
      <c r="GM269" s="336">
        <f t="shared" si="1832"/>
        <v>0</v>
      </c>
    </row>
    <row r="270" spans="1:195" ht="20.100000000000001" customHeight="1">
      <c r="A270" s="388">
        <f t="shared" si="1985"/>
        <v>173</v>
      </c>
      <c r="B270" s="506" t="s">
        <v>527</v>
      </c>
      <c r="C270" s="388" t="s">
        <v>636</v>
      </c>
      <c r="D270" s="338" t="s">
        <v>692</v>
      </c>
      <c r="E270" s="454" t="s">
        <v>345</v>
      </c>
      <c r="F270" s="388" t="s">
        <v>28</v>
      </c>
      <c r="G270" s="388" t="s">
        <v>329</v>
      </c>
      <c r="H270" s="583">
        <v>11</v>
      </c>
      <c r="I270" s="388" t="s">
        <v>330</v>
      </c>
      <c r="J270" s="388" t="s">
        <v>331</v>
      </c>
      <c r="K270" s="434">
        <v>400</v>
      </c>
      <c r="L270" s="401">
        <v>0.85</v>
      </c>
      <c r="M270" s="418">
        <v>0.95</v>
      </c>
      <c r="N270" s="392">
        <f t="shared" si="1904"/>
        <v>19.662660250681046</v>
      </c>
      <c r="O270" s="392">
        <f t="shared" si="1899"/>
        <v>0</v>
      </c>
      <c r="P270" s="401" t="str">
        <f t="shared" si="1905"/>
        <v>0.00</v>
      </c>
      <c r="Q270" s="418">
        <v>65</v>
      </c>
      <c r="R270" s="418">
        <v>0</v>
      </c>
      <c r="S270" s="418">
        <f t="shared" si="1906"/>
        <v>0</v>
      </c>
      <c r="T270" s="401" t="s">
        <v>131</v>
      </c>
      <c r="U270" s="418" t="s">
        <v>535</v>
      </c>
      <c r="V270" s="401">
        <v>50</v>
      </c>
      <c r="W270" s="401" t="str">
        <f t="shared" si="1907"/>
        <v>3.5C X 50</v>
      </c>
      <c r="X270" s="401" t="str">
        <f t="shared" si="1908"/>
        <v>3.5C X 50</v>
      </c>
      <c r="Y270" s="401" t="s">
        <v>358</v>
      </c>
      <c r="Z270" s="393">
        <f>IF(T270="AIR",VLOOKUP(W270,'Catalogue Aluminium'!$B$9:$G$93,2,FALSE),IF(T270="GROUND",VLOOKUP(W270,'Catalogue Aluminium'!$B$9:$G$93,3,FALSE),IF(T270="DUCT",VLOOKUP(W270,'Catalogue Aluminium'!$B$9:$G$93,4,FALSE),IF(T270="TRENCH",VLOOKUP(W270,'Catalogue Aluminium'!$B$9:$G$93,2,FALSE)))))</f>
        <v>141</v>
      </c>
      <c r="AA270" s="402">
        <f>VLOOKUP(W270,'Catalogue Aluminium'!$B$9:$G$93,5,FALSE)</f>
        <v>0.82</v>
      </c>
      <c r="AB270" s="402">
        <f>VLOOKUP(W270,'Catalogue Aluminium'!$B$9:$G$93,6,FALSE)</f>
        <v>7.9200000000000007E-2</v>
      </c>
      <c r="AC270" s="457">
        <f t="shared" si="1976"/>
        <v>38</v>
      </c>
      <c r="AD270" s="401">
        <f t="shared" ref="AD270" si="1986">40+50+38+50+17+(27+41)</f>
        <v>263</v>
      </c>
      <c r="AE270" s="401">
        <f t="shared" ref="AE270" si="1987">11+8+8+11</f>
        <v>38</v>
      </c>
      <c r="AF270" s="401">
        <v>8</v>
      </c>
      <c r="AG270" s="401">
        <f t="shared" si="1911"/>
        <v>35</v>
      </c>
      <c r="AH270" s="436">
        <f t="shared" si="1912"/>
        <v>382</v>
      </c>
      <c r="AI270" s="393">
        <f>IF(T270="AIR",'Catalogue Aluminium'!$K$9,IF(T270="TRENCH",'Catalogue Aluminium'!$K$12,"NA"))</f>
        <v>0.89</v>
      </c>
      <c r="AJ270" s="392">
        <f>IF(T270="Air",(IF(U270="1C",'Catalogue Aluminium'!$L$9,'Catalogue Aluminium'!$M$9)),IF(T270="DUCT",(IF($U270="1C",'Catalogue Aluminium'!$L$10,'Catalogue Aluminium'!$M$10)),IF(T270="GROUND",(IF($U270="1C",'Catalogue Aluminium'!$L$11,'Catalogue Aluminium'!$M$11)),IF(T270="TRENCH",(IF($U270="1C",'Catalogue Aluminium'!$L$12,'Catalogue Aluminium'!$M$12))))))</f>
        <v>0.66</v>
      </c>
      <c r="AK270" s="393" t="str">
        <f>IF(T270="Air",'Catalogue Aluminium'!$N$9,IF(T270="GROUND",'Catalogue Aluminium'!$N$10,IF(T270="DUCT",'Catalogue Aluminium'!$N$11,IF(T270="TRENCH",'Catalogue Aluminium'!$N$12,"NA"))))</f>
        <v>NA</v>
      </c>
      <c r="AL270" s="393" t="str">
        <f>IF(T270="Air",(IF(U270="1C",'Catalogue Aluminium'!$O$9,'Catalogue Aluminium'!$P$9)),IF(T270="DUCT",(IF($U270="1C",'Catalogue Aluminium'!$O$10,'Catalogue Aluminium'!$P$10)),IF(T270="GROUND",(IF($U270="1C",'Catalogue Aluminium'!$O$11,'Catalogue Aluminium'!$P$11)),IF(T270="TRENCH",(IF($U270="1C",'Catalogue Aluminium'!$O$12,'Catalogue Aluminium'!$P$12))))))</f>
        <v>NA</v>
      </c>
      <c r="AM270" s="393" t="str">
        <f>IF(T270="AIR","NA",IF(T270="TRENCH","NA",IF(T270="DUCT",IF(U270="1C",VLOOKUP(V270,'Catalogue Aluminium'!$Q$9:$S$28,2,FALSE),VLOOKUP(V270,'Catalogue Aluminium'!$Q$9:$S$28,3)),IF(T270="GROUND",IF(U270="1C",VLOOKUP(V270,'Catalogue Aluminium'!$Q$9:$S$28,2,FALSE),VLOOKUP(V270,'Catalogue Aluminium'!$Q$9:$S$28,3))))))</f>
        <v>NA</v>
      </c>
      <c r="AN270" s="437">
        <f t="shared" si="1913"/>
        <v>0.58740000000000003</v>
      </c>
      <c r="AO270" s="418">
        <f t="shared" si="1914"/>
        <v>82.823400000000007</v>
      </c>
      <c r="AP270" s="434">
        <f t="shared" si="1888"/>
        <v>1</v>
      </c>
      <c r="AQ270" s="418" t="str">
        <f t="shared" si="1915"/>
        <v>YES</v>
      </c>
      <c r="AR270" s="437">
        <f t="shared" si="1916"/>
        <v>2.4026296388471438</v>
      </c>
      <c r="AS270" s="401" t="str">
        <f t="shared" si="1917"/>
        <v>YES</v>
      </c>
      <c r="AT270" s="437" t="str">
        <f t="shared" si="1918"/>
        <v>NA</v>
      </c>
      <c r="AU270" s="401" t="str">
        <f t="shared" si="1919"/>
        <v>NA</v>
      </c>
      <c r="AV270" s="503" t="str">
        <f t="shared" si="1920"/>
        <v>1R x 0.6/1kV x 3.5C x 50 Sqmm</v>
      </c>
      <c r="AW270" s="503" t="str">
        <f t="shared" si="1921"/>
        <v>1R x 0.6/1kV x 3.5C x 50 Sqmm</v>
      </c>
      <c r="AX270" s="401">
        <f t="shared" si="1977"/>
        <v>382</v>
      </c>
      <c r="AY270" s="504"/>
      <c r="AZ270" s="504">
        <f t="shared" si="1978"/>
        <v>2</v>
      </c>
      <c r="BA270" s="438" t="str">
        <f t="shared" si="1971"/>
        <v>ACDEE1E2</v>
      </c>
      <c r="BB270" s="505">
        <f>VLOOKUP(W270,'Catalogue Aluminium'!$B$9:$H$93,7,FALSE)</f>
        <v>30</v>
      </c>
      <c r="BC270" s="439">
        <f t="shared" si="1979"/>
        <v>30</v>
      </c>
      <c r="BE270" s="336"/>
      <c r="BF270" s="336">
        <v>1</v>
      </c>
      <c r="BG270" s="336"/>
      <c r="BH270" s="336"/>
      <c r="BI270" s="336">
        <v>1</v>
      </c>
      <c r="BJ270" s="336">
        <v>1</v>
      </c>
      <c r="BK270" s="336"/>
      <c r="BL270" s="336"/>
      <c r="BM270" s="336"/>
      <c r="BN270" s="336">
        <v>1</v>
      </c>
      <c r="BO270" s="336"/>
      <c r="BP270" s="336">
        <v>1</v>
      </c>
      <c r="BQ270" s="336">
        <v>1</v>
      </c>
      <c r="BR270" s="336"/>
      <c r="BS270" s="336"/>
      <c r="BT270" s="336"/>
      <c r="BU270" s="336"/>
      <c r="BV270" s="336"/>
      <c r="BW270" s="336"/>
      <c r="BX270" s="336"/>
      <c r="BY270" s="336"/>
      <c r="BZ270" s="336"/>
      <c r="CA270" s="336"/>
      <c r="CB270" s="336"/>
      <c r="CC270" s="336"/>
      <c r="CD270" s="336"/>
      <c r="CE270" s="336"/>
      <c r="CF270" s="336"/>
      <c r="CG270" s="336"/>
      <c r="CH270" s="336"/>
      <c r="CI270" s="336"/>
      <c r="CJ270" s="336"/>
      <c r="CK270" s="336"/>
      <c r="CL270" s="336"/>
      <c r="CM270" s="336"/>
      <c r="CN270" s="336"/>
      <c r="CO270" s="336"/>
      <c r="CP270" s="336"/>
      <c r="CQ270" s="336"/>
      <c r="CR270" s="336"/>
      <c r="CS270" s="336"/>
      <c r="CT270" s="336"/>
      <c r="CU270" s="336"/>
      <c r="CV270" s="336"/>
      <c r="CW270" s="336"/>
      <c r="CX270" s="336"/>
      <c r="CY270" s="336"/>
      <c r="CZ270" s="336"/>
      <c r="DA270" s="336"/>
      <c r="DB270" s="336"/>
      <c r="DC270" s="336"/>
      <c r="DD270" s="336"/>
      <c r="DE270" s="336"/>
      <c r="DF270" s="336"/>
      <c r="DG270" s="336"/>
      <c r="DH270" s="336"/>
      <c r="DI270" s="336"/>
      <c r="DJ270" s="336"/>
      <c r="DK270" s="336"/>
      <c r="DL270" s="336"/>
      <c r="DM270" s="336"/>
      <c r="DN270" s="336"/>
      <c r="DO270" s="336"/>
      <c r="DP270" s="336"/>
      <c r="DQ270" s="336"/>
      <c r="DR270" s="336"/>
      <c r="DS270" s="336"/>
      <c r="DT270" s="336"/>
      <c r="DU270" s="336"/>
      <c r="DW270" s="336">
        <f t="shared" si="1872"/>
        <v>0</v>
      </c>
      <c r="DX270" s="336">
        <f t="shared" si="1862"/>
        <v>30</v>
      </c>
      <c r="DY270" s="336">
        <f t="shared" si="1863"/>
        <v>0</v>
      </c>
      <c r="DZ270" s="336">
        <f t="shared" si="1864"/>
        <v>0</v>
      </c>
      <c r="EA270" s="336">
        <f t="shared" si="1865"/>
        <v>30</v>
      </c>
      <c r="EB270" s="336">
        <f t="shared" si="1866"/>
        <v>30</v>
      </c>
      <c r="EC270" s="336">
        <f t="shared" si="1867"/>
        <v>0</v>
      </c>
      <c r="ED270" s="336">
        <f t="shared" si="1774"/>
        <v>0</v>
      </c>
      <c r="EE270" s="336">
        <f t="shared" si="1775"/>
        <v>0</v>
      </c>
      <c r="EF270" s="336">
        <f t="shared" si="1776"/>
        <v>30</v>
      </c>
      <c r="EG270" s="336">
        <f t="shared" si="1777"/>
        <v>0</v>
      </c>
      <c r="EH270" s="336">
        <f t="shared" si="1778"/>
        <v>30</v>
      </c>
      <c r="EI270" s="336">
        <f t="shared" si="1779"/>
        <v>30</v>
      </c>
      <c r="EJ270" s="336">
        <f t="shared" si="1780"/>
        <v>0</v>
      </c>
      <c r="EK270" s="336">
        <f t="shared" si="1781"/>
        <v>0</v>
      </c>
      <c r="EL270" s="336">
        <f t="shared" si="1782"/>
        <v>0</v>
      </c>
      <c r="EM270" s="336">
        <f t="shared" si="1783"/>
        <v>0</v>
      </c>
      <c r="EN270" s="336">
        <f t="shared" si="1784"/>
        <v>0</v>
      </c>
      <c r="EO270" s="336">
        <f t="shared" si="1785"/>
        <v>0</v>
      </c>
      <c r="EP270" s="336">
        <f t="shared" si="1786"/>
        <v>0</v>
      </c>
      <c r="EQ270" s="336">
        <f t="shared" si="1787"/>
        <v>0</v>
      </c>
      <c r="ER270" s="336">
        <f t="shared" si="1788"/>
        <v>0</v>
      </c>
      <c r="ES270" s="336">
        <f t="shared" si="1789"/>
        <v>0</v>
      </c>
      <c r="ET270" s="336">
        <f t="shared" si="1789"/>
        <v>0</v>
      </c>
      <c r="EU270" s="336">
        <f t="shared" si="1790"/>
        <v>0</v>
      </c>
      <c r="EV270" s="336">
        <f t="shared" si="1791"/>
        <v>0</v>
      </c>
      <c r="EW270" s="336">
        <f t="shared" si="1792"/>
        <v>0</v>
      </c>
      <c r="EX270" s="336">
        <f t="shared" si="1793"/>
        <v>0</v>
      </c>
      <c r="EY270" s="336">
        <f t="shared" si="1794"/>
        <v>0</v>
      </c>
      <c r="EZ270" s="336">
        <f t="shared" si="1795"/>
        <v>0</v>
      </c>
      <c r="FA270" s="336">
        <f t="shared" si="1796"/>
        <v>0</v>
      </c>
      <c r="FB270" s="336">
        <f t="shared" si="1797"/>
        <v>0</v>
      </c>
      <c r="FC270" s="336">
        <f t="shared" si="1798"/>
        <v>0</v>
      </c>
      <c r="FD270" s="336">
        <f t="shared" si="1799"/>
        <v>0</v>
      </c>
      <c r="FE270" s="336">
        <f t="shared" si="1800"/>
        <v>0</v>
      </c>
      <c r="FF270" s="336">
        <f t="shared" si="1801"/>
        <v>0</v>
      </c>
      <c r="FG270" s="336">
        <f t="shared" si="1802"/>
        <v>0</v>
      </c>
      <c r="FH270" s="336">
        <f t="shared" si="1803"/>
        <v>0</v>
      </c>
      <c r="FI270" s="336">
        <f t="shared" si="1804"/>
        <v>0</v>
      </c>
      <c r="FJ270" s="336">
        <f t="shared" si="1805"/>
        <v>0</v>
      </c>
      <c r="FK270" s="336">
        <f t="shared" si="1806"/>
        <v>0</v>
      </c>
      <c r="FL270" s="336">
        <f t="shared" si="1807"/>
        <v>0</v>
      </c>
      <c r="FM270" s="336">
        <f t="shared" si="1808"/>
        <v>0</v>
      </c>
      <c r="FN270" s="336">
        <f t="shared" si="1809"/>
        <v>0</v>
      </c>
      <c r="FO270" s="336">
        <f t="shared" si="1810"/>
        <v>0</v>
      </c>
      <c r="FP270" s="336">
        <f t="shared" si="1811"/>
        <v>0</v>
      </c>
      <c r="FQ270" s="336">
        <f t="shared" si="1812"/>
        <v>0</v>
      </c>
      <c r="FR270" s="336">
        <f t="shared" si="1813"/>
        <v>0</v>
      </c>
      <c r="FS270" s="336">
        <f t="shared" si="1814"/>
        <v>0</v>
      </c>
      <c r="FT270" s="336">
        <f t="shared" si="1815"/>
        <v>0</v>
      </c>
      <c r="FU270" s="336">
        <f t="shared" si="1980"/>
        <v>0</v>
      </c>
      <c r="FV270" s="336">
        <f t="shared" si="1981"/>
        <v>0</v>
      </c>
      <c r="FW270" s="336">
        <f t="shared" si="1982"/>
        <v>0</v>
      </c>
      <c r="FX270" s="336">
        <f t="shared" si="1983"/>
        <v>0</v>
      </c>
      <c r="FY270" s="336">
        <f t="shared" si="1820"/>
        <v>0</v>
      </c>
      <c r="FZ270" s="336">
        <f t="shared" si="1821"/>
        <v>0</v>
      </c>
      <c r="GA270" s="336">
        <f t="shared" si="1822"/>
        <v>0</v>
      </c>
      <c r="GB270" s="336">
        <f t="shared" si="1823"/>
        <v>0</v>
      </c>
      <c r="GC270" s="336">
        <f t="shared" si="1824"/>
        <v>0</v>
      </c>
      <c r="GD270" s="336">
        <f t="shared" si="1825"/>
        <v>0</v>
      </c>
      <c r="GE270" s="336">
        <f t="shared" si="1826"/>
        <v>0</v>
      </c>
      <c r="GF270" s="336">
        <f t="shared" si="1827"/>
        <v>0</v>
      </c>
      <c r="GG270" s="336">
        <f t="shared" si="1828"/>
        <v>0</v>
      </c>
      <c r="GH270" s="336">
        <f t="shared" si="1829"/>
        <v>0</v>
      </c>
      <c r="GI270" s="336">
        <f t="shared" si="1830"/>
        <v>0</v>
      </c>
      <c r="GJ270" s="336">
        <f t="shared" si="1831"/>
        <v>0</v>
      </c>
      <c r="GK270" s="336">
        <f t="shared" ref="GK270:GK353" si="1988">IF(DS270=1,($BC270*DS270),0)</f>
        <v>0</v>
      </c>
      <c r="GL270" s="336">
        <f t="shared" si="1984"/>
        <v>0</v>
      </c>
      <c r="GM270" s="336">
        <f t="shared" si="1832"/>
        <v>0</v>
      </c>
    </row>
    <row r="271" spans="1:195" ht="20.100000000000001" customHeight="1">
      <c r="A271" s="388">
        <f t="shared" si="1985"/>
        <v>174</v>
      </c>
      <c r="B271" s="506" t="s">
        <v>527</v>
      </c>
      <c r="C271" s="388" t="s">
        <v>636</v>
      </c>
      <c r="D271" s="787" t="s">
        <v>1702</v>
      </c>
      <c r="E271" s="502" t="s">
        <v>555</v>
      </c>
      <c r="F271" s="522" t="s">
        <v>28</v>
      </c>
      <c r="G271" s="388" t="s">
        <v>329</v>
      </c>
      <c r="H271" s="583">
        <v>1.45</v>
      </c>
      <c r="I271" s="388" t="s">
        <v>330</v>
      </c>
      <c r="J271" s="388" t="s">
        <v>357</v>
      </c>
      <c r="K271" s="434">
        <v>230</v>
      </c>
      <c r="L271" s="401">
        <v>0.85</v>
      </c>
      <c r="M271" s="418">
        <v>0.95</v>
      </c>
      <c r="N271" s="392">
        <f t="shared" si="1904"/>
        <v>7.8072418898909683</v>
      </c>
      <c r="O271" s="392">
        <f t="shared" si="1899"/>
        <v>0</v>
      </c>
      <c r="P271" s="401" t="str">
        <f t="shared" si="1905"/>
        <v>0.00</v>
      </c>
      <c r="Q271" s="418">
        <v>65</v>
      </c>
      <c r="R271" s="418">
        <v>0</v>
      </c>
      <c r="S271" s="418">
        <f t="shared" si="1906"/>
        <v>0</v>
      </c>
      <c r="T271" s="401" t="s">
        <v>131</v>
      </c>
      <c r="U271" s="418" t="s">
        <v>333</v>
      </c>
      <c r="V271" s="401">
        <v>16</v>
      </c>
      <c r="W271" s="401" t="str">
        <f t="shared" si="1907"/>
        <v>3C X 16</v>
      </c>
      <c r="X271" s="401" t="str">
        <f t="shared" si="1908"/>
        <v>3C X 16</v>
      </c>
      <c r="Y271" s="401" t="s">
        <v>358</v>
      </c>
      <c r="Z271" s="393">
        <f>IF(T271="AIR",VLOOKUP(W271,'Catalogue Aluminium'!$B$9:$G$93,2,FALSE),IF(T271="GROUND",VLOOKUP(W271,'Catalogue Aluminium'!$B$9:$G$93,3,FALSE),IF(T271="DUCT",VLOOKUP(W271,'Catalogue Aluminium'!$B$9:$G$93,4,FALSE),IF(T271="TRENCH",VLOOKUP(W271,'Catalogue Aluminium'!$B$9:$G$93,2,FALSE)))))</f>
        <v>70</v>
      </c>
      <c r="AA271" s="402">
        <f>VLOOKUP(W271,'Catalogue Aluminium'!$B$9:$G$93,5,FALSE)</f>
        <v>2.44</v>
      </c>
      <c r="AB271" s="402">
        <f>VLOOKUP(W271,'Catalogue Aluminium'!$B$9:$G$93,6,FALSE)</f>
        <v>8.1500000000000003E-2</v>
      </c>
      <c r="AC271" s="457">
        <f t="shared" si="1976"/>
        <v>38</v>
      </c>
      <c r="AD271" s="401">
        <v>80</v>
      </c>
      <c r="AE271" s="401">
        <v>5</v>
      </c>
      <c r="AF271" s="401">
        <v>8</v>
      </c>
      <c r="AG271" s="401">
        <f t="shared" si="1911"/>
        <v>14</v>
      </c>
      <c r="AH271" s="436">
        <f t="shared" si="1912"/>
        <v>145</v>
      </c>
      <c r="AI271" s="393">
        <f>IF(T271="AIR",'Catalogue Aluminium'!$K$9,IF(T271="TRENCH",'Catalogue Aluminium'!$K$12,"NA"))</f>
        <v>0.89</v>
      </c>
      <c r="AJ271" s="392">
        <f>IF(T271="Air",(IF(U271="1C",'Catalogue Aluminium'!$L$9,'Catalogue Aluminium'!$M$9)),IF(T271="DUCT",(IF($U271="1C",'Catalogue Aluminium'!$L$10,'Catalogue Aluminium'!$M$10)),IF(T271="GROUND",(IF($U271="1C",'Catalogue Aluminium'!$L$11,'Catalogue Aluminium'!$M$11)),IF(T271="TRENCH",(IF($U271="1C",'Catalogue Aluminium'!$L$12,'Catalogue Aluminium'!$M$12))))))</f>
        <v>0.66</v>
      </c>
      <c r="AK271" s="393" t="str">
        <f>IF(T271="Air",'Catalogue Aluminium'!$N$9,IF(T271="GROUND",'Catalogue Aluminium'!$N$10,IF(T271="DUCT",'Catalogue Aluminium'!$N$11,IF(T271="TRENCH",'Catalogue Aluminium'!$N$12,"NA"))))</f>
        <v>NA</v>
      </c>
      <c r="AL271" s="393" t="str">
        <f>IF(T271="Air",(IF(U271="1C",'Catalogue Aluminium'!$O$9,'Catalogue Aluminium'!$P$9)),IF(T271="DUCT",(IF($U271="1C",'Catalogue Aluminium'!$O$10,'Catalogue Aluminium'!$P$10)),IF(T271="GROUND",(IF($U271="1C",'Catalogue Aluminium'!$O$11,'Catalogue Aluminium'!$P$11)),IF(T271="TRENCH",(IF($U271="1C",'Catalogue Aluminium'!$O$12,'Catalogue Aluminium'!$P$12))))))</f>
        <v>NA</v>
      </c>
      <c r="AM271" s="393" t="str">
        <f>IF(T271="AIR","NA",IF(T271="TRENCH","NA",IF(T271="DUCT",IF(U271="1C",VLOOKUP(V271,'Catalogue Aluminium'!$Q$9:$S$28,2,FALSE),VLOOKUP(V271,'Catalogue Aluminium'!$Q$9:$S$28,3)),IF(T271="GROUND",IF(U271="1C",VLOOKUP(V271,'Catalogue Aluminium'!$Q$9:$S$28,2,FALSE),VLOOKUP(V271,'Catalogue Aluminium'!$Q$9:$S$28,3))))))</f>
        <v>NA</v>
      </c>
      <c r="AN271" s="437">
        <f t="shared" si="1913"/>
        <v>0.58740000000000003</v>
      </c>
      <c r="AO271" s="418">
        <f t="shared" si="1914"/>
        <v>41.118000000000002</v>
      </c>
      <c r="AP271" s="434">
        <f t="shared" si="1888"/>
        <v>1</v>
      </c>
      <c r="AQ271" s="418" t="str">
        <f t="shared" si="1915"/>
        <v>YES</v>
      </c>
      <c r="AR271" s="437">
        <f t="shared" si="1916"/>
        <v>1.8047019954026575</v>
      </c>
      <c r="AS271" s="401" t="str">
        <f t="shared" si="1917"/>
        <v>YES</v>
      </c>
      <c r="AT271" s="437" t="str">
        <f t="shared" si="1918"/>
        <v>NA</v>
      </c>
      <c r="AU271" s="401" t="str">
        <f t="shared" si="1919"/>
        <v>NA</v>
      </c>
      <c r="AV271" s="503" t="str">
        <f t="shared" si="1920"/>
        <v>1R x 0.6/1kV x 3C x 16 Sqmm</v>
      </c>
      <c r="AW271" s="503" t="str">
        <f t="shared" si="1921"/>
        <v>1R x 0.6/1kV x 3C x 16 Sqmm</v>
      </c>
      <c r="AX271" s="401">
        <f t="shared" si="1977"/>
        <v>145</v>
      </c>
      <c r="AY271" s="504"/>
      <c r="AZ271" s="504">
        <f t="shared" si="1978"/>
        <v>2</v>
      </c>
      <c r="BA271" s="438" t="str">
        <f t="shared" si="1971"/>
        <v>AB</v>
      </c>
      <c r="BB271" s="505">
        <f>VLOOKUP(W271,'Catalogue Aluminium'!$B$9:$H$93,7,FALSE)</f>
        <v>19</v>
      </c>
      <c r="BC271" s="439">
        <f t="shared" si="1979"/>
        <v>19</v>
      </c>
      <c r="BE271" s="336"/>
      <c r="BF271" s="336">
        <v>1</v>
      </c>
      <c r="BG271" s="336">
        <v>1</v>
      </c>
      <c r="BH271" s="336"/>
      <c r="BI271" s="336"/>
      <c r="BJ271" s="336"/>
      <c r="BK271" s="336"/>
      <c r="BL271" s="336"/>
      <c r="BM271" s="336"/>
      <c r="BN271" s="336"/>
      <c r="BO271" s="336"/>
      <c r="BP271" s="336"/>
      <c r="BQ271" s="336"/>
      <c r="BR271" s="336"/>
      <c r="BS271" s="336"/>
      <c r="BT271" s="336"/>
      <c r="BU271" s="336"/>
      <c r="BV271" s="336"/>
      <c r="BW271" s="336"/>
      <c r="BX271" s="336"/>
      <c r="BY271" s="336"/>
      <c r="BZ271" s="336"/>
      <c r="CA271" s="336"/>
      <c r="CB271" s="336"/>
      <c r="CC271" s="336"/>
      <c r="CD271" s="336"/>
      <c r="CE271" s="336"/>
      <c r="CF271" s="336"/>
      <c r="CG271" s="336"/>
      <c r="CH271" s="336"/>
      <c r="CI271" s="336"/>
      <c r="CJ271" s="336"/>
      <c r="CK271" s="336"/>
      <c r="CL271" s="336"/>
      <c r="CM271" s="336"/>
      <c r="CN271" s="336"/>
      <c r="CO271" s="336"/>
      <c r="CP271" s="336"/>
      <c r="CQ271" s="336"/>
      <c r="CR271" s="336"/>
      <c r="CS271" s="336"/>
      <c r="CT271" s="336"/>
      <c r="CU271" s="336"/>
      <c r="CV271" s="336"/>
      <c r="CW271" s="336"/>
      <c r="CX271" s="336"/>
      <c r="CY271" s="336"/>
      <c r="CZ271" s="336"/>
      <c r="DA271" s="336"/>
      <c r="DB271" s="336"/>
      <c r="DC271" s="336"/>
      <c r="DD271" s="336"/>
      <c r="DE271" s="336"/>
      <c r="DF271" s="336"/>
      <c r="DG271" s="336"/>
      <c r="DH271" s="336"/>
      <c r="DI271" s="336"/>
      <c r="DJ271" s="336"/>
      <c r="DK271" s="336"/>
      <c r="DL271" s="336"/>
      <c r="DM271" s="336"/>
      <c r="DN271" s="336"/>
      <c r="DO271" s="336"/>
      <c r="DP271" s="336"/>
      <c r="DQ271" s="336"/>
      <c r="DR271" s="336"/>
      <c r="DS271" s="336"/>
      <c r="DT271" s="336"/>
      <c r="DU271" s="336"/>
      <c r="DW271" s="336">
        <f t="shared" si="1872"/>
        <v>0</v>
      </c>
      <c r="DX271" s="336">
        <f t="shared" si="1862"/>
        <v>19</v>
      </c>
      <c r="DY271" s="336">
        <f t="shared" si="1863"/>
        <v>19</v>
      </c>
      <c r="DZ271" s="336">
        <f t="shared" si="1864"/>
        <v>0</v>
      </c>
      <c r="EA271" s="336">
        <f t="shared" si="1865"/>
        <v>0</v>
      </c>
      <c r="EB271" s="336">
        <f t="shared" si="1866"/>
        <v>0</v>
      </c>
      <c r="EC271" s="336">
        <f t="shared" si="1867"/>
        <v>0</v>
      </c>
      <c r="ED271" s="336">
        <f t="shared" si="1774"/>
        <v>0</v>
      </c>
      <c r="EE271" s="336">
        <f t="shared" si="1775"/>
        <v>0</v>
      </c>
      <c r="EF271" s="336">
        <f t="shared" si="1776"/>
        <v>0</v>
      </c>
      <c r="EG271" s="336">
        <f t="shared" si="1777"/>
        <v>0</v>
      </c>
      <c r="EH271" s="336">
        <f t="shared" si="1778"/>
        <v>0</v>
      </c>
      <c r="EI271" s="336">
        <f t="shared" si="1779"/>
        <v>0</v>
      </c>
      <c r="EJ271" s="336">
        <f t="shared" si="1780"/>
        <v>0</v>
      </c>
      <c r="EK271" s="336">
        <f t="shared" si="1781"/>
        <v>0</v>
      </c>
      <c r="EL271" s="336">
        <f t="shared" si="1782"/>
        <v>0</v>
      </c>
      <c r="EM271" s="336">
        <f t="shared" si="1783"/>
        <v>0</v>
      </c>
      <c r="EN271" s="336">
        <f t="shared" si="1784"/>
        <v>0</v>
      </c>
      <c r="EO271" s="336">
        <f t="shared" si="1785"/>
        <v>0</v>
      </c>
      <c r="EP271" s="336">
        <f t="shared" si="1786"/>
        <v>0</v>
      </c>
      <c r="EQ271" s="336">
        <f t="shared" si="1787"/>
        <v>0</v>
      </c>
      <c r="ER271" s="336">
        <f t="shared" si="1788"/>
        <v>0</v>
      </c>
      <c r="ES271" s="336">
        <f t="shared" si="1789"/>
        <v>0</v>
      </c>
      <c r="ET271" s="336">
        <f t="shared" si="1789"/>
        <v>0</v>
      </c>
      <c r="EU271" s="336">
        <f t="shared" si="1790"/>
        <v>0</v>
      </c>
      <c r="EV271" s="336">
        <f t="shared" si="1791"/>
        <v>0</v>
      </c>
      <c r="EW271" s="336">
        <f t="shared" si="1792"/>
        <v>0</v>
      </c>
      <c r="EX271" s="336">
        <f t="shared" si="1793"/>
        <v>0</v>
      </c>
      <c r="EY271" s="336">
        <f t="shared" si="1794"/>
        <v>0</v>
      </c>
      <c r="EZ271" s="336">
        <f t="shared" si="1795"/>
        <v>0</v>
      </c>
      <c r="FA271" s="336">
        <f t="shared" si="1796"/>
        <v>0</v>
      </c>
      <c r="FB271" s="336">
        <f t="shared" si="1797"/>
        <v>0</v>
      </c>
      <c r="FC271" s="336">
        <f t="shared" si="1798"/>
        <v>0</v>
      </c>
      <c r="FD271" s="336">
        <f t="shared" si="1799"/>
        <v>0</v>
      </c>
      <c r="FE271" s="336">
        <f t="shared" si="1800"/>
        <v>0</v>
      </c>
      <c r="FF271" s="336">
        <f t="shared" si="1801"/>
        <v>0</v>
      </c>
      <c r="FG271" s="336">
        <f t="shared" si="1802"/>
        <v>0</v>
      </c>
      <c r="FH271" s="336">
        <f t="shared" si="1803"/>
        <v>0</v>
      </c>
      <c r="FI271" s="336">
        <f t="shared" si="1804"/>
        <v>0</v>
      </c>
      <c r="FJ271" s="336">
        <f t="shared" si="1805"/>
        <v>0</v>
      </c>
      <c r="FK271" s="336">
        <f t="shared" si="1806"/>
        <v>0</v>
      </c>
      <c r="FL271" s="336">
        <f t="shared" si="1807"/>
        <v>0</v>
      </c>
      <c r="FM271" s="336">
        <f t="shared" si="1808"/>
        <v>0</v>
      </c>
      <c r="FN271" s="336">
        <f t="shared" si="1809"/>
        <v>0</v>
      </c>
      <c r="FO271" s="336">
        <f t="shared" si="1810"/>
        <v>0</v>
      </c>
      <c r="FP271" s="336">
        <f t="shared" si="1811"/>
        <v>0</v>
      </c>
      <c r="FQ271" s="336">
        <f t="shared" si="1812"/>
        <v>0</v>
      </c>
      <c r="FR271" s="336">
        <f t="shared" si="1813"/>
        <v>0</v>
      </c>
      <c r="FS271" s="336">
        <f t="shared" si="1814"/>
        <v>0</v>
      </c>
      <c r="FT271" s="336">
        <f t="shared" si="1815"/>
        <v>0</v>
      </c>
      <c r="FU271" s="336">
        <f t="shared" si="1980"/>
        <v>0</v>
      </c>
      <c r="FV271" s="336">
        <f t="shared" si="1981"/>
        <v>0</v>
      </c>
      <c r="FW271" s="336">
        <f t="shared" si="1982"/>
        <v>0</v>
      </c>
      <c r="FX271" s="336">
        <f t="shared" si="1983"/>
        <v>0</v>
      </c>
      <c r="FY271" s="336">
        <f t="shared" si="1820"/>
        <v>0</v>
      </c>
      <c r="FZ271" s="336">
        <f t="shared" si="1821"/>
        <v>0</v>
      </c>
      <c r="GA271" s="336">
        <f t="shared" si="1822"/>
        <v>0</v>
      </c>
      <c r="GB271" s="336">
        <f t="shared" si="1823"/>
        <v>0</v>
      </c>
      <c r="GC271" s="336">
        <f t="shared" si="1824"/>
        <v>0</v>
      </c>
      <c r="GD271" s="336">
        <f t="shared" si="1825"/>
        <v>0</v>
      </c>
      <c r="GE271" s="336">
        <f t="shared" si="1826"/>
        <v>0</v>
      </c>
      <c r="GF271" s="336">
        <f t="shared" si="1827"/>
        <v>0</v>
      </c>
      <c r="GG271" s="336">
        <f t="shared" si="1828"/>
        <v>0</v>
      </c>
      <c r="GH271" s="336">
        <f t="shared" si="1829"/>
        <v>0</v>
      </c>
      <c r="GI271" s="336">
        <f t="shared" si="1830"/>
        <v>0</v>
      </c>
      <c r="GJ271" s="336">
        <f t="shared" si="1831"/>
        <v>0</v>
      </c>
      <c r="GK271" s="336">
        <f t="shared" si="1988"/>
        <v>0</v>
      </c>
      <c r="GL271" s="336">
        <f t="shared" si="1984"/>
        <v>0</v>
      </c>
      <c r="GM271" s="336">
        <f t="shared" si="1832"/>
        <v>0</v>
      </c>
    </row>
    <row r="272" spans="1:195" ht="32.25" customHeight="1">
      <c r="A272" s="388">
        <f t="shared" si="1985"/>
        <v>175</v>
      </c>
      <c r="B272" s="506" t="s">
        <v>527</v>
      </c>
      <c r="C272" s="388" t="s">
        <v>636</v>
      </c>
      <c r="D272" s="787" t="s">
        <v>1701</v>
      </c>
      <c r="E272" s="502" t="s">
        <v>555</v>
      </c>
      <c r="F272" s="522" t="s">
        <v>28</v>
      </c>
      <c r="G272" s="388" t="s">
        <v>329</v>
      </c>
      <c r="H272" s="583">
        <v>1.8</v>
      </c>
      <c r="I272" s="388" t="s">
        <v>330</v>
      </c>
      <c r="J272" s="388" t="s">
        <v>357</v>
      </c>
      <c r="K272" s="434">
        <v>230</v>
      </c>
      <c r="L272" s="401">
        <v>0.85</v>
      </c>
      <c r="M272" s="418">
        <v>0.95</v>
      </c>
      <c r="N272" s="392">
        <f t="shared" si="1904"/>
        <v>9.6917485529680985</v>
      </c>
      <c r="O272" s="392">
        <f t="shared" si="1899"/>
        <v>0</v>
      </c>
      <c r="P272" s="401" t="str">
        <f t="shared" si="1905"/>
        <v>0.00</v>
      </c>
      <c r="Q272" s="418">
        <v>65</v>
      </c>
      <c r="R272" s="418">
        <v>0</v>
      </c>
      <c r="S272" s="418">
        <f t="shared" si="1906"/>
        <v>0</v>
      </c>
      <c r="T272" s="401" t="s">
        <v>131</v>
      </c>
      <c r="U272" s="418" t="s">
        <v>333</v>
      </c>
      <c r="V272" s="401">
        <v>16</v>
      </c>
      <c r="W272" s="401" t="str">
        <f t="shared" si="1907"/>
        <v>3C X 16</v>
      </c>
      <c r="X272" s="401" t="str">
        <f t="shared" si="1908"/>
        <v>3C X 16</v>
      </c>
      <c r="Y272" s="401" t="s">
        <v>358</v>
      </c>
      <c r="Z272" s="393">
        <f>IF(T272="AIR",VLOOKUP(W272,'Catalogue Aluminium'!$B$9:$G$93,2,FALSE),IF(T272="GROUND",VLOOKUP(W272,'Catalogue Aluminium'!$B$9:$G$93,3,FALSE),IF(T272="DUCT",VLOOKUP(W272,'Catalogue Aluminium'!$B$9:$G$93,4,FALSE),IF(T272="TRENCH",VLOOKUP(W272,'Catalogue Aluminium'!$B$9:$G$93,2,FALSE)))))</f>
        <v>70</v>
      </c>
      <c r="AA272" s="402">
        <f>VLOOKUP(W272,'Catalogue Aluminium'!$B$9:$G$93,5,FALSE)</f>
        <v>2.44</v>
      </c>
      <c r="AB272" s="402">
        <f>VLOOKUP(W272,'Catalogue Aluminium'!$B$9:$G$93,6,FALSE)</f>
        <v>8.1500000000000003E-2</v>
      </c>
      <c r="AC272" s="457">
        <f t="shared" si="1976"/>
        <v>38</v>
      </c>
      <c r="AD272" s="401">
        <v>80</v>
      </c>
      <c r="AE272" s="401">
        <v>5</v>
      </c>
      <c r="AF272" s="401">
        <v>8</v>
      </c>
      <c r="AG272" s="401">
        <f t="shared" si="1911"/>
        <v>14</v>
      </c>
      <c r="AH272" s="436">
        <f t="shared" si="1912"/>
        <v>145</v>
      </c>
      <c r="AI272" s="393">
        <f>IF(T272="AIR",'Catalogue Aluminium'!$K$9,IF(T272="TRENCH",'Catalogue Aluminium'!$K$12,"NA"))</f>
        <v>0.89</v>
      </c>
      <c r="AJ272" s="392">
        <f>IF(T272="Air",(IF(U272="1C",'Catalogue Aluminium'!$L$9,'Catalogue Aluminium'!$M$9)),IF(T272="DUCT",(IF($U272="1C",'Catalogue Aluminium'!$L$10,'Catalogue Aluminium'!$M$10)),IF(T272="GROUND",(IF($U272="1C",'Catalogue Aluminium'!$L$11,'Catalogue Aluminium'!$M$11)),IF(T272="TRENCH",(IF($U272="1C",'Catalogue Aluminium'!$L$12,'Catalogue Aluminium'!$M$12))))))</f>
        <v>0.66</v>
      </c>
      <c r="AK272" s="393" t="str">
        <f>IF(T272="Air",'Catalogue Aluminium'!$N$9,IF(T272="GROUND",'Catalogue Aluminium'!$N$10,IF(T272="DUCT",'Catalogue Aluminium'!$N$11,IF(T272="TRENCH",'Catalogue Aluminium'!$N$12,"NA"))))</f>
        <v>NA</v>
      </c>
      <c r="AL272" s="393" t="str">
        <f>IF(T272="Air",(IF(U272="1C",'Catalogue Aluminium'!$O$9,'Catalogue Aluminium'!$P$9)),IF(T272="DUCT",(IF($U272="1C",'Catalogue Aluminium'!$O$10,'Catalogue Aluminium'!$P$10)),IF(T272="GROUND",(IF($U272="1C",'Catalogue Aluminium'!$O$11,'Catalogue Aluminium'!$P$11)),IF(T272="TRENCH",(IF($U272="1C",'Catalogue Aluminium'!$O$12,'Catalogue Aluminium'!$P$12))))))</f>
        <v>NA</v>
      </c>
      <c r="AM272" s="393" t="str">
        <f>IF(T272="AIR","NA",IF(T272="TRENCH","NA",IF(T272="DUCT",IF(U272="1C",VLOOKUP(V272,'Catalogue Aluminium'!$Q$9:$S$28,2,FALSE),VLOOKUP(V272,'Catalogue Aluminium'!$Q$9:$S$28,3)),IF(T272="GROUND",IF(U272="1C",VLOOKUP(V272,'Catalogue Aluminium'!$Q$9:$S$28,2,FALSE),VLOOKUP(V272,'Catalogue Aluminium'!$Q$9:$S$28,3))))))</f>
        <v>NA</v>
      </c>
      <c r="AN272" s="437">
        <f t="shared" si="1913"/>
        <v>0.58740000000000003</v>
      </c>
      <c r="AO272" s="418">
        <f t="shared" si="1914"/>
        <v>41.118000000000002</v>
      </c>
      <c r="AP272" s="434">
        <f t="shared" si="1888"/>
        <v>1</v>
      </c>
      <c r="AQ272" s="418" t="str">
        <f t="shared" si="1915"/>
        <v>YES</v>
      </c>
      <c r="AR272" s="437">
        <f t="shared" si="1916"/>
        <v>2.2403197184308845</v>
      </c>
      <c r="AS272" s="401" t="str">
        <f t="shared" si="1917"/>
        <v>YES</v>
      </c>
      <c r="AT272" s="437" t="str">
        <f t="shared" si="1918"/>
        <v>NA</v>
      </c>
      <c r="AU272" s="401" t="str">
        <f t="shared" si="1919"/>
        <v>NA</v>
      </c>
      <c r="AV272" s="503" t="str">
        <f t="shared" si="1920"/>
        <v>1R x 0.6/1kV x 3C x 16 Sqmm</v>
      </c>
      <c r="AW272" s="503" t="str">
        <f t="shared" si="1921"/>
        <v>1R x 0.6/1kV x 3C x 16 Sqmm</v>
      </c>
      <c r="AX272" s="401">
        <f t="shared" si="1977"/>
        <v>145</v>
      </c>
      <c r="AY272" s="504"/>
      <c r="AZ272" s="504">
        <f t="shared" si="1978"/>
        <v>2</v>
      </c>
      <c r="BA272" s="438" t="str">
        <f t="shared" si="1971"/>
        <v>AB</v>
      </c>
      <c r="BB272" s="505">
        <f>VLOOKUP(W272,'Catalogue Aluminium'!$B$9:$H$93,7,FALSE)</f>
        <v>19</v>
      </c>
      <c r="BC272" s="439">
        <f t="shared" si="1979"/>
        <v>19</v>
      </c>
      <c r="BE272" s="336"/>
      <c r="BF272" s="336">
        <v>1</v>
      </c>
      <c r="BG272" s="336">
        <v>1</v>
      </c>
      <c r="BH272" s="336"/>
      <c r="BI272" s="336"/>
      <c r="BJ272" s="336"/>
      <c r="BK272" s="336"/>
      <c r="BL272" s="336"/>
      <c r="BM272" s="336"/>
      <c r="BN272" s="336"/>
      <c r="BO272" s="336"/>
      <c r="BP272" s="336"/>
      <c r="BQ272" s="336"/>
      <c r="BR272" s="336"/>
      <c r="BS272" s="336"/>
      <c r="BT272" s="336"/>
      <c r="BU272" s="336"/>
      <c r="BV272" s="336"/>
      <c r="BW272" s="336"/>
      <c r="BX272" s="336"/>
      <c r="BY272" s="336"/>
      <c r="BZ272" s="336"/>
      <c r="CA272" s="336"/>
      <c r="CB272" s="336"/>
      <c r="CC272" s="336"/>
      <c r="CD272" s="336"/>
      <c r="CE272" s="336"/>
      <c r="CF272" s="336"/>
      <c r="CG272" s="336"/>
      <c r="CH272" s="336"/>
      <c r="CI272" s="336"/>
      <c r="CJ272" s="336"/>
      <c r="CK272" s="336"/>
      <c r="CL272" s="336"/>
      <c r="CM272" s="336"/>
      <c r="CN272" s="336"/>
      <c r="CO272" s="336"/>
      <c r="CP272" s="336"/>
      <c r="CQ272" s="336"/>
      <c r="CR272" s="336"/>
      <c r="CS272" s="336"/>
      <c r="CT272" s="336"/>
      <c r="CU272" s="336"/>
      <c r="CV272" s="336"/>
      <c r="CW272" s="336"/>
      <c r="CX272" s="336"/>
      <c r="CY272" s="336"/>
      <c r="CZ272" s="336"/>
      <c r="DA272" s="336"/>
      <c r="DB272" s="336"/>
      <c r="DC272" s="336"/>
      <c r="DD272" s="336"/>
      <c r="DE272" s="336"/>
      <c r="DF272" s="336"/>
      <c r="DG272" s="336"/>
      <c r="DH272" s="336"/>
      <c r="DI272" s="336"/>
      <c r="DJ272" s="336"/>
      <c r="DK272" s="336"/>
      <c r="DL272" s="336"/>
      <c r="DM272" s="336"/>
      <c r="DN272" s="336"/>
      <c r="DO272" s="336"/>
      <c r="DP272" s="336"/>
      <c r="DQ272" s="336"/>
      <c r="DR272" s="336"/>
      <c r="DS272" s="336"/>
      <c r="DT272" s="336"/>
      <c r="DU272" s="336"/>
      <c r="DW272" s="336">
        <f t="shared" si="1872"/>
        <v>0</v>
      </c>
      <c r="DX272" s="336">
        <f t="shared" si="1862"/>
        <v>19</v>
      </c>
      <c r="DY272" s="336">
        <f t="shared" si="1863"/>
        <v>19</v>
      </c>
      <c r="DZ272" s="336">
        <f t="shared" si="1864"/>
        <v>0</v>
      </c>
      <c r="EA272" s="336">
        <f t="shared" si="1865"/>
        <v>0</v>
      </c>
      <c r="EB272" s="336">
        <f t="shared" si="1866"/>
        <v>0</v>
      </c>
      <c r="EC272" s="336">
        <f t="shared" si="1867"/>
        <v>0</v>
      </c>
      <c r="ED272" s="336">
        <f t="shared" si="1774"/>
        <v>0</v>
      </c>
      <c r="EE272" s="336">
        <f t="shared" si="1775"/>
        <v>0</v>
      </c>
      <c r="EF272" s="336">
        <f t="shared" si="1776"/>
        <v>0</v>
      </c>
      <c r="EG272" s="336">
        <f t="shared" si="1777"/>
        <v>0</v>
      </c>
      <c r="EH272" s="336">
        <f t="shared" si="1778"/>
        <v>0</v>
      </c>
      <c r="EI272" s="336">
        <f t="shared" si="1779"/>
        <v>0</v>
      </c>
      <c r="EJ272" s="336">
        <f t="shared" si="1780"/>
        <v>0</v>
      </c>
      <c r="EK272" s="336">
        <f t="shared" si="1781"/>
        <v>0</v>
      </c>
      <c r="EL272" s="336">
        <f t="shared" si="1782"/>
        <v>0</v>
      </c>
      <c r="EM272" s="336">
        <f t="shared" si="1783"/>
        <v>0</v>
      </c>
      <c r="EN272" s="336">
        <f t="shared" si="1784"/>
        <v>0</v>
      </c>
      <c r="EO272" s="336">
        <f t="shared" si="1785"/>
        <v>0</v>
      </c>
      <c r="EP272" s="336">
        <f t="shared" si="1786"/>
        <v>0</v>
      </c>
      <c r="EQ272" s="336">
        <f t="shared" si="1787"/>
        <v>0</v>
      </c>
      <c r="ER272" s="336">
        <f t="shared" si="1788"/>
        <v>0</v>
      </c>
      <c r="ES272" s="336">
        <f t="shared" si="1789"/>
        <v>0</v>
      </c>
      <c r="ET272" s="336">
        <f t="shared" si="1789"/>
        <v>0</v>
      </c>
      <c r="EU272" s="336">
        <f t="shared" si="1790"/>
        <v>0</v>
      </c>
      <c r="EV272" s="336">
        <f t="shared" si="1791"/>
        <v>0</v>
      </c>
      <c r="EW272" s="336">
        <f t="shared" si="1792"/>
        <v>0</v>
      </c>
      <c r="EX272" s="336">
        <f t="shared" si="1793"/>
        <v>0</v>
      </c>
      <c r="EY272" s="336">
        <f t="shared" si="1794"/>
        <v>0</v>
      </c>
      <c r="EZ272" s="336">
        <f t="shared" si="1795"/>
        <v>0</v>
      </c>
      <c r="FA272" s="336">
        <f t="shared" si="1796"/>
        <v>0</v>
      </c>
      <c r="FB272" s="336">
        <f t="shared" si="1797"/>
        <v>0</v>
      </c>
      <c r="FC272" s="336">
        <f t="shared" si="1798"/>
        <v>0</v>
      </c>
      <c r="FD272" s="336">
        <f t="shared" si="1799"/>
        <v>0</v>
      </c>
      <c r="FE272" s="336">
        <f t="shared" si="1800"/>
        <v>0</v>
      </c>
      <c r="FF272" s="336">
        <f t="shared" si="1801"/>
        <v>0</v>
      </c>
      <c r="FG272" s="336">
        <f t="shared" si="1802"/>
        <v>0</v>
      </c>
      <c r="FH272" s="336">
        <f t="shared" si="1803"/>
        <v>0</v>
      </c>
      <c r="FI272" s="336">
        <f t="shared" si="1804"/>
        <v>0</v>
      </c>
      <c r="FJ272" s="336">
        <f t="shared" si="1805"/>
        <v>0</v>
      </c>
      <c r="FK272" s="336">
        <f t="shared" si="1806"/>
        <v>0</v>
      </c>
      <c r="FL272" s="336">
        <f t="shared" si="1807"/>
        <v>0</v>
      </c>
      <c r="FM272" s="336">
        <f t="shared" si="1808"/>
        <v>0</v>
      </c>
      <c r="FN272" s="336">
        <f t="shared" si="1809"/>
        <v>0</v>
      </c>
      <c r="FO272" s="336">
        <f t="shared" si="1810"/>
        <v>0</v>
      </c>
      <c r="FP272" s="336">
        <f t="shared" si="1811"/>
        <v>0</v>
      </c>
      <c r="FQ272" s="336">
        <f t="shared" si="1812"/>
        <v>0</v>
      </c>
      <c r="FR272" s="336">
        <f t="shared" si="1813"/>
        <v>0</v>
      </c>
      <c r="FS272" s="336">
        <f t="shared" si="1814"/>
        <v>0</v>
      </c>
      <c r="FT272" s="336">
        <f t="shared" si="1815"/>
        <v>0</v>
      </c>
      <c r="FU272" s="336">
        <f t="shared" si="1980"/>
        <v>0</v>
      </c>
      <c r="FV272" s="336">
        <f t="shared" si="1981"/>
        <v>0</v>
      </c>
      <c r="FW272" s="336">
        <f t="shared" si="1982"/>
        <v>0</v>
      </c>
      <c r="FX272" s="336">
        <f t="shared" si="1983"/>
        <v>0</v>
      </c>
      <c r="FY272" s="336">
        <f t="shared" si="1820"/>
        <v>0</v>
      </c>
      <c r="FZ272" s="336">
        <f t="shared" si="1821"/>
        <v>0</v>
      </c>
      <c r="GA272" s="336">
        <f t="shared" si="1822"/>
        <v>0</v>
      </c>
      <c r="GB272" s="336">
        <f t="shared" si="1823"/>
        <v>0</v>
      </c>
      <c r="GC272" s="336">
        <f t="shared" si="1824"/>
        <v>0</v>
      </c>
      <c r="GD272" s="336">
        <f t="shared" si="1825"/>
        <v>0</v>
      </c>
      <c r="GE272" s="336">
        <f t="shared" si="1826"/>
        <v>0</v>
      </c>
      <c r="GF272" s="336">
        <f t="shared" si="1827"/>
        <v>0</v>
      </c>
      <c r="GG272" s="336">
        <f t="shared" si="1828"/>
        <v>0</v>
      </c>
      <c r="GH272" s="336">
        <f t="shared" si="1829"/>
        <v>0</v>
      </c>
      <c r="GI272" s="336">
        <f t="shared" si="1830"/>
        <v>0</v>
      </c>
      <c r="GJ272" s="336">
        <f t="shared" si="1831"/>
        <v>0</v>
      </c>
      <c r="GK272" s="336">
        <f t="shared" si="1988"/>
        <v>0</v>
      </c>
      <c r="GL272" s="336">
        <f t="shared" si="1984"/>
        <v>0</v>
      </c>
      <c r="GM272" s="336">
        <f t="shared" si="1832"/>
        <v>0</v>
      </c>
    </row>
    <row r="273" spans="1:195" ht="20.100000000000001" customHeight="1">
      <c r="A273" s="388">
        <f t="shared" si="1985"/>
        <v>176</v>
      </c>
      <c r="B273" s="506" t="s">
        <v>527</v>
      </c>
      <c r="C273" s="388" t="s">
        <v>636</v>
      </c>
      <c r="D273" s="338" t="s">
        <v>694</v>
      </c>
      <c r="E273" s="502" t="s">
        <v>555</v>
      </c>
      <c r="F273" s="522" t="s">
        <v>28</v>
      </c>
      <c r="G273" s="388" t="s">
        <v>329</v>
      </c>
      <c r="H273" s="583">
        <v>0.18</v>
      </c>
      <c r="I273" s="388" t="s">
        <v>330</v>
      </c>
      <c r="J273" s="388" t="s">
        <v>357</v>
      </c>
      <c r="K273" s="434">
        <v>230</v>
      </c>
      <c r="L273" s="401">
        <v>0.85</v>
      </c>
      <c r="M273" s="418">
        <v>0.95</v>
      </c>
      <c r="N273" s="392">
        <f t="shared" si="1904"/>
        <v>0.9691748552968098</v>
      </c>
      <c r="O273" s="392">
        <f t="shared" si="1899"/>
        <v>0</v>
      </c>
      <c r="P273" s="401" t="str">
        <f t="shared" si="1905"/>
        <v>0.00</v>
      </c>
      <c r="Q273" s="418">
        <v>65</v>
      </c>
      <c r="R273" s="418">
        <v>0</v>
      </c>
      <c r="S273" s="418">
        <f t="shared" si="1906"/>
        <v>0</v>
      </c>
      <c r="T273" s="401" t="s">
        <v>131</v>
      </c>
      <c r="U273" s="418" t="s">
        <v>333</v>
      </c>
      <c r="V273" s="401">
        <v>4</v>
      </c>
      <c r="W273" s="401" t="str">
        <f t="shared" si="1907"/>
        <v>3C X 4</v>
      </c>
      <c r="X273" s="401" t="str">
        <f t="shared" si="1908"/>
        <v>3C X 4</v>
      </c>
      <c r="Y273" s="401" t="s">
        <v>358</v>
      </c>
      <c r="Z273" s="393">
        <f>IF(T273="AIR",VLOOKUP(W273,'Catalogue Aluminium'!$B$9:$G$93,2,FALSE),IF(T273="GROUND",VLOOKUP(W273,'Catalogue Aluminium'!$B$9:$G$93,3,FALSE),IF(T273="DUCT",VLOOKUP(W273,'Catalogue Aluminium'!$B$9:$G$93,4,FALSE),IF(T273="TRENCH",VLOOKUP(W273,'Catalogue Aluminium'!$B$9:$G$93,2,FALSE)))))</f>
        <v>38</v>
      </c>
      <c r="AA273" s="402">
        <f>VLOOKUP(W273,'Catalogue Aluminium'!$B$9:$G$93,5,FALSE)</f>
        <v>5.9</v>
      </c>
      <c r="AB273" s="402">
        <f>VLOOKUP(W273,'Catalogue Aluminium'!$B$9:$G$93,6,FALSE)</f>
        <v>9.4700000000000006E-2</v>
      </c>
      <c r="AC273" s="457">
        <f t="shared" si="1976"/>
        <v>38</v>
      </c>
      <c r="AD273" s="401">
        <v>80</v>
      </c>
      <c r="AE273" s="401">
        <v>5</v>
      </c>
      <c r="AF273" s="401">
        <v>8</v>
      </c>
      <c r="AG273" s="401">
        <f t="shared" si="1911"/>
        <v>14</v>
      </c>
      <c r="AH273" s="436">
        <f t="shared" si="1912"/>
        <v>145</v>
      </c>
      <c r="AI273" s="393">
        <f>IF(T273="AIR",'Catalogue Aluminium'!$K$9,IF(T273="TRENCH",'Catalogue Aluminium'!$K$12,"NA"))</f>
        <v>0.89</v>
      </c>
      <c r="AJ273" s="392">
        <f>IF(T273="Air",(IF(U273="1C",'Catalogue Aluminium'!$L$9,'Catalogue Aluminium'!$M$9)),IF(T273="DUCT",(IF($U273="1C",'Catalogue Aluminium'!$L$10,'Catalogue Aluminium'!$M$10)),IF(T273="GROUND",(IF($U273="1C",'Catalogue Aluminium'!$L$11,'Catalogue Aluminium'!$M$11)),IF(T273="TRENCH",(IF($U273="1C",'Catalogue Aluminium'!$L$12,'Catalogue Aluminium'!$M$12))))))</f>
        <v>0.66</v>
      </c>
      <c r="AK273" s="393" t="str">
        <f>IF(T273="Air",'Catalogue Aluminium'!$N$9,IF(T273="GROUND",'Catalogue Aluminium'!$N$10,IF(T273="DUCT",'Catalogue Aluminium'!$N$11,IF(T273="TRENCH",'Catalogue Aluminium'!$N$12,"NA"))))</f>
        <v>NA</v>
      </c>
      <c r="AL273" s="393" t="str">
        <f>IF(T273="Air",(IF(U273="1C",'Catalogue Aluminium'!$O$9,'Catalogue Aluminium'!$P$9)),IF(T273="DUCT",(IF($U273="1C",'Catalogue Aluminium'!$O$10,'Catalogue Aluminium'!$P$10)),IF(T273="GROUND",(IF($U273="1C",'Catalogue Aluminium'!$O$11,'Catalogue Aluminium'!$P$11)),IF(T273="TRENCH",(IF($U273="1C",'Catalogue Aluminium'!$O$12,'Catalogue Aluminium'!$P$12))))))</f>
        <v>NA</v>
      </c>
      <c r="AM273" s="393" t="str">
        <f>IF(T273="AIR","NA",IF(T273="TRENCH","NA",IF(T273="DUCT",IF(U273="1C",VLOOKUP(V273,'Catalogue Aluminium'!$Q$9:$S$28,2,FALSE),VLOOKUP(V273,'Catalogue Aluminium'!$Q$9:$S$28,3)),IF(T273="GROUND",IF(U273="1C",VLOOKUP(V273,'Catalogue Aluminium'!$Q$9:$S$28,2,FALSE),VLOOKUP(V273,'Catalogue Aluminium'!$Q$9:$S$28,3))))))</f>
        <v>NA</v>
      </c>
      <c r="AN273" s="437">
        <f t="shared" si="1913"/>
        <v>0.58740000000000003</v>
      </c>
      <c r="AO273" s="418">
        <f t="shared" si="1914"/>
        <v>22.321200000000001</v>
      </c>
      <c r="AP273" s="434">
        <f t="shared" si="1888"/>
        <v>1</v>
      </c>
      <c r="AQ273" s="418" t="str">
        <f t="shared" si="1915"/>
        <v>YES</v>
      </c>
      <c r="AR273" s="437">
        <f t="shared" si="1916"/>
        <v>0.53600968128050719</v>
      </c>
      <c r="AS273" s="401" t="str">
        <f t="shared" si="1917"/>
        <v>YES</v>
      </c>
      <c r="AT273" s="437" t="str">
        <f t="shared" si="1918"/>
        <v>NA</v>
      </c>
      <c r="AU273" s="401" t="str">
        <f t="shared" si="1919"/>
        <v>NA</v>
      </c>
      <c r="AV273" s="503" t="str">
        <f t="shared" si="1920"/>
        <v>1R x 0.6/1kV x 3C x 4 Sqmm</v>
      </c>
      <c r="AW273" s="503" t="str">
        <f t="shared" si="1921"/>
        <v>1R x 0.6/1kV x 3C x 4 Sqmm</v>
      </c>
      <c r="AX273" s="401">
        <f t="shared" si="1977"/>
        <v>145</v>
      </c>
      <c r="AY273" s="504"/>
      <c r="AZ273" s="504">
        <f t="shared" si="1978"/>
        <v>2</v>
      </c>
      <c r="BA273" s="438" t="str">
        <f t="shared" si="1971"/>
        <v>AB</v>
      </c>
      <c r="BB273" s="505">
        <f>VLOOKUP(W273,'Catalogue Aluminium'!$B$9:$H$93,7,FALSE)</f>
        <v>15</v>
      </c>
      <c r="BC273" s="439">
        <f t="shared" si="1979"/>
        <v>15</v>
      </c>
      <c r="BE273" s="336"/>
      <c r="BF273" s="336">
        <v>1</v>
      </c>
      <c r="BG273" s="336">
        <v>1</v>
      </c>
      <c r="BH273" s="336"/>
      <c r="BI273" s="336"/>
      <c r="BJ273" s="336"/>
      <c r="BK273" s="336"/>
      <c r="BL273" s="336"/>
      <c r="BM273" s="336"/>
      <c r="BN273" s="336"/>
      <c r="BO273" s="336"/>
      <c r="BP273" s="336"/>
      <c r="BQ273" s="336"/>
      <c r="BR273" s="336"/>
      <c r="BS273" s="336"/>
      <c r="BT273" s="336"/>
      <c r="BU273" s="336"/>
      <c r="BV273" s="336"/>
      <c r="BW273" s="336"/>
      <c r="BX273" s="336"/>
      <c r="BY273" s="336"/>
      <c r="BZ273" s="336"/>
      <c r="CA273" s="336"/>
      <c r="CB273" s="336"/>
      <c r="CC273" s="336"/>
      <c r="CD273" s="336"/>
      <c r="CE273" s="336"/>
      <c r="CF273" s="336"/>
      <c r="CG273" s="336"/>
      <c r="CH273" s="336"/>
      <c r="CI273" s="336"/>
      <c r="CJ273" s="336"/>
      <c r="CK273" s="336"/>
      <c r="CL273" s="336"/>
      <c r="CM273" s="336"/>
      <c r="CN273" s="336"/>
      <c r="CO273" s="336"/>
      <c r="CP273" s="336"/>
      <c r="CQ273" s="336"/>
      <c r="CR273" s="336"/>
      <c r="CS273" s="336"/>
      <c r="CT273" s="336"/>
      <c r="CU273" s="336"/>
      <c r="CV273" s="336"/>
      <c r="CW273" s="336"/>
      <c r="CX273" s="336"/>
      <c r="CY273" s="336"/>
      <c r="CZ273" s="336"/>
      <c r="DA273" s="336"/>
      <c r="DB273" s="336"/>
      <c r="DC273" s="336"/>
      <c r="DD273" s="336"/>
      <c r="DE273" s="336"/>
      <c r="DF273" s="336"/>
      <c r="DG273" s="336"/>
      <c r="DH273" s="336"/>
      <c r="DI273" s="336"/>
      <c r="DJ273" s="336"/>
      <c r="DK273" s="336"/>
      <c r="DL273" s="336"/>
      <c r="DM273" s="336"/>
      <c r="DN273" s="336"/>
      <c r="DO273" s="336"/>
      <c r="DP273" s="336"/>
      <c r="DQ273" s="336"/>
      <c r="DR273" s="336"/>
      <c r="DS273" s="336"/>
      <c r="DT273" s="336"/>
      <c r="DU273" s="336"/>
      <c r="DW273" s="336">
        <f t="shared" si="1872"/>
        <v>0</v>
      </c>
      <c r="DX273" s="336">
        <f t="shared" si="1862"/>
        <v>15</v>
      </c>
      <c r="DY273" s="336">
        <f t="shared" si="1863"/>
        <v>15</v>
      </c>
      <c r="DZ273" s="336">
        <f t="shared" si="1864"/>
        <v>0</v>
      </c>
      <c r="EA273" s="336">
        <f t="shared" si="1865"/>
        <v>0</v>
      </c>
      <c r="EB273" s="336">
        <f t="shared" si="1866"/>
        <v>0</v>
      </c>
      <c r="EC273" s="336">
        <f t="shared" si="1867"/>
        <v>0</v>
      </c>
      <c r="ED273" s="336">
        <f t="shared" si="1774"/>
        <v>0</v>
      </c>
      <c r="EE273" s="336">
        <f t="shared" si="1775"/>
        <v>0</v>
      </c>
      <c r="EF273" s="336">
        <f t="shared" si="1776"/>
        <v>0</v>
      </c>
      <c r="EG273" s="336">
        <f t="shared" si="1777"/>
        <v>0</v>
      </c>
      <c r="EH273" s="336">
        <f t="shared" si="1778"/>
        <v>0</v>
      </c>
      <c r="EI273" s="336">
        <f t="shared" si="1779"/>
        <v>0</v>
      </c>
      <c r="EJ273" s="336">
        <f t="shared" si="1780"/>
        <v>0</v>
      </c>
      <c r="EK273" s="336">
        <f t="shared" si="1781"/>
        <v>0</v>
      </c>
      <c r="EL273" s="336">
        <f t="shared" si="1782"/>
        <v>0</v>
      </c>
      <c r="EM273" s="336">
        <f t="shared" si="1783"/>
        <v>0</v>
      </c>
      <c r="EN273" s="336">
        <f t="shared" si="1784"/>
        <v>0</v>
      </c>
      <c r="EO273" s="336">
        <f t="shared" si="1785"/>
        <v>0</v>
      </c>
      <c r="EP273" s="336">
        <f t="shared" si="1786"/>
        <v>0</v>
      </c>
      <c r="EQ273" s="336">
        <f t="shared" si="1787"/>
        <v>0</v>
      </c>
      <c r="ER273" s="336">
        <f t="shared" si="1788"/>
        <v>0</v>
      </c>
      <c r="ES273" s="336">
        <f t="shared" si="1789"/>
        <v>0</v>
      </c>
      <c r="ET273" s="336">
        <f t="shared" si="1789"/>
        <v>0</v>
      </c>
      <c r="EU273" s="336">
        <f t="shared" si="1790"/>
        <v>0</v>
      </c>
      <c r="EV273" s="336">
        <f t="shared" si="1791"/>
        <v>0</v>
      </c>
      <c r="EW273" s="336">
        <f t="shared" si="1792"/>
        <v>0</v>
      </c>
      <c r="EX273" s="336">
        <f t="shared" si="1793"/>
        <v>0</v>
      </c>
      <c r="EY273" s="336">
        <f t="shared" si="1794"/>
        <v>0</v>
      </c>
      <c r="EZ273" s="336">
        <f t="shared" si="1795"/>
        <v>0</v>
      </c>
      <c r="FA273" s="336">
        <f t="shared" si="1796"/>
        <v>0</v>
      </c>
      <c r="FB273" s="336">
        <f t="shared" si="1797"/>
        <v>0</v>
      </c>
      <c r="FC273" s="336">
        <f t="shared" si="1798"/>
        <v>0</v>
      </c>
      <c r="FD273" s="336">
        <f t="shared" si="1799"/>
        <v>0</v>
      </c>
      <c r="FE273" s="336">
        <f t="shared" si="1800"/>
        <v>0</v>
      </c>
      <c r="FF273" s="336">
        <f t="shared" si="1801"/>
        <v>0</v>
      </c>
      <c r="FG273" s="336">
        <f t="shared" si="1802"/>
        <v>0</v>
      </c>
      <c r="FH273" s="336">
        <f t="shared" si="1803"/>
        <v>0</v>
      </c>
      <c r="FI273" s="336">
        <f t="shared" si="1804"/>
        <v>0</v>
      </c>
      <c r="FJ273" s="336">
        <f t="shared" si="1805"/>
        <v>0</v>
      </c>
      <c r="FK273" s="336">
        <f t="shared" si="1806"/>
        <v>0</v>
      </c>
      <c r="FL273" s="336">
        <f t="shared" si="1807"/>
        <v>0</v>
      </c>
      <c r="FM273" s="336">
        <f t="shared" si="1808"/>
        <v>0</v>
      </c>
      <c r="FN273" s="336">
        <f t="shared" si="1809"/>
        <v>0</v>
      </c>
      <c r="FO273" s="336">
        <f t="shared" si="1810"/>
        <v>0</v>
      </c>
      <c r="FP273" s="336">
        <f t="shared" si="1811"/>
        <v>0</v>
      </c>
      <c r="FQ273" s="336">
        <f t="shared" si="1812"/>
        <v>0</v>
      </c>
      <c r="FR273" s="336">
        <f t="shared" si="1813"/>
        <v>0</v>
      </c>
      <c r="FS273" s="336">
        <f t="shared" si="1814"/>
        <v>0</v>
      </c>
      <c r="FT273" s="336">
        <f t="shared" si="1815"/>
        <v>0</v>
      </c>
      <c r="FU273" s="336">
        <f t="shared" si="1980"/>
        <v>0</v>
      </c>
      <c r="FV273" s="336">
        <f t="shared" si="1981"/>
        <v>0</v>
      </c>
      <c r="FW273" s="336">
        <f t="shared" si="1982"/>
        <v>0</v>
      </c>
      <c r="FX273" s="336">
        <f t="shared" si="1983"/>
        <v>0</v>
      </c>
      <c r="FY273" s="336">
        <f t="shared" si="1820"/>
        <v>0</v>
      </c>
      <c r="FZ273" s="336">
        <f t="shared" si="1821"/>
        <v>0</v>
      </c>
      <c r="GA273" s="336">
        <f t="shared" si="1822"/>
        <v>0</v>
      </c>
      <c r="GB273" s="336">
        <f t="shared" si="1823"/>
        <v>0</v>
      </c>
      <c r="GC273" s="336">
        <f t="shared" si="1824"/>
        <v>0</v>
      </c>
      <c r="GD273" s="336">
        <f t="shared" si="1825"/>
        <v>0</v>
      </c>
      <c r="GE273" s="336">
        <f t="shared" si="1826"/>
        <v>0</v>
      </c>
      <c r="GF273" s="336">
        <f t="shared" si="1827"/>
        <v>0</v>
      </c>
      <c r="GG273" s="336">
        <f t="shared" si="1828"/>
        <v>0</v>
      </c>
      <c r="GH273" s="336">
        <f t="shared" si="1829"/>
        <v>0</v>
      </c>
      <c r="GI273" s="336">
        <f t="shared" si="1830"/>
        <v>0</v>
      </c>
      <c r="GJ273" s="336">
        <f t="shared" si="1831"/>
        <v>0</v>
      </c>
      <c r="GK273" s="336">
        <f t="shared" si="1988"/>
        <v>0</v>
      </c>
      <c r="GL273" s="336">
        <f t="shared" si="1984"/>
        <v>0</v>
      </c>
      <c r="GM273" s="336">
        <f t="shared" si="1832"/>
        <v>0</v>
      </c>
    </row>
    <row r="274" spans="1:195" ht="20.100000000000001" customHeight="1">
      <c r="A274" s="388">
        <f t="shared" si="1985"/>
        <v>177</v>
      </c>
      <c r="B274" s="506" t="s">
        <v>527</v>
      </c>
      <c r="C274" s="388" t="s">
        <v>636</v>
      </c>
      <c r="D274" s="787" t="s">
        <v>1687</v>
      </c>
      <c r="E274" s="502" t="s">
        <v>555</v>
      </c>
      <c r="F274" s="522" t="s">
        <v>28</v>
      </c>
      <c r="G274" s="388" t="s">
        <v>329</v>
      </c>
      <c r="H274" s="583">
        <v>0.81</v>
      </c>
      <c r="I274" s="388" t="s">
        <v>330</v>
      </c>
      <c r="J274" s="388" t="s">
        <v>357</v>
      </c>
      <c r="K274" s="434">
        <v>230</v>
      </c>
      <c r="L274" s="401">
        <v>0.85</v>
      </c>
      <c r="M274" s="418">
        <v>0.95</v>
      </c>
      <c r="N274" s="392">
        <f t="shared" si="1904"/>
        <v>4.3612868488356442</v>
      </c>
      <c r="O274" s="392">
        <f t="shared" si="1899"/>
        <v>0</v>
      </c>
      <c r="P274" s="401" t="str">
        <f t="shared" si="1905"/>
        <v>0.00</v>
      </c>
      <c r="Q274" s="418">
        <v>65</v>
      </c>
      <c r="R274" s="418">
        <v>0</v>
      </c>
      <c r="S274" s="418">
        <f t="shared" si="1906"/>
        <v>0</v>
      </c>
      <c r="T274" s="401" t="s">
        <v>131</v>
      </c>
      <c r="U274" s="418" t="s">
        <v>333</v>
      </c>
      <c r="V274" s="401">
        <v>4</v>
      </c>
      <c r="W274" s="401" t="str">
        <f t="shared" si="1907"/>
        <v>3C X 4</v>
      </c>
      <c r="X274" s="401" t="str">
        <f t="shared" si="1908"/>
        <v>3C X 4</v>
      </c>
      <c r="Y274" s="401" t="s">
        <v>358</v>
      </c>
      <c r="Z274" s="393">
        <f>IF(T274="AIR",VLOOKUP(W274,'Catalogue Aluminium'!$B$9:$G$93,2,FALSE),IF(T274="GROUND",VLOOKUP(W274,'Catalogue Aluminium'!$B$9:$G$93,3,FALSE),IF(T274="DUCT",VLOOKUP(W274,'Catalogue Aluminium'!$B$9:$G$93,4,FALSE),IF(T274="TRENCH",VLOOKUP(W274,'Catalogue Aluminium'!$B$9:$G$93,2,FALSE)))))</f>
        <v>38</v>
      </c>
      <c r="AA274" s="402">
        <f>VLOOKUP(W274,'Catalogue Aluminium'!$B$9:$G$93,5,FALSE)</f>
        <v>5.9</v>
      </c>
      <c r="AB274" s="402">
        <f>VLOOKUP(W274,'Catalogue Aluminium'!$B$9:$G$93,6,FALSE)</f>
        <v>9.4700000000000006E-2</v>
      </c>
      <c r="AC274" s="457">
        <f t="shared" si="1976"/>
        <v>38</v>
      </c>
      <c r="AD274" s="401">
        <v>80</v>
      </c>
      <c r="AE274" s="401">
        <v>5</v>
      </c>
      <c r="AF274" s="401">
        <v>8</v>
      </c>
      <c r="AG274" s="401">
        <f t="shared" si="1911"/>
        <v>14</v>
      </c>
      <c r="AH274" s="436">
        <f t="shared" si="1912"/>
        <v>145</v>
      </c>
      <c r="AI274" s="393">
        <f>IF(T274="AIR",'Catalogue Aluminium'!$K$9,IF(T274="TRENCH",'Catalogue Aluminium'!$K$12,"NA"))</f>
        <v>0.89</v>
      </c>
      <c r="AJ274" s="392">
        <f>IF(T274="Air",(IF(U274="1C",'Catalogue Aluminium'!$L$9,'Catalogue Aluminium'!$M$9)),IF(T274="DUCT",(IF($U274="1C",'Catalogue Aluminium'!$L$10,'Catalogue Aluminium'!$M$10)),IF(T274="GROUND",(IF($U274="1C",'Catalogue Aluminium'!$L$11,'Catalogue Aluminium'!$M$11)),IF(T274="TRENCH",(IF($U274="1C",'Catalogue Aluminium'!$L$12,'Catalogue Aluminium'!$M$12))))))</f>
        <v>0.66</v>
      </c>
      <c r="AK274" s="393" t="str">
        <f>IF(T274="Air",'Catalogue Aluminium'!$N$9,IF(T274="GROUND",'Catalogue Aluminium'!$N$10,IF(T274="DUCT",'Catalogue Aluminium'!$N$11,IF(T274="TRENCH",'Catalogue Aluminium'!$N$12,"NA"))))</f>
        <v>NA</v>
      </c>
      <c r="AL274" s="393" t="str">
        <f>IF(T274="Air",(IF(U274="1C",'Catalogue Aluminium'!$O$9,'Catalogue Aluminium'!$P$9)),IF(T274="DUCT",(IF($U274="1C",'Catalogue Aluminium'!$O$10,'Catalogue Aluminium'!$P$10)),IF(T274="GROUND",(IF($U274="1C",'Catalogue Aluminium'!$O$11,'Catalogue Aluminium'!$P$11)),IF(T274="TRENCH",(IF($U274="1C",'Catalogue Aluminium'!$O$12,'Catalogue Aluminium'!$P$12))))))</f>
        <v>NA</v>
      </c>
      <c r="AM274" s="393" t="str">
        <f>IF(T274="AIR","NA",IF(T274="TRENCH","NA",IF(T274="DUCT",IF(U274="1C",VLOOKUP(V274,'Catalogue Aluminium'!$Q$9:$S$28,2,FALSE),VLOOKUP(V274,'Catalogue Aluminium'!$Q$9:$S$28,3)),IF(T274="GROUND",IF(U274="1C",VLOOKUP(V274,'Catalogue Aluminium'!$Q$9:$S$28,2,FALSE),VLOOKUP(V274,'Catalogue Aluminium'!$Q$9:$S$28,3))))))</f>
        <v>NA</v>
      </c>
      <c r="AN274" s="437">
        <f t="shared" si="1913"/>
        <v>0.58740000000000003</v>
      </c>
      <c r="AO274" s="418">
        <f t="shared" si="1914"/>
        <v>22.321200000000001</v>
      </c>
      <c r="AP274" s="434">
        <f t="shared" si="1888"/>
        <v>1</v>
      </c>
      <c r="AQ274" s="418" t="str">
        <f t="shared" si="1915"/>
        <v>YES</v>
      </c>
      <c r="AR274" s="437">
        <f t="shared" si="1916"/>
        <v>2.4120435657622825</v>
      </c>
      <c r="AS274" s="401" t="str">
        <f t="shared" si="1917"/>
        <v>YES</v>
      </c>
      <c r="AT274" s="437" t="str">
        <f t="shared" si="1918"/>
        <v>NA</v>
      </c>
      <c r="AU274" s="401" t="str">
        <f t="shared" si="1919"/>
        <v>NA</v>
      </c>
      <c r="AV274" s="503" t="str">
        <f t="shared" si="1920"/>
        <v>1R x 0.6/1kV x 3C x 4 Sqmm</v>
      </c>
      <c r="AW274" s="503" t="str">
        <f t="shared" si="1921"/>
        <v>1R x 0.6/1kV x 3C x 4 Sqmm</v>
      </c>
      <c r="AX274" s="401">
        <f t="shared" si="1977"/>
        <v>145</v>
      </c>
      <c r="AY274" s="504"/>
      <c r="AZ274" s="504">
        <f t="shared" si="1978"/>
        <v>2</v>
      </c>
      <c r="BA274" s="438" t="str">
        <f t="shared" si="1971"/>
        <v>AB</v>
      </c>
      <c r="BB274" s="505">
        <f>VLOOKUP(W274,'Catalogue Aluminium'!$B$9:$H$93,7,FALSE)</f>
        <v>15</v>
      </c>
      <c r="BC274" s="439">
        <f t="shared" si="1979"/>
        <v>15</v>
      </c>
      <c r="BE274" s="336"/>
      <c r="BF274" s="336">
        <v>1</v>
      </c>
      <c r="BG274" s="336">
        <v>1</v>
      </c>
      <c r="BH274" s="336"/>
      <c r="BI274" s="336"/>
      <c r="BJ274" s="336"/>
      <c r="BK274" s="336"/>
      <c r="BL274" s="336"/>
      <c r="BM274" s="336"/>
      <c r="BN274" s="336"/>
      <c r="BO274" s="336"/>
      <c r="BP274" s="336"/>
      <c r="BQ274" s="336"/>
      <c r="BR274" s="336"/>
      <c r="BS274" s="336"/>
      <c r="BT274" s="336"/>
      <c r="BU274" s="336"/>
      <c r="BV274" s="336"/>
      <c r="BW274" s="336"/>
      <c r="BX274" s="336"/>
      <c r="BY274" s="336"/>
      <c r="BZ274" s="336"/>
      <c r="CA274" s="336"/>
      <c r="CB274" s="336"/>
      <c r="CC274" s="336"/>
      <c r="CD274" s="336"/>
      <c r="CE274" s="336"/>
      <c r="CF274" s="336"/>
      <c r="CG274" s="336"/>
      <c r="CH274" s="336"/>
      <c r="CI274" s="336"/>
      <c r="CJ274" s="336"/>
      <c r="CK274" s="336"/>
      <c r="CL274" s="336"/>
      <c r="CM274" s="336"/>
      <c r="CN274" s="336"/>
      <c r="CO274" s="336"/>
      <c r="CP274" s="336"/>
      <c r="CQ274" s="336"/>
      <c r="CR274" s="336"/>
      <c r="CS274" s="336"/>
      <c r="CT274" s="336"/>
      <c r="CU274" s="336"/>
      <c r="CV274" s="336"/>
      <c r="CW274" s="336"/>
      <c r="CX274" s="336"/>
      <c r="CY274" s="336"/>
      <c r="CZ274" s="336"/>
      <c r="DA274" s="336"/>
      <c r="DB274" s="336"/>
      <c r="DC274" s="336"/>
      <c r="DD274" s="336"/>
      <c r="DE274" s="336"/>
      <c r="DF274" s="336"/>
      <c r="DG274" s="336"/>
      <c r="DH274" s="336"/>
      <c r="DI274" s="336"/>
      <c r="DJ274" s="336"/>
      <c r="DK274" s="336"/>
      <c r="DL274" s="336"/>
      <c r="DM274" s="336"/>
      <c r="DN274" s="336"/>
      <c r="DO274" s="336"/>
      <c r="DP274" s="336"/>
      <c r="DQ274" s="336"/>
      <c r="DR274" s="336"/>
      <c r="DS274" s="336"/>
      <c r="DT274" s="336"/>
      <c r="DU274" s="336"/>
      <c r="DW274" s="336">
        <f t="shared" si="1872"/>
        <v>0</v>
      </c>
      <c r="DX274" s="336">
        <f t="shared" si="1862"/>
        <v>15</v>
      </c>
      <c r="DY274" s="336">
        <f t="shared" si="1863"/>
        <v>15</v>
      </c>
      <c r="DZ274" s="336">
        <f t="shared" si="1864"/>
        <v>0</v>
      </c>
      <c r="EA274" s="336">
        <f t="shared" si="1865"/>
        <v>0</v>
      </c>
      <c r="EB274" s="336">
        <f t="shared" si="1866"/>
        <v>0</v>
      </c>
      <c r="EC274" s="336">
        <f t="shared" si="1867"/>
        <v>0</v>
      </c>
      <c r="ED274" s="336">
        <f t="shared" si="1774"/>
        <v>0</v>
      </c>
      <c r="EE274" s="336">
        <f t="shared" si="1775"/>
        <v>0</v>
      </c>
      <c r="EF274" s="336">
        <f t="shared" si="1776"/>
        <v>0</v>
      </c>
      <c r="EG274" s="336">
        <f t="shared" si="1777"/>
        <v>0</v>
      </c>
      <c r="EH274" s="336">
        <f t="shared" si="1778"/>
        <v>0</v>
      </c>
      <c r="EI274" s="336">
        <f t="shared" si="1779"/>
        <v>0</v>
      </c>
      <c r="EJ274" s="336">
        <f t="shared" si="1780"/>
        <v>0</v>
      </c>
      <c r="EK274" s="336">
        <f t="shared" si="1781"/>
        <v>0</v>
      </c>
      <c r="EL274" s="336">
        <f t="shared" si="1782"/>
        <v>0</v>
      </c>
      <c r="EM274" s="336">
        <f t="shared" si="1783"/>
        <v>0</v>
      </c>
      <c r="EN274" s="336">
        <f t="shared" si="1784"/>
        <v>0</v>
      </c>
      <c r="EO274" s="336">
        <f t="shared" si="1785"/>
        <v>0</v>
      </c>
      <c r="EP274" s="336">
        <f t="shared" si="1786"/>
        <v>0</v>
      </c>
      <c r="EQ274" s="336">
        <f t="shared" si="1787"/>
        <v>0</v>
      </c>
      <c r="ER274" s="336">
        <f t="shared" si="1788"/>
        <v>0</v>
      </c>
      <c r="ES274" s="336">
        <f t="shared" si="1789"/>
        <v>0</v>
      </c>
      <c r="ET274" s="336">
        <f t="shared" si="1789"/>
        <v>0</v>
      </c>
      <c r="EU274" s="336">
        <f t="shared" si="1790"/>
        <v>0</v>
      </c>
      <c r="EV274" s="336">
        <f t="shared" si="1791"/>
        <v>0</v>
      </c>
      <c r="EW274" s="336">
        <f t="shared" si="1792"/>
        <v>0</v>
      </c>
      <c r="EX274" s="336">
        <f t="shared" si="1793"/>
        <v>0</v>
      </c>
      <c r="EY274" s="336">
        <f t="shared" si="1794"/>
        <v>0</v>
      </c>
      <c r="EZ274" s="336">
        <f t="shared" si="1795"/>
        <v>0</v>
      </c>
      <c r="FA274" s="336">
        <f t="shared" si="1796"/>
        <v>0</v>
      </c>
      <c r="FB274" s="336">
        <f t="shared" si="1797"/>
        <v>0</v>
      </c>
      <c r="FC274" s="336">
        <f t="shared" si="1798"/>
        <v>0</v>
      </c>
      <c r="FD274" s="336">
        <f t="shared" si="1799"/>
        <v>0</v>
      </c>
      <c r="FE274" s="336">
        <f t="shared" si="1800"/>
        <v>0</v>
      </c>
      <c r="FF274" s="336">
        <f t="shared" si="1801"/>
        <v>0</v>
      </c>
      <c r="FG274" s="336">
        <f t="shared" si="1802"/>
        <v>0</v>
      </c>
      <c r="FH274" s="336">
        <f t="shared" si="1803"/>
        <v>0</v>
      </c>
      <c r="FI274" s="336">
        <f t="shared" si="1804"/>
        <v>0</v>
      </c>
      <c r="FJ274" s="336">
        <f t="shared" si="1805"/>
        <v>0</v>
      </c>
      <c r="FK274" s="336">
        <f t="shared" si="1806"/>
        <v>0</v>
      </c>
      <c r="FL274" s="336">
        <f t="shared" si="1807"/>
        <v>0</v>
      </c>
      <c r="FM274" s="336">
        <f t="shared" si="1808"/>
        <v>0</v>
      </c>
      <c r="FN274" s="336">
        <f t="shared" si="1809"/>
        <v>0</v>
      </c>
      <c r="FO274" s="336">
        <f t="shared" si="1810"/>
        <v>0</v>
      </c>
      <c r="FP274" s="336">
        <f t="shared" si="1811"/>
        <v>0</v>
      </c>
      <c r="FQ274" s="336">
        <f t="shared" si="1812"/>
        <v>0</v>
      </c>
      <c r="FR274" s="336">
        <f t="shared" si="1813"/>
        <v>0</v>
      </c>
      <c r="FS274" s="336">
        <f t="shared" si="1814"/>
        <v>0</v>
      </c>
      <c r="FT274" s="336">
        <f t="shared" si="1815"/>
        <v>0</v>
      </c>
      <c r="FU274" s="336">
        <f t="shared" si="1980"/>
        <v>0</v>
      </c>
      <c r="FV274" s="336">
        <f t="shared" si="1981"/>
        <v>0</v>
      </c>
      <c r="FW274" s="336">
        <f t="shared" si="1982"/>
        <v>0</v>
      </c>
      <c r="FX274" s="336">
        <f t="shared" si="1983"/>
        <v>0</v>
      </c>
      <c r="FY274" s="336">
        <f t="shared" si="1820"/>
        <v>0</v>
      </c>
      <c r="FZ274" s="336">
        <f t="shared" si="1821"/>
        <v>0</v>
      </c>
      <c r="GA274" s="336">
        <f t="shared" si="1822"/>
        <v>0</v>
      </c>
      <c r="GB274" s="336">
        <f t="shared" si="1823"/>
        <v>0</v>
      </c>
      <c r="GC274" s="336">
        <f t="shared" si="1824"/>
        <v>0</v>
      </c>
      <c r="GD274" s="336">
        <f t="shared" si="1825"/>
        <v>0</v>
      </c>
      <c r="GE274" s="336">
        <f t="shared" si="1826"/>
        <v>0</v>
      </c>
      <c r="GF274" s="336">
        <f t="shared" si="1827"/>
        <v>0</v>
      </c>
      <c r="GG274" s="336">
        <f t="shared" si="1828"/>
        <v>0</v>
      </c>
      <c r="GH274" s="336">
        <f t="shared" si="1829"/>
        <v>0</v>
      </c>
      <c r="GI274" s="336">
        <f t="shared" si="1830"/>
        <v>0</v>
      </c>
      <c r="GJ274" s="336">
        <f t="shared" si="1831"/>
        <v>0</v>
      </c>
      <c r="GK274" s="336">
        <f t="shared" si="1988"/>
        <v>0</v>
      </c>
      <c r="GL274" s="336">
        <f t="shared" si="1984"/>
        <v>0</v>
      </c>
      <c r="GM274" s="336">
        <f t="shared" si="1832"/>
        <v>0</v>
      </c>
    </row>
    <row r="275" spans="1:195" s="76" customFormat="1" ht="31.5" customHeight="1">
      <c r="A275" s="373"/>
      <c r="B275" s="373"/>
      <c r="C275" s="373"/>
      <c r="D275" s="508" t="s">
        <v>714</v>
      </c>
      <c r="E275" s="509"/>
      <c r="F275" s="510"/>
      <c r="G275" s="373"/>
      <c r="H275" s="382"/>
      <c r="I275" s="373"/>
      <c r="J275" s="373"/>
      <c r="K275" s="381"/>
      <c r="L275" s="376"/>
      <c r="M275" s="382"/>
      <c r="N275" s="375"/>
      <c r="O275" s="375"/>
      <c r="P275" s="376"/>
      <c r="Q275" s="382"/>
      <c r="R275" s="382"/>
      <c r="S275" s="382"/>
      <c r="T275" s="376"/>
      <c r="U275" s="382"/>
      <c r="V275" s="376"/>
      <c r="W275" s="376"/>
      <c r="X275" s="376"/>
      <c r="Y275" s="376"/>
      <c r="Z275" s="377"/>
      <c r="AA275" s="378"/>
      <c r="AB275" s="378"/>
      <c r="AC275" s="378"/>
      <c r="AD275" s="378"/>
      <c r="AE275" s="378"/>
      <c r="AF275" s="378"/>
      <c r="AG275" s="378"/>
      <c r="AH275" s="380"/>
      <c r="AI275" s="377"/>
      <c r="AJ275" s="375"/>
      <c r="AK275" s="377"/>
      <c r="AL275" s="377"/>
      <c r="AM275" s="377"/>
      <c r="AN275" s="383"/>
      <c r="AO275" s="382"/>
      <c r="AP275" s="381"/>
      <c r="AQ275" s="382"/>
      <c r="AR275" s="383"/>
      <c r="AS275" s="376"/>
      <c r="AT275" s="383"/>
      <c r="AU275" s="383"/>
      <c r="AV275" s="384"/>
      <c r="AW275" s="384"/>
      <c r="AX275" s="376"/>
      <c r="AY275" s="385"/>
      <c r="AZ275" s="385"/>
      <c r="BA275" s="513" t="str">
        <f t="shared" si="1902"/>
        <v/>
      </c>
      <c r="BB275" s="513"/>
      <c r="BC275" s="513"/>
      <c r="BE275" s="513"/>
      <c r="BF275" s="513"/>
      <c r="BG275" s="513"/>
      <c r="BH275" s="513"/>
      <c r="BI275" s="513"/>
      <c r="BJ275" s="513"/>
      <c r="BK275" s="513"/>
      <c r="BL275" s="513"/>
      <c r="BM275" s="513"/>
      <c r="BN275" s="513"/>
      <c r="BO275" s="513"/>
      <c r="BP275" s="513"/>
      <c r="BQ275" s="513"/>
      <c r="BR275" s="513"/>
      <c r="BS275" s="513"/>
      <c r="BT275" s="513"/>
      <c r="BU275" s="513"/>
      <c r="BV275" s="513"/>
      <c r="BW275" s="513"/>
      <c r="BX275" s="513"/>
      <c r="BY275" s="513"/>
      <c r="BZ275" s="513"/>
      <c r="CA275" s="513"/>
      <c r="CB275" s="513"/>
      <c r="CC275" s="513"/>
      <c r="CD275" s="513"/>
      <c r="CE275" s="513"/>
      <c r="CF275" s="513"/>
      <c r="CG275" s="513"/>
      <c r="CH275" s="513"/>
      <c r="CI275" s="513"/>
      <c r="CJ275" s="513"/>
      <c r="CK275" s="513"/>
      <c r="CL275" s="513"/>
      <c r="CM275" s="513"/>
      <c r="CN275" s="513"/>
      <c r="CO275" s="513"/>
      <c r="CP275" s="513"/>
      <c r="CQ275" s="513"/>
      <c r="CR275" s="513"/>
      <c r="CS275" s="513"/>
      <c r="CT275" s="513"/>
      <c r="CU275" s="513"/>
      <c r="CV275" s="513"/>
      <c r="CW275" s="513"/>
      <c r="CX275" s="513"/>
      <c r="CY275" s="513"/>
      <c r="CZ275" s="513"/>
      <c r="DA275" s="513"/>
      <c r="DB275" s="513"/>
      <c r="DC275" s="513"/>
      <c r="DD275" s="513"/>
      <c r="DE275" s="513"/>
      <c r="DF275" s="513"/>
      <c r="DG275" s="513"/>
      <c r="DH275" s="513"/>
      <c r="DI275" s="513"/>
      <c r="DJ275" s="513"/>
      <c r="DK275" s="513"/>
      <c r="DL275" s="513"/>
      <c r="DM275" s="513"/>
      <c r="DN275" s="513"/>
      <c r="DO275" s="513"/>
      <c r="DP275" s="513"/>
      <c r="DQ275" s="513"/>
      <c r="DR275" s="513"/>
      <c r="DS275" s="513"/>
      <c r="DT275" s="513"/>
      <c r="DU275" s="513"/>
      <c r="DV275" s="61"/>
      <c r="DW275" s="336">
        <f t="shared" si="1872"/>
        <v>0</v>
      </c>
      <c r="DX275" s="336">
        <f t="shared" si="1862"/>
        <v>0</v>
      </c>
      <c r="DY275" s="336">
        <f t="shared" si="1863"/>
        <v>0</v>
      </c>
      <c r="DZ275" s="336">
        <f t="shared" si="1864"/>
        <v>0</v>
      </c>
      <c r="EA275" s="336">
        <f t="shared" si="1865"/>
        <v>0</v>
      </c>
      <c r="EB275" s="336">
        <f t="shared" si="1866"/>
        <v>0</v>
      </c>
      <c r="EC275" s="336">
        <f t="shared" si="1867"/>
        <v>0</v>
      </c>
      <c r="ED275" s="336">
        <f t="shared" si="1774"/>
        <v>0</v>
      </c>
      <c r="EE275" s="336">
        <f t="shared" si="1775"/>
        <v>0</v>
      </c>
      <c r="EF275" s="336">
        <f t="shared" si="1776"/>
        <v>0</v>
      </c>
      <c r="EG275" s="336">
        <f t="shared" si="1777"/>
        <v>0</v>
      </c>
      <c r="EH275" s="336">
        <f t="shared" si="1778"/>
        <v>0</v>
      </c>
      <c r="EI275" s="336">
        <f t="shared" si="1779"/>
        <v>0</v>
      </c>
      <c r="EJ275" s="336">
        <f t="shared" si="1780"/>
        <v>0</v>
      </c>
      <c r="EK275" s="336">
        <f t="shared" si="1781"/>
        <v>0</v>
      </c>
      <c r="EL275" s="336">
        <f t="shared" si="1782"/>
        <v>0</v>
      </c>
      <c r="EM275" s="336">
        <f t="shared" si="1783"/>
        <v>0</v>
      </c>
      <c r="EN275" s="336">
        <f t="shared" si="1784"/>
        <v>0</v>
      </c>
      <c r="EO275" s="336">
        <f t="shared" si="1785"/>
        <v>0</v>
      </c>
      <c r="EP275" s="336">
        <f t="shared" si="1786"/>
        <v>0</v>
      </c>
      <c r="EQ275" s="336">
        <f t="shared" si="1787"/>
        <v>0</v>
      </c>
      <c r="ER275" s="336">
        <f t="shared" si="1788"/>
        <v>0</v>
      </c>
      <c r="ES275" s="336">
        <f t="shared" si="1789"/>
        <v>0</v>
      </c>
      <c r="ET275" s="336">
        <f t="shared" si="1789"/>
        <v>0</v>
      </c>
      <c r="EU275" s="336">
        <f t="shared" si="1790"/>
        <v>0</v>
      </c>
      <c r="EV275" s="336">
        <f t="shared" si="1791"/>
        <v>0</v>
      </c>
      <c r="EW275" s="336">
        <f t="shared" si="1792"/>
        <v>0</v>
      </c>
      <c r="EX275" s="336">
        <f t="shared" si="1793"/>
        <v>0</v>
      </c>
      <c r="EY275" s="336">
        <f t="shared" si="1794"/>
        <v>0</v>
      </c>
      <c r="EZ275" s="336">
        <f t="shared" si="1795"/>
        <v>0</v>
      </c>
      <c r="FA275" s="336">
        <f t="shared" si="1796"/>
        <v>0</v>
      </c>
      <c r="FB275" s="336">
        <f t="shared" si="1797"/>
        <v>0</v>
      </c>
      <c r="FC275" s="336">
        <f t="shared" si="1798"/>
        <v>0</v>
      </c>
      <c r="FD275" s="336">
        <f t="shared" si="1799"/>
        <v>0</v>
      </c>
      <c r="FE275" s="336">
        <f t="shared" si="1800"/>
        <v>0</v>
      </c>
      <c r="FF275" s="336">
        <f t="shared" si="1801"/>
        <v>0</v>
      </c>
      <c r="FG275" s="336">
        <f t="shared" si="1802"/>
        <v>0</v>
      </c>
      <c r="FH275" s="336">
        <f t="shared" si="1803"/>
        <v>0</v>
      </c>
      <c r="FI275" s="336">
        <f t="shared" si="1804"/>
        <v>0</v>
      </c>
      <c r="FJ275" s="336">
        <f t="shared" si="1805"/>
        <v>0</v>
      </c>
      <c r="FK275" s="336">
        <f t="shared" si="1806"/>
        <v>0</v>
      </c>
      <c r="FL275" s="336">
        <f t="shared" si="1807"/>
        <v>0</v>
      </c>
      <c r="FM275" s="336">
        <f t="shared" si="1808"/>
        <v>0</v>
      </c>
      <c r="FN275" s="336">
        <f t="shared" si="1809"/>
        <v>0</v>
      </c>
      <c r="FO275" s="492">
        <f t="shared" si="1810"/>
        <v>0</v>
      </c>
      <c r="FP275" s="492">
        <f t="shared" si="1811"/>
        <v>0</v>
      </c>
      <c r="FQ275" s="492">
        <f t="shared" si="1812"/>
        <v>0</v>
      </c>
      <c r="FR275" s="492">
        <f t="shared" si="1813"/>
        <v>0</v>
      </c>
      <c r="FS275" s="492">
        <f t="shared" si="1814"/>
        <v>0</v>
      </c>
      <c r="FT275" s="492">
        <f t="shared" si="1815"/>
        <v>0</v>
      </c>
      <c r="FU275" s="336">
        <f t="shared" si="1980"/>
        <v>0</v>
      </c>
      <c r="FV275" s="336">
        <f t="shared" si="1981"/>
        <v>0</v>
      </c>
      <c r="FW275" s="336">
        <f t="shared" si="1982"/>
        <v>0</v>
      </c>
      <c r="FX275" s="336">
        <f t="shared" si="1983"/>
        <v>0</v>
      </c>
      <c r="FY275" s="492">
        <f t="shared" si="1820"/>
        <v>0</v>
      </c>
      <c r="FZ275" s="492">
        <f t="shared" si="1821"/>
        <v>0</v>
      </c>
      <c r="GA275" s="492">
        <f t="shared" si="1822"/>
        <v>0</v>
      </c>
      <c r="GB275" s="492">
        <f t="shared" si="1823"/>
        <v>0</v>
      </c>
      <c r="GC275" s="492">
        <f t="shared" si="1824"/>
        <v>0</v>
      </c>
      <c r="GD275" s="492">
        <f t="shared" si="1825"/>
        <v>0</v>
      </c>
      <c r="GE275" s="492">
        <f t="shared" si="1826"/>
        <v>0</v>
      </c>
      <c r="GF275" s="492">
        <f t="shared" si="1827"/>
        <v>0</v>
      </c>
      <c r="GG275" s="492">
        <f t="shared" si="1828"/>
        <v>0</v>
      </c>
      <c r="GH275" s="492">
        <f t="shared" si="1829"/>
        <v>0</v>
      </c>
      <c r="GI275" s="492">
        <f t="shared" si="1830"/>
        <v>0</v>
      </c>
      <c r="GJ275" s="492">
        <f t="shared" si="1831"/>
        <v>0</v>
      </c>
      <c r="GK275" s="492">
        <f t="shared" si="1988"/>
        <v>0</v>
      </c>
      <c r="GL275" s="336">
        <f t="shared" si="1984"/>
        <v>0</v>
      </c>
      <c r="GM275" s="492">
        <f t="shared" si="1832"/>
        <v>0</v>
      </c>
    </row>
    <row r="276" spans="1:195" s="888" customFormat="1" ht="20.100000000000001" hidden="1" customHeight="1">
      <c r="A276" s="870" t="s">
        <v>334</v>
      </c>
      <c r="B276" s="871" t="s">
        <v>527</v>
      </c>
      <c r="C276" s="870" t="s">
        <v>636</v>
      </c>
      <c r="D276" s="872" t="s">
        <v>715</v>
      </c>
      <c r="E276" s="899" t="s">
        <v>450</v>
      </c>
      <c r="F276" s="870" t="s">
        <v>28</v>
      </c>
      <c r="G276" s="870" t="s">
        <v>350</v>
      </c>
      <c r="H276" s="877">
        <v>1</v>
      </c>
      <c r="I276" s="870" t="s">
        <v>330</v>
      </c>
      <c r="J276" s="870" t="s">
        <v>331</v>
      </c>
      <c r="K276" s="875">
        <v>400</v>
      </c>
      <c r="L276" s="876">
        <v>0.85</v>
      </c>
      <c r="M276" s="877">
        <v>0.95</v>
      </c>
      <c r="N276" s="878">
        <f t="shared" ref="N276" si="1989">IF(I276="kVA",IF(J276="3Ph",(H276*1000/(1.732*M276*K276)),(H276*1000/(M276*K276))),IF(I276="kW",IF(J276="3Ph",(H276*1000/(1.732*M276*K276*L276)),(H276*1000/(M276*K276*L276)))))</f>
        <v>1.7875145682437314</v>
      </c>
      <c r="O276" s="878">
        <f t="shared" ref="O276" si="1990">IF(G276="MOTOR",(6*N276),IF(G276="VFD",(1*N276),0))</f>
        <v>10.72508740946239</v>
      </c>
      <c r="P276" s="876">
        <f t="shared" ref="P276" si="1991">IF(G276="MOTOR",0.2,"0.00")</f>
        <v>0.2</v>
      </c>
      <c r="Q276" s="877">
        <v>65</v>
      </c>
      <c r="R276" s="877">
        <v>0</v>
      </c>
      <c r="S276" s="877">
        <f t="shared" ref="S276" si="1992">(Q276*1000*SQRT(R276)/143)</f>
        <v>0</v>
      </c>
      <c r="T276" s="876" t="s">
        <v>131</v>
      </c>
      <c r="U276" s="877" t="s">
        <v>333</v>
      </c>
      <c r="V276" s="876">
        <v>16</v>
      </c>
      <c r="W276" s="876" t="str">
        <f t="shared" ref="W276" si="1993">CONCATENATE(U276," X ",V276)</f>
        <v>3C X 16</v>
      </c>
      <c r="X276" s="876" t="str">
        <f t="shared" ref="X276" si="1994">(IF(J276="1Ph",W276,IF(J276="3Ph",(IF(G276="MOTOR",(CONCATENATE(W276,"+PE")),W276)))))</f>
        <v>3C X 16+PE</v>
      </c>
      <c r="Y276" s="876" t="s">
        <v>358</v>
      </c>
      <c r="Z276" s="879">
        <f>IF(T276="AIR",VLOOKUP(W276,'Catalogue Aluminium'!$B$9:$G$93,2,FALSE),IF(T276="GROUND",VLOOKUP(W276,'Catalogue Aluminium'!$B$9:$G$93,3,FALSE),IF(T276="DUCT",VLOOKUP(W276,'Catalogue Aluminium'!$B$9:$G$93,4,FALSE),IF(T276="TRENCH",VLOOKUP(W276,'Catalogue Aluminium'!$B$9:$G$93,2,FALSE)))))</f>
        <v>70</v>
      </c>
      <c r="AA276" s="880">
        <f>VLOOKUP(W276,'Catalogue Aluminium'!$B$9:$G$93,5,FALSE)</f>
        <v>2.44</v>
      </c>
      <c r="AB276" s="880">
        <f>VLOOKUP(W276,'Catalogue Aluminium'!$B$9:$G$93,6,FALSE)</f>
        <v>8.1500000000000003E-2</v>
      </c>
      <c r="AC276" s="900">
        <f t="shared" ref="AC276" si="1995">32+6</f>
        <v>38</v>
      </c>
      <c r="AD276" s="876">
        <f>40+50+38+48+58+60+18+30+900</f>
        <v>1242</v>
      </c>
      <c r="AE276" s="876">
        <f t="shared" si="1910"/>
        <v>38</v>
      </c>
      <c r="AF276" s="876">
        <v>8</v>
      </c>
      <c r="AG276" s="876">
        <f t="shared" ref="AG276" si="1996">ROUNDUP((SUM(AC276:AF276)*0.1),0)</f>
        <v>133</v>
      </c>
      <c r="AH276" s="881">
        <f t="shared" ref="AH276" si="1997">SUM(AC276:AG276)</f>
        <v>1459</v>
      </c>
      <c r="AI276" s="879">
        <f>IF(T276="AIR",'Catalogue Aluminium'!$K$9,IF(T276="TRENCH",'Catalogue Aluminium'!$K$12,"NA"))</f>
        <v>0.89</v>
      </c>
      <c r="AJ276" s="878">
        <f>IF(T276="Air",(IF(U276="1C",'Catalogue Aluminium'!$L$9,'Catalogue Aluminium'!$M$9)),IF(T276="DUCT",(IF($U276="1C",'Catalogue Aluminium'!$L$10,'Catalogue Aluminium'!$M$10)),IF(T276="GROUND",(IF($U276="1C",'Catalogue Aluminium'!$L$11,'Catalogue Aluminium'!$M$11)),IF(T276="TRENCH",(IF($U276="1C",'Catalogue Aluminium'!$L$12,'Catalogue Aluminium'!$M$12))))))</f>
        <v>0.66</v>
      </c>
      <c r="AK276" s="879" t="str">
        <f>IF(T276="Air",'Catalogue Aluminium'!$N$9,IF(T276="GROUND",'Catalogue Aluminium'!$N$10,IF(T276="DUCT",'Catalogue Aluminium'!$N$11,IF(T276="TRENCH",'Catalogue Aluminium'!$N$12,"NA"))))</f>
        <v>NA</v>
      </c>
      <c r="AL276" s="879" t="str">
        <f>IF(T276="Air",(IF(U276="1C",'Catalogue Aluminium'!$O$9,'Catalogue Aluminium'!$P$9)),IF(T276="DUCT",(IF($U276="1C",'Catalogue Aluminium'!$O$10,'Catalogue Aluminium'!$P$10)),IF(T276="GROUND",(IF($U276="1C",'Catalogue Aluminium'!$O$11,'Catalogue Aluminium'!$P$11)),IF(T276="TRENCH",(IF($U276="1C",'Catalogue Aluminium'!$O$12,'Catalogue Aluminium'!$P$12))))))</f>
        <v>NA</v>
      </c>
      <c r="AM276" s="879" t="str">
        <f>IF(T276="AIR","NA",IF(T276="TRENCH","NA",IF(T276="DUCT",IF(U276="1C",VLOOKUP(V276,'Catalogue Aluminium'!$Q$9:$S$28,2,FALSE),VLOOKUP(V276,'Catalogue Aluminium'!$Q$9:$S$28,3)),IF(T276="GROUND",IF(U276="1C",VLOOKUP(V276,'Catalogue Aluminium'!$Q$9:$S$28,2,FALSE),VLOOKUP(V276,'Catalogue Aluminium'!$Q$9:$S$28,3))))))</f>
        <v>NA</v>
      </c>
      <c r="AN276" s="882">
        <f t="shared" ref="AN276" si="1998">IF(T276="AIR",AI276*AJ276,IF(T276="TRENCH",AI276*AJ276,IF(T276="DUCT",AJ276*AK276*AL276*AM276,IF(T276="GROUND",AJ276*AK276*AL276*AM276))))</f>
        <v>0.58740000000000003</v>
      </c>
      <c r="AO276" s="877">
        <f t="shared" ref="AO276" si="1999">Z276*AN276</f>
        <v>41.118000000000002</v>
      </c>
      <c r="AP276" s="875">
        <f t="shared" ref="AP276" si="2000">CEILING(((N276)/AO276),1)</f>
        <v>1</v>
      </c>
      <c r="AQ276" s="877" t="str">
        <f t="shared" ref="AQ276" si="2001">IF(AO276*AP276&gt;=N276,"YES","NO")</f>
        <v>YES</v>
      </c>
      <c r="AR276" s="882">
        <f t="shared" ref="AR276" si="2002">SQRT(3)*AH276*N276*((AA276*L276)+(AB276*SIN(ACOS(L276))))*100/(AP276*K276*1000)</f>
        <v>2.3906312246736272</v>
      </c>
      <c r="AS276" s="876" t="str">
        <f t="shared" ref="AS276" si="2003">IF(G276="INCOMER",(IF(AR276&lt;=2,"YES","NO")),IF(G276="POWER",(IF(AR276&lt;=2.5,"YES","NO")),IF(G276="MOTOR",(IF(AR276&lt;=3,"YES","NO")))))</f>
        <v>YES</v>
      </c>
      <c r="AT276" s="882">
        <f>IF(G276="MOTOR",(SQRT(3)*AH276*O276*((AA276*P276)+(AB276*SIN(ACOS(P276))))*100/(AP276*K276*1000)),"NA")</f>
        <v>3.8476270779150155</v>
      </c>
      <c r="AU276" s="876" t="str">
        <f>IF(G276="MOTOR",IF(AT276&lt;=15,"YES","NO"),"NA")</f>
        <v>YES</v>
      </c>
      <c r="AV276" s="883" t="str">
        <f>IF(U276="1C",CONCATENATE(AP276,"R x ",Y276,"kV x ",U276," x ",V276," Sqmm/Phase"),CONCATENATE(AP276,"R x ",0.6,"/1kV x ",U276," x ",V276," Sqmm"))</f>
        <v>1R x 0.6/1kV x 3C x 16 Sqmm</v>
      </c>
      <c r="AW276" s="883" t="str">
        <f>IF(U276="1C",CONCATENATE(AP276,"R x ",Y276,"kV x ",U276," x ",V276," Sqmm/Phase"),CONCATENATE(AP276,"R x ",0.6,"/1kV x ",U276," x ",V276,(IF(G276="MOTOR","+PE",""))," Sqmm"))</f>
        <v>1R x 0.6/1kV x 3C x 16+PE Sqmm</v>
      </c>
      <c r="AX276" s="876"/>
      <c r="AY276" s="884"/>
      <c r="AZ276" s="884"/>
      <c r="BA276" s="885"/>
      <c r="BB276" s="886"/>
      <c r="BC276" s="887"/>
      <c r="BE276" s="889"/>
      <c r="BF276" s="889">
        <v>1</v>
      </c>
      <c r="BG276" s="889"/>
      <c r="BH276" s="889"/>
      <c r="BI276" s="889">
        <v>1</v>
      </c>
      <c r="BJ276" s="889">
        <v>1</v>
      </c>
      <c r="BK276" s="889"/>
      <c r="BL276" s="889"/>
      <c r="BM276" s="889"/>
      <c r="BN276" s="889">
        <v>1</v>
      </c>
      <c r="BO276" s="889"/>
      <c r="BP276" s="889"/>
      <c r="BQ276" s="889"/>
      <c r="BR276" s="889"/>
      <c r="BS276" s="889"/>
      <c r="BT276" s="889"/>
      <c r="BU276" s="889"/>
      <c r="BV276" s="889">
        <v>1</v>
      </c>
      <c r="BW276" s="889">
        <v>1</v>
      </c>
      <c r="BX276" s="889">
        <v>1</v>
      </c>
      <c r="BY276" s="889"/>
      <c r="BZ276" s="889">
        <v>1</v>
      </c>
      <c r="CA276" s="889"/>
      <c r="CB276" s="889"/>
      <c r="CC276" s="889"/>
      <c r="CD276" s="889"/>
      <c r="CE276" s="889">
        <v>1</v>
      </c>
      <c r="CF276" s="889"/>
      <c r="CG276" s="889"/>
      <c r="CH276" s="889"/>
      <c r="CI276" s="889"/>
      <c r="CJ276" s="889"/>
      <c r="CK276" s="889"/>
      <c r="CL276" s="889"/>
      <c r="CM276" s="889"/>
      <c r="CN276" s="889"/>
      <c r="CO276" s="889"/>
      <c r="CP276" s="889"/>
      <c r="CQ276" s="889"/>
      <c r="CR276" s="889"/>
      <c r="CS276" s="889"/>
      <c r="CT276" s="889"/>
      <c r="CU276" s="889"/>
      <c r="CV276" s="889"/>
      <c r="CW276" s="889"/>
      <c r="CX276" s="889"/>
      <c r="CY276" s="889"/>
      <c r="CZ276" s="889"/>
      <c r="DA276" s="889"/>
      <c r="DB276" s="889"/>
      <c r="DC276" s="889"/>
      <c r="DD276" s="889"/>
      <c r="DE276" s="889"/>
      <c r="DF276" s="889"/>
      <c r="DG276" s="889"/>
      <c r="DH276" s="889"/>
      <c r="DI276" s="889"/>
      <c r="DJ276" s="889"/>
      <c r="DK276" s="889"/>
      <c r="DL276" s="889"/>
      <c r="DM276" s="889"/>
      <c r="DN276" s="889"/>
      <c r="DO276" s="889"/>
      <c r="DP276" s="889"/>
      <c r="DQ276" s="889"/>
      <c r="DR276" s="889"/>
      <c r="DS276" s="889"/>
      <c r="DT276" s="889"/>
      <c r="DU276" s="889"/>
      <c r="DW276" s="889">
        <f t="shared" si="1872"/>
        <v>0</v>
      </c>
      <c r="DX276" s="889">
        <f t="shared" si="1862"/>
        <v>0</v>
      </c>
      <c r="DY276" s="889">
        <f t="shared" si="1863"/>
        <v>0</v>
      </c>
      <c r="DZ276" s="889">
        <f t="shared" si="1864"/>
        <v>0</v>
      </c>
      <c r="EA276" s="889">
        <f t="shared" si="1865"/>
        <v>0</v>
      </c>
      <c r="EB276" s="889">
        <f t="shared" si="1866"/>
        <v>0</v>
      </c>
      <c r="EC276" s="889">
        <f t="shared" si="1867"/>
        <v>0</v>
      </c>
      <c r="ED276" s="889">
        <f t="shared" si="1774"/>
        <v>0</v>
      </c>
      <c r="EE276" s="889">
        <f t="shared" si="1775"/>
        <v>0</v>
      </c>
      <c r="EF276" s="889">
        <f t="shared" si="1776"/>
        <v>0</v>
      </c>
      <c r="EG276" s="889">
        <f t="shared" si="1777"/>
        <v>0</v>
      </c>
      <c r="EH276" s="889">
        <f t="shared" si="1778"/>
        <v>0</v>
      </c>
      <c r="EI276" s="889">
        <f t="shared" si="1779"/>
        <v>0</v>
      </c>
      <c r="EJ276" s="889">
        <f t="shared" si="1780"/>
        <v>0</v>
      </c>
      <c r="EK276" s="889">
        <f t="shared" si="1781"/>
        <v>0</v>
      </c>
      <c r="EL276" s="889">
        <f t="shared" si="1782"/>
        <v>0</v>
      </c>
      <c r="EM276" s="889">
        <f t="shared" si="1783"/>
        <v>0</v>
      </c>
      <c r="EN276" s="889">
        <f t="shared" si="1784"/>
        <v>0</v>
      </c>
      <c r="EO276" s="889">
        <f t="shared" si="1785"/>
        <v>0</v>
      </c>
      <c r="EP276" s="889">
        <f t="shared" si="1786"/>
        <v>0</v>
      </c>
      <c r="EQ276" s="889">
        <f t="shared" si="1787"/>
        <v>0</v>
      </c>
      <c r="ER276" s="889">
        <f t="shared" si="1788"/>
        <v>0</v>
      </c>
      <c r="ES276" s="889">
        <f t="shared" si="1789"/>
        <v>0</v>
      </c>
      <c r="ET276" s="889">
        <f t="shared" si="1789"/>
        <v>0</v>
      </c>
      <c r="EU276" s="889">
        <f t="shared" si="1790"/>
        <v>0</v>
      </c>
      <c r="EV276" s="889">
        <f t="shared" si="1791"/>
        <v>0</v>
      </c>
      <c r="EW276" s="889">
        <f t="shared" si="1792"/>
        <v>0</v>
      </c>
      <c r="EX276" s="889">
        <f t="shared" si="1793"/>
        <v>0</v>
      </c>
      <c r="EY276" s="889">
        <f t="shared" si="1794"/>
        <v>0</v>
      </c>
      <c r="EZ276" s="889">
        <f t="shared" si="1795"/>
        <v>0</v>
      </c>
      <c r="FA276" s="889">
        <f t="shared" si="1796"/>
        <v>0</v>
      </c>
      <c r="FB276" s="889">
        <f t="shared" si="1797"/>
        <v>0</v>
      </c>
      <c r="FC276" s="889">
        <f t="shared" si="1798"/>
        <v>0</v>
      </c>
      <c r="FD276" s="889">
        <f t="shared" si="1799"/>
        <v>0</v>
      </c>
      <c r="FE276" s="889">
        <f t="shared" si="1800"/>
        <v>0</v>
      </c>
      <c r="FF276" s="889">
        <f t="shared" si="1801"/>
        <v>0</v>
      </c>
      <c r="FG276" s="889">
        <f t="shared" si="1802"/>
        <v>0</v>
      </c>
      <c r="FH276" s="889">
        <f t="shared" si="1803"/>
        <v>0</v>
      </c>
      <c r="FI276" s="889">
        <f t="shared" si="1804"/>
        <v>0</v>
      </c>
      <c r="FJ276" s="889">
        <f t="shared" si="1805"/>
        <v>0</v>
      </c>
      <c r="FK276" s="889">
        <f t="shared" si="1806"/>
        <v>0</v>
      </c>
      <c r="FL276" s="889">
        <f t="shared" si="1807"/>
        <v>0</v>
      </c>
      <c r="FM276" s="889">
        <f t="shared" si="1808"/>
        <v>0</v>
      </c>
      <c r="FN276" s="889">
        <f t="shared" si="1809"/>
        <v>0</v>
      </c>
      <c r="FO276" s="889">
        <f t="shared" si="1810"/>
        <v>0</v>
      </c>
      <c r="FP276" s="889">
        <f t="shared" si="1811"/>
        <v>0</v>
      </c>
      <c r="FQ276" s="889">
        <f t="shared" si="1812"/>
        <v>0</v>
      </c>
      <c r="FR276" s="889">
        <f t="shared" si="1813"/>
        <v>0</v>
      </c>
      <c r="FS276" s="889">
        <f t="shared" si="1814"/>
        <v>0</v>
      </c>
      <c r="FT276" s="889">
        <f t="shared" si="1815"/>
        <v>0</v>
      </c>
      <c r="FU276" s="889">
        <f t="shared" si="1980"/>
        <v>0</v>
      </c>
      <c r="FV276" s="889">
        <f t="shared" si="1981"/>
        <v>0</v>
      </c>
      <c r="FW276" s="889">
        <f t="shared" si="1982"/>
        <v>0</v>
      </c>
      <c r="FX276" s="889">
        <f t="shared" si="1983"/>
        <v>0</v>
      </c>
      <c r="FY276" s="889">
        <f t="shared" si="1820"/>
        <v>0</v>
      </c>
      <c r="FZ276" s="889">
        <f t="shared" si="1821"/>
        <v>0</v>
      </c>
      <c r="GA276" s="889">
        <f t="shared" si="1822"/>
        <v>0</v>
      </c>
      <c r="GB276" s="889">
        <f t="shared" si="1823"/>
        <v>0</v>
      </c>
      <c r="GC276" s="889">
        <f t="shared" si="1824"/>
        <v>0</v>
      </c>
      <c r="GD276" s="889">
        <f t="shared" si="1825"/>
        <v>0</v>
      </c>
      <c r="GE276" s="889">
        <f t="shared" si="1826"/>
        <v>0</v>
      </c>
      <c r="GF276" s="889">
        <f t="shared" si="1827"/>
        <v>0</v>
      </c>
      <c r="GG276" s="889">
        <f t="shared" si="1828"/>
        <v>0</v>
      </c>
      <c r="GH276" s="889">
        <f t="shared" si="1829"/>
        <v>0</v>
      </c>
      <c r="GI276" s="889">
        <f t="shared" si="1830"/>
        <v>0</v>
      </c>
      <c r="GJ276" s="889">
        <f t="shared" si="1831"/>
        <v>0</v>
      </c>
      <c r="GK276" s="889">
        <f t="shared" si="1988"/>
        <v>0</v>
      </c>
      <c r="GL276" s="889">
        <f t="shared" si="1984"/>
        <v>0</v>
      </c>
      <c r="GM276" s="889">
        <f t="shared" si="1832"/>
        <v>0</v>
      </c>
    </row>
    <row r="277" spans="1:195" s="76" customFormat="1">
      <c r="A277" s="373"/>
      <c r="B277" s="373"/>
      <c r="C277" s="373"/>
      <c r="D277" s="508" t="s">
        <v>716</v>
      </c>
      <c r="E277" s="509"/>
      <c r="F277" s="510"/>
      <c r="G277" s="373"/>
      <c r="H277" s="382"/>
      <c r="I277" s="373"/>
      <c r="J277" s="373"/>
      <c r="K277" s="381"/>
      <c r="L277" s="376"/>
      <c r="M277" s="382"/>
      <c r="N277" s="375"/>
      <c r="O277" s="375"/>
      <c r="P277" s="376"/>
      <c r="Q277" s="382"/>
      <c r="R277" s="382"/>
      <c r="S277" s="382"/>
      <c r="T277" s="376"/>
      <c r="U277" s="382"/>
      <c r="V277" s="376"/>
      <c r="W277" s="376"/>
      <c r="X277" s="376"/>
      <c r="Y277" s="376"/>
      <c r="Z277" s="377"/>
      <c r="AA277" s="378"/>
      <c r="AB277" s="378"/>
      <c r="AC277" s="378"/>
      <c r="AD277" s="378"/>
      <c r="AE277" s="378"/>
      <c r="AF277" s="378"/>
      <c r="AG277" s="378"/>
      <c r="AH277" s="378"/>
      <c r="AI277" s="377"/>
      <c r="AJ277" s="375"/>
      <c r="AK277" s="377"/>
      <c r="AL277" s="377"/>
      <c r="AM277" s="377"/>
      <c r="AN277" s="383"/>
      <c r="AO277" s="382"/>
      <c r="AP277" s="381"/>
      <c r="AQ277" s="382"/>
      <c r="AR277" s="383"/>
      <c r="AS277" s="376"/>
      <c r="AT277" s="383"/>
      <c r="AU277" s="383"/>
      <c r="AV277" s="384"/>
      <c r="AW277" s="384"/>
      <c r="AX277" s="376"/>
      <c r="AY277" s="385"/>
      <c r="AZ277" s="385"/>
      <c r="BA277" s="513" t="str">
        <f t="shared" si="1902"/>
        <v/>
      </c>
      <c r="BB277" s="513"/>
      <c r="BC277" s="513"/>
      <c r="BE277" s="513"/>
      <c r="BF277" s="513"/>
      <c r="BG277" s="513"/>
      <c r="BH277" s="513"/>
      <c r="BI277" s="513"/>
      <c r="BJ277" s="513"/>
      <c r="BK277" s="513"/>
      <c r="BL277" s="513"/>
      <c r="BM277" s="513"/>
      <c r="BN277" s="513"/>
      <c r="BO277" s="513"/>
      <c r="BP277" s="513"/>
      <c r="BQ277" s="513"/>
      <c r="BR277" s="513"/>
      <c r="BS277" s="513"/>
      <c r="BT277" s="513"/>
      <c r="BU277" s="513"/>
      <c r="BV277" s="513"/>
      <c r="BW277" s="513"/>
      <c r="BX277" s="513"/>
      <c r="BY277" s="513"/>
      <c r="BZ277" s="513"/>
      <c r="CA277" s="513"/>
      <c r="CB277" s="513"/>
      <c r="CC277" s="513"/>
      <c r="CD277" s="513"/>
      <c r="CE277" s="513"/>
      <c r="CF277" s="513"/>
      <c r="CG277" s="513"/>
      <c r="CH277" s="513"/>
      <c r="CI277" s="513"/>
      <c r="CJ277" s="513"/>
      <c r="CK277" s="513"/>
      <c r="CL277" s="513"/>
      <c r="CM277" s="513"/>
      <c r="CN277" s="513"/>
      <c r="CO277" s="513"/>
      <c r="CP277" s="513"/>
      <c r="CQ277" s="513"/>
      <c r="CR277" s="513"/>
      <c r="CS277" s="513"/>
      <c r="CT277" s="513"/>
      <c r="CU277" s="513"/>
      <c r="CV277" s="513"/>
      <c r="CW277" s="513"/>
      <c r="CX277" s="513"/>
      <c r="CY277" s="513"/>
      <c r="CZ277" s="513"/>
      <c r="DA277" s="513"/>
      <c r="DB277" s="513"/>
      <c r="DC277" s="513"/>
      <c r="DD277" s="513"/>
      <c r="DE277" s="513"/>
      <c r="DF277" s="513"/>
      <c r="DG277" s="513"/>
      <c r="DH277" s="513"/>
      <c r="DI277" s="513"/>
      <c r="DJ277" s="513"/>
      <c r="DK277" s="513"/>
      <c r="DL277" s="513"/>
      <c r="DM277" s="513"/>
      <c r="DN277" s="513"/>
      <c r="DO277" s="513"/>
      <c r="DP277" s="513"/>
      <c r="DQ277" s="513"/>
      <c r="DR277" s="513"/>
      <c r="DS277" s="513"/>
      <c r="DT277" s="513"/>
      <c r="DU277" s="513"/>
      <c r="DV277" s="61"/>
      <c r="DW277" s="336">
        <f t="shared" si="1872"/>
        <v>0</v>
      </c>
      <c r="DX277" s="336">
        <f t="shared" si="1862"/>
        <v>0</v>
      </c>
      <c r="DY277" s="336">
        <f t="shared" si="1863"/>
        <v>0</v>
      </c>
      <c r="DZ277" s="336">
        <f t="shared" si="1864"/>
        <v>0</v>
      </c>
      <c r="EA277" s="336">
        <f t="shared" si="1865"/>
        <v>0</v>
      </c>
      <c r="EB277" s="336">
        <f t="shared" si="1866"/>
        <v>0</v>
      </c>
      <c r="EC277" s="336">
        <f t="shared" si="1867"/>
        <v>0</v>
      </c>
      <c r="ED277" s="336">
        <f t="shared" si="1774"/>
        <v>0</v>
      </c>
      <c r="EE277" s="336">
        <f t="shared" si="1775"/>
        <v>0</v>
      </c>
      <c r="EF277" s="336">
        <f t="shared" si="1776"/>
        <v>0</v>
      </c>
      <c r="EG277" s="336">
        <f t="shared" si="1777"/>
        <v>0</v>
      </c>
      <c r="EH277" s="336">
        <f t="shared" si="1778"/>
        <v>0</v>
      </c>
      <c r="EI277" s="336">
        <f t="shared" si="1779"/>
        <v>0</v>
      </c>
      <c r="EJ277" s="336">
        <f t="shared" si="1780"/>
        <v>0</v>
      </c>
      <c r="EK277" s="336">
        <f t="shared" si="1781"/>
        <v>0</v>
      </c>
      <c r="EL277" s="336">
        <f t="shared" si="1782"/>
        <v>0</v>
      </c>
      <c r="EM277" s="336">
        <f t="shared" si="1783"/>
        <v>0</v>
      </c>
      <c r="EN277" s="336">
        <f t="shared" si="1784"/>
        <v>0</v>
      </c>
      <c r="EO277" s="336">
        <f t="shared" si="1785"/>
        <v>0</v>
      </c>
      <c r="EP277" s="336">
        <f t="shared" si="1786"/>
        <v>0</v>
      </c>
      <c r="EQ277" s="336">
        <f t="shared" si="1787"/>
        <v>0</v>
      </c>
      <c r="ER277" s="336">
        <f t="shared" si="1788"/>
        <v>0</v>
      </c>
      <c r="ES277" s="336">
        <f t="shared" si="1789"/>
        <v>0</v>
      </c>
      <c r="ET277" s="336">
        <f t="shared" si="1789"/>
        <v>0</v>
      </c>
      <c r="EU277" s="336">
        <f t="shared" si="1790"/>
        <v>0</v>
      </c>
      <c r="EV277" s="336">
        <f t="shared" si="1791"/>
        <v>0</v>
      </c>
      <c r="EW277" s="336">
        <f t="shared" si="1792"/>
        <v>0</v>
      </c>
      <c r="EX277" s="336">
        <f t="shared" si="1793"/>
        <v>0</v>
      </c>
      <c r="EY277" s="336">
        <f t="shared" si="1794"/>
        <v>0</v>
      </c>
      <c r="EZ277" s="336">
        <f t="shared" si="1795"/>
        <v>0</v>
      </c>
      <c r="FA277" s="336">
        <f t="shared" si="1796"/>
        <v>0</v>
      </c>
      <c r="FB277" s="336">
        <f t="shared" si="1797"/>
        <v>0</v>
      </c>
      <c r="FC277" s="336">
        <f t="shared" si="1798"/>
        <v>0</v>
      </c>
      <c r="FD277" s="336">
        <f t="shared" si="1799"/>
        <v>0</v>
      </c>
      <c r="FE277" s="336">
        <f t="shared" si="1800"/>
        <v>0</v>
      </c>
      <c r="FF277" s="336">
        <f t="shared" si="1801"/>
        <v>0</v>
      </c>
      <c r="FG277" s="336">
        <f t="shared" si="1802"/>
        <v>0</v>
      </c>
      <c r="FH277" s="336">
        <f t="shared" si="1803"/>
        <v>0</v>
      </c>
      <c r="FI277" s="336">
        <f t="shared" si="1804"/>
        <v>0</v>
      </c>
      <c r="FJ277" s="336">
        <f t="shared" si="1805"/>
        <v>0</v>
      </c>
      <c r="FK277" s="336">
        <f t="shared" si="1806"/>
        <v>0</v>
      </c>
      <c r="FL277" s="336">
        <f t="shared" si="1807"/>
        <v>0</v>
      </c>
      <c r="FM277" s="336">
        <f t="shared" si="1808"/>
        <v>0</v>
      </c>
      <c r="FN277" s="336">
        <f t="shared" si="1809"/>
        <v>0</v>
      </c>
      <c r="FO277" s="492">
        <f t="shared" si="1810"/>
        <v>0</v>
      </c>
      <c r="FP277" s="492">
        <f t="shared" si="1811"/>
        <v>0</v>
      </c>
      <c r="FQ277" s="492">
        <f t="shared" si="1812"/>
        <v>0</v>
      </c>
      <c r="FR277" s="492">
        <f t="shared" si="1813"/>
        <v>0</v>
      </c>
      <c r="FS277" s="492">
        <f t="shared" si="1814"/>
        <v>0</v>
      </c>
      <c r="FT277" s="492">
        <f t="shared" si="1815"/>
        <v>0</v>
      </c>
      <c r="FU277" s="336">
        <f t="shared" si="1980"/>
        <v>0</v>
      </c>
      <c r="FV277" s="336">
        <f t="shared" si="1981"/>
        <v>0</v>
      </c>
      <c r="FW277" s="336">
        <f t="shared" si="1982"/>
        <v>0</v>
      </c>
      <c r="FX277" s="336">
        <f t="shared" si="1983"/>
        <v>0</v>
      </c>
      <c r="FY277" s="492">
        <f t="shared" si="1820"/>
        <v>0</v>
      </c>
      <c r="FZ277" s="492">
        <f t="shared" si="1821"/>
        <v>0</v>
      </c>
      <c r="GA277" s="492">
        <f t="shared" si="1822"/>
        <v>0</v>
      </c>
      <c r="GB277" s="492">
        <f t="shared" si="1823"/>
        <v>0</v>
      </c>
      <c r="GC277" s="492">
        <f t="shared" si="1824"/>
        <v>0</v>
      </c>
      <c r="GD277" s="492">
        <f t="shared" si="1825"/>
        <v>0</v>
      </c>
      <c r="GE277" s="492">
        <f t="shared" si="1826"/>
        <v>0</v>
      </c>
      <c r="GF277" s="492">
        <f t="shared" si="1827"/>
        <v>0</v>
      </c>
      <c r="GG277" s="492">
        <f t="shared" si="1828"/>
        <v>0</v>
      </c>
      <c r="GH277" s="492">
        <f t="shared" si="1829"/>
        <v>0</v>
      </c>
      <c r="GI277" s="492">
        <f t="shared" si="1830"/>
        <v>0</v>
      </c>
      <c r="GJ277" s="492">
        <f t="shared" si="1831"/>
        <v>0</v>
      </c>
      <c r="GK277" s="492">
        <f t="shared" si="1988"/>
        <v>0</v>
      </c>
      <c r="GL277" s="336">
        <f t="shared" si="1984"/>
        <v>0</v>
      </c>
      <c r="GM277" s="492">
        <f t="shared" si="1832"/>
        <v>0</v>
      </c>
    </row>
    <row r="278" spans="1:195" ht="20.100000000000001" customHeight="1">
      <c r="A278" s="337">
        <f>1+A274</f>
        <v>178</v>
      </c>
      <c r="B278" s="526" t="s">
        <v>527</v>
      </c>
      <c r="C278" s="337" t="s">
        <v>636</v>
      </c>
      <c r="D278" s="372" t="s">
        <v>717</v>
      </c>
      <c r="E278" s="440" t="s">
        <v>387</v>
      </c>
      <c r="F278" s="516" t="s">
        <v>29</v>
      </c>
      <c r="G278" s="337" t="s">
        <v>350</v>
      </c>
      <c r="H278" s="350">
        <v>1</v>
      </c>
      <c r="I278" s="337" t="s">
        <v>330</v>
      </c>
      <c r="J278" s="337" t="s">
        <v>331</v>
      </c>
      <c r="K278" s="349">
        <v>400</v>
      </c>
      <c r="L278" s="343">
        <v>0.85</v>
      </c>
      <c r="M278" s="350">
        <v>0.95</v>
      </c>
      <c r="N278" s="342">
        <f t="shared" ref="N278" si="2004">IF(I278="kVA",IF(J278="3Ph",(H278*1000/(1.732*M278*K278)),(H278*1000/(M278*K278))),IF(I278="kW",IF(J278="3Ph",(H278*1000/(1.732*M278*K278*L278)),(H278*1000/(M278*K278*L278)))))</f>
        <v>1.7875145682437314</v>
      </c>
      <c r="O278" s="342">
        <f t="shared" ref="O278" si="2005">IF(G278="MOTOR",(6*N278),IF(G278="VFD",(1*N278),0))</f>
        <v>10.72508740946239</v>
      </c>
      <c r="P278" s="343">
        <f t="shared" ref="P278" si="2006">IF(G278="MOTOR",0.2,"0.00")</f>
        <v>0.2</v>
      </c>
      <c r="Q278" s="350">
        <v>65</v>
      </c>
      <c r="R278" s="350">
        <v>0</v>
      </c>
      <c r="S278" s="350">
        <f t="shared" ref="S278" si="2007">(Q278*1000*SQRT(R278)/143)</f>
        <v>0</v>
      </c>
      <c r="T278" s="343" t="s">
        <v>332</v>
      </c>
      <c r="U278" s="350" t="s">
        <v>333</v>
      </c>
      <c r="V278" s="343">
        <v>4</v>
      </c>
      <c r="W278" s="343" t="str">
        <f t="shared" ref="W278" si="2008">CONCATENATE(U278," X ",V278)</f>
        <v>3C X 4</v>
      </c>
      <c r="X278" s="343" t="str">
        <f t="shared" ref="X278" si="2009">(IF(J278="1Ph",W278,IF(J278="3Ph",(IF(G278="MOTOR",(CONCATENATE(W278,"+PE")),W278)))))</f>
        <v>3C X 4+PE</v>
      </c>
      <c r="Y278" s="343" t="s">
        <v>358</v>
      </c>
      <c r="Z278" s="344">
        <f>IF(T278="AIR",VLOOKUP(W278,'Catalogue Aluminium'!$B$9:$G$93,2,FALSE),IF(T278="GROUND",VLOOKUP(W278,'Catalogue Aluminium'!$B$9:$G$93,3,FALSE),IF(T278="DUCT",VLOOKUP(W278,'Catalogue Aluminium'!$B$9:$G$93,4,FALSE),IF(T278="TRENCH",VLOOKUP(W278,'Catalogue Aluminium'!$B$9:$G$93,2,FALSE)))))</f>
        <v>38</v>
      </c>
      <c r="AA278" s="345">
        <f>VLOOKUP(W278,'Catalogue Aluminium'!$B$9:$G$93,5,FALSE)</f>
        <v>5.9</v>
      </c>
      <c r="AB278" s="345">
        <f>VLOOKUP(W278,'Catalogue Aluminium'!$B$9:$G$93,6,FALSE)</f>
        <v>9.4700000000000006E-2</v>
      </c>
      <c r="AC278" s="457">
        <f t="shared" ref="AC278" si="2010">32+6</f>
        <v>38</v>
      </c>
      <c r="AD278" s="401">
        <f>40+30+28+29+58+5</f>
        <v>190</v>
      </c>
      <c r="AE278" s="401">
        <f t="shared" si="1910"/>
        <v>38</v>
      </c>
      <c r="AF278" s="401">
        <v>8</v>
      </c>
      <c r="AG278" s="401">
        <f t="shared" ref="AG278" si="2011">ROUNDUP((SUM(AC278:AF278)*0.1),0)</f>
        <v>28</v>
      </c>
      <c r="AH278" s="347">
        <f t="shared" ref="AH278" si="2012">SUM(AC278:AG278)</f>
        <v>302</v>
      </c>
      <c r="AI278" s="344">
        <f>IF(T278="AIR",'Catalogue Aluminium'!$K$9,IF(T278="TRENCH",'Catalogue Aluminium'!$K$12,"NA"))</f>
        <v>0.89</v>
      </c>
      <c r="AJ278" s="342">
        <f>IF(T278="Air",(IF(U278="1C",'Catalogue Aluminium'!$L$9,'Catalogue Aluminium'!$M$9)),IF(T278="DUCT",(IF($U278="1C",'Catalogue Aluminium'!$L$10,'Catalogue Aluminium'!$M$10)),IF(T278="GROUND",(IF($U278="1C",'Catalogue Aluminium'!$L$11,'Catalogue Aluminium'!$M$11)),IF(T278="TRENCH",(IF($U278="1C",'Catalogue Aluminium'!$L$12,'Catalogue Aluminium'!$M$12))))))</f>
        <v>0.66</v>
      </c>
      <c r="AK278" s="344" t="str">
        <f>IF(T278="Air",'Catalogue Aluminium'!$N$9,IF(T278="GROUND",'Catalogue Aluminium'!$N$10,IF(T278="DUCT",'Catalogue Aluminium'!$N$11,IF(T278="TRENCH",'Catalogue Aluminium'!$N$12,"NA"))))</f>
        <v>NA</v>
      </c>
      <c r="AL278" s="344" t="str">
        <f>IF(T278="Air",(IF(U278="1C",'Catalogue Aluminium'!$O$9,'Catalogue Aluminium'!$P$9)),IF(T278="DUCT",(IF($U278="1C",'Catalogue Aluminium'!$O$10,'Catalogue Aluminium'!$P$10)),IF(T278="GROUND",(IF($U278="1C",'Catalogue Aluminium'!$O$11,'Catalogue Aluminium'!$P$11)),IF(T278="TRENCH",(IF($U278="1C",'Catalogue Aluminium'!$O$12,'Catalogue Aluminium'!$P$12))))))</f>
        <v>NA</v>
      </c>
      <c r="AM278" s="344" t="str">
        <f>IF(T278="AIR","NA",IF(T278="TRENCH","NA",IF(T278="DUCT",IF(U278="1C",VLOOKUP(V278,'Catalogue Aluminium'!$Q$9:$S$28,2,FALSE),VLOOKUP(V278,'Catalogue Aluminium'!$Q$9:$S$28,3)),IF(T278="GROUND",IF(U278="1C",VLOOKUP(V278,'Catalogue Aluminium'!$Q$9:$S$28,2,FALSE),VLOOKUP(V278,'Catalogue Aluminium'!$Q$9:$S$28,3))))))</f>
        <v>NA</v>
      </c>
      <c r="AN278" s="351">
        <f t="shared" ref="AN278" si="2013">IF(T278="AIR",AI278*AJ278,IF(T278="TRENCH",AI278*AJ278,IF(T278="DUCT",AJ278*AK278*AL278*AM278,IF(T278="GROUND",AJ278*AK278*AL278*AM278))))</f>
        <v>0.58740000000000003</v>
      </c>
      <c r="AO278" s="350">
        <f t="shared" ref="AO278" si="2014">Z278*AN278</f>
        <v>22.321200000000001</v>
      </c>
      <c r="AP278" s="349">
        <f t="shared" ref="AP278" si="2015">CEILING(((N278)/AO278),1)</f>
        <v>1</v>
      </c>
      <c r="AQ278" s="350" t="str">
        <f t="shared" ref="AQ278" si="2016">IF(AO278*AP278&gt;=N278,"YES","NO")</f>
        <v>YES</v>
      </c>
      <c r="AR278" s="351">
        <f t="shared" ref="AR278" si="2017">SQRT(3)*AH278*N278*((AA278*L278)+(AB278*SIN(ACOS(L278))))*100/(AP278*K278*1000)</f>
        <v>1.1839323056585755</v>
      </c>
      <c r="AS278" s="343" t="str">
        <f t="shared" ref="AS278" si="2018">IF(G278="INCOMER",(IF(AR278&lt;=2,"YES","NO")),IF(G278="POWER",(IF(AR278&lt;=2.5,"YES","NO")),IF(G278="MOTOR",(IF(AR278&lt;=3,"YES","NO")))))</f>
        <v>YES</v>
      </c>
      <c r="AT278" s="351">
        <f>IF(G278="MOTOR",(SQRT(3)*AH278*O278*((AA278*P278)+(AB278*SIN(ACOS(P278))))*100/(AP278*K278*1000)),"NA")</f>
        <v>1.7851061167286113</v>
      </c>
      <c r="AU278" s="343" t="str">
        <f>IF(G278="MOTOR",IF(AT278&lt;=15,"YES","NO"),"NA")</f>
        <v>YES</v>
      </c>
      <c r="AV278" s="354" t="str">
        <f>IF(U278="1C",CONCATENATE(AP278,"R x ",Y278,"kV x ",U278," x ",V278," Sqmm/Phase"),CONCATENATE(AP278,"R x ",0.6,"/1kV x ",U278," x ",V278," Sqmm"))</f>
        <v>1R x 0.6/1kV x 3C x 4 Sqmm</v>
      </c>
      <c r="AW278" s="354" t="str">
        <f>IF(U278="1C",CONCATENATE(AP278,"R x ",Y278,"kV x ",U278," x ",V278," Sqmm/Phase"),CONCATENATE(AP278,"R x ",0.6,"/1kV x ",U278," x ",V278,(IF(G278="MOTOR","+PE",""))," Sqmm"))</f>
        <v>1R x 0.6/1kV x 3C x 4+PE Sqmm</v>
      </c>
      <c r="AX278" s="343">
        <f>(IF(K278=400,(IF(U278="1C",(4*AH278*AP278),(AH278*AP278))),IF(K278=230,(AH278*AP278))))</f>
        <v>302</v>
      </c>
      <c r="AY278" s="355"/>
      <c r="AZ278" s="355">
        <f>IF(U278="1C",(3*AP278*2),(AP278*2))</f>
        <v>2</v>
      </c>
      <c r="BA278" s="356" t="str">
        <f t="shared" si="1902"/>
        <v>AQQ2RR1R1.A</v>
      </c>
      <c r="BB278" s="501">
        <f>VLOOKUP(W278,'Catalogue Aluminium'!$B$9:$H$93,7,FALSE)</f>
        <v>15</v>
      </c>
      <c r="BC278" s="328">
        <f>AP278*BB278</f>
        <v>15</v>
      </c>
      <c r="BE278" s="568"/>
      <c r="BF278" s="336">
        <v>1</v>
      </c>
      <c r="BG278" s="568"/>
      <c r="BH278" s="568"/>
      <c r="BI278" s="568"/>
      <c r="BJ278" s="568"/>
      <c r="BK278" s="568"/>
      <c r="BL278" s="568"/>
      <c r="BM278" s="568"/>
      <c r="BN278" s="568"/>
      <c r="BO278" s="568"/>
      <c r="BP278" s="568"/>
      <c r="BQ278" s="568"/>
      <c r="BR278" s="568"/>
      <c r="BS278" s="568"/>
      <c r="BT278" s="568"/>
      <c r="BU278" s="568"/>
      <c r="BV278" s="568"/>
      <c r="BW278" s="568"/>
      <c r="BX278" s="568"/>
      <c r="BY278" s="568"/>
      <c r="BZ278" s="568"/>
      <c r="CA278" s="568"/>
      <c r="CB278" s="568"/>
      <c r="CC278" s="568"/>
      <c r="CD278" s="568"/>
      <c r="CE278" s="568"/>
      <c r="CF278" s="568"/>
      <c r="CG278" s="568"/>
      <c r="CH278" s="568"/>
      <c r="CI278" s="568"/>
      <c r="CJ278" s="568"/>
      <c r="CK278" s="568"/>
      <c r="CL278" s="568"/>
      <c r="CM278" s="568"/>
      <c r="CN278" s="568"/>
      <c r="CO278" s="568"/>
      <c r="CP278" s="568"/>
      <c r="CQ278" s="568"/>
      <c r="CR278" s="568"/>
      <c r="CS278" s="568"/>
      <c r="CT278" s="568"/>
      <c r="CU278" s="568"/>
      <c r="CV278" s="568"/>
      <c r="CW278" s="568"/>
      <c r="CX278" s="336">
        <v>1</v>
      </c>
      <c r="CY278" s="568"/>
      <c r="CZ278" s="336">
        <v>1</v>
      </c>
      <c r="DA278" s="568"/>
      <c r="DB278" s="568"/>
      <c r="DC278" s="568"/>
      <c r="DD278" s="568"/>
      <c r="DE278" s="568"/>
      <c r="DF278" s="568"/>
      <c r="DG278" s="336">
        <v>1</v>
      </c>
      <c r="DH278" s="336">
        <v>1</v>
      </c>
      <c r="DI278" s="336"/>
      <c r="DJ278" s="336">
        <v>1</v>
      </c>
      <c r="DK278" s="336"/>
      <c r="DL278" s="568"/>
      <c r="DM278" s="568"/>
      <c r="DN278" s="568"/>
      <c r="DO278" s="568"/>
      <c r="DP278" s="568"/>
      <c r="DQ278" s="568"/>
      <c r="DR278" s="568"/>
      <c r="DS278" s="568"/>
      <c r="DT278" s="568"/>
      <c r="DU278" s="568"/>
      <c r="DW278" s="336">
        <f t="shared" si="1872"/>
        <v>0</v>
      </c>
      <c r="DX278" s="336">
        <f t="shared" si="1862"/>
        <v>15</v>
      </c>
      <c r="DY278" s="336">
        <f t="shared" si="1863"/>
        <v>0</v>
      </c>
      <c r="DZ278" s="336">
        <f t="shared" si="1864"/>
        <v>0</v>
      </c>
      <c r="EA278" s="336">
        <f t="shared" si="1865"/>
        <v>0</v>
      </c>
      <c r="EB278" s="336">
        <f t="shared" si="1866"/>
        <v>0</v>
      </c>
      <c r="EC278" s="336">
        <f t="shared" si="1867"/>
        <v>0</v>
      </c>
      <c r="ED278" s="336">
        <f t="shared" si="1774"/>
        <v>0</v>
      </c>
      <c r="EE278" s="336">
        <f t="shared" si="1775"/>
        <v>0</v>
      </c>
      <c r="EF278" s="336">
        <f t="shared" si="1776"/>
        <v>0</v>
      </c>
      <c r="EG278" s="336">
        <f t="shared" si="1777"/>
        <v>0</v>
      </c>
      <c r="EH278" s="336">
        <f t="shared" si="1778"/>
        <v>0</v>
      </c>
      <c r="EI278" s="336">
        <f t="shared" si="1779"/>
        <v>0</v>
      </c>
      <c r="EJ278" s="336">
        <f t="shared" si="1780"/>
        <v>0</v>
      </c>
      <c r="EK278" s="336">
        <f t="shared" si="1781"/>
        <v>0</v>
      </c>
      <c r="EL278" s="336">
        <f t="shared" si="1782"/>
        <v>0</v>
      </c>
      <c r="EM278" s="336">
        <f t="shared" si="1783"/>
        <v>0</v>
      </c>
      <c r="EN278" s="336">
        <f t="shared" si="1784"/>
        <v>0</v>
      </c>
      <c r="EO278" s="336">
        <f t="shared" si="1785"/>
        <v>0</v>
      </c>
      <c r="EP278" s="336">
        <f t="shared" si="1786"/>
        <v>0</v>
      </c>
      <c r="EQ278" s="336">
        <f t="shared" si="1787"/>
        <v>0</v>
      </c>
      <c r="ER278" s="336">
        <f t="shared" si="1788"/>
        <v>0</v>
      </c>
      <c r="ES278" s="336">
        <f t="shared" si="1789"/>
        <v>0</v>
      </c>
      <c r="ET278" s="336">
        <f t="shared" si="1789"/>
        <v>0</v>
      </c>
      <c r="EU278" s="336">
        <f t="shared" si="1790"/>
        <v>0</v>
      </c>
      <c r="EV278" s="336">
        <f t="shared" si="1791"/>
        <v>0</v>
      </c>
      <c r="EW278" s="336">
        <f t="shared" si="1792"/>
        <v>0</v>
      </c>
      <c r="EX278" s="336">
        <f t="shared" si="1793"/>
        <v>0</v>
      </c>
      <c r="EY278" s="336">
        <f t="shared" si="1794"/>
        <v>0</v>
      </c>
      <c r="EZ278" s="336">
        <f t="shared" si="1795"/>
        <v>0</v>
      </c>
      <c r="FA278" s="336">
        <f t="shared" si="1796"/>
        <v>0</v>
      </c>
      <c r="FB278" s="336">
        <f t="shared" si="1797"/>
        <v>0</v>
      </c>
      <c r="FC278" s="336">
        <f t="shared" si="1798"/>
        <v>0</v>
      </c>
      <c r="FD278" s="336">
        <f t="shared" si="1799"/>
        <v>0</v>
      </c>
      <c r="FE278" s="336">
        <f t="shared" si="1800"/>
        <v>0</v>
      </c>
      <c r="FF278" s="336">
        <f t="shared" si="1801"/>
        <v>0</v>
      </c>
      <c r="FG278" s="336">
        <f t="shared" si="1802"/>
        <v>0</v>
      </c>
      <c r="FH278" s="336">
        <f t="shared" si="1803"/>
        <v>0</v>
      </c>
      <c r="FI278" s="336">
        <f t="shared" si="1804"/>
        <v>0</v>
      </c>
      <c r="FJ278" s="336">
        <f t="shared" si="1805"/>
        <v>0</v>
      </c>
      <c r="FK278" s="336">
        <f t="shared" si="1806"/>
        <v>0</v>
      </c>
      <c r="FL278" s="336">
        <f t="shared" si="1807"/>
        <v>0</v>
      </c>
      <c r="FM278" s="336">
        <f t="shared" si="1808"/>
        <v>0</v>
      </c>
      <c r="FN278" s="336">
        <f t="shared" si="1809"/>
        <v>0</v>
      </c>
      <c r="FO278" s="336">
        <f t="shared" si="1810"/>
        <v>0</v>
      </c>
      <c r="FP278" s="336">
        <f t="shared" si="1811"/>
        <v>15</v>
      </c>
      <c r="FQ278" s="336">
        <f t="shared" si="1812"/>
        <v>0</v>
      </c>
      <c r="FR278" s="336">
        <f t="shared" si="1813"/>
        <v>15</v>
      </c>
      <c r="FS278" s="336">
        <f t="shared" si="1814"/>
        <v>0</v>
      </c>
      <c r="FT278" s="336">
        <f t="shared" si="1815"/>
        <v>0</v>
      </c>
      <c r="FU278" s="336">
        <f t="shared" si="1980"/>
        <v>0</v>
      </c>
      <c r="FV278" s="336">
        <f t="shared" si="1981"/>
        <v>0</v>
      </c>
      <c r="FW278" s="336">
        <f t="shared" si="1982"/>
        <v>0</v>
      </c>
      <c r="FX278" s="336">
        <f t="shared" si="1983"/>
        <v>0</v>
      </c>
      <c r="FY278" s="336">
        <f t="shared" si="1820"/>
        <v>15</v>
      </c>
      <c r="FZ278" s="336">
        <f t="shared" si="1821"/>
        <v>15</v>
      </c>
      <c r="GA278" s="336">
        <f t="shared" si="1822"/>
        <v>0</v>
      </c>
      <c r="GB278" s="336">
        <f t="shared" si="1823"/>
        <v>15</v>
      </c>
      <c r="GC278" s="336">
        <f t="shared" si="1824"/>
        <v>0</v>
      </c>
      <c r="GD278" s="336">
        <f t="shared" si="1825"/>
        <v>0</v>
      </c>
      <c r="GE278" s="336">
        <f t="shared" si="1826"/>
        <v>0</v>
      </c>
      <c r="GF278" s="336">
        <f t="shared" si="1827"/>
        <v>0</v>
      </c>
      <c r="GG278" s="336">
        <f t="shared" si="1828"/>
        <v>0</v>
      </c>
      <c r="GH278" s="336">
        <f t="shared" si="1829"/>
        <v>0</v>
      </c>
      <c r="GI278" s="336">
        <f t="shared" si="1830"/>
        <v>0</v>
      </c>
      <c r="GJ278" s="336">
        <f t="shared" si="1831"/>
        <v>0</v>
      </c>
      <c r="GK278" s="336">
        <f t="shared" si="1988"/>
        <v>0</v>
      </c>
      <c r="GL278" s="336">
        <f t="shared" si="1984"/>
        <v>0</v>
      </c>
      <c r="GM278" s="336">
        <f t="shared" si="1832"/>
        <v>0</v>
      </c>
    </row>
    <row r="279" spans="1:195" s="76" customFormat="1">
      <c r="A279" s="373"/>
      <c r="B279" s="373"/>
      <c r="C279" s="373"/>
      <c r="D279" s="508"/>
      <c r="E279" s="509"/>
      <c r="F279" s="510"/>
      <c r="G279" s="373"/>
      <c r="H279" s="382"/>
      <c r="I279" s="373"/>
      <c r="J279" s="373"/>
      <c r="K279" s="381"/>
      <c r="L279" s="376"/>
      <c r="M279" s="382"/>
      <c r="N279" s="375"/>
      <c r="O279" s="375"/>
      <c r="P279" s="376"/>
      <c r="Q279" s="382"/>
      <c r="R279" s="382"/>
      <c r="S279" s="382"/>
      <c r="T279" s="376"/>
      <c r="U279" s="382"/>
      <c r="V279" s="376"/>
      <c r="W279" s="376"/>
      <c r="X279" s="376"/>
      <c r="Y279" s="376"/>
      <c r="Z279" s="377"/>
      <c r="AA279" s="378"/>
      <c r="AB279" s="378"/>
      <c r="AC279" s="378"/>
      <c r="AD279" s="378"/>
      <c r="AE279" s="378"/>
      <c r="AF279" s="378"/>
      <c r="AG279" s="378"/>
      <c r="AH279" s="378"/>
      <c r="AI279" s="377"/>
      <c r="AJ279" s="375"/>
      <c r="AK279" s="377"/>
      <c r="AL279" s="377"/>
      <c r="AM279" s="377"/>
      <c r="AN279" s="383"/>
      <c r="AO279" s="382"/>
      <c r="AP279" s="381"/>
      <c r="AQ279" s="382"/>
      <c r="AR279" s="383"/>
      <c r="AS279" s="376"/>
      <c r="AT279" s="383"/>
      <c r="AU279" s="383"/>
      <c r="AV279" s="384"/>
      <c r="AW279" s="384"/>
      <c r="AX279" s="376"/>
      <c r="AY279" s="385"/>
      <c r="AZ279" s="385"/>
      <c r="BA279" s="513" t="str">
        <f t="shared" si="1902"/>
        <v/>
      </c>
      <c r="BB279" s="513"/>
      <c r="BC279" s="513"/>
      <c r="BE279" s="513"/>
      <c r="BF279" s="513"/>
      <c r="BG279" s="513"/>
      <c r="BH279" s="513"/>
      <c r="BI279" s="513"/>
      <c r="BJ279" s="513"/>
      <c r="BK279" s="513"/>
      <c r="BL279" s="513"/>
      <c r="BM279" s="513"/>
      <c r="BN279" s="513"/>
      <c r="BO279" s="513"/>
      <c r="BP279" s="513"/>
      <c r="BQ279" s="513"/>
      <c r="BR279" s="513"/>
      <c r="BS279" s="513"/>
      <c r="BT279" s="513"/>
      <c r="BU279" s="513"/>
      <c r="BV279" s="513"/>
      <c r="BW279" s="513"/>
      <c r="BX279" s="513"/>
      <c r="BY279" s="513"/>
      <c r="BZ279" s="513"/>
      <c r="CA279" s="513"/>
      <c r="CB279" s="513"/>
      <c r="CC279" s="513"/>
      <c r="CD279" s="513"/>
      <c r="CE279" s="513"/>
      <c r="CF279" s="513"/>
      <c r="CG279" s="513"/>
      <c r="CH279" s="513"/>
      <c r="CI279" s="513"/>
      <c r="CJ279" s="513"/>
      <c r="CK279" s="513"/>
      <c r="CL279" s="513"/>
      <c r="CM279" s="513"/>
      <c r="CN279" s="513"/>
      <c r="CO279" s="513"/>
      <c r="CP279" s="513"/>
      <c r="CQ279" s="513"/>
      <c r="CR279" s="513"/>
      <c r="CS279" s="513"/>
      <c r="CT279" s="513"/>
      <c r="CU279" s="513"/>
      <c r="CV279" s="513"/>
      <c r="CW279" s="513"/>
      <c r="CX279" s="513"/>
      <c r="CY279" s="513"/>
      <c r="CZ279" s="513"/>
      <c r="DA279" s="513"/>
      <c r="DB279" s="513"/>
      <c r="DC279" s="513"/>
      <c r="DD279" s="513"/>
      <c r="DE279" s="513"/>
      <c r="DF279" s="513"/>
      <c r="DG279" s="513"/>
      <c r="DH279" s="513"/>
      <c r="DI279" s="513"/>
      <c r="DJ279" s="513"/>
      <c r="DK279" s="513"/>
      <c r="DL279" s="513"/>
      <c r="DM279" s="513"/>
      <c r="DN279" s="513"/>
      <c r="DO279" s="513"/>
      <c r="DP279" s="513"/>
      <c r="DQ279" s="513"/>
      <c r="DR279" s="513"/>
      <c r="DS279" s="513"/>
      <c r="DT279" s="513"/>
      <c r="DU279" s="513"/>
      <c r="DV279" s="61"/>
      <c r="DW279" s="336">
        <f t="shared" si="1872"/>
        <v>0</v>
      </c>
      <c r="DX279" s="336">
        <f t="shared" si="1862"/>
        <v>0</v>
      </c>
      <c r="DY279" s="336">
        <f t="shared" si="1863"/>
        <v>0</v>
      </c>
      <c r="DZ279" s="336">
        <f t="shared" si="1864"/>
        <v>0</v>
      </c>
      <c r="EA279" s="336">
        <f t="shared" si="1865"/>
        <v>0</v>
      </c>
      <c r="EB279" s="336">
        <f t="shared" si="1866"/>
        <v>0</v>
      </c>
      <c r="EC279" s="336">
        <f t="shared" si="1867"/>
        <v>0</v>
      </c>
      <c r="ED279" s="336">
        <f t="shared" ref="ED279:ED362" si="2019">IF(BL279=1,($BC279*BL279),0)</f>
        <v>0</v>
      </c>
      <c r="EE279" s="336">
        <f t="shared" ref="EE279:EE362" si="2020">IF(BM279=1,($BC279*BM279),0)</f>
        <v>0</v>
      </c>
      <c r="EF279" s="336">
        <f t="shared" ref="EF279:EF362" si="2021">IF(BN279=1,($BC279*BN279),0)</f>
        <v>0</v>
      </c>
      <c r="EG279" s="336">
        <f t="shared" ref="EG279:EG362" si="2022">IF(BO279=1,($BC279*BO279),0)</f>
        <v>0</v>
      </c>
      <c r="EH279" s="336">
        <f t="shared" ref="EH279:EH362" si="2023">IF(BP279=1,($BC279*BP279),0)</f>
        <v>0</v>
      </c>
      <c r="EI279" s="336">
        <f t="shared" ref="EI279:EI362" si="2024">IF(BQ279=1,($BC279*BQ279),0)</f>
        <v>0</v>
      </c>
      <c r="EJ279" s="336">
        <f t="shared" ref="EJ279:EJ362" si="2025">IF(BR279=1,($BC279*BR279),0)</f>
        <v>0</v>
      </c>
      <c r="EK279" s="336">
        <f t="shared" ref="EK279:EK362" si="2026">IF(BS279=1,($BC279*BS279),0)</f>
        <v>0</v>
      </c>
      <c r="EL279" s="336">
        <f t="shared" ref="EL279:EL362" si="2027">IF(BT279=1,($BC279*BT279),0)</f>
        <v>0</v>
      </c>
      <c r="EM279" s="336">
        <f t="shared" ref="EM279:EM362" si="2028">IF(BU279=1,($BC279*BU279),0)</f>
        <v>0</v>
      </c>
      <c r="EN279" s="336">
        <f t="shared" ref="EN279:EN362" si="2029">IF(BV279=1,($BC279*BV279),0)</f>
        <v>0</v>
      </c>
      <c r="EO279" s="336">
        <f t="shared" ref="EO279:EO362" si="2030">IF(BW279=1,($BC279*BW279),0)</f>
        <v>0</v>
      </c>
      <c r="EP279" s="336">
        <f t="shared" ref="EP279:EP362" si="2031">IF(BX279=1,($BC279*BX279),0)</f>
        <v>0</v>
      </c>
      <c r="EQ279" s="336">
        <f t="shared" ref="EQ279:EQ362" si="2032">IF(BY279=1,($BC279*BY279),0)</f>
        <v>0</v>
      </c>
      <c r="ER279" s="336">
        <f t="shared" ref="ER279:ER362" si="2033">IF(BZ279=1,($BC279*BZ279),0)</f>
        <v>0</v>
      </c>
      <c r="ES279" s="336">
        <f t="shared" ref="ES279:ET362" si="2034">IF(CA279=1,($BC279*CA279),0)</f>
        <v>0</v>
      </c>
      <c r="ET279" s="336">
        <f t="shared" si="2034"/>
        <v>0</v>
      </c>
      <c r="EU279" s="336">
        <f t="shared" ref="EU279:EU362" si="2035">IF(CC279=1,($BC279*CC279),0)</f>
        <v>0</v>
      </c>
      <c r="EV279" s="336">
        <f t="shared" ref="EV279:EV362" si="2036">IF(CD279=1,($BC279*CD279),0)</f>
        <v>0</v>
      </c>
      <c r="EW279" s="336">
        <f t="shared" ref="EW279:EW362" si="2037">IF(CE279=1,($BC279*CE279),0)</f>
        <v>0</v>
      </c>
      <c r="EX279" s="336">
        <f t="shared" ref="EX279:EX362" si="2038">IF(CF279=1,($BC279*CF279),0)</f>
        <v>0</v>
      </c>
      <c r="EY279" s="336">
        <f t="shared" ref="EY279:EY362" si="2039">IF(CG279=1,($BC279*CG279),0)</f>
        <v>0</v>
      </c>
      <c r="EZ279" s="336">
        <f t="shared" ref="EZ279:EZ362" si="2040">IF(CH279=1,($BC279*CH279),0)</f>
        <v>0</v>
      </c>
      <c r="FA279" s="336">
        <f t="shared" ref="FA279:FA362" si="2041">IF(CI279=1,($BC279*CI279),0)</f>
        <v>0</v>
      </c>
      <c r="FB279" s="336">
        <f t="shared" ref="FB279:FB362" si="2042">IF(CJ279=1,($BC279*CJ279),0)</f>
        <v>0</v>
      </c>
      <c r="FC279" s="336">
        <f t="shared" ref="FC279:FC362" si="2043">IF(CK279=1,($BC279*CK279),0)</f>
        <v>0</v>
      </c>
      <c r="FD279" s="336">
        <f t="shared" ref="FD279:FD362" si="2044">IF(CL279=1,($BC279*CL279),0)</f>
        <v>0</v>
      </c>
      <c r="FE279" s="336">
        <f t="shared" ref="FE279:FE362" si="2045">IF(CM279=1,($BC279*CM279),0)</f>
        <v>0</v>
      </c>
      <c r="FF279" s="336">
        <f t="shared" ref="FF279:FF362" si="2046">IF(CN279=1,($BC279*CN279),0)</f>
        <v>0</v>
      </c>
      <c r="FG279" s="336">
        <f t="shared" ref="FG279:FG362" si="2047">IF(CO279=1,($BC279*CO279),0)</f>
        <v>0</v>
      </c>
      <c r="FH279" s="336">
        <f t="shared" ref="FH279:FH362" si="2048">IF(CP279=1,($BC279*CP279),0)</f>
        <v>0</v>
      </c>
      <c r="FI279" s="336">
        <f t="shared" ref="FI279:FI362" si="2049">IF(CQ279=1,($BC279*CQ279),0)</f>
        <v>0</v>
      </c>
      <c r="FJ279" s="336">
        <f t="shared" ref="FJ279:FJ362" si="2050">IF(CR279=1,($BC279*CR279),0)</f>
        <v>0</v>
      </c>
      <c r="FK279" s="336">
        <f t="shared" ref="FK279:FK362" si="2051">IF(CS279=1,($BC279*CS279),0)</f>
        <v>0</v>
      </c>
      <c r="FL279" s="336">
        <f t="shared" ref="FL279:FL362" si="2052">IF(CT279=1,($BC279*CT279),0)</f>
        <v>0</v>
      </c>
      <c r="FM279" s="336">
        <f t="shared" ref="FM279:FM362" si="2053">IF(CU279=1,($BC279*CU279),0)</f>
        <v>0</v>
      </c>
      <c r="FN279" s="336">
        <f t="shared" ref="FN279:FN362" si="2054">IF(CV279=1,($BC279*CV279),0)</f>
        <v>0</v>
      </c>
      <c r="FO279" s="492">
        <f t="shared" ref="FO279:FO362" si="2055">IF(CW279=1,($BC279*CW279),0)</f>
        <v>0</v>
      </c>
      <c r="FP279" s="492">
        <f t="shared" ref="FP279:FP362" si="2056">IF(CX279=1,($BC279*CX279),0)</f>
        <v>0</v>
      </c>
      <c r="FQ279" s="492">
        <f t="shared" ref="FQ279:FQ362" si="2057">IF(CY279=1,($BC279*CY279),0)</f>
        <v>0</v>
      </c>
      <c r="FR279" s="492">
        <f t="shared" ref="FR279:FR362" si="2058">IF(CZ279=1,($BC279*CZ279),0)</f>
        <v>0</v>
      </c>
      <c r="FS279" s="492">
        <f t="shared" ref="FS279:FS362" si="2059">IF(DA279=1,($BC279*DA279),0)</f>
        <v>0</v>
      </c>
      <c r="FT279" s="492">
        <f t="shared" ref="FT279:FT362" si="2060">IF(DB279=1,($BC279*DB279),0)</f>
        <v>0</v>
      </c>
      <c r="FU279" s="336">
        <f t="shared" si="1980"/>
        <v>0</v>
      </c>
      <c r="FV279" s="336">
        <f t="shared" si="1981"/>
        <v>0</v>
      </c>
      <c r="FW279" s="336">
        <f t="shared" si="1982"/>
        <v>0</v>
      </c>
      <c r="FX279" s="336">
        <f t="shared" si="1983"/>
        <v>0</v>
      </c>
      <c r="FY279" s="492">
        <f t="shared" ref="FY279:FY362" si="2061">IF(DG279=1,($BC279*DG279),0)</f>
        <v>0</v>
      </c>
      <c r="FZ279" s="492">
        <f t="shared" ref="FZ279:FZ362" si="2062">IF(DH279=1,($BC279*DH279),0)</f>
        <v>0</v>
      </c>
      <c r="GA279" s="492">
        <f t="shared" ref="GA279:GA362" si="2063">IF(DI279=1,($BC279*DI279),0)</f>
        <v>0</v>
      </c>
      <c r="GB279" s="492">
        <f t="shared" ref="GB279:GB362" si="2064">IF(DJ279=1,($BC279*DJ279),0)</f>
        <v>0</v>
      </c>
      <c r="GC279" s="492">
        <f t="shared" ref="GC279:GC362" si="2065">IF(DK279=1,($BC279*DK279),0)</f>
        <v>0</v>
      </c>
      <c r="GD279" s="492">
        <f t="shared" ref="GD279:GD362" si="2066">IF(DL279=1,($BC279*DL279),0)</f>
        <v>0</v>
      </c>
      <c r="GE279" s="492">
        <f t="shared" ref="GE279:GE362" si="2067">IF(DM279=1,($BC279*DM279),0)</f>
        <v>0</v>
      </c>
      <c r="GF279" s="492">
        <f t="shared" ref="GF279:GF362" si="2068">IF(DN279=1,($BC279*DN279),0)</f>
        <v>0</v>
      </c>
      <c r="GG279" s="492">
        <f t="shared" ref="GG279:GG362" si="2069">IF(DO279=1,($BC279*DO279),0)</f>
        <v>0</v>
      </c>
      <c r="GH279" s="492">
        <f t="shared" ref="GH279:GH362" si="2070">IF(DP279=1,($BC279*DP279),0)</f>
        <v>0</v>
      </c>
      <c r="GI279" s="492">
        <f t="shared" ref="GI279:GI362" si="2071">IF(DQ279=1,($BC279*DQ279),0)</f>
        <v>0</v>
      </c>
      <c r="GJ279" s="492">
        <f t="shared" ref="GJ279:GJ362" si="2072">IF(DR279=1,($BC279*DR279),0)</f>
        <v>0</v>
      </c>
      <c r="GK279" s="492">
        <f t="shared" si="1988"/>
        <v>0</v>
      </c>
      <c r="GL279" s="336">
        <f t="shared" si="1984"/>
        <v>0</v>
      </c>
      <c r="GM279" s="492">
        <f t="shared" ref="GM279:GM362" si="2073">IF(DU279=1,($BC279*DU279),0)</f>
        <v>0</v>
      </c>
    </row>
    <row r="280" spans="1:195" ht="25.5">
      <c r="A280" s="337">
        <f>1+A278</f>
        <v>179</v>
      </c>
      <c r="B280" s="526" t="s">
        <v>718</v>
      </c>
      <c r="C280" s="337" t="str">
        <f t="shared" ref="C280:C288" si="2074">$D$164</f>
        <v>EPMCC-1</v>
      </c>
      <c r="D280" s="372" t="s">
        <v>719</v>
      </c>
      <c r="E280" s="514" t="s">
        <v>608</v>
      </c>
      <c r="F280" s="516" t="s">
        <v>28</v>
      </c>
      <c r="G280" s="370" t="s">
        <v>329</v>
      </c>
      <c r="H280" s="350">
        <v>212.5</v>
      </c>
      <c r="I280" s="337" t="s">
        <v>330</v>
      </c>
      <c r="J280" s="337" t="s">
        <v>331</v>
      </c>
      <c r="K280" s="349">
        <v>400</v>
      </c>
      <c r="L280" s="343">
        <v>0.85</v>
      </c>
      <c r="M280" s="350">
        <v>0.95</v>
      </c>
      <c r="N280" s="342">
        <f t="shared" ref="N280:N292" si="2075">IF(I280="kVA",IF(J280="3Ph",(H280*1000/(1.732*M280*K280)),(H280*1000/(M280*K280))),IF(I280="kW",IF(J280="3Ph",(H280*1000/(1.732*M280*K280*L280)),(H280*1000/(M280*K280*L280)))))</f>
        <v>379.84684575179296</v>
      </c>
      <c r="O280" s="342">
        <f t="shared" ref="O280:O289" si="2076">IF(G280="MOTOR",(6*N280),IF(G280="VFD",(1*N280),0))</f>
        <v>0</v>
      </c>
      <c r="P280" s="343" t="str">
        <f t="shared" ref="P280:P289" si="2077">IF(G280="MOTOR",0.2,"0.00")</f>
        <v>0.00</v>
      </c>
      <c r="Q280" s="350">
        <v>50</v>
      </c>
      <c r="R280" s="350">
        <v>0</v>
      </c>
      <c r="S280" s="350">
        <f t="shared" ref="S280:S289" si="2078">(Q280*1000*SQRT(R280)/143)</f>
        <v>0</v>
      </c>
      <c r="T280" s="343" t="s">
        <v>131</v>
      </c>
      <c r="U280" s="350" t="s">
        <v>535</v>
      </c>
      <c r="V280" s="343">
        <v>150</v>
      </c>
      <c r="W280" s="343" t="str">
        <f t="shared" ref="W280:W289" si="2079">CONCATENATE(U280," X ",V280)</f>
        <v>3.5C X 150</v>
      </c>
      <c r="X280" s="343" t="str">
        <f t="shared" ref="X280:X289" si="2080">(IF(J280="1Ph",W280,IF(J280="3Ph",(IF(G280="MOTOR",(CONCATENATE(W280,"+PE")),W280)))))</f>
        <v>3.5C X 150</v>
      </c>
      <c r="Y280" s="343" t="s">
        <v>358</v>
      </c>
      <c r="Z280" s="344">
        <f>IF(T280="AIR",VLOOKUP(W280,'Catalogue Aluminium'!$B$9:$G$93,2,FALSE),IF(T280="GROUND",VLOOKUP(W280,'Catalogue Aluminium'!$B$9:$G$93,3,FALSE),IF(T280="DUCT",VLOOKUP(W280,'Catalogue Aluminium'!$B$9:$G$93,4,FALSE),IF(T280="TRENCH",VLOOKUP(W280,'Catalogue Aluminium'!$B$9:$G$93,2,FALSE)))))</f>
        <v>293</v>
      </c>
      <c r="AA280" s="345">
        <f>VLOOKUP(W280,'Catalogue Aluminium'!$B$9:$G$93,5,FALSE)</f>
        <v>0.26400000000000001</v>
      </c>
      <c r="AB280" s="345">
        <f>VLOOKUP(W280,'Catalogue Aluminium'!$B$9:$G$93,6,FALSE)</f>
        <v>7.3200000000000001E-2</v>
      </c>
      <c r="AC280" s="457">
        <f t="shared" ref="AC280" si="2081">32+6</f>
        <v>38</v>
      </c>
      <c r="AD280" s="457">
        <v>20</v>
      </c>
      <c r="AE280" s="401">
        <v>6</v>
      </c>
      <c r="AF280" s="401">
        <v>8</v>
      </c>
      <c r="AG280" s="401">
        <f t="shared" ref="AG280:AG289" si="2082">ROUNDUP((SUM(AC280:AF280)*0.1),0)</f>
        <v>8</v>
      </c>
      <c r="AH280" s="347">
        <f t="shared" ref="AH280:AH289" si="2083">SUM(AC280:AG280)</f>
        <v>80</v>
      </c>
      <c r="AI280" s="344">
        <f>IF(T280="AIR",'Catalogue Aluminium'!$K$9,IF(T280="TRENCH",'Catalogue Aluminium'!$K$12,"NA"))</f>
        <v>0.89</v>
      </c>
      <c r="AJ280" s="342">
        <f>IF(T280="Air",(IF(U280="1C",'Catalogue Aluminium'!$L$9,'Catalogue Aluminium'!$M$9)),IF(T280="DUCT",(IF($U280="1C",'Catalogue Aluminium'!$L$10,'Catalogue Aluminium'!$M$10)),IF(T280="GROUND",(IF($U280="1C",'Catalogue Aluminium'!$L$11,'Catalogue Aluminium'!$M$11)),IF(T280="TRENCH",(IF($U280="1C",'Catalogue Aluminium'!$L$12,'Catalogue Aluminium'!$M$12))))))</f>
        <v>0.66</v>
      </c>
      <c r="AK280" s="344" t="str">
        <f>IF(T280="Air",'Catalogue Aluminium'!$N$9,IF(T280="GROUND",'Catalogue Aluminium'!$N$10,IF(T280="DUCT",'Catalogue Aluminium'!$N$11,IF(T280="TRENCH",'Catalogue Aluminium'!$N$12,"NA"))))</f>
        <v>NA</v>
      </c>
      <c r="AL280" s="344" t="str">
        <f>IF(T280="Air",(IF(U280="1C",'Catalogue Aluminium'!$O$9,'Catalogue Aluminium'!$P$9)),IF(T280="DUCT",(IF($U280="1C",'Catalogue Aluminium'!$O$10,'Catalogue Aluminium'!$P$10)),IF(T280="GROUND",(IF($U280="1C",'Catalogue Aluminium'!$O$11,'Catalogue Aluminium'!$P$11)),IF(T280="TRENCH",(IF($U280="1C",'Catalogue Aluminium'!$O$12,'Catalogue Aluminium'!$P$12))))))</f>
        <v>NA</v>
      </c>
      <c r="AM280" s="344" t="str">
        <f>IF(T280="AIR","NA",IF(T280="TRENCH","NA",IF(T280="DUCT",IF(U280="1C",VLOOKUP(V280,'Catalogue Aluminium'!$Q$9:$S$28,2,FALSE),VLOOKUP(V280,'Catalogue Aluminium'!$Q$9:$S$28,3)),IF(T280="GROUND",IF(U280="1C",VLOOKUP(V280,'Catalogue Aluminium'!$Q$9:$S$28,2,FALSE),VLOOKUP(V280,'Catalogue Aluminium'!$Q$9:$S$28,3))))))</f>
        <v>NA</v>
      </c>
      <c r="AN280" s="351">
        <f t="shared" ref="AN280:AN289" si="2084">IF(T280="AIR",AI280*AJ280,IF(T280="TRENCH",AI280*AJ280,IF(T280="DUCT",AJ280*AK280*AL280*AM280,IF(T280="GROUND",AJ280*AK280*AL280*AM280))))</f>
        <v>0.58740000000000003</v>
      </c>
      <c r="AO280" s="350">
        <f t="shared" ref="AO280:AO289" si="2085">Z280*AN280</f>
        <v>172.10820000000001</v>
      </c>
      <c r="AP280" s="349">
        <f t="shared" si="1888"/>
        <v>3</v>
      </c>
      <c r="AQ280" s="350" t="str">
        <f t="shared" ref="AQ280:AQ289" si="2086">IF(AO280*AP280&gt;=N280,"YES","NO")</f>
        <v>YES</v>
      </c>
      <c r="AR280" s="351">
        <f t="shared" ref="AR280:AR289" si="2087">SQRT(3)*AH280*N280*((AA280*L280)+(AB280*SIN(ACOS(L280))))*100/(AP280*K280*1000)</f>
        <v>1.1533693271168373</v>
      </c>
      <c r="AS280" s="343" t="str">
        <f t="shared" ref="AS280:AS289" si="2088">IF(G280="INCOMER",(IF(AR280&lt;=2,"YES","NO")),IF(G280="POWER",(IF(AR280&lt;=2.5,"YES","NO")),IF(G280="MOTOR",(IF(AR280&lt;=3,"YES","NO")))))</f>
        <v>YES</v>
      </c>
      <c r="AT280" s="351" t="str">
        <f t="shared" ref="AT280:AT289" si="2089">IF(G280="MOTOR",(SQRT(3)*AH280*O280*((AA280*P280)+(AB280*SIN(ACOS(P280))))*100/(AP280*K280*1000)),"NA")</f>
        <v>NA</v>
      </c>
      <c r="AU280" s="343" t="str">
        <f t="shared" ref="AU280:AU289" si="2090">IF(G280="MOTOR",IF(AT280&lt;=15,"YES","NO"),"NA")</f>
        <v>NA</v>
      </c>
      <c r="AV280" s="354" t="str">
        <f t="shared" ref="AV280:AV289" si="2091">IF(U280="1C",CONCATENATE(AP280,"R x ",Y280,"kV x ",U280," x ",V280," Sqmm/Phase"),CONCATENATE(AP280,"R x ",0.6,"/1kV x ",U280," x ",V280," Sqmm"))</f>
        <v>3R x 0.6/1kV x 3.5C x 150 Sqmm</v>
      </c>
      <c r="AW280" s="354" t="str">
        <f t="shared" ref="AW280:AW289" si="2092">IF(U280="1C",CONCATENATE(AP280,"R x ",Y280,"kV x ",U280," x ",V280," Sqmm/Phase"),CONCATENATE(AP280,"R x ",0.6,"/1kV x ",U280," x ",V280,(IF(G280="MOTOR","+PE",""))," Sqmm"))</f>
        <v>3R x 0.6/1kV x 3.5C x 150 Sqmm</v>
      </c>
      <c r="AX280" s="343">
        <f t="shared" ref="AX280:AX289" si="2093">(IF(K280=400,(IF(U280="1C",(4*AH280*AP280),(AH280*AP280))),IF(K280=230,(AH280*AP280))))</f>
        <v>240</v>
      </c>
      <c r="AY280" s="355"/>
      <c r="AZ280" s="355">
        <f t="shared" ref="AZ280:AZ289" si="2094">IF(U280="1C",(3*AP280*2),(AP280*2))</f>
        <v>6</v>
      </c>
      <c r="BA280" s="356" t="str">
        <f t="shared" si="1902"/>
        <v>A1</v>
      </c>
      <c r="BB280" s="501">
        <f>VLOOKUP(W280,'Catalogue Aluminium'!$B$9:$H$93,7,FALSE)</f>
        <v>48</v>
      </c>
      <c r="BC280" s="328">
        <f t="shared" ref="BC280:BC289" si="2095">AP280*BB280</f>
        <v>144</v>
      </c>
      <c r="BE280" s="336">
        <v>1</v>
      </c>
      <c r="BF280" s="336"/>
      <c r="BG280" s="336"/>
      <c r="BH280" s="336"/>
      <c r="BI280" s="336"/>
      <c r="BJ280" s="336"/>
      <c r="BK280" s="336"/>
      <c r="BL280" s="336"/>
      <c r="BM280" s="336"/>
      <c r="BN280" s="336"/>
      <c r="BO280" s="336"/>
      <c r="BP280" s="336"/>
      <c r="BQ280" s="336"/>
      <c r="BR280" s="336"/>
      <c r="BS280" s="336"/>
      <c r="BT280" s="336"/>
      <c r="BU280" s="336"/>
      <c r="BV280" s="336"/>
      <c r="BW280" s="336"/>
      <c r="BX280" s="336"/>
      <c r="BY280" s="336"/>
      <c r="BZ280" s="336"/>
      <c r="CA280" s="336"/>
      <c r="CB280" s="336"/>
      <c r="CC280" s="336"/>
      <c r="CD280" s="336"/>
      <c r="CE280" s="336"/>
      <c r="CF280" s="336"/>
      <c r="CG280" s="336"/>
      <c r="CH280" s="336"/>
      <c r="CI280" s="336"/>
      <c r="CJ280" s="336"/>
      <c r="CK280" s="336"/>
      <c r="CL280" s="336"/>
      <c r="CM280" s="336"/>
      <c r="CN280" s="336"/>
      <c r="CO280" s="336"/>
      <c r="CP280" s="336"/>
      <c r="CQ280" s="336"/>
      <c r="CR280" s="336"/>
      <c r="CS280" s="336"/>
      <c r="CT280" s="336"/>
      <c r="CU280" s="336"/>
      <c r="CV280" s="336"/>
      <c r="CW280" s="336"/>
      <c r="CX280" s="336"/>
      <c r="CY280" s="336"/>
      <c r="CZ280" s="336"/>
      <c r="DA280" s="336"/>
      <c r="DB280" s="336"/>
      <c r="DC280" s="336"/>
      <c r="DD280" s="336"/>
      <c r="DE280" s="336"/>
      <c r="DF280" s="336"/>
      <c r="DG280" s="336"/>
      <c r="DH280" s="336"/>
      <c r="DI280" s="336"/>
      <c r="DJ280" s="336"/>
      <c r="DK280" s="336"/>
      <c r="DL280" s="336"/>
      <c r="DM280" s="336"/>
      <c r="DN280" s="336"/>
      <c r="DO280" s="336"/>
      <c r="DP280" s="336"/>
      <c r="DQ280" s="336"/>
      <c r="DR280" s="336"/>
      <c r="DS280" s="336"/>
      <c r="DT280" s="336"/>
      <c r="DU280" s="336"/>
      <c r="DW280" s="336">
        <f t="shared" si="1872"/>
        <v>144</v>
      </c>
      <c r="DX280" s="336">
        <f t="shared" si="1862"/>
        <v>0</v>
      </c>
      <c r="DY280" s="336">
        <f t="shared" si="1863"/>
        <v>0</v>
      </c>
      <c r="DZ280" s="336">
        <f t="shared" si="1864"/>
        <v>0</v>
      </c>
      <c r="EA280" s="336">
        <f t="shared" si="1865"/>
        <v>0</v>
      </c>
      <c r="EB280" s="336">
        <f t="shared" si="1866"/>
        <v>0</v>
      </c>
      <c r="EC280" s="336">
        <f t="shared" si="1867"/>
        <v>0</v>
      </c>
      <c r="ED280" s="336">
        <f t="shared" si="2019"/>
        <v>0</v>
      </c>
      <c r="EE280" s="336">
        <f t="shared" si="2020"/>
        <v>0</v>
      </c>
      <c r="EF280" s="336">
        <f t="shared" si="2021"/>
        <v>0</v>
      </c>
      <c r="EG280" s="336">
        <f t="shared" si="2022"/>
        <v>0</v>
      </c>
      <c r="EH280" s="336">
        <f t="shared" si="2023"/>
        <v>0</v>
      </c>
      <c r="EI280" s="336">
        <f t="shared" si="2024"/>
        <v>0</v>
      </c>
      <c r="EJ280" s="336">
        <f t="shared" si="2025"/>
        <v>0</v>
      </c>
      <c r="EK280" s="336">
        <f t="shared" si="2026"/>
        <v>0</v>
      </c>
      <c r="EL280" s="336">
        <f t="shared" si="2027"/>
        <v>0</v>
      </c>
      <c r="EM280" s="336">
        <f t="shared" si="2028"/>
        <v>0</v>
      </c>
      <c r="EN280" s="336">
        <f t="shared" si="2029"/>
        <v>0</v>
      </c>
      <c r="EO280" s="336">
        <f t="shared" si="2030"/>
        <v>0</v>
      </c>
      <c r="EP280" s="336">
        <f t="shared" si="2031"/>
        <v>0</v>
      </c>
      <c r="EQ280" s="336">
        <f t="shared" si="2032"/>
        <v>0</v>
      </c>
      <c r="ER280" s="336">
        <f t="shared" si="2033"/>
        <v>0</v>
      </c>
      <c r="ES280" s="336">
        <f t="shared" si="2034"/>
        <v>0</v>
      </c>
      <c r="ET280" s="336">
        <f t="shared" si="2034"/>
        <v>0</v>
      </c>
      <c r="EU280" s="336">
        <f t="shared" si="2035"/>
        <v>0</v>
      </c>
      <c r="EV280" s="336">
        <f t="shared" si="2036"/>
        <v>0</v>
      </c>
      <c r="EW280" s="336">
        <f t="shared" si="2037"/>
        <v>0</v>
      </c>
      <c r="EX280" s="336">
        <f t="shared" si="2038"/>
        <v>0</v>
      </c>
      <c r="EY280" s="336">
        <f t="shared" si="2039"/>
        <v>0</v>
      </c>
      <c r="EZ280" s="336">
        <f t="shared" si="2040"/>
        <v>0</v>
      </c>
      <c r="FA280" s="336">
        <f t="shared" si="2041"/>
        <v>0</v>
      </c>
      <c r="FB280" s="336">
        <f t="shared" si="2042"/>
        <v>0</v>
      </c>
      <c r="FC280" s="336">
        <f t="shared" si="2043"/>
        <v>0</v>
      </c>
      <c r="FD280" s="336">
        <f t="shared" si="2044"/>
        <v>0</v>
      </c>
      <c r="FE280" s="336">
        <f t="shared" si="2045"/>
        <v>0</v>
      </c>
      <c r="FF280" s="336">
        <f t="shared" si="2046"/>
        <v>0</v>
      </c>
      <c r="FG280" s="336">
        <f t="shared" si="2047"/>
        <v>0</v>
      </c>
      <c r="FH280" s="336">
        <f t="shared" si="2048"/>
        <v>0</v>
      </c>
      <c r="FI280" s="336">
        <f t="shared" si="2049"/>
        <v>0</v>
      </c>
      <c r="FJ280" s="336">
        <f t="shared" si="2050"/>
        <v>0</v>
      </c>
      <c r="FK280" s="336">
        <f t="shared" si="2051"/>
        <v>0</v>
      </c>
      <c r="FL280" s="336">
        <f t="shared" si="2052"/>
        <v>0</v>
      </c>
      <c r="FM280" s="336">
        <f t="shared" si="2053"/>
        <v>0</v>
      </c>
      <c r="FN280" s="336">
        <f t="shared" si="2054"/>
        <v>0</v>
      </c>
      <c r="FO280" s="336">
        <f t="shared" si="2055"/>
        <v>0</v>
      </c>
      <c r="FP280" s="336">
        <f t="shared" si="2056"/>
        <v>0</v>
      </c>
      <c r="FQ280" s="336">
        <f t="shared" si="2057"/>
        <v>0</v>
      </c>
      <c r="FR280" s="336">
        <f t="shared" si="2058"/>
        <v>0</v>
      </c>
      <c r="FS280" s="336">
        <f t="shared" si="2059"/>
        <v>0</v>
      </c>
      <c r="FT280" s="336">
        <f t="shared" si="2060"/>
        <v>0</v>
      </c>
      <c r="FU280" s="336">
        <f t="shared" si="1980"/>
        <v>0</v>
      </c>
      <c r="FV280" s="336">
        <f t="shared" si="1981"/>
        <v>0</v>
      </c>
      <c r="FW280" s="336">
        <f t="shared" si="1982"/>
        <v>0</v>
      </c>
      <c r="FX280" s="336">
        <f t="shared" si="1983"/>
        <v>0</v>
      </c>
      <c r="FY280" s="336">
        <f t="shared" si="2061"/>
        <v>0</v>
      </c>
      <c r="FZ280" s="336">
        <f t="shared" si="2062"/>
        <v>0</v>
      </c>
      <c r="GA280" s="336">
        <f t="shared" si="2063"/>
        <v>0</v>
      </c>
      <c r="GB280" s="336">
        <f t="shared" si="2064"/>
        <v>0</v>
      </c>
      <c r="GC280" s="336">
        <f t="shared" si="2065"/>
        <v>0</v>
      </c>
      <c r="GD280" s="336">
        <f t="shared" si="2066"/>
        <v>0</v>
      </c>
      <c r="GE280" s="336">
        <f t="shared" si="2067"/>
        <v>0</v>
      </c>
      <c r="GF280" s="336">
        <f t="shared" si="2068"/>
        <v>0</v>
      </c>
      <c r="GG280" s="336">
        <f t="shared" si="2069"/>
        <v>0</v>
      </c>
      <c r="GH280" s="336">
        <f t="shared" si="2070"/>
        <v>0</v>
      </c>
      <c r="GI280" s="336">
        <f t="shared" si="2071"/>
        <v>0</v>
      </c>
      <c r="GJ280" s="336">
        <f t="shared" si="2072"/>
        <v>0</v>
      </c>
      <c r="GK280" s="336">
        <f t="shared" si="1988"/>
        <v>0</v>
      </c>
      <c r="GL280" s="336">
        <f t="shared" si="1984"/>
        <v>0</v>
      </c>
      <c r="GM280" s="336">
        <f t="shared" si="2073"/>
        <v>0</v>
      </c>
    </row>
    <row r="281" spans="1:195" ht="25.5">
      <c r="A281" s="337">
        <f t="shared" ref="A281:A292" si="2096">1+A280</f>
        <v>180</v>
      </c>
      <c r="B281" s="526" t="s">
        <v>718</v>
      </c>
      <c r="C281" s="337" t="str">
        <f t="shared" si="2074"/>
        <v>EPMCC-1</v>
      </c>
      <c r="D281" s="372" t="s">
        <v>720</v>
      </c>
      <c r="E281" s="514" t="s">
        <v>608</v>
      </c>
      <c r="F281" s="516" t="s">
        <v>29</v>
      </c>
      <c r="G281" s="370" t="s">
        <v>329</v>
      </c>
      <c r="H281" s="350">
        <v>212.5</v>
      </c>
      <c r="I281" s="337" t="s">
        <v>330</v>
      </c>
      <c r="J281" s="337" t="s">
        <v>331</v>
      </c>
      <c r="K281" s="349">
        <v>400</v>
      </c>
      <c r="L281" s="343">
        <v>0.85</v>
      </c>
      <c r="M281" s="350">
        <v>0.95</v>
      </c>
      <c r="N281" s="342">
        <f t="shared" si="2075"/>
        <v>379.84684575179296</v>
      </c>
      <c r="O281" s="342">
        <f t="shared" si="2076"/>
        <v>0</v>
      </c>
      <c r="P281" s="343" t="str">
        <f t="shared" si="2077"/>
        <v>0.00</v>
      </c>
      <c r="Q281" s="350">
        <v>50</v>
      </c>
      <c r="R281" s="350">
        <v>0</v>
      </c>
      <c r="S281" s="350">
        <f t="shared" si="2078"/>
        <v>0</v>
      </c>
      <c r="T281" s="343" t="s">
        <v>131</v>
      </c>
      <c r="U281" s="350" t="s">
        <v>535</v>
      </c>
      <c r="V281" s="343">
        <v>150</v>
      </c>
      <c r="W281" s="343" t="str">
        <f t="shared" si="2079"/>
        <v>3.5C X 150</v>
      </c>
      <c r="X281" s="343" t="str">
        <f t="shared" si="2080"/>
        <v>3.5C X 150</v>
      </c>
      <c r="Y281" s="343" t="s">
        <v>358</v>
      </c>
      <c r="Z281" s="344">
        <f>IF(T281="AIR",VLOOKUP(W281,'Catalogue Aluminium'!$B$9:$G$93,2,FALSE),IF(T281="GROUND",VLOOKUP(W281,'Catalogue Aluminium'!$B$9:$G$93,3,FALSE),IF(T281="DUCT",VLOOKUP(W281,'Catalogue Aluminium'!$B$9:$G$93,4,FALSE),IF(T281="TRENCH",VLOOKUP(W281,'Catalogue Aluminium'!$B$9:$G$93,2,FALSE)))))</f>
        <v>293</v>
      </c>
      <c r="AA281" s="345">
        <f>VLOOKUP(W281,'Catalogue Aluminium'!$B$9:$G$93,5,FALSE)</f>
        <v>0.26400000000000001</v>
      </c>
      <c r="AB281" s="345">
        <f>VLOOKUP(W281,'Catalogue Aluminium'!$B$9:$G$93,6,FALSE)</f>
        <v>7.3200000000000001E-2</v>
      </c>
      <c r="AC281" s="457">
        <f>24+6</f>
        <v>30</v>
      </c>
      <c r="AD281" s="457">
        <v>20</v>
      </c>
      <c r="AE281" s="401">
        <v>6</v>
      </c>
      <c r="AF281" s="401">
        <v>8</v>
      </c>
      <c r="AG281" s="401">
        <f t="shared" si="2082"/>
        <v>7</v>
      </c>
      <c r="AH281" s="347">
        <f t="shared" si="2083"/>
        <v>71</v>
      </c>
      <c r="AI281" s="344">
        <f>IF(T281="AIR",'Catalogue Aluminium'!$K$9,IF(T281="TRENCH",'Catalogue Aluminium'!$K$12,"NA"))</f>
        <v>0.89</v>
      </c>
      <c r="AJ281" s="342">
        <f>IF(T281="Air",(IF(U281="1C",'Catalogue Aluminium'!$L$9,'Catalogue Aluminium'!$M$9)),IF(T281="DUCT",(IF($U281="1C",'Catalogue Aluminium'!$L$10,'Catalogue Aluminium'!$M$10)),IF(T281="GROUND",(IF($U281="1C",'Catalogue Aluminium'!$L$11,'Catalogue Aluminium'!$M$11)),IF(T281="TRENCH",(IF($U281="1C",'Catalogue Aluminium'!$L$12,'Catalogue Aluminium'!$M$12))))))</f>
        <v>0.66</v>
      </c>
      <c r="AK281" s="344" t="str">
        <f>IF(T281="Air",'Catalogue Aluminium'!$N$9,IF(T281="GROUND",'Catalogue Aluminium'!$N$10,IF(T281="DUCT",'Catalogue Aluminium'!$N$11,IF(T281="TRENCH",'Catalogue Aluminium'!$N$12,"NA"))))</f>
        <v>NA</v>
      </c>
      <c r="AL281" s="344" t="str">
        <f>IF(T281="Air",(IF(U281="1C",'Catalogue Aluminium'!$O$9,'Catalogue Aluminium'!$P$9)),IF(T281="DUCT",(IF($U281="1C",'Catalogue Aluminium'!$O$10,'Catalogue Aluminium'!$P$10)),IF(T281="GROUND",(IF($U281="1C",'Catalogue Aluminium'!$O$11,'Catalogue Aluminium'!$P$11)),IF(T281="TRENCH",(IF($U281="1C",'Catalogue Aluminium'!$O$12,'Catalogue Aluminium'!$P$12))))))</f>
        <v>NA</v>
      </c>
      <c r="AM281" s="344" t="str">
        <f>IF(T281="AIR","NA",IF(T281="TRENCH","NA",IF(T281="DUCT",IF(U281="1C",VLOOKUP(V281,'Catalogue Aluminium'!$Q$9:$S$28,2,FALSE),VLOOKUP(V281,'Catalogue Aluminium'!$Q$9:$S$28,3)),IF(T281="GROUND",IF(U281="1C",VLOOKUP(V281,'Catalogue Aluminium'!$Q$9:$S$28,2,FALSE),VLOOKUP(V281,'Catalogue Aluminium'!$Q$9:$S$28,3))))))</f>
        <v>NA</v>
      </c>
      <c r="AN281" s="351">
        <f t="shared" si="2084"/>
        <v>0.58740000000000003</v>
      </c>
      <c r="AO281" s="350">
        <f t="shared" si="2085"/>
        <v>172.10820000000001</v>
      </c>
      <c r="AP281" s="349">
        <f t="shared" si="1888"/>
        <v>3</v>
      </c>
      <c r="AQ281" s="350" t="str">
        <f t="shared" si="2086"/>
        <v>YES</v>
      </c>
      <c r="AR281" s="351">
        <f t="shared" si="2087"/>
        <v>1.0236152778161933</v>
      </c>
      <c r="AS281" s="343" t="str">
        <f t="shared" si="2088"/>
        <v>YES</v>
      </c>
      <c r="AT281" s="351" t="str">
        <f t="shared" si="2089"/>
        <v>NA</v>
      </c>
      <c r="AU281" s="343" t="str">
        <f t="shared" si="2090"/>
        <v>NA</v>
      </c>
      <c r="AV281" s="354" t="str">
        <f t="shared" si="2091"/>
        <v>3R x 0.6/1kV x 3.5C x 150 Sqmm</v>
      </c>
      <c r="AW281" s="354" t="str">
        <f t="shared" si="2092"/>
        <v>3R x 0.6/1kV x 3.5C x 150 Sqmm</v>
      </c>
      <c r="AX281" s="343">
        <f t="shared" si="2093"/>
        <v>213</v>
      </c>
      <c r="AY281" s="355"/>
      <c r="AZ281" s="355">
        <f t="shared" si="2094"/>
        <v>6</v>
      </c>
      <c r="BA281" s="356" t="str">
        <f t="shared" si="1902"/>
        <v>A1</v>
      </c>
      <c r="BB281" s="501">
        <f>VLOOKUP(W281,'Catalogue Aluminium'!$B$9:$H$93,7,FALSE)</f>
        <v>48</v>
      </c>
      <c r="BC281" s="328">
        <f t="shared" si="2095"/>
        <v>144</v>
      </c>
      <c r="BE281" s="336">
        <v>1</v>
      </c>
      <c r="BF281" s="336"/>
      <c r="BG281" s="336"/>
      <c r="BH281" s="336"/>
      <c r="BI281" s="336"/>
      <c r="BJ281" s="336"/>
      <c r="BK281" s="336"/>
      <c r="BL281" s="336"/>
      <c r="BM281" s="336"/>
      <c r="BN281" s="336"/>
      <c r="BO281" s="336"/>
      <c r="BP281" s="336"/>
      <c r="BQ281" s="336"/>
      <c r="BR281" s="336"/>
      <c r="BS281" s="336"/>
      <c r="BT281" s="336"/>
      <c r="BU281" s="336"/>
      <c r="BV281" s="336"/>
      <c r="BW281" s="336"/>
      <c r="BX281" s="336"/>
      <c r="BY281" s="336"/>
      <c r="BZ281" s="336"/>
      <c r="CA281" s="336"/>
      <c r="CB281" s="336"/>
      <c r="CC281" s="336"/>
      <c r="CD281" s="336"/>
      <c r="CE281" s="336"/>
      <c r="CF281" s="336"/>
      <c r="CG281" s="336"/>
      <c r="CH281" s="336"/>
      <c r="CI281" s="336"/>
      <c r="CJ281" s="336"/>
      <c r="CK281" s="336"/>
      <c r="CL281" s="336"/>
      <c r="CM281" s="336"/>
      <c r="CN281" s="336"/>
      <c r="CO281" s="336"/>
      <c r="CP281" s="336"/>
      <c r="CQ281" s="336"/>
      <c r="CR281" s="336"/>
      <c r="CS281" s="336"/>
      <c r="CT281" s="336"/>
      <c r="CU281" s="336"/>
      <c r="CV281" s="336"/>
      <c r="CW281" s="336"/>
      <c r="CX281" s="336"/>
      <c r="CY281" s="336"/>
      <c r="CZ281" s="336"/>
      <c r="DA281" s="336"/>
      <c r="DB281" s="336"/>
      <c r="DC281" s="336"/>
      <c r="DD281" s="336"/>
      <c r="DE281" s="336"/>
      <c r="DF281" s="336"/>
      <c r="DG281" s="336"/>
      <c r="DH281" s="336"/>
      <c r="DI281" s="336"/>
      <c r="DJ281" s="336"/>
      <c r="DK281" s="336"/>
      <c r="DL281" s="336"/>
      <c r="DM281" s="336"/>
      <c r="DN281" s="336"/>
      <c r="DO281" s="336"/>
      <c r="DP281" s="336"/>
      <c r="DQ281" s="336"/>
      <c r="DR281" s="336"/>
      <c r="DS281" s="336"/>
      <c r="DT281" s="336"/>
      <c r="DU281" s="336"/>
      <c r="DW281" s="336">
        <f t="shared" si="1872"/>
        <v>144</v>
      </c>
      <c r="DX281" s="336">
        <f t="shared" si="1862"/>
        <v>0</v>
      </c>
      <c r="DY281" s="336">
        <f t="shared" si="1863"/>
        <v>0</v>
      </c>
      <c r="DZ281" s="336">
        <f t="shared" si="1864"/>
        <v>0</v>
      </c>
      <c r="EA281" s="336">
        <f t="shared" si="1865"/>
        <v>0</v>
      </c>
      <c r="EB281" s="336">
        <f t="shared" si="1866"/>
        <v>0</v>
      </c>
      <c r="EC281" s="336">
        <f t="shared" si="1867"/>
        <v>0</v>
      </c>
      <c r="ED281" s="336">
        <f t="shared" si="2019"/>
        <v>0</v>
      </c>
      <c r="EE281" s="336">
        <f t="shared" si="2020"/>
        <v>0</v>
      </c>
      <c r="EF281" s="336">
        <f t="shared" si="2021"/>
        <v>0</v>
      </c>
      <c r="EG281" s="336">
        <f t="shared" si="2022"/>
        <v>0</v>
      </c>
      <c r="EH281" s="336">
        <f t="shared" si="2023"/>
        <v>0</v>
      </c>
      <c r="EI281" s="336">
        <f t="shared" si="2024"/>
        <v>0</v>
      </c>
      <c r="EJ281" s="336">
        <f t="shared" si="2025"/>
        <v>0</v>
      </c>
      <c r="EK281" s="336">
        <f t="shared" si="2026"/>
        <v>0</v>
      </c>
      <c r="EL281" s="336">
        <f t="shared" si="2027"/>
        <v>0</v>
      </c>
      <c r="EM281" s="336">
        <f t="shared" si="2028"/>
        <v>0</v>
      </c>
      <c r="EN281" s="336">
        <f t="shared" si="2029"/>
        <v>0</v>
      </c>
      <c r="EO281" s="336">
        <f t="shared" si="2030"/>
        <v>0</v>
      </c>
      <c r="EP281" s="336">
        <f t="shared" si="2031"/>
        <v>0</v>
      </c>
      <c r="EQ281" s="336">
        <f t="shared" si="2032"/>
        <v>0</v>
      </c>
      <c r="ER281" s="336">
        <f t="shared" si="2033"/>
        <v>0</v>
      </c>
      <c r="ES281" s="336">
        <f t="shared" si="2034"/>
        <v>0</v>
      </c>
      <c r="ET281" s="336">
        <f t="shared" si="2034"/>
        <v>0</v>
      </c>
      <c r="EU281" s="336">
        <f t="shared" si="2035"/>
        <v>0</v>
      </c>
      <c r="EV281" s="336">
        <f t="shared" si="2036"/>
        <v>0</v>
      </c>
      <c r="EW281" s="336">
        <f t="shared" si="2037"/>
        <v>0</v>
      </c>
      <c r="EX281" s="336">
        <f t="shared" si="2038"/>
        <v>0</v>
      </c>
      <c r="EY281" s="336">
        <f t="shared" si="2039"/>
        <v>0</v>
      </c>
      <c r="EZ281" s="336">
        <f t="shared" si="2040"/>
        <v>0</v>
      </c>
      <c r="FA281" s="336">
        <f t="shared" si="2041"/>
        <v>0</v>
      </c>
      <c r="FB281" s="336">
        <f t="shared" si="2042"/>
        <v>0</v>
      </c>
      <c r="FC281" s="336">
        <f t="shared" si="2043"/>
        <v>0</v>
      </c>
      <c r="FD281" s="336">
        <f t="shared" si="2044"/>
        <v>0</v>
      </c>
      <c r="FE281" s="336">
        <f t="shared" si="2045"/>
        <v>0</v>
      </c>
      <c r="FF281" s="336">
        <f t="shared" si="2046"/>
        <v>0</v>
      </c>
      <c r="FG281" s="336">
        <f t="shared" si="2047"/>
        <v>0</v>
      </c>
      <c r="FH281" s="336">
        <f t="shared" si="2048"/>
        <v>0</v>
      </c>
      <c r="FI281" s="336">
        <f t="shared" si="2049"/>
        <v>0</v>
      </c>
      <c r="FJ281" s="336">
        <f t="shared" si="2050"/>
        <v>0</v>
      </c>
      <c r="FK281" s="336">
        <f t="shared" si="2051"/>
        <v>0</v>
      </c>
      <c r="FL281" s="336">
        <f t="shared" si="2052"/>
        <v>0</v>
      </c>
      <c r="FM281" s="336">
        <f t="shared" si="2053"/>
        <v>0</v>
      </c>
      <c r="FN281" s="336">
        <f t="shared" si="2054"/>
        <v>0</v>
      </c>
      <c r="FO281" s="336">
        <f t="shared" si="2055"/>
        <v>0</v>
      </c>
      <c r="FP281" s="336">
        <f t="shared" si="2056"/>
        <v>0</v>
      </c>
      <c r="FQ281" s="336">
        <f t="shared" si="2057"/>
        <v>0</v>
      </c>
      <c r="FR281" s="336">
        <f t="shared" si="2058"/>
        <v>0</v>
      </c>
      <c r="FS281" s="336">
        <f t="shared" si="2059"/>
        <v>0</v>
      </c>
      <c r="FT281" s="336">
        <f t="shared" si="2060"/>
        <v>0</v>
      </c>
      <c r="FU281" s="336">
        <f t="shared" si="1980"/>
        <v>0</v>
      </c>
      <c r="FV281" s="336">
        <f t="shared" si="1981"/>
        <v>0</v>
      </c>
      <c r="FW281" s="336">
        <f t="shared" si="1982"/>
        <v>0</v>
      </c>
      <c r="FX281" s="336">
        <f t="shared" si="1983"/>
        <v>0</v>
      </c>
      <c r="FY281" s="336">
        <f t="shared" si="2061"/>
        <v>0</v>
      </c>
      <c r="FZ281" s="336">
        <f t="shared" si="2062"/>
        <v>0</v>
      </c>
      <c r="GA281" s="336">
        <f t="shared" si="2063"/>
        <v>0</v>
      </c>
      <c r="GB281" s="336">
        <f t="shared" si="2064"/>
        <v>0</v>
      </c>
      <c r="GC281" s="336">
        <f t="shared" si="2065"/>
        <v>0</v>
      </c>
      <c r="GD281" s="336">
        <f t="shared" si="2066"/>
        <v>0</v>
      </c>
      <c r="GE281" s="336">
        <f t="shared" si="2067"/>
        <v>0</v>
      </c>
      <c r="GF281" s="336">
        <f t="shared" si="2068"/>
        <v>0</v>
      </c>
      <c r="GG281" s="336">
        <f t="shared" si="2069"/>
        <v>0</v>
      </c>
      <c r="GH281" s="336">
        <f t="shared" si="2070"/>
        <v>0</v>
      </c>
      <c r="GI281" s="336">
        <f t="shared" si="2071"/>
        <v>0</v>
      </c>
      <c r="GJ281" s="336">
        <f t="shared" si="2072"/>
        <v>0</v>
      </c>
      <c r="GK281" s="336">
        <f t="shared" si="1988"/>
        <v>0</v>
      </c>
      <c r="GL281" s="336">
        <f t="shared" si="1984"/>
        <v>0</v>
      </c>
      <c r="GM281" s="336">
        <f t="shared" si="2073"/>
        <v>0</v>
      </c>
    </row>
    <row r="282" spans="1:195" ht="25.5">
      <c r="A282" s="337">
        <f t="shared" si="2096"/>
        <v>181</v>
      </c>
      <c r="B282" s="526" t="s">
        <v>718</v>
      </c>
      <c r="C282" s="337" t="str">
        <f t="shared" si="2074"/>
        <v>EPMCC-1</v>
      </c>
      <c r="D282" s="372" t="s">
        <v>721</v>
      </c>
      <c r="E282" s="514" t="s">
        <v>608</v>
      </c>
      <c r="F282" s="516" t="s">
        <v>29</v>
      </c>
      <c r="G282" s="370" t="s">
        <v>329</v>
      </c>
      <c r="H282" s="350">
        <v>212.5</v>
      </c>
      <c r="I282" s="337" t="s">
        <v>330</v>
      </c>
      <c r="J282" s="337" t="s">
        <v>331</v>
      </c>
      <c r="K282" s="349">
        <v>400</v>
      </c>
      <c r="L282" s="343">
        <v>0.85</v>
      </c>
      <c r="M282" s="350">
        <v>0.95</v>
      </c>
      <c r="N282" s="342">
        <f t="shared" si="2075"/>
        <v>379.84684575179296</v>
      </c>
      <c r="O282" s="342">
        <f t="shared" si="2076"/>
        <v>0</v>
      </c>
      <c r="P282" s="343" t="str">
        <f t="shared" si="2077"/>
        <v>0.00</v>
      </c>
      <c r="Q282" s="350">
        <v>50</v>
      </c>
      <c r="R282" s="350">
        <v>0</v>
      </c>
      <c r="S282" s="350">
        <f t="shared" si="2078"/>
        <v>0</v>
      </c>
      <c r="T282" s="343" t="s">
        <v>131</v>
      </c>
      <c r="U282" s="350" t="s">
        <v>535</v>
      </c>
      <c r="V282" s="343">
        <v>150</v>
      </c>
      <c r="W282" s="343" t="str">
        <f t="shared" si="2079"/>
        <v>3.5C X 150</v>
      </c>
      <c r="X282" s="343" t="str">
        <f t="shared" si="2080"/>
        <v>3.5C X 150</v>
      </c>
      <c r="Y282" s="343" t="s">
        <v>358</v>
      </c>
      <c r="Z282" s="344">
        <f>IF(T282="AIR",VLOOKUP(W282,'Catalogue Aluminium'!$B$9:$G$93,2,FALSE),IF(T282="GROUND",VLOOKUP(W282,'Catalogue Aluminium'!$B$9:$G$93,3,FALSE),IF(T282="DUCT",VLOOKUP(W282,'Catalogue Aluminium'!$B$9:$G$93,4,FALSE),IF(T282="TRENCH",VLOOKUP(W282,'Catalogue Aluminium'!$B$9:$G$93,2,FALSE)))))</f>
        <v>293</v>
      </c>
      <c r="AA282" s="345">
        <f>VLOOKUP(W282,'Catalogue Aluminium'!$B$9:$G$93,5,FALSE)</f>
        <v>0.26400000000000001</v>
      </c>
      <c r="AB282" s="345">
        <f>VLOOKUP(W282,'Catalogue Aluminium'!$B$9:$G$93,6,FALSE)</f>
        <v>7.3200000000000001E-2</v>
      </c>
      <c r="AC282" s="457">
        <f>24+6</f>
        <v>30</v>
      </c>
      <c r="AD282" s="457">
        <v>20</v>
      </c>
      <c r="AE282" s="401">
        <v>6</v>
      </c>
      <c r="AF282" s="401">
        <v>8</v>
      </c>
      <c r="AG282" s="401">
        <f t="shared" si="2082"/>
        <v>7</v>
      </c>
      <c r="AH282" s="347">
        <f t="shared" si="2083"/>
        <v>71</v>
      </c>
      <c r="AI282" s="344">
        <f>IF(T282="AIR",'Catalogue Aluminium'!$K$9,IF(T282="TRENCH",'Catalogue Aluminium'!$K$12,"NA"))</f>
        <v>0.89</v>
      </c>
      <c r="AJ282" s="342">
        <f>IF(T282="Air",(IF(U282="1C",'Catalogue Aluminium'!$L$9,'Catalogue Aluminium'!$M$9)),IF(T282="DUCT",(IF($U282="1C",'Catalogue Aluminium'!$L$10,'Catalogue Aluminium'!$M$10)),IF(T282="GROUND",(IF($U282="1C",'Catalogue Aluminium'!$L$11,'Catalogue Aluminium'!$M$11)),IF(T282="TRENCH",(IF($U282="1C",'Catalogue Aluminium'!$L$12,'Catalogue Aluminium'!$M$12))))))</f>
        <v>0.66</v>
      </c>
      <c r="AK282" s="344" t="str">
        <f>IF(T282="Air",'Catalogue Aluminium'!$N$9,IF(T282="GROUND",'Catalogue Aluminium'!$N$10,IF(T282="DUCT",'Catalogue Aluminium'!$N$11,IF(T282="TRENCH",'Catalogue Aluminium'!$N$12,"NA"))))</f>
        <v>NA</v>
      </c>
      <c r="AL282" s="344" t="str">
        <f>IF(T282="Air",(IF(U282="1C",'Catalogue Aluminium'!$O$9,'Catalogue Aluminium'!$P$9)),IF(T282="DUCT",(IF($U282="1C",'Catalogue Aluminium'!$O$10,'Catalogue Aluminium'!$P$10)),IF(T282="GROUND",(IF($U282="1C",'Catalogue Aluminium'!$O$11,'Catalogue Aluminium'!$P$11)),IF(T282="TRENCH",(IF($U282="1C",'Catalogue Aluminium'!$O$12,'Catalogue Aluminium'!$P$12))))))</f>
        <v>NA</v>
      </c>
      <c r="AM282" s="344" t="str">
        <f>IF(T282="AIR","NA",IF(T282="TRENCH","NA",IF(T282="DUCT",IF(U282="1C",VLOOKUP(V282,'Catalogue Aluminium'!$Q$9:$S$28,2,FALSE),VLOOKUP(V282,'Catalogue Aluminium'!$Q$9:$S$28,3)),IF(T282="GROUND",IF(U282="1C",VLOOKUP(V282,'Catalogue Aluminium'!$Q$9:$S$28,2,FALSE),VLOOKUP(V282,'Catalogue Aluminium'!$Q$9:$S$28,3))))))</f>
        <v>NA</v>
      </c>
      <c r="AN282" s="351">
        <f t="shared" si="2084"/>
        <v>0.58740000000000003</v>
      </c>
      <c r="AO282" s="350">
        <f t="shared" si="2085"/>
        <v>172.10820000000001</v>
      </c>
      <c r="AP282" s="349">
        <f t="shared" si="1888"/>
        <v>3</v>
      </c>
      <c r="AQ282" s="350" t="str">
        <f t="shared" si="2086"/>
        <v>YES</v>
      </c>
      <c r="AR282" s="351">
        <f t="shared" si="2087"/>
        <v>1.0236152778161933</v>
      </c>
      <c r="AS282" s="343" t="str">
        <f t="shared" si="2088"/>
        <v>YES</v>
      </c>
      <c r="AT282" s="351" t="str">
        <f t="shared" si="2089"/>
        <v>NA</v>
      </c>
      <c r="AU282" s="343" t="str">
        <f t="shared" si="2090"/>
        <v>NA</v>
      </c>
      <c r="AV282" s="354" t="str">
        <f t="shared" si="2091"/>
        <v>3R x 0.6/1kV x 3.5C x 150 Sqmm</v>
      </c>
      <c r="AW282" s="354" t="str">
        <f t="shared" si="2092"/>
        <v>3R x 0.6/1kV x 3.5C x 150 Sqmm</v>
      </c>
      <c r="AX282" s="343">
        <f t="shared" si="2093"/>
        <v>213</v>
      </c>
      <c r="AY282" s="355"/>
      <c r="AZ282" s="355">
        <f t="shared" si="2094"/>
        <v>6</v>
      </c>
      <c r="BA282" s="356" t="str">
        <f t="shared" si="1902"/>
        <v>A1</v>
      </c>
      <c r="BB282" s="501">
        <f>VLOOKUP(W282,'Catalogue Aluminium'!$B$9:$H$93,7,FALSE)</f>
        <v>48</v>
      </c>
      <c r="BC282" s="328">
        <f t="shared" si="2095"/>
        <v>144</v>
      </c>
      <c r="BE282" s="336">
        <v>1</v>
      </c>
      <c r="BF282" s="336"/>
      <c r="BG282" s="336"/>
      <c r="BH282" s="336"/>
      <c r="BI282" s="336"/>
      <c r="BJ282" s="336"/>
      <c r="BK282" s="336"/>
      <c r="BL282" s="336"/>
      <c r="BM282" s="336"/>
      <c r="BN282" s="336"/>
      <c r="BO282" s="336"/>
      <c r="BP282" s="336"/>
      <c r="BQ282" s="336"/>
      <c r="BR282" s="336"/>
      <c r="BS282" s="336"/>
      <c r="BT282" s="336"/>
      <c r="BU282" s="336"/>
      <c r="BV282" s="336"/>
      <c r="BW282" s="336"/>
      <c r="BX282" s="336"/>
      <c r="BY282" s="336"/>
      <c r="BZ282" s="336"/>
      <c r="CA282" s="336"/>
      <c r="CB282" s="336"/>
      <c r="CC282" s="336"/>
      <c r="CD282" s="336"/>
      <c r="CE282" s="336"/>
      <c r="CF282" s="336"/>
      <c r="CG282" s="336"/>
      <c r="CH282" s="336"/>
      <c r="CI282" s="336"/>
      <c r="CJ282" s="336"/>
      <c r="CK282" s="336"/>
      <c r="CL282" s="336"/>
      <c r="CM282" s="336"/>
      <c r="CN282" s="336"/>
      <c r="CO282" s="336"/>
      <c r="CP282" s="336"/>
      <c r="CQ282" s="336"/>
      <c r="CR282" s="336"/>
      <c r="CS282" s="336"/>
      <c r="CT282" s="336"/>
      <c r="CU282" s="336"/>
      <c r="CV282" s="336"/>
      <c r="CW282" s="336"/>
      <c r="CX282" s="336"/>
      <c r="CY282" s="336"/>
      <c r="CZ282" s="336"/>
      <c r="DA282" s="336"/>
      <c r="DB282" s="336"/>
      <c r="DC282" s="336"/>
      <c r="DD282" s="336"/>
      <c r="DE282" s="336"/>
      <c r="DF282" s="336"/>
      <c r="DG282" s="336"/>
      <c r="DH282" s="336"/>
      <c r="DI282" s="336"/>
      <c r="DJ282" s="336"/>
      <c r="DK282" s="336"/>
      <c r="DL282" s="336"/>
      <c r="DM282" s="336"/>
      <c r="DN282" s="336"/>
      <c r="DO282" s="336"/>
      <c r="DP282" s="336"/>
      <c r="DQ282" s="336"/>
      <c r="DR282" s="336"/>
      <c r="DS282" s="336"/>
      <c r="DT282" s="336"/>
      <c r="DU282" s="336"/>
      <c r="DW282" s="336">
        <f t="shared" si="1872"/>
        <v>144</v>
      </c>
      <c r="DX282" s="336">
        <f t="shared" si="1862"/>
        <v>0</v>
      </c>
      <c r="DY282" s="336">
        <f t="shared" si="1863"/>
        <v>0</v>
      </c>
      <c r="DZ282" s="336">
        <f t="shared" si="1864"/>
        <v>0</v>
      </c>
      <c r="EA282" s="336">
        <f t="shared" si="1865"/>
        <v>0</v>
      </c>
      <c r="EB282" s="336">
        <f t="shared" si="1866"/>
        <v>0</v>
      </c>
      <c r="EC282" s="336">
        <f t="shared" si="1867"/>
        <v>0</v>
      </c>
      <c r="ED282" s="336">
        <f t="shared" si="2019"/>
        <v>0</v>
      </c>
      <c r="EE282" s="336">
        <f t="shared" si="2020"/>
        <v>0</v>
      </c>
      <c r="EF282" s="336">
        <f t="shared" si="2021"/>
        <v>0</v>
      </c>
      <c r="EG282" s="336">
        <f t="shared" si="2022"/>
        <v>0</v>
      </c>
      <c r="EH282" s="336">
        <f t="shared" si="2023"/>
        <v>0</v>
      </c>
      <c r="EI282" s="336">
        <f t="shared" si="2024"/>
        <v>0</v>
      </c>
      <c r="EJ282" s="336">
        <f t="shared" si="2025"/>
        <v>0</v>
      </c>
      <c r="EK282" s="336">
        <f t="shared" si="2026"/>
        <v>0</v>
      </c>
      <c r="EL282" s="336">
        <f t="shared" si="2027"/>
        <v>0</v>
      </c>
      <c r="EM282" s="336">
        <f t="shared" si="2028"/>
        <v>0</v>
      </c>
      <c r="EN282" s="336">
        <f t="shared" si="2029"/>
        <v>0</v>
      </c>
      <c r="EO282" s="336">
        <f t="shared" si="2030"/>
        <v>0</v>
      </c>
      <c r="EP282" s="336">
        <f t="shared" si="2031"/>
        <v>0</v>
      </c>
      <c r="EQ282" s="336">
        <f t="shared" si="2032"/>
        <v>0</v>
      </c>
      <c r="ER282" s="336">
        <f t="shared" si="2033"/>
        <v>0</v>
      </c>
      <c r="ES282" s="336">
        <f t="shared" si="2034"/>
        <v>0</v>
      </c>
      <c r="ET282" s="336">
        <f t="shared" si="2034"/>
        <v>0</v>
      </c>
      <c r="EU282" s="336">
        <f t="shared" si="2035"/>
        <v>0</v>
      </c>
      <c r="EV282" s="336">
        <f t="shared" si="2036"/>
        <v>0</v>
      </c>
      <c r="EW282" s="336">
        <f t="shared" si="2037"/>
        <v>0</v>
      </c>
      <c r="EX282" s="336">
        <f t="shared" si="2038"/>
        <v>0</v>
      </c>
      <c r="EY282" s="336">
        <f t="shared" si="2039"/>
        <v>0</v>
      </c>
      <c r="EZ282" s="336">
        <f t="shared" si="2040"/>
        <v>0</v>
      </c>
      <c r="FA282" s="336">
        <f t="shared" si="2041"/>
        <v>0</v>
      </c>
      <c r="FB282" s="336">
        <f t="shared" si="2042"/>
        <v>0</v>
      </c>
      <c r="FC282" s="336">
        <f t="shared" si="2043"/>
        <v>0</v>
      </c>
      <c r="FD282" s="336">
        <f t="shared" si="2044"/>
        <v>0</v>
      </c>
      <c r="FE282" s="336">
        <f t="shared" si="2045"/>
        <v>0</v>
      </c>
      <c r="FF282" s="336">
        <f t="shared" si="2046"/>
        <v>0</v>
      </c>
      <c r="FG282" s="336">
        <f t="shared" si="2047"/>
        <v>0</v>
      </c>
      <c r="FH282" s="336">
        <f t="shared" si="2048"/>
        <v>0</v>
      </c>
      <c r="FI282" s="336">
        <f t="shared" si="2049"/>
        <v>0</v>
      </c>
      <c r="FJ282" s="336">
        <f t="shared" si="2050"/>
        <v>0</v>
      </c>
      <c r="FK282" s="336">
        <f t="shared" si="2051"/>
        <v>0</v>
      </c>
      <c r="FL282" s="336">
        <f t="shared" si="2052"/>
        <v>0</v>
      </c>
      <c r="FM282" s="336">
        <f t="shared" si="2053"/>
        <v>0</v>
      </c>
      <c r="FN282" s="336">
        <f t="shared" si="2054"/>
        <v>0</v>
      </c>
      <c r="FO282" s="336">
        <f t="shared" si="2055"/>
        <v>0</v>
      </c>
      <c r="FP282" s="336">
        <f t="shared" si="2056"/>
        <v>0</v>
      </c>
      <c r="FQ282" s="336">
        <f t="shared" si="2057"/>
        <v>0</v>
      </c>
      <c r="FR282" s="336">
        <f t="shared" si="2058"/>
        <v>0</v>
      </c>
      <c r="FS282" s="336">
        <f t="shared" si="2059"/>
        <v>0</v>
      </c>
      <c r="FT282" s="336">
        <f t="shared" si="2060"/>
        <v>0</v>
      </c>
      <c r="FU282" s="336">
        <f t="shared" si="1980"/>
        <v>0</v>
      </c>
      <c r="FV282" s="336">
        <f t="shared" si="1981"/>
        <v>0</v>
      </c>
      <c r="FW282" s="336">
        <f t="shared" si="1982"/>
        <v>0</v>
      </c>
      <c r="FX282" s="336">
        <f t="shared" si="1983"/>
        <v>0</v>
      </c>
      <c r="FY282" s="336">
        <f t="shared" si="2061"/>
        <v>0</v>
      </c>
      <c r="FZ282" s="336">
        <f t="shared" si="2062"/>
        <v>0</v>
      </c>
      <c r="GA282" s="336">
        <f t="shared" si="2063"/>
        <v>0</v>
      </c>
      <c r="GB282" s="336">
        <f t="shared" si="2064"/>
        <v>0</v>
      </c>
      <c r="GC282" s="336">
        <f t="shared" si="2065"/>
        <v>0</v>
      </c>
      <c r="GD282" s="336">
        <f t="shared" si="2066"/>
        <v>0</v>
      </c>
      <c r="GE282" s="336">
        <f t="shared" si="2067"/>
        <v>0</v>
      </c>
      <c r="GF282" s="336">
        <f t="shared" si="2068"/>
        <v>0</v>
      </c>
      <c r="GG282" s="336">
        <f t="shared" si="2069"/>
        <v>0</v>
      </c>
      <c r="GH282" s="336">
        <f t="shared" si="2070"/>
        <v>0</v>
      </c>
      <c r="GI282" s="336">
        <f t="shared" si="2071"/>
        <v>0</v>
      </c>
      <c r="GJ282" s="336">
        <f t="shared" si="2072"/>
        <v>0</v>
      </c>
      <c r="GK282" s="336">
        <f t="shared" si="1988"/>
        <v>0</v>
      </c>
      <c r="GL282" s="336">
        <f t="shared" si="1984"/>
        <v>0</v>
      </c>
      <c r="GM282" s="336">
        <f t="shared" si="2073"/>
        <v>0</v>
      </c>
    </row>
    <row r="283" spans="1:195" ht="25.5">
      <c r="A283" s="337">
        <f t="shared" si="2096"/>
        <v>182</v>
      </c>
      <c r="B283" s="526" t="s">
        <v>722</v>
      </c>
      <c r="C283" s="337" t="str">
        <f t="shared" si="2074"/>
        <v>EPMCC-1</v>
      </c>
      <c r="D283" s="372" t="s">
        <v>723</v>
      </c>
      <c r="E283" s="514" t="s">
        <v>608</v>
      </c>
      <c r="F283" s="516" t="s">
        <v>28</v>
      </c>
      <c r="G283" s="370" t="s">
        <v>329</v>
      </c>
      <c r="H283" s="350">
        <v>100</v>
      </c>
      <c r="I283" s="337" t="s">
        <v>330</v>
      </c>
      <c r="J283" s="337" t="s">
        <v>331</v>
      </c>
      <c r="K283" s="349">
        <v>400</v>
      </c>
      <c r="L283" s="343">
        <v>0.85</v>
      </c>
      <c r="M283" s="350">
        <v>0.95</v>
      </c>
      <c r="N283" s="342">
        <f t="shared" si="2075"/>
        <v>178.75145682437315</v>
      </c>
      <c r="O283" s="342">
        <f t="shared" si="2076"/>
        <v>0</v>
      </c>
      <c r="P283" s="343" t="str">
        <f t="shared" si="2077"/>
        <v>0.00</v>
      </c>
      <c r="Q283" s="350">
        <v>50</v>
      </c>
      <c r="R283" s="350">
        <v>0</v>
      </c>
      <c r="S283" s="350">
        <f t="shared" si="2078"/>
        <v>0</v>
      </c>
      <c r="T283" s="343" t="s">
        <v>131</v>
      </c>
      <c r="U283" s="350" t="s">
        <v>535</v>
      </c>
      <c r="V283" s="343">
        <v>150</v>
      </c>
      <c r="W283" s="343" t="str">
        <f t="shared" si="2079"/>
        <v>3.5C X 150</v>
      </c>
      <c r="X283" s="343" t="str">
        <f t="shared" si="2080"/>
        <v>3.5C X 150</v>
      </c>
      <c r="Y283" s="343" t="s">
        <v>358</v>
      </c>
      <c r="Z283" s="344">
        <f>IF(T283="AIR",VLOOKUP(W283,'Catalogue Aluminium'!$B$9:$G$93,2,FALSE),IF(T283="GROUND",VLOOKUP(W283,'Catalogue Aluminium'!$B$9:$G$93,3,FALSE),IF(T283="DUCT",VLOOKUP(W283,'Catalogue Aluminium'!$B$9:$G$93,4,FALSE),IF(T283="TRENCH",VLOOKUP(W283,'Catalogue Aluminium'!$B$9:$G$93,2,FALSE)))))</f>
        <v>293</v>
      </c>
      <c r="AA283" s="345">
        <f>VLOOKUP(W283,'Catalogue Aluminium'!$B$9:$G$93,5,FALSE)</f>
        <v>0.26400000000000001</v>
      </c>
      <c r="AB283" s="345">
        <f>VLOOKUP(W283,'Catalogue Aluminium'!$B$9:$G$93,6,FALSE)</f>
        <v>7.3200000000000001E-2</v>
      </c>
      <c r="AC283" s="457">
        <f t="shared" ref="AC283" si="2097">32+6</f>
        <v>38</v>
      </c>
      <c r="AD283" s="457">
        <v>0</v>
      </c>
      <c r="AE283" s="401">
        <v>5</v>
      </c>
      <c r="AF283" s="401">
        <v>8</v>
      </c>
      <c r="AG283" s="401">
        <f t="shared" si="2082"/>
        <v>6</v>
      </c>
      <c r="AH283" s="347">
        <f t="shared" si="2083"/>
        <v>57</v>
      </c>
      <c r="AI283" s="344">
        <f>IF(T283="AIR",'Catalogue Aluminium'!$K$9,IF(T283="TRENCH",'Catalogue Aluminium'!$K$12,"NA"))</f>
        <v>0.89</v>
      </c>
      <c r="AJ283" s="342">
        <f>IF(T283="Air",(IF(U283="1C",'Catalogue Aluminium'!$L$9,'Catalogue Aluminium'!$M$9)),IF(T283="DUCT",(IF($U283="1C",'Catalogue Aluminium'!$L$10,'Catalogue Aluminium'!$M$10)),IF(T283="GROUND",(IF($U283="1C",'Catalogue Aluminium'!$L$11,'Catalogue Aluminium'!$M$11)),IF(T283="TRENCH",(IF($U283="1C",'Catalogue Aluminium'!$L$12,'Catalogue Aluminium'!$M$12))))))</f>
        <v>0.66</v>
      </c>
      <c r="AK283" s="344" t="str">
        <f>IF(T283="Air",'Catalogue Aluminium'!$N$9,IF(T283="GROUND",'Catalogue Aluminium'!$N$10,IF(T283="DUCT",'Catalogue Aluminium'!$N$11,IF(T283="TRENCH",'Catalogue Aluminium'!$N$12,"NA"))))</f>
        <v>NA</v>
      </c>
      <c r="AL283" s="344" t="str">
        <f>IF(T283="Air",(IF(U283="1C",'Catalogue Aluminium'!$O$9,'Catalogue Aluminium'!$P$9)),IF(T283="DUCT",(IF($U283="1C",'Catalogue Aluminium'!$O$10,'Catalogue Aluminium'!$P$10)),IF(T283="GROUND",(IF($U283="1C",'Catalogue Aluminium'!$O$11,'Catalogue Aluminium'!$P$11)),IF(T283="TRENCH",(IF($U283="1C",'Catalogue Aluminium'!$O$12,'Catalogue Aluminium'!$P$12))))))</f>
        <v>NA</v>
      </c>
      <c r="AM283" s="344" t="str">
        <f>IF(T283="AIR","NA",IF(T283="TRENCH","NA",IF(T283="DUCT",IF(U283="1C",VLOOKUP(V283,'Catalogue Aluminium'!$Q$9:$S$28,2,FALSE),VLOOKUP(V283,'Catalogue Aluminium'!$Q$9:$S$28,3)),IF(T283="GROUND",IF(U283="1C",VLOOKUP(V283,'Catalogue Aluminium'!$Q$9:$S$28,2,FALSE),VLOOKUP(V283,'Catalogue Aluminium'!$Q$9:$S$28,3))))))</f>
        <v>NA</v>
      </c>
      <c r="AN283" s="351">
        <f t="shared" si="2084"/>
        <v>0.58740000000000003</v>
      </c>
      <c r="AO283" s="350">
        <f t="shared" si="2085"/>
        <v>172.10820000000001</v>
      </c>
      <c r="AP283" s="349">
        <f t="shared" si="1888"/>
        <v>2</v>
      </c>
      <c r="AQ283" s="350" t="str">
        <f t="shared" si="2086"/>
        <v>YES</v>
      </c>
      <c r="AR283" s="351">
        <f t="shared" si="2087"/>
        <v>0.58007692628523289</v>
      </c>
      <c r="AS283" s="343" t="str">
        <f t="shared" si="2088"/>
        <v>YES</v>
      </c>
      <c r="AT283" s="351" t="str">
        <f t="shared" si="2089"/>
        <v>NA</v>
      </c>
      <c r="AU283" s="343" t="str">
        <f t="shared" si="2090"/>
        <v>NA</v>
      </c>
      <c r="AV283" s="354" t="str">
        <f t="shared" si="2091"/>
        <v>2R x 0.6/1kV x 3.5C x 150 Sqmm</v>
      </c>
      <c r="AW283" s="354" t="str">
        <f t="shared" si="2092"/>
        <v>2R x 0.6/1kV x 3.5C x 150 Sqmm</v>
      </c>
      <c r="AX283" s="343">
        <f t="shared" si="2093"/>
        <v>114</v>
      </c>
      <c r="AY283" s="355"/>
      <c r="AZ283" s="355">
        <f t="shared" si="2094"/>
        <v>4</v>
      </c>
      <c r="BA283" s="356" t="str">
        <f t="shared" si="1902"/>
        <v/>
      </c>
      <c r="BB283" s="501">
        <f>VLOOKUP(W283,'Catalogue Aluminium'!$B$9:$H$93,7,FALSE)</f>
        <v>48</v>
      </c>
      <c r="BC283" s="328">
        <f t="shared" si="2095"/>
        <v>96</v>
      </c>
      <c r="BE283" s="336"/>
      <c r="BF283" s="336"/>
      <c r="BG283" s="336"/>
      <c r="BH283" s="336"/>
      <c r="BI283" s="336"/>
      <c r="BJ283" s="336"/>
      <c r="BK283" s="336"/>
      <c r="BL283" s="336"/>
      <c r="BM283" s="336"/>
      <c r="BN283" s="336"/>
      <c r="BO283" s="336"/>
      <c r="BP283" s="336"/>
      <c r="BQ283" s="336"/>
      <c r="BR283" s="336"/>
      <c r="BS283" s="336"/>
      <c r="BT283" s="336"/>
      <c r="BU283" s="336"/>
      <c r="BV283" s="336"/>
      <c r="BW283" s="336"/>
      <c r="BX283" s="336"/>
      <c r="BY283" s="336"/>
      <c r="BZ283" s="336"/>
      <c r="CA283" s="336"/>
      <c r="CB283" s="336"/>
      <c r="CC283" s="336"/>
      <c r="CD283" s="336"/>
      <c r="CE283" s="336"/>
      <c r="CF283" s="336"/>
      <c r="CG283" s="336"/>
      <c r="CH283" s="336"/>
      <c r="CI283" s="336"/>
      <c r="CJ283" s="336"/>
      <c r="CK283" s="336"/>
      <c r="CL283" s="336"/>
      <c r="CM283" s="336"/>
      <c r="CN283" s="336"/>
      <c r="CO283" s="336"/>
      <c r="CP283" s="336"/>
      <c r="CQ283" s="336"/>
      <c r="CR283" s="336"/>
      <c r="CS283" s="336"/>
      <c r="CT283" s="336"/>
      <c r="CU283" s="336"/>
      <c r="CV283" s="336"/>
      <c r="CW283" s="336"/>
      <c r="CX283" s="336"/>
      <c r="CY283" s="336"/>
      <c r="CZ283" s="336"/>
      <c r="DA283" s="336"/>
      <c r="DB283" s="336"/>
      <c r="DC283" s="336"/>
      <c r="DD283" s="336"/>
      <c r="DE283" s="336"/>
      <c r="DF283" s="336"/>
      <c r="DG283" s="336"/>
      <c r="DH283" s="336"/>
      <c r="DI283" s="336"/>
      <c r="DJ283" s="336"/>
      <c r="DK283" s="336"/>
      <c r="DL283" s="336"/>
      <c r="DM283" s="336"/>
      <c r="DN283" s="336"/>
      <c r="DO283" s="336"/>
      <c r="DP283" s="336"/>
      <c r="DQ283" s="336"/>
      <c r="DR283" s="336"/>
      <c r="DS283" s="336"/>
      <c r="DT283" s="336"/>
      <c r="DU283" s="336"/>
      <c r="DW283" s="336">
        <f t="shared" si="1872"/>
        <v>0</v>
      </c>
      <c r="DX283" s="336">
        <f t="shared" si="1862"/>
        <v>0</v>
      </c>
      <c r="DY283" s="336">
        <f t="shared" si="1863"/>
        <v>0</v>
      </c>
      <c r="DZ283" s="336">
        <f t="shared" si="1864"/>
        <v>0</v>
      </c>
      <c r="EA283" s="336">
        <f t="shared" si="1865"/>
        <v>0</v>
      </c>
      <c r="EB283" s="336">
        <f t="shared" si="1866"/>
        <v>0</v>
      </c>
      <c r="EC283" s="336">
        <f t="shared" si="1867"/>
        <v>0</v>
      </c>
      <c r="ED283" s="336">
        <f t="shared" si="2019"/>
        <v>0</v>
      </c>
      <c r="EE283" s="336">
        <f t="shared" si="2020"/>
        <v>0</v>
      </c>
      <c r="EF283" s="336">
        <f t="shared" si="2021"/>
        <v>0</v>
      </c>
      <c r="EG283" s="336">
        <f t="shared" si="2022"/>
        <v>0</v>
      </c>
      <c r="EH283" s="336">
        <f t="shared" si="2023"/>
        <v>0</v>
      </c>
      <c r="EI283" s="336">
        <f t="shared" si="2024"/>
        <v>0</v>
      </c>
      <c r="EJ283" s="336">
        <f t="shared" si="2025"/>
        <v>0</v>
      </c>
      <c r="EK283" s="336">
        <f t="shared" si="2026"/>
        <v>0</v>
      </c>
      <c r="EL283" s="336">
        <f t="shared" si="2027"/>
        <v>0</v>
      </c>
      <c r="EM283" s="336">
        <f t="shared" si="2028"/>
        <v>0</v>
      </c>
      <c r="EN283" s="336">
        <f t="shared" si="2029"/>
        <v>0</v>
      </c>
      <c r="EO283" s="336">
        <f t="shared" si="2030"/>
        <v>0</v>
      </c>
      <c r="EP283" s="336">
        <f t="shared" si="2031"/>
        <v>0</v>
      </c>
      <c r="EQ283" s="336">
        <f t="shared" si="2032"/>
        <v>0</v>
      </c>
      <c r="ER283" s="336">
        <f t="shared" si="2033"/>
        <v>0</v>
      </c>
      <c r="ES283" s="336">
        <f t="shared" si="2034"/>
        <v>0</v>
      </c>
      <c r="ET283" s="336">
        <f t="shared" si="2034"/>
        <v>0</v>
      </c>
      <c r="EU283" s="336">
        <f t="shared" si="2035"/>
        <v>0</v>
      </c>
      <c r="EV283" s="336">
        <f t="shared" si="2036"/>
        <v>0</v>
      </c>
      <c r="EW283" s="336">
        <f t="shared" si="2037"/>
        <v>0</v>
      </c>
      <c r="EX283" s="336">
        <f t="shared" si="2038"/>
        <v>0</v>
      </c>
      <c r="EY283" s="336">
        <f t="shared" si="2039"/>
        <v>0</v>
      </c>
      <c r="EZ283" s="336">
        <f t="shared" si="2040"/>
        <v>0</v>
      </c>
      <c r="FA283" s="336">
        <f t="shared" si="2041"/>
        <v>0</v>
      </c>
      <c r="FB283" s="336">
        <f t="shared" si="2042"/>
        <v>0</v>
      </c>
      <c r="FC283" s="336">
        <f t="shared" si="2043"/>
        <v>0</v>
      </c>
      <c r="FD283" s="336">
        <f t="shared" si="2044"/>
        <v>0</v>
      </c>
      <c r="FE283" s="336">
        <f t="shared" si="2045"/>
        <v>0</v>
      </c>
      <c r="FF283" s="336">
        <f t="shared" si="2046"/>
        <v>0</v>
      </c>
      <c r="FG283" s="336">
        <f t="shared" si="2047"/>
        <v>0</v>
      </c>
      <c r="FH283" s="336">
        <f t="shared" si="2048"/>
        <v>0</v>
      </c>
      <c r="FI283" s="336">
        <f t="shared" si="2049"/>
        <v>0</v>
      </c>
      <c r="FJ283" s="336">
        <f t="shared" si="2050"/>
        <v>0</v>
      </c>
      <c r="FK283" s="336">
        <f t="shared" si="2051"/>
        <v>0</v>
      </c>
      <c r="FL283" s="336">
        <f t="shared" si="2052"/>
        <v>0</v>
      </c>
      <c r="FM283" s="336">
        <f t="shared" si="2053"/>
        <v>0</v>
      </c>
      <c r="FN283" s="336">
        <f t="shared" si="2054"/>
        <v>0</v>
      </c>
      <c r="FO283" s="336">
        <f t="shared" si="2055"/>
        <v>0</v>
      </c>
      <c r="FP283" s="336">
        <f t="shared" si="2056"/>
        <v>0</v>
      </c>
      <c r="FQ283" s="336">
        <f t="shared" si="2057"/>
        <v>0</v>
      </c>
      <c r="FR283" s="336">
        <f t="shared" si="2058"/>
        <v>0</v>
      </c>
      <c r="FS283" s="336">
        <f t="shared" si="2059"/>
        <v>0</v>
      </c>
      <c r="FT283" s="336">
        <f t="shared" si="2060"/>
        <v>0</v>
      </c>
      <c r="FU283" s="336">
        <f t="shared" si="1980"/>
        <v>0</v>
      </c>
      <c r="FV283" s="336">
        <f t="shared" si="1981"/>
        <v>0</v>
      </c>
      <c r="FW283" s="336">
        <f t="shared" si="1982"/>
        <v>0</v>
      </c>
      <c r="FX283" s="336">
        <f t="shared" si="1983"/>
        <v>0</v>
      </c>
      <c r="FY283" s="336">
        <f t="shared" si="2061"/>
        <v>0</v>
      </c>
      <c r="FZ283" s="336">
        <f t="shared" si="2062"/>
        <v>0</v>
      </c>
      <c r="GA283" s="336">
        <f t="shared" si="2063"/>
        <v>0</v>
      </c>
      <c r="GB283" s="336">
        <f t="shared" si="2064"/>
        <v>0</v>
      </c>
      <c r="GC283" s="336">
        <f t="shared" si="2065"/>
        <v>0</v>
      </c>
      <c r="GD283" s="336">
        <f t="shared" si="2066"/>
        <v>0</v>
      </c>
      <c r="GE283" s="336">
        <f t="shared" si="2067"/>
        <v>0</v>
      </c>
      <c r="GF283" s="336">
        <f t="shared" si="2068"/>
        <v>0</v>
      </c>
      <c r="GG283" s="336">
        <f t="shared" si="2069"/>
        <v>0</v>
      </c>
      <c r="GH283" s="336">
        <f t="shared" si="2070"/>
        <v>0</v>
      </c>
      <c r="GI283" s="336">
        <f t="shared" si="2071"/>
        <v>0</v>
      </c>
      <c r="GJ283" s="336">
        <f t="shared" si="2072"/>
        <v>0</v>
      </c>
      <c r="GK283" s="336">
        <f t="shared" si="1988"/>
        <v>0</v>
      </c>
      <c r="GL283" s="336">
        <f t="shared" si="1984"/>
        <v>0</v>
      </c>
      <c r="GM283" s="336">
        <f t="shared" si="2073"/>
        <v>0</v>
      </c>
    </row>
    <row r="284" spans="1:195" ht="25.5">
      <c r="A284" s="337">
        <f t="shared" si="2096"/>
        <v>183</v>
      </c>
      <c r="B284" s="526" t="s">
        <v>724</v>
      </c>
      <c r="C284" s="337" t="str">
        <f t="shared" si="2074"/>
        <v>EPMCC-1</v>
      </c>
      <c r="D284" s="372" t="s">
        <v>725</v>
      </c>
      <c r="E284" s="514" t="s">
        <v>608</v>
      </c>
      <c r="F284" s="516" t="s">
        <v>29</v>
      </c>
      <c r="G284" s="370" t="s">
        <v>329</v>
      </c>
      <c r="H284" s="350">
        <v>100</v>
      </c>
      <c r="I284" s="337" t="s">
        <v>330</v>
      </c>
      <c r="J284" s="337" t="s">
        <v>331</v>
      </c>
      <c r="K284" s="349">
        <v>400</v>
      </c>
      <c r="L284" s="343">
        <v>0.85</v>
      </c>
      <c r="M284" s="350">
        <v>0.95</v>
      </c>
      <c r="N284" s="342">
        <f t="shared" si="2075"/>
        <v>178.75145682437315</v>
      </c>
      <c r="O284" s="342">
        <f t="shared" si="2076"/>
        <v>0</v>
      </c>
      <c r="P284" s="343" t="str">
        <f t="shared" si="2077"/>
        <v>0.00</v>
      </c>
      <c r="Q284" s="350">
        <v>50</v>
      </c>
      <c r="R284" s="350">
        <v>0</v>
      </c>
      <c r="S284" s="350">
        <f t="shared" si="2078"/>
        <v>0</v>
      </c>
      <c r="T284" s="343" t="s">
        <v>131</v>
      </c>
      <c r="U284" s="350" t="s">
        <v>535</v>
      </c>
      <c r="V284" s="343">
        <v>150</v>
      </c>
      <c r="W284" s="343" t="str">
        <f t="shared" si="2079"/>
        <v>3.5C X 150</v>
      </c>
      <c r="X284" s="343" t="str">
        <f t="shared" si="2080"/>
        <v>3.5C X 150</v>
      </c>
      <c r="Y284" s="343" t="s">
        <v>358</v>
      </c>
      <c r="Z284" s="344">
        <f>IF(T284="AIR",VLOOKUP(W284,'Catalogue Aluminium'!$B$9:$G$93,2,FALSE),IF(T284="GROUND",VLOOKUP(W284,'Catalogue Aluminium'!$B$9:$G$93,3,FALSE),IF(T284="DUCT",VLOOKUP(W284,'Catalogue Aluminium'!$B$9:$G$93,4,FALSE),IF(T284="TRENCH",VLOOKUP(W284,'Catalogue Aluminium'!$B$9:$G$93,2,FALSE)))))</f>
        <v>293</v>
      </c>
      <c r="AA284" s="345">
        <f>VLOOKUP(W284,'Catalogue Aluminium'!$B$9:$G$93,5,FALSE)</f>
        <v>0.26400000000000001</v>
      </c>
      <c r="AB284" s="345">
        <f>VLOOKUP(W284,'Catalogue Aluminium'!$B$9:$G$93,6,FALSE)</f>
        <v>7.3200000000000001E-2</v>
      </c>
      <c r="AC284" s="457">
        <f>24+6</f>
        <v>30</v>
      </c>
      <c r="AD284" s="457">
        <v>0</v>
      </c>
      <c r="AE284" s="401">
        <v>5</v>
      </c>
      <c r="AF284" s="401">
        <v>8</v>
      </c>
      <c r="AG284" s="401">
        <f t="shared" si="2082"/>
        <v>5</v>
      </c>
      <c r="AH284" s="347">
        <f t="shared" si="2083"/>
        <v>48</v>
      </c>
      <c r="AI284" s="344">
        <f>IF(T284="AIR",'Catalogue Aluminium'!$K$9,IF(T284="TRENCH",'Catalogue Aluminium'!$K$12,"NA"))</f>
        <v>0.89</v>
      </c>
      <c r="AJ284" s="342">
        <f>IF(T284="Air",(IF(U284="1C",'Catalogue Aluminium'!$L$9,'Catalogue Aluminium'!$M$9)),IF(T284="DUCT",(IF($U284="1C",'Catalogue Aluminium'!$L$10,'Catalogue Aluminium'!$M$10)),IF(T284="GROUND",(IF($U284="1C",'Catalogue Aluminium'!$L$11,'Catalogue Aluminium'!$M$11)),IF(T284="TRENCH",(IF($U284="1C",'Catalogue Aluminium'!$L$12,'Catalogue Aluminium'!$M$12))))))</f>
        <v>0.66</v>
      </c>
      <c r="AK284" s="344" t="str">
        <f>IF(T284="Air",'Catalogue Aluminium'!$N$9,IF(T284="GROUND",'Catalogue Aluminium'!$N$10,IF(T284="DUCT",'Catalogue Aluminium'!$N$11,IF(T284="TRENCH",'Catalogue Aluminium'!$N$12,"NA"))))</f>
        <v>NA</v>
      </c>
      <c r="AL284" s="344" t="str">
        <f>IF(T284="Air",(IF(U284="1C",'Catalogue Aluminium'!$O$9,'Catalogue Aluminium'!$P$9)),IF(T284="DUCT",(IF($U284="1C",'Catalogue Aluminium'!$O$10,'Catalogue Aluminium'!$P$10)),IF(T284="GROUND",(IF($U284="1C",'Catalogue Aluminium'!$O$11,'Catalogue Aluminium'!$P$11)),IF(T284="TRENCH",(IF($U284="1C",'Catalogue Aluminium'!$O$12,'Catalogue Aluminium'!$P$12))))))</f>
        <v>NA</v>
      </c>
      <c r="AM284" s="344" t="str">
        <f>IF(T284="AIR","NA",IF(T284="TRENCH","NA",IF(T284="DUCT",IF(U284="1C",VLOOKUP(V284,'Catalogue Aluminium'!$Q$9:$S$28,2,FALSE),VLOOKUP(V284,'Catalogue Aluminium'!$Q$9:$S$28,3)),IF(T284="GROUND",IF(U284="1C",VLOOKUP(V284,'Catalogue Aluminium'!$Q$9:$S$28,2,FALSE),VLOOKUP(V284,'Catalogue Aluminium'!$Q$9:$S$28,3))))))</f>
        <v>NA</v>
      </c>
      <c r="AN284" s="351">
        <f t="shared" si="2084"/>
        <v>0.58740000000000003</v>
      </c>
      <c r="AO284" s="350">
        <f t="shared" si="2085"/>
        <v>172.10820000000001</v>
      </c>
      <c r="AP284" s="349">
        <f t="shared" si="1888"/>
        <v>2</v>
      </c>
      <c r="AQ284" s="350" t="str">
        <f t="shared" si="2086"/>
        <v>YES</v>
      </c>
      <c r="AR284" s="351">
        <f t="shared" si="2087"/>
        <v>0.48848583266124879</v>
      </c>
      <c r="AS284" s="343" t="str">
        <f t="shared" si="2088"/>
        <v>YES</v>
      </c>
      <c r="AT284" s="351" t="str">
        <f t="shared" si="2089"/>
        <v>NA</v>
      </c>
      <c r="AU284" s="343" t="str">
        <f t="shared" si="2090"/>
        <v>NA</v>
      </c>
      <c r="AV284" s="354" t="str">
        <f t="shared" si="2091"/>
        <v>2R x 0.6/1kV x 3.5C x 150 Sqmm</v>
      </c>
      <c r="AW284" s="354" t="str">
        <f t="shared" si="2092"/>
        <v>2R x 0.6/1kV x 3.5C x 150 Sqmm</v>
      </c>
      <c r="AX284" s="343">
        <f t="shared" si="2093"/>
        <v>96</v>
      </c>
      <c r="AY284" s="355"/>
      <c r="AZ284" s="355">
        <f t="shared" si="2094"/>
        <v>4</v>
      </c>
      <c r="BA284" s="356" t="str">
        <f t="shared" si="1902"/>
        <v/>
      </c>
      <c r="BB284" s="501">
        <f>VLOOKUP(W284,'Catalogue Aluminium'!$B$9:$H$93,7,FALSE)</f>
        <v>48</v>
      </c>
      <c r="BC284" s="328">
        <f t="shared" si="2095"/>
        <v>96</v>
      </c>
      <c r="BE284" s="336"/>
      <c r="BF284" s="336"/>
      <c r="BG284" s="336"/>
      <c r="BH284" s="336"/>
      <c r="BI284" s="336"/>
      <c r="BJ284" s="336"/>
      <c r="BK284" s="336"/>
      <c r="BL284" s="336"/>
      <c r="BM284" s="336"/>
      <c r="BN284" s="336"/>
      <c r="BO284" s="336"/>
      <c r="BP284" s="336"/>
      <c r="BQ284" s="336"/>
      <c r="BR284" s="336"/>
      <c r="BS284" s="336"/>
      <c r="BT284" s="336"/>
      <c r="BU284" s="336"/>
      <c r="BV284" s="336"/>
      <c r="BW284" s="336"/>
      <c r="BX284" s="336"/>
      <c r="BY284" s="336"/>
      <c r="BZ284" s="336"/>
      <c r="CA284" s="336"/>
      <c r="CB284" s="336"/>
      <c r="CC284" s="336"/>
      <c r="CD284" s="336"/>
      <c r="CE284" s="336"/>
      <c r="CF284" s="336"/>
      <c r="CG284" s="336"/>
      <c r="CH284" s="336"/>
      <c r="CI284" s="336"/>
      <c r="CJ284" s="336"/>
      <c r="CK284" s="336"/>
      <c r="CL284" s="336"/>
      <c r="CM284" s="336"/>
      <c r="CN284" s="336"/>
      <c r="CO284" s="336"/>
      <c r="CP284" s="336"/>
      <c r="CQ284" s="336"/>
      <c r="CR284" s="336"/>
      <c r="CS284" s="336"/>
      <c r="CT284" s="336"/>
      <c r="CU284" s="336"/>
      <c r="CV284" s="336"/>
      <c r="CW284" s="336"/>
      <c r="CX284" s="336"/>
      <c r="CY284" s="336"/>
      <c r="CZ284" s="336"/>
      <c r="DA284" s="336"/>
      <c r="DB284" s="336"/>
      <c r="DC284" s="336"/>
      <c r="DD284" s="336"/>
      <c r="DE284" s="336"/>
      <c r="DF284" s="336"/>
      <c r="DG284" s="336"/>
      <c r="DH284" s="336"/>
      <c r="DI284" s="336"/>
      <c r="DJ284" s="336"/>
      <c r="DK284" s="336"/>
      <c r="DL284" s="336"/>
      <c r="DM284" s="336"/>
      <c r="DN284" s="336"/>
      <c r="DO284" s="336"/>
      <c r="DP284" s="336"/>
      <c r="DQ284" s="336"/>
      <c r="DR284" s="336"/>
      <c r="DS284" s="336"/>
      <c r="DT284" s="336"/>
      <c r="DU284" s="336"/>
      <c r="DW284" s="336">
        <f t="shared" si="1872"/>
        <v>0</v>
      </c>
      <c r="DX284" s="336">
        <f t="shared" si="1862"/>
        <v>0</v>
      </c>
      <c r="DY284" s="336">
        <f t="shared" si="1863"/>
        <v>0</v>
      </c>
      <c r="DZ284" s="336">
        <f t="shared" si="1864"/>
        <v>0</v>
      </c>
      <c r="EA284" s="336">
        <f t="shared" si="1865"/>
        <v>0</v>
      </c>
      <c r="EB284" s="336">
        <f t="shared" si="1866"/>
        <v>0</v>
      </c>
      <c r="EC284" s="336">
        <f t="shared" si="1867"/>
        <v>0</v>
      </c>
      <c r="ED284" s="336">
        <f t="shared" si="2019"/>
        <v>0</v>
      </c>
      <c r="EE284" s="336">
        <f t="shared" si="2020"/>
        <v>0</v>
      </c>
      <c r="EF284" s="336">
        <f t="shared" si="2021"/>
        <v>0</v>
      </c>
      <c r="EG284" s="336">
        <f t="shared" si="2022"/>
        <v>0</v>
      </c>
      <c r="EH284" s="336">
        <f t="shared" si="2023"/>
        <v>0</v>
      </c>
      <c r="EI284" s="336">
        <f t="shared" si="2024"/>
        <v>0</v>
      </c>
      <c r="EJ284" s="336">
        <f t="shared" si="2025"/>
        <v>0</v>
      </c>
      <c r="EK284" s="336">
        <f t="shared" si="2026"/>
        <v>0</v>
      </c>
      <c r="EL284" s="336">
        <f t="shared" si="2027"/>
        <v>0</v>
      </c>
      <c r="EM284" s="336">
        <f t="shared" si="2028"/>
        <v>0</v>
      </c>
      <c r="EN284" s="336">
        <f t="shared" si="2029"/>
        <v>0</v>
      </c>
      <c r="EO284" s="336">
        <f t="shared" si="2030"/>
        <v>0</v>
      </c>
      <c r="EP284" s="336">
        <f t="shared" si="2031"/>
        <v>0</v>
      </c>
      <c r="EQ284" s="336">
        <f t="shared" si="2032"/>
        <v>0</v>
      </c>
      <c r="ER284" s="336">
        <f t="shared" si="2033"/>
        <v>0</v>
      </c>
      <c r="ES284" s="336">
        <f t="shared" si="2034"/>
        <v>0</v>
      </c>
      <c r="ET284" s="336">
        <f t="shared" si="2034"/>
        <v>0</v>
      </c>
      <c r="EU284" s="336">
        <f t="shared" si="2035"/>
        <v>0</v>
      </c>
      <c r="EV284" s="336">
        <f t="shared" si="2036"/>
        <v>0</v>
      </c>
      <c r="EW284" s="336">
        <f t="shared" si="2037"/>
        <v>0</v>
      </c>
      <c r="EX284" s="336">
        <f t="shared" si="2038"/>
        <v>0</v>
      </c>
      <c r="EY284" s="336">
        <f t="shared" si="2039"/>
        <v>0</v>
      </c>
      <c r="EZ284" s="336">
        <f t="shared" si="2040"/>
        <v>0</v>
      </c>
      <c r="FA284" s="336">
        <f t="shared" si="2041"/>
        <v>0</v>
      </c>
      <c r="FB284" s="336">
        <f t="shared" si="2042"/>
        <v>0</v>
      </c>
      <c r="FC284" s="336">
        <f t="shared" si="2043"/>
        <v>0</v>
      </c>
      <c r="FD284" s="336">
        <f t="shared" si="2044"/>
        <v>0</v>
      </c>
      <c r="FE284" s="336">
        <f t="shared" si="2045"/>
        <v>0</v>
      </c>
      <c r="FF284" s="336">
        <f t="shared" si="2046"/>
        <v>0</v>
      </c>
      <c r="FG284" s="336">
        <f t="shared" si="2047"/>
        <v>0</v>
      </c>
      <c r="FH284" s="336">
        <f t="shared" si="2048"/>
        <v>0</v>
      </c>
      <c r="FI284" s="336">
        <f t="shared" si="2049"/>
        <v>0</v>
      </c>
      <c r="FJ284" s="336">
        <f t="shared" si="2050"/>
        <v>0</v>
      </c>
      <c r="FK284" s="336">
        <f t="shared" si="2051"/>
        <v>0</v>
      </c>
      <c r="FL284" s="336">
        <f t="shared" si="2052"/>
        <v>0</v>
      </c>
      <c r="FM284" s="336">
        <f t="shared" si="2053"/>
        <v>0</v>
      </c>
      <c r="FN284" s="336">
        <f t="shared" si="2054"/>
        <v>0</v>
      </c>
      <c r="FO284" s="336">
        <f t="shared" si="2055"/>
        <v>0</v>
      </c>
      <c r="FP284" s="336">
        <f t="shared" si="2056"/>
        <v>0</v>
      </c>
      <c r="FQ284" s="336">
        <f t="shared" si="2057"/>
        <v>0</v>
      </c>
      <c r="FR284" s="336">
        <f t="shared" si="2058"/>
        <v>0</v>
      </c>
      <c r="FS284" s="336">
        <f t="shared" si="2059"/>
        <v>0</v>
      </c>
      <c r="FT284" s="336">
        <f t="shared" si="2060"/>
        <v>0</v>
      </c>
      <c r="FU284" s="336">
        <f t="shared" si="1980"/>
        <v>0</v>
      </c>
      <c r="FV284" s="336">
        <f t="shared" si="1981"/>
        <v>0</v>
      </c>
      <c r="FW284" s="336">
        <f t="shared" si="1982"/>
        <v>0</v>
      </c>
      <c r="FX284" s="336">
        <f t="shared" si="1983"/>
        <v>0</v>
      </c>
      <c r="FY284" s="336">
        <f t="shared" si="2061"/>
        <v>0</v>
      </c>
      <c r="FZ284" s="336">
        <f t="shared" si="2062"/>
        <v>0</v>
      </c>
      <c r="GA284" s="336">
        <f t="shared" si="2063"/>
        <v>0</v>
      </c>
      <c r="GB284" s="336">
        <f t="shared" si="2064"/>
        <v>0</v>
      </c>
      <c r="GC284" s="336">
        <f t="shared" si="2065"/>
        <v>0</v>
      </c>
      <c r="GD284" s="336">
        <f t="shared" si="2066"/>
        <v>0</v>
      </c>
      <c r="GE284" s="336">
        <f t="shared" si="2067"/>
        <v>0</v>
      </c>
      <c r="GF284" s="336">
        <f t="shared" si="2068"/>
        <v>0</v>
      </c>
      <c r="GG284" s="336">
        <f t="shared" si="2069"/>
        <v>0</v>
      </c>
      <c r="GH284" s="336">
        <f t="shared" si="2070"/>
        <v>0</v>
      </c>
      <c r="GI284" s="336">
        <f t="shared" si="2071"/>
        <v>0</v>
      </c>
      <c r="GJ284" s="336">
        <f t="shared" si="2072"/>
        <v>0</v>
      </c>
      <c r="GK284" s="336">
        <f t="shared" si="1988"/>
        <v>0</v>
      </c>
      <c r="GL284" s="336">
        <f t="shared" si="1984"/>
        <v>0</v>
      </c>
      <c r="GM284" s="336">
        <f t="shared" si="2073"/>
        <v>0</v>
      </c>
    </row>
    <row r="285" spans="1:195" ht="44.25" customHeight="1">
      <c r="A285" s="337">
        <f t="shared" si="2096"/>
        <v>184</v>
      </c>
      <c r="B285" s="506" t="s">
        <v>726</v>
      </c>
      <c r="C285" s="337" t="str">
        <f t="shared" si="2074"/>
        <v>EPMCC-1</v>
      </c>
      <c r="D285" s="338" t="s">
        <v>727</v>
      </c>
      <c r="E285" s="500" t="s">
        <v>335</v>
      </c>
      <c r="F285" s="516" t="s">
        <v>28</v>
      </c>
      <c r="G285" s="77" t="s">
        <v>329</v>
      </c>
      <c r="H285" s="917">
        <v>21.25</v>
      </c>
      <c r="I285" s="337" t="s">
        <v>330</v>
      </c>
      <c r="J285" s="337" t="s">
        <v>331</v>
      </c>
      <c r="K285" s="349">
        <v>400</v>
      </c>
      <c r="L285" s="343">
        <v>0.85</v>
      </c>
      <c r="M285" s="350">
        <v>0.95</v>
      </c>
      <c r="N285" s="342">
        <f t="shared" si="2075"/>
        <v>37.984684575179294</v>
      </c>
      <c r="O285" s="342">
        <f t="shared" si="2076"/>
        <v>0</v>
      </c>
      <c r="P285" s="343" t="str">
        <f t="shared" si="2077"/>
        <v>0.00</v>
      </c>
      <c r="Q285" s="350">
        <v>50</v>
      </c>
      <c r="R285" s="350">
        <v>0</v>
      </c>
      <c r="S285" s="350">
        <f t="shared" si="2078"/>
        <v>0</v>
      </c>
      <c r="T285" s="343" t="s">
        <v>131</v>
      </c>
      <c r="U285" s="917" t="s">
        <v>535</v>
      </c>
      <c r="V285" s="916">
        <v>25</v>
      </c>
      <c r="W285" s="343" t="str">
        <f t="shared" si="2079"/>
        <v>3.5C X 25</v>
      </c>
      <c r="X285" s="343" t="str">
        <f t="shared" si="2080"/>
        <v>3.5C X 25</v>
      </c>
      <c r="Y285" s="343" t="s">
        <v>358</v>
      </c>
      <c r="Z285" s="344">
        <f>IF(T285="AIR",VLOOKUP(W285,'Catalogue Aluminium'!$B$9:$G$93,2,FALSE),IF(T285="GROUND",VLOOKUP(W285,'Catalogue Aluminium'!$B$9:$G$93,3,FALSE),IF(T285="DUCT",VLOOKUP(W285,'Catalogue Aluminium'!$B$9:$G$93,4,FALSE),IF(T285="TRENCH",VLOOKUP(W285,'Catalogue Aluminium'!$B$9:$G$93,2,FALSE)))))</f>
        <v>95</v>
      </c>
      <c r="AA285" s="345">
        <f>VLOOKUP(W285,'Catalogue Aluminium'!$B$9:$G$93,5,FALSE)</f>
        <v>1.54</v>
      </c>
      <c r="AB285" s="345">
        <f>VLOOKUP(W285,'Catalogue Aluminium'!$B$9:$G$93,6,FALSE)</f>
        <v>8.1600000000000006E-2</v>
      </c>
      <c r="AC285" s="457">
        <f t="shared" ref="AC285" si="2098">32+6</f>
        <v>38</v>
      </c>
      <c r="AD285" s="457">
        <v>0</v>
      </c>
      <c r="AE285" s="401">
        <v>5</v>
      </c>
      <c r="AF285" s="401">
        <v>8</v>
      </c>
      <c r="AG285" s="401">
        <f t="shared" si="2082"/>
        <v>6</v>
      </c>
      <c r="AH285" s="347">
        <f t="shared" si="2083"/>
        <v>57</v>
      </c>
      <c r="AI285" s="344">
        <f>IF(T285="AIR",'Catalogue Aluminium'!$K$9,IF(T285="TRENCH",'Catalogue Aluminium'!$K$12,"NA"))</f>
        <v>0.89</v>
      </c>
      <c r="AJ285" s="342">
        <f>IF(T285="Air",(IF(U285="1C",'Catalogue Aluminium'!$L$9,'Catalogue Aluminium'!$M$9)),IF(T285="DUCT",(IF($U285="1C",'Catalogue Aluminium'!$L$10,'Catalogue Aluminium'!$M$10)),IF(T285="GROUND",(IF($U285="1C",'Catalogue Aluminium'!$L$11,'Catalogue Aluminium'!$M$11)),IF(T285="TRENCH",(IF($U285="1C",'Catalogue Aluminium'!$L$12,'Catalogue Aluminium'!$M$12))))))</f>
        <v>0.66</v>
      </c>
      <c r="AK285" s="344" t="str">
        <f>IF(T285="Air",'Catalogue Aluminium'!$N$9,IF(T285="GROUND",'Catalogue Aluminium'!$N$10,IF(T285="DUCT",'Catalogue Aluminium'!$N$11,IF(T285="TRENCH",'Catalogue Aluminium'!$N$12,"NA"))))</f>
        <v>NA</v>
      </c>
      <c r="AL285" s="344" t="str">
        <f>IF(T285="Air",(IF(U285="1C",'Catalogue Aluminium'!$O$9,'Catalogue Aluminium'!$P$9)),IF(T285="DUCT",(IF($U285="1C",'Catalogue Aluminium'!$O$10,'Catalogue Aluminium'!$P$10)),IF(T285="GROUND",(IF($U285="1C",'Catalogue Aluminium'!$O$11,'Catalogue Aluminium'!$P$11)),IF(T285="TRENCH",(IF($U285="1C",'Catalogue Aluminium'!$O$12,'Catalogue Aluminium'!$P$12))))))</f>
        <v>NA</v>
      </c>
      <c r="AM285" s="344" t="str">
        <f>IF(T285="AIR","NA",IF(T285="TRENCH","NA",IF(T285="DUCT",IF(U285="1C",VLOOKUP(V285,'Catalogue Aluminium'!$Q$9:$S$28,2,FALSE),VLOOKUP(V285,'Catalogue Aluminium'!$Q$9:$S$28,3)),IF(T285="GROUND",IF(U285="1C",VLOOKUP(V285,'Catalogue Aluminium'!$Q$9:$S$28,2,FALSE),VLOOKUP(V285,'Catalogue Aluminium'!$Q$9:$S$28,3))))))</f>
        <v>NA</v>
      </c>
      <c r="AN285" s="351">
        <f t="shared" si="2084"/>
        <v>0.58740000000000003</v>
      </c>
      <c r="AO285" s="350">
        <f t="shared" si="2085"/>
        <v>55.803000000000004</v>
      </c>
      <c r="AP285" s="349">
        <f t="shared" si="1888"/>
        <v>1</v>
      </c>
      <c r="AQ285" s="350" t="str">
        <f t="shared" si="2086"/>
        <v>YES</v>
      </c>
      <c r="AR285" s="351">
        <f t="shared" si="2087"/>
        <v>1.2675235568409953</v>
      </c>
      <c r="AS285" s="343" t="str">
        <f t="shared" si="2088"/>
        <v>YES</v>
      </c>
      <c r="AT285" s="351" t="str">
        <f t="shared" si="2089"/>
        <v>NA</v>
      </c>
      <c r="AU285" s="343" t="str">
        <f t="shared" si="2090"/>
        <v>NA</v>
      </c>
      <c r="AV285" s="354" t="str">
        <f t="shared" si="2091"/>
        <v>1R x 0.6/1kV x 3.5C x 25 Sqmm</v>
      </c>
      <c r="AW285" s="354" t="str">
        <f t="shared" si="2092"/>
        <v>1R x 0.6/1kV x 3.5C x 25 Sqmm</v>
      </c>
      <c r="AX285" s="343">
        <f t="shared" si="2093"/>
        <v>57</v>
      </c>
      <c r="AY285" s="355"/>
      <c r="AZ285" s="355">
        <f t="shared" si="2094"/>
        <v>2</v>
      </c>
      <c r="BA285" s="356" t="str">
        <f t="shared" si="1902"/>
        <v/>
      </c>
      <c r="BB285" s="501">
        <f>VLOOKUP(W285,'Catalogue Aluminium'!$B$9:$H$93,7,FALSE)</f>
        <v>25</v>
      </c>
      <c r="BC285" s="328">
        <f t="shared" si="2095"/>
        <v>25</v>
      </c>
      <c r="BE285" s="336"/>
      <c r="BF285" s="336"/>
      <c r="BG285" s="336"/>
      <c r="BH285" s="336"/>
      <c r="BI285" s="336"/>
      <c r="BJ285" s="336"/>
      <c r="BK285" s="336"/>
      <c r="BL285" s="336"/>
      <c r="BM285" s="336"/>
      <c r="BN285" s="336"/>
      <c r="BO285" s="336"/>
      <c r="BP285" s="336"/>
      <c r="BQ285" s="336"/>
      <c r="BR285" s="336"/>
      <c r="BS285" s="336"/>
      <c r="BT285" s="336"/>
      <c r="BU285" s="336"/>
      <c r="BV285" s="336"/>
      <c r="BW285" s="336"/>
      <c r="BX285" s="336"/>
      <c r="BY285" s="336"/>
      <c r="BZ285" s="336"/>
      <c r="CA285" s="336"/>
      <c r="CB285" s="336"/>
      <c r="CC285" s="336"/>
      <c r="CD285" s="336"/>
      <c r="CE285" s="336"/>
      <c r="CF285" s="336"/>
      <c r="CG285" s="336"/>
      <c r="CH285" s="336"/>
      <c r="CI285" s="336"/>
      <c r="CJ285" s="336"/>
      <c r="CK285" s="336"/>
      <c r="CL285" s="336"/>
      <c r="CM285" s="336"/>
      <c r="CN285" s="336"/>
      <c r="CO285" s="336"/>
      <c r="CP285" s="336"/>
      <c r="CQ285" s="336"/>
      <c r="CR285" s="336"/>
      <c r="CS285" s="336"/>
      <c r="CT285" s="336"/>
      <c r="CU285" s="336"/>
      <c r="CV285" s="336"/>
      <c r="CW285" s="336"/>
      <c r="CX285" s="336"/>
      <c r="CY285" s="336"/>
      <c r="CZ285" s="336"/>
      <c r="DA285" s="336"/>
      <c r="DB285" s="336"/>
      <c r="DC285" s="336"/>
      <c r="DD285" s="336"/>
      <c r="DE285" s="336"/>
      <c r="DF285" s="336"/>
      <c r="DG285" s="336"/>
      <c r="DH285" s="336"/>
      <c r="DI285" s="336"/>
      <c r="DJ285" s="336"/>
      <c r="DK285" s="336"/>
      <c r="DL285" s="336"/>
      <c r="DM285" s="336"/>
      <c r="DN285" s="336"/>
      <c r="DO285" s="336"/>
      <c r="DP285" s="336"/>
      <c r="DQ285" s="336"/>
      <c r="DR285" s="336"/>
      <c r="DS285" s="336"/>
      <c r="DT285" s="336"/>
      <c r="DU285" s="336"/>
      <c r="DW285" s="336">
        <f t="shared" si="1872"/>
        <v>0</v>
      </c>
      <c r="DX285" s="336">
        <f t="shared" si="1862"/>
        <v>0</v>
      </c>
      <c r="DY285" s="336">
        <f t="shared" si="1863"/>
        <v>0</v>
      </c>
      <c r="DZ285" s="336">
        <f t="shared" si="1864"/>
        <v>0</v>
      </c>
      <c r="EA285" s="336">
        <f t="shared" si="1865"/>
        <v>0</v>
      </c>
      <c r="EB285" s="336">
        <f t="shared" si="1866"/>
        <v>0</v>
      </c>
      <c r="EC285" s="336">
        <f t="shared" si="1867"/>
        <v>0</v>
      </c>
      <c r="ED285" s="336">
        <f t="shared" si="2019"/>
        <v>0</v>
      </c>
      <c r="EE285" s="336">
        <f t="shared" si="2020"/>
        <v>0</v>
      </c>
      <c r="EF285" s="336">
        <f t="shared" si="2021"/>
        <v>0</v>
      </c>
      <c r="EG285" s="336">
        <f t="shared" si="2022"/>
        <v>0</v>
      </c>
      <c r="EH285" s="336">
        <f t="shared" si="2023"/>
        <v>0</v>
      </c>
      <c r="EI285" s="336">
        <f t="shared" si="2024"/>
        <v>0</v>
      </c>
      <c r="EJ285" s="336">
        <f t="shared" si="2025"/>
        <v>0</v>
      </c>
      <c r="EK285" s="336">
        <f t="shared" si="2026"/>
        <v>0</v>
      </c>
      <c r="EL285" s="336">
        <f t="shared" si="2027"/>
        <v>0</v>
      </c>
      <c r="EM285" s="336">
        <f t="shared" si="2028"/>
        <v>0</v>
      </c>
      <c r="EN285" s="336">
        <f t="shared" si="2029"/>
        <v>0</v>
      </c>
      <c r="EO285" s="336">
        <f t="shared" si="2030"/>
        <v>0</v>
      </c>
      <c r="EP285" s="336">
        <f t="shared" si="2031"/>
        <v>0</v>
      </c>
      <c r="EQ285" s="336">
        <f t="shared" si="2032"/>
        <v>0</v>
      </c>
      <c r="ER285" s="336">
        <f t="shared" si="2033"/>
        <v>0</v>
      </c>
      <c r="ES285" s="336">
        <f t="shared" si="2034"/>
        <v>0</v>
      </c>
      <c r="ET285" s="336">
        <f t="shared" si="2034"/>
        <v>0</v>
      </c>
      <c r="EU285" s="336">
        <f t="shared" si="2035"/>
        <v>0</v>
      </c>
      <c r="EV285" s="336">
        <f t="shared" si="2036"/>
        <v>0</v>
      </c>
      <c r="EW285" s="336">
        <f t="shared" si="2037"/>
        <v>0</v>
      </c>
      <c r="EX285" s="336">
        <f t="shared" si="2038"/>
        <v>0</v>
      </c>
      <c r="EY285" s="336">
        <f t="shared" si="2039"/>
        <v>0</v>
      </c>
      <c r="EZ285" s="336">
        <f t="shared" si="2040"/>
        <v>0</v>
      </c>
      <c r="FA285" s="336">
        <f t="shared" si="2041"/>
        <v>0</v>
      </c>
      <c r="FB285" s="336">
        <f t="shared" si="2042"/>
        <v>0</v>
      </c>
      <c r="FC285" s="336">
        <f t="shared" si="2043"/>
        <v>0</v>
      </c>
      <c r="FD285" s="336">
        <f t="shared" si="2044"/>
        <v>0</v>
      </c>
      <c r="FE285" s="336">
        <f t="shared" si="2045"/>
        <v>0</v>
      </c>
      <c r="FF285" s="336">
        <f t="shared" si="2046"/>
        <v>0</v>
      </c>
      <c r="FG285" s="336">
        <f t="shared" si="2047"/>
        <v>0</v>
      </c>
      <c r="FH285" s="336">
        <f t="shared" si="2048"/>
        <v>0</v>
      </c>
      <c r="FI285" s="336">
        <f t="shared" si="2049"/>
        <v>0</v>
      </c>
      <c r="FJ285" s="336">
        <f t="shared" si="2050"/>
        <v>0</v>
      </c>
      <c r="FK285" s="336">
        <f t="shared" si="2051"/>
        <v>0</v>
      </c>
      <c r="FL285" s="336">
        <f t="shared" si="2052"/>
        <v>0</v>
      </c>
      <c r="FM285" s="336">
        <f t="shared" si="2053"/>
        <v>0</v>
      </c>
      <c r="FN285" s="336">
        <f t="shared" si="2054"/>
        <v>0</v>
      </c>
      <c r="FO285" s="336">
        <f t="shared" si="2055"/>
        <v>0</v>
      </c>
      <c r="FP285" s="336">
        <f t="shared" si="2056"/>
        <v>0</v>
      </c>
      <c r="FQ285" s="336">
        <f t="shared" si="2057"/>
        <v>0</v>
      </c>
      <c r="FR285" s="336">
        <f t="shared" si="2058"/>
        <v>0</v>
      </c>
      <c r="FS285" s="336">
        <f t="shared" si="2059"/>
        <v>0</v>
      </c>
      <c r="FT285" s="336">
        <f t="shared" si="2060"/>
        <v>0</v>
      </c>
      <c r="FU285" s="336">
        <f t="shared" si="1980"/>
        <v>0</v>
      </c>
      <c r="FV285" s="336">
        <f t="shared" si="1981"/>
        <v>0</v>
      </c>
      <c r="FW285" s="336">
        <f t="shared" si="1982"/>
        <v>0</v>
      </c>
      <c r="FX285" s="336">
        <f t="shared" si="1983"/>
        <v>0</v>
      </c>
      <c r="FY285" s="336">
        <f t="shared" si="2061"/>
        <v>0</v>
      </c>
      <c r="FZ285" s="336">
        <f t="shared" si="2062"/>
        <v>0</v>
      </c>
      <c r="GA285" s="336">
        <f t="shared" si="2063"/>
        <v>0</v>
      </c>
      <c r="GB285" s="336">
        <f t="shared" si="2064"/>
        <v>0</v>
      </c>
      <c r="GC285" s="336">
        <f t="shared" si="2065"/>
        <v>0</v>
      </c>
      <c r="GD285" s="336">
        <f t="shared" si="2066"/>
        <v>0</v>
      </c>
      <c r="GE285" s="336">
        <f t="shared" si="2067"/>
        <v>0</v>
      </c>
      <c r="GF285" s="336">
        <f t="shared" si="2068"/>
        <v>0</v>
      </c>
      <c r="GG285" s="336">
        <f t="shared" si="2069"/>
        <v>0</v>
      </c>
      <c r="GH285" s="336">
        <f t="shared" si="2070"/>
        <v>0</v>
      </c>
      <c r="GI285" s="336">
        <f t="shared" si="2071"/>
        <v>0</v>
      </c>
      <c r="GJ285" s="336">
        <f t="shared" si="2072"/>
        <v>0</v>
      </c>
      <c r="GK285" s="336">
        <f t="shared" si="1988"/>
        <v>0</v>
      </c>
      <c r="GL285" s="336">
        <f t="shared" si="1984"/>
        <v>0</v>
      </c>
      <c r="GM285" s="336">
        <f t="shared" si="2073"/>
        <v>0</v>
      </c>
    </row>
    <row r="286" spans="1:195" ht="38.25">
      <c r="A286" s="337">
        <f t="shared" si="2096"/>
        <v>185</v>
      </c>
      <c r="B286" s="506" t="s">
        <v>728</v>
      </c>
      <c r="C286" s="337" t="str">
        <f t="shared" si="2074"/>
        <v>EPMCC-1</v>
      </c>
      <c r="D286" s="338" t="s">
        <v>729</v>
      </c>
      <c r="E286" s="569" t="s">
        <v>419</v>
      </c>
      <c r="F286" s="516" t="s">
        <v>29</v>
      </c>
      <c r="G286" s="77" t="s">
        <v>329</v>
      </c>
      <c r="H286" s="917">
        <v>29.75</v>
      </c>
      <c r="I286" s="337" t="s">
        <v>330</v>
      </c>
      <c r="J286" s="337" t="s">
        <v>331</v>
      </c>
      <c r="K286" s="349">
        <v>400</v>
      </c>
      <c r="L286" s="343">
        <v>0.85</v>
      </c>
      <c r="M286" s="350">
        <v>0.95</v>
      </c>
      <c r="N286" s="342">
        <f t="shared" si="2075"/>
        <v>53.17855840525101</v>
      </c>
      <c r="O286" s="342">
        <f t="shared" si="2076"/>
        <v>0</v>
      </c>
      <c r="P286" s="343" t="str">
        <f t="shared" si="2077"/>
        <v>0.00</v>
      </c>
      <c r="Q286" s="350">
        <v>50</v>
      </c>
      <c r="R286" s="350">
        <v>0</v>
      </c>
      <c r="S286" s="350">
        <f t="shared" si="2078"/>
        <v>0</v>
      </c>
      <c r="T286" s="343" t="s">
        <v>131</v>
      </c>
      <c r="U286" s="917" t="s">
        <v>535</v>
      </c>
      <c r="V286" s="916">
        <v>70</v>
      </c>
      <c r="W286" s="343" t="str">
        <f t="shared" si="2079"/>
        <v>3.5C X 70</v>
      </c>
      <c r="X286" s="343" t="str">
        <f t="shared" si="2080"/>
        <v>3.5C X 70</v>
      </c>
      <c r="Y286" s="343" t="s">
        <v>358</v>
      </c>
      <c r="Z286" s="344">
        <f>IF(T286="AIR",VLOOKUP(W286,'Catalogue Aluminium'!$B$9:$G$93,2,FALSE),IF(T286="GROUND",VLOOKUP(W286,'Catalogue Aluminium'!$B$9:$G$93,3,FALSE),IF(T286="DUCT",VLOOKUP(W286,'Catalogue Aluminium'!$B$9:$G$93,4,FALSE),IF(T286="TRENCH",VLOOKUP(W286,'Catalogue Aluminium'!$B$9:$G$93,2,FALSE)))))</f>
        <v>177</v>
      </c>
      <c r="AA286" s="345">
        <f>VLOOKUP(W286,'Catalogue Aluminium'!$B$9:$G$93,5,FALSE)</f>
        <v>0.56699999999999995</v>
      </c>
      <c r="AB286" s="345">
        <f>VLOOKUP(W286,'Catalogue Aluminium'!$B$9:$G$93,6,FALSE)</f>
        <v>7.5200000000000003E-2</v>
      </c>
      <c r="AC286" s="457">
        <f>24+6</f>
        <v>30</v>
      </c>
      <c r="AD286" s="401">
        <f>40+30+8+10</f>
        <v>88</v>
      </c>
      <c r="AE286" s="401">
        <v>10</v>
      </c>
      <c r="AF286" s="401">
        <v>8</v>
      </c>
      <c r="AG286" s="401">
        <f t="shared" si="2082"/>
        <v>14</v>
      </c>
      <c r="AH286" s="347">
        <f t="shared" si="2083"/>
        <v>150</v>
      </c>
      <c r="AI286" s="344">
        <f>IF(T286="AIR",'Catalogue Aluminium'!$K$9,IF(T286="TRENCH",'Catalogue Aluminium'!$K$12,"NA"))</f>
        <v>0.89</v>
      </c>
      <c r="AJ286" s="342">
        <f>IF(T286="Air",(IF(U286="1C",'Catalogue Aluminium'!$L$9,'Catalogue Aluminium'!$M$9)),IF(T286="DUCT",(IF($U286="1C",'Catalogue Aluminium'!$L$10,'Catalogue Aluminium'!$M$10)),IF(T286="GROUND",(IF($U286="1C",'Catalogue Aluminium'!$L$11,'Catalogue Aluminium'!$M$11)),IF(T286="TRENCH",(IF($U286="1C",'Catalogue Aluminium'!$L$12,'Catalogue Aluminium'!$M$12))))))</f>
        <v>0.66</v>
      </c>
      <c r="AK286" s="344" t="str">
        <f>IF(T286="Air",'Catalogue Aluminium'!$N$9,IF(T286="GROUND",'Catalogue Aluminium'!$N$10,IF(T286="DUCT",'Catalogue Aluminium'!$N$11,IF(T286="TRENCH",'Catalogue Aluminium'!$N$12,"NA"))))</f>
        <v>NA</v>
      </c>
      <c r="AL286" s="344" t="str">
        <f>IF(T286="Air",(IF(U286="1C",'Catalogue Aluminium'!$O$9,'Catalogue Aluminium'!$P$9)),IF(T286="DUCT",(IF($U286="1C",'Catalogue Aluminium'!$O$10,'Catalogue Aluminium'!$P$10)),IF(T286="GROUND",(IF($U286="1C",'Catalogue Aluminium'!$O$11,'Catalogue Aluminium'!$P$11)),IF(T286="TRENCH",(IF($U286="1C",'Catalogue Aluminium'!$O$12,'Catalogue Aluminium'!$P$12))))))</f>
        <v>NA</v>
      </c>
      <c r="AM286" s="344" t="str">
        <f>IF(T286="AIR","NA",IF(T286="TRENCH","NA",IF(T286="DUCT",IF(U286="1C",VLOOKUP(V286,'Catalogue Aluminium'!$Q$9:$S$28,2,FALSE),VLOOKUP(V286,'Catalogue Aluminium'!$Q$9:$S$28,3)),IF(T286="GROUND",IF(U286="1C",VLOOKUP(V286,'Catalogue Aluminium'!$Q$9:$S$28,2,FALSE),VLOOKUP(V286,'Catalogue Aluminium'!$Q$9:$S$28,3))))))</f>
        <v>NA</v>
      </c>
      <c r="AN286" s="351">
        <f t="shared" si="2084"/>
        <v>0.58740000000000003</v>
      </c>
      <c r="AO286" s="350">
        <f t="shared" si="2085"/>
        <v>103.96980000000001</v>
      </c>
      <c r="AP286" s="349">
        <f t="shared" si="1888"/>
        <v>1</v>
      </c>
      <c r="AQ286" s="350" t="str">
        <f t="shared" si="2086"/>
        <v>YES</v>
      </c>
      <c r="AR286" s="351">
        <f t="shared" si="2087"/>
        <v>1.801507650974048</v>
      </c>
      <c r="AS286" s="343" t="str">
        <f t="shared" si="2088"/>
        <v>YES</v>
      </c>
      <c r="AT286" s="351" t="str">
        <f t="shared" si="2089"/>
        <v>NA</v>
      </c>
      <c r="AU286" s="343" t="str">
        <f t="shared" si="2090"/>
        <v>NA</v>
      </c>
      <c r="AV286" s="354" t="str">
        <f t="shared" si="2091"/>
        <v>1R x 0.6/1kV x 3.5C x 70 Sqmm</v>
      </c>
      <c r="AW286" s="354" t="str">
        <f t="shared" si="2092"/>
        <v>1R x 0.6/1kV x 3.5C x 70 Sqmm</v>
      </c>
      <c r="AX286" s="343">
        <f t="shared" si="2093"/>
        <v>150</v>
      </c>
      <c r="AY286" s="355"/>
      <c r="AZ286" s="355">
        <f t="shared" si="2094"/>
        <v>2</v>
      </c>
      <c r="BA286" s="356" t="str">
        <f t="shared" si="1902"/>
        <v>AQQ1</v>
      </c>
      <c r="BB286" s="501">
        <f>VLOOKUP(W286,'Catalogue Aluminium'!$B$9:$H$93,7,FALSE)</f>
        <v>36</v>
      </c>
      <c r="BC286" s="328">
        <f t="shared" si="2095"/>
        <v>36</v>
      </c>
      <c r="BE286" s="336"/>
      <c r="BF286" s="336">
        <v>1</v>
      </c>
      <c r="BG286" s="336"/>
      <c r="BH286" s="336"/>
      <c r="BI286" s="336"/>
      <c r="BJ286" s="336"/>
      <c r="BK286" s="336"/>
      <c r="BL286" s="336"/>
      <c r="BM286" s="336"/>
      <c r="BN286" s="336"/>
      <c r="BO286" s="336"/>
      <c r="BP286" s="336"/>
      <c r="BQ286" s="336"/>
      <c r="BR286" s="336"/>
      <c r="BS286" s="336"/>
      <c r="BT286" s="336"/>
      <c r="BU286" s="336"/>
      <c r="BV286" s="336"/>
      <c r="BW286" s="336"/>
      <c r="BX286" s="336"/>
      <c r="BY286" s="336"/>
      <c r="BZ286" s="336"/>
      <c r="CA286" s="336"/>
      <c r="CB286" s="336"/>
      <c r="CC286" s="336"/>
      <c r="CD286" s="336"/>
      <c r="CE286" s="336"/>
      <c r="CF286" s="336"/>
      <c r="CG286" s="336"/>
      <c r="CH286" s="336"/>
      <c r="CI286" s="336"/>
      <c r="CJ286" s="336"/>
      <c r="CK286" s="336"/>
      <c r="CL286" s="336"/>
      <c r="CM286" s="336"/>
      <c r="CN286" s="336"/>
      <c r="CO286" s="336"/>
      <c r="CP286" s="336"/>
      <c r="CQ286" s="336"/>
      <c r="CR286" s="336"/>
      <c r="CS286" s="336"/>
      <c r="CT286" s="336"/>
      <c r="CU286" s="336"/>
      <c r="CV286" s="336"/>
      <c r="CW286" s="336"/>
      <c r="CX286" s="336">
        <v>1</v>
      </c>
      <c r="CY286" s="336">
        <v>1</v>
      </c>
      <c r="CZ286" s="336"/>
      <c r="DA286" s="336"/>
      <c r="DB286" s="336"/>
      <c r="DC286" s="336"/>
      <c r="DD286" s="336"/>
      <c r="DE286" s="336"/>
      <c r="DF286" s="336"/>
      <c r="DG286" s="336"/>
      <c r="DH286" s="336"/>
      <c r="DI286" s="336"/>
      <c r="DJ286" s="336"/>
      <c r="DK286" s="336"/>
      <c r="DL286" s="336"/>
      <c r="DM286" s="336"/>
      <c r="DN286" s="336"/>
      <c r="DO286" s="336"/>
      <c r="DP286" s="336"/>
      <c r="DQ286" s="336"/>
      <c r="DR286" s="336"/>
      <c r="DS286" s="336"/>
      <c r="DT286" s="336"/>
      <c r="DU286" s="336"/>
      <c r="DW286" s="336">
        <f t="shared" si="1872"/>
        <v>0</v>
      </c>
      <c r="DX286" s="336">
        <f t="shared" si="1862"/>
        <v>36</v>
      </c>
      <c r="DY286" s="336">
        <f t="shared" si="1863"/>
        <v>0</v>
      </c>
      <c r="DZ286" s="336">
        <f t="shared" si="1864"/>
        <v>0</v>
      </c>
      <c r="EA286" s="336">
        <f t="shared" si="1865"/>
        <v>0</v>
      </c>
      <c r="EB286" s="336">
        <f t="shared" si="1866"/>
        <v>0</v>
      </c>
      <c r="EC286" s="336">
        <f t="shared" si="1867"/>
        <v>0</v>
      </c>
      <c r="ED286" s="336">
        <f t="shared" si="2019"/>
        <v>0</v>
      </c>
      <c r="EE286" s="336">
        <f t="shared" si="2020"/>
        <v>0</v>
      </c>
      <c r="EF286" s="336">
        <f t="shared" si="2021"/>
        <v>0</v>
      </c>
      <c r="EG286" s="336">
        <f t="shared" si="2022"/>
        <v>0</v>
      </c>
      <c r="EH286" s="336">
        <f t="shared" si="2023"/>
        <v>0</v>
      </c>
      <c r="EI286" s="336">
        <f t="shared" si="2024"/>
        <v>0</v>
      </c>
      <c r="EJ286" s="336">
        <f t="shared" si="2025"/>
        <v>0</v>
      </c>
      <c r="EK286" s="336">
        <f t="shared" si="2026"/>
        <v>0</v>
      </c>
      <c r="EL286" s="336">
        <f t="shared" si="2027"/>
        <v>0</v>
      </c>
      <c r="EM286" s="336">
        <f t="shared" si="2028"/>
        <v>0</v>
      </c>
      <c r="EN286" s="336">
        <f t="shared" si="2029"/>
        <v>0</v>
      </c>
      <c r="EO286" s="336">
        <f t="shared" si="2030"/>
        <v>0</v>
      </c>
      <c r="EP286" s="336">
        <f t="shared" si="2031"/>
        <v>0</v>
      </c>
      <c r="EQ286" s="336">
        <f t="shared" si="2032"/>
        <v>0</v>
      </c>
      <c r="ER286" s="336">
        <f t="shared" si="2033"/>
        <v>0</v>
      </c>
      <c r="ES286" s="336">
        <f t="shared" si="2034"/>
        <v>0</v>
      </c>
      <c r="ET286" s="336">
        <f t="shared" si="2034"/>
        <v>0</v>
      </c>
      <c r="EU286" s="336">
        <f t="shared" si="2035"/>
        <v>0</v>
      </c>
      <c r="EV286" s="336">
        <f t="shared" si="2036"/>
        <v>0</v>
      </c>
      <c r="EW286" s="336">
        <f t="shared" si="2037"/>
        <v>0</v>
      </c>
      <c r="EX286" s="336">
        <f t="shared" si="2038"/>
        <v>0</v>
      </c>
      <c r="EY286" s="336">
        <f t="shared" si="2039"/>
        <v>0</v>
      </c>
      <c r="EZ286" s="336">
        <f t="shared" si="2040"/>
        <v>0</v>
      </c>
      <c r="FA286" s="336">
        <f t="shared" si="2041"/>
        <v>0</v>
      </c>
      <c r="FB286" s="336">
        <f t="shared" si="2042"/>
        <v>0</v>
      </c>
      <c r="FC286" s="336">
        <f t="shared" si="2043"/>
        <v>0</v>
      </c>
      <c r="FD286" s="336">
        <f t="shared" si="2044"/>
        <v>0</v>
      </c>
      <c r="FE286" s="336">
        <f t="shared" si="2045"/>
        <v>0</v>
      </c>
      <c r="FF286" s="336">
        <f t="shared" si="2046"/>
        <v>0</v>
      </c>
      <c r="FG286" s="336">
        <f t="shared" si="2047"/>
        <v>0</v>
      </c>
      <c r="FH286" s="336">
        <f t="shared" si="2048"/>
        <v>0</v>
      </c>
      <c r="FI286" s="336">
        <f t="shared" si="2049"/>
        <v>0</v>
      </c>
      <c r="FJ286" s="336">
        <f t="shared" si="2050"/>
        <v>0</v>
      </c>
      <c r="FK286" s="336">
        <f t="shared" si="2051"/>
        <v>0</v>
      </c>
      <c r="FL286" s="336">
        <f t="shared" si="2052"/>
        <v>0</v>
      </c>
      <c r="FM286" s="336">
        <f t="shared" si="2053"/>
        <v>0</v>
      </c>
      <c r="FN286" s="336">
        <f t="shared" si="2054"/>
        <v>0</v>
      </c>
      <c r="FO286" s="336">
        <f t="shared" si="2055"/>
        <v>0</v>
      </c>
      <c r="FP286" s="336">
        <f t="shared" si="2056"/>
        <v>36</v>
      </c>
      <c r="FQ286" s="336">
        <f t="shared" si="2057"/>
        <v>36</v>
      </c>
      <c r="FR286" s="336">
        <f t="shared" si="2058"/>
        <v>0</v>
      </c>
      <c r="FS286" s="336">
        <f t="shared" si="2059"/>
        <v>0</v>
      </c>
      <c r="FT286" s="336">
        <f t="shared" si="2060"/>
        <v>0</v>
      </c>
      <c r="FU286" s="336">
        <f t="shared" si="1980"/>
        <v>0</v>
      </c>
      <c r="FV286" s="336">
        <f t="shared" si="1981"/>
        <v>0</v>
      </c>
      <c r="FW286" s="336">
        <f t="shared" si="1982"/>
        <v>0</v>
      </c>
      <c r="FX286" s="336">
        <f t="shared" si="1983"/>
        <v>0</v>
      </c>
      <c r="FY286" s="336">
        <f t="shared" si="2061"/>
        <v>0</v>
      </c>
      <c r="FZ286" s="336">
        <f t="shared" si="2062"/>
        <v>0</v>
      </c>
      <c r="GA286" s="336">
        <f t="shared" si="2063"/>
        <v>0</v>
      </c>
      <c r="GB286" s="336">
        <f t="shared" si="2064"/>
        <v>0</v>
      </c>
      <c r="GC286" s="336">
        <f t="shared" si="2065"/>
        <v>0</v>
      </c>
      <c r="GD286" s="336">
        <f t="shared" si="2066"/>
        <v>0</v>
      </c>
      <c r="GE286" s="336">
        <f t="shared" si="2067"/>
        <v>0</v>
      </c>
      <c r="GF286" s="336">
        <f t="shared" si="2068"/>
        <v>0</v>
      </c>
      <c r="GG286" s="336">
        <f t="shared" si="2069"/>
        <v>0</v>
      </c>
      <c r="GH286" s="336">
        <f t="shared" si="2070"/>
        <v>0</v>
      </c>
      <c r="GI286" s="336">
        <f t="shared" si="2071"/>
        <v>0</v>
      </c>
      <c r="GJ286" s="336">
        <f t="shared" si="2072"/>
        <v>0</v>
      </c>
      <c r="GK286" s="336">
        <f t="shared" si="1988"/>
        <v>0</v>
      </c>
      <c r="GL286" s="336">
        <f t="shared" si="1984"/>
        <v>0</v>
      </c>
      <c r="GM286" s="336">
        <f t="shared" si="2073"/>
        <v>0</v>
      </c>
    </row>
    <row r="287" spans="1:195" ht="38.25">
      <c r="A287" s="337">
        <f t="shared" si="2096"/>
        <v>186</v>
      </c>
      <c r="B287" s="506" t="s">
        <v>730</v>
      </c>
      <c r="C287" s="337" t="str">
        <f t="shared" si="2074"/>
        <v>EPMCC-1</v>
      </c>
      <c r="D287" s="338" t="s">
        <v>731</v>
      </c>
      <c r="E287" s="500" t="s">
        <v>732</v>
      </c>
      <c r="F287" s="337" t="s">
        <v>29</v>
      </c>
      <c r="G287" s="77" t="s">
        <v>329</v>
      </c>
      <c r="H287" s="917">
        <v>12.75</v>
      </c>
      <c r="I287" s="337" t="s">
        <v>330</v>
      </c>
      <c r="J287" s="337" t="s">
        <v>331</v>
      </c>
      <c r="K287" s="349">
        <v>400</v>
      </c>
      <c r="L287" s="343">
        <v>0.85</v>
      </c>
      <c r="M287" s="350">
        <v>0.95</v>
      </c>
      <c r="N287" s="342">
        <f t="shared" si="2075"/>
        <v>22.790810745107574</v>
      </c>
      <c r="O287" s="342">
        <f t="shared" si="2076"/>
        <v>0</v>
      </c>
      <c r="P287" s="343" t="str">
        <f t="shared" si="2077"/>
        <v>0.00</v>
      </c>
      <c r="Q287" s="350">
        <v>50</v>
      </c>
      <c r="R287" s="350">
        <v>0</v>
      </c>
      <c r="S287" s="350">
        <f t="shared" si="2078"/>
        <v>0</v>
      </c>
      <c r="T287" s="343" t="s">
        <v>131</v>
      </c>
      <c r="U287" s="917" t="s">
        <v>535</v>
      </c>
      <c r="V287" s="916">
        <v>95</v>
      </c>
      <c r="W287" s="343" t="str">
        <f t="shared" si="2079"/>
        <v>3.5C X 95</v>
      </c>
      <c r="X287" s="343" t="str">
        <f t="shared" si="2080"/>
        <v>3.5C X 95</v>
      </c>
      <c r="Y287" s="343" t="s">
        <v>358</v>
      </c>
      <c r="Z287" s="344">
        <f>IF(T287="AIR",VLOOKUP(W287,'Catalogue Aluminium'!$B$9:$G$93,2,FALSE),IF(T287="GROUND",VLOOKUP(W287,'Catalogue Aluminium'!$B$9:$G$93,3,FALSE),IF(T287="DUCT",VLOOKUP(W287,'Catalogue Aluminium'!$B$9:$G$93,4,FALSE),IF(T287="TRENCH",VLOOKUP(W287,'Catalogue Aluminium'!$B$9:$G$93,2,FALSE)))))</f>
        <v>221</v>
      </c>
      <c r="AA287" s="345">
        <f>VLOOKUP(W287,'Catalogue Aluminium'!$B$9:$G$93,5,FALSE)</f>
        <v>0.41</v>
      </c>
      <c r="AB287" s="345">
        <f>VLOOKUP(W287,'Catalogue Aluminium'!$B$9:$G$93,6,FALSE)</f>
        <v>7.3400000000000007E-2</v>
      </c>
      <c r="AC287" s="457">
        <f>24+6</f>
        <v>30</v>
      </c>
      <c r="AD287" s="457">
        <f>40+50+38+50+58+60+20+31+18</f>
        <v>365</v>
      </c>
      <c r="AE287" s="401">
        <f t="shared" ref="AE287:AE288" si="2099">11+8+8+11</f>
        <v>38</v>
      </c>
      <c r="AF287" s="401">
        <v>8</v>
      </c>
      <c r="AG287" s="401">
        <f t="shared" si="2082"/>
        <v>45</v>
      </c>
      <c r="AH287" s="347">
        <f t="shared" si="2083"/>
        <v>486</v>
      </c>
      <c r="AI287" s="344">
        <f>IF(T287="AIR",'Catalogue Aluminium'!$K$9,IF(T287="TRENCH",'Catalogue Aluminium'!$K$12,"NA"))</f>
        <v>0.89</v>
      </c>
      <c r="AJ287" s="342">
        <f>IF(T287="Air",(IF(U287="1C",'Catalogue Aluminium'!$L$9,'Catalogue Aluminium'!$M$9)),IF(T287="DUCT",(IF($U287="1C",'Catalogue Aluminium'!$L$10,'Catalogue Aluminium'!$M$10)),IF(T287="GROUND",(IF($U287="1C",'Catalogue Aluminium'!$L$11,'Catalogue Aluminium'!$M$11)),IF(T287="TRENCH",(IF($U287="1C",'Catalogue Aluminium'!$L$12,'Catalogue Aluminium'!$M$12))))))</f>
        <v>0.66</v>
      </c>
      <c r="AK287" s="344" t="str">
        <f>IF(T287="Air",'Catalogue Aluminium'!$N$9,IF(T287="GROUND",'Catalogue Aluminium'!$N$10,IF(T287="DUCT",'Catalogue Aluminium'!$N$11,IF(T287="TRENCH",'Catalogue Aluminium'!$N$12,"NA"))))</f>
        <v>NA</v>
      </c>
      <c r="AL287" s="344" t="str">
        <f>IF(T287="Air",(IF(U287="1C",'Catalogue Aluminium'!$O$9,'Catalogue Aluminium'!$P$9)),IF(T287="DUCT",(IF($U287="1C",'Catalogue Aluminium'!$O$10,'Catalogue Aluminium'!$P$10)),IF(T287="GROUND",(IF($U287="1C",'Catalogue Aluminium'!$O$11,'Catalogue Aluminium'!$P$11)),IF(T287="TRENCH",(IF($U287="1C",'Catalogue Aluminium'!$O$12,'Catalogue Aluminium'!$P$12))))))</f>
        <v>NA</v>
      </c>
      <c r="AM287" s="344" t="str">
        <f>IF(T287="AIR","NA",IF(T287="TRENCH","NA",IF(T287="DUCT",IF(U287="1C",VLOOKUP(V287,'Catalogue Aluminium'!$Q$9:$S$28,2,FALSE),VLOOKUP(V287,'Catalogue Aluminium'!$Q$9:$S$28,3)),IF(T287="GROUND",IF(U287="1C",VLOOKUP(V287,'Catalogue Aluminium'!$Q$9:$S$28,2,FALSE),VLOOKUP(V287,'Catalogue Aluminium'!$Q$9:$S$28,3))))))</f>
        <v>NA</v>
      </c>
      <c r="AN287" s="351">
        <f t="shared" si="2084"/>
        <v>0.58740000000000003</v>
      </c>
      <c r="AO287" s="350">
        <f t="shared" si="2085"/>
        <v>129.81540000000001</v>
      </c>
      <c r="AP287" s="349">
        <f t="shared" si="1888"/>
        <v>1</v>
      </c>
      <c r="AQ287" s="350" t="str">
        <f t="shared" si="2086"/>
        <v>YES</v>
      </c>
      <c r="AR287" s="351">
        <f t="shared" si="2087"/>
        <v>1.8569222607816858</v>
      </c>
      <c r="AS287" s="343" t="str">
        <f t="shared" si="2088"/>
        <v>YES</v>
      </c>
      <c r="AT287" s="351" t="str">
        <f t="shared" si="2089"/>
        <v>NA</v>
      </c>
      <c r="AU287" s="343" t="str">
        <f t="shared" si="2090"/>
        <v>NA</v>
      </c>
      <c r="AV287" s="354" t="str">
        <f t="shared" si="2091"/>
        <v>1R x 0.6/1kV x 3.5C x 95 Sqmm</v>
      </c>
      <c r="AW287" s="354" t="str">
        <f t="shared" si="2092"/>
        <v>1R x 0.6/1kV x 3.5C x 95 Sqmm</v>
      </c>
      <c r="AX287" s="343">
        <f t="shared" si="2093"/>
        <v>486</v>
      </c>
      <c r="AY287" s="355"/>
      <c r="AZ287" s="355">
        <f t="shared" si="2094"/>
        <v>2</v>
      </c>
      <c r="BA287" s="356" t="str">
        <f t="shared" ref="BA287" si="2100">CONCATENATE(IF(BE287=1,BE$4,""),IF(BF287=1,BF$4,""),IF(BG287=1,BG$4,""),IF(BH287=1,BH$4,""),IF(BI287=1,BI$4,""),IF(BJ287=1,BJ$4,""),IF(BK287=1,BK$4,""),IF(BL287=1,BL$4,""),IF(BM287=1,BM$4,""),IF(BN287=1,BN$4,""),IF(BO287=1,BO$4,""),IF(BP287=1,BP$4,""),IF(BQ287=1,BQ$4,""),IF(BR287=1,BR$4,""),IF(BS287=1,BS$4,""),IF(BT287=1,BT$4,""),IF(BU287=1,BU$4,""),IF(BV287=1,BV$4,""),IF(BW287=1,BW$4,""),IF(BX287=1,BX$4,""),IF(BY287=1,BY$4,""),IF(BZ287=1,BZ$4,""),IF(CA287=1,CA$4,""),IF(CB287=1,CB$4,""),IF(CC287=1,CC$4,""),IF(CD287=1,CD$4,""),IF(CE287=1,CE$4,""),IF(CF287=1,CF$4,""),IF(CG287=1,CG$4,""),IF(CH287=1,CH$4,""),IF(CI287=1,CI$4,""),IF(CJ287=1,CJ$4,""),IF(CK287=1,CK$4,""),IF(CL287=1,CL$4,""),IF(CM287=1,CM$4,""),IF(CN287=1,CN$4,""),IF(CO287=1,CO$4,""),IF(CP287=1,CP$4,""),IF(CQ287=1,CQ$4,""),IF(CR287=1,CR$4,""),IF(CS287=1,CS$4,""),IF(CT287=1,CT$4,""),IF(CU287=1,CU$4,""),IF(CV287=1,CV$4,""),IF(CW287=1,CW$4,""),IF(CX287=1,CX$4,""),IF(CY287=1,CY$4,""),IF(CZ287=1,CZ$4,""),IF(DA287=1,DA$4,""),IF(DB287=1,DB$4,""),IF(DC287=1,DC$4,""),IF(DD287=1,DD$4,""),IF(DE287=1,DE$4,""),IF(DF287=1,DF$4,""),IF(DG287=1,DG$4,""),IF(DH287=1,DH$4,""),IF(DI287=1,DI$4,""),IF(DJ287=1,DJ$4,""),IF(DK287=1,DK$4,""),IF(DL287=1,DL$4,""),IF(DM287=1,DM$4,""),IF(DN287=1,DN$4,""),IF(DO287=1,DO$4,""),IF(DP287=1,DP$4,""),IF(DQ287=1,DQ$4,""),IF(DR287=1,DR$4,""),IF(DS287=1,DS$4,""),IF(DT287=1,DT$4,""),IF(DU287=1,DU$4,""))</f>
        <v>ACDEFGIJ</v>
      </c>
      <c r="BB287" s="501">
        <f>VLOOKUP(W287,'Catalogue Aluminium'!$B$9:$H$93,7,FALSE)</f>
        <v>39</v>
      </c>
      <c r="BC287" s="328">
        <f t="shared" si="2095"/>
        <v>39</v>
      </c>
      <c r="BE287" s="336"/>
      <c r="BF287" s="336">
        <v>1</v>
      </c>
      <c r="BG287" s="336"/>
      <c r="BH287" s="336"/>
      <c r="BI287" s="336">
        <v>1</v>
      </c>
      <c r="BJ287" s="336">
        <v>1</v>
      </c>
      <c r="BK287" s="336"/>
      <c r="BL287" s="336"/>
      <c r="BM287" s="336"/>
      <c r="BN287" s="336">
        <v>1</v>
      </c>
      <c r="BO287" s="336"/>
      <c r="BP287" s="336"/>
      <c r="BQ287" s="336"/>
      <c r="BR287" s="336"/>
      <c r="BS287" s="336"/>
      <c r="BT287" s="336"/>
      <c r="BU287" s="336"/>
      <c r="BV287" s="336">
        <v>1</v>
      </c>
      <c r="BW287" s="336">
        <v>1</v>
      </c>
      <c r="BX287" s="336"/>
      <c r="BY287" s="336"/>
      <c r="BZ287" s="336">
        <v>1</v>
      </c>
      <c r="CA287" s="336"/>
      <c r="CB287" s="336"/>
      <c r="CC287" s="336"/>
      <c r="CD287" s="336">
        <v>1</v>
      </c>
      <c r="CE287" s="336"/>
      <c r="CF287" s="336"/>
      <c r="CG287" s="336"/>
      <c r="CH287" s="336"/>
      <c r="CI287" s="336"/>
      <c r="CJ287" s="336"/>
      <c r="CK287" s="336"/>
      <c r="CL287" s="336"/>
      <c r="CM287" s="336"/>
      <c r="CN287" s="336"/>
      <c r="CO287" s="336"/>
      <c r="CP287" s="336"/>
      <c r="CQ287" s="336"/>
      <c r="CR287" s="336"/>
      <c r="CS287" s="336"/>
      <c r="CT287" s="336"/>
      <c r="CU287" s="336"/>
      <c r="CV287" s="336"/>
      <c r="CW287" s="336"/>
      <c r="CX287" s="336"/>
      <c r="CY287" s="336"/>
      <c r="CZ287" s="336"/>
      <c r="DA287" s="336"/>
      <c r="DB287" s="336"/>
      <c r="DC287" s="336"/>
      <c r="DD287" s="336"/>
      <c r="DE287" s="336"/>
      <c r="DF287" s="336"/>
      <c r="DG287" s="336"/>
      <c r="DH287" s="336"/>
      <c r="DI287" s="336"/>
      <c r="DJ287" s="336"/>
      <c r="DK287" s="336"/>
      <c r="DL287" s="336"/>
      <c r="DM287" s="336"/>
      <c r="DN287" s="336"/>
      <c r="DO287" s="336"/>
      <c r="DP287" s="336"/>
      <c r="DQ287" s="336"/>
      <c r="DR287" s="336"/>
      <c r="DS287" s="336"/>
      <c r="DT287" s="336"/>
      <c r="DU287" s="336"/>
      <c r="DW287" s="336">
        <f t="shared" si="1872"/>
        <v>0</v>
      </c>
      <c r="DX287" s="336">
        <f t="shared" si="1862"/>
        <v>39</v>
      </c>
      <c r="DY287" s="336">
        <f t="shared" si="1863"/>
        <v>0</v>
      </c>
      <c r="DZ287" s="336">
        <f t="shared" si="1864"/>
        <v>0</v>
      </c>
      <c r="EA287" s="336">
        <f t="shared" si="1865"/>
        <v>39</v>
      </c>
      <c r="EB287" s="336">
        <f t="shared" si="1866"/>
        <v>39</v>
      </c>
      <c r="EC287" s="336">
        <f t="shared" si="1867"/>
        <v>0</v>
      </c>
      <c r="ED287" s="336">
        <f t="shared" si="2019"/>
        <v>0</v>
      </c>
      <c r="EE287" s="336">
        <f t="shared" si="2020"/>
        <v>0</v>
      </c>
      <c r="EF287" s="336">
        <f t="shared" si="2021"/>
        <v>39</v>
      </c>
      <c r="EG287" s="336">
        <f t="shared" si="2022"/>
        <v>0</v>
      </c>
      <c r="EH287" s="336">
        <f t="shared" si="2023"/>
        <v>0</v>
      </c>
      <c r="EI287" s="336">
        <f t="shared" si="2024"/>
        <v>0</v>
      </c>
      <c r="EJ287" s="336">
        <f t="shared" si="2025"/>
        <v>0</v>
      </c>
      <c r="EK287" s="336">
        <f t="shared" si="2026"/>
        <v>0</v>
      </c>
      <c r="EL287" s="336">
        <f t="shared" si="2027"/>
        <v>0</v>
      </c>
      <c r="EM287" s="336">
        <f t="shared" si="2028"/>
        <v>0</v>
      </c>
      <c r="EN287" s="336">
        <f t="shared" si="2029"/>
        <v>39</v>
      </c>
      <c r="EO287" s="336">
        <f t="shared" si="2030"/>
        <v>39</v>
      </c>
      <c r="EP287" s="336">
        <f t="shared" si="2031"/>
        <v>0</v>
      </c>
      <c r="EQ287" s="336">
        <f t="shared" si="2032"/>
        <v>0</v>
      </c>
      <c r="ER287" s="336">
        <f t="shared" si="2033"/>
        <v>39</v>
      </c>
      <c r="ES287" s="336">
        <f t="shared" si="2034"/>
        <v>0</v>
      </c>
      <c r="ET287" s="336">
        <f t="shared" si="2034"/>
        <v>0</v>
      </c>
      <c r="EU287" s="336">
        <f t="shared" si="2035"/>
        <v>0</v>
      </c>
      <c r="EV287" s="336">
        <f t="shared" si="2036"/>
        <v>39</v>
      </c>
      <c r="EW287" s="336">
        <f t="shared" si="2037"/>
        <v>0</v>
      </c>
      <c r="EX287" s="336">
        <f t="shared" si="2038"/>
        <v>0</v>
      </c>
      <c r="EY287" s="336">
        <f t="shared" si="2039"/>
        <v>0</v>
      </c>
      <c r="EZ287" s="336">
        <f t="shared" si="2040"/>
        <v>0</v>
      </c>
      <c r="FA287" s="336">
        <f t="shared" si="2041"/>
        <v>0</v>
      </c>
      <c r="FB287" s="336">
        <f t="shared" si="2042"/>
        <v>0</v>
      </c>
      <c r="FC287" s="336">
        <f t="shared" si="2043"/>
        <v>0</v>
      </c>
      <c r="FD287" s="336">
        <f t="shared" si="2044"/>
        <v>0</v>
      </c>
      <c r="FE287" s="336">
        <f t="shared" si="2045"/>
        <v>0</v>
      </c>
      <c r="FF287" s="336">
        <f t="shared" si="2046"/>
        <v>0</v>
      </c>
      <c r="FG287" s="336">
        <f t="shared" si="2047"/>
        <v>0</v>
      </c>
      <c r="FH287" s="336">
        <f t="shared" si="2048"/>
        <v>0</v>
      </c>
      <c r="FI287" s="336">
        <f t="shared" si="2049"/>
        <v>0</v>
      </c>
      <c r="FJ287" s="336">
        <f t="shared" si="2050"/>
        <v>0</v>
      </c>
      <c r="FK287" s="336">
        <f t="shared" si="2051"/>
        <v>0</v>
      </c>
      <c r="FL287" s="336">
        <f t="shared" si="2052"/>
        <v>0</v>
      </c>
      <c r="FM287" s="336">
        <f t="shared" si="2053"/>
        <v>0</v>
      </c>
      <c r="FN287" s="336">
        <f t="shared" si="2054"/>
        <v>0</v>
      </c>
      <c r="FO287" s="336">
        <f t="shared" si="2055"/>
        <v>0</v>
      </c>
      <c r="FP287" s="336">
        <f t="shared" si="2056"/>
        <v>0</v>
      </c>
      <c r="FQ287" s="336">
        <f t="shared" si="2057"/>
        <v>0</v>
      </c>
      <c r="FR287" s="336">
        <f t="shared" si="2058"/>
        <v>0</v>
      </c>
      <c r="FS287" s="336">
        <f t="shared" si="2059"/>
        <v>0</v>
      </c>
      <c r="FT287" s="336">
        <f t="shared" si="2060"/>
        <v>0</v>
      </c>
      <c r="FU287" s="336">
        <f t="shared" si="1980"/>
        <v>0</v>
      </c>
      <c r="FV287" s="336">
        <f t="shared" si="1981"/>
        <v>0</v>
      </c>
      <c r="FW287" s="336">
        <f t="shared" si="1982"/>
        <v>0</v>
      </c>
      <c r="FX287" s="336">
        <f t="shared" si="1983"/>
        <v>0</v>
      </c>
      <c r="FY287" s="336">
        <f t="shared" si="2061"/>
        <v>0</v>
      </c>
      <c r="FZ287" s="336">
        <f t="shared" si="2062"/>
        <v>0</v>
      </c>
      <c r="GA287" s="336">
        <f t="shared" si="2063"/>
        <v>0</v>
      </c>
      <c r="GB287" s="336">
        <f t="shared" si="2064"/>
        <v>0</v>
      </c>
      <c r="GC287" s="336">
        <f t="shared" si="2065"/>
        <v>0</v>
      </c>
      <c r="GD287" s="336">
        <f t="shared" si="2066"/>
        <v>0</v>
      </c>
      <c r="GE287" s="336">
        <f t="shared" si="2067"/>
        <v>0</v>
      </c>
      <c r="GF287" s="336">
        <f t="shared" si="2068"/>
        <v>0</v>
      </c>
      <c r="GG287" s="336">
        <f t="shared" si="2069"/>
        <v>0</v>
      </c>
      <c r="GH287" s="336">
        <f t="shared" si="2070"/>
        <v>0</v>
      </c>
      <c r="GI287" s="336">
        <f t="shared" si="2071"/>
        <v>0</v>
      </c>
      <c r="GJ287" s="336">
        <f t="shared" si="2072"/>
        <v>0</v>
      </c>
      <c r="GK287" s="336">
        <f t="shared" si="1988"/>
        <v>0</v>
      </c>
      <c r="GL287" s="336">
        <f t="shared" si="1984"/>
        <v>0</v>
      </c>
      <c r="GM287" s="336">
        <f t="shared" si="2073"/>
        <v>0</v>
      </c>
    </row>
    <row r="288" spans="1:195" ht="38.25">
      <c r="A288" s="337">
        <f t="shared" si="2096"/>
        <v>187</v>
      </c>
      <c r="B288" s="506" t="s">
        <v>733</v>
      </c>
      <c r="C288" s="337" t="str">
        <f t="shared" si="2074"/>
        <v>EPMCC-1</v>
      </c>
      <c r="D288" s="338" t="s">
        <v>734</v>
      </c>
      <c r="E288" s="500" t="s">
        <v>735</v>
      </c>
      <c r="F288" s="516" t="s">
        <v>28</v>
      </c>
      <c r="G288" s="77" t="s">
        <v>329</v>
      </c>
      <c r="H288" s="917">
        <v>12.75</v>
      </c>
      <c r="I288" s="337" t="s">
        <v>330</v>
      </c>
      <c r="J288" s="337" t="s">
        <v>331</v>
      </c>
      <c r="K288" s="349">
        <v>400</v>
      </c>
      <c r="L288" s="343">
        <v>0.85</v>
      </c>
      <c r="M288" s="350">
        <v>0.95</v>
      </c>
      <c r="N288" s="342">
        <f t="shared" si="2075"/>
        <v>22.790810745107574</v>
      </c>
      <c r="O288" s="342">
        <f t="shared" si="2076"/>
        <v>0</v>
      </c>
      <c r="P288" s="343" t="str">
        <f t="shared" si="2077"/>
        <v>0.00</v>
      </c>
      <c r="Q288" s="350">
        <v>50</v>
      </c>
      <c r="R288" s="350">
        <v>0</v>
      </c>
      <c r="S288" s="350">
        <f t="shared" si="2078"/>
        <v>0</v>
      </c>
      <c r="T288" s="343" t="s">
        <v>131</v>
      </c>
      <c r="U288" s="917" t="s">
        <v>535</v>
      </c>
      <c r="V288" s="916">
        <v>70</v>
      </c>
      <c r="W288" s="343" t="str">
        <f t="shared" si="2079"/>
        <v>3.5C X 70</v>
      </c>
      <c r="X288" s="343" t="str">
        <f t="shared" si="2080"/>
        <v>3.5C X 70</v>
      </c>
      <c r="Y288" s="343" t="s">
        <v>358</v>
      </c>
      <c r="Z288" s="344">
        <f>IF(T288="AIR",VLOOKUP(W288,'Catalogue Aluminium'!$B$9:$G$93,2,FALSE),IF(T288="GROUND",VLOOKUP(W288,'Catalogue Aluminium'!$B$9:$G$93,3,FALSE),IF(T288="DUCT",VLOOKUP(W288,'Catalogue Aluminium'!$B$9:$G$93,4,FALSE),IF(T288="TRENCH",VLOOKUP(W288,'Catalogue Aluminium'!$B$9:$G$93,2,FALSE)))))</f>
        <v>177</v>
      </c>
      <c r="AA288" s="345">
        <f>VLOOKUP(W288,'Catalogue Aluminium'!$B$9:$G$93,5,FALSE)</f>
        <v>0.56699999999999995</v>
      </c>
      <c r="AB288" s="345">
        <f>VLOOKUP(W288,'Catalogue Aluminium'!$B$9:$G$93,6,FALSE)</f>
        <v>7.5200000000000003E-2</v>
      </c>
      <c r="AC288" s="457">
        <f t="shared" ref="AC288" si="2101">32+6</f>
        <v>38</v>
      </c>
      <c r="AD288" s="457">
        <f>40+50+38+48+58+60+18+28</f>
        <v>340</v>
      </c>
      <c r="AE288" s="401">
        <f t="shared" si="2099"/>
        <v>38</v>
      </c>
      <c r="AF288" s="401">
        <v>8</v>
      </c>
      <c r="AG288" s="401">
        <f t="shared" si="2082"/>
        <v>43</v>
      </c>
      <c r="AH288" s="347">
        <f t="shared" si="2083"/>
        <v>467</v>
      </c>
      <c r="AI288" s="344">
        <f>IF(T288="AIR",'Catalogue Aluminium'!$K$9,IF(T288="TRENCH",'Catalogue Aluminium'!$K$12,"NA"))</f>
        <v>0.89</v>
      </c>
      <c r="AJ288" s="342">
        <f>IF(T288="Air",(IF(U288="1C",'Catalogue Aluminium'!$L$9,'Catalogue Aluminium'!$M$9)),IF(T288="DUCT",(IF($U288="1C",'Catalogue Aluminium'!$L$10,'Catalogue Aluminium'!$M$10)),IF(T288="GROUND",(IF($U288="1C",'Catalogue Aluminium'!$L$11,'Catalogue Aluminium'!$M$11)),IF(T288="TRENCH",(IF($U288="1C",'Catalogue Aluminium'!$L$12,'Catalogue Aluminium'!$M$12))))))</f>
        <v>0.66</v>
      </c>
      <c r="AK288" s="344" t="str">
        <f>IF(T288="Air",'Catalogue Aluminium'!$N$9,IF(T288="GROUND",'Catalogue Aluminium'!$N$10,IF(T288="DUCT",'Catalogue Aluminium'!$N$11,IF(T288="TRENCH",'Catalogue Aluminium'!$N$12,"NA"))))</f>
        <v>NA</v>
      </c>
      <c r="AL288" s="344" t="str">
        <f>IF(T288="Air",(IF(U288="1C",'Catalogue Aluminium'!$O$9,'Catalogue Aluminium'!$P$9)),IF(T288="DUCT",(IF($U288="1C",'Catalogue Aluminium'!$O$10,'Catalogue Aluminium'!$P$10)),IF(T288="GROUND",(IF($U288="1C",'Catalogue Aluminium'!$O$11,'Catalogue Aluminium'!$P$11)),IF(T288="TRENCH",(IF($U288="1C",'Catalogue Aluminium'!$O$12,'Catalogue Aluminium'!$P$12))))))</f>
        <v>NA</v>
      </c>
      <c r="AM288" s="344" t="str">
        <f>IF(T288="AIR","NA",IF(T288="TRENCH","NA",IF(T288="DUCT",IF(U288="1C",VLOOKUP(V288,'Catalogue Aluminium'!$Q$9:$S$28,2,FALSE),VLOOKUP(V288,'Catalogue Aluminium'!$Q$9:$S$28,3)),IF(T288="GROUND",IF(U288="1C",VLOOKUP(V288,'Catalogue Aluminium'!$Q$9:$S$28,2,FALSE),VLOOKUP(V288,'Catalogue Aluminium'!$Q$9:$S$28,3))))))</f>
        <v>NA</v>
      </c>
      <c r="AN288" s="351">
        <f t="shared" si="2084"/>
        <v>0.58740000000000003</v>
      </c>
      <c r="AO288" s="350">
        <f t="shared" si="2085"/>
        <v>103.96980000000001</v>
      </c>
      <c r="AP288" s="349">
        <f t="shared" si="1888"/>
        <v>1</v>
      </c>
      <c r="AQ288" s="350" t="str">
        <f t="shared" si="2086"/>
        <v>YES</v>
      </c>
      <c r="AR288" s="351">
        <f t="shared" si="2087"/>
        <v>2.4037259228710868</v>
      </c>
      <c r="AS288" s="343" t="str">
        <f t="shared" si="2088"/>
        <v>YES</v>
      </c>
      <c r="AT288" s="351" t="str">
        <f t="shared" si="2089"/>
        <v>NA</v>
      </c>
      <c r="AU288" s="343" t="str">
        <f t="shared" si="2090"/>
        <v>NA</v>
      </c>
      <c r="AV288" s="354" t="str">
        <f t="shared" si="2091"/>
        <v>1R x 0.6/1kV x 3.5C x 70 Sqmm</v>
      </c>
      <c r="AW288" s="354" t="str">
        <f t="shared" si="2092"/>
        <v>1R x 0.6/1kV x 3.5C x 70 Sqmm</v>
      </c>
      <c r="AX288" s="343">
        <f t="shared" si="2093"/>
        <v>467</v>
      </c>
      <c r="AY288" s="355"/>
      <c r="AZ288" s="355">
        <f t="shared" si="2094"/>
        <v>2</v>
      </c>
      <c r="BA288" s="356" t="str">
        <f t="shared" si="1902"/>
        <v>ACDEFGHH1</v>
      </c>
      <c r="BB288" s="501">
        <f>VLOOKUP(W288,'Catalogue Aluminium'!$B$9:$H$93,7,FALSE)</f>
        <v>36</v>
      </c>
      <c r="BC288" s="328">
        <f t="shared" si="2095"/>
        <v>36</v>
      </c>
      <c r="BE288" s="336"/>
      <c r="BF288" s="336">
        <v>1</v>
      </c>
      <c r="BG288" s="336"/>
      <c r="BH288" s="336"/>
      <c r="BI288" s="336">
        <v>1</v>
      </c>
      <c r="BJ288" s="336">
        <v>1</v>
      </c>
      <c r="BK288" s="336"/>
      <c r="BL288" s="336"/>
      <c r="BM288" s="336"/>
      <c r="BN288" s="336">
        <v>1</v>
      </c>
      <c r="BO288" s="336"/>
      <c r="BP288" s="336"/>
      <c r="BQ288" s="336"/>
      <c r="BR288" s="336"/>
      <c r="BS288" s="336"/>
      <c r="BT288" s="336"/>
      <c r="BU288" s="336"/>
      <c r="BV288" s="336">
        <v>1</v>
      </c>
      <c r="BW288" s="336">
        <v>1</v>
      </c>
      <c r="BX288" s="336">
        <v>1</v>
      </c>
      <c r="BY288" s="336">
        <v>1</v>
      </c>
      <c r="BZ288" s="336"/>
      <c r="CA288" s="336"/>
      <c r="CB288" s="336"/>
      <c r="CC288" s="336"/>
      <c r="CD288" s="336"/>
      <c r="CE288" s="336"/>
      <c r="CF288" s="336"/>
      <c r="CG288" s="336"/>
      <c r="CH288" s="336"/>
      <c r="CI288" s="336"/>
      <c r="CJ288" s="336"/>
      <c r="CK288" s="336"/>
      <c r="CL288" s="336"/>
      <c r="CM288" s="336"/>
      <c r="CN288" s="336"/>
      <c r="CO288" s="336"/>
      <c r="CP288" s="336"/>
      <c r="CQ288" s="336"/>
      <c r="CR288" s="336"/>
      <c r="CS288" s="336"/>
      <c r="CT288" s="336"/>
      <c r="CU288" s="336"/>
      <c r="CV288" s="336"/>
      <c r="CW288" s="336"/>
      <c r="CX288" s="336"/>
      <c r="CY288" s="336"/>
      <c r="CZ288" s="336"/>
      <c r="DA288" s="336"/>
      <c r="DB288" s="336"/>
      <c r="DC288" s="336"/>
      <c r="DD288" s="336"/>
      <c r="DE288" s="336"/>
      <c r="DF288" s="336"/>
      <c r="DG288" s="336"/>
      <c r="DH288" s="336"/>
      <c r="DI288" s="336"/>
      <c r="DJ288" s="336"/>
      <c r="DK288" s="336"/>
      <c r="DL288" s="336"/>
      <c r="DM288" s="336"/>
      <c r="DN288" s="336"/>
      <c r="DO288" s="336"/>
      <c r="DP288" s="336"/>
      <c r="DQ288" s="336"/>
      <c r="DR288" s="336"/>
      <c r="DS288" s="336"/>
      <c r="DT288" s="336"/>
      <c r="DU288" s="336"/>
      <c r="DW288" s="336">
        <f t="shared" si="1872"/>
        <v>0</v>
      </c>
      <c r="DX288" s="336">
        <f t="shared" si="1862"/>
        <v>36</v>
      </c>
      <c r="DY288" s="336">
        <f t="shared" si="1863"/>
        <v>0</v>
      </c>
      <c r="DZ288" s="336">
        <f t="shared" si="1864"/>
        <v>0</v>
      </c>
      <c r="EA288" s="336">
        <f t="shared" si="1865"/>
        <v>36</v>
      </c>
      <c r="EB288" s="336">
        <f t="shared" si="1866"/>
        <v>36</v>
      </c>
      <c r="EC288" s="336">
        <f t="shared" si="1867"/>
        <v>0</v>
      </c>
      <c r="ED288" s="336">
        <f t="shared" si="2019"/>
        <v>0</v>
      </c>
      <c r="EE288" s="336">
        <f t="shared" si="2020"/>
        <v>0</v>
      </c>
      <c r="EF288" s="336">
        <f t="shared" si="2021"/>
        <v>36</v>
      </c>
      <c r="EG288" s="336">
        <f t="shared" si="2022"/>
        <v>0</v>
      </c>
      <c r="EH288" s="336">
        <f t="shared" si="2023"/>
        <v>0</v>
      </c>
      <c r="EI288" s="336">
        <f t="shared" si="2024"/>
        <v>0</v>
      </c>
      <c r="EJ288" s="336">
        <f t="shared" si="2025"/>
        <v>0</v>
      </c>
      <c r="EK288" s="336">
        <f t="shared" si="2026"/>
        <v>0</v>
      </c>
      <c r="EL288" s="336">
        <f t="shared" si="2027"/>
        <v>0</v>
      </c>
      <c r="EM288" s="336">
        <f t="shared" si="2028"/>
        <v>0</v>
      </c>
      <c r="EN288" s="336">
        <f t="shared" si="2029"/>
        <v>36</v>
      </c>
      <c r="EO288" s="336">
        <f t="shared" si="2030"/>
        <v>36</v>
      </c>
      <c r="EP288" s="336">
        <f t="shared" si="2031"/>
        <v>36</v>
      </c>
      <c r="EQ288" s="336">
        <f t="shared" si="2032"/>
        <v>36</v>
      </c>
      <c r="ER288" s="336">
        <f t="shared" si="2033"/>
        <v>0</v>
      </c>
      <c r="ES288" s="336">
        <f t="shared" si="2034"/>
        <v>0</v>
      </c>
      <c r="ET288" s="336">
        <f t="shared" si="2034"/>
        <v>0</v>
      </c>
      <c r="EU288" s="336">
        <f t="shared" si="2035"/>
        <v>0</v>
      </c>
      <c r="EV288" s="336">
        <f t="shared" si="2036"/>
        <v>0</v>
      </c>
      <c r="EW288" s="336">
        <f t="shared" si="2037"/>
        <v>0</v>
      </c>
      <c r="EX288" s="336">
        <f t="shared" si="2038"/>
        <v>0</v>
      </c>
      <c r="EY288" s="336">
        <f t="shared" si="2039"/>
        <v>0</v>
      </c>
      <c r="EZ288" s="336">
        <f t="shared" si="2040"/>
        <v>0</v>
      </c>
      <c r="FA288" s="336">
        <f t="shared" si="2041"/>
        <v>0</v>
      </c>
      <c r="FB288" s="336">
        <f t="shared" si="2042"/>
        <v>0</v>
      </c>
      <c r="FC288" s="336">
        <f t="shared" si="2043"/>
        <v>0</v>
      </c>
      <c r="FD288" s="336">
        <f t="shared" si="2044"/>
        <v>0</v>
      </c>
      <c r="FE288" s="336">
        <f t="shared" si="2045"/>
        <v>0</v>
      </c>
      <c r="FF288" s="336">
        <f t="shared" si="2046"/>
        <v>0</v>
      </c>
      <c r="FG288" s="336">
        <f t="shared" si="2047"/>
        <v>0</v>
      </c>
      <c r="FH288" s="336">
        <f t="shared" si="2048"/>
        <v>0</v>
      </c>
      <c r="FI288" s="336">
        <f t="shared" si="2049"/>
        <v>0</v>
      </c>
      <c r="FJ288" s="336">
        <f t="shared" si="2050"/>
        <v>0</v>
      </c>
      <c r="FK288" s="336">
        <f t="shared" si="2051"/>
        <v>0</v>
      </c>
      <c r="FL288" s="336">
        <f t="shared" si="2052"/>
        <v>0</v>
      </c>
      <c r="FM288" s="336">
        <f t="shared" si="2053"/>
        <v>0</v>
      </c>
      <c r="FN288" s="336">
        <f t="shared" si="2054"/>
        <v>0</v>
      </c>
      <c r="FO288" s="336">
        <f t="shared" si="2055"/>
        <v>0</v>
      </c>
      <c r="FP288" s="336">
        <f t="shared" si="2056"/>
        <v>0</v>
      </c>
      <c r="FQ288" s="336">
        <f t="shared" si="2057"/>
        <v>0</v>
      </c>
      <c r="FR288" s="336">
        <f t="shared" si="2058"/>
        <v>0</v>
      </c>
      <c r="FS288" s="336">
        <f t="shared" si="2059"/>
        <v>0</v>
      </c>
      <c r="FT288" s="336">
        <f t="shared" si="2060"/>
        <v>0</v>
      </c>
      <c r="FU288" s="336">
        <f t="shared" si="1980"/>
        <v>0</v>
      </c>
      <c r="FV288" s="336">
        <f t="shared" si="1981"/>
        <v>0</v>
      </c>
      <c r="FW288" s="336">
        <f t="shared" si="1982"/>
        <v>0</v>
      </c>
      <c r="FX288" s="336">
        <f t="shared" si="1983"/>
        <v>0</v>
      </c>
      <c r="FY288" s="336">
        <f t="shared" si="2061"/>
        <v>0</v>
      </c>
      <c r="FZ288" s="336">
        <f t="shared" si="2062"/>
        <v>0</v>
      </c>
      <c r="GA288" s="336">
        <f t="shared" si="2063"/>
        <v>0</v>
      </c>
      <c r="GB288" s="336">
        <f t="shared" si="2064"/>
        <v>0</v>
      </c>
      <c r="GC288" s="336">
        <f t="shared" si="2065"/>
        <v>0</v>
      </c>
      <c r="GD288" s="336">
        <f t="shared" si="2066"/>
        <v>0</v>
      </c>
      <c r="GE288" s="336">
        <f t="shared" si="2067"/>
        <v>0</v>
      </c>
      <c r="GF288" s="336">
        <f t="shared" si="2068"/>
        <v>0</v>
      </c>
      <c r="GG288" s="336">
        <f t="shared" si="2069"/>
        <v>0</v>
      </c>
      <c r="GH288" s="336">
        <f t="shared" si="2070"/>
        <v>0</v>
      </c>
      <c r="GI288" s="336">
        <f t="shared" si="2071"/>
        <v>0</v>
      </c>
      <c r="GJ288" s="336">
        <f t="shared" si="2072"/>
        <v>0</v>
      </c>
      <c r="GK288" s="336">
        <f t="shared" si="1988"/>
        <v>0</v>
      </c>
      <c r="GL288" s="336">
        <f t="shared" si="1984"/>
        <v>0</v>
      </c>
      <c r="GM288" s="336">
        <f t="shared" si="2073"/>
        <v>0</v>
      </c>
    </row>
    <row r="289" spans="1:195" ht="42" customHeight="1">
      <c r="A289" s="337">
        <f t="shared" si="2096"/>
        <v>188</v>
      </c>
      <c r="B289" s="506" t="s">
        <v>736</v>
      </c>
      <c r="C289" s="337" t="s">
        <v>636</v>
      </c>
      <c r="D289" s="338" t="s">
        <v>737</v>
      </c>
      <c r="E289" s="529" t="s">
        <v>738</v>
      </c>
      <c r="F289" s="516" t="s">
        <v>28</v>
      </c>
      <c r="G289" s="77" t="s">
        <v>329</v>
      </c>
      <c r="H289" s="917">
        <v>20</v>
      </c>
      <c r="I289" s="337" t="s">
        <v>330</v>
      </c>
      <c r="J289" s="337" t="s">
        <v>331</v>
      </c>
      <c r="K289" s="349">
        <v>400</v>
      </c>
      <c r="L289" s="343">
        <v>0.85</v>
      </c>
      <c r="M289" s="350">
        <v>0.95</v>
      </c>
      <c r="N289" s="342">
        <f t="shared" si="2075"/>
        <v>35.750291364874627</v>
      </c>
      <c r="O289" s="342">
        <f t="shared" si="2076"/>
        <v>0</v>
      </c>
      <c r="P289" s="343" t="str">
        <f t="shared" si="2077"/>
        <v>0.00</v>
      </c>
      <c r="Q289" s="350">
        <v>50</v>
      </c>
      <c r="R289" s="350">
        <v>0</v>
      </c>
      <c r="S289" s="350">
        <f t="shared" si="2078"/>
        <v>0</v>
      </c>
      <c r="T289" s="343" t="s">
        <v>131</v>
      </c>
      <c r="U289" s="917" t="s">
        <v>535</v>
      </c>
      <c r="V289" s="916">
        <v>70</v>
      </c>
      <c r="W289" s="343" t="str">
        <f t="shared" si="2079"/>
        <v>3.5C X 70</v>
      </c>
      <c r="X289" s="343" t="str">
        <f t="shared" si="2080"/>
        <v>3.5C X 70</v>
      </c>
      <c r="Y289" s="343" t="s">
        <v>358</v>
      </c>
      <c r="Z289" s="344">
        <f>IF(T289="AIR",VLOOKUP(W289,'Catalogue Aluminium'!$B$9:$G$93,2,FALSE),IF(T289="GROUND",VLOOKUP(W289,'Catalogue Aluminium'!$B$9:$G$93,3,FALSE),IF(T289="DUCT",VLOOKUP(W289,'Catalogue Aluminium'!$B$9:$G$93,4,FALSE),IF(T289="TRENCH",VLOOKUP(W289,'Catalogue Aluminium'!$B$9:$G$93,2,FALSE)))))</f>
        <v>177</v>
      </c>
      <c r="AA289" s="345">
        <f>VLOOKUP(W289,'Catalogue Aluminium'!$B$9:$G$93,5,FALSE)</f>
        <v>0.56699999999999995</v>
      </c>
      <c r="AB289" s="345">
        <f>VLOOKUP(W289,'Catalogue Aluminium'!$B$9:$G$93,6,FALSE)</f>
        <v>7.5200000000000003E-2</v>
      </c>
      <c r="AC289" s="457">
        <f>26+9</f>
        <v>35</v>
      </c>
      <c r="AD289" s="457">
        <f>68+33+43</f>
        <v>144</v>
      </c>
      <c r="AE289" s="862">
        <v>20</v>
      </c>
      <c r="AF289" s="862">
        <v>8</v>
      </c>
      <c r="AG289" s="401">
        <f t="shared" si="2082"/>
        <v>21</v>
      </c>
      <c r="AH289" s="347">
        <f t="shared" si="2083"/>
        <v>228</v>
      </c>
      <c r="AI289" s="344">
        <f>IF(T289="AIR",'Catalogue Aluminium'!$K$9,IF(T289="TRENCH",'Catalogue Aluminium'!$K$12,"NA"))</f>
        <v>0.89</v>
      </c>
      <c r="AJ289" s="342">
        <f>IF(T289="Air",(IF(U289="1C",'Catalogue Aluminium'!$L$9,'Catalogue Aluminium'!$M$9)),IF(T289="DUCT",(IF($U289="1C",'Catalogue Aluminium'!$L$10,'Catalogue Aluminium'!$M$10)),IF(T289="GROUND",(IF($U289="1C",'Catalogue Aluminium'!$L$11,'Catalogue Aluminium'!$M$11)),IF(T289="TRENCH",(IF($U289="1C",'Catalogue Aluminium'!$L$12,'Catalogue Aluminium'!$M$12))))))</f>
        <v>0.66</v>
      </c>
      <c r="AK289" s="344" t="str">
        <f>IF(T289="Air",'Catalogue Aluminium'!$N$9,IF(T289="GROUND",'Catalogue Aluminium'!$N$10,IF(T289="DUCT",'Catalogue Aluminium'!$N$11,IF(T289="TRENCH",'Catalogue Aluminium'!$N$12,"NA"))))</f>
        <v>NA</v>
      </c>
      <c r="AL289" s="344" t="str">
        <f>IF(T289="Air",(IF(U289="1C",'Catalogue Aluminium'!$O$9,'Catalogue Aluminium'!$P$9)),IF(T289="DUCT",(IF($U289="1C",'Catalogue Aluminium'!$O$10,'Catalogue Aluminium'!$P$10)),IF(T289="GROUND",(IF($U289="1C",'Catalogue Aluminium'!$O$11,'Catalogue Aluminium'!$P$11)),IF(T289="TRENCH",(IF($U289="1C",'Catalogue Aluminium'!$O$12,'Catalogue Aluminium'!$P$12))))))</f>
        <v>NA</v>
      </c>
      <c r="AM289" s="344" t="str">
        <f>IF(T289="AIR","NA",IF(T289="TRENCH","NA",IF(T289="DUCT",IF(U289="1C",VLOOKUP(V289,'Catalogue Aluminium'!$Q$9:$S$28,2,FALSE),VLOOKUP(V289,'Catalogue Aluminium'!$Q$9:$S$28,3)),IF(T289="GROUND",IF(U289="1C",VLOOKUP(V289,'Catalogue Aluminium'!$Q$9:$S$28,2,FALSE),VLOOKUP(V289,'Catalogue Aluminium'!$Q$9:$S$28,3))))))</f>
        <v>NA</v>
      </c>
      <c r="AN289" s="351">
        <f t="shared" si="2084"/>
        <v>0.58740000000000003</v>
      </c>
      <c r="AO289" s="350">
        <f t="shared" si="2085"/>
        <v>103.96980000000001</v>
      </c>
      <c r="AP289" s="349">
        <f t="shared" si="1888"/>
        <v>1</v>
      </c>
      <c r="AQ289" s="350" t="str">
        <f t="shared" si="2086"/>
        <v>YES</v>
      </c>
      <c r="AR289" s="351">
        <f t="shared" si="2087"/>
        <v>1.8408683223398672</v>
      </c>
      <c r="AS289" s="343" t="str">
        <f t="shared" si="2088"/>
        <v>YES</v>
      </c>
      <c r="AT289" s="351" t="str">
        <f t="shared" si="2089"/>
        <v>NA</v>
      </c>
      <c r="AU289" s="343" t="str">
        <f t="shared" si="2090"/>
        <v>NA</v>
      </c>
      <c r="AV289" s="354" t="str">
        <f t="shared" si="2091"/>
        <v>1R x 0.6/1kV x 3.5C x 70 Sqmm</v>
      </c>
      <c r="AW289" s="354" t="str">
        <f t="shared" si="2092"/>
        <v>1R x 0.6/1kV x 3.5C x 70 Sqmm</v>
      </c>
      <c r="AX289" s="343">
        <f t="shared" si="2093"/>
        <v>228</v>
      </c>
      <c r="AY289" s="355"/>
      <c r="AZ289" s="355">
        <f t="shared" si="2094"/>
        <v>2</v>
      </c>
      <c r="BA289" s="356" t="str">
        <f t="shared" si="1902"/>
        <v>LL1L2L3</v>
      </c>
      <c r="BB289" s="501">
        <f>VLOOKUP(W289,'Catalogue Aluminium'!$B$9:$H$93,7,FALSE)</f>
        <v>36</v>
      </c>
      <c r="BC289" s="328">
        <f t="shared" si="2095"/>
        <v>36</v>
      </c>
      <c r="BE289" s="336"/>
      <c r="BF289" s="336"/>
      <c r="BG289" s="336"/>
      <c r="BH289" s="336"/>
      <c r="BI289" s="336"/>
      <c r="BJ289" s="336"/>
      <c r="BK289" s="336"/>
      <c r="BL289" s="336"/>
      <c r="BM289" s="336"/>
      <c r="BN289" s="336"/>
      <c r="BO289" s="336"/>
      <c r="BP289" s="336"/>
      <c r="BQ289" s="336"/>
      <c r="BR289" s="336"/>
      <c r="BS289" s="336"/>
      <c r="BT289" s="336"/>
      <c r="BU289" s="336"/>
      <c r="BV289" s="336"/>
      <c r="BW289" s="336"/>
      <c r="BX289" s="336"/>
      <c r="BY289" s="336"/>
      <c r="BZ289" s="336"/>
      <c r="CA289" s="336"/>
      <c r="CB289" s="336"/>
      <c r="CC289" s="336"/>
      <c r="CD289" s="336"/>
      <c r="CE289" s="336"/>
      <c r="CF289" s="336">
        <v>1</v>
      </c>
      <c r="CG289" s="336">
        <v>1</v>
      </c>
      <c r="CH289" s="336">
        <v>1</v>
      </c>
      <c r="CI289" s="336">
        <v>1</v>
      </c>
      <c r="CJ289" s="336"/>
      <c r="CK289" s="336"/>
      <c r="CL289" s="336"/>
      <c r="CM289" s="336"/>
      <c r="CN289" s="336"/>
      <c r="CO289" s="336"/>
      <c r="CP289" s="336"/>
      <c r="CQ289" s="336"/>
      <c r="CR289" s="336"/>
      <c r="CS289" s="336"/>
      <c r="CT289" s="336"/>
      <c r="CU289" s="336"/>
      <c r="CV289" s="336"/>
      <c r="CW289" s="336"/>
      <c r="CX289" s="336"/>
      <c r="CY289" s="336"/>
      <c r="CZ289" s="336"/>
      <c r="DA289" s="336"/>
      <c r="DB289" s="336"/>
      <c r="DC289" s="336"/>
      <c r="DD289" s="336"/>
      <c r="DE289" s="336"/>
      <c r="DF289" s="336"/>
      <c r="DG289" s="336"/>
      <c r="DH289" s="336"/>
      <c r="DI289" s="336"/>
      <c r="DJ289" s="336"/>
      <c r="DK289" s="336"/>
      <c r="DL289" s="336"/>
      <c r="DM289" s="336"/>
      <c r="DN289" s="336"/>
      <c r="DO289" s="336"/>
      <c r="DP289" s="336"/>
      <c r="DQ289" s="336"/>
      <c r="DR289" s="336"/>
      <c r="DS289" s="336"/>
      <c r="DT289" s="336"/>
      <c r="DU289" s="336"/>
      <c r="DW289" s="336">
        <f t="shared" si="1872"/>
        <v>0</v>
      </c>
      <c r="DX289" s="336">
        <f t="shared" ref="DX289:DX370" si="2102">IF(BF289=1,($BC289*BF289),0)</f>
        <v>0</v>
      </c>
      <c r="DY289" s="336">
        <f t="shared" ref="DY289:DY370" si="2103">IF(BG289=1,($BC289*BG289),0)</f>
        <v>0</v>
      </c>
      <c r="DZ289" s="336">
        <f t="shared" ref="DZ289:DZ370" si="2104">IF(BH289=1,($BC289*BH289),0)</f>
        <v>0</v>
      </c>
      <c r="EA289" s="336">
        <f t="shared" ref="EA289:EA370" si="2105">IF(BI289=1,($BC289*BI289),0)</f>
        <v>0</v>
      </c>
      <c r="EB289" s="336">
        <f t="shared" ref="EB289:EB370" si="2106">IF(BJ289=1,($BC289*BJ289),0)</f>
        <v>0</v>
      </c>
      <c r="EC289" s="336">
        <f t="shared" ref="EC289:EC370" si="2107">IF(BK289=1,($BC289*BK289),0)</f>
        <v>0</v>
      </c>
      <c r="ED289" s="336">
        <f t="shared" si="2019"/>
        <v>0</v>
      </c>
      <c r="EE289" s="336">
        <f t="shared" si="2020"/>
        <v>0</v>
      </c>
      <c r="EF289" s="336">
        <f t="shared" si="2021"/>
        <v>0</v>
      </c>
      <c r="EG289" s="336">
        <f t="shared" si="2022"/>
        <v>0</v>
      </c>
      <c r="EH289" s="336">
        <f t="shared" si="2023"/>
        <v>0</v>
      </c>
      <c r="EI289" s="336">
        <f t="shared" si="2024"/>
        <v>0</v>
      </c>
      <c r="EJ289" s="336">
        <f t="shared" si="2025"/>
        <v>0</v>
      </c>
      <c r="EK289" s="336">
        <f t="shared" si="2026"/>
        <v>0</v>
      </c>
      <c r="EL289" s="336">
        <f t="shared" si="2027"/>
        <v>0</v>
      </c>
      <c r="EM289" s="336">
        <f t="shared" si="2028"/>
        <v>0</v>
      </c>
      <c r="EN289" s="336">
        <f t="shared" si="2029"/>
        <v>0</v>
      </c>
      <c r="EO289" s="336">
        <f t="shared" si="2030"/>
        <v>0</v>
      </c>
      <c r="EP289" s="336">
        <f t="shared" si="2031"/>
        <v>0</v>
      </c>
      <c r="EQ289" s="336">
        <f t="shared" si="2032"/>
        <v>0</v>
      </c>
      <c r="ER289" s="336">
        <f t="shared" si="2033"/>
        <v>0</v>
      </c>
      <c r="ES289" s="336">
        <f t="shared" si="2034"/>
        <v>0</v>
      </c>
      <c r="ET289" s="336">
        <f t="shared" si="2034"/>
        <v>0</v>
      </c>
      <c r="EU289" s="336">
        <f t="shared" si="2035"/>
        <v>0</v>
      </c>
      <c r="EV289" s="336">
        <f t="shared" si="2036"/>
        <v>0</v>
      </c>
      <c r="EW289" s="336">
        <f t="shared" si="2037"/>
        <v>0</v>
      </c>
      <c r="EX289" s="336">
        <f t="shared" si="2038"/>
        <v>36</v>
      </c>
      <c r="EY289" s="336">
        <f t="shared" si="2039"/>
        <v>36</v>
      </c>
      <c r="EZ289" s="336">
        <f t="shared" si="2040"/>
        <v>36</v>
      </c>
      <c r="FA289" s="336">
        <f t="shared" si="2041"/>
        <v>36</v>
      </c>
      <c r="FB289" s="336">
        <f t="shared" si="2042"/>
        <v>0</v>
      </c>
      <c r="FC289" s="336">
        <f t="shared" si="2043"/>
        <v>0</v>
      </c>
      <c r="FD289" s="336">
        <f t="shared" si="2044"/>
        <v>0</v>
      </c>
      <c r="FE289" s="336">
        <f t="shared" si="2045"/>
        <v>0</v>
      </c>
      <c r="FF289" s="336">
        <f t="shared" si="2046"/>
        <v>0</v>
      </c>
      <c r="FG289" s="336">
        <f t="shared" si="2047"/>
        <v>0</v>
      </c>
      <c r="FH289" s="336">
        <f t="shared" si="2048"/>
        <v>0</v>
      </c>
      <c r="FI289" s="336">
        <f t="shared" si="2049"/>
        <v>0</v>
      </c>
      <c r="FJ289" s="336">
        <f t="shared" si="2050"/>
        <v>0</v>
      </c>
      <c r="FK289" s="336">
        <f t="shared" si="2051"/>
        <v>0</v>
      </c>
      <c r="FL289" s="336">
        <f t="shared" si="2052"/>
        <v>0</v>
      </c>
      <c r="FM289" s="336">
        <f t="shared" si="2053"/>
        <v>0</v>
      </c>
      <c r="FN289" s="336">
        <f t="shared" si="2054"/>
        <v>0</v>
      </c>
      <c r="FO289" s="336">
        <f t="shared" si="2055"/>
        <v>0</v>
      </c>
      <c r="FP289" s="336">
        <f t="shared" si="2056"/>
        <v>0</v>
      </c>
      <c r="FQ289" s="336">
        <f t="shared" si="2057"/>
        <v>0</v>
      </c>
      <c r="FR289" s="336">
        <f t="shared" si="2058"/>
        <v>0</v>
      </c>
      <c r="FS289" s="336">
        <f t="shared" si="2059"/>
        <v>0</v>
      </c>
      <c r="FT289" s="336">
        <f t="shared" si="2060"/>
        <v>0</v>
      </c>
      <c r="FU289" s="336">
        <f t="shared" si="1980"/>
        <v>0</v>
      </c>
      <c r="FV289" s="336">
        <f t="shared" si="1981"/>
        <v>0</v>
      </c>
      <c r="FW289" s="336">
        <f t="shared" si="1982"/>
        <v>0</v>
      </c>
      <c r="FX289" s="336">
        <f t="shared" si="1983"/>
        <v>0</v>
      </c>
      <c r="FY289" s="336">
        <f t="shared" si="2061"/>
        <v>0</v>
      </c>
      <c r="FZ289" s="336">
        <f t="shared" si="2062"/>
        <v>0</v>
      </c>
      <c r="GA289" s="336">
        <f t="shared" si="2063"/>
        <v>0</v>
      </c>
      <c r="GB289" s="336">
        <f t="shared" si="2064"/>
        <v>0</v>
      </c>
      <c r="GC289" s="336">
        <f t="shared" si="2065"/>
        <v>0</v>
      </c>
      <c r="GD289" s="336">
        <f t="shared" si="2066"/>
        <v>0</v>
      </c>
      <c r="GE289" s="336">
        <f t="shared" si="2067"/>
        <v>0</v>
      </c>
      <c r="GF289" s="336">
        <f t="shared" si="2068"/>
        <v>0</v>
      </c>
      <c r="GG289" s="336">
        <f t="shared" si="2069"/>
        <v>0</v>
      </c>
      <c r="GH289" s="336">
        <f t="shared" si="2070"/>
        <v>0</v>
      </c>
      <c r="GI289" s="336">
        <f t="shared" si="2071"/>
        <v>0</v>
      </c>
      <c r="GJ289" s="336">
        <f t="shared" si="2072"/>
        <v>0</v>
      </c>
      <c r="GK289" s="336">
        <f t="shared" si="1988"/>
        <v>0</v>
      </c>
      <c r="GL289" s="336">
        <f t="shared" si="1984"/>
        <v>0</v>
      </c>
      <c r="GM289" s="336">
        <f t="shared" si="2073"/>
        <v>0</v>
      </c>
    </row>
    <row r="290" spans="1:195" ht="32.25" customHeight="1">
      <c r="A290" s="337">
        <f t="shared" si="2096"/>
        <v>189</v>
      </c>
      <c r="B290" s="526" t="s">
        <v>615</v>
      </c>
      <c r="C290" s="337" t="str">
        <f>$D$6</f>
        <v>PMCC-1</v>
      </c>
      <c r="D290" s="372" t="s">
        <v>739</v>
      </c>
      <c r="E290" s="500" t="s">
        <v>335</v>
      </c>
      <c r="F290" s="570"/>
      <c r="G290" s="340" t="s">
        <v>337</v>
      </c>
      <c r="H290" s="350">
        <v>1600</v>
      </c>
      <c r="I290" s="337" t="s">
        <v>414</v>
      </c>
      <c r="J290" s="337" t="s">
        <v>331</v>
      </c>
      <c r="K290" s="349">
        <v>400</v>
      </c>
      <c r="L290" s="343">
        <v>0.84664865012052015</v>
      </c>
      <c r="M290" s="350">
        <v>0.92832394366197268</v>
      </c>
      <c r="N290" s="342">
        <f t="shared" si="2075"/>
        <v>2487.7833195389812</v>
      </c>
      <c r="O290" s="926"/>
      <c r="P290" s="927"/>
      <c r="Q290" s="927"/>
      <c r="R290" s="927"/>
      <c r="S290" s="927"/>
      <c r="T290" s="927"/>
      <c r="U290" s="927"/>
      <c r="V290" s="927"/>
      <c r="W290" s="927"/>
      <c r="X290" s="927"/>
      <c r="Y290" s="927"/>
      <c r="Z290" s="927"/>
      <c r="AA290" s="927"/>
      <c r="AB290" s="927"/>
      <c r="AC290" s="1022"/>
      <c r="AD290" s="1022"/>
      <c r="AE290" s="1022"/>
      <c r="AF290" s="1022"/>
      <c r="AG290" s="1022"/>
      <c r="AH290" s="927"/>
      <c r="AI290" s="927"/>
      <c r="AJ290" s="927"/>
      <c r="AK290" s="927"/>
      <c r="AL290" s="927"/>
      <c r="AM290" s="927"/>
      <c r="AN290" s="927"/>
      <c r="AO290" s="927"/>
      <c r="AP290" s="927"/>
      <c r="AQ290" s="927"/>
      <c r="AR290" s="927"/>
      <c r="AS290" s="927"/>
      <c r="AT290" s="927"/>
      <c r="AU290" s="927"/>
      <c r="AV290" s="927"/>
      <c r="AW290" s="927"/>
      <c r="AX290" s="927"/>
      <c r="AY290" s="927"/>
      <c r="AZ290" s="927"/>
      <c r="BA290" s="927"/>
      <c r="BB290" s="927"/>
      <c r="BC290" s="1020"/>
      <c r="BE290" s="530"/>
      <c r="BF290" s="530"/>
      <c r="BG290" s="530"/>
      <c r="BH290" s="530"/>
      <c r="BI290" s="530"/>
      <c r="BJ290" s="530"/>
      <c r="BK290" s="530"/>
      <c r="BL290" s="530"/>
      <c r="BM290" s="530"/>
      <c r="BN290" s="530"/>
      <c r="BO290" s="530"/>
      <c r="BP290" s="530"/>
      <c r="BQ290" s="530"/>
      <c r="BR290" s="530"/>
      <c r="BS290" s="530"/>
      <c r="BT290" s="530"/>
      <c r="BU290" s="530"/>
      <c r="BV290" s="530"/>
      <c r="BW290" s="530"/>
      <c r="BX290" s="530"/>
      <c r="BY290" s="530"/>
      <c r="BZ290" s="530"/>
      <c r="CA290" s="530"/>
      <c r="CB290" s="530"/>
      <c r="CC290" s="530"/>
      <c r="CD290" s="530"/>
      <c r="CE290" s="530"/>
      <c r="CF290" s="530"/>
      <c r="CG290" s="530"/>
      <c r="CH290" s="530"/>
      <c r="CI290" s="530"/>
      <c r="CJ290" s="530"/>
      <c r="CK290" s="530"/>
      <c r="CL290" s="530"/>
      <c r="CM290" s="530"/>
      <c r="CN290" s="530"/>
      <c r="CO290" s="530"/>
      <c r="CP290" s="530"/>
      <c r="CQ290" s="530"/>
      <c r="CR290" s="530"/>
      <c r="CS290" s="530"/>
      <c r="CT290" s="530"/>
      <c r="CU290" s="530"/>
      <c r="CV290" s="530"/>
      <c r="CW290" s="530"/>
      <c r="CX290" s="530"/>
      <c r="CY290" s="530"/>
      <c r="CZ290" s="530"/>
      <c r="DA290" s="530"/>
      <c r="DB290" s="530"/>
      <c r="DC290" s="530"/>
      <c r="DD290" s="530"/>
      <c r="DE290" s="530"/>
      <c r="DF290" s="530"/>
      <c r="DG290" s="530"/>
      <c r="DH290" s="530"/>
      <c r="DI290" s="530"/>
      <c r="DJ290" s="530"/>
      <c r="DK290" s="530"/>
      <c r="DL290" s="530"/>
      <c r="DM290" s="530"/>
      <c r="DN290" s="530"/>
      <c r="DO290" s="530"/>
      <c r="DP290" s="530"/>
      <c r="DQ290" s="530"/>
      <c r="DR290" s="530"/>
      <c r="DS290" s="530"/>
      <c r="DT290" s="530"/>
      <c r="DU290" s="530"/>
      <c r="DW290" s="336">
        <f t="shared" ref="DW290:DW370" si="2108">IF(BE290=1,($BC290*BE290),0)</f>
        <v>0</v>
      </c>
      <c r="DX290" s="336">
        <f t="shared" si="2102"/>
        <v>0</v>
      </c>
      <c r="DY290" s="336">
        <f t="shared" si="2103"/>
        <v>0</v>
      </c>
      <c r="DZ290" s="336">
        <f t="shared" si="2104"/>
        <v>0</v>
      </c>
      <c r="EA290" s="336">
        <f t="shared" si="2105"/>
        <v>0</v>
      </c>
      <c r="EB290" s="336">
        <f t="shared" si="2106"/>
        <v>0</v>
      </c>
      <c r="EC290" s="336">
        <f t="shared" si="2107"/>
        <v>0</v>
      </c>
      <c r="ED290" s="336">
        <f t="shared" si="2019"/>
        <v>0</v>
      </c>
      <c r="EE290" s="336">
        <f t="shared" si="2020"/>
        <v>0</v>
      </c>
      <c r="EF290" s="336">
        <f t="shared" si="2021"/>
        <v>0</v>
      </c>
      <c r="EG290" s="336">
        <f t="shared" si="2022"/>
        <v>0</v>
      </c>
      <c r="EH290" s="336">
        <f t="shared" si="2023"/>
        <v>0</v>
      </c>
      <c r="EI290" s="336">
        <f t="shared" si="2024"/>
        <v>0</v>
      </c>
      <c r="EJ290" s="336">
        <f t="shared" si="2025"/>
        <v>0</v>
      </c>
      <c r="EK290" s="336">
        <f t="shared" si="2026"/>
        <v>0</v>
      </c>
      <c r="EL290" s="336">
        <f t="shared" si="2027"/>
        <v>0</v>
      </c>
      <c r="EM290" s="336">
        <f t="shared" si="2028"/>
        <v>0</v>
      </c>
      <c r="EN290" s="336">
        <f t="shared" si="2029"/>
        <v>0</v>
      </c>
      <c r="EO290" s="336">
        <f t="shared" si="2030"/>
        <v>0</v>
      </c>
      <c r="EP290" s="336">
        <f t="shared" si="2031"/>
        <v>0</v>
      </c>
      <c r="EQ290" s="336">
        <f t="shared" si="2032"/>
        <v>0</v>
      </c>
      <c r="ER290" s="336">
        <f t="shared" si="2033"/>
        <v>0</v>
      </c>
      <c r="ES290" s="336">
        <f t="shared" si="2034"/>
        <v>0</v>
      </c>
      <c r="ET290" s="336">
        <f t="shared" si="2034"/>
        <v>0</v>
      </c>
      <c r="EU290" s="336">
        <f t="shared" si="2035"/>
        <v>0</v>
      </c>
      <c r="EV290" s="336">
        <f t="shared" si="2036"/>
        <v>0</v>
      </c>
      <c r="EW290" s="336">
        <f t="shared" si="2037"/>
        <v>0</v>
      </c>
      <c r="EX290" s="336">
        <f t="shared" si="2038"/>
        <v>0</v>
      </c>
      <c r="EY290" s="336">
        <f t="shared" si="2039"/>
        <v>0</v>
      </c>
      <c r="EZ290" s="336">
        <f t="shared" si="2040"/>
        <v>0</v>
      </c>
      <c r="FA290" s="336">
        <f t="shared" si="2041"/>
        <v>0</v>
      </c>
      <c r="FB290" s="336">
        <f t="shared" si="2042"/>
        <v>0</v>
      </c>
      <c r="FC290" s="336">
        <f t="shared" si="2043"/>
        <v>0</v>
      </c>
      <c r="FD290" s="336">
        <f t="shared" si="2044"/>
        <v>0</v>
      </c>
      <c r="FE290" s="336">
        <f t="shared" si="2045"/>
        <v>0</v>
      </c>
      <c r="FF290" s="336">
        <f t="shared" si="2046"/>
        <v>0</v>
      </c>
      <c r="FG290" s="336">
        <f t="shared" si="2047"/>
        <v>0</v>
      </c>
      <c r="FH290" s="336">
        <f t="shared" si="2048"/>
        <v>0</v>
      </c>
      <c r="FI290" s="336">
        <f t="shared" si="2049"/>
        <v>0</v>
      </c>
      <c r="FJ290" s="336">
        <f t="shared" si="2050"/>
        <v>0</v>
      </c>
      <c r="FK290" s="336">
        <f t="shared" si="2051"/>
        <v>0</v>
      </c>
      <c r="FL290" s="336">
        <f t="shared" si="2052"/>
        <v>0</v>
      </c>
      <c r="FM290" s="336">
        <f t="shared" si="2053"/>
        <v>0</v>
      </c>
      <c r="FN290" s="336">
        <f t="shared" si="2054"/>
        <v>0</v>
      </c>
      <c r="FO290" s="336">
        <f t="shared" si="2055"/>
        <v>0</v>
      </c>
      <c r="FP290" s="336">
        <f t="shared" si="2056"/>
        <v>0</v>
      </c>
      <c r="FQ290" s="336">
        <f t="shared" si="2057"/>
        <v>0</v>
      </c>
      <c r="FR290" s="336">
        <f t="shared" si="2058"/>
        <v>0</v>
      </c>
      <c r="FS290" s="336">
        <f t="shared" si="2059"/>
        <v>0</v>
      </c>
      <c r="FT290" s="336">
        <f t="shared" si="2060"/>
        <v>0</v>
      </c>
      <c r="FU290" s="336">
        <f t="shared" si="1980"/>
        <v>0</v>
      </c>
      <c r="FV290" s="336">
        <f t="shared" si="1981"/>
        <v>0</v>
      </c>
      <c r="FW290" s="336">
        <f t="shared" si="1982"/>
        <v>0</v>
      </c>
      <c r="FX290" s="336">
        <f t="shared" si="1983"/>
        <v>0</v>
      </c>
      <c r="FY290" s="336">
        <f t="shared" si="2061"/>
        <v>0</v>
      </c>
      <c r="FZ290" s="336">
        <f t="shared" si="2062"/>
        <v>0</v>
      </c>
      <c r="GA290" s="336">
        <f t="shared" si="2063"/>
        <v>0</v>
      </c>
      <c r="GB290" s="336">
        <f t="shared" si="2064"/>
        <v>0</v>
      </c>
      <c r="GC290" s="336">
        <f t="shared" si="2065"/>
        <v>0</v>
      </c>
      <c r="GD290" s="336">
        <f t="shared" si="2066"/>
        <v>0</v>
      </c>
      <c r="GE290" s="336">
        <f t="shared" si="2067"/>
        <v>0</v>
      </c>
      <c r="GF290" s="336">
        <f t="shared" si="2068"/>
        <v>0</v>
      </c>
      <c r="GG290" s="336">
        <f t="shared" si="2069"/>
        <v>0</v>
      </c>
      <c r="GH290" s="336">
        <f t="shared" si="2070"/>
        <v>0</v>
      </c>
      <c r="GI290" s="336">
        <f t="shared" si="2071"/>
        <v>0</v>
      </c>
      <c r="GJ290" s="336">
        <f t="shared" si="2072"/>
        <v>0</v>
      </c>
      <c r="GK290" s="336">
        <f t="shared" si="1988"/>
        <v>0</v>
      </c>
      <c r="GL290" s="336">
        <f t="shared" si="1984"/>
        <v>0</v>
      </c>
      <c r="GM290" s="336">
        <f t="shared" si="2073"/>
        <v>0</v>
      </c>
    </row>
    <row r="291" spans="1:195" ht="32.25" customHeight="1">
      <c r="A291" s="337">
        <f t="shared" si="2096"/>
        <v>190</v>
      </c>
      <c r="B291" s="526" t="s">
        <v>615</v>
      </c>
      <c r="C291" s="337" t="str">
        <f>$D$6</f>
        <v>PMCC-1</v>
      </c>
      <c r="D291" s="372" t="s">
        <v>740</v>
      </c>
      <c r="E291" s="500" t="s">
        <v>335</v>
      </c>
      <c r="F291" s="570"/>
      <c r="G291" s="340" t="s">
        <v>337</v>
      </c>
      <c r="H291" s="350">
        <v>1600</v>
      </c>
      <c r="I291" s="337" t="s">
        <v>414</v>
      </c>
      <c r="J291" s="337" t="s">
        <v>331</v>
      </c>
      <c r="K291" s="349">
        <v>400</v>
      </c>
      <c r="L291" s="343">
        <v>0.84664865012052015</v>
      </c>
      <c r="M291" s="350">
        <v>0.92832394366197268</v>
      </c>
      <c r="N291" s="342">
        <f t="shared" si="2075"/>
        <v>2487.7833195389812</v>
      </c>
      <c r="O291" s="926"/>
      <c r="P291" s="927"/>
      <c r="Q291" s="927"/>
      <c r="R291" s="927"/>
      <c r="S291" s="927"/>
      <c r="T291" s="927"/>
      <c r="U291" s="927"/>
      <c r="V291" s="927"/>
      <c r="W291" s="927"/>
      <c r="X291" s="927"/>
      <c r="Y291" s="927"/>
      <c r="Z291" s="927"/>
      <c r="AA291" s="927"/>
      <c r="AB291" s="927"/>
      <c r="AC291" s="1022"/>
      <c r="AD291" s="1022"/>
      <c r="AE291" s="1022"/>
      <c r="AF291" s="1022"/>
      <c r="AG291" s="1022"/>
      <c r="AH291" s="927"/>
      <c r="AI291" s="927"/>
      <c r="AJ291" s="927"/>
      <c r="AK291" s="927"/>
      <c r="AL291" s="927"/>
      <c r="AM291" s="927"/>
      <c r="AN291" s="927"/>
      <c r="AO291" s="927"/>
      <c r="AP291" s="927"/>
      <c r="AQ291" s="927"/>
      <c r="AR291" s="927"/>
      <c r="AS291" s="927"/>
      <c r="AT291" s="927"/>
      <c r="AU291" s="927"/>
      <c r="AV291" s="927"/>
      <c r="AW291" s="927"/>
      <c r="AX291" s="927"/>
      <c r="AY291" s="927"/>
      <c r="AZ291" s="927"/>
      <c r="BA291" s="927"/>
      <c r="BB291" s="927"/>
      <c r="BC291" s="1020"/>
      <c r="BE291" s="530"/>
      <c r="BF291" s="530"/>
      <c r="BG291" s="530"/>
      <c r="BH291" s="530"/>
      <c r="BI291" s="530"/>
      <c r="BJ291" s="530"/>
      <c r="BK291" s="530"/>
      <c r="BL291" s="530"/>
      <c r="BM291" s="530"/>
      <c r="BN291" s="530"/>
      <c r="BO291" s="530"/>
      <c r="BP291" s="530"/>
      <c r="BQ291" s="530"/>
      <c r="BR291" s="530"/>
      <c r="BS291" s="530"/>
      <c r="BT291" s="530"/>
      <c r="BU291" s="530"/>
      <c r="BV291" s="530"/>
      <c r="BW291" s="530"/>
      <c r="BX291" s="530"/>
      <c r="BY291" s="530"/>
      <c r="BZ291" s="530"/>
      <c r="CA291" s="530"/>
      <c r="CB291" s="530"/>
      <c r="CC291" s="530"/>
      <c r="CD291" s="530"/>
      <c r="CE291" s="530"/>
      <c r="CF291" s="530"/>
      <c r="CG291" s="530"/>
      <c r="CH291" s="530"/>
      <c r="CI291" s="530"/>
      <c r="CJ291" s="530"/>
      <c r="CK291" s="530"/>
      <c r="CL291" s="530"/>
      <c r="CM291" s="530"/>
      <c r="CN291" s="530"/>
      <c r="CO291" s="530"/>
      <c r="CP291" s="530"/>
      <c r="CQ291" s="530"/>
      <c r="CR291" s="530"/>
      <c r="CS291" s="530"/>
      <c r="CT291" s="530"/>
      <c r="CU291" s="530"/>
      <c r="CV291" s="530"/>
      <c r="CW291" s="530"/>
      <c r="CX291" s="530"/>
      <c r="CY291" s="530"/>
      <c r="CZ291" s="530"/>
      <c r="DA291" s="530"/>
      <c r="DB291" s="530"/>
      <c r="DC291" s="530"/>
      <c r="DD291" s="530"/>
      <c r="DE291" s="530"/>
      <c r="DF291" s="530"/>
      <c r="DG291" s="530"/>
      <c r="DH291" s="530"/>
      <c r="DI291" s="530"/>
      <c r="DJ291" s="530"/>
      <c r="DK291" s="530"/>
      <c r="DL291" s="530"/>
      <c r="DM291" s="530"/>
      <c r="DN291" s="530"/>
      <c r="DO291" s="530"/>
      <c r="DP291" s="530"/>
      <c r="DQ291" s="530"/>
      <c r="DR291" s="530"/>
      <c r="DS291" s="530"/>
      <c r="DT291" s="530"/>
      <c r="DU291" s="530"/>
      <c r="DW291" s="336">
        <f t="shared" si="2108"/>
        <v>0</v>
      </c>
      <c r="DX291" s="336">
        <f t="shared" si="2102"/>
        <v>0</v>
      </c>
      <c r="DY291" s="336">
        <f t="shared" si="2103"/>
        <v>0</v>
      </c>
      <c r="DZ291" s="336">
        <f t="shared" si="2104"/>
        <v>0</v>
      </c>
      <c r="EA291" s="336">
        <f t="shared" si="2105"/>
        <v>0</v>
      </c>
      <c r="EB291" s="336">
        <f t="shared" si="2106"/>
        <v>0</v>
      </c>
      <c r="EC291" s="336">
        <f t="shared" si="2107"/>
        <v>0</v>
      </c>
      <c r="ED291" s="336">
        <f t="shared" si="2019"/>
        <v>0</v>
      </c>
      <c r="EE291" s="336">
        <f t="shared" si="2020"/>
        <v>0</v>
      </c>
      <c r="EF291" s="336">
        <f t="shared" si="2021"/>
        <v>0</v>
      </c>
      <c r="EG291" s="336">
        <f t="shared" si="2022"/>
        <v>0</v>
      </c>
      <c r="EH291" s="336">
        <f t="shared" si="2023"/>
        <v>0</v>
      </c>
      <c r="EI291" s="336">
        <f t="shared" si="2024"/>
        <v>0</v>
      </c>
      <c r="EJ291" s="336">
        <f t="shared" si="2025"/>
        <v>0</v>
      </c>
      <c r="EK291" s="336">
        <f t="shared" si="2026"/>
        <v>0</v>
      </c>
      <c r="EL291" s="336">
        <f t="shared" si="2027"/>
        <v>0</v>
      </c>
      <c r="EM291" s="336">
        <f t="shared" si="2028"/>
        <v>0</v>
      </c>
      <c r="EN291" s="336">
        <f t="shared" si="2029"/>
        <v>0</v>
      </c>
      <c r="EO291" s="336">
        <f t="shared" si="2030"/>
        <v>0</v>
      </c>
      <c r="EP291" s="336">
        <f t="shared" si="2031"/>
        <v>0</v>
      </c>
      <c r="EQ291" s="336">
        <f t="shared" si="2032"/>
        <v>0</v>
      </c>
      <c r="ER291" s="336">
        <f t="shared" si="2033"/>
        <v>0</v>
      </c>
      <c r="ES291" s="336">
        <f t="shared" si="2034"/>
        <v>0</v>
      </c>
      <c r="ET291" s="336">
        <f t="shared" si="2034"/>
        <v>0</v>
      </c>
      <c r="EU291" s="336">
        <f t="shared" si="2035"/>
        <v>0</v>
      </c>
      <c r="EV291" s="336">
        <f t="shared" si="2036"/>
        <v>0</v>
      </c>
      <c r="EW291" s="336">
        <f t="shared" si="2037"/>
        <v>0</v>
      </c>
      <c r="EX291" s="336">
        <f t="shared" si="2038"/>
        <v>0</v>
      </c>
      <c r="EY291" s="336">
        <f t="shared" si="2039"/>
        <v>0</v>
      </c>
      <c r="EZ291" s="336">
        <f t="shared" si="2040"/>
        <v>0</v>
      </c>
      <c r="FA291" s="336">
        <f t="shared" si="2041"/>
        <v>0</v>
      </c>
      <c r="FB291" s="336">
        <f t="shared" si="2042"/>
        <v>0</v>
      </c>
      <c r="FC291" s="336">
        <f t="shared" si="2043"/>
        <v>0</v>
      </c>
      <c r="FD291" s="336">
        <f t="shared" si="2044"/>
        <v>0</v>
      </c>
      <c r="FE291" s="336">
        <f t="shared" si="2045"/>
        <v>0</v>
      </c>
      <c r="FF291" s="336">
        <f t="shared" si="2046"/>
        <v>0</v>
      </c>
      <c r="FG291" s="336">
        <f t="shared" si="2047"/>
        <v>0</v>
      </c>
      <c r="FH291" s="336">
        <f t="shared" si="2048"/>
        <v>0</v>
      </c>
      <c r="FI291" s="336">
        <f t="shared" si="2049"/>
        <v>0</v>
      </c>
      <c r="FJ291" s="336">
        <f t="shared" si="2050"/>
        <v>0</v>
      </c>
      <c r="FK291" s="336">
        <f t="shared" si="2051"/>
        <v>0</v>
      </c>
      <c r="FL291" s="336">
        <f t="shared" si="2052"/>
        <v>0</v>
      </c>
      <c r="FM291" s="336">
        <f t="shared" si="2053"/>
        <v>0</v>
      </c>
      <c r="FN291" s="336">
        <f t="shared" si="2054"/>
        <v>0</v>
      </c>
      <c r="FO291" s="336">
        <f t="shared" si="2055"/>
        <v>0</v>
      </c>
      <c r="FP291" s="336">
        <f t="shared" si="2056"/>
        <v>0</v>
      </c>
      <c r="FQ291" s="336">
        <f t="shared" si="2057"/>
        <v>0</v>
      </c>
      <c r="FR291" s="336">
        <f t="shared" si="2058"/>
        <v>0</v>
      </c>
      <c r="FS291" s="336">
        <f t="shared" si="2059"/>
        <v>0</v>
      </c>
      <c r="FT291" s="336">
        <f t="shared" si="2060"/>
        <v>0</v>
      </c>
      <c r="FU291" s="336">
        <f t="shared" si="1980"/>
        <v>0</v>
      </c>
      <c r="FV291" s="336">
        <f t="shared" si="1981"/>
        <v>0</v>
      </c>
      <c r="FW291" s="336">
        <f t="shared" si="1982"/>
        <v>0</v>
      </c>
      <c r="FX291" s="336">
        <f t="shared" si="1983"/>
        <v>0</v>
      </c>
      <c r="FY291" s="336">
        <f t="shared" si="2061"/>
        <v>0</v>
      </c>
      <c r="FZ291" s="336">
        <f t="shared" si="2062"/>
        <v>0</v>
      </c>
      <c r="GA291" s="336">
        <f t="shared" si="2063"/>
        <v>0</v>
      </c>
      <c r="GB291" s="336">
        <f t="shared" si="2064"/>
        <v>0</v>
      </c>
      <c r="GC291" s="336">
        <f t="shared" si="2065"/>
        <v>0</v>
      </c>
      <c r="GD291" s="336">
        <f t="shared" si="2066"/>
        <v>0</v>
      </c>
      <c r="GE291" s="336">
        <f t="shared" si="2067"/>
        <v>0</v>
      </c>
      <c r="GF291" s="336">
        <f t="shared" si="2068"/>
        <v>0</v>
      </c>
      <c r="GG291" s="336">
        <f t="shared" si="2069"/>
        <v>0</v>
      </c>
      <c r="GH291" s="336">
        <f t="shared" si="2070"/>
        <v>0</v>
      </c>
      <c r="GI291" s="336">
        <f t="shared" si="2071"/>
        <v>0</v>
      </c>
      <c r="GJ291" s="336">
        <f t="shared" si="2072"/>
        <v>0</v>
      </c>
      <c r="GK291" s="336">
        <f t="shared" si="1988"/>
        <v>0</v>
      </c>
      <c r="GL291" s="336">
        <f t="shared" si="1984"/>
        <v>0</v>
      </c>
      <c r="GM291" s="336">
        <f t="shared" si="2073"/>
        <v>0</v>
      </c>
    </row>
    <row r="292" spans="1:195" ht="32.25" customHeight="1">
      <c r="A292" s="337">
        <f t="shared" si="2096"/>
        <v>191</v>
      </c>
      <c r="B292" s="526" t="s">
        <v>615</v>
      </c>
      <c r="C292" s="337" t="s">
        <v>621</v>
      </c>
      <c r="D292" s="372" t="s">
        <v>622</v>
      </c>
      <c r="E292" s="500" t="s">
        <v>335</v>
      </c>
      <c r="F292" s="570"/>
      <c r="G292" s="340" t="s">
        <v>337</v>
      </c>
      <c r="H292" s="350">
        <v>1600</v>
      </c>
      <c r="I292" s="337" t="s">
        <v>414</v>
      </c>
      <c r="J292" s="337" t="s">
        <v>331</v>
      </c>
      <c r="K292" s="349">
        <v>400</v>
      </c>
      <c r="L292" s="343">
        <v>0.84664865012052015</v>
      </c>
      <c r="M292" s="350">
        <v>0.92832394366197268</v>
      </c>
      <c r="N292" s="342">
        <f t="shared" si="2075"/>
        <v>2487.7833195389812</v>
      </c>
      <c r="O292" s="926"/>
      <c r="P292" s="927"/>
      <c r="Q292" s="927"/>
      <c r="R292" s="927"/>
      <c r="S292" s="927"/>
      <c r="T292" s="927"/>
      <c r="U292" s="927"/>
      <c r="V292" s="927"/>
      <c r="W292" s="927"/>
      <c r="X292" s="927"/>
      <c r="Y292" s="927"/>
      <c r="Z292" s="927"/>
      <c r="AA292" s="927"/>
      <c r="AB292" s="927"/>
      <c r="AC292" s="1022"/>
      <c r="AD292" s="1022"/>
      <c r="AE292" s="1022"/>
      <c r="AF292" s="1022"/>
      <c r="AG292" s="1022"/>
      <c r="AH292" s="927"/>
      <c r="AI292" s="927"/>
      <c r="AJ292" s="927"/>
      <c r="AK292" s="927"/>
      <c r="AL292" s="927"/>
      <c r="AM292" s="927"/>
      <c r="AN292" s="927"/>
      <c r="AO292" s="927"/>
      <c r="AP292" s="927"/>
      <c r="AQ292" s="927"/>
      <c r="AR292" s="927"/>
      <c r="AS292" s="927"/>
      <c r="AT292" s="927"/>
      <c r="AU292" s="927"/>
      <c r="AV292" s="927"/>
      <c r="AW292" s="927"/>
      <c r="AX292" s="927"/>
      <c r="AY292" s="927"/>
      <c r="AZ292" s="927"/>
      <c r="BA292" s="927"/>
      <c r="BB292" s="927"/>
      <c r="BC292" s="1020"/>
      <c r="BE292" s="336"/>
      <c r="BF292" s="336"/>
      <c r="BG292" s="336"/>
      <c r="BH292" s="336"/>
      <c r="BI292" s="336"/>
      <c r="BJ292" s="336"/>
      <c r="BK292" s="336"/>
      <c r="BL292" s="336"/>
      <c r="BM292" s="336"/>
      <c r="BN292" s="336"/>
      <c r="BO292" s="336"/>
      <c r="BP292" s="336"/>
      <c r="BQ292" s="336"/>
      <c r="BR292" s="336"/>
      <c r="BS292" s="336"/>
      <c r="BT292" s="336"/>
      <c r="BU292" s="336"/>
      <c r="BV292" s="336"/>
      <c r="BW292" s="336"/>
      <c r="BX292" s="336"/>
      <c r="BY292" s="336"/>
      <c r="BZ292" s="336"/>
      <c r="CA292" s="336"/>
      <c r="CB292" s="336"/>
      <c r="CC292" s="336"/>
      <c r="CD292" s="336"/>
      <c r="CE292" s="336"/>
      <c r="CF292" s="336"/>
      <c r="CG292" s="336"/>
      <c r="CH292" s="336"/>
      <c r="CI292" s="336"/>
      <c r="CJ292" s="336"/>
      <c r="CK292" s="336"/>
      <c r="CL292" s="336"/>
      <c r="CM292" s="336"/>
      <c r="CN292" s="336"/>
      <c r="CO292" s="336"/>
      <c r="CP292" s="336"/>
      <c r="CQ292" s="336"/>
      <c r="CR292" s="336"/>
      <c r="CS292" s="336"/>
      <c r="CT292" s="336"/>
      <c r="CU292" s="336"/>
      <c r="CV292" s="336"/>
      <c r="CW292" s="336"/>
      <c r="CX292" s="336"/>
      <c r="CY292" s="336"/>
      <c r="CZ292" s="336"/>
      <c r="DA292" s="336"/>
      <c r="DB292" s="336"/>
      <c r="DC292" s="336"/>
      <c r="DD292" s="336"/>
      <c r="DE292" s="336"/>
      <c r="DF292" s="336"/>
      <c r="DG292" s="336"/>
      <c r="DH292" s="336"/>
      <c r="DI292" s="336"/>
      <c r="DJ292" s="336"/>
      <c r="DK292" s="336"/>
      <c r="DL292" s="336"/>
      <c r="DM292" s="336"/>
      <c r="DN292" s="336"/>
      <c r="DO292" s="336"/>
      <c r="DP292" s="336"/>
      <c r="DQ292" s="336"/>
      <c r="DR292" s="336"/>
      <c r="DS292" s="336"/>
      <c r="DT292" s="336"/>
      <c r="DU292" s="336"/>
      <c r="DW292" s="336">
        <f t="shared" si="2108"/>
        <v>0</v>
      </c>
      <c r="DX292" s="336">
        <f t="shared" si="2102"/>
        <v>0</v>
      </c>
      <c r="DY292" s="336">
        <f t="shared" si="2103"/>
        <v>0</v>
      </c>
      <c r="DZ292" s="336">
        <f t="shared" si="2104"/>
        <v>0</v>
      </c>
      <c r="EA292" s="336">
        <f t="shared" si="2105"/>
        <v>0</v>
      </c>
      <c r="EB292" s="336">
        <f t="shared" si="2106"/>
        <v>0</v>
      </c>
      <c r="EC292" s="336">
        <f t="shared" si="2107"/>
        <v>0</v>
      </c>
      <c r="ED292" s="336">
        <f t="shared" si="2019"/>
        <v>0</v>
      </c>
      <c r="EE292" s="336">
        <f t="shared" si="2020"/>
        <v>0</v>
      </c>
      <c r="EF292" s="336">
        <f t="shared" si="2021"/>
        <v>0</v>
      </c>
      <c r="EG292" s="336">
        <f t="shared" si="2022"/>
        <v>0</v>
      </c>
      <c r="EH292" s="336">
        <f t="shared" si="2023"/>
        <v>0</v>
      </c>
      <c r="EI292" s="336">
        <f t="shared" si="2024"/>
        <v>0</v>
      </c>
      <c r="EJ292" s="336">
        <f t="shared" si="2025"/>
        <v>0</v>
      </c>
      <c r="EK292" s="336">
        <f t="shared" si="2026"/>
        <v>0</v>
      </c>
      <c r="EL292" s="336">
        <f t="shared" si="2027"/>
        <v>0</v>
      </c>
      <c r="EM292" s="336">
        <f t="shared" si="2028"/>
        <v>0</v>
      </c>
      <c r="EN292" s="336">
        <f t="shared" si="2029"/>
        <v>0</v>
      </c>
      <c r="EO292" s="336">
        <f t="shared" si="2030"/>
        <v>0</v>
      </c>
      <c r="EP292" s="336">
        <f t="shared" si="2031"/>
        <v>0</v>
      </c>
      <c r="EQ292" s="336">
        <f t="shared" si="2032"/>
        <v>0</v>
      </c>
      <c r="ER292" s="336">
        <f t="shared" si="2033"/>
        <v>0</v>
      </c>
      <c r="ES292" s="336">
        <f t="shared" si="2034"/>
        <v>0</v>
      </c>
      <c r="ET292" s="336">
        <f t="shared" si="2034"/>
        <v>0</v>
      </c>
      <c r="EU292" s="336">
        <f t="shared" si="2035"/>
        <v>0</v>
      </c>
      <c r="EV292" s="336">
        <f t="shared" si="2036"/>
        <v>0</v>
      </c>
      <c r="EW292" s="336">
        <f t="shared" si="2037"/>
        <v>0</v>
      </c>
      <c r="EX292" s="336">
        <f t="shared" si="2038"/>
        <v>0</v>
      </c>
      <c r="EY292" s="336">
        <f t="shared" si="2039"/>
        <v>0</v>
      </c>
      <c r="EZ292" s="336">
        <f t="shared" si="2040"/>
        <v>0</v>
      </c>
      <c r="FA292" s="336">
        <f t="shared" si="2041"/>
        <v>0</v>
      </c>
      <c r="FB292" s="336">
        <f t="shared" si="2042"/>
        <v>0</v>
      </c>
      <c r="FC292" s="336">
        <f t="shared" si="2043"/>
        <v>0</v>
      </c>
      <c r="FD292" s="336">
        <f t="shared" si="2044"/>
        <v>0</v>
      </c>
      <c r="FE292" s="336">
        <f t="shared" si="2045"/>
        <v>0</v>
      </c>
      <c r="FF292" s="336">
        <f t="shared" si="2046"/>
        <v>0</v>
      </c>
      <c r="FG292" s="336">
        <f t="shared" si="2047"/>
        <v>0</v>
      </c>
      <c r="FH292" s="336">
        <f t="shared" si="2048"/>
        <v>0</v>
      </c>
      <c r="FI292" s="336">
        <f t="shared" si="2049"/>
        <v>0</v>
      </c>
      <c r="FJ292" s="336">
        <f t="shared" si="2050"/>
        <v>0</v>
      </c>
      <c r="FK292" s="336">
        <f t="shared" si="2051"/>
        <v>0</v>
      </c>
      <c r="FL292" s="336">
        <f t="shared" si="2052"/>
        <v>0</v>
      </c>
      <c r="FM292" s="336">
        <f t="shared" si="2053"/>
        <v>0</v>
      </c>
      <c r="FN292" s="336">
        <f t="shared" si="2054"/>
        <v>0</v>
      </c>
      <c r="FO292" s="336">
        <f t="shared" si="2055"/>
        <v>0</v>
      </c>
      <c r="FP292" s="336">
        <f t="shared" si="2056"/>
        <v>0</v>
      </c>
      <c r="FQ292" s="336">
        <f t="shared" si="2057"/>
        <v>0</v>
      </c>
      <c r="FR292" s="336">
        <f t="shared" si="2058"/>
        <v>0</v>
      </c>
      <c r="FS292" s="336">
        <f t="shared" si="2059"/>
        <v>0</v>
      </c>
      <c r="FT292" s="336">
        <f t="shared" si="2060"/>
        <v>0</v>
      </c>
      <c r="FU292" s="336">
        <f t="shared" si="1980"/>
        <v>0</v>
      </c>
      <c r="FV292" s="336">
        <f t="shared" si="1981"/>
        <v>0</v>
      </c>
      <c r="FW292" s="336">
        <f t="shared" si="1982"/>
        <v>0</v>
      </c>
      <c r="FX292" s="336">
        <f t="shared" si="1983"/>
        <v>0</v>
      </c>
      <c r="FY292" s="336">
        <f t="shared" si="2061"/>
        <v>0</v>
      </c>
      <c r="FZ292" s="336">
        <f t="shared" si="2062"/>
        <v>0</v>
      </c>
      <c r="GA292" s="336">
        <f t="shared" si="2063"/>
        <v>0</v>
      </c>
      <c r="GB292" s="336">
        <f t="shared" si="2064"/>
        <v>0</v>
      </c>
      <c r="GC292" s="336">
        <f t="shared" si="2065"/>
        <v>0</v>
      </c>
      <c r="GD292" s="336">
        <f t="shared" si="2066"/>
        <v>0</v>
      </c>
      <c r="GE292" s="336">
        <f t="shared" si="2067"/>
        <v>0</v>
      </c>
      <c r="GF292" s="336">
        <f t="shared" si="2068"/>
        <v>0</v>
      </c>
      <c r="GG292" s="336">
        <f t="shared" si="2069"/>
        <v>0</v>
      </c>
      <c r="GH292" s="336">
        <f t="shared" si="2070"/>
        <v>0</v>
      </c>
      <c r="GI292" s="336">
        <f t="shared" si="2071"/>
        <v>0</v>
      </c>
      <c r="GJ292" s="336">
        <f t="shared" si="2072"/>
        <v>0</v>
      </c>
      <c r="GK292" s="336">
        <f t="shared" si="1988"/>
        <v>0</v>
      </c>
      <c r="GL292" s="336">
        <f t="shared" si="1984"/>
        <v>0</v>
      </c>
      <c r="GM292" s="336">
        <f t="shared" si="2073"/>
        <v>0</v>
      </c>
    </row>
    <row r="293" spans="1:195" s="76" customFormat="1" ht="22.5" customHeight="1">
      <c r="A293" s="531"/>
      <c r="B293" s="531"/>
      <c r="C293" s="531"/>
      <c r="D293" s="330" t="s">
        <v>741</v>
      </c>
      <c r="E293" s="533"/>
      <c r="F293" s="857"/>
      <c r="G293" s="531"/>
      <c r="H293" s="534"/>
      <c r="I293" s="531"/>
      <c r="J293" s="531"/>
      <c r="K293" s="535"/>
      <c r="L293" s="536"/>
      <c r="M293" s="534"/>
      <c r="N293" s="537"/>
      <c r="O293" s="537"/>
      <c r="P293" s="536"/>
      <c r="Q293" s="534"/>
      <c r="R293" s="534"/>
      <c r="S293" s="534"/>
      <c r="T293" s="536"/>
      <c r="U293" s="534"/>
      <c r="V293" s="536"/>
      <c r="W293" s="536"/>
      <c r="X293" s="536"/>
      <c r="Y293" s="536"/>
      <c r="Z293" s="538"/>
      <c r="AA293" s="539"/>
      <c r="AB293" s="539"/>
      <c r="AC293" s="861"/>
      <c r="AD293" s="861"/>
      <c r="AE293" s="861"/>
      <c r="AF293" s="861"/>
      <c r="AG293" s="861"/>
      <c r="AH293" s="540"/>
      <c r="AI293" s="538"/>
      <c r="AJ293" s="537"/>
      <c r="AK293" s="538"/>
      <c r="AL293" s="538"/>
      <c r="AM293" s="538"/>
      <c r="AN293" s="541"/>
      <c r="AO293" s="534"/>
      <c r="AP293" s="535"/>
      <c r="AQ293" s="534"/>
      <c r="AR293" s="541"/>
      <c r="AS293" s="536"/>
      <c r="AT293" s="541"/>
      <c r="AU293" s="541"/>
      <c r="AV293" s="542"/>
      <c r="AW293" s="542"/>
      <c r="AX293" s="536"/>
      <c r="AY293" s="543"/>
      <c r="AZ293" s="543"/>
      <c r="BA293" s="536"/>
      <c r="BB293" s="536"/>
      <c r="BC293" s="536"/>
      <c r="BE293" s="536"/>
      <c r="BF293" s="536"/>
      <c r="BG293" s="536"/>
      <c r="BH293" s="536"/>
      <c r="BI293" s="536"/>
      <c r="BJ293" s="536"/>
      <c r="BK293" s="536"/>
      <c r="BL293" s="536"/>
      <c r="BM293" s="536"/>
      <c r="BN293" s="536"/>
      <c r="BO293" s="536"/>
      <c r="BP293" s="536"/>
      <c r="BQ293" s="536"/>
      <c r="BR293" s="536"/>
      <c r="BS293" s="536"/>
      <c r="BT293" s="536"/>
      <c r="BU293" s="536"/>
      <c r="BV293" s="536"/>
      <c r="BW293" s="536"/>
      <c r="BX293" s="536"/>
      <c r="BY293" s="536"/>
      <c r="BZ293" s="536"/>
      <c r="CA293" s="536"/>
      <c r="CB293" s="536"/>
      <c r="CC293" s="536"/>
      <c r="CD293" s="536"/>
      <c r="CE293" s="536"/>
      <c r="CF293" s="536"/>
      <c r="CG293" s="536"/>
      <c r="CH293" s="536"/>
      <c r="CI293" s="536"/>
      <c r="CJ293" s="536"/>
      <c r="CK293" s="536"/>
      <c r="CL293" s="536"/>
      <c r="CM293" s="536"/>
      <c r="CN293" s="536"/>
      <c r="CO293" s="536"/>
      <c r="CP293" s="536"/>
      <c r="CQ293" s="536"/>
      <c r="CR293" s="536"/>
      <c r="CS293" s="536"/>
      <c r="CT293" s="536"/>
      <c r="CU293" s="536"/>
      <c r="CV293" s="536"/>
      <c r="CW293" s="536"/>
      <c r="CX293" s="536"/>
      <c r="CY293" s="536"/>
      <c r="CZ293" s="536"/>
      <c r="DA293" s="536"/>
      <c r="DB293" s="536"/>
      <c r="DC293" s="536"/>
      <c r="DD293" s="536"/>
      <c r="DE293" s="536"/>
      <c r="DF293" s="536"/>
      <c r="DG293" s="536"/>
      <c r="DH293" s="536"/>
      <c r="DI293" s="536"/>
      <c r="DJ293" s="536"/>
      <c r="DK293" s="536"/>
      <c r="DL293" s="536"/>
      <c r="DM293" s="536"/>
      <c r="DN293" s="536"/>
      <c r="DO293" s="536"/>
      <c r="DP293" s="536"/>
      <c r="DQ293" s="536"/>
      <c r="DR293" s="536"/>
      <c r="DS293" s="536"/>
      <c r="DT293" s="536"/>
      <c r="DU293" s="536"/>
      <c r="DV293" s="61"/>
      <c r="DW293" s="336">
        <f t="shared" si="2108"/>
        <v>0</v>
      </c>
      <c r="DX293" s="336">
        <f t="shared" si="2102"/>
        <v>0</v>
      </c>
      <c r="DY293" s="336">
        <f t="shared" si="2103"/>
        <v>0</v>
      </c>
      <c r="DZ293" s="336">
        <f t="shared" si="2104"/>
        <v>0</v>
      </c>
      <c r="EA293" s="336">
        <f t="shared" si="2105"/>
        <v>0</v>
      </c>
      <c r="EB293" s="336">
        <f t="shared" si="2106"/>
        <v>0</v>
      </c>
      <c r="EC293" s="336">
        <f t="shared" si="2107"/>
        <v>0</v>
      </c>
      <c r="ED293" s="336">
        <f t="shared" si="2019"/>
        <v>0</v>
      </c>
      <c r="EE293" s="336">
        <f t="shared" si="2020"/>
        <v>0</v>
      </c>
      <c r="EF293" s="336">
        <f t="shared" si="2021"/>
        <v>0</v>
      </c>
      <c r="EG293" s="336">
        <f t="shared" si="2022"/>
        <v>0</v>
      </c>
      <c r="EH293" s="336">
        <f t="shared" si="2023"/>
        <v>0</v>
      </c>
      <c r="EI293" s="336">
        <f t="shared" si="2024"/>
        <v>0</v>
      </c>
      <c r="EJ293" s="336">
        <f t="shared" si="2025"/>
        <v>0</v>
      </c>
      <c r="EK293" s="336">
        <f t="shared" si="2026"/>
        <v>0</v>
      </c>
      <c r="EL293" s="336">
        <f t="shared" si="2027"/>
        <v>0</v>
      </c>
      <c r="EM293" s="336">
        <f t="shared" si="2028"/>
        <v>0</v>
      </c>
      <c r="EN293" s="336">
        <f t="shared" si="2029"/>
        <v>0</v>
      </c>
      <c r="EO293" s="336">
        <f t="shared" si="2030"/>
        <v>0</v>
      </c>
      <c r="EP293" s="336">
        <f t="shared" si="2031"/>
        <v>0</v>
      </c>
      <c r="EQ293" s="336">
        <f t="shared" si="2032"/>
        <v>0</v>
      </c>
      <c r="ER293" s="336">
        <f t="shared" si="2033"/>
        <v>0</v>
      </c>
      <c r="ES293" s="336">
        <f t="shared" si="2034"/>
        <v>0</v>
      </c>
      <c r="ET293" s="336">
        <f t="shared" si="2034"/>
        <v>0</v>
      </c>
      <c r="EU293" s="336">
        <f t="shared" si="2035"/>
        <v>0</v>
      </c>
      <c r="EV293" s="336">
        <f t="shared" si="2036"/>
        <v>0</v>
      </c>
      <c r="EW293" s="336">
        <f t="shared" si="2037"/>
        <v>0</v>
      </c>
      <c r="EX293" s="336">
        <f t="shared" si="2038"/>
        <v>0</v>
      </c>
      <c r="EY293" s="336">
        <f t="shared" si="2039"/>
        <v>0</v>
      </c>
      <c r="EZ293" s="336">
        <f t="shared" si="2040"/>
        <v>0</v>
      </c>
      <c r="FA293" s="336">
        <f t="shared" si="2041"/>
        <v>0</v>
      </c>
      <c r="FB293" s="336">
        <f t="shared" si="2042"/>
        <v>0</v>
      </c>
      <c r="FC293" s="336">
        <f t="shared" si="2043"/>
        <v>0</v>
      </c>
      <c r="FD293" s="336">
        <f t="shared" si="2044"/>
        <v>0</v>
      </c>
      <c r="FE293" s="336">
        <f t="shared" si="2045"/>
        <v>0</v>
      </c>
      <c r="FF293" s="336">
        <f t="shared" si="2046"/>
        <v>0</v>
      </c>
      <c r="FG293" s="336">
        <f t="shared" si="2047"/>
        <v>0</v>
      </c>
      <c r="FH293" s="336">
        <f t="shared" si="2048"/>
        <v>0</v>
      </c>
      <c r="FI293" s="336">
        <f t="shared" si="2049"/>
        <v>0</v>
      </c>
      <c r="FJ293" s="336">
        <f t="shared" si="2050"/>
        <v>0</v>
      </c>
      <c r="FK293" s="336">
        <f t="shared" si="2051"/>
        <v>0</v>
      </c>
      <c r="FL293" s="336">
        <f t="shared" si="2052"/>
        <v>0</v>
      </c>
      <c r="FM293" s="336">
        <f t="shared" si="2053"/>
        <v>0</v>
      </c>
      <c r="FN293" s="336">
        <f t="shared" si="2054"/>
        <v>0</v>
      </c>
      <c r="FO293" s="492">
        <f t="shared" si="2055"/>
        <v>0</v>
      </c>
      <c r="FP293" s="492">
        <f t="shared" si="2056"/>
        <v>0</v>
      </c>
      <c r="FQ293" s="492">
        <f t="shared" si="2057"/>
        <v>0</v>
      </c>
      <c r="FR293" s="492">
        <f t="shared" si="2058"/>
        <v>0</v>
      </c>
      <c r="FS293" s="492">
        <f t="shared" si="2059"/>
        <v>0</v>
      </c>
      <c r="FT293" s="492">
        <f t="shared" si="2060"/>
        <v>0</v>
      </c>
      <c r="FU293" s="336">
        <f t="shared" si="1980"/>
        <v>0</v>
      </c>
      <c r="FV293" s="336">
        <f t="shared" si="1981"/>
        <v>0</v>
      </c>
      <c r="FW293" s="336">
        <f t="shared" si="1982"/>
        <v>0</v>
      </c>
      <c r="FX293" s="336">
        <f t="shared" si="1983"/>
        <v>0</v>
      </c>
      <c r="FY293" s="492">
        <f t="shared" si="2061"/>
        <v>0</v>
      </c>
      <c r="FZ293" s="492">
        <f t="shared" si="2062"/>
        <v>0</v>
      </c>
      <c r="GA293" s="492">
        <f t="shared" si="2063"/>
        <v>0</v>
      </c>
      <c r="GB293" s="492">
        <f t="shared" si="2064"/>
        <v>0</v>
      </c>
      <c r="GC293" s="492">
        <f t="shared" si="2065"/>
        <v>0</v>
      </c>
      <c r="GD293" s="492">
        <f t="shared" si="2066"/>
        <v>0</v>
      </c>
      <c r="GE293" s="492">
        <f t="shared" si="2067"/>
        <v>0</v>
      </c>
      <c r="GF293" s="492">
        <f t="shared" si="2068"/>
        <v>0</v>
      </c>
      <c r="GG293" s="492">
        <f t="shared" si="2069"/>
        <v>0</v>
      </c>
      <c r="GH293" s="492">
        <f t="shared" si="2070"/>
        <v>0</v>
      </c>
      <c r="GI293" s="492">
        <f t="shared" si="2071"/>
        <v>0</v>
      </c>
      <c r="GJ293" s="492">
        <f t="shared" si="2072"/>
        <v>0</v>
      </c>
      <c r="GK293" s="492">
        <f t="shared" si="1988"/>
        <v>0</v>
      </c>
      <c r="GL293" s="336">
        <f t="shared" si="1984"/>
        <v>0</v>
      </c>
      <c r="GM293" s="492">
        <f t="shared" si="2073"/>
        <v>0</v>
      </c>
    </row>
    <row r="294" spans="1:195" s="76" customFormat="1" ht="26.25" customHeight="1">
      <c r="A294" s="373"/>
      <c r="B294" s="373"/>
      <c r="C294" s="373"/>
      <c r="D294" s="508" t="s">
        <v>742</v>
      </c>
      <c r="E294" s="509"/>
      <c r="F294" s="572"/>
      <c r="G294" s="373"/>
      <c r="H294" s="382"/>
      <c r="I294" s="373"/>
      <c r="J294" s="373"/>
      <c r="K294" s="381"/>
      <c r="L294" s="376"/>
      <c r="M294" s="382"/>
      <c r="N294" s="375"/>
      <c r="O294" s="375"/>
      <c r="P294" s="376"/>
      <c r="Q294" s="382"/>
      <c r="R294" s="382"/>
      <c r="S294" s="382"/>
      <c r="T294" s="376"/>
      <c r="U294" s="382"/>
      <c r="V294" s="376"/>
      <c r="W294" s="376"/>
      <c r="X294" s="376"/>
      <c r="Y294" s="376"/>
      <c r="Z294" s="377"/>
      <c r="AA294" s="378"/>
      <c r="AB294" s="378"/>
      <c r="AC294" s="378"/>
      <c r="AD294" s="378"/>
      <c r="AE294" s="378"/>
      <c r="AF294" s="378"/>
      <c r="AG294" s="378"/>
      <c r="AH294" s="378"/>
      <c r="AI294" s="377"/>
      <c r="AJ294" s="375"/>
      <c r="AK294" s="377"/>
      <c r="AL294" s="377"/>
      <c r="AM294" s="377"/>
      <c r="AN294" s="383"/>
      <c r="AO294" s="382"/>
      <c r="AP294" s="381"/>
      <c r="AQ294" s="382"/>
      <c r="AR294" s="383"/>
      <c r="AS294" s="376"/>
      <c r="AT294" s="383"/>
      <c r="AU294" s="383"/>
      <c r="AV294" s="384"/>
      <c r="AW294" s="384"/>
      <c r="AX294" s="376"/>
      <c r="AY294" s="385"/>
      <c r="AZ294" s="385"/>
      <c r="BA294" s="513"/>
      <c r="BB294" s="513"/>
      <c r="BC294" s="513"/>
      <c r="BE294" s="513"/>
      <c r="BF294" s="513"/>
      <c r="BG294" s="513"/>
      <c r="BH294" s="513"/>
      <c r="BI294" s="513"/>
      <c r="BJ294" s="513"/>
      <c r="BK294" s="513"/>
      <c r="BL294" s="513"/>
      <c r="BM294" s="513"/>
      <c r="BN294" s="513"/>
      <c r="BO294" s="513"/>
      <c r="BP294" s="513"/>
      <c r="BQ294" s="513"/>
      <c r="BR294" s="513"/>
      <c r="BS294" s="513"/>
      <c r="BT294" s="513"/>
      <c r="BU294" s="513"/>
      <c r="BV294" s="513"/>
      <c r="BW294" s="513"/>
      <c r="BX294" s="513"/>
      <c r="BY294" s="513"/>
      <c r="BZ294" s="513"/>
      <c r="CA294" s="513"/>
      <c r="CB294" s="513"/>
      <c r="CC294" s="513"/>
      <c r="CD294" s="513"/>
      <c r="CE294" s="513"/>
      <c r="CF294" s="513"/>
      <c r="CG294" s="513"/>
      <c r="CH294" s="513"/>
      <c r="CI294" s="513"/>
      <c r="CJ294" s="513"/>
      <c r="CK294" s="513"/>
      <c r="CL294" s="513"/>
      <c r="CM294" s="513"/>
      <c r="CN294" s="513"/>
      <c r="CO294" s="513"/>
      <c r="CP294" s="513"/>
      <c r="CQ294" s="513"/>
      <c r="CR294" s="513"/>
      <c r="CS294" s="513"/>
      <c r="CT294" s="513"/>
      <c r="CU294" s="513"/>
      <c r="CV294" s="513"/>
      <c r="CW294" s="513"/>
      <c r="CX294" s="513"/>
      <c r="CY294" s="513"/>
      <c r="CZ294" s="513"/>
      <c r="DA294" s="513"/>
      <c r="DB294" s="513"/>
      <c r="DC294" s="513"/>
      <c r="DD294" s="513"/>
      <c r="DE294" s="513"/>
      <c r="DF294" s="513"/>
      <c r="DG294" s="513"/>
      <c r="DH294" s="513"/>
      <c r="DI294" s="513"/>
      <c r="DJ294" s="513"/>
      <c r="DK294" s="513"/>
      <c r="DL294" s="513"/>
      <c r="DM294" s="513"/>
      <c r="DN294" s="513"/>
      <c r="DO294" s="513"/>
      <c r="DP294" s="513"/>
      <c r="DQ294" s="513"/>
      <c r="DR294" s="513"/>
      <c r="DS294" s="513"/>
      <c r="DT294" s="513"/>
      <c r="DU294" s="513"/>
      <c r="DV294" s="61"/>
      <c r="DW294" s="336">
        <f t="shared" si="2108"/>
        <v>0</v>
      </c>
      <c r="DX294" s="336">
        <f t="shared" si="2102"/>
        <v>0</v>
      </c>
      <c r="DY294" s="336">
        <f t="shared" si="2103"/>
        <v>0</v>
      </c>
      <c r="DZ294" s="336">
        <f t="shared" si="2104"/>
        <v>0</v>
      </c>
      <c r="EA294" s="336">
        <f t="shared" si="2105"/>
        <v>0</v>
      </c>
      <c r="EB294" s="336">
        <f t="shared" si="2106"/>
        <v>0</v>
      </c>
      <c r="EC294" s="336">
        <f t="shared" si="2107"/>
        <v>0</v>
      </c>
      <c r="ED294" s="336">
        <f t="shared" si="2019"/>
        <v>0</v>
      </c>
      <c r="EE294" s="336">
        <f t="shared" si="2020"/>
        <v>0</v>
      </c>
      <c r="EF294" s="336">
        <f t="shared" si="2021"/>
        <v>0</v>
      </c>
      <c r="EG294" s="336">
        <f t="shared" si="2022"/>
        <v>0</v>
      </c>
      <c r="EH294" s="336">
        <f t="shared" si="2023"/>
        <v>0</v>
      </c>
      <c r="EI294" s="336">
        <f t="shared" si="2024"/>
        <v>0</v>
      </c>
      <c r="EJ294" s="336">
        <f t="shared" si="2025"/>
        <v>0</v>
      </c>
      <c r="EK294" s="336">
        <f t="shared" si="2026"/>
        <v>0</v>
      </c>
      <c r="EL294" s="336">
        <f t="shared" si="2027"/>
        <v>0</v>
      </c>
      <c r="EM294" s="336">
        <f t="shared" si="2028"/>
        <v>0</v>
      </c>
      <c r="EN294" s="336">
        <f t="shared" si="2029"/>
        <v>0</v>
      </c>
      <c r="EO294" s="336">
        <f t="shared" si="2030"/>
        <v>0</v>
      </c>
      <c r="EP294" s="336">
        <f t="shared" si="2031"/>
        <v>0</v>
      </c>
      <c r="EQ294" s="336">
        <f t="shared" si="2032"/>
        <v>0</v>
      </c>
      <c r="ER294" s="336">
        <f t="shared" si="2033"/>
        <v>0</v>
      </c>
      <c r="ES294" s="336">
        <f t="shared" si="2034"/>
        <v>0</v>
      </c>
      <c r="ET294" s="336">
        <f t="shared" si="2034"/>
        <v>0</v>
      </c>
      <c r="EU294" s="336">
        <f t="shared" si="2035"/>
        <v>0</v>
      </c>
      <c r="EV294" s="336">
        <f t="shared" si="2036"/>
        <v>0</v>
      </c>
      <c r="EW294" s="336">
        <f t="shared" si="2037"/>
        <v>0</v>
      </c>
      <c r="EX294" s="336">
        <f t="shared" si="2038"/>
        <v>0</v>
      </c>
      <c r="EY294" s="336">
        <f t="shared" si="2039"/>
        <v>0</v>
      </c>
      <c r="EZ294" s="336">
        <f t="shared" si="2040"/>
        <v>0</v>
      </c>
      <c r="FA294" s="336">
        <f t="shared" si="2041"/>
        <v>0</v>
      </c>
      <c r="FB294" s="336">
        <f t="shared" si="2042"/>
        <v>0</v>
      </c>
      <c r="FC294" s="336">
        <f t="shared" si="2043"/>
        <v>0</v>
      </c>
      <c r="FD294" s="336">
        <f t="shared" si="2044"/>
        <v>0</v>
      </c>
      <c r="FE294" s="336">
        <f t="shared" si="2045"/>
        <v>0</v>
      </c>
      <c r="FF294" s="336">
        <f t="shared" si="2046"/>
        <v>0</v>
      </c>
      <c r="FG294" s="336">
        <f t="shared" si="2047"/>
        <v>0</v>
      </c>
      <c r="FH294" s="336">
        <f t="shared" si="2048"/>
        <v>0</v>
      </c>
      <c r="FI294" s="336">
        <f t="shared" si="2049"/>
        <v>0</v>
      </c>
      <c r="FJ294" s="336">
        <f t="shared" si="2050"/>
        <v>0</v>
      </c>
      <c r="FK294" s="336">
        <f t="shared" si="2051"/>
        <v>0</v>
      </c>
      <c r="FL294" s="336">
        <f t="shared" si="2052"/>
        <v>0</v>
      </c>
      <c r="FM294" s="336">
        <f t="shared" si="2053"/>
        <v>0</v>
      </c>
      <c r="FN294" s="336">
        <f t="shared" si="2054"/>
        <v>0</v>
      </c>
      <c r="FO294" s="492">
        <f t="shared" si="2055"/>
        <v>0</v>
      </c>
      <c r="FP294" s="492">
        <f t="shared" si="2056"/>
        <v>0</v>
      </c>
      <c r="FQ294" s="492">
        <f t="shared" si="2057"/>
        <v>0</v>
      </c>
      <c r="FR294" s="492">
        <f t="shared" si="2058"/>
        <v>0</v>
      </c>
      <c r="FS294" s="492">
        <f t="shared" si="2059"/>
        <v>0</v>
      </c>
      <c r="FT294" s="492">
        <f t="shared" si="2060"/>
        <v>0</v>
      </c>
      <c r="FU294" s="336">
        <f t="shared" si="1980"/>
        <v>0</v>
      </c>
      <c r="FV294" s="336">
        <f t="shared" si="1981"/>
        <v>0</v>
      </c>
      <c r="FW294" s="336">
        <f t="shared" si="1982"/>
        <v>0</v>
      </c>
      <c r="FX294" s="336">
        <f t="shared" si="1983"/>
        <v>0</v>
      </c>
      <c r="FY294" s="492">
        <f t="shared" si="2061"/>
        <v>0</v>
      </c>
      <c r="FZ294" s="492">
        <f t="shared" si="2062"/>
        <v>0</v>
      </c>
      <c r="GA294" s="492">
        <f t="shared" si="2063"/>
        <v>0</v>
      </c>
      <c r="GB294" s="492">
        <f t="shared" si="2064"/>
        <v>0</v>
      </c>
      <c r="GC294" s="492">
        <f t="shared" si="2065"/>
        <v>0</v>
      </c>
      <c r="GD294" s="492">
        <f t="shared" si="2066"/>
        <v>0</v>
      </c>
      <c r="GE294" s="492">
        <f t="shared" si="2067"/>
        <v>0</v>
      </c>
      <c r="GF294" s="492">
        <f t="shared" si="2068"/>
        <v>0</v>
      </c>
      <c r="GG294" s="492">
        <f t="shared" si="2069"/>
        <v>0</v>
      </c>
      <c r="GH294" s="492">
        <f t="shared" si="2070"/>
        <v>0</v>
      </c>
      <c r="GI294" s="492">
        <f t="shared" si="2071"/>
        <v>0</v>
      </c>
      <c r="GJ294" s="492">
        <f t="shared" si="2072"/>
        <v>0</v>
      </c>
      <c r="GK294" s="492">
        <f t="shared" si="1988"/>
        <v>0</v>
      </c>
      <c r="GL294" s="336">
        <f t="shared" si="1984"/>
        <v>0</v>
      </c>
      <c r="GM294" s="492">
        <f t="shared" si="2073"/>
        <v>0</v>
      </c>
    </row>
    <row r="295" spans="1:195">
      <c r="A295" s="337">
        <f>1+A292</f>
        <v>192</v>
      </c>
      <c r="B295" s="343" t="s">
        <v>527</v>
      </c>
      <c r="C295" s="337" t="str">
        <f t="shared" ref="C295:C326" si="2109">$D$293</f>
        <v>PDB-1</v>
      </c>
      <c r="D295" s="444" t="s">
        <v>743</v>
      </c>
      <c r="E295" s="500" t="s">
        <v>555</v>
      </c>
      <c r="F295" s="570" t="s">
        <v>28</v>
      </c>
      <c r="G295" s="337" t="s">
        <v>350</v>
      </c>
      <c r="H295" s="583">
        <v>75</v>
      </c>
      <c r="I295" s="337" t="s">
        <v>330</v>
      </c>
      <c r="J295" s="337" t="s">
        <v>331</v>
      </c>
      <c r="K295" s="349">
        <v>400</v>
      </c>
      <c r="L295" s="343">
        <v>0.85</v>
      </c>
      <c r="M295" s="350">
        <v>0.95400000000000007</v>
      </c>
      <c r="N295" s="342">
        <f t="shared" ref="N295:N339" si="2110">IF(I295="kVA",IF(J295="3Ph",(H295*1000/(1.732*M295*K295)),(H295*1000/(M295*K295))),IF(I295="kW",IF(J295="3Ph",(H295*1000/(1.732*M295*K295*L295)),(H295*1000/(M295*K295*L295)))))</f>
        <v>133.50148111883212</v>
      </c>
      <c r="O295" s="342">
        <f t="shared" ref="O295:O348" si="2111">IF(G295="MOTOR",(6*N295),IF(G295="VFD",(1*N295),0))</f>
        <v>801.00888671299276</v>
      </c>
      <c r="P295" s="343">
        <f t="shared" ref="P295:P339" si="2112">IF(G295="MOTOR",0.2,"0.00")</f>
        <v>0.2</v>
      </c>
      <c r="Q295" s="350">
        <v>50</v>
      </c>
      <c r="R295" s="350">
        <v>0</v>
      </c>
      <c r="S295" s="350">
        <f t="shared" ref="S295:S339" si="2113">(Q295*1000*SQRT(R295)/143)</f>
        <v>0</v>
      </c>
      <c r="T295" s="343" t="s">
        <v>332</v>
      </c>
      <c r="U295" s="350" t="s">
        <v>333</v>
      </c>
      <c r="V295" s="343">
        <v>70</v>
      </c>
      <c r="W295" s="343" t="str">
        <f t="shared" ref="W295:W339" si="2114">CONCATENATE(U295," X ",V295)</f>
        <v>3C X 70</v>
      </c>
      <c r="X295" s="343" t="str">
        <f t="shared" ref="X295:X339" si="2115">(IF(J295="1Ph",W295,IF(J295="3Ph",(IF(G295="MOTOR",(CONCATENATE(W295,"+PE")),W295)))))</f>
        <v>3C X 70+PE</v>
      </c>
      <c r="Y295" s="343" t="s">
        <v>358</v>
      </c>
      <c r="Z295" s="344">
        <f>IF(T295="AIR",VLOOKUP(W295,'Catalogue Aluminium'!$B$9:$G$93,2,FALSE),IF(T295="GROUND",VLOOKUP(W295,'Catalogue Aluminium'!$B$9:$G$93,3,FALSE),IF(T295="DUCT",VLOOKUP(W295,'Catalogue Aluminium'!$B$9:$G$93,4,FALSE),IF(T295="TRENCH",VLOOKUP(W295,'Catalogue Aluminium'!$B$9:$G$93,2,FALSE)))))</f>
        <v>177</v>
      </c>
      <c r="AA295" s="345">
        <f>VLOOKUP(W295,'Catalogue Aluminium'!$B$9:$G$93,5,FALSE)</f>
        <v>0.56699999999999995</v>
      </c>
      <c r="AB295" s="345">
        <f>VLOOKUP(W295,'Catalogue Aluminium'!$B$9:$G$93,6,FALSE)</f>
        <v>7.5200000000000003E-2</v>
      </c>
      <c r="AC295" s="457">
        <f>23+11</f>
        <v>34</v>
      </c>
      <c r="AD295" s="388">
        <f>31+10</f>
        <v>41</v>
      </c>
      <c r="AE295" s="457">
        <v>10</v>
      </c>
      <c r="AF295" s="401">
        <v>8</v>
      </c>
      <c r="AG295" s="401">
        <f t="shared" ref="AG295:AG339" si="2116">ROUNDUP((SUM(AC295:AF295)*0.1),0)</f>
        <v>10</v>
      </c>
      <c r="AH295" s="347">
        <f t="shared" ref="AH295:AH339" si="2117">SUM(AC295:AG295)</f>
        <v>103</v>
      </c>
      <c r="AI295" s="344">
        <f>IF(T295="AIR",'Catalogue Aluminium'!$K$9,IF(T295="TRENCH",'Catalogue Aluminium'!$K$12,"NA"))</f>
        <v>0.89</v>
      </c>
      <c r="AJ295" s="342">
        <f>IF(T295="Air",(IF(U295="1C",'Catalogue Aluminium'!$L$9,'Catalogue Aluminium'!$M$9)),IF(T295="DUCT",(IF($U295="1C",'Catalogue Aluminium'!$L$10,'Catalogue Aluminium'!$M$10)),IF(T295="GROUND",(IF($U295="1C",'Catalogue Aluminium'!$L$11,'Catalogue Aluminium'!$M$11)),IF(T295="TRENCH",(IF($U295="1C",'Catalogue Aluminium'!$L$12,'Catalogue Aluminium'!$M$12))))))</f>
        <v>0.66</v>
      </c>
      <c r="AK295" s="344" t="str">
        <f>IF(T295="Air",'Catalogue Aluminium'!$N$9,IF(T295="GROUND",'Catalogue Aluminium'!$N$10,IF(T295="DUCT",'Catalogue Aluminium'!$N$11,IF(T295="TRENCH",'Catalogue Aluminium'!$N$12,"NA"))))</f>
        <v>NA</v>
      </c>
      <c r="AL295" s="344" t="str">
        <f>IF(T295="Air",(IF(U295="1C",'Catalogue Aluminium'!$O$9,'Catalogue Aluminium'!$P$9)),IF(T295="DUCT",(IF($U295="1C",'Catalogue Aluminium'!$O$10,'Catalogue Aluminium'!$P$10)),IF(T295="GROUND",(IF($U295="1C",'Catalogue Aluminium'!$O$11,'Catalogue Aluminium'!$P$11)),IF(T295="TRENCH",(IF($U295="1C",'Catalogue Aluminium'!$O$12,'Catalogue Aluminium'!$P$12))))))</f>
        <v>NA</v>
      </c>
      <c r="AM295" s="344" t="str">
        <f>IF(T295="AIR","NA",IF(T295="TRENCH","NA",IF(T295="DUCT",IF(U295="1C",VLOOKUP(V295,'Catalogue Aluminium'!$Q$9:$S$28,2,FALSE),VLOOKUP(V295,'Catalogue Aluminium'!$Q$9:$S$28,3)),IF(T295="GROUND",IF(U295="1C",VLOOKUP(V295,'Catalogue Aluminium'!$Q$9:$S$28,2,FALSE),VLOOKUP(V295,'Catalogue Aluminium'!$Q$9:$S$28,3))))))</f>
        <v>NA</v>
      </c>
      <c r="AN295" s="351">
        <f t="shared" ref="AN295:AN339" si="2118">IF(T295="AIR",AI295*AJ295,IF(T295="TRENCH",AI295*AJ295,IF(T295="DUCT",AJ295*AK295*AL295*AM295,IF(T295="GROUND",AJ295*AK295*AL295*AM295))))</f>
        <v>0.58740000000000003</v>
      </c>
      <c r="AO295" s="350">
        <f t="shared" ref="AO295:AO339" si="2119">Z295*AN295</f>
        <v>103.96980000000001</v>
      </c>
      <c r="AP295" s="349">
        <f t="shared" ref="AP295:AP339" si="2120">CEILING(((N295)/AO295),1)</f>
        <v>2</v>
      </c>
      <c r="AQ295" s="350" t="str">
        <f t="shared" ref="AQ295:AQ339" si="2121">IF(AO295*AP295&gt;=N295,"YES","NO")</f>
        <v>YES</v>
      </c>
      <c r="AR295" s="351">
        <f t="shared" ref="AR295:AR339" si="2122">SQRT(3)*AH295*N295*((AA295*L295)+(AB295*SIN(ACOS(L295))))*100/(AP295*K295*1000)</f>
        <v>1.5527502391329788</v>
      </c>
      <c r="AS295" s="343" t="str">
        <f t="shared" ref="AS295:AS339" si="2123">IF(G295="INCOMER",(IF(AR295&lt;=2,"YES","NO")),IF(G295="POWER",(IF(AR295&lt;=2.5,"YES","NO")),IF(G295="MOTOR",(IF(AR295&lt;=3,"YES","NO")))))</f>
        <v>YES</v>
      </c>
      <c r="AT295" s="351">
        <f t="shared" ref="AT295:AT339" si="2124">IF(G295="MOTOR",(SQRT(3)*AH295*O295*((AA295*P295)+(AB295*SIN(ACOS(P295))))*100/(AP295*K295*1000)),"NA")</f>
        <v>3.3417508945893983</v>
      </c>
      <c r="AU295" s="343" t="str">
        <f t="shared" ref="AU295:AU339" si="2125">IF(G295="MOTOR",IF(AT295&lt;=15,"YES","NO"),"NA")</f>
        <v>YES</v>
      </c>
      <c r="AV295" s="354" t="str">
        <f t="shared" ref="AV295:AV339" si="2126">IF(U295="1C",CONCATENATE(AP295,"R x ",Y295,"kV x ",U295," x ",V295," Sqmm/Phase"),CONCATENATE(AP295,"R x ",0.6,"/1kV x ",U295," x ",V295," Sqmm"))</f>
        <v>2R x 0.6/1kV x 3C x 70 Sqmm</v>
      </c>
      <c r="AW295" s="354" t="str">
        <f t="shared" ref="AW295:AW339" si="2127">IF(U295="1C",CONCATENATE(AP295,"R x ",Y295,"kV x ",U295," x ",V295," Sqmm/Phase"),CONCATENATE(AP295,"R x ",0.6,"/1kV x ",U295," x ",V295,(IF(G295="MOTOR","+PE",""))," Sqmm"))</f>
        <v>2R x 0.6/1kV x 3C x 70+PE Sqmm</v>
      </c>
      <c r="AX295" s="343">
        <f t="shared" ref="AX295:AX302" si="2128">(IF(K295=400,(IF(U295="1C",(4*AH295*AP295),(AH295*AP295))),IF(K295=230,(AH295*AP295))))</f>
        <v>206</v>
      </c>
      <c r="AY295" s="355"/>
      <c r="AZ295" s="355">
        <f t="shared" ref="AZ295:AZ302" si="2129">IF(U295="1C",(3*AP295*2),(AP295*2))</f>
        <v>4</v>
      </c>
      <c r="BA295" s="356" t="str">
        <f t="shared" ref="BA295:BA307" si="2130">CONCATENATE(IF(BE295=1,BE$4,""),IF(BF295=1,BF$4,""),IF(BG295=1,BG$4,""),IF(BH295=1,BH$4,""),IF(BI295=1,BI$4,""),IF(BJ295=1,BJ$4,""),IF(BK295=1,BK$4,""),IF(BL295=1,BL$4,""),IF(BM295=1,BM$4,""),IF(BN295=1,BN$4,""),IF(BO295=1,BO$4,""),IF(BP295=1,BP$4,""),IF(BQ295=1,BQ$4,""),IF(BR295=1,BR$4,""),IF(BS295=1,BS$4,""),IF(BT295=1,BT$4,""),IF(BU295=1,BU$4,""),IF(BV295=1,BV$4,""),IF(BW295=1,BW$4,""),IF(BX295=1,BX$4,""),IF(BY295=1,BY$4,""),IF(BZ295=1,BZ$4,""),IF(CA295=1,CA$4,""),IF(CB295=1,CB$4,""),IF(CC295=1,CC$4,""),IF(CD295=1,CD$4,""),IF(CE295=1,CE$4,""),IF(CF295=1,CF$4,""),IF(CG295=1,CG$4,""),IF(CH295=1,CH$4,""),IF(CI295=1,CI$4,""),IF(CJ295=1,CJ$4,""),IF(CK295=1,CK$4,""),IF(CL295=1,CL$4,""),IF(CM295=1,CM$4,""),IF(CN295=1,CN$4,""),IF(CO295=1,CO$4,""),IF(CP295=1,CP$4,""),IF(CQ295=1,CQ$4,""),IF(CR295=1,CR$4,""),IF(CS295=1,CS$4,""),IF(CT295=1,CT$4,""),IF(CU295=1,CU$4,""),IF(CV295=1,CV$4,""),IF(CW295=1,CW$4,""),IF(CX295=1,CX$4,""),IF(CY295=1,CY$4,""),IF(CZ295=1,CZ$4,""),IF(DA295=1,DA$4,""),IF(DB295=1,DB$4,""),IF(DC295=1,DC$4,""),IF(DD295=1,DD$4,""),IF(DE295=1,DE$4,""),IF(DF295=1,DF$4,""),IF(DG295=1,DG$4,""),IF(DH295=1,DH$4,""),IF(DI295=1,DI$4,""),IF(DJ295=1,DJ$4,""),IF(DK295=1,DK$4,""),IF(DL295=1,DL$4,""),IF(DM295=1,DM$4,""),IF(DN295=1,DN$4,""),IF(DO295=1,DO$4,""),IF(DP295=1,DP$4,""),IF(DQ295=1,DQ$4,""),IF(DR295=1,DR$4,""),IF(DS295=1,DS$4,""),IF(DT295=1,DT$4,""),IF(DU295=1,DU$4,""))</f>
        <v>ABB1</v>
      </c>
      <c r="BB295" s="501">
        <f>VLOOKUP(W295,'Catalogue Aluminium'!$B$9:$H$93,7,FALSE)</f>
        <v>30</v>
      </c>
      <c r="BC295" s="328">
        <f t="shared" ref="BC295:BC302" si="2131">AP295*BB295</f>
        <v>60</v>
      </c>
      <c r="BE295" s="336"/>
      <c r="BF295" s="336">
        <v>1</v>
      </c>
      <c r="BG295" s="336">
        <v>1</v>
      </c>
      <c r="BH295" s="336">
        <v>1</v>
      </c>
      <c r="BI295" s="336"/>
      <c r="BJ295" s="336"/>
      <c r="BK295" s="336"/>
      <c r="BL295" s="336"/>
      <c r="BM295" s="336"/>
      <c r="BN295" s="336"/>
      <c r="BO295" s="336"/>
      <c r="BP295" s="336"/>
      <c r="BQ295" s="336"/>
      <c r="BR295" s="336"/>
      <c r="BS295" s="336"/>
      <c r="BT295" s="336"/>
      <c r="BU295" s="336"/>
      <c r="BV295" s="336"/>
      <c r="BW295" s="336"/>
      <c r="BX295" s="336"/>
      <c r="BY295" s="336"/>
      <c r="BZ295" s="336"/>
      <c r="CA295" s="336"/>
      <c r="CB295" s="336"/>
      <c r="CC295" s="336"/>
      <c r="CD295" s="336"/>
      <c r="CE295" s="336"/>
      <c r="CF295" s="336"/>
      <c r="CG295" s="336"/>
      <c r="CH295" s="336"/>
      <c r="CI295" s="336"/>
      <c r="CJ295" s="336"/>
      <c r="CK295" s="336"/>
      <c r="CL295" s="336"/>
      <c r="CM295" s="336"/>
      <c r="CN295" s="336"/>
      <c r="CO295" s="336"/>
      <c r="CP295" s="336"/>
      <c r="CQ295" s="336"/>
      <c r="CR295" s="336"/>
      <c r="CS295" s="336"/>
      <c r="CT295" s="336"/>
      <c r="CU295" s="336"/>
      <c r="CV295" s="336"/>
      <c r="CW295" s="336"/>
      <c r="CX295" s="336"/>
      <c r="CY295" s="336"/>
      <c r="CZ295" s="336"/>
      <c r="DA295" s="336"/>
      <c r="DB295" s="336"/>
      <c r="DC295" s="336"/>
      <c r="DD295" s="336"/>
      <c r="DE295" s="336"/>
      <c r="DF295" s="336"/>
      <c r="DG295" s="336"/>
      <c r="DH295" s="336"/>
      <c r="DI295" s="336"/>
      <c r="DJ295" s="336"/>
      <c r="DK295" s="336"/>
      <c r="DL295" s="336"/>
      <c r="DM295" s="336"/>
      <c r="DN295" s="336"/>
      <c r="DO295" s="336"/>
      <c r="DP295" s="336"/>
      <c r="DQ295" s="336"/>
      <c r="DR295" s="336"/>
      <c r="DS295" s="336"/>
      <c r="DT295" s="336"/>
      <c r="DU295" s="336"/>
      <c r="DW295" s="336">
        <f t="shared" si="2108"/>
        <v>0</v>
      </c>
      <c r="DX295" s="336">
        <f t="shared" si="2102"/>
        <v>60</v>
      </c>
      <c r="DY295" s="336">
        <f t="shared" si="2103"/>
        <v>60</v>
      </c>
      <c r="DZ295" s="336">
        <f t="shared" si="2104"/>
        <v>60</v>
      </c>
      <c r="EA295" s="336">
        <f t="shared" si="2105"/>
        <v>0</v>
      </c>
      <c r="EB295" s="336">
        <f t="shared" si="2106"/>
        <v>0</v>
      </c>
      <c r="EC295" s="336">
        <f t="shared" si="2107"/>
        <v>0</v>
      </c>
      <c r="ED295" s="336">
        <f t="shared" si="2019"/>
        <v>0</v>
      </c>
      <c r="EE295" s="336">
        <f t="shared" si="2020"/>
        <v>0</v>
      </c>
      <c r="EF295" s="336">
        <f t="shared" si="2021"/>
        <v>0</v>
      </c>
      <c r="EG295" s="336">
        <f t="shared" si="2022"/>
        <v>0</v>
      </c>
      <c r="EH295" s="336">
        <f t="shared" si="2023"/>
        <v>0</v>
      </c>
      <c r="EI295" s="336">
        <f t="shared" si="2024"/>
        <v>0</v>
      </c>
      <c r="EJ295" s="336">
        <f t="shared" si="2025"/>
        <v>0</v>
      </c>
      <c r="EK295" s="336">
        <f t="shared" si="2026"/>
        <v>0</v>
      </c>
      <c r="EL295" s="336">
        <f t="shared" si="2027"/>
        <v>0</v>
      </c>
      <c r="EM295" s="336">
        <f t="shared" si="2028"/>
        <v>0</v>
      </c>
      <c r="EN295" s="336">
        <f t="shared" si="2029"/>
        <v>0</v>
      </c>
      <c r="EO295" s="336">
        <f t="shared" si="2030"/>
        <v>0</v>
      </c>
      <c r="EP295" s="336">
        <f t="shared" si="2031"/>
        <v>0</v>
      </c>
      <c r="EQ295" s="336">
        <f t="shared" si="2032"/>
        <v>0</v>
      </c>
      <c r="ER295" s="336">
        <f t="shared" si="2033"/>
        <v>0</v>
      </c>
      <c r="ES295" s="336">
        <f t="shared" si="2034"/>
        <v>0</v>
      </c>
      <c r="ET295" s="336">
        <f t="shared" si="2034"/>
        <v>0</v>
      </c>
      <c r="EU295" s="336">
        <f t="shared" si="2035"/>
        <v>0</v>
      </c>
      <c r="EV295" s="336">
        <f t="shared" si="2036"/>
        <v>0</v>
      </c>
      <c r="EW295" s="336">
        <f t="shared" si="2037"/>
        <v>0</v>
      </c>
      <c r="EX295" s="336">
        <f t="shared" si="2038"/>
        <v>0</v>
      </c>
      <c r="EY295" s="336">
        <f t="shared" si="2039"/>
        <v>0</v>
      </c>
      <c r="EZ295" s="336">
        <f t="shared" si="2040"/>
        <v>0</v>
      </c>
      <c r="FA295" s="336">
        <f t="shared" si="2041"/>
        <v>0</v>
      </c>
      <c r="FB295" s="336">
        <f t="shared" si="2042"/>
        <v>0</v>
      </c>
      <c r="FC295" s="336">
        <f t="shared" si="2043"/>
        <v>0</v>
      </c>
      <c r="FD295" s="336">
        <f t="shared" si="2044"/>
        <v>0</v>
      </c>
      <c r="FE295" s="336">
        <f t="shared" si="2045"/>
        <v>0</v>
      </c>
      <c r="FF295" s="336">
        <f t="shared" si="2046"/>
        <v>0</v>
      </c>
      <c r="FG295" s="336">
        <f t="shared" si="2047"/>
        <v>0</v>
      </c>
      <c r="FH295" s="336">
        <f t="shared" si="2048"/>
        <v>0</v>
      </c>
      <c r="FI295" s="336">
        <f t="shared" si="2049"/>
        <v>0</v>
      </c>
      <c r="FJ295" s="336">
        <f t="shared" si="2050"/>
        <v>0</v>
      </c>
      <c r="FK295" s="336">
        <f t="shared" si="2051"/>
        <v>0</v>
      </c>
      <c r="FL295" s="336">
        <f t="shared" si="2052"/>
        <v>0</v>
      </c>
      <c r="FM295" s="336">
        <f t="shared" si="2053"/>
        <v>0</v>
      </c>
      <c r="FN295" s="336">
        <f t="shared" si="2054"/>
        <v>0</v>
      </c>
      <c r="FO295" s="336">
        <f t="shared" si="2055"/>
        <v>0</v>
      </c>
      <c r="FP295" s="336">
        <f t="shared" si="2056"/>
        <v>0</v>
      </c>
      <c r="FQ295" s="336">
        <f t="shared" si="2057"/>
        <v>0</v>
      </c>
      <c r="FR295" s="336">
        <f t="shared" si="2058"/>
        <v>0</v>
      </c>
      <c r="FS295" s="336">
        <f t="shared" si="2059"/>
        <v>0</v>
      </c>
      <c r="FT295" s="336">
        <f t="shared" si="2060"/>
        <v>0</v>
      </c>
      <c r="FU295" s="336">
        <f t="shared" si="1980"/>
        <v>0</v>
      </c>
      <c r="FV295" s="336">
        <f t="shared" si="1981"/>
        <v>0</v>
      </c>
      <c r="FW295" s="336">
        <f t="shared" si="1982"/>
        <v>0</v>
      </c>
      <c r="FX295" s="336">
        <f t="shared" si="1983"/>
        <v>0</v>
      </c>
      <c r="FY295" s="336">
        <f t="shared" si="2061"/>
        <v>0</v>
      </c>
      <c r="FZ295" s="336">
        <f t="shared" si="2062"/>
        <v>0</v>
      </c>
      <c r="GA295" s="336">
        <f t="shared" si="2063"/>
        <v>0</v>
      </c>
      <c r="GB295" s="336">
        <f t="shared" si="2064"/>
        <v>0</v>
      </c>
      <c r="GC295" s="336">
        <f t="shared" si="2065"/>
        <v>0</v>
      </c>
      <c r="GD295" s="336">
        <f t="shared" si="2066"/>
        <v>0</v>
      </c>
      <c r="GE295" s="336">
        <f t="shared" si="2067"/>
        <v>0</v>
      </c>
      <c r="GF295" s="336">
        <f t="shared" si="2068"/>
        <v>0</v>
      </c>
      <c r="GG295" s="336">
        <f t="shared" si="2069"/>
        <v>0</v>
      </c>
      <c r="GH295" s="336">
        <f t="shared" si="2070"/>
        <v>0</v>
      </c>
      <c r="GI295" s="336">
        <f t="shared" si="2071"/>
        <v>0</v>
      </c>
      <c r="GJ295" s="336">
        <f t="shared" si="2072"/>
        <v>0</v>
      </c>
      <c r="GK295" s="336">
        <f t="shared" si="1988"/>
        <v>0</v>
      </c>
      <c r="GL295" s="336">
        <f t="shared" si="1984"/>
        <v>0</v>
      </c>
      <c r="GM295" s="336">
        <f t="shared" si="2073"/>
        <v>0</v>
      </c>
    </row>
    <row r="296" spans="1:195">
      <c r="A296" s="388">
        <f t="shared" ref="A296:A301" si="2132">1+A295</f>
        <v>193</v>
      </c>
      <c r="B296" s="401" t="s">
        <v>527</v>
      </c>
      <c r="C296" s="388" t="str">
        <f t="shared" si="2109"/>
        <v>PDB-1</v>
      </c>
      <c r="D296" s="445" t="s">
        <v>744</v>
      </c>
      <c r="E296" s="502" t="s">
        <v>555</v>
      </c>
      <c r="F296" s="571" t="s">
        <v>28</v>
      </c>
      <c r="G296" s="388" t="s">
        <v>329</v>
      </c>
      <c r="H296" s="396">
        <v>0.2</v>
      </c>
      <c r="I296" s="388" t="s">
        <v>330</v>
      </c>
      <c r="J296" s="388" t="s">
        <v>357</v>
      </c>
      <c r="K296" s="434">
        <v>230</v>
      </c>
      <c r="L296" s="401">
        <v>0.85</v>
      </c>
      <c r="M296" s="418">
        <v>0.95</v>
      </c>
      <c r="N296" s="392">
        <f t="shared" si="2110"/>
        <v>1.0768609503297888</v>
      </c>
      <c r="O296" s="392">
        <f t="shared" si="2111"/>
        <v>0</v>
      </c>
      <c r="P296" s="401" t="str">
        <f t="shared" si="2112"/>
        <v>0.00</v>
      </c>
      <c r="Q296" s="418">
        <v>65</v>
      </c>
      <c r="R296" s="418">
        <v>0</v>
      </c>
      <c r="S296" s="418">
        <f t="shared" si="2113"/>
        <v>0</v>
      </c>
      <c r="T296" s="401" t="s">
        <v>131</v>
      </c>
      <c r="U296" s="418" t="s">
        <v>333</v>
      </c>
      <c r="V296" s="401">
        <v>2.5</v>
      </c>
      <c r="W296" s="401" t="str">
        <f t="shared" si="2114"/>
        <v>3C X 2.5</v>
      </c>
      <c r="X296" s="401" t="str">
        <f t="shared" ref="X296" si="2133">(IF(J296="1Ph",W296,IF(J296="3Ph",(IF(G296="MOTOR",(CONCATENATE(W296,"+PE")),W296)))))</f>
        <v>3C X 2.5</v>
      </c>
      <c r="Y296" s="401" t="s">
        <v>358</v>
      </c>
      <c r="Z296" s="393">
        <f>IF(T296="AIR",VLOOKUP(W296,'Catalogue Aluminium'!$B$9:$G$93,2,FALSE),IF(T296="GROUND",VLOOKUP(W296,'Catalogue Aluminium'!$B$9:$G$93,3,FALSE),IF(T296="DUCT",VLOOKUP(W296,'Catalogue Aluminium'!$B$9:$G$93,4,FALSE),IF(T296="TRENCH",VLOOKUP(W296,'Catalogue Aluminium'!$B$9:$G$93,2,FALSE)))))</f>
        <v>28</v>
      </c>
      <c r="AA296" s="402">
        <f>VLOOKUP(W296,'Catalogue Aluminium'!$B$9:$G$93,5,FALSE)</f>
        <v>9.48</v>
      </c>
      <c r="AB296" s="402">
        <f>VLOOKUP(W296,'Catalogue Aluminium'!$B$9:$G$93,6,FALSE)</f>
        <v>0.1007</v>
      </c>
      <c r="AC296" s="457">
        <f>23+11</f>
        <v>34</v>
      </c>
      <c r="AD296" s="388">
        <f>31+10</f>
        <v>41</v>
      </c>
      <c r="AE296" s="457">
        <v>10</v>
      </c>
      <c r="AF296" s="401">
        <v>8</v>
      </c>
      <c r="AG296" s="401">
        <f t="shared" ref="AG296" si="2134">ROUNDUP((SUM(AC296:AF296)*0.1),0)</f>
        <v>10</v>
      </c>
      <c r="AH296" s="436">
        <f t="shared" ref="AH296" si="2135">SUM(AC296:AG296)</f>
        <v>103</v>
      </c>
      <c r="AI296" s="393">
        <f>IF(T296="AIR",'Catalogue Aluminium'!$K$9,IF(T296="TRENCH",'Catalogue Aluminium'!$K$12,"NA"))</f>
        <v>0.89</v>
      </c>
      <c r="AJ296" s="392">
        <f>IF(T296="Air",(IF(U296="1C",'Catalogue Aluminium'!$L$9,'Catalogue Aluminium'!$M$9)),IF(T296="DUCT",(IF($U296="1C",'Catalogue Aluminium'!$L$10,'Catalogue Aluminium'!$M$10)),IF(T296="GROUND",(IF($U296="1C",'Catalogue Aluminium'!$L$11,'Catalogue Aluminium'!$M$11)),IF(T296="TRENCH",(IF($U296="1C",'Catalogue Aluminium'!$L$12,'Catalogue Aluminium'!$M$12))))))</f>
        <v>0.66</v>
      </c>
      <c r="AK296" s="393" t="str">
        <f>IF(T296="Air",'Catalogue Aluminium'!$N$9,IF(T296="GROUND",'Catalogue Aluminium'!$N$10,IF(T296="DUCT",'Catalogue Aluminium'!$N$11,IF(T296="TRENCH",'Catalogue Aluminium'!$N$12,"NA"))))</f>
        <v>NA</v>
      </c>
      <c r="AL296" s="393" t="str">
        <f>IF(T296="Air",(IF(U296="1C",'Catalogue Aluminium'!$O$9,'Catalogue Aluminium'!$P$9)),IF(T296="DUCT",(IF($U296="1C",'Catalogue Aluminium'!$O$10,'Catalogue Aluminium'!$P$10)),IF(T296="GROUND",(IF($U296="1C",'Catalogue Aluminium'!$O$11,'Catalogue Aluminium'!$P$11)),IF(T296="TRENCH",(IF($U296="1C",'Catalogue Aluminium'!$O$12,'Catalogue Aluminium'!$P$12))))))</f>
        <v>NA</v>
      </c>
      <c r="AM296" s="393" t="str">
        <f>IF(T296="AIR","NA",IF(T296="TRENCH","NA",IF(T296="DUCT",IF(U296="1C",VLOOKUP(V296,'Catalogue Aluminium'!$Q$9:$S$28,2,FALSE),VLOOKUP(V296,'Catalogue Aluminium'!$Q$9:$S$28,3)),IF(T296="GROUND",IF(U296="1C",VLOOKUP(V296,'Catalogue Aluminium'!$Q$9:$S$28,2,FALSE),VLOOKUP(V296,'Catalogue Aluminium'!$Q$9:$S$28,3))))))</f>
        <v>NA</v>
      </c>
      <c r="AN296" s="437">
        <f t="shared" ref="AN296" si="2136">IF(T296="AIR",AI296*AJ296,IF(T296="TRENCH",AI296*AJ296,IF(T296="DUCT",AJ296*AK296*AL296*AM296,IF(T296="GROUND",AJ296*AK296*AL296*AM296))))</f>
        <v>0.58740000000000003</v>
      </c>
      <c r="AO296" s="418">
        <f t="shared" ref="AO296" si="2137">Z296*AN296</f>
        <v>16.447200000000002</v>
      </c>
      <c r="AP296" s="434">
        <f t="shared" ref="AP296" si="2138">CEILING(((N296)/AO296),1)</f>
        <v>1</v>
      </c>
      <c r="AQ296" s="418" t="str">
        <f t="shared" ref="AQ296" si="2139">IF(AO296*AP296&gt;=N296,"YES","NO")</f>
        <v>YES</v>
      </c>
      <c r="AR296" s="437">
        <f t="shared" ref="AR296" si="2140">SQRT(3)*AH296*N296*((AA296*L296)+(AB296*SIN(ACOS(L296))))*100/(AP296*K296*1000)</f>
        <v>0.67749573183692458</v>
      </c>
      <c r="AS296" s="401" t="str">
        <f t="shared" ref="AS296" si="2141">IF(G296="INCOMER",(IF(AR296&lt;=2,"YES","NO")),IF(G296="POWER",(IF(AR296&lt;=2.5,"YES","NO")),IF(G296="MOTOR",(IF(AR296&lt;=3,"YES","NO")))))</f>
        <v>YES</v>
      </c>
      <c r="AT296" s="437" t="str">
        <f t="shared" si="2124"/>
        <v>NA</v>
      </c>
      <c r="AU296" s="401" t="str">
        <f t="shared" si="2125"/>
        <v>NA</v>
      </c>
      <c r="AV296" s="503" t="str">
        <f t="shared" si="2126"/>
        <v>1R x 0.6/1kV x 3C x 2.5 Sqmm</v>
      </c>
      <c r="AW296" s="503" t="str">
        <f t="shared" si="2127"/>
        <v>1R x 0.6/1kV x 3C x 2.5 Sqmm</v>
      </c>
      <c r="AX296" s="401">
        <f t="shared" si="2128"/>
        <v>103</v>
      </c>
      <c r="AY296" s="504"/>
      <c r="AZ296" s="504">
        <f t="shared" si="2129"/>
        <v>2</v>
      </c>
      <c r="BA296" s="438" t="str">
        <f t="shared" si="2130"/>
        <v>ABB1</v>
      </c>
      <c r="BB296" s="505">
        <f>VLOOKUP(W296,'Catalogue Aluminium'!$B$9:$H$93,7,FALSE)</f>
        <v>14</v>
      </c>
      <c r="BC296" s="439">
        <f t="shared" si="2131"/>
        <v>14</v>
      </c>
      <c r="BE296" s="336"/>
      <c r="BF296" s="336">
        <v>1</v>
      </c>
      <c r="BG296" s="336">
        <v>1</v>
      </c>
      <c r="BH296" s="336">
        <v>1</v>
      </c>
      <c r="BI296" s="336"/>
      <c r="BJ296" s="336"/>
      <c r="BK296" s="336"/>
      <c r="BL296" s="336"/>
      <c r="BM296" s="336"/>
      <c r="BN296" s="336"/>
      <c r="BO296" s="336"/>
      <c r="BP296" s="336"/>
      <c r="BQ296" s="336"/>
      <c r="BR296" s="336"/>
      <c r="BS296" s="336"/>
      <c r="BT296" s="336"/>
      <c r="BU296" s="336"/>
      <c r="BV296" s="336"/>
      <c r="BW296" s="336"/>
      <c r="BX296" s="336"/>
      <c r="BY296" s="336"/>
      <c r="BZ296" s="336"/>
      <c r="CA296" s="336"/>
      <c r="CB296" s="336"/>
      <c r="CC296" s="336"/>
      <c r="CD296" s="336"/>
      <c r="CE296" s="336"/>
      <c r="CF296" s="336"/>
      <c r="CG296" s="336"/>
      <c r="CH296" s="336"/>
      <c r="CI296" s="336"/>
      <c r="CJ296" s="336"/>
      <c r="CK296" s="336"/>
      <c r="CL296" s="336"/>
      <c r="CM296" s="336"/>
      <c r="CN296" s="336"/>
      <c r="CO296" s="336"/>
      <c r="CP296" s="336"/>
      <c r="CQ296" s="336"/>
      <c r="CR296" s="336"/>
      <c r="CS296" s="336"/>
      <c r="CT296" s="336"/>
      <c r="CU296" s="336"/>
      <c r="CV296" s="336"/>
      <c r="CW296" s="336"/>
      <c r="CX296" s="336"/>
      <c r="CY296" s="336"/>
      <c r="CZ296" s="336"/>
      <c r="DA296" s="336"/>
      <c r="DB296" s="336"/>
      <c r="DC296" s="336"/>
      <c r="DD296" s="336"/>
      <c r="DE296" s="336"/>
      <c r="DF296" s="336"/>
      <c r="DG296" s="336"/>
      <c r="DH296" s="336"/>
      <c r="DI296" s="336"/>
      <c r="DJ296" s="336"/>
      <c r="DK296" s="336"/>
      <c r="DL296" s="336"/>
      <c r="DM296" s="336"/>
      <c r="DN296" s="336"/>
      <c r="DO296" s="336"/>
      <c r="DP296" s="336"/>
      <c r="DQ296" s="336"/>
      <c r="DR296" s="336"/>
      <c r="DS296" s="336"/>
      <c r="DT296" s="336"/>
      <c r="DU296" s="336"/>
      <c r="DW296" s="336">
        <f t="shared" ref="DW296" si="2142">IF(BE296=1,($BC296*BE296),0)</f>
        <v>0</v>
      </c>
      <c r="DX296" s="336">
        <f t="shared" ref="DX296" si="2143">IF(BF296=1,($BC296*BF296),0)</f>
        <v>14</v>
      </c>
      <c r="DY296" s="336">
        <f t="shared" ref="DY296" si="2144">IF(BG296=1,($BC296*BG296),0)</f>
        <v>14</v>
      </c>
      <c r="DZ296" s="336">
        <f t="shared" ref="DZ296" si="2145">IF(BH296=1,($BC296*BH296),0)</f>
        <v>14</v>
      </c>
      <c r="EA296" s="336">
        <f t="shared" ref="EA296" si="2146">IF(BI296=1,($BC296*BI296),0)</f>
        <v>0</v>
      </c>
      <c r="EB296" s="336">
        <f t="shared" ref="EB296" si="2147">IF(BJ296=1,($BC296*BJ296),0)</f>
        <v>0</v>
      </c>
      <c r="EC296" s="336">
        <f t="shared" ref="EC296" si="2148">IF(BK296=1,($BC296*BK296),0)</f>
        <v>0</v>
      </c>
      <c r="ED296" s="336">
        <f t="shared" si="2019"/>
        <v>0</v>
      </c>
      <c r="EE296" s="336">
        <f t="shared" si="2020"/>
        <v>0</v>
      </c>
      <c r="EF296" s="336">
        <f t="shared" si="2021"/>
        <v>0</v>
      </c>
      <c r="EG296" s="336">
        <f t="shared" si="2022"/>
        <v>0</v>
      </c>
      <c r="EH296" s="336">
        <f t="shared" si="2023"/>
        <v>0</v>
      </c>
      <c r="EI296" s="336">
        <f t="shared" si="2024"/>
        <v>0</v>
      </c>
      <c r="EJ296" s="336">
        <f t="shared" si="2025"/>
        <v>0</v>
      </c>
      <c r="EK296" s="336">
        <f t="shared" si="2026"/>
        <v>0</v>
      </c>
      <c r="EL296" s="336">
        <f t="shared" si="2027"/>
        <v>0</v>
      </c>
      <c r="EM296" s="336">
        <f t="shared" si="2028"/>
        <v>0</v>
      </c>
      <c r="EN296" s="336">
        <f t="shared" si="2029"/>
        <v>0</v>
      </c>
      <c r="EO296" s="336">
        <f t="shared" si="2030"/>
        <v>0</v>
      </c>
      <c r="EP296" s="336">
        <f t="shared" si="2031"/>
        <v>0</v>
      </c>
      <c r="EQ296" s="336">
        <f t="shared" si="2032"/>
        <v>0</v>
      </c>
      <c r="ER296" s="336">
        <f t="shared" si="2033"/>
        <v>0</v>
      </c>
      <c r="ES296" s="336">
        <f t="shared" si="2034"/>
        <v>0</v>
      </c>
      <c r="ET296" s="336">
        <f t="shared" si="2034"/>
        <v>0</v>
      </c>
      <c r="EU296" s="336">
        <f t="shared" si="2035"/>
        <v>0</v>
      </c>
      <c r="EV296" s="336">
        <f t="shared" si="2036"/>
        <v>0</v>
      </c>
      <c r="EW296" s="336">
        <f t="shared" si="2037"/>
        <v>0</v>
      </c>
      <c r="EX296" s="336">
        <f t="shared" si="2038"/>
        <v>0</v>
      </c>
      <c r="EY296" s="336">
        <f t="shared" si="2039"/>
        <v>0</v>
      </c>
      <c r="EZ296" s="336">
        <f t="shared" si="2040"/>
        <v>0</v>
      </c>
      <c r="FA296" s="336">
        <f t="shared" si="2041"/>
        <v>0</v>
      </c>
      <c r="FB296" s="336">
        <f t="shared" si="2042"/>
        <v>0</v>
      </c>
      <c r="FC296" s="336">
        <f t="shared" si="2043"/>
        <v>0</v>
      </c>
      <c r="FD296" s="336">
        <f t="shared" si="2044"/>
        <v>0</v>
      </c>
      <c r="FE296" s="336">
        <f t="shared" si="2045"/>
        <v>0</v>
      </c>
      <c r="FF296" s="336">
        <f t="shared" si="2046"/>
        <v>0</v>
      </c>
      <c r="FG296" s="336">
        <f t="shared" si="2047"/>
        <v>0</v>
      </c>
      <c r="FH296" s="336">
        <f t="shared" si="2048"/>
        <v>0</v>
      </c>
      <c r="FI296" s="336">
        <f t="shared" si="2049"/>
        <v>0</v>
      </c>
      <c r="FJ296" s="336">
        <f t="shared" si="2050"/>
        <v>0</v>
      </c>
      <c r="FK296" s="336">
        <f t="shared" si="2051"/>
        <v>0</v>
      </c>
      <c r="FL296" s="336">
        <f t="shared" si="2052"/>
        <v>0</v>
      </c>
      <c r="FM296" s="336">
        <f t="shared" si="2053"/>
        <v>0</v>
      </c>
      <c r="FN296" s="336">
        <f t="shared" si="2054"/>
        <v>0</v>
      </c>
      <c r="FO296" s="336">
        <f t="shared" si="2055"/>
        <v>0</v>
      </c>
      <c r="FP296" s="336">
        <f t="shared" si="2056"/>
        <v>0</v>
      </c>
      <c r="FQ296" s="336">
        <f t="shared" si="2057"/>
        <v>0</v>
      </c>
      <c r="FR296" s="336">
        <f t="shared" si="2058"/>
        <v>0</v>
      </c>
      <c r="FS296" s="336">
        <f t="shared" si="2059"/>
        <v>0</v>
      </c>
      <c r="FT296" s="336">
        <f t="shared" si="2060"/>
        <v>0</v>
      </c>
      <c r="FU296" s="336">
        <f t="shared" si="1980"/>
        <v>0</v>
      </c>
      <c r="FV296" s="336">
        <f t="shared" si="1981"/>
        <v>0</v>
      </c>
      <c r="FW296" s="336">
        <f t="shared" si="1982"/>
        <v>0</v>
      </c>
      <c r="FX296" s="336">
        <f t="shared" si="1983"/>
        <v>0</v>
      </c>
      <c r="FY296" s="336">
        <f t="shared" si="2061"/>
        <v>0</v>
      </c>
      <c r="FZ296" s="336">
        <f t="shared" si="2062"/>
        <v>0</v>
      </c>
      <c r="GA296" s="336">
        <f t="shared" si="2063"/>
        <v>0</v>
      </c>
      <c r="GB296" s="336">
        <f t="shared" si="2064"/>
        <v>0</v>
      </c>
      <c r="GC296" s="336">
        <f t="shared" si="2065"/>
        <v>0</v>
      </c>
      <c r="GD296" s="336">
        <f t="shared" si="2066"/>
        <v>0</v>
      </c>
      <c r="GE296" s="336">
        <f t="shared" si="2067"/>
        <v>0</v>
      </c>
      <c r="GF296" s="336">
        <f t="shared" si="2068"/>
        <v>0</v>
      </c>
      <c r="GG296" s="336">
        <f t="shared" si="2069"/>
        <v>0</v>
      </c>
      <c r="GH296" s="336">
        <f t="shared" si="2070"/>
        <v>0</v>
      </c>
      <c r="GI296" s="336">
        <f t="shared" si="2071"/>
        <v>0</v>
      </c>
      <c r="GJ296" s="336">
        <f t="shared" si="2072"/>
        <v>0</v>
      </c>
      <c r="GK296" s="336">
        <f t="shared" si="1988"/>
        <v>0</v>
      </c>
      <c r="GL296" s="336">
        <f t="shared" si="1984"/>
        <v>0</v>
      </c>
      <c r="GM296" s="336">
        <f t="shared" si="2073"/>
        <v>0</v>
      </c>
    </row>
    <row r="297" spans="1:195">
      <c r="A297" s="337">
        <f t="shared" si="2132"/>
        <v>194</v>
      </c>
      <c r="B297" s="343" t="s">
        <v>527</v>
      </c>
      <c r="C297" s="337" t="str">
        <f t="shared" si="2109"/>
        <v>PDB-1</v>
      </c>
      <c r="D297" s="444" t="s">
        <v>745</v>
      </c>
      <c r="E297" s="500" t="s">
        <v>555</v>
      </c>
      <c r="F297" s="570" t="s">
        <v>28</v>
      </c>
      <c r="G297" s="337" t="s">
        <v>329</v>
      </c>
      <c r="H297" s="418">
        <v>15</v>
      </c>
      <c r="I297" s="337" t="s">
        <v>330</v>
      </c>
      <c r="J297" s="337" t="s">
        <v>331</v>
      </c>
      <c r="K297" s="349">
        <v>400</v>
      </c>
      <c r="L297" s="343">
        <v>0.85</v>
      </c>
      <c r="M297" s="350">
        <v>0.95</v>
      </c>
      <c r="N297" s="342">
        <f t="shared" si="2110"/>
        <v>26.81271852365597</v>
      </c>
      <c r="O297" s="342">
        <f t="shared" si="2111"/>
        <v>0</v>
      </c>
      <c r="P297" s="343" t="str">
        <f t="shared" si="2112"/>
        <v>0.00</v>
      </c>
      <c r="Q297" s="350">
        <v>50</v>
      </c>
      <c r="R297" s="350">
        <v>0</v>
      </c>
      <c r="S297" s="350">
        <f t="shared" si="2113"/>
        <v>0</v>
      </c>
      <c r="T297" s="343" t="s">
        <v>332</v>
      </c>
      <c r="U297" s="350" t="s">
        <v>535</v>
      </c>
      <c r="V297" s="343">
        <v>25</v>
      </c>
      <c r="W297" s="343" t="str">
        <f t="shared" si="2114"/>
        <v>3.5C X 25</v>
      </c>
      <c r="X297" s="343" t="str">
        <f t="shared" si="2115"/>
        <v>3.5C X 25</v>
      </c>
      <c r="Y297" s="343" t="s">
        <v>358</v>
      </c>
      <c r="Z297" s="344">
        <f>IF(T297="AIR",VLOOKUP(W297,'Catalogue Aluminium'!$B$9:$G$93,2,FALSE),IF(T297="GROUND",VLOOKUP(W297,'Catalogue Aluminium'!$B$9:$G$93,3,FALSE),IF(T297="DUCT",VLOOKUP(W297,'Catalogue Aluminium'!$B$9:$G$93,4,FALSE),IF(T297="TRENCH",VLOOKUP(W297,'Catalogue Aluminium'!$B$9:$G$93,2,FALSE)))))</f>
        <v>95</v>
      </c>
      <c r="AA297" s="345">
        <f>VLOOKUP(W297,'Catalogue Aluminium'!$B$9:$G$93,5,FALSE)</f>
        <v>1.54</v>
      </c>
      <c r="AB297" s="345">
        <f>VLOOKUP(W297,'Catalogue Aluminium'!$B$9:$G$93,6,FALSE)</f>
        <v>8.1600000000000006E-2</v>
      </c>
      <c r="AC297" s="457">
        <f t="shared" ref="AC297:AC345" si="2149">23+11</f>
        <v>34</v>
      </c>
      <c r="AD297" s="388">
        <f t="shared" ref="AD297:AD307" si="2150">31+10</f>
        <v>41</v>
      </c>
      <c r="AE297" s="457">
        <v>10</v>
      </c>
      <c r="AF297" s="401">
        <v>8</v>
      </c>
      <c r="AG297" s="401">
        <f t="shared" si="2116"/>
        <v>10</v>
      </c>
      <c r="AH297" s="347">
        <f t="shared" si="2117"/>
        <v>103</v>
      </c>
      <c r="AI297" s="344">
        <f>IF(T297="AIR",'Catalogue Aluminium'!$K$9,IF(T297="TRENCH",'Catalogue Aluminium'!$K$12,"NA"))</f>
        <v>0.89</v>
      </c>
      <c r="AJ297" s="342">
        <f>IF(T297="Air",(IF(U297="1C",'Catalogue Aluminium'!$L$9,'Catalogue Aluminium'!$M$9)),IF(T297="DUCT",(IF($U297="1C",'Catalogue Aluminium'!$L$10,'Catalogue Aluminium'!$M$10)),IF(T297="GROUND",(IF($U297="1C",'Catalogue Aluminium'!$L$11,'Catalogue Aluminium'!$M$11)),IF(T297="TRENCH",(IF($U297="1C",'Catalogue Aluminium'!$L$12,'Catalogue Aluminium'!$M$12))))))</f>
        <v>0.66</v>
      </c>
      <c r="AK297" s="344" t="str">
        <f>IF(T297="Air",'Catalogue Aluminium'!$N$9,IF(T297="GROUND",'Catalogue Aluminium'!$N$10,IF(T297="DUCT",'Catalogue Aluminium'!$N$11,IF(T297="TRENCH",'Catalogue Aluminium'!$N$12,"NA"))))</f>
        <v>NA</v>
      </c>
      <c r="AL297" s="344" t="str">
        <f>IF(T297="Air",(IF(U297="1C",'Catalogue Aluminium'!$O$9,'Catalogue Aluminium'!$P$9)),IF(T297="DUCT",(IF($U297="1C",'Catalogue Aluminium'!$O$10,'Catalogue Aluminium'!$P$10)),IF(T297="GROUND",(IF($U297="1C",'Catalogue Aluminium'!$O$11,'Catalogue Aluminium'!$P$11)),IF(T297="TRENCH",(IF($U297="1C",'Catalogue Aluminium'!$O$12,'Catalogue Aluminium'!$P$12))))))</f>
        <v>NA</v>
      </c>
      <c r="AM297" s="344" t="str">
        <f>IF(T297="AIR","NA",IF(T297="TRENCH","NA",IF(T297="DUCT",IF(U297="1C",VLOOKUP(V297,'Catalogue Aluminium'!$Q$9:$S$28,2,FALSE),VLOOKUP(V297,'Catalogue Aluminium'!$Q$9:$S$28,3)),IF(T297="GROUND",IF(U297="1C",VLOOKUP(V297,'Catalogue Aluminium'!$Q$9:$S$28,2,FALSE),VLOOKUP(V297,'Catalogue Aluminium'!$Q$9:$S$28,3))))))</f>
        <v>NA</v>
      </c>
      <c r="AN297" s="351">
        <f t="shared" si="2118"/>
        <v>0.58740000000000003</v>
      </c>
      <c r="AO297" s="350">
        <f t="shared" si="2119"/>
        <v>55.803000000000004</v>
      </c>
      <c r="AP297" s="349">
        <f t="shared" si="2120"/>
        <v>1</v>
      </c>
      <c r="AQ297" s="350" t="str">
        <f t="shared" si="2121"/>
        <v>YES</v>
      </c>
      <c r="AR297" s="351">
        <f t="shared" si="2122"/>
        <v>1.616779273741455</v>
      </c>
      <c r="AS297" s="343" t="str">
        <f t="shared" si="2123"/>
        <v>YES</v>
      </c>
      <c r="AT297" s="351" t="str">
        <f t="shared" si="2124"/>
        <v>NA</v>
      </c>
      <c r="AU297" s="343" t="str">
        <f t="shared" si="2125"/>
        <v>NA</v>
      </c>
      <c r="AV297" s="354" t="str">
        <f t="shared" si="2126"/>
        <v>1R x 0.6/1kV x 3.5C x 25 Sqmm</v>
      </c>
      <c r="AW297" s="354" t="str">
        <f t="shared" si="2127"/>
        <v>1R x 0.6/1kV x 3.5C x 25 Sqmm</v>
      </c>
      <c r="AX297" s="343">
        <f t="shared" si="2128"/>
        <v>103</v>
      </c>
      <c r="AY297" s="355"/>
      <c r="AZ297" s="355">
        <f t="shared" si="2129"/>
        <v>2</v>
      </c>
      <c r="BA297" s="356" t="str">
        <f t="shared" si="2130"/>
        <v>ABB1</v>
      </c>
      <c r="BB297" s="501">
        <f>VLOOKUP(W297,'Catalogue Aluminium'!$B$9:$H$93,7,FALSE)</f>
        <v>25</v>
      </c>
      <c r="BC297" s="328">
        <f t="shared" si="2131"/>
        <v>25</v>
      </c>
      <c r="BE297" s="336"/>
      <c r="BF297" s="336">
        <v>1</v>
      </c>
      <c r="BG297" s="336">
        <v>1</v>
      </c>
      <c r="BH297" s="336">
        <v>1</v>
      </c>
      <c r="BI297" s="336"/>
      <c r="BJ297" s="336"/>
      <c r="BK297" s="336"/>
      <c r="BL297" s="336"/>
      <c r="BM297" s="336"/>
      <c r="BN297" s="336"/>
      <c r="BO297" s="336"/>
      <c r="BP297" s="336"/>
      <c r="BQ297" s="336"/>
      <c r="BR297" s="336"/>
      <c r="BS297" s="336"/>
      <c r="BT297" s="336"/>
      <c r="BU297" s="336"/>
      <c r="BV297" s="336"/>
      <c r="BW297" s="336"/>
      <c r="BX297" s="336"/>
      <c r="BY297" s="336"/>
      <c r="BZ297" s="336"/>
      <c r="CA297" s="336"/>
      <c r="CB297" s="336"/>
      <c r="CC297" s="336"/>
      <c r="CD297" s="336"/>
      <c r="CE297" s="336"/>
      <c r="CF297" s="336"/>
      <c r="CG297" s="336"/>
      <c r="CH297" s="336"/>
      <c r="CI297" s="336"/>
      <c r="CJ297" s="336"/>
      <c r="CK297" s="336"/>
      <c r="CL297" s="336"/>
      <c r="CM297" s="336"/>
      <c r="CN297" s="336"/>
      <c r="CO297" s="336"/>
      <c r="CP297" s="336"/>
      <c r="CQ297" s="336"/>
      <c r="CR297" s="336"/>
      <c r="CS297" s="336"/>
      <c r="CT297" s="336"/>
      <c r="CU297" s="336"/>
      <c r="CV297" s="336"/>
      <c r="CW297" s="336"/>
      <c r="CX297" s="336"/>
      <c r="CY297" s="336"/>
      <c r="CZ297" s="336"/>
      <c r="DA297" s="336"/>
      <c r="DB297" s="336"/>
      <c r="DC297" s="336"/>
      <c r="DD297" s="336"/>
      <c r="DE297" s="336"/>
      <c r="DF297" s="336"/>
      <c r="DG297" s="336"/>
      <c r="DH297" s="336"/>
      <c r="DI297" s="336"/>
      <c r="DJ297" s="336"/>
      <c r="DK297" s="336"/>
      <c r="DL297" s="336"/>
      <c r="DM297" s="336"/>
      <c r="DN297" s="336"/>
      <c r="DO297" s="336"/>
      <c r="DP297" s="336"/>
      <c r="DQ297" s="336"/>
      <c r="DR297" s="336"/>
      <c r="DS297" s="336"/>
      <c r="DT297" s="336"/>
      <c r="DU297" s="336"/>
      <c r="DW297" s="336">
        <f t="shared" si="2108"/>
        <v>0</v>
      </c>
      <c r="DX297" s="336">
        <f t="shared" si="2102"/>
        <v>25</v>
      </c>
      <c r="DY297" s="336">
        <f t="shared" si="2103"/>
        <v>25</v>
      </c>
      <c r="DZ297" s="336">
        <f t="shared" si="2104"/>
        <v>25</v>
      </c>
      <c r="EA297" s="336">
        <f t="shared" si="2105"/>
        <v>0</v>
      </c>
      <c r="EB297" s="336">
        <f t="shared" si="2106"/>
        <v>0</v>
      </c>
      <c r="EC297" s="336">
        <f t="shared" si="2107"/>
        <v>0</v>
      </c>
      <c r="ED297" s="336">
        <f t="shared" si="2019"/>
        <v>0</v>
      </c>
      <c r="EE297" s="336">
        <f t="shared" si="2020"/>
        <v>0</v>
      </c>
      <c r="EF297" s="336">
        <f t="shared" si="2021"/>
        <v>0</v>
      </c>
      <c r="EG297" s="336">
        <f t="shared" si="2022"/>
        <v>0</v>
      </c>
      <c r="EH297" s="336">
        <f t="shared" si="2023"/>
        <v>0</v>
      </c>
      <c r="EI297" s="336">
        <f t="shared" si="2024"/>
        <v>0</v>
      </c>
      <c r="EJ297" s="336">
        <f t="shared" si="2025"/>
        <v>0</v>
      </c>
      <c r="EK297" s="336">
        <f t="shared" si="2026"/>
        <v>0</v>
      </c>
      <c r="EL297" s="336">
        <f t="shared" si="2027"/>
        <v>0</v>
      </c>
      <c r="EM297" s="336">
        <f t="shared" si="2028"/>
        <v>0</v>
      </c>
      <c r="EN297" s="336">
        <f t="shared" si="2029"/>
        <v>0</v>
      </c>
      <c r="EO297" s="336">
        <f t="shared" si="2030"/>
        <v>0</v>
      </c>
      <c r="EP297" s="336">
        <f t="shared" si="2031"/>
        <v>0</v>
      </c>
      <c r="EQ297" s="336">
        <f t="shared" si="2032"/>
        <v>0</v>
      </c>
      <c r="ER297" s="336">
        <f t="shared" si="2033"/>
        <v>0</v>
      </c>
      <c r="ES297" s="336">
        <f t="shared" si="2034"/>
        <v>0</v>
      </c>
      <c r="ET297" s="336">
        <f t="shared" si="2034"/>
        <v>0</v>
      </c>
      <c r="EU297" s="336">
        <f t="shared" si="2035"/>
        <v>0</v>
      </c>
      <c r="EV297" s="336">
        <f t="shared" si="2036"/>
        <v>0</v>
      </c>
      <c r="EW297" s="336">
        <f t="shared" si="2037"/>
        <v>0</v>
      </c>
      <c r="EX297" s="336">
        <f t="shared" si="2038"/>
        <v>0</v>
      </c>
      <c r="EY297" s="336">
        <f t="shared" si="2039"/>
        <v>0</v>
      </c>
      <c r="EZ297" s="336">
        <f t="shared" si="2040"/>
        <v>0</v>
      </c>
      <c r="FA297" s="336">
        <f t="shared" si="2041"/>
        <v>0</v>
      </c>
      <c r="FB297" s="336">
        <f t="shared" si="2042"/>
        <v>0</v>
      </c>
      <c r="FC297" s="336">
        <f t="shared" si="2043"/>
        <v>0</v>
      </c>
      <c r="FD297" s="336">
        <f t="shared" si="2044"/>
        <v>0</v>
      </c>
      <c r="FE297" s="336">
        <f t="shared" si="2045"/>
        <v>0</v>
      </c>
      <c r="FF297" s="336">
        <f t="shared" si="2046"/>
        <v>0</v>
      </c>
      <c r="FG297" s="336">
        <f t="shared" si="2047"/>
        <v>0</v>
      </c>
      <c r="FH297" s="336">
        <f t="shared" si="2048"/>
        <v>0</v>
      </c>
      <c r="FI297" s="336">
        <f t="shared" si="2049"/>
        <v>0</v>
      </c>
      <c r="FJ297" s="336">
        <f t="shared" si="2050"/>
        <v>0</v>
      </c>
      <c r="FK297" s="336">
        <f t="shared" si="2051"/>
        <v>0</v>
      </c>
      <c r="FL297" s="336">
        <f t="shared" si="2052"/>
        <v>0</v>
      </c>
      <c r="FM297" s="336">
        <f t="shared" si="2053"/>
        <v>0</v>
      </c>
      <c r="FN297" s="336">
        <f t="shared" si="2054"/>
        <v>0</v>
      </c>
      <c r="FO297" s="336">
        <f t="shared" si="2055"/>
        <v>0</v>
      </c>
      <c r="FP297" s="336">
        <f t="shared" si="2056"/>
        <v>0</v>
      </c>
      <c r="FQ297" s="336">
        <f t="shared" si="2057"/>
        <v>0</v>
      </c>
      <c r="FR297" s="336">
        <f t="shared" si="2058"/>
        <v>0</v>
      </c>
      <c r="FS297" s="336">
        <f t="shared" si="2059"/>
        <v>0</v>
      </c>
      <c r="FT297" s="336">
        <f t="shared" si="2060"/>
        <v>0</v>
      </c>
      <c r="FU297" s="336">
        <f t="shared" si="1980"/>
        <v>0</v>
      </c>
      <c r="FV297" s="336">
        <f t="shared" si="1981"/>
        <v>0</v>
      </c>
      <c r="FW297" s="336">
        <f t="shared" si="1982"/>
        <v>0</v>
      </c>
      <c r="FX297" s="336">
        <f t="shared" si="1983"/>
        <v>0</v>
      </c>
      <c r="FY297" s="336">
        <f t="shared" si="2061"/>
        <v>0</v>
      </c>
      <c r="FZ297" s="336">
        <f t="shared" si="2062"/>
        <v>0</v>
      </c>
      <c r="GA297" s="336">
        <f t="shared" si="2063"/>
        <v>0</v>
      </c>
      <c r="GB297" s="336">
        <f t="shared" si="2064"/>
        <v>0</v>
      </c>
      <c r="GC297" s="336">
        <f t="shared" si="2065"/>
        <v>0</v>
      </c>
      <c r="GD297" s="336">
        <f t="shared" si="2066"/>
        <v>0</v>
      </c>
      <c r="GE297" s="336">
        <f t="shared" si="2067"/>
        <v>0</v>
      </c>
      <c r="GF297" s="336">
        <f t="shared" si="2068"/>
        <v>0</v>
      </c>
      <c r="GG297" s="336">
        <f t="shared" si="2069"/>
        <v>0</v>
      </c>
      <c r="GH297" s="336">
        <f t="shared" si="2070"/>
        <v>0</v>
      </c>
      <c r="GI297" s="336">
        <f t="shared" si="2071"/>
        <v>0</v>
      </c>
      <c r="GJ297" s="336">
        <f t="shared" si="2072"/>
        <v>0</v>
      </c>
      <c r="GK297" s="336">
        <f t="shared" si="1988"/>
        <v>0</v>
      </c>
      <c r="GL297" s="336">
        <f t="shared" si="1984"/>
        <v>0</v>
      </c>
      <c r="GM297" s="336">
        <f t="shared" si="2073"/>
        <v>0</v>
      </c>
    </row>
    <row r="298" spans="1:195">
      <c r="A298" s="337">
        <f t="shared" si="2132"/>
        <v>195</v>
      </c>
      <c r="B298" s="343" t="s">
        <v>527</v>
      </c>
      <c r="C298" s="337" t="str">
        <f t="shared" si="2109"/>
        <v>PDB-1</v>
      </c>
      <c r="D298" s="444" t="s">
        <v>746</v>
      </c>
      <c r="E298" s="500" t="s">
        <v>555</v>
      </c>
      <c r="F298" s="570" t="s">
        <v>28</v>
      </c>
      <c r="G298" s="337" t="s">
        <v>329</v>
      </c>
      <c r="H298" s="418">
        <v>18</v>
      </c>
      <c r="I298" s="337" t="s">
        <v>330</v>
      </c>
      <c r="J298" s="337" t="s">
        <v>331</v>
      </c>
      <c r="K298" s="349">
        <v>400</v>
      </c>
      <c r="L298" s="343">
        <v>0.85</v>
      </c>
      <c r="M298" s="350">
        <v>0.95</v>
      </c>
      <c r="N298" s="342">
        <f t="shared" si="2110"/>
        <v>32.175262228387169</v>
      </c>
      <c r="O298" s="342">
        <f t="shared" si="2111"/>
        <v>0</v>
      </c>
      <c r="P298" s="343" t="str">
        <f t="shared" si="2112"/>
        <v>0.00</v>
      </c>
      <c r="Q298" s="350">
        <v>50</v>
      </c>
      <c r="R298" s="350">
        <v>0</v>
      </c>
      <c r="S298" s="350">
        <f t="shared" si="2113"/>
        <v>0</v>
      </c>
      <c r="T298" s="343" t="s">
        <v>332</v>
      </c>
      <c r="U298" s="350" t="s">
        <v>535</v>
      </c>
      <c r="V298" s="343">
        <v>25</v>
      </c>
      <c r="W298" s="343" t="str">
        <f t="shared" si="2114"/>
        <v>3.5C X 25</v>
      </c>
      <c r="X298" s="343" t="str">
        <f t="shared" si="2115"/>
        <v>3.5C X 25</v>
      </c>
      <c r="Y298" s="343" t="s">
        <v>358</v>
      </c>
      <c r="Z298" s="344">
        <f>IF(T298="AIR",VLOOKUP(W298,'Catalogue Aluminium'!$B$9:$G$93,2,FALSE),IF(T298="GROUND",VLOOKUP(W298,'Catalogue Aluminium'!$B$9:$G$93,3,FALSE),IF(T298="DUCT",VLOOKUP(W298,'Catalogue Aluminium'!$B$9:$G$93,4,FALSE),IF(T298="TRENCH",VLOOKUP(W298,'Catalogue Aluminium'!$B$9:$G$93,2,FALSE)))))</f>
        <v>95</v>
      </c>
      <c r="AA298" s="345">
        <f>VLOOKUP(W298,'Catalogue Aluminium'!$B$9:$G$93,5,FALSE)</f>
        <v>1.54</v>
      </c>
      <c r="AB298" s="345">
        <f>VLOOKUP(W298,'Catalogue Aluminium'!$B$9:$G$93,6,FALSE)</f>
        <v>8.1600000000000006E-2</v>
      </c>
      <c r="AC298" s="457">
        <f t="shared" si="2149"/>
        <v>34</v>
      </c>
      <c r="AD298" s="388">
        <f t="shared" si="2150"/>
        <v>41</v>
      </c>
      <c r="AE298" s="457">
        <v>10</v>
      </c>
      <c r="AF298" s="401">
        <v>8</v>
      </c>
      <c r="AG298" s="401">
        <f t="shared" si="2116"/>
        <v>10</v>
      </c>
      <c r="AH298" s="347">
        <f t="shared" si="2117"/>
        <v>103</v>
      </c>
      <c r="AI298" s="344">
        <f>IF(T298="AIR",'Catalogue Aluminium'!$K$9,IF(T298="TRENCH",'Catalogue Aluminium'!$K$12,"NA"))</f>
        <v>0.89</v>
      </c>
      <c r="AJ298" s="342">
        <f>IF(T298="Air",(IF(U298="1C",'Catalogue Aluminium'!$L$9,'Catalogue Aluminium'!$M$9)),IF(T298="DUCT",(IF($U298="1C",'Catalogue Aluminium'!$L$10,'Catalogue Aluminium'!$M$10)),IF(T298="GROUND",(IF($U298="1C",'Catalogue Aluminium'!$L$11,'Catalogue Aluminium'!$M$11)),IF(T298="TRENCH",(IF($U298="1C",'Catalogue Aluminium'!$L$12,'Catalogue Aluminium'!$M$12))))))</f>
        <v>0.66</v>
      </c>
      <c r="AK298" s="344" t="str">
        <f>IF(T298="Air",'Catalogue Aluminium'!$N$9,IF(T298="GROUND",'Catalogue Aluminium'!$N$10,IF(T298="DUCT",'Catalogue Aluminium'!$N$11,IF(T298="TRENCH",'Catalogue Aluminium'!$N$12,"NA"))))</f>
        <v>NA</v>
      </c>
      <c r="AL298" s="344" t="str">
        <f>IF(T298="Air",(IF(U298="1C",'Catalogue Aluminium'!$O$9,'Catalogue Aluminium'!$P$9)),IF(T298="DUCT",(IF($U298="1C",'Catalogue Aluminium'!$O$10,'Catalogue Aluminium'!$P$10)),IF(T298="GROUND",(IF($U298="1C",'Catalogue Aluminium'!$O$11,'Catalogue Aluminium'!$P$11)),IF(T298="TRENCH",(IF($U298="1C",'Catalogue Aluminium'!$O$12,'Catalogue Aluminium'!$P$12))))))</f>
        <v>NA</v>
      </c>
      <c r="AM298" s="344" t="str">
        <f>IF(T298="AIR","NA",IF(T298="TRENCH","NA",IF(T298="DUCT",IF(U298="1C",VLOOKUP(V298,'Catalogue Aluminium'!$Q$9:$S$28,2,FALSE),VLOOKUP(V298,'Catalogue Aluminium'!$Q$9:$S$28,3)),IF(T298="GROUND",IF(U298="1C",VLOOKUP(V298,'Catalogue Aluminium'!$Q$9:$S$28,2,FALSE),VLOOKUP(V298,'Catalogue Aluminium'!$Q$9:$S$28,3))))))</f>
        <v>NA</v>
      </c>
      <c r="AN298" s="351">
        <f t="shared" si="2118"/>
        <v>0.58740000000000003</v>
      </c>
      <c r="AO298" s="350">
        <f t="shared" si="2119"/>
        <v>55.803000000000004</v>
      </c>
      <c r="AP298" s="349">
        <f t="shared" si="2120"/>
        <v>1</v>
      </c>
      <c r="AQ298" s="350" t="str">
        <f t="shared" si="2121"/>
        <v>YES</v>
      </c>
      <c r="AR298" s="351">
        <f t="shared" si="2122"/>
        <v>1.9401351284897463</v>
      </c>
      <c r="AS298" s="343" t="str">
        <f t="shared" si="2123"/>
        <v>YES</v>
      </c>
      <c r="AT298" s="351" t="str">
        <f t="shared" si="2124"/>
        <v>NA</v>
      </c>
      <c r="AU298" s="343" t="str">
        <f t="shared" si="2125"/>
        <v>NA</v>
      </c>
      <c r="AV298" s="354" t="str">
        <f t="shared" si="2126"/>
        <v>1R x 0.6/1kV x 3.5C x 25 Sqmm</v>
      </c>
      <c r="AW298" s="354" t="str">
        <f t="shared" si="2127"/>
        <v>1R x 0.6/1kV x 3.5C x 25 Sqmm</v>
      </c>
      <c r="AX298" s="343">
        <f t="shared" si="2128"/>
        <v>103</v>
      </c>
      <c r="AY298" s="355"/>
      <c r="AZ298" s="355">
        <f t="shared" si="2129"/>
        <v>2</v>
      </c>
      <c r="BA298" s="356" t="str">
        <f t="shared" si="2130"/>
        <v>ABB1</v>
      </c>
      <c r="BB298" s="501">
        <f>VLOOKUP(W298,'Catalogue Aluminium'!$B$9:$H$93,7,FALSE)</f>
        <v>25</v>
      </c>
      <c r="BC298" s="328">
        <f t="shared" si="2131"/>
        <v>25</v>
      </c>
      <c r="BE298" s="336"/>
      <c r="BF298" s="336">
        <v>1</v>
      </c>
      <c r="BG298" s="336">
        <v>1</v>
      </c>
      <c r="BH298" s="336">
        <v>1</v>
      </c>
      <c r="BI298" s="336"/>
      <c r="BJ298" s="336"/>
      <c r="BK298" s="336"/>
      <c r="BL298" s="336"/>
      <c r="BM298" s="336"/>
      <c r="BN298" s="336"/>
      <c r="BO298" s="336"/>
      <c r="BP298" s="336"/>
      <c r="BQ298" s="336"/>
      <c r="BR298" s="336"/>
      <c r="BS298" s="336"/>
      <c r="BT298" s="336"/>
      <c r="BU298" s="336"/>
      <c r="BV298" s="336"/>
      <c r="BW298" s="336"/>
      <c r="BX298" s="336"/>
      <c r="BY298" s="336"/>
      <c r="BZ298" s="336"/>
      <c r="CA298" s="336"/>
      <c r="CB298" s="336"/>
      <c r="CC298" s="336"/>
      <c r="CD298" s="336"/>
      <c r="CE298" s="336"/>
      <c r="CF298" s="336"/>
      <c r="CG298" s="336"/>
      <c r="CH298" s="336"/>
      <c r="CI298" s="336"/>
      <c r="CJ298" s="336"/>
      <c r="CK298" s="336"/>
      <c r="CL298" s="336"/>
      <c r="CM298" s="336"/>
      <c r="CN298" s="336"/>
      <c r="CO298" s="336"/>
      <c r="CP298" s="336"/>
      <c r="CQ298" s="336"/>
      <c r="CR298" s="336"/>
      <c r="CS298" s="336"/>
      <c r="CT298" s="336"/>
      <c r="CU298" s="336"/>
      <c r="CV298" s="336"/>
      <c r="CW298" s="336"/>
      <c r="CX298" s="336"/>
      <c r="CY298" s="336"/>
      <c r="CZ298" s="336"/>
      <c r="DA298" s="336"/>
      <c r="DB298" s="336"/>
      <c r="DC298" s="336"/>
      <c r="DD298" s="336"/>
      <c r="DE298" s="336"/>
      <c r="DF298" s="336"/>
      <c r="DG298" s="336"/>
      <c r="DH298" s="336"/>
      <c r="DI298" s="336"/>
      <c r="DJ298" s="336"/>
      <c r="DK298" s="336"/>
      <c r="DL298" s="336"/>
      <c r="DM298" s="336"/>
      <c r="DN298" s="336"/>
      <c r="DO298" s="336"/>
      <c r="DP298" s="336"/>
      <c r="DQ298" s="336"/>
      <c r="DR298" s="336"/>
      <c r="DS298" s="336"/>
      <c r="DT298" s="336"/>
      <c r="DU298" s="336"/>
      <c r="DW298" s="336">
        <f t="shared" si="2108"/>
        <v>0</v>
      </c>
      <c r="DX298" s="336">
        <f t="shared" si="2102"/>
        <v>25</v>
      </c>
      <c r="DY298" s="336">
        <f t="shared" si="2103"/>
        <v>25</v>
      </c>
      <c r="DZ298" s="336">
        <f t="shared" si="2104"/>
        <v>25</v>
      </c>
      <c r="EA298" s="336">
        <f t="shared" si="2105"/>
        <v>0</v>
      </c>
      <c r="EB298" s="336">
        <f t="shared" si="2106"/>
        <v>0</v>
      </c>
      <c r="EC298" s="336">
        <f t="shared" si="2107"/>
        <v>0</v>
      </c>
      <c r="ED298" s="336">
        <f t="shared" si="2019"/>
        <v>0</v>
      </c>
      <c r="EE298" s="336">
        <f t="shared" si="2020"/>
        <v>0</v>
      </c>
      <c r="EF298" s="336">
        <f t="shared" si="2021"/>
        <v>0</v>
      </c>
      <c r="EG298" s="336">
        <f t="shared" si="2022"/>
        <v>0</v>
      </c>
      <c r="EH298" s="336">
        <f t="shared" si="2023"/>
        <v>0</v>
      </c>
      <c r="EI298" s="336">
        <f t="shared" si="2024"/>
        <v>0</v>
      </c>
      <c r="EJ298" s="336">
        <f t="shared" si="2025"/>
        <v>0</v>
      </c>
      <c r="EK298" s="336">
        <f t="shared" si="2026"/>
        <v>0</v>
      </c>
      <c r="EL298" s="336">
        <f t="shared" si="2027"/>
        <v>0</v>
      </c>
      <c r="EM298" s="336">
        <f t="shared" si="2028"/>
        <v>0</v>
      </c>
      <c r="EN298" s="336">
        <f t="shared" si="2029"/>
        <v>0</v>
      </c>
      <c r="EO298" s="336">
        <f t="shared" si="2030"/>
        <v>0</v>
      </c>
      <c r="EP298" s="336">
        <f t="shared" si="2031"/>
        <v>0</v>
      </c>
      <c r="EQ298" s="336">
        <f t="shared" si="2032"/>
        <v>0</v>
      </c>
      <c r="ER298" s="336">
        <f t="shared" si="2033"/>
        <v>0</v>
      </c>
      <c r="ES298" s="336">
        <f t="shared" si="2034"/>
        <v>0</v>
      </c>
      <c r="ET298" s="336">
        <f t="shared" si="2034"/>
        <v>0</v>
      </c>
      <c r="EU298" s="336">
        <f t="shared" si="2035"/>
        <v>0</v>
      </c>
      <c r="EV298" s="336">
        <f t="shared" si="2036"/>
        <v>0</v>
      </c>
      <c r="EW298" s="336">
        <f t="shared" si="2037"/>
        <v>0</v>
      </c>
      <c r="EX298" s="336">
        <f t="shared" si="2038"/>
        <v>0</v>
      </c>
      <c r="EY298" s="336">
        <f t="shared" si="2039"/>
        <v>0</v>
      </c>
      <c r="EZ298" s="336">
        <f t="shared" si="2040"/>
        <v>0</v>
      </c>
      <c r="FA298" s="336">
        <f t="shared" si="2041"/>
        <v>0</v>
      </c>
      <c r="FB298" s="336">
        <f t="shared" si="2042"/>
        <v>0</v>
      </c>
      <c r="FC298" s="336">
        <f t="shared" si="2043"/>
        <v>0</v>
      </c>
      <c r="FD298" s="336">
        <f t="shared" si="2044"/>
        <v>0</v>
      </c>
      <c r="FE298" s="336">
        <f t="shared" si="2045"/>
        <v>0</v>
      </c>
      <c r="FF298" s="336">
        <f t="shared" si="2046"/>
        <v>0</v>
      </c>
      <c r="FG298" s="336">
        <f t="shared" si="2047"/>
        <v>0</v>
      </c>
      <c r="FH298" s="336">
        <f t="shared" si="2048"/>
        <v>0</v>
      </c>
      <c r="FI298" s="336">
        <f t="shared" si="2049"/>
        <v>0</v>
      </c>
      <c r="FJ298" s="336">
        <f t="shared" si="2050"/>
        <v>0</v>
      </c>
      <c r="FK298" s="336">
        <f t="shared" si="2051"/>
        <v>0</v>
      </c>
      <c r="FL298" s="336">
        <f t="shared" si="2052"/>
        <v>0</v>
      </c>
      <c r="FM298" s="336">
        <f t="shared" si="2053"/>
        <v>0</v>
      </c>
      <c r="FN298" s="336">
        <f t="shared" si="2054"/>
        <v>0</v>
      </c>
      <c r="FO298" s="336">
        <f t="shared" si="2055"/>
        <v>0</v>
      </c>
      <c r="FP298" s="336">
        <f t="shared" si="2056"/>
        <v>0</v>
      </c>
      <c r="FQ298" s="336">
        <f t="shared" si="2057"/>
        <v>0</v>
      </c>
      <c r="FR298" s="336">
        <f t="shared" si="2058"/>
        <v>0</v>
      </c>
      <c r="FS298" s="336">
        <f t="shared" si="2059"/>
        <v>0</v>
      </c>
      <c r="FT298" s="336">
        <f t="shared" si="2060"/>
        <v>0</v>
      </c>
      <c r="FU298" s="336">
        <f t="shared" si="1980"/>
        <v>0</v>
      </c>
      <c r="FV298" s="336">
        <f t="shared" si="1981"/>
        <v>0</v>
      </c>
      <c r="FW298" s="336">
        <f t="shared" si="1982"/>
        <v>0</v>
      </c>
      <c r="FX298" s="336">
        <f t="shared" si="1983"/>
        <v>0</v>
      </c>
      <c r="FY298" s="336">
        <f t="shared" si="2061"/>
        <v>0</v>
      </c>
      <c r="FZ298" s="336">
        <f t="shared" si="2062"/>
        <v>0</v>
      </c>
      <c r="GA298" s="336">
        <f t="shared" si="2063"/>
        <v>0</v>
      </c>
      <c r="GB298" s="336">
        <f t="shared" si="2064"/>
        <v>0</v>
      </c>
      <c r="GC298" s="336">
        <f t="shared" si="2065"/>
        <v>0</v>
      </c>
      <c r="GD298" s="336">
        <f t="shared" si="2066"/>
        <v>0</v>
      </c>
      <c r="GE298" s="336">
        <f t="shared" si="2067"/>
        <v>0</v>
      </c>
      <c r="GF298" s="336">
        <f t="shared" si="2068"/>
        <v>0</v>
      </c>
      <c r="GG298" s="336">
        <f t="shared" si="2069"/>
        <v>0</v>
      </c>
      <c r="GH298" s="336">
        <f t="shared" si="2070"/>
        <v>0</v>
      </c>
      <c r="GI298" s="336">
        <f t="shared" si="2071"/>
        <v>0</v>
      </c>
      <c r="GJ298" s="336">
        <f t="shared" si="2072"/>
        <v>0</v>
      </c>
      <c r="GK298" s="336">
        <f t="shared" si="1988"/>
        <v>0</v>
      </c>
      <c r="GL298" s="336">
        <f t="shared" si="1984"/>
        <v>0</v>
      </c>
      <c r="GM298" s="336">
        <f t="shared" si="2073"/>
        <v>0</v>
      </c>
    </row>
    <row r="299" spans="1:195">
      <c r="A299" s="337">
        <f t="shared" si="2132"/>
        <v>196</v>
      </c>
      <c r="B299" s="343" t="s">
        <v>527</v>
      </c>
      <c r="C299" s="337" t="str">
        <f t="shared" si="2109"/>
        <v>PDB-1</v>
      </c>
      <c r="D299" s="444" t="s">
        <v>747</v>
      </c>
      <c r="E299" s="500" t="s">
        <v>555</v>
      </c>
      <c r="F299" s="570" t="s">
        <v>29</v>
      </c>
      <c r="G299" s="337" t="s">
        <v>350</v>
      </c>
      <c r="H299" s="583">
        <v>75</v>
      </c>
      <c r="I299" s="337" t="s">
        <v>330</v>
      </c>
      <c r="J299" s="337" t="s">
        <v>331</v>
      </c>
      <c r="K299" s="349">
        <v>400</v>
      </c>
      <c r="L299" s="343">
        <v>0.85</v>
      </c>
      <c r="M299" s="350">
        <v>0.95400000000000007</v>
      </c>
      <c r="N299" s="342">
        <f t="shared" si="2110"/>
        <v>133.50148111883212</v>
      </c>
      <c r="O299" s="342">
        <f t="shared" si="2111"/>
        <v>801.00888671299276</v>
      </c>
      <c r="P299" s="343">
        <f t="shared" si="2112"/>
        <v>0.2</v>
      </c>
      <c r="Q299" s="350">
        <v>50</v>
      </c>
      <c r="R299" s="350">
        <v>0</v>
      </c>
      <c r="S299" s="350">
        <f t="shared" si="2113"/>
        <v>0</v>
      </c>
      <c r="T299" s="343" t="s">
        <v>332</v>
      </c>
      <c r="U299" s="350" t="s">
        <v>333</v>
      </c>
      <c r="V299" s="343">
        <v>70</v>
      </c>
      <c r="W299" s="343" t="str">
        <f t="shared" si="2114"/>
        <v>3C X 70</v>
      </c>
      <c r="X299" s="343" t="str">
        <f t="shared" si="2115"/>
        <v>3C X 70+PE</v>
      </c>
      <c r="Y299" s="343" t="s">
        <v>358</v>
      </c>
      <c r="Z299" s="344">
        <f>IF(T299="AIR",VLOOKUP(W299,'Catalogue Aluminium'!$B$9:$G$93,2,FALSE),IF(T299="GROUND",VLOOKUP(W299,'Catalogue Aluminium'!$B$9:$G$93,3,FALSE),IF(T299="DUCT",VLOOKUP(W299,'Catalogue Aluminium'!$B$9:$G$93,4,FALSE),IF(T299="TRENCH",VLOOKUP(W299,'Catalogue Aluminium'!$B$9:$G$93,2,FALSE)))))</f>
        <v>177</v>
      </c>
      <c r="AA299" s="345">
        <f>VLOOKUP(W299,'Catalogue Aluminium'!$B$9:$G$93,5,FALSE)</f>
        <v>0.56699999999999995</v>
      </c>
      <c r="AB299" s="345">
        <f>VLOOKUP(W299,'Catalogue Aluminium'!$B$9:$G$93,6,FALSE)</f>
        <v>7.5200000000000003E-2</v>
      </c>
      <c r="AC299" s="457">
        <f t="shared" si="2149"/>
        <v>34</v>
      </c>
      <c r="AD299" s="388">
        <f t="shared" si="2150"/>
        <v>41</v>
      </c>
      <c r="AE299" s="457">
        <v>10</v>
      </c>
      <c r="AF299" s="401">
        <v>8</v>
      </c>
      <c r="AG299" s="401">
        <f t="shared" si="2116"/>
        <v>10</v>
      </c>
      <c r="AH299" s="347">
        <f t="shared" si="2117"/>
        <v>103</v>
      </c>
      <c r="AI299" s="344">
        <f>IF(T299="AIR",'Catalogue Aluminium'!$K$9,IF(T299="TRENCH",'Catalogue Aluminium'!$K$12,"NA"))</f>
        <v>0.89</v>
      </c>
      <c r="AJ299" s="342">
        <f>IF(T299="Air",(IF(U299="1C",'Catalogue Aluminium'!$L$9,'Catalogue Aluminium'!$M$9)),IF(T299="DUCT",(IF($U299="1C",'Catalogue Aluminium'!$L$10,'Catalogue Aluminium'!$M$10)),IF(T299="GROUND",(IF($U299="1C",'Catalogue Aluminium'!$L$11,'Catalogue Aluminium'!$M$11)),IF(T299="TRENCH",(IF($U299="1C",'Catalogue Aluminium'!$L$12,'Catalogue Aluminium'!$M$12))))))</f>
        <v>0.66</v>
      </c>
      <c r="AK299" s="344" t="str">
        <f>IF(T299="Air",'Catalogue Aluminium'!$N$9,IF(T299="GROUND",'Catalogue Aluminium'!$N$10,IF(T299="DUCT",'Catalogue Aluminium'!$N$11,IF(T299="TRENCH",'Catalogue Aluminium'!$N$12,"NA"))))</f>
        <v>NA</v>
      </c>
      <c r="AL299" s="344" t="str">
        <f>IF(T299="Air",(IF(U299="1C",'Catalogue Aluminium'!$O$9,'Catalogue Aluminium'!$P$9)),IF(T299="DUCT",(IF($U299="1C",'Catalogue Aluminium'!$O$10,'Catalogue Aluminium'!$P$10)),IF(T299="GROUND",(IF($U299="1C",'Catalogue Aluminium'!$O$11,'Catalogue Aluminium'!$P$11)),IF(T299="TRENCH",(IF($U299="1C",'Catalogue Aluminium'!$O$12,'Catalogue Aluminium'!$P$12))))))</f>
        <v>NA</v>
      </c>
      <c r="AM299" s="344" t="str">
        <f>IF(T299="AIR","NA",IF(T299="TRENCH","NA",IF(T299="DUCT",IF(U299="1C",VLOOKUP(V299,'Catalogue Aluminium'!$Q$9:$S$28,2,FALSE),VLOOKUP(V299,'Catalogue Aluminium'!$Q$9:$S$28,3)),IF(T299="GROUND",IF(U299="1C",VLOOKUP(V299,'Catalogue Aluminium'!$Q$9:$S$28,2,FALSE),VLOOKUP(V299,'Catalogue Aluminium'!$Q$9:$S$28,3))))))</f>
        <v>NA</v>
      </c>
      <c r="AN299" s="351">
        <f t="shared" si="2118"/>
        <v>0.58740000000000003</v>
      </c>
      <c r="AO299" s="350">
        <f t="shared" si="2119"/>
        <v>103.96980000000001</v>
      </c>
      <c r="AP299" s="349">
        <f t="shared" si="2120"/>
        <v>2</v>
      </c>
      <c r="AQ299" s="350" t="str">
        <f t="shared" si="2121"/>
        <v>YES</v>
      </c>
      <c r="AR299" s="351">
        <f t="shared" si="2122"/>
        <v>1.5527502391329788</v>
      </c>
      <c r="AS299" s="343" t="str">
        <f t="shared" si="2123"/>
        <v>YES</v>
      </c>
      <c r="AT299" s="351">
        <f t="shared" si="2124"/>
        <v>3.3417508945893983</v>
      </c>
      <c r="AU299" s="343" t="str">
        <f t="shared" si="2125"/>
        <v>YES</v>
      </c>
      <c r="AV299" s="354" t="str">
        <f t="shared" si="2126"/>
        <v>2R x 0.6/1kV x 3C x 70 Sqmm</v>
      </c>
      <c r="AW299" s="354" t="str">
        <f t="shared" si="2127"/>
        <v>2R x 0.6/1kV x 3C x 70+PE Sqmm</v>
      </c>
      <c r="AX299" s="343">
        <f t="shared" si="2128"/>
        <v>206</v>
      </c>
      <c r="AY299" s="355"/>
      <c r="AZ299" s="355">
        <f t="shared" si="2129"/>
        <v>4</v>
      </c>
      <c r="BA299" s="356" t="str">
        <f t="shared" si="2130"/>
        <v>ABB1</v>
      </c>
      <c r="BB299" s="501">
        <f>VLOOKUP(W299,'Catalogue Aluminium'!$B$9:$H$93,7,FALSE)</f>
        <v>30</v>
      </c>
      <c r="BC299" s="328">
        <f t="shared" si="2131"/>
        <v>60</v>
      </c>
      <c r="BE299" s="336"/>
      <c r="BF299" s="336">
        <v>1</v>
      </c>
      <c r="BG299" s="336">
        <v>1</v>
      </c>
      <c r="BH299" s="336">
        <v>1</v>
      </c>
      <c r="BI299" s="336"/>
      <c r="BJ299" s="336"/>
      <c r="BK299" s="336"/>
      <c r="BL299" s="336"/>
      <c r="BM299" s="336"/>
      <c r="BN299" s="336"/>
      <c r="BO299" s="336"/>
      <c r="BP299" s="336"/>
      <c r="BQ299" s="336"/>
      <c r="BR299" s="336"/>
      <c r="BS299" s="336"/>
      <c r="BT299" s="336"/>
      <c r="BU299" s="336"/>
      <c r="BV299" s="336"/>
      <c r="BW299" s="336"/>
      <c r="BX299" s="336"/>
      <c r="BY299" s="336"/>
      <c r="BZ299" s="336"/>
      <c r="CA299" s="336"/>
      <c r="CB299" s="336"/>
      <c r="CC299" s="336"/>
      <c r="CD299" s="336"/>
      <c r="CE299" s="336"/>
      <c r="CF299" s="336"/>
      <c r="CG299" s="336"/>
      <c r="CH299" s="336"/>
      <c r="CI299" s="336"/>
      <c r="CJ299" s="336"/>
      <c r="CK299" s="336"/>
      <c r="CL299" s="336"/>
      <c r="CM299" s="336"/>
      <c r="CN299" s="336"/>
      <c r="CO299" s="336"/>
      <c r="CP299" s="336"/>
      <c r="CQ299" s="336"/>
      <c r="CR299" s="336"/>
      <c r="CS299" s="336"/>
      <c r="CT299" s="336"/>
      <c r="CU299" s="336"/>
      <c r="CV299" s="336"/>
      <c r="CW299" s="336"/>
      <c r="CX299" s="336"/>
      <c r="CY299" s="336"/>
      <c r="CZ299" s="336"/>
      <c r="DA299" s="336"/>
      <c r="DB299" s="336"/>
      <c r="DC299" s="336"/>
      <c r="DD299" s="336"/>
      <c r="DE299" s="336"/>
      <c r="DF299" s="336"/>
      <c r="DG299" s="336"/>
      <c r="DH299" s="336"/>
      <c r="DI299" s="336"/>
      <c r="DJ299" s="336"/>
      <c r="DK299" s="336"/>
      <c r="DL299" s="336"/>
      <c r="DM299" s="336"/>
      <c r="DN299" s="336"/>
      <c r="DO299" s="336"/>
      <c r="DP299" s="336"/>
      <c r="DQ299" s="336"/>
      <c r="DR299" s="336"/>
      <c r="DS299" s="336"/>
      <c r="DT299" s="336"/>
      <c r="DU299" s="336"/>
      <c r="DW299" s="336">
        <f t="shared" si="2108"/>
        <v>0</v>
      </c>
      <c r="DX299" s="336">
        <f t="shared" si="2102"/>
        <v>60</v>
      </c>
      <c r="DY299" s="336">
        <f t="shared" si="2103"/>
        <v>60</v>
      </c>
      <c r="DZ299" s="336">
        <f t="shared" si="2104"/>
        <v>60</v>
      </c>
      <c r="EA299" s="336">
        <f t="shared" si="2105"/>
        <v>0</v>
      </c>
      <c r="EB299" s="336">
        <f t="shared" si="2106"/>
        <v>0</v>
      </c>
      <c r="EC299" s="336">
        <f t="shared" si="2107"/>
        <v>0</v>
      </c>
      <c r="ED299" s="336">
        <f t="shared" si="2019"/>
        <v>0</v>
      </c>
      <c r="EE299" s="336">
        <f t="shared" si="2020"/>
        <v>0</v>
      </c>
      <c r="EF299" s="336">
        <f t="shared" si="2021"/>
        <v>0</v>
      </c>
      <c r="EG299" s="336">
        <f t="shared" si="2022"/>
        <v>0</v>
      </c>
      <c r="EH299" s="336">
        <f t="shared" si="2023"/>
        <v>0</v>
      </c>
      <c r="EI299" s="336">
        <f t="shared" si="2024"/>
        <v>0</v>
      </c>
      <c r="EJ299" s="336">
        <f t="shared" si="2025"/>
        <v>0</v>
      </c>
      <c r="EK299" s="336">
        <f t="shared" si="2026"/>
        <v>0</v>
      </c>
      <c r="EL299" s="336">
        <f t="shared" si="2027"/>
        <v>0</v>
      </c>
      <c r="EM299" s="336">
        <f t="shared" si="2028"/>
        <v>0</v>
      </c>
      <c r="EN299" s="336">
        <f t="shared" si="2029"/>
        <v>0</v>
      </c>
      <c r="EO299" s="336">
        <f t="shared" si="2030"/>
        <v>0</v>
      </c>
      <c r="EP299" s="336">
        <f t="shared" si="2031"/>
        <v>0</v>
      </c>
      <c r="EQ299" s="336">
        <f t="shared" si="2032"/>
        <v>0</v>
      </c>
      <c r="ER299" s="336">
        <f t="shared" si="2033"/>
        <v>0</v>
      </c>
      <c r="ES299" s="336">
        <f t="shared" si="2034"/>
        <v>0</v>
      </c>
      <c r="ET299" s="336">
        <f t="shared" si="2034"/>
        <v>0</v>
      </c>
      <c r="EU299" s="336">
        <f t="shared" si="2035"/>
        <v>0</v>
      </c>
      <c r="EV299" s="336">
        <f t="shared" si="2036"/>
        <v>0</v>
      </c>
      <c r="EW299" s="336">
        <f t="shared" si="2037"/>
        <v>0</v>
      </c>
      <c r="EX299" s="336">
        <f t="shared" si="2038"/>
        <v>0</v>
      </c>
      <c r="EY299" s="336">
        <f t="shared" si="2039"/>
        <v>0</v>
      </c>
      <c r="EZ299" s="336">
        <f t="shared" si="2040"/>
        <v>0</v>
      </c>
      <c r="FA299" s="336">
        <f t="shared" si="2041"/>
        <v>0</v>
      </c>
      <c r="FB299" s="336">
        <f t="shared" si="2042"/>
        <v>0</v>
      </c>
      <c r="FC299" s="336">
        <f t="shared" si="2043"/>
        <v>0</v>
      </c>
      <c r="FD299" s="336">
        <f t="shared" si="2044"/>
        <v>0</v>
      </c>
      <c r="FE299" s="336">
        <f t="shared" si="2045"/>
        <v>0</v>
      </c>
      <c r="FF299" s="336">
        <f t="shared" si="2046"/>
        <v>0</v>
      </c>
      <c r="FG299" s="336">
        <f t="shared" si="2047"/>
        <v>0</v>
      </c>
      <c r="FH299" s="336">
        <f t="shared" si="2048"/>
        <v>0</v>
      </c>
      <c r="FI299" s="336">
        <f t="shared" si="2049"/>
        <v>0</v>
      </c>
      <c r="FJ299" s="336">
        <f t="shared" si="2050"/>
        <v>0</v>
      </c>
      <c r="FK299" s="336">
        <f t="shared" si="2051"/>
        <v>0</v>
      </c>
      <c r="FL299" s="336">
        <f t="shared" si="2052"/>
        <v>0</v>
      </c>
      <c r="FM299" s="336">
        <f t="shared" si="2053"/>
        <v>0</v>
      </c>
      <c r="FN299" s="336">
        <f t="shared" si="2054"/>
        <v>0</v>
      </c>
      <c r="FO299" s="336">
        <f t="shared" si="2055"/>
        <v>0</v>
      </c>
      <c r="FP299" s="336">
        <f t="shared" si="2056"/>
        <v>0</v>
      </c>
      <c r="FQ299" s="336">
        <f t="shared" si="2057"/>
        <v>0</v>
      </c>
      <c r="FR299" s="336">
        <f t="shared" si="2058"/>
        <v>0</v>
      </c>
      <c r="FS299" s="336">
        <f t="shared" si="2059"/>
        <v>0</v>
      </c>
      <c r="FT299" s="336">
        <f t="shared" si="2060"/>
        <v>0</v>
      </c>
      <c r="FU299" s="336">
        <f t="shared" si="1980"/>
        <v>0</v>
      </c>
      <c r="FV299" s="336">
        <f t="shared" si="1981"/>
        <v>0</v>
      </c>
      <c r="FW299" s="336">
        <f t="shared" si="1982"/>
        <v>0</v>
      </c>
      <c r="FX299" s="336">
        <f t="shared" si="1983"/>
        <v>0</v>
      </c>
      <c r="FY299" s="336">
        <f t="shared" si="2061"/>
        <v>0</v>
      </c>
      <c r="FZ299" s="336">
        <f t="shared" si="2062"/>
        <v>0</v>
      </c>
      <c r="GA299" s="336">
        <f t="shared" si="2063"/>
        <v>0</v>
      </c>
      <c r="GB299" s="336">
        <f t="shared" si="2064"/>
        <v>0</v>
      </c>
      <c r="GC299" s="336">
        <f t="shared" si="2065"/>
        <v>0</v>
      </c>
      <c r="GD299" s="336">
        <f t="shared" si="2066"/>
        <v>0</v>
      </c>
      <c r="GE299" s="336">
        <f t="shared" si="2067"/>
        <v>0</v>
      </c>
      <c r="GF299" s="336">
        <f t="shared" si="2068"/>
        <v>0</v>
      </c>
      <c r="GG299" s="336">
        <f t="shared" si="2069"/>
        <v>0</v>
      </c>
      <c r="GH299" s="336">
        <f t="shared" si="2070"/>
        <v>0</v>
      </c>
      <c r="GI299" s="336">
        <f t="shared" si="2071"/>
        <v>0</v>
      </c>
      <c r="GJ299" s="336">
        <f t="shared" si="2072"/>
        <v>0</v>
      </c>
      <c r="GK299" s="336">
        <f t="shared" si="1988"/>
        <v>0</v>
      </c>
      <c r="GL299" s="336">
        <f t="shared" si="1984"/>
        <v>0</v>
      </c>
      <c r="GM299" s="336">
        <f t="shared" si="2073"/>
        <v>0</v>
      </c>
    </row>
    <row r="300" spans="1:195">
      <c r="A300" s="388">
        <f t="shared" si="2132"/>
        <v>197</v>
      </c>
      <c r="B300" s="401" t="s">
        <v>527</v>
      </c>
      <c r="C300" s="388" t="str">
        <f t="shared" si="2109"/>
        <v>PDB-1</v>
      </c>
      <c r="D300" s="445" t="s">
        <v>748</v>
      </c>
      <c r="E300" s="502" t="s">
        <v>555</v>
      </c>
      <c r="F300" s="571" t="s">
        <v>29</v>
      </c>
      <c r="G300" s="388" t="s">
        <v>329</v>
      </c>
      <c r="H300" s="396">
        <v>0.2</v>
      </c>
      <c r="I300" s="388" t="s">
        <v>330</v>
      </c>
      <c r="J300" s="388" t="s">
        <v>357</v>
      </c>
      <c r="K300" s="434">
        <v>230</v>
      </c>
      <c r="L300" s="401">
        <v>0.85</v>
      </c>
      <c r="M300" s="418">
        <v>0.95</v>
      </c>
      <c r="N300" s="392">
        <f t="shared" si="2110"/>
        <v>1.0768609503297888</v>
      </c>
      <c r="O300" s="392">
        <f t="shared" si="2111"/>
        <v>0</v>
      </c>
      <c r="P300" s="401" t="str">
        <f t="shared" si="2112"/>
        <v>0.00</v>
      </c>
      <c r="Q300" s="418">
        <v>65</v>
      </c>
      <c r="R300" s="418">
        <v>0</v>
      </c>
      <c r="S300" s="418">
        <f t="shared" si="2113"/>
        <v>0</v>
      </c>
      <c r="T300" s="401" t="s">
        <v>131</v>
      </c>
      <c r="U300" s="418" t="s">
        <v>333</v>
      </c>
      <c r="V300" s="401">
        <v>2.5</v>
      </c>
      <c r="W300" s="401" t="str">
        <f t="shared" si="2114"/>
        <v>3C X 2.5</v>
      </c>
      <c r="X300" s="401" t="str">
        <f t="shared" ref="X300" si="2151">(IF(J300="1Ph",W300,IF(J300="3Ph",(IF(G300="MOTOR",(CONCATENATE(W300,"+PE")),W300)))))</f>
        <v>3C X 2.5</v>
      </c>
      <c r="Y300" s="401" t="s">
        <v>358</v>
      </c>
      <c r="Z300" s="393">
        <f>IF(T300="AIR",VLOOKUP(W300,'Catalogue Aluminium'!$B$9:$G$93,2,FALSE),IF(T300="GROUND",VLOOKUP(W300,'Catalogue Aluminium'!$B$9:$G$93,3,FALSE),IF(T300="DUCT",VLOOKUP(W300,'Catalogue Aluminium'!$B$9:$G$93,4,FALSE),IF(T300="TRENCH",VLOOKUP(W300,'Catalogue Aluminium'!$B$9:$G$93,2,FALSE)))))</f>
        <v>28</v>
      </c>
      <c r="AA300" s="402">
        <f>VLOOKUP(W300,'Catalogue Aluminium'!$B$9:$G$93,5,FALSE)</f>
        <v>9.48</v>
      </c>
      <c r="AB300" s="402">
        <f>VLOOKUP(W300,'Catalogue Aluminium'!$B$9:$G$93,6,FALSE)</f>
        <v>0.1007</v>
      </c>
      <c r="AC300" s="457">
        <f t="shared" si="2149"/>
        <v>34</v>
      </c>
      <c r="AD300" s="388">
        <f t="shared" si="2150"/>
        <v>41</v>
      </c>
      <c r="AE300" s="457">
        <v>10</v>
      </c>
      <c r="AF300" s="401">
        <v>8</v>
      </c>
      <c r="AG300" s="401">
        <f t="shared" ref="AG300" si="2152">ROUNDUP((SUM(AC300:AF300)*0.1),0)</f>
        <v>10</v>
      </c>
      <c r="AH300" s="436">
        <f t="shared" ref="AH300" si="2153">SUM(AC300:AG300)</f>
        <v>103</v>
      </c>
      <c r="AI300" s="393">
        <f>IF(T300="AIR",'Catalogue Aluminium'!$K$9,IF(T300="TRENCH",'Catalogue Aluminium'!$K$12,"NA"))</f>
        <v>0.89</v>
      </c>
      <c r="AJ300" s="392">
        <f>IF(T300="Air",(IF(U300="1C",'Catalogue Aluminium'!$L$9,'Catalogue Aluminium'!$M$9)),IF(T300="DUCT",(IF($U300="1C",'Catalogue Aluminium'!$L$10,'Catalogue Aluminium'!$M$10)),IF(T300="GROUND",(IF($U300="1C",'Catalogue Aluminium'!$L$11,'Catalogue Aluminium'!$M$11)),IF(T300="TRENCH",(IF($U300="1C",'Catalogue Aluminium'!$L$12,'Catalogue Aluminium'!$M$12))))))</f>
        <v>0.66</v>
      </c>
      <c r="AK300" s="393" t="str">
        <f>IF(T300="Air",'Catalogue Aluminium'!$N$9,IF(T300="GROUND",'Catalogue Aluminium'!$N$10,IF(T300="DUCT",'Catalogue Aluminium'!$N$11,IF(T300="TRENCH",'Catalogue Aluminium'!$N$12,"NA"))))</f>
        <v>NA</v>
      </c>
      <c r="AL300" s="393" t="str">
        <f>IF(T300="Air",(IF(U300="1C",'Catalogue Aluminium'!$O$9,'Catalogue Aluminium'!$P$9)),IF(T300="DUCT",(IF($U300="1C",'Catalogue Aluminium'!$O$10,'Catalogue Aluminium'!$P$10)),IF(T300="GROUND",(IF($U300="1C",'Catalogue Aluminium'!$O$11,'Catalogue Aluminium'!$P$11)),IF(T300="TRENCH",(IF($U300="1C",'Catalogue Aluminium'!$O$12,'Catalogue Aluminium'!$P$12))))))</f>
        <v>NA</v>
      </c>
      <c r="AM300" s="393" t="str">
        <f>IF(T300="AIR","NA",IF(T300="TRENCH","NA",IF(T300="DUCT",IF(U300="1C",VLOOKUP(V300,'Catalogue Aluminium'!$Q$9:$S$28,2,FALSE),VLOOKUP(V300,'Catalogue Aluminium'!$Q$9:$S$28,3)),IF(T300="GROUND",IF(U300="1C",VLOOKUP(V300,'Catalogue Aluminium'!$Q$9:$S$28,2,FALSE),VLOOKUP(V300,'Catalogue Aluminium'!$Q$9:$S$28,3))))))</f>
        <v>NA</v>
      </c>
      <c r="AN300" s="437">
        <f t="shared" ref="AN300" si="2154">IF(T300="AIR",AI300*AJ300,IF(T300="TRENCH",AI300*AJ300,IF(T300="DUCT",AJ300*AK300*AL300*AM300,IF(T300="GROUND",AJ300*AK300*AL300*AM300))))</f>
        <v>0.58740000000000003</v>
      </c>
      <c r="AO300" s="418">
        <f t="shared" ref="AO300" si="2155">Z300*AN300</f>
        <v>16.447200000000002</v>
      </c>
      <c r="AP300" s="434">
        <f t="shared" ref="AP300" si="2156">CEILING(((N300)/AO300),1)</f>
        <v>1</v>
      </c>
      <c r="AQ300" s="418" t="str">
        <f t="shared" ref="AQ300" si="2157">IF(AO300*AP300&gt;=N300,"YES","NO")</f>
        <v>YES</v>
      </c>
      <c r="AR300" s="437">
        <f t="shared" ref="AR300" si="2158">SQRT(3)*AH300*N300*((AA300*L300)+(AB300*SIN(ACOS(L300))))*100/(AP300*K300*1000)</f>
        <v>0.67749573183692458</v>
      </c>
      <c r="AS300" s="401" t="str">
        <f t="shared" ref="AS300" si="2159">IF(G300="INCOMER",(IF(AR300&lt;=2,"YES","NO")),IF(G300="POWER",(IF(AR300&lt;=2.5,"YES","NO")),IF(G300="MOTOR",(IF(AR300&lt;=3,"YES","NO")))))</f>
        <v>YES</v>
      </c>
      <c r="AT300" s="437" t="str">
        <f t="shared" si="2124"/>
        <v>NA</v>
      </c>
      <c r="AU300" s="401" t="str">
        <f t="shared" si="2125"/>
        <v>NA</v>
      </c>
      <c r="AV300" s="503" t="str">
        <f t="shared" si="2126"/>
        <v>1R x 0.6/1kV x 3C x 2.5 Sqmm</v>
      </c>
      <c r="AW300" s="503" t="str">
        <f t="shared" si="2127"/>
        <v>1R x 0.6/1kV x 3C x 2.5 Sqmm</v>
      </c>
      <c r="AX300" s="401">
        <f t="shared" si="2128"/>
        <v>103</v>
      </c>
      <c r="AY300" s="504"/>
      <c r="AZ300" s="504">
        <f t="shared" si="2129"/>
        <v>2</v>
      </c>
      <c r="BA300" s="438" t="str">
        <f t="shared" si="2130"/>
        <v>ABB1</v>
      </c>
      <c r="BB300" s="505">
        <f>VLOOKUP(W300,'Catalogue Aluminium'!$B$9:$H$93,7,FALSE)</f>
        <v>14</v>
      </c>
      <c r="BC300" s="439">
        <f t="shared" si="2131"/>
        <v>14</v>
      </c>
      <c r="BE300" s="336"/>
      <c r="BF300" s="336">
        <v>1</v>
      </c>
      <c r="BG300" s="336">
        <v>1</v>
      </c>
      <c r="BH300" s="336">
        <v>1</v>
      </c>
      <c r="BI300" s="336"/>
      <c r="BJ300" s="336"/>
      <c r="BK300" s="336"/>
      <c r="BL300" s="336"/>
      <c r="BM300" s="336"/>
      <c r="BN300" s="336"/>
      <c r="BO300" s="336"/>
      <c r="BP300" s="336"/>
      <c r="BQ300" s="336"/>
      <c r="BR300" s="336"/>
      <c r="BS300" s="336"/>
      <c r="BT300" s="336"/>
      <c r="BU300" s="336"/>
      <c r="BV300" s="336"/>
      <c r="BW300" s="336"/>
      <c r="BX300" s="336"/>
      <c r="BY300" s="336"/>
      <c r="BZ300" s="336"/>
      <c r="CA300" s="336"/>
      <c r="CB300" s="336"/>
      <c r="CC300" s="336"/>
      <c r="CD300" s="336"/>
      <c r="CE300" s="336"/>
      <c r="CF300" s="336"/>
      <c r="CG300" s="336"/>
      <c r="CH300" s="336"/>
      <c r="CI300" s="336"/>
      <c r="CJ300" s="336"/>
      <c r="CK300" s="336"/>
      <c r="CL300" s="336"/>
      <c r="CM300" s="336"/>
      <c r="CN300" s="336"/>
      <c r="CO300" s="336"/>
      <c r="CP300" s="336"/>
      <c r="CQ300" s="336"/>
      <c r="CR300" s="336"/>
      <c r="CS300" s="336"/>
      <c r="CT300" s="336"/>
      <c r="CU300" s="336"/>
      <c r="CV300" s="336"/>
      <c r="CW300" s="336"/>
      <c r="CX300" s="336"/>
      <c r="CY300" s="336"/>
      <c r="CZ300" s="336"/>
      <c r="DA300" s="336"/>
      <c r="DB300" s="336"/>
      <c r="DC300" s="336"/>
      <c r="DD300" s="336"/>
      <c r="DE300" s="336"/>
      <c r="DF300" s="336"/>
      <c r="DG300" s="336"/>
      <c r="DH300" s="336"/>
      <c r="DI300" s="336"/>
      <c r="DJ300" s="336"/>
      <c r="DK300" s="336"/>
      <c r="DL300" s="336"/>
      <c r="DM300" s="336"/>
      <c r="DN300" s="336"/>
      <c r="DO300" s="336"/>
      <c r="DP300" s="336"/>
      <c r="DQ300" s="336"/>
      <c r="DR300" s="336"/>
      <c r="DS300" s="336"/>
      <c r="DT300" s="336"/>
      <c r="DU300" s="336"/>
      <c r="DW300" s="336">
        <f t="shared" ref="DW300" si="2160">IF(BE300=1,($BC300*BE300),0)</f>
        <v>0</v>
      </c>
      <c r="DX300" s="336">
        <f t="shared" ref="DX300" si="2161">IF(BF300=1,($BC300*BF300),0)</f>
        <v>14</v>
      </c>
      <c r="DY300" s="336">
        <f t="shared" ref="DY300" si="2162">IF(BG300=1,($BC300*BG300),0)</f>
        <v>14</v>
      </c>
      <c r="DZ300" s="336">
        <f t="shared" ref="DZ300" si="2163">IF(BH300=1,($BC300*BH300),0)</f>
        <v>14</v>
      </c>
      <c r="EA300" s="336">
        <f t="shared" ref="EA300" si="2164">IF(BI300=1,($BC300*BI300),0)</f>
        <v>0</v>
      </c>
      <c r="EB300" s="336">
        <f t="shared" ref="EB300" si="2165">IF(BJ300=1,($BC300*BJ300),0)</f>
        <v>0</v>
      </c>
      <c r="EC300" s="336">
        <f t="shared" ref="EC300" si="2166">IF(BK300=1,($BC300*BK300),0)</f>
        <v>0</v>
      </c>
      <c r="ED300" s="336">
        <f t="shared" si="2019"/>
        <v>0</v>
      </c>
      <c r="EE300" s="336">
        <f t="shared" si="2020"/>
        <v>0</v>
      </c>
      <c r="EF300" s="336">
        <f t="shared" si="2021"/>
        <v>0</v>
      </c>
      <c r="EG300" s="336">
        <f t="shared" si="2022"/>
        <v>0</v>
      </c>
      <c r="EH300" s="336">
        <f t="shared" si="2023"/>
        <v>0</v>
      </c>
      <c r="EI300" s="336">
        <f t="shared" si="2024"/>
        <v>0</v>
      </c>
      <c r="EJ300" s="336">
        <f t="shared" si="2025"/>
        <v>0</v>
      </c>
      <c r="EK300" s="336">
        <f t="shared" si="2026"/>
        <v>0</v>
      </c>
      <c r="EL300" s="336">
        <f t="shared" si="2027"/>
        <v>0</v>
      </c>
      <c r="EM300" s="336">
        <f t="shared" si="2028"/>
        <v>0</v>
      </c>
      <c r="EN300" s="336">
        <f t="shared" si="2029"/>
        <v>0</v>
      </c>
      <c r="EO300" s="336">
        <f t="shared" si="2030"/>
        <v>0</v>
      </c>
      <c r="EP300" s="336">
        <f t="shared" si="2031"/>
        <v>0</v>
      </c>
      <c r="EQ300" s="336">
        <f t="shared" si="2032"/>
        <v>0</v>
      </c>
      <c r="ER300" s="336">
        <f t="shared" si="2033"/>
        <v>0</v>
      </c>
      <c r="ES300" s="336">
        <f t="shared" si="2034"/>
        <v>0</v>
      </c>
      <c r="ET300" s="336">
        <f t="shared" si="2034"/>
        <v>0</v>
      </c>
      <c r="EU300" s="336">
        <f t="shared" si="2035"/>
        <v>0</v>
      </c>
      <c r="EV300" s="336">
        <f t="shared" si="2036"/>
        <v>0</v>
      </c>
      <c r="EW300" s="336">
        <f t="shared" si="2037"/>
        <v>0</v>
      </c>
      <c r="EX300" s="336">
        <f t="shared" si="2038"/>
        <v>0</v>
      </c>
      <c r="EY300" s="336">
        <f t="shared" si="2039"/>
        <v>0</v>
      </c>
      <c r="EZ300" s="336">
        <f t="shared" si="2040"/>
        <v>0</v>
      </c>
      <c r="FA300" s="336">
        <f t="shared" si="2041"/>
        <v>0</v>
      </c>
      <c r="FB300" s="336">
        <f t="shared" si="2042"/>
        <v>0</v>
      </c>
      <c r="FC300" s="336">
        <f t="shared" si="2043"/>
        <v>0</v>
      </c>
      <c r="FD300" s="336">
        <f t="shared" si="2044"/>
        <v>0</v>
      </c>
      <c r="FE300" s="336">
        <f t="shared" si="2045"/>
        <v>0</v>
      </c>
      <c r="FF300" s="336">
        <f t="shared" si="2046"/>
        <v>0</v>
      </c>
      <c r="FG300" s="336">
        <f t="shared" si="2047"/>
        <v>0</v>
      </c>
      <c r="FH300" s="336">
        <f t="shared" si="2048"/>
        <v>0</v>
      </c>
      <c r="FI300" s="336">
        <f t="shared" si="2049"/>
        <v>0</v>
      </c>
      <c r="FJ300" s="336">
        <f t="shared" si="2050"/>
        <v>0</v>
      </c>
      <c r="FK300" s="336">
        <f t="shared" si="2051"/>
        <v>0</v>
      </c>
      <c r="FL300" s="336">
        <f t="shared" si="2052"/>
        <v>0</v>
      </c>
      <c r="FM300" s="336">
        <f t="shared" si="2053"/>
        <v>0</v>
      </c>
      <c r="FN300" s="336">
        <f t="shared" si="2054"/>
        <v>0</v>
      </c>
      <c r="FO300" s="336">
        <f t="shared" si="2055"/>
        <v>0</v>
      </c>
      <c r="FP300" s="336">
        <f t="shared" si="2056"/>
        <v>0</v>
      </c>
      <c r="FQ300" s="336">
        <f t="shared" si="2057"/>
        <v>0</v>
      </c>
      <c r="FR300" s="336">
        <f t="shared" si="2058"/>
        <v>0</v>
      </c>
      <c r="FS300" s="336">
        <f t="shared" si="2059"/>
        <v>0</v>
      </c>
      <c r="FT300" s="336">
        <f t="shared" si="2060"/>
        <v>0</v>
      </c>
      <c r="FU300" s="336">
        <f t="shared" si="1980"/>
        <v>0</v>
      </c>
      <c r="FV300" s="336">
        <f t="shared" si="1981"/>
        <v>0</v>
      </c>
      <c r="FW300" s="336">
        <f t="shared" si="1982"/>
        <v>0</v>
      </c>
      <c r="FX300" s="336">
        <f t="shared" si="1983"/>
        <v>0</v>
      </c>
      <c r="FY300" s="336">
        <f t="shared" si="2061"/>
        <v>0</v>
      </c>
      <c r="FZ300" s="336">
        <f t="shared" si="2062"/>
        <v>0</v>
      </c>
      <c r="GA300" s="336">
        <f t="shared" si="2063"/>
        <v>0</v>
      </c>
      <c r="GB300" s="336">
        <f t="shared" si="2064"/>
        <v>0</v>
      </c>
      <c r="GC300" s="336">
        <f t="shared" si="2065"/>
        <v>0</v>
      </c>
      <c r="GD300" s="336">
        <f t="shared" si="2066"/>
        <v>0</v>
      </c>
      <c r="GE300" s="336">
        <f t="shared" si="2067"/>
        <v>0</v>
      </c>
      <c r="GF300" s="336">
        <f t="shared" si="2068"/>
        <v>0</v>
      </c>
      <c r="GG300" s="336">
        <f t="shared" si="2069"/>
        <v>0</v>
      </c>
      <c r="GH300" s="336">
        <f t="shared" si="2070"/>
        <v>0</v>
      </c>
      <c r="GI300" s="336">
        <f t="shared" si="2071"/>
        <v>0</v>
      </c>
      <c r="GJ300" s="336">
        <f t="shared" si="2072"/>
        <v>0</v>
      </c>
      <c r="GK300" s="336">
        <f t="shared" si="1988"/>
        <v>0</v>
      </c>
      <c r="GL300" s="336">
        <f t="shared" si="1984"/>
        <v>0</v>
      </c>
      <c r="GM300" s="336">
        <f t="shared" si="2073"/>
        <v>0</v>
      </c>
    </row>
    <row r="301" spans="1:195">
      <c r="A301" s="337">
        <f t="shared" si="2132"/>
        <v>198</v>
      </c>
      <c r="B301" s="343" t="s">
        <v>527</v>
      </c>
      <c r="C301" s="337" t="str">
        <f t="shared" si="2109"/>
        <v>PDB-1</v>
      </c>
      <c r="D301" s="444" t="s">
        <v>749</v>
      </c>
      <c r="E301" s="500" t="s">
        <v>555</v>
      </c>
      <c r="F301" s="570" t="s">
        <v>29</v>
      </c>
      <c r="G301" s="337" t="s">
        <v>329</v>
      </c>
      <c r="H301" s="418">
        <v>15</v>
      </c>
      <c r="I301" s="337" t="s">
        <v>330</v>
      </c>
      <c r="J301" s="337" t="s">
        <v>331</v>
      </c>
      <c r="K301" s="349">
        <v>400</v>
      </c>
      <c r="L301" s="343">
        <v>0.85</v>
      </c>
      <c r="M301" s="350">
        <v>0.95</v>
      </c>
      <c r="N301" s="342">
        <f t="shared" si="2110"/>
        <v>26.81271852365597</v>
      </c>
      <c r="O301" s="342">
        <f t="shared" si="2111"/>
        <v>0</v>
      </c>
      <c r="P301" s="343" t="str">
        <f t="shared" si="2112"/>
        <v>0.00</v>
      </c>
      <c r="Q301" s="350">
        <v>50</v>
      </c>
      <c r="R301" s="350">
        <v>0</v>
      </c>
      <c r="S301" s="350">
        <f t="shared" si="2113"/>
        <v>0</v>
      </c>
      <c r="T301" s="343" t="s">
        <v>332</v>
      </c>
      <c r="U301" s="350" t="s">
        <v>535</v>
      </c>
      <c r="V301" s="343">
        <v>25</v>
      </c>
      <c r="W301" s="343" t="str">
        <f t="shared" si="2114"/>
        <v>3.5C X 25</v>
      </c>
      <c r="X301" s="343" t="str">
        <f t="shared" si="2115"/>
        <v>3.5C X 25</v>
      </c>
      <c r="Y301" s="343" t="s">
        <v>358</v>
      </c>
      <c r="Z301" s="344">
        <f>IF(T301="AIR",VLOOKUP(W301,'Catalogue Aluminium'!$B$9:$G$93,2,FALSE),IF(T301="GROUND",VLOOKUP(W301,'Catalogue Aluminium'!$B$9:$G$93,3,FALSE),IF(T301="DUCT",VLOOKUP(W301,'Catalogue Aluminium'!$B$9:$G$93,4,FALSE),IF(T301="TRENCH",VLOOKUP(W301,'Catalogue Aluminium'!$B$9:$G$93,2,FALSE)))))</f>
        <v>95</v>
      </c>
      <c r="AA301" s="345">
        <f>VLOOKUP(W301,'Catalogue Aluminium'!$B$9:$G$93,5,FALSE)</f>
        <v>1.54</v>
      </c>
      <c r="AB301" s="345">
        <f>VLOOKUP(W301,'Catalogue Aluminium'!$B$9:$G$93,6,FALSE)</f>
        <v>8.1600000000000006E-2</v>
      </c>
      <c r="AC301" s="457">
        <f t="shared" si="2149"/>
        <v>34</v>
      </c>
      <c r="AD301" s="388">
        <f t="shared" si="2150"/>
        <v>41</v>
      </c>
      <c r="AE301" s="457">
        <v>10</v>
      </c>
      <c r="AF301" s="401">
        <v>8</v>
      </c>
      <c r="AG301" s="401">
        <f t="shared" si="2116"/>
        <v>10</v>
      </c>
      <c r="AH301" s="347">
        <f t="shared" si="2117"/>
        <v>103</v>
      </c>
      <c r="AI301" s="344">
        <f>IF(T301="AIR",'Catalogue Aluminium'!$K$9,IF(T301="TRENCH",'Catalogue Aluminium'!$K$12,"NA"))</f>
        <v>0.89</v>
      </c>
      <c r="AJ301" s="342">
        <f>IF(T301="Air",(IF(U301="1C",'Catalogue Aluminium'!$L$9,'Catalogue Aluminium'!$M$9)),IF(T301="DUCT",(IF($U301="1C",'Catalogue Aluminium'!$L$10,'Catalogue Aluminium'!$M$10)),IF(T301="GROUND",(IF($U301="1C",'Catalogue Aluminium'!$L$11,'Catalogue Aluminium'!$M$11)),IF(T301="TRENCH",(IF($U301="1C",'Catalogue Aluminium'!$L$12,'Catalogue Aluminium'!$M$12))))))</f>
        <v>0.66</v>
      </c>
      <c r="AK301" s="344" t="str">
        <f>IF(T301="Air",'Catalogue Aluminium'!$N$9,IF(T301="GROUND",'Catalogue Aluminium'!$N$10,IF(T301="DUCT",'Catalogue Aluminium'!$N$11,IF(T301="TRENCH",'Catalogue Aluminium'!$N$12,"NA"))))</f>
        <v>NA</v>
      </c>
      <c r="AL301" s="344" t="str">
        <f>IF(T301="Air",(IF(U301="1C",'Catalogue Aluminium'!$O$9,'Catalogue Aluminium'!$P$9)),IF(T301="DUCT",(IF($U301="1C",'Catalogue Aluminium'!$O$10,'Catalogue Aluminium'!$P$10)),IF(T301="GROUND",(IF($U301="1C",'Catalogue Aluminium'!$O$11,'Catalogue Aluminium'!$P$11)),IF(T301="TRENCH",(IF($U301="1C",'Catalogue Aluminium'!$O$12,'Catalogue Aluminium'!$P$12))))))</f>
        <v>NA</v>
      </c>
      <c r="AM301" s="344" t="str">
        <f>IF(T301="AIR","NA",IF(T301="TRENCH","NA",IF(T301="DUCT",IF(U301="1C",VLOOKUP(V301,'Catalogue Aluminium'!$Q$9:$S$28,2,FALSE),VLOOKUP(V301,'Catalogue Aluminium'!$Q$9:$S$28,3)),IF(T301="GROUND",IF(U301="1C",VLOOKUP(V301,'Catalogue Aluminium'!$Q$9:$S$28,2,FALSE),VLOOKUP(V301,'Catalogue Aluminium'!$Q$9:$S$28,3))))))</f>
        <v>NA</v>
      </c>
      <c r="AN301" s="351">
        <f t="shared" si="2118"/>
        <v>0.58740000000000003</v>
      </c>
      <c r="AO301" s="350">
        <f t="shared" si="2119"/>
        <v>55.803000000000004</v>
      </c>
      <c r="AP301" s="349">
        <f t="shared" si="2120"/>
        <v>1</v>
      </c>
      <c r="AQ301" s="350" t="str">
        <f t="shared" si="2121"/>
        <v>YES</v>
      </c>
      <c r="AR301" s="351">
        <f t="shared" si="2122"/>
        <v>1.616779273741455</v>
      </c>
      <c r="AS301" s="343" t="str">
        <f t="shared" si="2123"/>
        <v>YES</v>
      </c>
      <c r="AT301" s="351" t="str">
        <f t="shared" si="2124"/>
        <v>NA</v>
      </c>
      <c r="AU301" s="343" t="str">
        <f t="shared" si="2125"/>
        <v>NA</v>
      </c>
      <c r="AV301" s="354" t="str">
        <f t="shared" si="2126"/>
        <v>1R x 0.6/1kV x 3.5C x 25 Sqmm</v>
      </c>
      <c r="AW301" s="354" t="str">
        <f t="shared" si="2127"/>
        <v>1R x 0.6/1kV x 3.5C x 25 Sqmm</v>
      </c>
      <c r="AX301" s="343">
        <f t="shared" si="2128"/>
        <v>103</v>
      </c>
      <c r="AY301" s="355"/>
      <c r="AZ301" s="355">
        <f t="shared" si="2129"/>
        <v>2</v>
      </c>
      <c r="BA301" s="356" t="str">
        <f t="shared" si="2130"/>
        <v>ABB1</v>
      </c>
      <c r="BB301" s="501">
        <f>VLOOKUP(W301,'Catalogue Aluminium'!$B$9:$H$93,7,FALSE)</f>
        <v>25</v>
      </c>
      <c r="BC301" s="328">
        <f t="shared" si="2131"/>
        <v>25</v>
      </c>
      <c r="BE301" s="336"/>
      <c r="BF301" s="336">
        <v>1</v>
      </c>
      <c r="BG301" s="336">
        <v>1</v>
      </c>
      <c r="BH301" s="336">
        <v>1</v>
      </c>
      <c r="BI301" s="336"/>
      <c r="BJ301" s="336"/>
      <c r="BK301" s="336"/>
      <c r="BL301" s="336"/>
      <c r="BM301" s="336"/>
      <c r="BN301" s="336"/>
      <c r="BO301" s="336"/>
      <c r="BP301" s="336"/>
      <c r="BQ301" s="336"/>
      <c r="BR301" s="336"/>
      <c r="BS301" s="336"/>
      <c r="BT301" s="336"/>
      <c r="BU301" s="336"/>
      <c r="BV301" s="336"/>
      <c r="BW301" s="336"/>
      <c r="BX301" s="336"/>
      <c r="BY301" s="336"/>
      <c r="BZ301" s="336"/>
      <c r="CA301" s="336"/>
      <c r="CB301" s="336"/>
      <c r="CC301" s="336"/>
      <c r="CD301" s="336"/>
      <c r="CE301" s="336"/>
      <c r="CF301" s="336"/>
      <c r="CG301" s="336"/>
      <c r="CH301" s="336"/>
      <c r="CI301" s="336"/>
      <c r="CJ301" s="336"/>
      <c r="CK301" s="336"/>
      <c r="CL301" s="336"/>
      <c r="CM301" s="336"/>
      <c r="CN301" s="336"/>
      <c r="CO301" s="336"/>
      <c r="CP301" s="336"/>
      <c r="CQ301" s="336"/>
      <c r="CR301" s="336"/>
      <c r="CS301" s="336"/>
      <c r="CT301" s="336"/>
      <c r="CU301" s="336"/>
      <c r="CV301" s="336"/>
      <c r="CW301" s="336"/>
      <c r="CX301" s="336"/>
      <c r="CY301" s="336"/>
      <c r="CZ301" s="336"/>
      <c r="DA301" s="336"/>
      <c r="DB301" s="336"/>
      <c r="DC301" s="336"/>
      <c r="DD301" s="336"/>
      <c r="DE301" s="336"/>
      <c r="DF301" s="336"/>
      <c r="DG301" s="336"/>
      <c r="DH301" s="336"/>
      <c r="DI301" s="336"/>
      <c r="DJ301" s="336"/>
      <c r="DK301" s="336"/>
      <c r="DL301" s="336"/>
      <c r="DM301" s="336"/>
      <c r="DN301" s="336"/>
      <c r="DO301" s="336"/>
      <c r="DP301" s="336"/>
      <c r="DQ301" s="336"/>
      <c r="DR301" s="336"/>
      <c r="DS301" s="336"/>
      <c r="DT301" s="336"/>
      <c r="DU301" s="336"/>
      <c r="DW301" s="336">
        <f t="shared" si="2108"/>
        <v>0</v>
      </c>
      <c r="DX301" s="336">
        <f t="shared" si="2102"/>
        <v>25</v>
      </c>
      <c r="DY301" s="336">
        <f t="shared" si="2103"/>
        <v>25</v>
      </c>
      <c r="DZ301" s="336">
        <f t="shared" si="2104"/>
        <v>25</v>
      </c>
      <c r="EA301" s="336">
        <f t="shared" si="2105"/>
        <v>0</v>
      </c>
      <c r="EB301" s="336">
        <f t="shared" si="2106"/>
        <v>0</v>
      </c>
      <c r="EC301" s="336">
        <f t="shared" si="2107"/>
        <v>0</v>
      </c>
      <c r="ED301" s="336">
        <f t="shared" si="2019"/>
        <v>0</v>
      </c>
      <c r="EE301" s="336">
        <f t="shared" si="2020"/>
        <v>0</v>
      </c>
      <c r="EF301" s="336">
        <f t="shared" si="2021"/>
        <v>0</v>
      </c>
      <c r="EG301" s="336">
        <f t="shared" si="2022"/>
        <v>0</v>
      </c>
      <c r="EH301" s="336">
        <f t="shared" si="2023"/>
        <v>0</v>
      </c>
      <c r="EI301" s="336">
        <f t="shared" si="2024"/>
        <v>0</v>
      </c>
      <c r="EJ301" s="336">
        <f t="shared" si="2025"/>
        <v>0</v>
      </c>
      <c r="EK301" s="336">
        <f t="shared" si="2026"/>
        <v>0</v>
      </c>
      <c r="EL301" s="336">
        <f t="shared" si="2027"/>
        <v>0</v>
      </c>
      <c r="EM301" s="336">
        <f t="shared" si="2028"/>
        <v>0</v>
      </c>
      <c r="EN301" s="336">
        <f t="shared" si="2029"/>
        <v>0</v>
      </c>
      <c r="EO301" s="336">
        <f t="shared" si="2030"/>
        <v>0</v>
      </c>
      <c r="EP301" s="336">
        <f t="shared" si="2031"/>
        <v>0</v>
      </c>
      <c r="EQ301" s="336">
        <f t="shared" si="2032"/>
        <v>0</v>
      </c>
      <c r="ER301" s="336">
        <f t="shared" si="2033"/>
        <v>0</v>
      </c>
      <c r="ES301" s="336">
        <f t="shared" si="2034"/>
        <v>0</v>
      </c>
      <c r="ET301" s="336">
        <f t="shared" si="2034"/>
        <v>0</v>
      </c>
      <c r="EU301" s="336">
        <f t="shared" si="2035"/>
        <v>0</v>
      </c>
      <c r="EV301" s="336">
        <f t="shared" si="2036"/>
        <v>0</v>
      </c>
      <c r="EW301" s="336">
        <f t="shared" si="2037"/>
        <v>0</v>
      </c>
      <c r="EX301" s="336">
        <f t="shared" si="2038"/>
        <v>0</v>
      </c>
      <c r="EY301" s="336">
        <f t="shared" si="2039"/>
        <v>0</v>
      </c>
      <c r="EZ301" s="336">
        <f t="shared" si="2040"/>
        <v>0</v>
      </c>
      <c r="FA301" s="336">
        <f t="shared" si="2041"/>
        <v>0</v>
      </c>
      <c r="FB301" s="336">
        <f t="shared" si="2042"/>
        <v>0</v>
      </c>
      <c r="FC301" s="336">
        <f t="shared" si="2043"/>
        <v>0</v>
      </c>
      <c r="FD301" s="336">
        <f t="shared" si="2044"/>
        <v>0</v>
      </c>
      <c r="FE301" s="336">
        <f t="shared" si="2045"/>
        <v>0</v>
      </c>
      <c r="FF301" s="336">
        <f t="shared" si="2046"/>
        <v>0</v>
      </c>
      <c r="FG301" s="336">
        <f t="shared" si="2047"/>
        <v>0</v>
      </c>
      <c r="FH301" s="336">
        <f t="shared" si="2048"/>
        <v>0</v>
      </c>
      <c r="FI301" s="336">
        <f t="shared" si="2049"/>
        <v>0</v>
      </c>
      <c r="FJ301" s="336">
        <f t="shared" si="2050"/>
        <v>0</v>
      </c>
      <c r="FK301" s="336">
        <f t="shared" si="2051"/>
        <v>0</v>
      </c>
      <c r="FL301" s="336">
        <f t="shared" si="2052"/>
        <v>0</v>
      </c>
      <c r="FM301" s="336">
        <f t="shared" si="2053"/>
        <v>0</v>
      </c>
      <c r="FN301" s="336">
        <f t="shared" si="2054"/>
        <v>0</v>
      </c>
      <c r="FO301" s="336">
        <f t="shared" si="2055"/>
        <v>0</v>
      </c>
      <c r="FP301" s="336">
        <f t="shared" si="2056"/>
        <v>0</v>
      </c>
      <c r="FQ301" s="336">
        <f t="shared" si="2057"/>
        <v>0</v>
      </c>
      <c r="FR301" s="336">
        <f t="shared" si="2058"/>
        <v>0</v>
      </c>
      <c r="FS301" s="336">
        <f t="shared" si="2059"/>
        <v>0</v>
      </c>
      <c r="FT301" s="336">
        <f t="shared" si="2060"/>
        <v>0</v>
      </c>
      <c r="FU301" s="336">
        <f t="shared" si="1980"/>
        <v>0</v>
      </c>
      <c r="FV301" s="336">
        <f t="shared" si="1981"/>
        <v>0</v>
      </c>
      <c r="FW301" s="336">
        <f t="shared" si="1982"/>
        <v>0</v>
      </c>
      <c r="FX301" s="336">
        <f t="shared" si="1983"/>
        <v>0</v>
      </c>
      <c r="FY301" s="336">
        <f t="shared" si="2061"/>
        <v>0</v>
      </c>
      <c r="FZ301" s="336">
        <f t="shared" si="2062"/>
        <v>0</v>
      </c>
      <c r="GA301" s="336">
        <f t="shared" si="2063"/>
        <v>0</v>
      </c>
      <c r="GB301" s="336">
        <f t="shared" si="2064"/>
        <v>0</v>
      </c>
      <c r="GC301" s="336">
        <f t="shared" si="2065"/>
        <v>0</v>
      </c>
      <c r="GD301" s="336">
        <f t="shared" si="2066"/>
        <v>0</v>
      </c>
      <c r="GE301" s="336">
        <f t="shared" si="2067"/>
        <v>0</v>
      </c>
      <c r="GF301" s="336">
        <f t="shared" si="2068"/>
        <v>0</v>
      </c>
      <c r="GG301" s="336">
        <f t="shared" si="2069"/>
        <v>0</v>
      </c>
      <c r="GH301" s="336">
        <f t="shared" si="2070"/>
        <v>0</v>
      </c>
      <c r="GI301" s="336">
        <f t="shared" si="2071"/>
        <v>0</v>
      </c>
      <c r="GJ301" s="336">
        <f t="shared" si="2072"/>
        <v>0</v>
      </c>
      <c r="GK301" s="336">
        <f t="shared" si="1988"/>
        <v>0</v>
      </c>
      <c r="GL301" s="336">
        <f t="shared" si="1984"/>
        <v>0</v>
      </c>
      <c r="GM301" s="336">
        <f t="shared" si="2073"/>
        <v>0</v>
      </c>
    </row>
    <row r="302" spans="1:195">
      <c r="A302" s="337">
        <f t="shared" ref="A302" si="2167">1+A301</f>
        <v>199</v>
      </c>
      <c r="B302" s="343" t="s">
        <v>527</v>
      </c>
      <c r="C302" s="337" t="str">
        <f t="shared" si="2109"/>
        <v>PDB-1</v>
      </c>
      <c r="D302" s="444" t="s">
        <v>750</v>
      </c>
      <c r="E302" s="500" t="s">
        <v>555</v>
      </c>
      <c r="F302" s="570" t="s">
        <v>29</v>
      </c>
      <c r="G302" s="337" t="s">
        <v>329</v>
      </c>
      <c r="H302" s="418">
        <v>18</v>
      </c>
      <c r="I302" s="337" t="s">
        <v>330</v>
      </c>
      <c r="J302" s="337" t="s">
        <v>331</v>
      </c>
      <c r="K302" s="349">
        <v>400</v>
      </c>
      <c r="L302" s="343">
        <v>0.85</v>
      </c>
      <c r="M302" s="350">
        <v>0.95</v>
      </c>
      <c r="N302" s="342">
        <f t="shared" si="2110"/>
        <v>32.175262228387169</v>
      </c>
      <c r="O302" s="342">
        <f t="shared" si="2111"/>
        <v>0</v>
      </c>
      <c r="P302" s="343" t="str">
        <f t="shared" si="2112"/>
        <v>0.00</v>
      </c>
      <c r="Q302" s="350">
        <v>50</v>
      </c>
      <c r="R302" s="350">
        <v>0</v>
      </c>
      <c r="S302" s="350">
        <f t="shared" si="2113"/>
        <v>0</v>
      </c>
      <c r="T302" s="343" t="s">
        <v>332</v>
      </c>
      <c r="U302" s="350" t="s">
        <v>535</v>
      </c>
      <c r="V302" s="343">
        <v>25</v>
      </c>
      <c r="W302" s="343" t="str">
        <f t="shared" si="2114"/>
        <v>3.5C X 25</v>
      </c>
      <c r="X302" s="343" t="str">
        <f t="shared" si="2115"/>
        <v>3.5C X 25</v>
      </c>
      <c r="Y302" s="343" t="s">
        <v>358</v>
      </c>
      <c r="Z302" s="344">
        <f>IF(T302="AIR",VLOOKUP(W302,'Catalogue Aluminium'!$B$9:$G$93,2,FALSE),IF(T302="GROUND",VLOOKUP(W302,'Catalogue Aluminium'!$B$9:$G$93,3,FALSE),IF(T302="DUCT",VLOOKUP(W302,'Catalogue Aluminium'!$B$9:$G$93,4,FALSE),IF(T302="TRENCH",VLOOKUP(W302,'Catalogue Aluminium'!$B$9:$G$93,2,FALSE)))))</f>
        <v>95</v>
      </c>
      <c r="AA302" s="345">
        <f>VLOOKUP(W302,'Catalogue Aluminium'!$B$9:$G$93,5,FALSE)</f>
        <v>1.54</v>
      </c>
      <c r="AB302" s="345">
        <f>VLOOKUP(W302,'Catalogue Aluminium'!$B$9:$G$93,6,FALSE)</f>
        <v>8.1600000000000006E-2</v>
      </c>
      <c r="AC302" s="457">
        <f t="shared" si="2149"/>
        <v>34</v>
      </c>
      <c r="AD302" s="388">
        <f t="shared" si="2150"/>
        <v>41</v>
      </c>
      <c r="AE302" s="457">
        <v>10</v>
      </c>
      <c r="AF302" s="401">
        <v>8</v>
      </c>
      <c r="AG302" s="401">
        <f t="shared" si="2116"/>
        <v>10</v>
      </c>
      <c r="AH302" s="347">
        <f t="shared" si="2117"/>
        <v>103</v>
      </c>
      <c r="AI302" s="344">
        <f>IF(T302="AIR",'Catalogue Aluminium'!$K$9,IF(T302="TRENCH",'Catalogue Aluminium'!$K$12,"NA"))</f>
        <v>0.89</v>
      </c>
      <c r="AJ302" s="342">
        <f>IF(T302="Air",(IF(U302="1C",'Catalogue Aluminium'!$L$9,'Catalogue Aluminium'!$M$9)),IF(T302="DUCT",(IF($U302="1C",'Catalogue Aluminium'!$L$10,'Catalogue Aluminium'!$M$10)),IF(T302="GROUND",(IF($U302="1C",'Catalogue Aluminium'!$L$11,'Catalogue Aluminium'!$M$11)),IF(T302="TRENCH",(IF($U302="1C",'Catalogue Aluminium'!$L$12,'Catalogue Aluminium'!$M$12))))))</f>
        <v>0.66</v>
      </c>
      <c r="AK302" s="344" t="str">
        <f>IF(T302="Air",'Catalogue Aluminium'!$N$9,IF(T302="GROUND",'Catalogue Aluminium'!$N$10,IF(T302="DUCT",'Catalogue Aluminium'!$N$11,IF(T302="TRENCH",'Catalogue Aluminium'!$N$12,"NA"))))</f>
        <v>NA</v>
      </c>
      <c r="AL302" s="344" t="str">
        <f>IF(T302="Air",(IF(U302="1C",'Catalogue Aluminium'!$O$9,'Catalogue Aluminium'!$P$9)),IF(T302="DUCT",(IF($U302="1C",'Catalogue Aluminium'!$O$10,'Catalogue Aluminium'!$P$10)),IF(T302="GROUND",(IF($U302="1C",'Catalogue Aluminium'!$O$11,'Catalogue Aluminium'!$P$11)),IF(T302="TRENCH",(IF($U302="1C",'Catalogue Aluminium'!$O$12,'Catalogue Aluminium'!$P$12))))))</f>
        <v>NA</v>
      </c>
      <c r="AM302" s="344" t="str">
        <f>IF(T302="AIR","NA",IF(T302="TRENCH","NA",IF(T302="DUCT",IF(U302="1C",VLOOKUP(V302,'Catalogue Aluminium'!$Q$9:$S$28,2,FALSE),VLOOKUP(V302,'Catalogue Aluminium'!$Q$9:$S$28,3)),IF(T302="GROUND",IF(U302="1C",VLOOKUP(V302,'Catalogue Aluminium'!$Q$9:$S$28,2,FALSE),VLOOKUP(V302,'Catalogue Aluminium'!$Q$9:$S$28,3))))))</f>
        <v>NA</v>
      </c>
      <c r="AN302" s="351">
        <f t="shared" si="2118"/>
        <v>0.58740000000000003</v>
      </c>
      <c r="AO302" s="350">
        <f t="shared" si="2119"/>
        <v>55.803000000000004</v>
      </c>
      <c r="AP302" s="349">
        <f t="shared" si="2120"/>
        <v>1</v>
      </c>
      <c r="AQ302" s="350" t="str">
        <f t="shared" si="2121"/>
        <v>YES</v>
      </c>
      <c r="AR302" s="351">
        <f t="shared" si="2122"/>
        <v>1.9401351284897463</v>
      </c>
      <c r="AS302" s="343" t="str">
        <f t="shared" si="2123"/>
        <v>YES</v>
      </c>
      <c r="AT302" s="351" t="str">
        <f t="shared" si="2124"/>
        <v>NA</v>
      </c>
      <c r="AU302" s="343" t="str">
        <f t="shared" si="2125"/>
        <v>NA</v>
      </c>
      <c r="AV302" s="354" t="str">
        <f t="shared" si="2126"/>
        <v>1R x 0.6/1kV x 3.5C x 25 Sqmm</v>
      </c>
      <c r="AW302" s="354" t="str">
        <f t="shared" si="2127"/>
        <v>1R x 0.6/1kV x 3.5C x 25 Sqmm</v>
      </c>
      <c r="AX302" s="343">
        <f t="shared" si="2128"/>
        <v>103</v>
      </c>
      <c r="AY302" s="355"/>
      <c r="AZ302" s="355">
        <f t="shared" si="2129"/>
        <v>2</v>
      </c>
      <c r="BA302" s="356" t="str">
        <f t="shared" si="2130"/>
        <v>ABB1</v>
      </c>
      <c r="BB302" s="501">
        <f>VLOOKUP(W302,'Catalogue Aluminium'!$B$9:$H$93,7,FALSE)</f>
        <v>25</v>
      </c>
      <c r="BC302" s="328">
        <f t="shared" si="2131"/>
        <v>25</v>
      </c>
      <c r="BE302" s="336"/>
      <c r="BF302" s="336">
        <v>1</v>
      </c>
      <c r="BG302" s="336">
        <v>1</v>
      </c>
      <c r="BH302" s="336">
        <v>1</v>
      </c>
      <c r="BI302" s="336"/>
      <c r="BJ302" s="336"/>
      <c r="BK302" s="336"/>
      <c r="BL302" s="336"/>
      <c r="BM302" s="336"/>
      <c r="BN302" s="336"/>
      <c r="BO302" s="336"/>
      <c r="BP302" s="336"/>
      <c r="BQ302" s="336"/>
      <c r="BR302" s="336"/>
      <c r="BS302" s="336"/>
      <c r="BT302" s="336"/>
      <c r="BU302" s="336"/>
      <c r="BV302" s="336"/>
      <c r="BW302" s="336"/>
      <c r="BX302" s="336"/>
      <c r="BY302" s="336"/>
      <c r="BZ302" s="336"/>
      <c r="CA302" s="336"/>
      <c r="CB302" s="336"/>
      <c r="CC302" s="336"/>
      <c r="CD302" s="336"/>
      <c r="CE302" s="336"/>
      <c r="CF302" s="336"/>
      <c r="CG302" s="336"/>
      <c r="CH302" s="336"/>
      <c r="CI302" s="336"/>
      <c r="CJ302" s="336"/>
      <c r="CK302" s="336"/>
      <c r="CL302" s="336"/>
      <c r="CM302" s="336"/>
      <c r="CN302" s="336"/>
      <c r="CO302" s="336"/>
      <c r="CP302" s="336"/>
      <c r="CQ302" s="336"/>
      <c r="CR302" s="336"/>
      <c r="CS302" s="336"/>
      <c r="CT302" s="336"/>
      <c r="CU302" s="336"/>
      <c r="CV302" s="336"/>
      <c r="CW302" s="336"/>
      <c r="CX302" s="336"/>
      <c r="CY302" s="336"/>
      <c r="CZ302" s="336"/>
      <c r="DA302" s="336"/>
      <c r="DB302" s="336"/>
      <c r="DC302" s="336"/>
      <c r="DD302" s="336"/>
      <c r="DE302" s="336"/>
      <c r="DF302" s="336"/>
      <c r="DG302" s="336"/>
      <c r="DH302" s="336"/>
      <c r="DI302" s="336"/>
      <c r="DJ302" s="336"/>
      <c r="DK302" s="336"/>
      <c r="DL302" s="336"/>
      <c r="DM302" s="336"/>
      <c r="DN302" s="336"/>
      <c r="DO302" s="336"/>
      <c r="DP302" s="336"/>
      <c r="DQ302" s="336"/>
      <c r="DR302" s="336"/>
      <c r="DS302" s="336"/>
      <c r="DT302" s="336"/>
      <c r="DU302" s="336"/>
      <c r="DW302" s="336">
        <f t="shared" si="2108"/>
        <v>0</v>
      </c>
      <c r="DX302" s="336">
        <f t="shared" si="2102"/>
        <v>25</v>
      </c>
      <c r="DY302" s="336">
        <f t="shared" si="2103"/>
        <v>25</v>
      </c>
      <c r="DZ302" s="336">
        <f t="shared" si="2104"/>
        <v>25</v>
      </c>
      <c r="EA302" s="336">
        <f t="shared" si="2105"/>
        <v>0</v>
      </c>
      <c r="EB302" s="336">
        <f t="shared" si="2106"/>
        <v>0</v>
      </c>
      <c r="EC302" s="336">
        <f t="shared" si="2107"/>
        <v>0</v>
      </c>
      <c r="ED302" s="336">
        <f t="shared" si="2019"/>
        <v>0</v>
      </c>
      <c r="EE302" s="336">
        <f t="shared" si="2020"/>
        <v>0</v>
      </c>
      <c r="EF302" s="336">
        <f t="shared" si="2021"/>
        <v>0</v>
      </c>
      <c r="EG302" s="336">
        <f t="shared" si="2022"/>
        <v>0</v>
      </c>
      <c r="EH302" s="336">
        <f t="shared" si="2023"/>
        <v>0</v>
      </c>
      <c r="EI302" s="336">
        <f t="shared" si="2024"/>
        <v>0</v>
      </c>
      <c r="EJ302" s="336">
        <f t="shared" si="2025"/>
        <v>0</v>
      </c>
      <c r="EK302" s="336">
        <f t="shared" si="2026"/>
        <v>0</v>
      </c>
      <c r="EL302" s="336">
        <f t="shared" si="2027"/>
        <v>0</v>
      </c>
      <c r="EM302" s="336">
        <f t="shared" si="2028"/>
        <v>0</v>
      </c>
      <c r="EN302" s="336">
        <f t="shared" si="2029"/>
        <v>0</v>
      </c>
      <c r="EO302" s="336">
        <f t="shared" si="2030"/>
        <v>0</v>
      </c>
      <c r="EP302" s="336">
        <f t="shared" si="2031"/>
        <v>0</v>
      </c>
      <c r="EQ302" s="336">
        <f t="shared" si="2032"/>
        <v>0</v>
      </c>
      <c r="ER302" s="336">
        <f t="shared" si="2033"/>
        <v>0</v>
      </c>
      <c r="ES302" s="336">
        <f t="shared" si="2034"/>
        <v>0</v>
      </c>
      <c r="ET302" s="336">
        <f t="shared" si="2034"/>
        <v>0</v>
      </c>
      <c r="EU302" s="336">
        <f t="shared" si="2035"/>
        <v>0</v>
      </c>
      <c r="EV302" s="336">
        <f t="shared" si="2036"/>
        <v>0</v>
      </c>
      <c r="EW302" s="336">
        <f t="shared" si="2037"/>
        <v>0</v>
      </c>
      <c r="EX302" s="336">
        <f t="shared" si="2038"/>
        <v>0</v>
      </c>
      <c r="EY302" s="336">
        <f t="shared" si="2039"/>
        <v>0</v>
      </c>
      <c r="EZ302" s="336">
        <f t="shared" si="2040"/>
        <v>0</v>
      </c>
      <c r="FA302" s="336">
        <f t="shared" si="2041"/>
        <v>0</v>
      </c>
      <c r="FB302" s="336">
        <f t="shared" si="2042"/>
        <v>0</v>
      </c>
      <c r="FC302" s="336">
        <f t="shared" si="2043"/>
        <v>0</v>
      </c>
      <c r="FD302" s="336">
        <f t="shared" si="2044"/>
        <v>0</v>
      </c>
      <c r="FE302" s="336">
        <f t="shared" si="2045"/>
        <v>0</v>
      </c>
      <c r="FF302" s="336">
        <f t="shared" si="2046"/>
        <v>0</v>
      </c>
      <c r="FG302" s="336">
        <f t="shared" si="2047"/>
        <v>0</v>
      </c>
      <c r="FH302" s="336">
        <f t="shared" si="2048"/>
        <v>0</v>
      </c>
      <c r="FI302" s="336">
        <f t="shared" si="2049"/>
        <v>0</v>
      </c>
      <c r="FJ302" s="336">
        <f t="shared" si="2050"/>
        <v>0</v>
      </c>
      <c r="FK302" s="336">
        <f t="shared" si="2051"/>
        <v>0</v>
      </c>
      <c r="FL302" s="336">
        <f t="shared" si="2052"/>
        <v>0</v>
      </c>
      <c r="FM302" s="336">
        <f t="shared" si="2053"/>
        <v>0</v>
      </c>
      <c r="FN302" s="336">
        <f t="shared" si="2054"/>
        <v>0</v>
      </c>
      <c r="FO302" s="336">
        <f t="shared" si="2055"/>
        <v>0</v>
      </c>
      <c r="FP302" s="336">
        <f t="shared" si="2056"/>
        <v>0</v>
      </c>
      <c r="FQ302" s="336">
        <f t="shared" si="2057"/>
        <v>0</v>
      </c>
      <c r="FR302" s="336">
        <f t="shared" si="2058"/>
        <v>0</v>
      </c>
      <c r="FS302" s="336">
        <f t="shared" si="2059"/>
        <v>0</v>
      </c>
      <c r="FT302" s="336">
        <f t="shared" si="2060"/>
        <v>0</v>
      </c>
      <c r="FU302" s="336">
        <f t="shared" si="1980"/>
        <v>0</v>
      </c>
      <c r="FV302" s="336">
        <f t="shared" si="1981"/>
        <v>0</v>
      </c>
      <c r="FW302" s="336">
        <f t="shared" si="1982"/>
        <v>0</v>
      </c>
      <c r="FX302" s="336">
        <f t="shared" si="1983"/>
        <v>0</v>
      </c>
      <c r="FY302" s="336">
        <f t="shared" si="2061"/>
        <v>0</v>
      </c>
      <c r="FZ302" s="336">
        <f t="shared" si="2062"/>
        <v>0</v>
      </c>
      <c r="GA302" s="336">
        <f t="shared" si="2063"/>
        <v>0</v>
      </c>
      <c r="GB302" s="336">
        <f t="shared" si="2064"/>
        <v>0</v>
      </c>
      <c r="GC302" s="336">
        <f t="shared" si="2065"/>
        <v>0</v>
      </c>
      <c r="GD302" s="336">
        <f t="shared" si="2066"/>
        <v>0</v>
      </c>
      <c r="GE302" s="336">
        <f t="shared" si="2067"/>
        <v>0</v>
      </c>
      <c r="GF302" s="336">
        <f t="shared" si="2068"/>
        <v>0</v>
      </c>
      <c r="GG302" s="336">
        <f t="shared" si="2069"/>
        <v>0</v>
      </c>
      <c r="GH302" s="336">
        <f t="shared" si="2070"/>
        <v>0</v>
      </c>
      <c r="GI302" s="336">
        <f t="shared" si="2071"/>
        <v>0</v>
      </c>
      <c r="GJ302" s="336">
        <f t="shared" si="2072"/>
        <v>0</v>
      </c>
      <c r="GK302" s="336">
        <f t="shared" si="1988"/>
        <v>0</v>
      </c>
      <c r="GL302" s="336">
        <f t="shared" si="1984"/>
        <v>0</v>
      </c>
      <c r="GM302" s="336">
        <f t="shared" si="2073"/>
        <v>0</v>
      </c>
    </row>
    <row r="303" spans="1:195" s="869" customFormat="1">
      <c r="A303" s="406">
        <f>1+A300</f>
        <v>198</v>
      </c>
      <c r="B303" s="409" t="s">
        <v>527</v>
      </c>
      <c r="C303" s="406" t="str">
        <f t="shared" si="2109"/>
        <v>PDB-1</v>
      </c>
      <c r="D303" s="901" t="s">
        <v>1703</v>
      </c>
      <c r="E303" s="580" t="s">
        <v>555</v>
      </c>
      <c r="F303" s="582" t="s">
        <v>28</v>
      </c>
      <c r="G303" s="406" t="s">
        <v>350</v>
      </c>
      <c r="H303" s="583">
        <v>75</v>
      </c>
      <c r="I303" s="406" t="s">
        <v>330</v>
      </c>
      <c r="J303" s="406" t="s">
        <v>331</v>
      </c>
      <c r="K303" s="585">
        <v>400</v>
      </c>
      <c r="L303" s="409">
        <v>0.85</v>
      </c>
      <c r="M303" s="583">
        <v>0.95400000000000007</v>
      </c>
      <c r="N303" s="407">
        <f t="shared" ref="N303:N306" si="2168">IF(I303="kVA",IF(J303="3Ph",(H303*1000/(1.732*M303*K303)),(H303*1000/(M303*K303))),IF(I303="kW",IF(J303="3Ph",(H303*1000/(1.732*M303*K303*L303)),(H303*1000/(M303*K303*L303)))))</f>
        <v>133.50148111883212</v>
      </c>
      <c r="O303" s="407">
        <f t="shared" ref="O303:O306" si="2169">IF(G303="MOTOR",(6*N303),IF(G303="VFD",(1*N303),0))</f>
        <v>801.00888671299276</v>
      </c>
      <c r="P303" s="409">
        <f t="shared" ref="P303:P306" si="2170">IF(G303="MOTOR",0.2,"0.00")</f>
        <v>0.2</v>
      </c>
      <c r="Q303" s="583">
        <v>50</v>
      </c>
      <c r="R303" s="583">
        <v>0</v>
      </c>
      <c r="S303" s="583">
        <f t="shared" ref="S303:S306" si="2171">(Q303*1000*SQRT(R303)/143)</f>
        <v>0</v>
      </c>
      <c r="T303" s="409" t="s">
        <v>332</v>
      </c>
      <c r="U303" s="583" t="s">
        <v>333</v>
      </c>
      <c r="V303" s="409">
        <v>70</v>
      </c>
      <c r="W303" s="409" t="str">
        <f t="shared" ref="W303:W306" si="2172">CONCATENATE(U303," X ",V303)</f>
        <v>3C X 70</v>
      </c>
      <c r="X303" s="409" t="str">
        <f t="shared" ref="X303:X306" si="2173">(IF(J303="1Ph",W303,IF(J303="3Ph",(IF(G303="MOTOR",(CONCATENATE(W303,"+PE")),W303)))))</f>
        <v>3C X 70+PE</v>
      </c>
      <c r="Y303" s="409" t="s">
        <v>358</v>
      </c>
      <c r="Z303" s="408">
        <f>IF(T303="AIR",VLOOKUP(W303,'Catalogue Aluminium'!$B$9:$G$93,2,FALSE),IF(T303="GROUND",VLOOKUP(W303,'Catalogue Aluminium'!$B$9:$G$93,3,FALSE),IF(T303="DUCT",VLOOKUP(W303,'Catalogue Aluminium'!$B$9:$G$93,4,FALSE),IF(T303="TRENCH",VLOOKUP(W303,'Catalogue Aluminium'!$B$9:$G$93,2,FALSE)))))</f>
        <v>177</v>
      </c>
      <c r="AA303" s="410">
        <f>VLOOKUP(W303,'Catalogue Aluminium'!$B$9:$G$93,5,FALSE)</f>
        <v>0.56699999999999995</v>
      </c>
      <c r="AB303" s="410">
        <f>VLOOKUP(W303,'Catalogue Aluminium'!$B$9:$G$93,6,FALSE)</f>
        <v>7.5200000000000003E-2</v>
      </c>
      <c r="AC303" s="896">
        <f>23+11</f>
        <v>34</v>
      </c>
      <c r="AD303" s="406">
        <f>31+10</f>
        <v>41</v>
      </c>
      <c r="AE303" s="896">
        <v>10</v>
      </c>
      <c r="AF303" s="409">
        <v>8</v>
      </c>
      <c r="AG303" s="409">
        <f t="shared" ref="AG303:AG306" si="2174">ROUNDUP((SUM(AC303:AF303)*0.1),0)</f>
        <v>10</v>
      </c>
      <c r="AH303" s="865">
        <f t="shared" ref="AH303:AH305" si="2175">SUM(AC303:AG303)</f>
        <v>103</v>
      </c>
      <c r="AI303" s="408">
        <f>IF(T303="AIR",'Catalogue Aluminium'!$K$9,IF(T303="TRENCH",'Catalogue Aluminium'!$K$12,"NA"))</f>
        <v>0.89</v>
      </c>
      <c r="AJ303" s="407">
        <f>IF(T303="Air",(IF(U303="1C",'Catalogue Aluminium'!$L$9,'Catalogue Aluminium'!$M$9)),IF(T303="DUCT",(IF($U303="1C",'Catalogue Aluminium'!$L$10,'Catalogue Aluminium'!$M$10)),IF(T303="GROUND",(IF($U303="1C",'Catalogue Aluminium'!$L$11,'Catalogue Aluminium'!$M$11)),IF(T303="TRENCH",(IF($U303="1C",'Catalogue Aluminium'!$L$12,'Catalogue Aluminium'!$M$12))))))</f>
        <v>0.66</v>
      </c>
      <c r="AK303" s="408" t="str">
        <f>IF(T303="Air",'Catalogue Aluminium'!$N$9,IF(T303="GROUND",'Catalogue Aluminium'!$N$10,IF(T303="DUCT",'Catalogue Aluminium'!$N$11,IF(T303="TRENCH",'Catalogue Aluminium'!$N$12,"NA"))))</f>
        <v>NA</v>
      </c>
      <c r="AL303" s="408" t="str">
        <f>IF(T303="Air",(IF(U303="1C",'Catalogue Aluminium'!$O$9,'Catalogue Aluminium'!$P$9)),IF(T303="DUCT",(IF($U303="1C",'Catalogue Aluminium'!$O$10,'Catalogue Aluminium'!$P$10)),IF(T303="GROUND",(IF($U303="1C",'Catalogue Aluminium'!$O$11,'Catalogue Aluminium'!$P$11)),IF(T303="TRENCH",(IF($U303="1C",'Catalogue Aluminium'!$O$12,'Catalogue Aluminium'!$P$12))))))</f>
        <v>NA</v>
      </c>
      <c r="AM303" s="408" t="str">
        <f>IF(T303="AIR","NA",IF(T303="TRENCH","NA",IF(T303="DUCT",IF(U303="1C",VLOOKUP(V303,'Catalogue Aluminium'!$Q$9:$S$28,2,FALSE),VLOOKUP(V303,'Catalogue Aluminium'!$Q$9:$S$28,3)),IF(T303="GROUND",IF(U303="1C",VLOOKUP(V303,'Catalogue Aluminium'!$Q$9:$S$28,2,FALSE),VLOOKUP(V303,'Catalogue Aluminium'!$Q$9:$S$28,3))))))</f>
        <v>NA</v>
      </c>
      <c r="AN303" s="584">
        <f t="shared" ref="AN303:AN306" si="2176">IF(T303="AIR",AI303*AJ303,IF(T303="TRENCH",AI303*AJ303,IF(T303="DUCT",AJ303*AK303*AL303*AM303,IF(T303="GROUND",AJ303*AK303*AL303*AM303))))</f>
        <v>0.58740000000000003</v>
      </c>
      <c r="AO303" s="583">
        <f t="shared" ref="AO303:AO306" si="2177">Z303*AN303</f>
        <v>103.96980000000001</v>
      </c>
      <c r="AP303" s="585">
        <f t="shared" ref="AP303:AP306" si="2178">CEILING(((N303)/AO303),1)</f>
        <v>2</v>
      </c>
      <c r="AQ303" s="583" t="str">
        <f t="shared" ref="AQ303:AQ306" si="2179">IF(AO303*AP303&gt;=N303,"YES","NO")</f>
        <v>YES</v>
      </c>
      <c r="AR303" s="584">
        <f t="shared" ref="AR303:AR305" si="2180">SQRT(3)*AH303*N303*((AA303*L303)+(AB303*SIN(ACOS(L303))))*100/(AP303*K303*1000)</f>
        <v>1.5527502391329788</v>
      </c>
      <c r="AS303" s="409" t="str">
        <f t="shared" ref="AS303:AS306" si="2181">IF(G303="INCOMER",(IF(AR303&lt;=2,"YES","NO")),IF(G303="POWER",(IF(AR303&lt;=2.5,"YES","NO")),IF(G303="MOTOR",(IF(AR303&lt;=3,"YES","NO")))))</f>
        <v>YES</v>
      </c>
      <c r="AT303" s="584">
        <f t="shared" ref="AT303:AT305" si="2182">IF(G303="MOTOR",(SQRT(3)*AH303*O303*((AA303*P303)+(AB303*SIN(ACOS(P303))))*100/(AP303*K303*1000)),"NA")</f>
        <v>3.3417508945893983</v>
      </c>
      <c r="AU303" s="409" t="str">
        <f t="shared" ref="AU303:AU306" si="2183">IF(G303="MOTOR",IF(AT303&lt;=15,"YES","NO"),"NA")</f>
        <v>YES</v>
      </c>
      <c r="AV303" s="586" t="str">
        <f t="shared" ref="AV303:AV306" si="2184">IF(U303="1C",CONCATENATE(AP303,"R x ",Y303,"kV x ",U303," x ",V303," Sqmm/Phase"),CONCATENATE(AP303,"R x ",0.6,"/1kV x ",U303," x ",V303," Sqmm"))</f>
        <v>2R x 0.6/1kV x 3C x 70 Sqmm</v>
      </c>
      <c r="AW303" s="586" t="str">
        <f t="shared" ref="AW303:AW306" si="2185">IF(U303="1C",CONCATENATE(AP303,"R x ",Y303,"kV x ",U303," x ",V303," Sqmm/Phase"),CONCATENATE(AP303,"R x ",0.6,"/1kV x ",U303," x ",V303,(IF(G303="MOTOR","+PE",""))," Sqmm"))</f>
        <v>2R x 0.6/1kV x 3C x 70+PE Sqmm</v>
      </c>
      <c r="AX303" s="409">
        <f t="shared" ref="AX303:AX305" si="2186">(IF(K303=400,(IF(U303="1C",(4*AH303*AP303),(AH303*AP303))),IF(K303=230,(AH303*AP303))))</f>
        <v>206</v>
      </c>
      <c r="AY303" s="866"/>
      <c r="AZ303" s="866">
        <f t="shared" ref="AZ303:AZ306" si="2187">IF(U303="1C",(3*AP303*2),(AP303*2))</f>
        <v>4</v>
      </c>
      <c r="BA303" s="867" t="str">
        <f t="shared" ref="BA303:BA306" si="2188">CONCATENATE(IF(BE303=1,BE$4,""),IF(BF303=1,BF$4,""),IF(BG303=1,BG$4,""),IF(BH303=1,BH$4,""),IF(BI303=1,BI$4,""),IF(BJ303=1,BJ$4,""),IF(BK303=1,BK$4,""),IF(BL303=1,BL$4,""),IF(BM303=1,BM$4,""),IF(BN303=1,BN$4,""),IF(BO303=1,BO$4,""),IF(BP303=1,BP$4,""),IF(BQ303=1,BQ$4,""),IF(BR303=1,BR$4,""),IF(BS303=1,BS$4,""),IF(BT303=1,BT$4,""),IF(BU303=1,BU$4,""),IF(BV303=1,BV$4,""),IF(BW303=1,BW$4,""),IF(BX303=1,BX$4,""),IF(BY303=1,BY$4,""),IF(BZ303=1,BZ$4,""),IF(CA303=1,CA$4,""),IF(CB303=1,CB$4,""),IF(CC303=1,CC$4,""),IF(CD303=1,CD$4,""),IF(CE303=1,CE$4,""),IF(CF303=1,CF$4,""),IF(CG303=1,CG$4,""),IF(CH303=1,CH$4,""),IF(CI303=1,CI$4,""),IF(CJ303=1,CJ$4,""),IF(CK303=1,CK$4,""),IF(CL303=1,CL$4,""),IF(CM303=1,CM$4,""),IF(CN303=1,CN$4,""),IF(CO303=1,CO$4,""),IF(CP303=1,CP$4,""),IF(CQ303=1,CQ$4,""),IF(CR303=1,CR$4,""),IF(CS303=1,CS$4,""),IF(CT303=1,CT$4,""),IF(CU303=1,CU$4,""),IF(CV303=1,CV$4,""),IF(CW303=1,CW$4,""),IF(CX303=1,CX$4,""),IF(CY303=1,CY$4,""),IF(CZ303=1,CZ$4,""),IF(DA303=1,DA$4,""),IF(DB303=1,DB$4,""),IF(DC303=1,DC$4,""),IF(DD303=1,DD$4,""),IF(DE303=1,DE$4,""),IF(DF303=1,DF$4,""),IF(DG303=1,DG$4,""),IF(DH303=1,DH$4,""),IF(DI303=1,DI$4,""),IF(DJ303=1,DJ$4,""),IF(DK303=1,DK$4,""),IF(DL303=1,DL$4,""),IF(DM303=1,DM$4,""),IF(DN303=1,DN$4,""),IF(DO303=1,DO$4,""),IF(DP303=1,DP$4,""),IF(DQ303=1,DQ$4,""),IF(DR303=1,DR$4,""),IF(DS303=1,DS$4,""),IF(DT303=1,DT$4,""),IF(DU303=1,DU$4,""))</f>
        <v>ABB1</v>
      </c>
      <c r="BB303" s="868">
        <f>VLOOKUP(W303,'Catalogue Aluminium'!$B$9:$H$93,7,FALSE)</f>
        <v>30</v>
      </c>
      <c r="BC303" s="789">
        <f t="shared" ref="BC303:BC306" si="2189">AP303*BB303</f>
        <v>60</v>
      </c>
      <c r="BE303" s="587"/>
      <c r="BF303" s="587">
        <v>1</v>
      </c>
      <c r="BG303" s="587">
        <v>1</v>
      </c>
      <c r="BH303" s="587">
        <v>1</v>
      </c>
      <c r="BI303" s="587"/>
      <c r="BJ303" s="587"/>
      <c r="BK303" s="587"/>
      <c r="BL303" s="587"/>
      <c r="BM303" s="587"/>
      <c r="BN303" s="587"/>
      <c r="BO303" s="587"/>
      <c r="BP303" s="587"/>
      <c r="BQ303" s="587"/>
      <c r="BR303" s="587"/>
      <c r="BS303" s="587"/>
      <c r="BT303" s="587"/>
      <c r="BU303" s="587"/>
      <c r="BV303" s="587"/>
      <c r="BW303" s="587"/>
      <c r="BX303" s="587"/>
      <c r="BY303" s="587"/>
      <c r="BZ303" s="587"/>
      <c r="CA303" s="587"/>
      <c r="CB303" s="587"/>
      <c r="CC303" s="587"/>
      <c r="CD303" s="587"/>
      <c r="CE303" s="587"/>
      <c r="CF303" s="587"/>
      <c r="CG303" s="587"/>
      <c r="CH303" s="587"/>
      <c r="CI303" s="587"/>
      <c r="CJ303" s="587"/>
      <c r="CK303" s="587"/>
      <c r="CL303" s="587"/>
      <c r="CM303" s="587"/>
      <c r="CN303" s="587"/>
      <c r="CO303" s="587"/>
      <c r="CP303" s="587"/>
      <c r="CQ303" s="587"/>
      <c r="CR303" s="587"/>
      <c r="CS303" s="587"/>
      <c r="CT303" s="587"/>
      <c r="CU303" s="587"/>
      <c r="CV303" s="587"/>
      <c r="CW303" s="587"/>
      <c r="CX303" s="587"/>
      <c r="CY303" s="587"/>
      <c r="CZ303" s="587"/>
      <c r="DA303" s="587"/>
      <c r="DB303" s="587"/>
      <c r="DC303" s="587"/>
      <c r="DD303" s="587"/>
      <c r="DE303" s="587"/>
      <c r="DF303" s="587"/>
      <c r="DG303" s="587"/>
      <c r="DH303" s="587"/>
      <c r="DI303" s="587"/>
      <c r="DJ303" s="587"/>
      <c r="DK303" s="587"/>
      <c r="DL303" s="587"/>
      <c r="DM303" s="587"/>
      <c r="DN303" s="587"/>
      <c r="DO303" s="587"/>
      <c r="DP303" s="587"/>
      <c r="DQ303" s="587"/>
      <c r="DR303" s="587"/>
      <c r="DS303" s="587"/>
      <c r="DT303" s="587"/>
      <c r="DU303" s="587"/>
      <c r="DW303" s="587">
        <f t="shared" ref="DW303:DW306" si="2190">IF(BE303=1,($BC303*BE303),0)</f>
        <v>0</v>
      </c>
      <c r="DX303" s="587">
        <f t="shared" ref="DX303:DX306" si="2191">IF(BF303=1,($BC303*BF303),0)</f>
        <v>60</v>
      </c>
      <c r="DY303" s="587">
        <f t="shared" ref="DY303:DY306" si="2192">IF(BG303=1,($BC303*BG303),0)</f>
        <v>60</v>
      </c>
      <c r="DZ303" s="587">
        <f t="shared" ref="DZ303:DZ306" si="2193">IF(BH303=1,($BC303*BH303),0)</f>
        <v>60</v>
      </c>
      <c r="EA303" s="587">
        <f t="shared" ref="EA303:EA306" si="2194">IF(BI303=1,($BC303*BI303),0)</f>
        <v>0</v>
      </c>
      <c r="EB303" s="587">
        <f t="shared" ref="EB303:EB306" si="2195">IF(BJ303=1,($BC303*BJ303),0)</f>
        <v>0</v>
      </c>
      <c r="EC303" s="587">
        <f t="shared" ref="EC303:EC306" si="2196">IF(BK303=1,($BC303*BK303),0)</f>
        <v>0</v>
      </c>
      <c r="ED303" s="587">
        <f t="shared" ref="ED303:ED306" si="2197">IF(BL303=1,($BC303*BL303),0)</f>
        <v>0</v>
      </c>
      <c r="EE303" s="587">
        <f t="shared" ref="EE303:EE306" si="2198">IF(BM303=1,($BC303*BM303),0)</f>
        <v>0</v>
      </c>
      <c r="EF303" s="587">
        <f t="shared" ref="EF303:EF306" si="2199">IF(BN303=1,($BC303*BN303),0)</f>
        <v>0</v>
      </c>
      <c r="EG303" s="587">
        <f t="shared" ref="EG303:EG306" si="2200">IF(BO303=1,($BC303*BO303),0)</f>
        <v>0</v>
      </c>
      <c r="EH303" s="587">
        <f t="shared" ref="EH303:EH306" si="2201">IF(BP303=1,($BC303*BP303),0)</f>
        <v>0</v>
      </c>
      <c r="EI303" s="587">
        <f t="shared" ref="EI303:EI306" si="2202">IF(BQ303=1,($BC303*BQ303),0)</f>
        <v>0</v>
      </c>
      <c r="EJ303" s="587">
        <f t="shared" ref="EJ303:EJ306" si="2203">IF(BR303=1,($BC303*BR303),0)</f>
        <v>0</v>
      </c>
      <c r="EK303" s="587">
        <f t="shared" ref="EK303:EK306" si="2204">IF(BS303=1,($BC303*BS303),0)</f>
        <v>0</v>
      </c>
      <c r="EL303" s="587">
        <f t="shared" ref="EL303:EL306" si="2205">IF(BT303=1,($BC303*BT303),0)</f>
        <v>0</v>
      </c>
      <c r="EM303" s="587">
        <f t="shared" ref="EM303:EM306" si="2206">IF(BU303=1,($BC303*BU303),0)</f>
        <v>0</v>
      </c>
      <c r="EN303" s="587">
        <f t="shared" ref="EN303:EN306" si="2207">IF(BV303=1,($BC303*BV303),0)</f>
        <v>0</v>
      </c>
      <c r="EO303" s="587">
        <f t="shared" ref="EO303:EO306" si="2208">IF(BW303=1,($BC303*BW303),0)</f>
        <v>0</v>
      </c>
      <c r="EP303" s="587">
        <f t="shared" ref="EP303:EP306" si="2209">IF(BX303=1,($BC303*BX303),0)</f>
        <v>0</v>
      </c>
      <c r="EQ303" s="587">
        <f t="shared" ref="EQ303:EQ306" si="2210">IF(BY303=1,($BC303*BY303),0)</f>
        <v>0</v>
      </c>
      <c r="ER303" s="587">
        <f t="shared" ref="ER303:ER306" si="2211">IF(BZ303=1,($BC303*BZ303),0)</f>
        <v>0</v>
      </c>
      <c r="ES303" s="587">
        <f t="shared" ref="ES303:ES306" si="2212">IF(CA303=1,($BC303*CA303),0)</f>
        <v>0</v>
      </c>
      <c r="ET303" s="587">
        <f t="shared" ref="ET303:ET306" si="2213">IF(CB303=1,($BC303*CB303),0)</f>
        <v>0</v>
      </c>
      <c r="EU303" s="587">
        <f t="shared" ref="EU303:EU306" si="2214">IF(CC303=1,($BC303*CC303),0)</f>
        <v>0</v>
      </c>
      <c r="EV303" s="587">
        <f t="shared" ref="EV303:EV306" si="2215">IF(CD303=1,($BC303*CD303),0)</f>
        <v>0</v>
      </c>
      <c r="EW303" s="587">
        <f t="shared" ref="EW303:EW306" si="2216">IF(CE303=1,($BC303*CE303),0)</f>
        <v>0</v>
      </c>
      <c r="EX303" s="587">
        <f t="shared" ref="EX303:EX306" si="2217">IF(CF303=1,($BC303*CF303),0)</f>
        <v>0</v>
      </c>
      <c r="EY303" s="587">
        <f t="shared" ref="EY303:EY306" si="2218">IF(CG303=1,($BC303*CG303),0)</f>
        <v>0</v>
      </c>
      <c r="EZ303" s="587">
        <f t="shared" ref="EZ303:EZ306" si="2219">IF(CH303=1,($BC303*CH303),0)</f>
        <v>0</v>
      </c>
      <c r="FA303" s="587">
        <f t="shared" ref="FA303:FA306" si="2220">IF(CI303=1,($BC303*CI303),0)</f>
        <v>0</v>
      </c>
      <c r="FB303" s="587">
        <f t="shared" ref="FB303:FB306" si="2221">IF(CJ303=1,($BC303*CJ303),0)</f>
        <v>0</v>
      </c>
      <c r="FC303" s="587">
        <f t="shared" ref="FC303:FC306" si="2222">IF(CK303=1,($BC303*CK303),0)</f>
        <v>0</v>
      </c>
      <c r="FD303" s="587">
        <f t="shared" ref="FD303:FD306" si="2223">IF(CL303=1,($BC303*CL303),0)</f>
        <v>0</v>
      </c>
      <c r="FE303" s="587">
        <f t="shared" ref="FE303:FE306" si="2224">IF(CM303=1,($BC303*CM303),0)</f>
        <v>0</v>
      </c>
      <c r="FF303" s="587">
        <f t="shared" ref="FF303:FF306" si="2225">IF(CN303=1,($BC303*CN303),0)</f>
        <v>0</v>
      </c>
      <c r="FG303" s="587">
        <f t="shared" ref="FG303:FG306" si="2226">IF(CO303=1,($BC303*CO303),0)</f>
        <v>0</v>
      </c>
      <c r="FH303" s="587">
        <f t="shared" ref="FH303:FH306" si="2227">IF(CP303=1,($BC303*CP303),0)</f>
        <v>0</v>
      </c>
      <c r="FI303" s="587">
        <f t="shared" ref="FI303:FI306" si="2228">IF(CQ303=1,($BC303*CQ303),0)</f>
        <v>0</v>
      </c>
      <c r="FJ303" s="587">
        <f t="shared" ref="FJ303:FJ306" si="2229">IF(CR303=1,($BC303*CR303),0)</f>
        <v>0</v>
      </c>
      <c r="FK303" s="587">
        <f t="shared" ref="FK303:FK306" si="2230">IF(CS303=1,($BC303*CS303),0)</f>
        <v>0</v>
      </c>
      <c r="FL303" s="587">
        <f t="shared" ref="FL303:FL306" si="2231">IF(CT303=1,($BC303*CT303),0)</f>
        <v>0</v>
      </c>
      <c r="FM303" s="587">
        <f t="shared" ref="FM303:FM306" si="2232">IF(CU303=1,($BC303*CU303),0)</f>
        <v>0</v>
      </c>
      <c r="FN303" s="587">
        <f t="shared" ref="FN303:FN306" si="2233">IF(CV303=1,($BC303*CV303),0)</f>
        <v>0</v>
      </c>
      <c r="FO303" s="587">
        <f t="shared" ref="FO303:FO306" si="2234">IF(CW303=1,($BC303*CW303),0)</f>
        <v>0</v>
      </c>
      <c r="FP303" s="587">
        <f t="shared" ref="FP303:FP306" si="2235">IF(CX303=1,($BC303*CX303),0)</f>
        <v>0</v>
      </c>
      <c r="FQ303" s="587">
        <f t="shared" ref="FQ303:FQ306" si="2236">IF(CY303=1,($BC303*CY303),0)</f>
        <v>0</v>
      </c>
      <c r="FR303" s="587">
        <f t="shared" ref="FR303:FR306" si="2237">IF(CZ303=1,($BC303*CZ303),0)</f>
        <v>0</v>
      </c>
      <c r="FS303" s="587">
        <f t="shared" ref="FS303:FS306" si="2238">IF(DA303=1,($BC303*DA303),0)</f>
        <v>0</v>
      </c>
      <c r="FT303" s="587">
        <f t="shared" ref="FT303:FT306" si="2239">IF(DB303=1,($BC303*DB303),0)</f>
        <v>0</v>
      </c>
      <c r="FU303" s="587">
        <f t="shared" ref="FU303:FU306" si="2240">IF(DC303=1,($BC303*DC303),0)</f>
        <v>0</v>
      </c>
      <c r="FV303" s="587">
        <f t="shared" ref="FV303:FV306" si="2241">IF(DD303=1,($BC303*DD303),0)</f>
        <v>0</v>
      </c>
      <c r="FW303" s="587">
        <f t="shared" ref="FW303:FW306" si="2242">IF(DE303=1,($BC303*DE303),0)</f>
        <v>0</v>
      </c>
      <c r="FX303" s="587">
        <f t="shared" ref="FX303:FX306" si="2243">IF(DF303=1,($BC303*DF303),0)</f>
        <v>0</v>
      </c>
      <c r="FY303" s="587">
        <f t="shared" ref="FY303:FY306" si="2244">IF(DG303=1,($BC303*DG303),0)</f>
        <v>0</v>
      </c>
      <c r="FZ303" s="587">
        <f t="shared" ref="FZ303:FZ306" si="2245">IF(DH303=1,($BC303*DH303),0)</f>
        <v>0</v>
      </c>
      <c r="GA303" s="587">
        <f t="shared" ref="GA303:GA306" si="2246">IF(DI303=1,($BC303*DI303),0)</f>
        <v>0</v>
      </c>
      <c r="GB303" s="587">
        <f t="shared" ref="GB303:GB306" si="2247">IF(DJ303=1,($BC303*DJ303),0)</f>
        <v>0</v>
      </c>
      <c r="GC303" s="587">
        <f t="shared" ref="GC303:GC306" si="2248">IF(DK303=1,($BC303*DK303),0)</f>
        <v>0</v>
      </c>
      <c r="GD303" s="587">
        <f t="shared" ref="GD303:GD306" si="2249">IF(DL303=1,($BC303*DL303),0)</f>
        <v>0</v>
      </c>
      <c r="GE303" s="587">
        <f t="shared" ref="GE303:GE306" si="2250">IF(DM303=1,($BC303*DM303),0)</f>
        <v>0</v>
      </c>
      <c r="GF303" s="587">
        <f t="shared" ref="GF303:GF306" si="2251">IF(DN303=1,($BC303*DN303),0)</f>
        <v>0</v>
      </c>
      <c r="GG303" s="587">
        <f t="shared" ref="GG303:GG306" si="2252">IF(DO303=1,($BC303*DO303),0)</f>
        <v>0</v>
      </c>
      <c r="GH303" s="587">
        <f t="shared" ref="GH303:GH306" si="2253">IF(DP303=1,($BC303*DP303),0)</f>
        <v>0</v>
      </c>
      <c r="GI303" s="587">
        <f t="shared" ref="GI303:GI306" si="2254">IF(DQ303=1,($BC303*DQ303),0)</f>
        <v>0</v>
      </c>
      <c r="GJ303" s="587">
        <f t="shared" ref="GJ303:GJ306" si="2255">IF(DR303=1,($BC303*DR303),0)</f>
        <v>0</v>
      </c>
      <c r="GK303" s="587">
        <f t="shared" ref="GK303:GK306" si="2256">IF(DS303=1,($BC303*DS303),0)</f>
        <v>0</v>
      </c>
      <c r="GL303" s="587">
        <f t="shared" ref="GL303:GL306" si="2257">IF(DT303=1,($BC303*DT303),0)</f>
        <v>0</v>
      </c>
      <c r="GM303" s="587">
        <f t="shared" ref="GM303:GM306" si="2258">IF(DU303=1,($BC303*DU303),0)</f>
        <v>0</v>
      </c>
    </row>
    <row r="304" spans="1:195" s="869" customFormat="1">
      <c r="A304" s="406">
        <f t="shared" ref="A304:A306" si="2259">1+A303</f>
        <v>199</v>
      </c>
      <c r="B304" s="409" t="s">
        <v>527</v>
      </c>
      <c r="C304" s="406" t="str">
        <f t="shared" si="2109"/>
        <v>PDB-1</v>
      </c>
      <c r="D304" s="901" t="s">
        <v>1704</v>
      </c>
      <c r="E304" s="580" t="s">
        <v>555</v>
      </c>
      <c r="F304" s="582" t="s">
        <v>28</v>
      </c>
      <c r="G304" s="406" t="s">
        <v>329</v>
      </c>
      <c r="H304" s="864">
        <v>0.2</v>
      </c>
      <c r="I304" s="406" t="s">
        <v>330</v>
      </c>
      <c r="J304" s="406" t="s">
        <v>357</v>
      </c>
      <c r="K304" s="585">
        <v>230</v>
      </c>
      <c r="L304" s="409">
        <v>0.85</v>
      </c>
      <c r="M304" s="583">
        <v>0.95</v>
      </c>
      <c r="N304" s="407">
        <f t="shared" si="2168"/>
        <v>1.0768609503297888</v>
      </c>
      <c r="O304" s="407">
        <f t="shared" si="2169"/>
        <v>0</v>
      </c>
      <c r="P304" s="409" t="str">
        <f t="shared" si="2170"/>
        <v>0.00</v>
      </c>
      <c r="Q304" s="583">
        <v>65</v>
      </c>
      <c r="R304" s="583">
        <v>0</v>
      </c>
      <c r="S304" s="583">
        <f t="shared" si="2171"/>
        <v>0</v>
      </c>
      <c r="T304" s="409" t="s">
        <v>131</v>
      </c>
      <c r="U304" s="583" t="s">
        <v>333</v>
      </c>
      <c r="V304" s="409">
        <v>2.5</v>
      </c>
      <c r="W304" s="409" t="str">
        <f t="shared" si="2172"/>
        <v>3C X 2.5</v>
      </c>
      <c r="X304" s="409" t="str">
        <f t="shared" si="2173"/>
        <v>3C X 2.5</v>
      </c>
      <c r="Y304" s="409" t="s">
        <v>358</v>
      </c>
      <c r="Z304" s="408">
        <f>IF(T304="AIR",VLOOKUP(W304,'Catalogue Aluminium'!$B$9:$G$93,2,FALSE),IF(T304="GROUND",VLOOKUP(W304,'Catalogue Aluminium'!$B$9:$G$93,3,FALSE),IF(T304="DUCT",VLOOKUP(W304,'Catalogue Aluminium'!$B$9:$G$93,4,FALSE),IF(T304="TRENCH",VLOOKUP(W304,'Catalogue Aluminium'!$B$9:$G$93,2,FALSE)))))</f>
        <v>28</v>
      </c>
      <c r="AA304" s="410">
        <f>VLOOKUP(W304,'Catalogue Aluminium'!$B$9:$G$93,5,FALSE)</f>
        <v>9.48</v>
      </c>
      <c r="AB304" s="410">
        <f>VLOOKUP(W304,'Catalogue Aluminium'!$B$9:$G$93,6,FALSE)</f>
        <v>0.1007</v>
      </c>
      <c r="AC304" s="896">
        <f>23+11</f>
        <v>34</v>
      </c>
      <c r="AD304" s="406">
        <f>31+10</f>
        <v>41</v>
      </c>
      <c r="AE304" s="896">
        <v>10</v>
      </c>
      <c r="AF304" s="409">
        <v>8</v>
      </c>
      <c r="AG304" s="409">
        <f t="shared" si="2174"/>
        <v>10</v>
      </c>
      <c r="AH304" s="865">
        <f t="shared" si="2175"/>
        <v>103</v>
      </c>
      <c r="AI304" s="408">
        <f>IF(T304="AIR",'Catalogue Aluminium'!$K$9,IF(T304="TRENCH",'Catalogue Aluminium'!$K$12,"NA"))</f>
        <v>0.89</v>
      </c>
      <c r="AJ304" s="407">
        <f>IF(T304="Air",(IF(U304="1C",'Catalogue Aluminium'!$L$9,'Catalogue Aluminium'!$M$9)),IF(T304="DUCT",(IF($U304="1C",'Catalogue Aluminium'!$L$10,'Catalogue Aluminium'!$M$10)),IF(T304="GROUND",(IF($U304="1C",'Catalogue Aluminium'!$L$11,'Catalogue Aluminium'!$M$11)),IF(T304="TRENCH",(IF($U304="1C",'Catalogue Aluminium'!$L$12,'Catalogue Aluminium'!$M$12))))))</f>
        <v>0.66</v>
      </c>
      <c r="AK304" s="408" t="str">
        <f>IF(T304="Air",'Catalogue Aluminium'!$N$9,IF(T304="GROUND",'Catalogue Aluminium'!$N$10,IF(T304="DUCT",'Catalogue Aluminium'!$N$11,IF(T304="TRENCH",'Catalogue Aluminium'!$N$12,"NA"))))</f>
        <v>NA</v>
      </c>
      <c r="AL304" s="408" t="str">
        <f>IF(T304="Air",(IF(U304="1C",'Catalogue Aluminium'!$O$9,'Catalogue Aluminium'!$P$9)),IF(T304="DUCT",(IF($U304="1C",'Catalogue Aluminium'!$O$10,'Catalogue Aluminium'!$P$10)),IF(T304="GROUND",(IF($U304="1C",'Catalogue Aluminium'!$O$11,'Catalogue Aluminium'!$P$11)),IF(T304="TRENCH",(IF($U304="1C",'Catalogue Aluminium'!$O$12,'Catalogue Aluminium'!$P$12))))))</f>
        <v>NA</v>
      </c>
      <c r="AM304" s="408" t="str">
        <f>IF(T304="AIR","NA",IF(T304="TRENCH","NA",IF(T304="DUCT",IF(U304="1C",VLOOKUP(V304,'Catalogue Aluminium'!$Q$9:$S$28,2,FALSE),VLOOKUP(V304,'Catalogue Aluminium'!$Q$9:$S$28,3)),IF(T304="GROUND",IF(U304="1C",VLOOKUP(V304,'Catalogue Aluminium'!$Q$9:$S$28,2,FALSE),VLOOKUP(V304,'Catalogue Aluminium'!$Q$9:$S$28,3))))))</f>
        <v>NA</v>
      </c>
      <c r="AN304" s="584">
        <f t="shared" si="2176"/>
        <v>0.58740000000000003</v>
      </c>
      <c r="AO304" s="583">
        <f t="shared" si="2177"/>
        <v>16.447200000000002</v>
      </c>
      <c r="AP304" s="585">
        <f t="shared" si="2178"/>
        <v>1</v>
      </c>
      <c r="AQ304" s="583" t="str">
        <f t="shared" si="2179"/>
        <v>YES</v>
      </c>
      <c r="AR304" s="584">
        <f t="shared" si="2180"/>
        <v>0.67749573183692458</v>
      </c>
      <c r="AS304" s="409" t="str">
        <f t="shared" si="2181"/>
        <v>YES</v>
      </c>
      <c r="AT304" s="584" t="str">
        <f t="shared" si="2182"/>
        <v>NA</v>
      </c>
      <c r="AU304" s="409" t="str">
        <f t="shared" si="2183"/>
        <v>NA</v>
      </c>
      <c r="AV304" s="586" t="str">
        <f t="shared" si="2184"/>
        <v>1R x 0.6/1kV x 3C x 2.5 Sqmm</v>
      </c>
      <c r="AW304" s="586" t="str">
        <f t="shared" si="2185"/>
        <v>1R x 0.6/1kV x 3C x 2.5 Sqmm</v>
      </c>
      <c r="AX304" s="409">
        <f t="shared" si="2186"/>
        <v>103</v>
      </c>
      <c r="AY304" s="866"/>
      <c r="AZ304" s="866">
        <f t="shared" si="2187"/>
        <v>2</v>
      </c>
      <c r="BA304" s="867" t="str">
        <f t="shared" si="2188"/>
        <v>ABB1</v>
      </c>
      <c r="BB304" s="868">
        <f>VLOOKUP(W304,'Catalogue Aluminium'!$B$9:$H$93,7,FALSE)</f>
        <v>14</v>
      </c>
      <c r="BC304" s="789">
        <f t="shared" si="2189"/>
        <v>14</v>
      </c>
      <c r="BE304" s="587"/>
      <c r="BF304" s="587">
        <v>1</v>
      </c>
      <c r="BG304" s="587">
        <v>1</v>
      </c>
      <c r="BH304" s="587">
        <v>1</v>
      </c>
      <c r="BI304" s="587"/>
      <c r="BJ304" s="587"/>
      <c r="BK304" s="587"/>
      <c r="BL304" s="587"/>
      <c r="BM304" s="587"/>
      <c r="BN304" s="587"/>
      <c r="BO304" s="587"/>
      <c r="BP304" s="587"/>
      <c r="BQ304" s="587"/>
      <c r="BR304" s="587"/>
      <c r="BS304" s="587"/>
      <c r="BT304" s="587"/>
      <c r="BU304" s="587"/>
      <c r="BV304" s="587"/>
      <c r="BW304" s="587"/>
      <c r="BX304" s="587"/>
      <c r="BY304" s="587"/>
      <c r="BZ304" s="587"/>
      <c r="CA304" s="587"/>
      <c r="CB304" s="587"/>
      <c r="CC304" s="587"/>
      <c r="CD304" s="587"/>
      <c r="CE304" s="587"/>
      <c r="CF304" s="587"/>
      <c r="CG304" s="587"/>
      <c r="CH304" s="587"/>
      <c r="CI304" s="587"/>
      <c r="CJ304" s="587"/>
      <c r="CK304" s="587"/>
      <c r="CL304" s="587"/>
      <c r="CM304" s="587"/>
      <c r="CN304" s="587"/>
      <c r="CO304" s="587"/>
      <c r="CP304" s="587"/>
      <c r="CQ304" s="587"/>
      <c r="CR304" s="587"/>
      <c r="CS304" s="587"/>
      <c r="CT304" s="587"/>
      <c r="CU304" s="587"/>
      <c r="CV304" s="587"/>
      <c r="CW304" s="587"/>
      <c r="CX304" s="587"/>
      <c r="CY304" s="587"/>
      <c r="CZ304" s="587"/>
      <c r="DA304" s="587"/>
      <c r="DB304" s="587"/>
      <c r="DC304" s="587"/>
      <c r="DD304" s="587"/>
      <c r="DE304" s="587"/>
      <c r="DF304" s="587"/>
      <c r="DG304" s="587"/>
      <c r="DH304" s="587"/>
      <c r="DI304" s="587"/>
      <c r="DJ304" s="587"/>
      <c r="DK304" s="587"/>
      <c r="DL304" s="587"/>
      <c r="DM304" s="587"/>
      <c r="DN304" s="587"/>
      <c r="DO304" s="587"/>
      <c r="DP304" s="587"/>
      <c r="DQ304" s="587"/>
      <c r="DR304" s="587"/>
      <c r="DS304" s="587"/>
      <c r="DT304" s="587"/>
      <c r="DU304" s="587"/>
      <c r="DW304" s="587">
        <f t="shared" si="2190"/>
        <v>0</v>
      </c>
      <c r="DX304" s="587">
        <f t="shared" si="2191"/>
        <v>14</v>
      </c>
      <c r="DY304" s="587">
        <f t="shared" si="2192"/>
        <v>14</v>
      </c>
      <c r="DZ304" s="587">
        <f t="shared" si="2193"/>
        <v>14</v>
      </c>
      <c r="EA304" s="587">
        <f t="shared" si="2194"/>
        <v>0</v>
      </c>
      <c r="EB304" s="587">
        <f t="shared" si="2195"/>
        <v>0</v>
      </c>
      <c r="EC304" s="587">
        <f t="shared" si="2196"/>
        <v>0</v>
      </c>
      <c r="ED304" s="587">
        <f t="shared" si="2197"/>
        <v>0</v>
      </c>
      <c r="EE304" s="587">
        <f t="shared" si="2198"/>
        <v>0</v>
      </c>
      <c r="EF304" s="587">
        <f t="shared" si="2199"/>
        <v>0</v>
      </c>
      <c r="EG304" s="587">
        <f t="shared" si="2200"/>
        <v>0</v>
      </c>
      <c r="EH304" s="587">
        <f t="shared" si="2201"/>
        <v>0</v>
      </c>
      <c r="EI304" s="587">
        <f t="shared" si="2202"/>
        <v>0</v>
      </c>
      <c r="EJ304" s="587">
        <f t="shared" si="2203"/>
        <v>0</v>
      </c>
      <c r="EK304" s="587">
        <f t="shared" si="2204"/>
        <v>0</v>
      </c>
      <c r="EL304" s="587">
        <f t="shared" si="2205"/>
        <v>0</v>
      </c>
      <c r="EM304" s="587">
        <f t="shared" si="2206"/>
        <v>0</v>
      </c>
      <c r="EN304" s="587">
        <f t="shared" si="2207"/>
        <v>0</v>
      </c>
      <c r="EO304" s="587">
        <f t="shared" si="2208"/>
        <v>0</v>
      </c>
      <c r="EP304" s="587">
        <f t="shared" si="2209"/>
        <v>0</v>
      </c>
      <c r="EQ304" s="587">
        <f t="shared" si="2210"/>
        <v>0</v>
      </c>
      <c r="ER304" s="587">
        <f t="shared" si="2211"/>
        <v>0</v>
      </c>
      <c r="ES304" s="587">
        <f t="shared" si="2212"/>
        <v>0</v>
      </c>
      <c r="ET304" s="587">
        <f t="shared" si="2213"/>
        <v>0</v>
      </c>
      <c r="EU304" s="587">
        <f t="shared" si="2214"/>
        <v>0</v>
      </c>
      <c r="EV304" s="587">
        <f t="shared" si="2215"/>
        <v>0</v>
      </c>
      <c r="EW304" s="587">
        <f t="shared" si="2216"/>
        <v>0</v>
      </c>
      <c r="EX304" s="587">
        <f t="shared" si="2217"/>
        <v>0</v>
      </c>
      <c r="EY304" s="587">
        <f t="shared" si="2218"/>
        <v>0</v>
      </c>
      <c r="EZ304" s="587">
        <f t="shared" si="2219"/>
        <v>0</v>
      </c>
      <c r="FA304" s="587">
        <f t="shared" si="2220"/>
        <v>0</v>
      </c>
      <c r="FB304" s="587">
        <f t="shared" si="2221"/>
        <v>0</v>
      </c>
      <c r="FC304" s="587">
        <f t="shared" si="2222"/>
        <v>0</v>
      </c>
      <c r="FD304" s="587">
        <f t="shared" si="2223"/>
        <v>0</v>
      </c>
      <c r="FE304" s="587">
        <f t="shared" si="2224"/>
        <v>0</v>
      </c>
      <c r="FF304" s="587">
        <f t="shared" si="2225"/>
        <v>0</v>
      </c>
      <c r="FG304" s="587">
        <f t="shared" si="2226"/>
        <v>0</v>
      </c>
      <c r="FH304" s="587">
        <f t="shared" si="2227"/>
        <v>0</v>
      </c>
      <c r="FI304" s="587">
        <f t="shared" si="2228"/>
        <v>0</v>
      </c>
      <c r="FJ304" s="587">
        <f t="shared" si="2229"/>
        <v>0</v>
      </c>
      <c r="FK304" s="587">
        <f t="shared" si="2230"/>
        <v>0</v>
      </c>
      <c r="FL304" s="587">
        <f t="shared" si="2231"/>
        <v>0</v>
      </c>
      <c r="FM304" s="587">
        <f t="shared" si="2232"/>
        <v>0</v>
      </c>
      <c r="FN304" s="587">
        <f t="shared" si="2233"/>
        <v>0</v>
      </c>
      <c r="FO304" s="587">
        <f t="shared" si="2234"/>
        <v>0</v>
      </c>
      <c r="FP304" s="587">
        <f t="shared" si="2235"/>
        <v>0</v>
      </c>
      <c r="FQ304" s="587">
        <f t="shared" si="2236"/>
        <v>0</v>
      </c>
      <c r="FR304" s="587">
        <f t="shared" si="2237"/>
        <v>0</v>
      </c>
      <c r="FS304" s="587">
        <f t="shared" si="2238"/>
        <v>0</v>
      </c>
      <c r="FT304" s="587">
        <f t="shared" si="2239"/>
        <v>0</v>
      </c>
      <c r="FU304" s="587">
        <f t="shared" si="2240"/>
        <v>0</v>
      </c>
      <c r="FV304" s="587">
        <f t="shared" si="2241"/>
        <v>0</v>
      </c>
      <c r="FW304" s="587">
        <f t="shared" si="2242"/>
        <v>0</v>
      </c>
      <c r="FX304" s="587">
        <f t="shared" si="2243"/>
        <v>0</v>
      </c>
      <c r="FY304" s="587">
        <f t="shared" si="2244"/>
        <v>0</v>
      </c>
      <c r="FZ304" s="587">
        <f t="shared" si="2245"/>
        <v>0</v>
      </c>
      <c r="GA304" s="587">
        <f t="shared" si="2246"/>
        <v>0</v>
      </c>
      <c r="GB304" s="587">
        <f t="shared" si="2247"/>
        <v>0</v>
      </c>
      <c r="GC304" s="587">
        <f t="shared" si="2248"/>
        <v>0</v>
      </c>
      <c r="GD304" s="587">
        <f t="shared" si="2249"/>
        <v>0</v>
      </c>
      <c r="GE304" s="587">
        <f t="shared" si="2250"/>
        <v>0</v>
      </c>
      <c r="GF304" s="587">
        <f t="shared" si="2251"/>
        <v>0</v>
      </c>
      <c r="GG304" s="587">
        <f t="shared" si="2252"/>
        <v>0</v>
      </c>
      <c r="GH304" s="587">
        <f t="shared" si="2253"/>
        <v>0</v>
      </c>
      <c r="GI304" s="587">
        <f t="shared" si="2254"/>
        <v>0</v>
      </c>
      <c r="GJ304" s="587">
        <f t="shared" si="2255"/>
        <v>0</v>
      </c>
      <c r="GK304" s="587">
        <f t="shared" si="2256"/>
        <v>0</v>
      </c>
      <c r="GL304" s="587">
        <f t="shared" si="2257"/>
        <v>0</v>
      </c>
      <c r="GM304" s="587">
        <f t="shared" si="2258"/>
        <v>0</v>
      </c>
    </row>
    <row r="305" spans="1:195" s="869" customFormat="1">
      <c r="A305" s="406">
        <f t="shared" si="2259"/>
        <v>200</v>
      </c>
      <c r="B305" s="409" t="s">
        <v>527</v>
      </c>
      <c r="C305" s="406" t="str">
        <f t="shared" si="2109"/>
        <v>PDB-1</v>
      </c>
      <c r="D305" s="901" t="s">
        <v>1705</v>
      </c>
      <c r="E305" s="580" t="s">
        <v>555</v>
      </c>
      <c r="F305" s="582" t="s">
        <v>28</v>
      </c>
      <c r="G305" s="406" t="s">
        <v>329</v>
      </c>
      <c r="H305" s="583">
        <v>15</v>
      </c>
      <c r="I305" s="406" t="s">
        <v>330</v>
      </c>
      <c r="J305" s="406" t="s">
        <v>331</v>
      </c>
      <c r="K305" s="585">
        <v>400</v>
      </c>
      <c r="L305" s="409">
        <v>0.85</v>
      </c>
      <c r="M305" s="583">
        <v>0.95</v>
      </c>
      <c r="N305" s="407">
        <f t="shared" si="2168"/>
        <v>26.81271852365597</v>
      </c>
      <c r="O305" s="407">
        <f t="shared" si="2169"/>
        <v>0</v>
      </c>
      <c r="P305" s="409" t="str">
        <f t="shared" si="2170"/>
        <v>0.00</v>
      </c>
      <c r="Q305" s="583">
        <v>50</v>
      </c>
      <c r="R305" s="583">
        <v>0</v>
      </c>
      <c r="S305" s="583">
        <f t="shared" si="2171"/>
        <v>0</v>
      </c>
      <c r="T305" s="409" t="s">
        <v>332</v>
      </c>
      <c r="U305" s="583" t="s">
        <v>535</v>
      </c>
      <c r="V305" s="409">
        <v>25</v>
      </c>
      <c r="W305" s="409" t="str">
        <f t="shared" si="2172"/>
        <v>3.5C X 25</v>
      </c>
      <c r="X305" s="409" t="str">
        <f t="shared" si="2173"/>
        <v>3.5C X 25</v>
      </c>
      <c r="Y305" s="409" t="s">
        <v>358</v>
      </c>
      <c r="Z305" s="408">
        <f>IF(T305="AIR",VLOOKUP(W305,'Catalogue Aluminium'!$B$9:$G$93,2,FALSE),IF(T305="GROUND",VLOOKUP(W305,'Catalogue Aluminium'!$B$9:$G$93,3,FALSE),IF(T305="DUCT",VLOOKUP(W305,'Catalogue Aluminium'!$B$9:$G$93,4,FALSE),IF(T305="TRENCH",VLOOKUP(W305,'Catalogue Aluminium'!$B$9:$G$93,2,FALSE)))))</f>
        <v>95</v>
      </c>
      <c r="AA305" s="410">
        <f>VLOOKUP(W305,'Catalogue Aluminium'!$B$9:$G$93,5,FALSE)</f>
        <v>1.54</v>
      </c>
      <c r="AB305" s="410">
        <f>VLOOKUP(W305,'Catalogue Aluminium'!$B$9:$G$93,6,FALSE)</f>
        <v>8.1600000000000006E-2</v>
      </c>
      <c r="AC305" s="896">
        <f t="shared" si="2149"/>
        <v>34</v>
      </c>
      <c r="AD305" s="406">
        <f t="shared" si="2150"/>
        <v>41</v>
      </c>
      <c r="AE305" s="896">
        <v>10</v>
      </c>
      <c r="AF305" s="409">
        <v>8</v>
      </c>
      <c r="AG305" s="409">
        <f t="shared" si="2174"/>
        <v>10</v>
      </c>
      <c r="AH305" s="865">
        <f t="shared" si="2175"/>
        <v>103</v>
      </c>
      <c r="AI305" s="408">
        <f>IF(T305="AIR",'Catalogue Aluminium'!$K$9,IF(T305="TRENCH",'Catalogue Aluminium'!$K$12,"NA"))</f>
        <v>0.89</v>
      </c>
      <c r="AJ305" s="407">
        <f>IF(T305="Air",(IF(U305="1C",'Catalogue Aluminium'!$L$9,'Catalogue Aluminium'!$M$9)),IF(T305="DUCT",(IF($U305="1C",'Catalogue Aluminium'!$L$10,'Catalogue Aluminium'!$M$10)),IF(T305="GROUND",(IF($U305="1C",'Catalogue Aluminium'!$L$11,'Catalogue Aluminium'!$M$11)),IF(T305="TRENCH",(IF($U305="1C",'Catalogue Aluminium'!$L$12,'Catalogue Aluminium'!$M$12))))))</f>
        <v>0.66</v>
      </c>
      <c r="AK305" s="408" t="str">
        <f>IF(T305="Air",'Catalogue Aluminium'!$N$9,IF(T305="GROUND",'Catalogue Aluminium'!$N$10,IF(T305="DUCT",'Catalogue Aluminium'!$N$11,IF(T305="TRENCH",'Catalogue Aluminium'!$N$12,"NA"))))</f>
        <v>NA</v>
      </c>
      <c r="AL305" s="408" t="str">
        <f>IF(T305="Air",(IF(U305="1C",'Catalogue Aluminium'!$O$9,'Catalogue Aluminium'!$P$9)),IF(T305="DUCT",(IF($U305="1C",'Catalogue Aluminium'!$O$10,'Catalogue Aluminium'!$P$10)),IF(T305="GROUND",(IF($U305="1C",'Catalogue Aluminium'!$O$11,'Catalogue Aluminium'!$P$11)),IF(T305="TRENCH",(IF($U305="1C",'Catalogue Aluminium'!$O$12,'Catalogue Aluminium'!$P$12))))))</f>
        <v>NA</v>
      </c>
      <c r="AM305" s="408" t="str">
        <f>IF(T305="AIR","NA",IF(T305="TRENCH","NA",IF(T305="DUCT",IF(U305="1C",VLOOKUP(V305,'Catalogue Aluminium'!$Q$9:$S$28,2,FALSE),VLOOKUP(V305,'Catalogue Aluminium'!$Q$9:$S$28,3)),IF(T305="GROUND",IF(U305="1C",VLOOKUP(V305,'Catalogue Aluminium'!$Q$9:$S$28,2,FALSE),VLOOKUP(V305,'Catalogue Aluminium'!$Q$9:$S$28,3))))))</f>
        <v>NA</v>
      </c>
      <c r="AN305" s="584">
        <f t="shared" si="2176"/>
        <v>0.58740000000000003</v>
      </c>
      <c r="AO305" s="583">
        <f t="shared" si="2177"/>
        <v>55.803000000000004</v>
      </c>
      <c r="AP305" s="585">
        <f t="shared" si="2178"/>
        <v>1</v>
      </c>
      <c r="AQ305" s="583" t="str">
        <f t="shared" si="2179"/>
        <v>YES</v>
      </c>
      <c r="AR305" s="584">
        <f t="shared" si="2180"/>
        <v>1.616779273741455</v>
      </c>
      <c r="AS305" s="409" t="str">
        <f t="shared" si="2181"/>
        <v>YES</v>
      </c>
      <c r="AT305" s="584" t="str">
        <f t="shared" si="2182"/>
        <v>NA</v>
      </c>
      <c r="AU305" s="409" t="str">
        <f t="shared" si="2183"/>
        <v>NA</v>
      </c>
      <c r="AV305" s="586" t="str">
        <f t="shared" si="2184"/>
        <v>1R x 0.6/1kV x 3.5C x 25 Sqmm</v>
      </c>
      <c r="AW305" s="586" t="str">
        <f t="shared" si="2185"/>
        <v>1R x 0.6/1kV x 3.5C x 25 Sqmm</v>
      </c>
      <c r="AX305" s="409">
        <f t="shared" si="2186"/>
        <v>103</v>
      </c>
      <c r="AY305" s="866"/>
      <c r="AZ305" s="866">
        <f t="shared" si="2187"/>
        <v>2</v>
      </c>
      <c r="BA305" s="867" t="str">
        <f t="shared" si="2188"/>
        <v>ABB1</v>
      </c>
      <c r="BB305" s="868">
        <f>VLOOKUP(W305,'Catalogue Aluminium'!$B$9:$H$93,7,FALSE)</f>
        <v>25</v>
      </c>
      <c r="BC305" s="789">
        <f t="shared" si="2189"/>
        <v>25</v>
      </c>
      <c r="BE305" s="587"/>
      <c r="BF305" s="587">
        <v>1</v>
      </c>
      <c r="BG305" s="587">
        <v>1</v>
      </c>
      <c r="BH305" s="587">
        <v>1</v>
      </c>
      <c r="BI305" s="587"/>
      <c r="BJ305" s="587"/>
      <c r="BK305" s="587"/>
      <c r="BL305" s="587"/>
      <c r="BM305" s="587"/>
      <c r="BN305" s="587"/>
      <c r="BO305" s="587"/>
      <c r="BP305" s="587"/>
      <c r="BQ305" s="587"/>
      <c r="BR305" s="587"/>
      <c r="BS305" s="587"/>
      <c r="BT305" s="587"/>
      <c r="BU305" s="587"/>
      <c r="BV305" s="587"/>
      <c r="BW305" s="587"/>
      <c r="BX305" s="587"/>
      <c r="BY305" s="587"/>
      <c r="BZ305" s="587"/>
      <c r="CA305" s="587"/>
      <c r="CB305" s="587"/>
      <c r="CC305" s="587"/>
      <c r="CD305" s="587"/>
      <c r="CE305" s="587"/>
      <c r="CF305" s="587"/>
      <c r="CG305" s="587"/>
      <c r="CH305" s="587"/>
      <c r="CI305" s="587"/>
      <c r="CJ305" s="587"/>
      <c r="CK305" s="587"/>
      <c r="CL305" s="587"/>
      <c r="CM305" s="587"/>
      <c r="CN305" s="587"/>
      <c r="CO305" s="587"/>
      <c r="CP305" s="587"/>
      <c r="CQ305" s="587"/>
      <c r="CR305" s="587"/>
      <c r="CS305" s="587"/>
      <c r="CT305" s="587"/>
      <c r="CU305" s="587"/>
      <c r="CV305" s="587"/>
      <c r="CW305" s="587"/>
      <c r="CX305" s="587"/>
      <c r="CY305" s="587"/>
      <c r="CZ305" s="587"/>
      <c r="DA305" s="587"/>
      <c r="DB305" s="587"/>
      <c r="DC305" s="587"/>
      <c r="DD305" s="587"/>
      <c r="DE305" s="587"/>
      <c r="DF305" s="587"/>
      <c r="DG305" s="587"/>
      <c r="DH305" s="587"/>
      <c r="DI305" s="587"/>
      <c r="DJ305" s="587"/>
      <c r="DK305" s="587"/>
      <c r="DL305" s="587"/>
      <c r="DM305" s="587"/>
      <c r="DN305" s="587"/>
      <c r="DO305" s="587"/>
      <c r="DP305" s="587"/>
      <c r="DQ305" s="587"/>
      <c r="DR305" s="587"/>
      <c r="DS305" s="587"/>
      <c r="DT305" s="587"/>
      <c r="DU305" s="587"/>
      <c r="DW305" s="587">
        <f t="shared" si="2190"/>
        <v>0</v>
      </c>
      <c r="DX305" s="587">
        <f t="shared" si="2191"/>
        <v>25</v>
      </c>
      <c r="DY305" s="587">
        <f t="shared" si="2192"/>
        <v>25</v>
      </c>
      <c r="DZ305" s="587">
        <f t="shared" si="2193"/>
        <v>25</v>
      </c>
      <c r="EA305" s="587">
        <f t="shared" si="2194"/>
        <v>0</v>
      </c>
      <c r="EB305" s="587">
        <f t="shared" si="2195"/>
        <v>0</v>
      </c>
      <c r="EC305" s="587">
        <f t="shared" si="2196"/>
        <v>0</v>
      </c>
      <c r="ED305" s="587">
        <f t="shared" si="2197"/>
        <v>0</v>
      </c>
      <c r="EE305" s="587">
        <f t="shared" si="2198"/>
        <v>0</v>
      </c>
      <c r="EF305" s="587">
        <f t="shared" si="2199"/>
        <v>0</v>
      </c>
      <c r="EG305" s="587">
        <f t="shared" si="2200"/>
        <v>0</v>
      </c>
      <c r="EH305" s="587">
        <f t="shared" si="2201"/>
        <v>0</v>
      </c>
      <c r="EI305" s="587">
        <f t="shared" si="2202"/>
        <v>0</v>
      </c>
      <c r="EJ305" s="587">
        <f t="shared" si="2203"/>
        <v>0</v>
      </c>
      <c r="EK305" s="587">
        <f t="shared" si="2204"/>
        <v>0</v>
      </c>
      <c r="EL305" s="587">
        <f t="shared" si="2205"/>
        <v>0</v>
      </c>
      <c r="EM305" s="587">
        <f t="shared" si="2206"/>
        <v>0</v>
      </c>
      <c r="EN305" s="587">
        <f t="shared" si="2207"/>
        <v>0</v>
      </c>
      <c r="EO305" s="587">
        <f t="shared" si="2208"/>
        <v>0</v>
      </c>
      <c r="EP305" s="587">
        <f t="shared" si="2209"/>
        <v>0</v>
      </c>
      <c r="EQ305" s="587">
        <f t="shared" si="2210"/>
        <v>0</v>
      </c>
      <c r="ER305" s="587">
        <f t="shared" si="2211"/>
        <v>0</v>
      </c>
      <c r="ES305" s="587">
        <f t="shared" si="2212"/>
        <v>0</v>
      </c>
      <c r="ET305" s="587">
        <f t="shared" si="2213"/>
        <v>0</v>
      </c>
      <c r="EU305" s="587">
        <f t="shared" si="2214"/>
        <v>0</v>
      </c>
      <c r="EV305" s="587">
        <f t="shared" si="2215"/>
        <v>0</v>
      </c>
      <c r="EW305" s="587">
        <f t="shared" si="2216"/>
        <v>0</v>
      </c>
      <c r="EX305" s="587">
        <f t="shared" si="2217"/>
        <v>0</v>
      </c>
      <c r="EY305" s="587">
        <f t="shared" si="2218"/>
        <v>0</v>
      </c>
      <c r="EZ305" s="587">
        <f t="shared" si="2219"/>
        <v>0</v>
      </c>
      <c r="FA305" s="587">
        <f t="shared" si="2220"/>
        <v>0</v>
      </c>
      <c r="FB305" s="587">
        <f t="shared" si="2221"/>
        <v>0</v>
      </c>
      <c r="FC305" s="587">
        <f t="shared" si="2222"/>
        <v>0</v>
      </c>
      <c r="FD305" s="587">
        <f t="shared" si="2223"/>
        <v>0</v>
      </c>
      <c r="FE305" s="587">
        <f t="shared" si="2224"/>
        <v>0</v>
      </c>
      <c r="FF305" s="587">
        <f t="shared" si="2225"/>
        <v>0</v>
      </c>
      <c r="FG305" s="587">
        <f t="shared" si="2226"/>
        <v>0</v>
      </c>
      <c r="FH305" s="587">
        <f t="shared" si="2227"/>
        <v>0</v>
      </c>
      <c r="FI305" s="587">
        <f t="shared" si="2228"/>
        <v>0</v>
      </c>
      <c r="FJ305" s="587">
        <f t="shared" si="2229"/>
        <v>0</v>
      </c>
      <c r="FK305" s="587">
        <f t="shared" si="2230"/>
        <v>0</v>
      </c>
      <c r="FL305" s="587">
        <f t="shared" si="2231"/>
        <v>0</v>
      </c>
      <c r="FM305" s="587">
        <f t="shared" si="2232"/>
        <v>0</v>
      </c>
      <c r="FN305" s="587">
        <f t="shared" si="2233"/>
        <v>0</v>
      </c>
      <c r="FO305" s="587">
        <f t="shared" si="2234"/>
        <v>0</v>
      </c>
      <c r="FP305" s="587">
        <f t="shared" si="2235"/>
        <v>0</v>
      </c>
      <c r="FQ305" s="587">
        <f t="shared" si="2236"/>
        <v>0</v>
      </c>
      <c r="FR305" s="587">
        <f t="shared" si="2237"/>
        <v>0</v>
      </c>
      <c r="FS305" s="587">
        <f t="shared" si="2238"/>
        <v>0</v>
      </c>
      <c r="FT305" s="587">
        <f t="shared" si="2239"/>
        <v>0</v>
      </c>
      <c r="FU305" s="587">
        <f t="shared" si="2240"/>
        <v>0</v>
      </c>
      <c r="FV305" s="587">
        <f t="shared" si="2241"/>
        <v>0</v>
      </c>
      <c r="FW305" s="587">
        <f t="shared" si="2242"/>
        <v>0</v>
      </c>
      <c r="FX305" s="587">
        <f t="shared" si="2243"/>
        <v>0</v>
      </c>
      <c r="FY305" s="587">
        <f t="shared" si="2244"/>
        <v>0</v>
      </c>
      <c r="FZ305" s="587">
        <f t="shared" si="2245"/>
        <v>0</v>
      </c>
      <c r="GA305" s="587">
        <f t="shared" si="2246"/>
        <v>0</v>
      </c>
      <c r="GB305" s="587">
        <f t="shared" si="2247"/>
        <v>0</v>
      </c>
      <c r="GC305" s="587">
        <f t="shared" si="2248"/>
        <v>0</v>
      </c>
      <c r="GD305" s="587">
        <f t="shared" si="2249"/>
        <v>0</v>
      </c>
      <c r="GE305" s="587">
        <f t="shared" si="2250"/>
        <v>0</v>
      </c>
      <c r="GF305" s="587">
        <f t="shared" si="2251"/>
        <v>0</v>
      </c>
      <c r="GG305" s="587">
        <f t="shared" si="2252"/>
        <v>0</v>
      </c>
      <c r="GH305" s="587">
        <f t="shared" si="2253"/>
        <v>0</v>
      </c>
      <c r="GI305" s="587">
        <f t="shared" si="2254"/>
        <v>0</v>
      </c>
      <c r="GJ305" s="587">
        <f t="shared" si="2255"/>
        <v>0</v>
      </c>
      <c r="GK305" s="587">
        <f t="shared" si="2256"/>
        <v>0</v>
      </c>
      <c r="GL305" s="587">
        <f t="shared" si="2257"/>
        <v>0</v>
      </c>
      <c r="GM305" s="587">
        <f t="shared" si="2258"/>
        <v>0</v>
      </c>
    </row>
    <row r="306" spans="1:195" s="869" customFormat="1">
      <c r="A306" s="406">
        <f t="shared" si="2259"/>
        <v>201</v>
      </c>
      <c r="B306" s="409" t="s">
        <v>527</v>
      </c>
      <c r="C306" s="406" t="str">
        <f t="shared" si="2109"/>
        <v>PDB-1</v>
      </c>
      <c r="D306" s="901" t="s">
        <v>1706</v>
      </c>
      <c r="E306" s="580" t="s">
        <v>555</v>
      </c>
      <c r="F306" s="582" t="s">
        <v>28</v>
      </c>
      <c r="G306" s="406" t="s">
        <v>329</v>
      </c>
      <c r="H306" s="583">
        <v>18</v>
      </c>
      <c r="I306" s="406" t="s">
        <v>330</v>
      </c>
      <c r="J306" s="406" t="s">
        <v>331</v>
      </c>
      <c r="K306" s="585">
        <v>400</v>
      </c>
      <c r="L306" s="409">
        <v>0.85</v>
      </c>
      <c r="M306" s="583">
        <v>0.95</v>
      </c>
      <c r="N306" s="407">
        <f t="shared" si="2168"/>
        <v>32.175262228387169</v>
      </c>
      <c r="O306" s="407">
        <f t="shared" si="2169"/>
        <v>0</v>
      </c>
      <c r="P306" s="409" t="str">
        <f t="shared" si="2170"/>
        <v>0.00</v>
      </c>
      <c r="Q306" s="583">
        <v>50</v>
      </c>
      <c r="R306" s="583">
        <v>0</v>
      </c>
      <c r="S306" s="583">
        <f t="shared" si="2171"/>
        <v>0</v>
      </c>
      <c r="T306" s="409" t="s">
        <v>332</v>
      </c>
      <c r="U306" s="583" t="s">
        <v>535</v>
      </c>
      <c r="V306" s="409">
        <v>25</v>
      </c>
      <c r="W306" s="409" t="str">
        <f t="shared" si="2172"/>
        <v>3.5C X 25</v>
      </c>
      <c r="X306" s="409" t="str">
        <f t="shared" si="2173"/>
        <v>3.5C X 25</v>
      </c>
      <c r="Y306" s="409" t="s">
        <v>358</v>
      </c>
      <c r="Z306" s="408">
        <f>IF(T306="AIR",VLOOKUP(W306,'Catalogue Aluminium'!$B$9:$G$93,2,FALSE),IF(T306="GROUND",VLOOKUP(W306,'Catalogue Aluminium'!$B$9:$G$93,3,FALSE),IF(T306="DUCT",VLOOKUP(W306,'Catalogue Aluminium'!$B$9:$G$93,4,FALSE),IF(T306="TRENCH",VLOOKUP(W306,'Catalogue Aluminium'!$B$9:$G$93,2,FALSE)))))</f>
        <v>95</v>
      </c>
      <c r="AA306" s="410">
        <f>VLOOKUP(W306,'Catalogue Aluminium'!$B$9:$G$93,5,FALSE)</f>
        <v>1.54</v>
      </c>
      <c r="AB306" s="410">
        <f>VLOOKUP(W306,'Catalogue Aluminium'!$B$9:$G$93,6,FALSE)</f>
        <v>8.1600000000000006E-2</v>
      </c>
      <c r="AC306" s="896">
        <f t="shared" si="2149"/>
        <v>34</v>
      </c>
      <c r="AD306" s="406">
        <f t="shared" si="2150"/>
        <v>41</v>
      </c>
      <c r="AE306" s="896">
        <v>10</v>
      </c>
      <c r="AF306" s="409">
        <v>8</v>
      </c>
      <c r="AG306" s="409">
        <f t="shared" si="2174"/>
        <v>10</v>
      </c>
      <c r="AH306" s="865">
        <f>SUM(AC306:AG306)</f>
        <v>103</v>
      </c>
      <c r="AI306" s="408">
        <f>IF(T306="AIR",'Catalogue Aluminium'!$K$9,IF(T306="TRENCH",'Catalogue Aluminium'!$K$12,"NA"))</f>
        <v>0.89</v>
      </c>
      <c r="AJ306" s="407">
        <f>IF(T306="Air",(IF(U306="1C",'Catalogue Aluminium'!$L$9,'Catalogue Aluminium'!$M$9)),IF(T306="DUCT",(IF($U306="1C",'Catalogue Aluminium'!$L$10,'Catalogue Aluminium'!$M$10)),IF(T306="GROUND",(IF($U306="1C",'Catalogue Aluminium'!$L$11,'Catalogue Aluminium'!$M$11)),IF(T306="TRENCH",(IF($U306="1C",'Catalogue Aluminium'!$L$12,'Catalogue Aluminium'!$M$12))))))</f>
        <v>0.66</v>
      </c>
      <c r="AK306" s="408" t="str">
        <f>IF(T306="Air",'Catalogue Aluminium'!$N$9,IF(T306="GROUND",'Catalogue Aluminium'!$N$10,IF(T306="DUCT",'Catalogue Aluminium'!$N$11,IF(T306="TRENCH",'Catalogue Aluminium'!$N$12,"NA"))))</f>
        <v>NA</v>
      </c>
      <c r="AL306" s="408" t="str">
        <f>IF(T306="Air",(IF(U306="1C",'Catalogue Aluminium'!$O$9,'Catalogue Aluminium'!$P$9)),IF(T306="DUCT",(IF($U306="1C",'Catalogue Aluminium'!$O$10,'Catalogue Aluminium'!$P$10)),IF(T306="GROUND",(IF($U306="1C",'Catalogue Aluminium'!$O$11,'Catalogue Aluminium'!$P$11)),IF(T306="TRENCH",(IF($U306="1C",'Catalogue Aluminium'!$O$12,'Catalogue Aluminium'!$P$12))))))</f>
        <v>NA</v>
      </c>
      <c r="AM306" s="408" t="str">
        <f>IF(T306="AIR","NA",IF(T306="TRENCH","NA",IF(T306="DUCT",IF(U306="1C",VLOOKUP(V306,'Catalogue Aluminium'!$Q$9:$S$28,2,FALSE),VLOOKUP(V306,'Catalogue Aluminium'!$Q$9:$S$28,3)),IF(T306="GROUND",IF(U306="1C",VLOOKUP(V306,'Catalogue Aluminium'!$Q$9:$S$28,2,FALSE),VLOOKUP(V306,'Catalogue Aluminium'!$Q$9:$S$28,3))))))</f>
        <v>NA</v>
      </c>
      <c r="AN306" s="584">
        <f t="shared" si="2176"/>
        <v>0.58740000000000003</v>
      </c>
      <c r="AO306" s="583">
        <f t="shared" si="2177"/>
        <v>55.803000000000004</v>
      </c>
      <c r="AP306" s="585">
        <f t="shared" si="2178"/>
        <v>1</v>
      </c>
      <c r="AQ306" s="583" t="str">
        <f t="shared" si="2179"/>
        <v>YES</v>
      </c>
      <c r="AR306" s="584">
        <f>SQRT(3)*AH306*N306*((AA306*L306)+(AB306*SIN(ACOS(L306))))*100/(AP306*K306*1000)</f>
        <v>1.9401351284897463</v>
      </c>
      <c r="AS306" s="409" t="str">
        <f t="shared" si="2181"/>
        <v>YES</v>
      </c>
      <c r="AT306" s="584" t="str">
        <f>IF(G306="MOTOR",(SQRT(3)*AH306*O306*((AA306*P306)+(AB306*SIN(ACOS(P306))))*100/(AP306*K306*1000)),"NA")</f>
        <v>NA</v>
      </c>
      <c r="AU306" s="409" t="str">
        <f t="shared" si="2183"/>
        <v>NA</v>
      </c>
      <c r="AV306" s="586" t="str">
        <f t="shared" si="2184"/>
        <v>1R x 0.6/1kV x 3.5C x 25 Sqmm</v>
      </c>
      <c r="AW306" s="586" t="str">
        <f t="shared" si="2185"/>
        <v>1R x 0.6/1kV x 3.5C x 25 Sqmm</v>
      </c>
      <c r="AX306" s="409">
        <f>(IF(K306=400,(IF(U306="1C",(4*AH306*AP306),(AH306*AP306))),IF(K306=230,(AH306*AP306))))</f>
        <v>103</v>
      </c>
      <c r="AY306" s="866"/>
      <c r="AZ306" s="866">
        <f t="shared" si="2187"/>
        <v>2</v>
      </c>
      <c r="BA306" s="867" t="str">
        <f t="shared" si="2188"/>
        <v>ABB1</v>
      </c>
      <c r="BB306" s="868">
        <f>VLOOKUP(W306,'Catalogue Aluminium'!$B$9:$H$93,7,FALSE)</f>
        <v>25</v>
      </c>
      <c r="BC306" s="789">
        <f t="shared" si="2189"/>
        <v>25</v>
      </c>
      <c r="BE306" s="587"/>
      <c r="BF306" s="587">
        <v>1</v>
      </c>
      <c r="BG306" s="587">
        <v>1</v>
      </c>
      <c r="BH306" s="587">
        <v>1</v>
      </c>
      <c r="BI306" s="587"/>
      <c r="BJ306" s="587"/>
      <c r="BK306" s="587"/>
      <c r="BL306" s="587"/>
      <c r="BM306" s="587"/>
      <c r="BN306" s="587"/>
      <c r="BO306" s="587"/>
      <c r="BP306" s="587"/>
      <c r="BQ306" s="587"/>
      <c r="BR306" s="587"/>
      <c r="BS306" s="587"/>
      <c r="BT306" s="587"/>
      <c r="BU306" s="587"/>
      <c r="BV306" s="587"/>
      <c r="BW306" s="587"/>
      <c r="BX306" s="587"/>
      <c r="BY306" s="587"/>
      <c r="BZ306" s="587"/>
      <c r="CA306" s="587"/>
      <c r="CB306" s="587"/>
      <c r="CC306" s="587"/>
      <c r="CD306" s="587"/>
      <c r="CE306" s="587"/>
      <c r="CF306" s="587"/>
      <c r="CG306" s="587"/>
      <c r="CH306" s="587"/>
      <c r="CI306" s="587"/>
      <c r="CJ306" s="587"/>
      <c r="CK306" s="587"/>
      <c r="CL306" s="587"/>
      <c r="CM306" s="587"/>
      <c r="CN306" s="587"/>
      <c r="CO306" s="587"/>
      <c r="CP306" s="587"/>
      <c r="CQ306" s="587"/>
      <c r="CR306" s="587"/>
      <c r="CS306" s="587"/>
      <c r="CT306" s="587"/>
      <c r="CU306" s="587"/>
      <c r="CV306" s="587"/>
      <c r="CW306" s="587"/>
      <c r="CX306" s="587"/>
      <c r="CY306" s="587"/>
      <c r="CZ306" s="587"/>
      <c r="DA306" s="587"/>
      <c r="DB306" s="587"/>
      <c r="DC306" s="587"/>
      <c r="DD306" s="587"/>
      <c r="DE306" s="587"/>
      <c r="DF306" s="587"/>
      <c r="DG306" s="587"/>
      <c r="DH306" s="587"/>
      <c r="DI306" s="587"/>
      <c r="DJ306" s="587"/>
      <c r="DK306" s="587"/>
      <c r="DL306" s="587"/>
      <c r="DM306" s="587"/>
      <c r="DN306" s="587"/>
      <c r="DO306" s="587"/>
      <c r="DP306" s="587"/>
      <c r="DQ306" s="587"/>
      <c r="DR306" s="587"/>
      <c r="DS306" s="587"/>
      <c r="DT306" s="587"/>
      <c r="DU306" s="587"/>
      <c r="DW306" s="587">
        <f t="shared" si="2190"/>
        <v>0</v>
      </c>
      <c r="DX306" s="587">
        <f t="shared" si="2191"/>
        <v>25</v>
      </c>
      <c r="DY306" s="587">
        <f t="shared" si="2192"/>
        <v>25</v>
      </c>
      <c r="DZ306" s="587">
        <f t="shared" si="2193"/>
        <v>25</v>
      </c>
      <c r="EA306" s="587">
        <f t="shared" si="2194"/>
        <v>0</v>
      </c>
      <c r="EB306" s="587">
        <f t="shared" si="2195"/>
        <v>0</v>
      </c>
      <c r="EC306" s="587">
        <f t="shared" si="2196"/>
        <v>0</v>
      </c>
      <c r="ED306" s="587">
        <f t="shared" si="2197"/>
        <v>0</v>
      </c>
      <c r="EE306" s="587">
        <f t="shared" si="2198"/>
        <v>0</v>
      </c>
      <c r="EF306" s="587">
        <f t="shared" si="2199"/>
        <v>0</v>
      </c>
      <c r="EG306" s="587">
        <f t="shared" si="2200"/>
        <v>0</v>
      </c>
      <c r="EH306" s="587">
        <f t="shared" si="2201"/>
        <v>0</v>
      </c>
      <c r="EI306" s="587">
        <f t="shared" si="2202"/>
        <v>0</v>
      </c>
      <c r="EJ306" s="587">
        <f t="shared" si="2203"/>
        <v>0</v>
      </c>
      <c r="EK306" s="587">
        <f t="shared" si="2204"/>
        <v>0</v>
      </c>
      <c r="EL306" s="587">
        <f t="shared" si="2205"/>
        <v>0</v>
      </c>
      <c r="EM306" s="587">
        <f t="shared" si="2206"/>
        <v>0</v>
      </c>
      <c r="EN306" s="587">
        <f t="shared" si="2207"/>
        <v>0</v>
      </c>
      <c r="EO306" s="587">
        <f t="shared" si="2208"/>
        <v>0</v>
      </c>
      <c r="EP306" s="587">
        <f t="shared" si="2209"/>
        <v>0</v>
      </c>
      <c r="EQ306" s="587">
        <f t="shared" si="2210"/>
        <v>0</v>
      </c>
      <c r="ER306" s="587">
        <f t="shared" si="2211"/>
        <v>0</v>
      </c>
      <c r="ES306" s="587">
        <f t="shared" si="2212"/>
        <v>0</v>
      </c>
      <c r="ET306" s="587">
        <f t="shared" si="2213"/>
        <v>0</v>
      </c>
      <c r="EU306" s="587">
        <f t="shared" si="2214"/>
        <v>0</v>
      </c>
      <c r="EV306" s="587">
        <f t="shared" si="2215"/>
        <v>0</v>
      </c>
      <c r="EW306" s="587">
        <f t="shared" si="2216"/>
        <v>0</v>
      </c>
      <c r="EX306" s="587">
        <f t="shared" si="2217"/>
        <v>0</v>
      </c>
      <c r="EY306" s="587">
        <f t="shared" si="2218"/>
        <v>0</v>
      </c>
      <c r="EZ306" s="587">
        <f t="shared" si="2219"/>
        <v>0</v>
      </c>
      <c r="FA306" s="587">
        <f t="shared" si="2220"/>
        <v>0</v>
      </c>
      <c r="FB306" s="587">
        <f t="shared" si="2221"/>
        <v>0</v>
      </c>
      <c r="FC306" s="587">
        <f t="shared" si="2222"/>
        <v>0</v>
      </c>
      <c r="FD306" s="587">
        <f t="shared" si="2223"/>
        <v>0</v>
      </c>
      <c r="FE306" s="587">
        <f t="shared" si="2224"/>
        <v>0</v>
      </c>
      <c r="FF306" s="587">
        <f t="shared" si="2225"/>
        <v>0</v>
      </c>
      <c r="FG306" s="587">
        <f t="shared" si="2226"/>
        <v>0</v>
      </c>
      <c r="FH306" s="587">
        <f t="shared" si="2227"/>
        <v>0</v>
      </c>
      <c r="FI306" s="587">
        <f t="shared" si="2228"/>
        <v>0</v>
      </c>
      <c r="FJ306" s="587">
        <f t="shared" si="2229"/>
        <v>0</v>
      </c>
      <c r="FK306" s="587">
        <f t="shared" si="2230"/>
        <v>0</v>
      </c>
      <c r="FL306" s="587">
        <f t="shared" si="2231"/>
        <v>0</v>
      </c>
      <c r="FM306" s="587">
        <f t="shared" si="2232"/>
        <v>0</v>
      </c>
      <c r="FN306" s="587">
        <f t="shared" si="2233"/>
        <v>0</v>
      </c>
      <c r="FO306" s="587">
        <f t="shared" si="2234"/>
        <v>0</v>
      </c>
      <c r="FP306" s="587">
        <f t="shared" si="2235"/>
        <v>0</v>
      </c>
      <c r="FQ306" s="587">
        <f t="shared" si="2236"/>
        <v>0</v>
      </c>
      <c r="FR306" s="587">
        <f t="shared" si="2237"/>
        <v>0</v>
      </c>
      <c r="FS306" s="587">
        <f t="shared" si="2238"/>
        <v>0</v>
      </c>
      <c r="FT306" s="587">
        <f t="shared" si="2239"/>
        <v>0</v>
      </c>
      <c r="FU306" s="587">
        <f t="shared" si="2240"/>
        <v>0</v>
      </c>
      <c r="FV306" s="587">
        <f t="shared" si="2241"/>
        <v>0</v>
      </c>
      <c r="FW306" s="587">
        <f t="shared" si="2242"/>
        <v>0</v>
      </c>
      <c r="FX306" s="587">
        <f t="shared" si="2243"/>
        <v>0</v>
      </c>
      <c r="FY306" s="587">
        <f t="shared" si="2244"/>
        <v>0</v>
      </c>
      <c r="FZ306" s="587">
        <f t="shared" si="2245"/>
        <v>0</v>
      </c>
      <c r="GA306" s="587">
        <f t="shared" si="2246"/>
        <v>0</v>
      </c>
      <c r="GB306" s="587">
        <f t="shared" si="2247"/>
        <v>0</v>
      </c>
      <c r="GC306" s="587">
        <f t="shared" si="2248"/>
        <v>0</v>
      </c>
      <c r="GD306" s="587">
        <f t="shared" si="2249"/>
        <v>0</v>
      </c>
      <c r="GE306" s="587">
        <f t="shared" si="2250"/>
        <v>0</v>
      </c>
      <c r="GF306" s="587">
        <f t="shared" si="2251"/>
        <v>0</v>
      </c>
      <c r="GG306" s="587">
        <f t="shared" si="2252"/>
        <v>0</v>
      </c>
      <c r="GH306" s="587">
        <f t="shared" si="2253"/>
        <v>0</v>
      </c>
      <c r="GI306" s="587">
        <f t="shared" si="2254"/>
        <v>0</v>
      </c>
      <c r="GJ306" s="587">
        <f t="shared" si="2255"/>
        <v>0</v>
      </c>
      <c r="GK306" s="587">
        <f t="shared" si="2256"/>
        <v>0</v>
      </c>
      <c r="GL306" s="587">
        <f t="shared" si="2257"/>
        <v>0</v>
      </c>
      <c r="GM306" s="587">
        <f t="shared" si="2258"/>
        <v>0</v>
      </c>
    </row>
    <row r="307" spans="1:195" ht="27" customHeight="1">
      <c r="A307" s="337">
        <f>1+A302</f>
        <v>200</v>
      </c>
      <c r="B307" s="343" t="s">
        <v>752</v>
      </c>
      <c r="C307" s="337" t="str">
        <f t="shared" si="2109"/>
        <v>PDB-1</v>
      </c>
      <c r="D307" s="444" t="s">
        <v>751</v>
      </c>
      <c r="E307" s="500" t="s">
        <v>555</v>
      </c>
      <c r="F307" s="570" t="s">
        <v>29</v>
      </c>
      <c r="G307" s="337" t="s">
        <v>329</v>
      </c>
      <c r="H307" s="350">
        <v>72.623000000000005</v>
      </c>
      <c r="I307" s="337" t="s">
        <v>330</v>
      </c>
      <c r="J307" s="337" t="s">
        <v>331</v>
      </c>
      <c r="K307" s="349">
        <v>400</v>
      </c>
      <c r="L307" s="343">
        <v>0.85</v>
      </c>
      <c r="M307" s="350">
        <v>0.95</v>
      </c>
      <c r="N307" s="342">
        <f t="shared" si="2110"/>
        <v>129.81467048956452</v>
      </c>
      <c r="O307" s="342">
        <f t="shared" si="2111"/>
        <v>0</v>
      </c>
      <c r="P307" s="343" t="str">
        <f t="shared" si="2112"/>
        <v>0.00</v>
      </c>
      <c r="Q307" s="350">
        <v>50</v>
      </c>
      <c r="R307" s="350">
        <v>0</v>
      </c>
      <c r="S307" s="350">
        <f t="shared" si="2113"/>
        <v>0</v>
      </c>
      <c r="T307" s="343" t="s">
        <v>332</v>
      </c>
      <c r="U307" s="917" t="s">
        <v>535</v>
      </c>
      <c r="V307" s="916">
        <v>95</v>
      </c>
      <c r="W307" s="343" t="str">
        <f t="shared" si="2114"/>
        <v>3.5C X 95</v>
      </c>
      <c r="X307" s="343" t="str">
        <f t="shared" si="2115"/>
        <v>3.5C X 95</v>
      </c>
      <c r="Y307" s="343" t="s">
        <v>358</v>
      </c>
      <c r="Z307" s="344">
        <f>IF(T307="AIR",VLOOKUP(W307,'Catalogue Aluminium'!$B$9:$G$93,2,FALSE),IF(T307="GROUND",VLOOKUP(W307,'Catalogue Aluminium'!$B$9:$G$93,3,FALSE),IF(T307="DUCT",VLOOKUP(W307,'Catalogue Aluminium'!$B$9:$G$93,4,FALSE),IF(T307="TRENCH",VLOOKUP(W307,'Catalogue Aluminium'!$B$9:$G$93,2,FALSE)))))</f>
        <v>221</v>
      </c>
      <c r="AA307" s="345">
        <f>VLOOKUP(W307,'Catalogue Aluminium'!$B$9:$G$93,5,FALSE)</f>
        <v>0.41</v>
      </c>
      <c r="AB307" s="345">
        <f>VLOOKUP(W307,'Catalogue Aluminium'!$B$9:$G$93,6,FALSE)</f>
        <v>7.3400000000000007E-2</v>
      </c>
      <c r="AC307" s="457">
        <f t="shared" si="2149"/>
        <v>34</v>
      </c>
      <c r="AD307" s="388">
        <f t="shared" si="2150"/>
        <v>41</v>
      </c>
      <c r="AE307" s="457">
        <v>10</v>
      </c>
      <c r="AF307" s="401">
        <v>8</v>
      </c>
      <c r="AG307" s="401">
        <f t="shared" si="2116"/>
        <v>10</v>
      </c>
      <c r="AH307" s="347">
        <f>SUM(AC307:AG307)</f>
        <v>103</v>
      </c>
      <c r="AI307" s="344">
        <f>IF(T307="AIR",'Catalogue Aluminium'!$K$9,IF(T307="TRENCH",'Catalogue Aluminium'!$K$12,"NA"))</f>
        <v>0.89</v>
      </c>
      <c r="AJ307" s="342">
        <f>IF(T307="Air",(IF(U307="1C",'Catalogue Aluminium'!$L$9,'Catalogue Aluminium'!$M$9)),IF(T307="DUCT",(IF($U307="1C",'Catalogue Aluminium'!$L$10,'Catalogue Aluminium'!$M$10)),IF(T307="GROUND",(IF($U307="1C",'Catalogue Aluminium'!$L$11,'Catalogue Aluminium'!$M$11)),IF(T307="TRENCH",(IF($U307="1C",'Catalogue Aluminium'!$L$12,'Catalogue Aluminium'!$M$12))))))</f>
        <v>0.66</v>
      </c>
      <c r="AK307" s="344" t="str">
        <f>IF(T307="Air",'Catalogue Aluminium'!$N$9,IF(T307="GROUND",'Catalogue Aluminium'!$N$10,IF(T307="DUCT",'Catalogue Aluminium'!$N$11,IF(T307="TRENCH",'Catalogue Aluminium'!$N$12,"NA"))))</f>
        <v>NA</v>
      </c>
      <c r="AL307" s="344" t="str">
        <f>IF(T307="Air",(IF(U307="1C",'Catalogue Aluminium'!$O$9,'Catalogue Aluminium'!$P$9)),IF(T307="DUCT",(IF($U307="1C",'Catalogue Aluminium'!$O$10,'Catalogue Aluminium'!$P$10)),IF(T307="GROUND",(IF($U307="1C",'Catalogue Aluminium'!$O$11,'Catalogue Aluminium'!$P$11)),IF(T307="TRENCH",(IF($U307="1C",'Catalogue Aluminium'!$O$12,'Catalogue Aluminium'!$P$12))))))</f>
        <v>NA</v>
      </c>
      <c r="AM307" s="344" t="str">
        <f>IF(T307="AIR","NA",IF(T307="TRENCH","NA",IF(T307="DUCT",IF(U307="1C",VLOOKUP(V307,'Catalogue Aluminium'!$Q$9:$S$28,2,FALSE),VLOOKUP(V307,'Catalogue Aluminium'!$Q$9:$S$28,3)),IF(T307="GROUND",IF(U307="1C",VLOOKUP(V307,'Catalogue Aluminium'!$Q$9:$S$28,2,FALSE),VLOOKUP(V307,'Catalogue Aluminium'!$Q$9:$S$28,3))))))</f>
        <v>NA</v>
      </c>
      <c r="AN307" s="351">
        <f t="shared" si="2118"/>
        <v>0.58740000000000003</v>
      </c>
      <c r="AO307" s="350">
        <f t="shared" si="2119"/>
        <v>129.81540000000001</v>
      </c>
      <c r="AP307" s="349">
        <f>CEILING(((N307)/AO307),1)</f>
        <v>1</v>
      </c>
      <c r="AQ307" s="350" t="str">
        <f t="shared" si="2121"/>
        <v>YES</v>
      </c>
      <c r="AR307" s="351">
        <f>SQRT(3)*AH307*N307*((AA307*L307)+(AB307*SIN(ACOS(L307))))*100/(AP307*K307*1000)</f>
        <v>2.2416028936511072</v>
      </c>
      <c r="AS307" s="343" t="str">
        <f t="shared" si="2123"/>
        <v>YES</v>
      </c>
      <c r="AT307" s="351" t="str">
        <f>IF(G307="MOTOR",(SQRT(3)*AH307*O307*((AA307*P307)+(AB307*SIN(ACOS(P307))))*100/(AP307*K307*1000)),"NA")</f>
        <v>NA</v>
      </c>
      <c r="AU307" s="343" t="str">
        <f t="shared" si="2125"/>
        <v>NA</v>
      </c>
      <c r="AV307" s="354" t="str">
        <f t="shared" si="2126"/>
        <v>1R x 0.6/1kV x 3.5C x 95 Sqmm</v>
      </c>
      <c r="AW307" s="354" t="str">
        <f t="shared" si="2127"/>
        <v>1R x 0.6/1kV x 3.5C x 95 Sqmm</v>
      </c>
      <c r="AX307" s="343">
        <f>(IF(K307=400,(IF(U307="1C",(4*AH307*AP307),(AH307*AP307))),IF(K307=230,(AH307*AP307))))</f>
        <v>103</v>
      </c>
      <c r="AY307" s="355"/>
      <c r="AZ307" s="355">
        <f t="shared" ref="AZ307:AZ339" si="2260">IF(U307="1C",(3*AP307*2),(AP307*2))</f>
        <v>2</v>
      </c>
      <c r="BA307" s="356" t="str">
        <f t="shared" si="2130"/>
        <v>ABB1</v>
      </c>
      <c r="BB307" s="501">
        <f>VLOOKUP(W307,'Catalogue Aluminium'!$B$9:$H$93,7,FALSE)</f>
        <v>39</v>
      </c>
      <c r="BC307" s="328">
        <f t="shared" ref="BC307:BC339" si="2261">AP307*BB307</f>
        <v>39</v>
      </c>
      <c r="BE307" s="336"/>
      <c r="BF307" s="336">
        <v>1</v>
      </c>
      <c r="BG307" s="336">
        <v>1</v>
      </c>
      <c r="BH307" s="336">
        <v>1</v>
      </c>
      <c r="BI307" s="336"/>
      <c r="BJ307" s="336"/>
      <c r="BK307" s="336"/>
      <c r="BL307" s="336"/>
      <c r="BM307" s="336"/>
      <c r="BN307" s="336"/>
      <c r="BO307" s="336"/>
      <c r="BP307" s="336"/>
      <c r="BQ307" s="336"/>
      <c r="BR307" s="336"/>
      <c r="BS307" s="336"/>
      <c r="BT307" s="336"/>
      <c r="BU307" s="336"/>
      <c r="BV307" s="336"/>
      <c r="BW307" s="336"/>
      <c r="BX307" s="336"/>
      <c r="BY307" s="336"/>
      <c r="BZ307" s="336"/>
      <c r="CA307" s="336"/>
      <c r="CB307" s="336"/>
      <c r="CC307" s="336"/>
      <c r="CD307" s="336"/>
      <c r="CE307" s="336"/>
      <c r="CF307" s="336"/>
      <c r="CG307" s="336"/>
      <c r="CH307" s="336"/>
      <c r="CI307" s="336"/>
      <c r="CJ307" s="336"/>
      <c r="CK307" s="336"/>
      <c r="CL307" s="336"/>
      <c r="CM307" s="336"/>
      <c r="CN307" s="336"/>
      <c r="CO307" s="336"/>
      <c r="CP307" s="336"/>
      <c r="CQ307" s="336"/>
      <c r="CR307" s="336"/>
      <c r="CS307" s="336"/>
      <c r="CT307" s="336"/>
      <c r="CU307" s="336"/>
      <c r="CV307" s="336"/>
      <c r="CW307" s="336"/>
      <c r="CX307" s="336"/>
      <c r="CY307" s="336"/>
      <c r="CZ307" s="336"/>
      <c r="DA307" s="336"/>
      <c r="DB307" s="336"/>
      <c r="DC307" s="336"/>
      <c r="DD307" s="336"/>
      <c r="DE307" s="336"/>
      <c r="DF307" s="336"/>
      <c r="DG307" s="336"/>
      <c r="DH307" s="336"/>
      <c r="DI307" s="336"/>
      <c r="DJ307" s="336"/>
      <c r="DK307" s="336"/>
      <c r="DL307" s="336"/>
      <c r="DM307" s="336"/>
      <c r="DN307" s="336"/>
      <c r="DO307" s="336"/>
      <c r="DP307" s="336"/>
      <c r="DQ307" s="336"/>
      <c r="DR307" s="336"/>
      <c r="DS307" s="336"/>
      <c r="DT307" s="336"/>
      <c r="DU307" s="336"/>
      <c r="DW307" s="336">
        <f t="shared" si="2108"/>
        <v>0</v>
      </c>
      <c r="DX307" s="336">
        <f t="shared" si="2102"/>
        <v>39</v>
      </c>
      <c r="DY307" s="336">
        <f t="shared" si="2103"/>
        <v>39</v>
      </c>
      <c r="DZ307" s="336">
        <f t="shared" si="2104"/>
        <v>39</v>
      </c>
      <c r="EA307" s="336">
        <f t="shared" si="2105"/>
        <v>0</v>
      </c>
      <c r="EB307" s="336">
        <f t="shared" si="2106"/>
        <v>0</v>
      </c>
      <c r="EC307" s="336">
        <f t="shared" si="2107"/>
        <v>0</v>
      </c>
      <c r="ED307" s="336">
        <f t="shared" si="2019"/>
        <v>0</v>
      </c>
      <c r="EE307" s="336">
        <f t="shared" si="2020"/>
        <v>0</v>
      </c>
      <c r="EF307" s="336">
        <f t="shared" si="2021"/>
        <v>0</v>
      </c>
      <c r="EG307" s="336">
        <f t="shared" si="2022"/>
        <v>0</v>
      </c>
      <c r="EH307" s="336">
        <f t="shared" si="2023"/>
        <v>0</v>
      </c>
      <c r="EI307" s="336">
        <f t="shared" si="2024"/>
        <v>0</v>
      </c>
      <c r="EJ307" s="336">
        <f t="shared" si="2025"/>
        <v>0</v>
      </c>
      <c r="EK307" s="336">
        <f t="shared" si="2026"/>
        <v>0</v>
      </c>
      <c r="EL307" s="336">
        <f t="shared" si="2027"/>
        <v>0</v>
      </c>
      <c r="EM307" s="336">
        <f t="shared" si="2028"/>
        <v>0</v>
      </c>
      <c r="EN307" s="336">
        <f t="shared" si="2029"/>
        <v>0</v>
      </c>
      <c r="EO307" s="336">
        <f t="shared" si="2030"/>
        <v>0</v>
      </c>
      <c r="EP307" s="336">
        <f t="shared" si="2031"/>
        <v>0</v>
      </c>
      <c r="EQ307" s="336">
        <f t="shared" si="2032"/>
        <v>0</v>
      </c>
      <c r="ER307" s="336">
        <f t="shared" si="2033"/>
        <v>0</v>
      </c>
      <c r="ES307" s="336">
        <f t="shared" si="2034"/>
        <v>0</v>
      </c>
      <c r="ET307" s="336">
        <f t="shared" si="2034"/>
        <v>0</v>
      </c>
      <c r="EU307" s="336">
        <f t="shared" si="2035"/>
        <v>0</v>
      </c>
      <c r="EV307" s="336">
        <f t="shared" si="2036"/>
        <v>0</v>
      </c>
      <c r="EW307" s="336">
        <f t="shared" si="2037"/>
        <v>0</v>
      </c>
      <c r="EX307" s="336">
        <f t="shared" si="2038"/>
        <v>0</v>
      </c>
      <c r="EY307" s="336">
        <f t="shared" si="2039"/>
        <v>0</v>
      </c>
      <c r="EZ307" s="336">
        <f t="shared" si="2040"/>
        <v>0</v>
      </c>
      <c r="FA307" s="336">
        <f t="shared" si="2041"/>
        <v>0</v>
      </c>
      <c r="FB307" s="336">
        <f t="shared" si="2042"/>
        <v>0</v>
      </c>
      <c r="FC307" s="336">
        <f t="shared" si="2043"/>
        <v>0</v>
      </c>
      <c r="FD307" s="336">
        <f t="shared" si="2044"/>
        <v>0</v>
      </c>
      <c r="FE307" s="336">
        <f t="shared" si="2045"/>
        <v>0</v>
      </c>
      <c r="FF307" s="336">
        <f t="shared" si="2046"/>
        <v>0</v>
      </c>
      <c r="FG307" s="336">
        <f t="shared" si="2047"/>
        <v>0</v>
      </c>
      <c r="FH307" s="336">
        <f t="shared" si="2048"/>
        <v>0</v>
      </c>
      <c r="FI307" s="336">
        <f t="shared" si="2049"/>
        <v>0</v>
      </c>
      <c r="FJ307" s="336">
        <f t="shared" si="2050"/>
        <v>0</v>
      </c>
      <c r="FK307" s="336">
        <f t="shared" si="2051"/>
        <v>0</v>
      </c>
      <c r="FL307" s="336">
        <f t="shared" si="2052"/>
        <v>0</v>
      </c>
      <c r="FM307" s="336">
        <f t="shared" si="2053"/>
        <v>0</v>
      </c>
      <c r="FN307" s="336">
        <f t="shared" si="2054"/>
        <v>0</v>
      </c>
      <c r="FO307" s="336">
        <f t="shared" si="2055"/>
        <v>0</v>
      </c>
      <c r="FP307" s="336">
        <f t="shared" si="2056"/>
        <v>0</v>
      </c>
      <c r="FQ307" s="336">
        <f t="shared" si="2057"/>
        <v>0</v>
      </c>
      <c r="FR307" s="336">
        <f t="shared" si="2058"/>
        <v>0</v>
      </c>
      <c r="FS307" s="336">
        <f t="shared" si="2059"/>
        <v>0</v>
      </c>
      <c r="FT307" s="336">
        <f t="shared" si="2060"/>
        <v>0</v>
      </c>
      <c r="FU307" s="336">
        <f t="shared" ref="FU307:FU387" si="2262">IF(DC307=1,($BC307*DC307),0)</f>
        <v>0</v>
      </c>
      <c r="FV307" s="336">
        <f t="shared" ref="FV307:FV387" si="2263">IF(DD307=1,($BC307*DD307),0)</f>
        <v>0</v>
      </c>
      <c r="FW307" s="336">
        <f t="shared" ref="FW307:FW387" si="2264">IF(DE307=1,($BC307*DE307),0)</f>
        <v>0</v>
      </c>
      <c r="FX307" s="336">
        <f t="shared" ref="FX307:FX387" si="2265">IF(DF307=1,($BC307*DF307),0)</f>
        <v>0</v>
      </c>
      <c r="FY307" s="336">
        <f t="shared" si="2061"/>
        <v>0</v>
      </c>
      <c r="FZ307" s="336">
        <f t="shared" si="2062"/>
        <v>0</v>
      </c>
      <c r="GA307" s="336">
        <f t="shared" si="2063"/>
        <v>0</v>
      </c>
      <c r="GB307" s="336">
        <f t="shared" si="2064"/>
        <v>0</v>
      </c>
      <c r="GC307" s="336">
        <f t="shared" si="2065"/>
        <v>0</v>
      </c>
      <c r="GD307" s="336">
        <f t="shared" si="2066"/>
        <v>0</v>
      </c>
      <c r="GE307" s="336">
        <f t="shared" si="2067"/>
        <v>0</v>
      </c>
      <c r="GF307" s="336">
        <f t="shared" si="2068"/>
        <v>0</v>
      </c>
      <c r="GG307" s="336">
        <f t="shared" si="2069"/>
        <v>0</v>
      </c>
      <c r="GH307" s="336">
        <f t="shared" si="2070"/>
        <v>0</v>
      </c>
      <c r="GI307" s="336">
        <f t="shared" si="2071"/>
        <v>0</v>
      </c>
      <c r="GJ307" s="336">
        <f t="shared" si="2072"/>
        <v>0</v>
      </c>
      <c r="GK307" s="336">
        <f t="shared" si="1988"/>
        <v>0</v>
      </c>
      <c r="GL307" s="336">
        <f t="shared" ref="GL307:GL355" si="2266">IF(DT307=1,($BC307*DT307),0)</f>
        <v>0</v>
      </c>
      <c r="GM307" s="336">
        <f t="shared" si="2073"/>
        <v>0</v>
      </c>
    </row>
    <row r="308" spans="1:195" s="888" customFormat="1">
      <c r="A308" s="870">
        <f t="shared" ref="A308:A345" si="2267">1+A307</f>
        <v>201</v>
      </c>
      <c r="B308" s="876" t="s">
        <v>527</v>
      </c>
      <c r="C308" s="870" t="str">
        <f t="shared" si="2109"/>
        <v>PDB-1</v>
      </c>
      <c r="D308" s="902" t="s">
        <v>753</v>
      </c>
      <c r="E308" s="873" t="s">
        <v>608</v>
      </c>
      <c r="F308" s="903" t="s">
        <v>29</v>
      </c>
      <c r="G308" s="870" t="s">
        <v>350</v>
      </c>
      <c r="H308" s="877">
        <v>62</v>
      </c>
      <c r="I308" s="870" t="s">
        <v>330</v>
      </c>
      <c r="J308" s="870" t="s">
        <v>331</v>
      </c>
      <c r="K308" s="875">
        <v>400</v>
      </c>
      <c r="L308" s="876">
        <v>0.85</v>
      </c>
      <c r="M308" s="877">
        <v>0.95400000000000007</v>
      </c>
      <c r="N308" s="878">
        <f t="shared" si="2110"/>
        <v>110.36122439156789</v>
      </c>
      <c r="O308" s="878">
        <f t="shared" si="2111"/>
        <v>662.16734634940735</v>
      </c>
      <c r="P308" s="876">
        <f t="shared" si="2112"/>
        <v>0.2</v>
      </c>
      <c r="Q308" s="877">
        <v>50</v>
      </c>
      <c r="R308" s="877">
        <v>0</v>
      </c>
      <c r="S308" s="877">
        <f t="shared" si="2113"/>
        <v>0</v>
      </c>
      <c r="T308" s="876" t="s">
        <v>131</v>
      </c>
      <c r="U308" s="877" t="s">
        <v>333</v>
      </c>
      <c r="V308" s="876">
        <v>50</v>
      </c>
      <c r="W308" s="876" t="str">
        <f t="shared" si="2114"/>
        <v>3C X 50</v>
      </c>
      <c r="X308" s="876" t="str">
        <f t="shared" si="2115"/>
        <v>3C X 50+PE</v>
      </c>
      <c r="Y308" s="876" t="s">
        <v>358</v>
      </c>
      <c r="Z308" s="879">
        <f>IF(T308="AIR",VLOOKUP(W308,'Catalogue Aluminium'!$B$9:$G$93,2,FALSE),IF(T308="GROUND",VLOOKUP(W308,'Catalogue Aluminium'!$B$9:$G$93,3,FALSE),IF(T308="DUCT",VLOOKUP(W308,'Catalogue Aluminium'!$B$9:$G$93,4,FALSE),IF(T308="TRENCH",VLOOKUP(W308,'Catalogue Aluminium'!$B$9:$G$93,2,FALSE)))))</f>
        <v>141</v>
      </c>
      <c r="AA308" s="880">
        <f>VLOOKUP(W308,'Catalogue Aluminium'!$B$9:$G$93,5,FALSE)</f>
        <v>0.82</v>
      </c>
      <c r="AB308" s="880">
        <f>VLOOKUP(W308,'Catalogue Aluminium'!$B$9:$G$93,6,FALSE)</f>
        <v>7.9200000000000007E-2</v>
      </c>
      <c r="AC308" s="900">
        <f t="shared" si="2149"/>
        <v>34</v>
      </c>
      <c r="AD308" s="870">
        <f>10</f>
        <v>10</v>
      </c>
      <c r="AE308" s="900">
        <v>10</v>
      </c>
      <c r="AF308" s="876">
        <v>8</v>
      </c>
      <c r="AG308" s="876">
        <f t="shared" si="2116"/>
        <v>7</v>
      </c>
      <c r="AH308" s="881">
        <f t="shared" si="2117"/>
        <v>69</v>
      </c>
      <c r="AI308" s="879">
        <f>IF(T308="AIR",'Catalogue Aluminium'!$K$9,IF(T308="TRENCH",'Catalogue Aluminium'!$K$12,"NA"))</f>
        <v>0.89</v>
      </c>
      <c r="AJ308" s="878">
        <f>IF(T308="Air",(IF(U308="1C",'Catalogue Aluminium'!$L$9,'Catalogue Aluminium'!$M$9)),IF(T308="DUCT",(IF($U308="1C",'Catalogue Aluminium'!$L$10,'Catalogue Aluminium'!$M$10)),IF(T308="GROUND",(IF($U308="1C",'Catalogue Aluminium'!$L$11,'Catalogue Aluminium'!$M$11)),IF(T308="TRENCH",(IF($U308="1C",'Catalogue Aluminium'!$L$12,'Catalogue Aluminium'!$M$12))))))</f>
        <v>0.66</v>
      </c>
      <c r="AK308" s="879" t="str">
        <f>IF(T308="Air",'Catalogue Aluminium'!$N$9,IF(T308="GROUND",'Catalogue Aluminium'!$N$10,IF(T308="DUCT",'Catalogue Aluminium'!$N$11,IF(T308="TRENCH",'Catalogue Aluminium'!$N$12,"NA"))))</f>
        <v>NA</v>
      </c>
      <c r="AL308" s="879" t="str">
        <f>IF(T308="Air",(IF(U308="1C",'Catalogue Aluminium'!$O$9,'Catalogue Aluminium'!$P$9)),IF(T308="DUCT",(IF($U308="1C",'Catalogue Aluminium'!$O$10,'Catalogue Aluminium'!$P$10)),IF(T308="GROUND",(IF($U308="1C",'Catalogue Aluminium'!$O$11,'Catalogue Aluminium'!$P$11)),IF(T308="TRENCH",(IF($U308="1C",'Catalogue Aluminium'!$O$12,'Catalogue Aluminium'!$P$12))))))</f>
        <v>NA</v>
      </c>
      <c r="AM308" s="879" t="str">
        <f>IF(T308="AIR","NA",IF(T308="TRENCH","NA",IF(T308="DUCT",IF(U308="1C",VLOOKUP(V308,'Catalogue Aluminium'!$Q$9:$S$28,2,FALSE),VLOOKUP(V308,'Catalogue Aluminium'!$Q$9:$S$28,3)),IF(T308="GROUND",IF(U308="1C",VLOOKUP(V308,'Catalogue Aluminium'!$Q$9:$S$28,2,FALSE),VLOOKUP(V308,'Catalogue Aluminium'!$Q$9:$S$28,3))))))</f>
        <v>NA</v>
      </c>
      <c r="AN308" s="882">
        <f t="shared" si="2118"/>
        <v>0.58740000000000003</v>
      </c>
      <c r="AO308" s="877">
        <f t="shared" si="2119"/>
        <v>82.823400000000007</v>
      </c>
      <c r="AP308" s="875">
        <f t="shared" si="2120"/>
        <v>2</v>
      </c>
      <c r="AQ308" s="877" t="str">
        <f t="shared" si="2121"/>
        <v>YES</v>
      </c>
      <c r="AR308" s="882">
        <f t="shared" si="2122"/>
        <v>1.2179144895610599</v>
      </c>
      <c r="AS308" s="876" t="str">
        <f t="shared" si="2123"/>
        <v>YES</v>
      </c>
      <c r="AT308" s="882">
        <f t="shared" si="2124"/>
        <v>2.3899241897056931</v>
      </c>
      <c r="AU308" s="876" t="str">
        <f t="shared" si="2125"/>
        <v>YES</v>
      </c>
      <c r="AV308" s="883" t="str">
        <f t="shared" si="2126"/>
        <v>2R x 0.6/1kV x 3C x 50 Sqmm</v>
      </c>
      <c r="AW308" s="883" t="str">
        <f t="shared" si="2127"/>
        <v>2R x 0.6/1kV x 3C x 50+PE Sqmm</v>
      </c>
      <c r="AX308" s="876"/>
      <c r="AY308" s="884"/>
      <c r="AZ308" s="884"/>
      <c r="BA308" s="885" t="str">
        <f t="shared" ref="BA308:BA348" si="2268">CONCATENATE(IF(BE308=1,BE$4,""),IF(BF308=1,BF$4,""),IF(BG308=1,BG$4,""),IF(BH308=1,BH$4,""),IF(BI308=1,BI$4,""),IF(BJ308=1,BJ$4,""),IF(BK308=1,BK$4,""),IF(BL308=1,BL$4,""),IF(BM308=1,BM$4,""),IF(BN308=1,BN$4,""),IF(BO308=1,BO$4,""),IF(BP308=1,BP$4,""),IF(BQ308=1,BQ$4,""),IF(BR308=1,BR$4,""),IF(BS308=1,BS$4,""),IF(BT308=1,BT$4,""),IF(BU308=1,BU$4,""),IF(BV308=1,BV$4,""),IF(BW308=1,BW$4,""),IF(BX308=1,BX$4,""),IF(BY308=1,BY$4,""),IF(BZ308=1,BZ$4,""),IF(CA308=1,CA$4,""),IF(CC308=1,CC$4,""),IF(CD308=1,CD$4,""),IF(CE308=1,CE$4,""),IF(CF308=1,CF$4,""),IF(CG308=1,CG$4,""),IF(CH308=1,CH$4,""),IF(CI308=1,CI$4,""),IF(CJ308=1,CJ$4,""),IF(CK308=1,CK$4,""),IF(CL308=1,CL$4,""),IF(CM308=1,CM$4,""),IF(CN308=1,CN$4,""),IF(CO308=1,CO$4,""),IF(CP308=1,CP$4,""),IF(CQ308=1,CQ$4,""),IF(CR308=1,CR$4,""),IF(CS308=1,CS$4,""),IF(CT308=1,CT$4,""),IF(CU308=1,CU$4,""),IF(CV308=1,CV$4,""),IF(CW308=1,CW$4,""),IF(CX308=1,CX$4,""),IF(CY308=1,CY$4,""),IF(CZ308=1,CZ$4,""),IF(DA308=1,DA$4,""),IF(DB308=1,DB$4,""),IF(DC308=1,DC$4,""),IF(DD308=1,DD$4,""),IF(DE308=1,DE$4,""),IF(DF308=1,DF$4,""),IF(DG308=1,DG$4,""),IF(DH308=1,DH$4,""),IF(DI308=1,DI$4,""),IF(DJ308=1,DJ$4,""),IF(DK308=1,DK$4,""),IF(DL308=1,DL$4,""),IF(DM308=1,DM$4,""),IF(DN308=1,DN$4,""),IF(DO308=1,DO$4,""),IF(DP308=1,DP$4,""),IF(DQ308=1,DQ$4,""),IF(DR308=1,DR$4,""),IF(DS308=1,DS$4,""),IF(DT308=1,DT$4,""),IF(DU308=1,DU$4,""))</f>
        <v/>
      </c>
      <c r="BB308" s="886"/>
      <c r="BC308" s="887"/>
      <c r="BE308" s="889"/>
      <c r="BF308" s="889"/>
      <c r="BG308" s="889"/>
      <c r="BH308" s="889"/>
      <c r="BI308" s="889"/>
      <c r="BJ308" s="889"/>
      <c r="BK308" s="889"/>
      <c r="BL308" s="889"/>
      <c r="BM308" s="889"/>
      <c r="BN308" s="889"/>
      <c r="BO308" s="889"/>
      <c r="BP308" s="889"/>
      <c r="BQ308" s="889"/>
      <c r="BR308" s="889"/>
      <c r="BS308" s="889"/>
      <c r="BT308" s="889"/>
      <c r="BU308" s="889"/>
      <c r="BV308" s="889"/>
      <c r="BW308" s="889"/>
      <c r="BX308" s="889"/>
      <c r="BY308" s="889"/>
      <c r="BZ308" s="889"/>
      <c r="CA308" s="889"/>
      <c r="CB308" s="889"/>
      <c r="CC308" s="889"/>
      <c r="CD308" s="889"/>
      <c r="CE308" s="889"/>
      <c r="CF308" s="889"/>
      <c r="CG308" s="889"/>
      <c r="CH308" s="889"/>
      <c r="CI308" s="889"/>
      <c r="CJ308" s="889"/>
      <c r="CK308" s="889"/>
      <c r="CL308" s="889"/>
      <c r="CM308" s="889"/>
      <c r="CN308" s="889"/>
      <c r="CO308" s="889"/>
      <c r="CP308" s="889"/>
      <c r="CQ308" s="889"/>
      <c r="CR308" s="889"/>
      <c r="CS308" s="889"/>
      <c r="CT308" s="889"/>
      <c r="CU308" s="889"/>
      <c r="CV308" s="889"/>
      <c r="CW308" s="889"/>
      <c r="CX308" s="889"/>
      <c r="CY308" s="889"/>
      <c r="CZ308" s="889"/>
      <c r="DA308" s="889"/>
      <c r="DB308" s="889"/>
      <c r="DC308" s="889"/>
      <c r="DD308" s="889"/>
      <c r="DE308" s="889"/>
      <c r="DF308" s="889"/>
      <c r="DG308" s="889"/>
      <c r="DH308" s="889"/>
      <c r="DI308" s="889"/>
      <c r="DJ308" s="889"/>
      <c r="DK308" s="889"/>
      <c r="DL308" s="889"/>
      <c r="DM308" s="889"/>
      <c r="DN308" s="889"/>
      <c r="DO308" s="889"/>
      <c r="DP308" s="889"/>
      <c r="DQ308" s="889"/>
      <c r="DR308" s="889"/>
      <c r="DS308" s="889"/>
      <c r="DT308" s="889"/>
      <c r="DU308" s="889"/>
      <c r="DW308" s="889">
        <f t="shared" si="2108"/>
        <v>0</v>
      </c>
      <c r="DX308" s="889">
        <f t="shared" si="2102"/>
        <v>0</v>
      </c>
      <c r="DY308" s="889">
        <f t="shared" si="2103"/>
        <v>0</v>
      </c>
      <c r="DZ308" s="889">
        <f t="shared" si="2104"/>
        <v>0</v>
      </c>
      <c r="EA308" s="889">
        <f t="shared" si="2105"/>
        <v>0</v>
      </c>
      <c r="EB308" s="889">
        <f t="shared" si="2106"/>
        <v>0</v>
      </c>
      <c r="EC308" s="889">
        <f t="shared" si="2107"/>
        <v>0</v>
      </c>
      <c r="ED308" s="889">
        <f t="shared" si="2019"/>
        <v>0</v>
      </c>
      <c r="EE308" s="889">
        <f t="shared" si="2020"/>
        <v>0</v>
      </c>
      <c r="EF308" s="889">
        <f t="shared" si="2021"/>
        <v>0</v>
      </c>
      <c r="EG308" s="889">
        <f t="shared" si="2022"/>
        <v>0</v>
      </c>
      <c r="EH308" s="889">
        <f t="shared" si="2023"/>
        <v>0</v>
      </c>
      <c r="EI308" s="889">
        <f t="shared" si="2024"/>
        <v>0</v>
      </c>
      <c r="EJ308" s="889">
        <f t="shared" si="2025"/>
        <v>0</v>
      </c>
      <c r="EK308" s="889">
        <f t="shared" si="2026"/>
        <v>0</v>
      </c>
      <c r="EL308" s="889">
        <f t="shared" si="2027"/>
        <v>0</v>
      </c>
      <c r="EM308" s="889">
        <f t="shared" si="2028"/>
        <v>0</v>
      </c>
      <c r="EN308" s="889">
        <f t="shared" si="2029"/>
        <v>0</v>
      </c>
      <c r="EO308" s="889">
        <f t="shared" si="2030"/>
        <v>0</v>
      </c>
      <c r="EP308" s="889">
        <f t="shared" si="2031"/>
        <v>0</v>
      </c>
      <c r="EQ308" s="889">
        <f t="shared" si="2032"/>
        <v>0</v>
      </c>
      <c r="ER308" s="889">
        <f t="shared" si="2033"/>
        <v>0</v>
      </c>
      <c r="ES308" s="889">
        <f t="shared" si="2034"/>
        <v>0</v>
      </c>
      <c r="ET308" s="889">
        <f t="shared" si="2034"/>
        <v>0</v>
      </c>
      <c r="EU308" s="889">
        <f t="shared" si="2035"/>
        <v>0</v>
      </c>
      <c r="EV308" s="889">
        <f t="shared" si="2036"/>
        <v>0</v>
      </c>
      <c r="EW308" s="889">
        <f t="shared" si="2037"/>
        <v>0</v>
      </c>
      <c r="EX308" s="889">
        <f t="shared" si="2038"/>
        <v>0</v>
      </c>
      <c r="EY308" s="889">
        <f t="shared" si="2039"/>
        <v>0</v>
      </c>
      <c r="EZ308" s="889">
        <f t="shared" si="2040"/>
        <v>0</v>
      </c>
      <c r="FA308" s="889">
        <f t="shared" si="2041"/>
        <v>0</v>
      </c>
      <c r="FB308" s="889">
        <f t="shared" si="2042"/>
        <v>0</v>
      </c>
      <c r="FC308" s="889">
        <f t="shared" si="2043"/>
        <v>0</v>
      </c>
      <c r="FD308" s="889">
        <f t="shared" si="2044"/>
        <v>0</v>
      </c>
      <c r="FE308" s="889">
        <f t="shared" si="2045"/>
        <v>0</v>
      </c>
      <c r="FF308" s="889">
        <f t="shared" si="2046"/>
        <v>0</v>
      </c>
      <c r="FG308" s="889">
        <f t="shared" si="2047"/>
        <v>0</v>
      </c>
      <c r="FH308" s="889">
        <f t="shared" si="2048"/>
        <v>0</v>
      </c>
      <c r="FI308" s="889">
        <f t="shared" si="2049"/>
        <v>0</v>
      </c>
      <c r="FJ308" s="889">
        <f t="shared" si="2050"/>
        <v>0</v>
      </c>
      <c r="FK308" s="889">
        <f t="shared" si="2051"/>
        <v>0</v>
      </c>
      <c r="FL308" s="889">
        <f t="shared" si="2052"/>
        <v>0</v>
      </c>
      <c r="FM308" s="889">
        <f t="shared" si="2053"/>
        <v>0</v>
      </c>
      <c r="FN308" s="889">
        <f t="shared" si="2054"/>
        <v>0</v>
      </c>
      <c r="FO308" s="889">
        <f t="shared" si="2055"/>
        <v>0</v>
      </c>
      <c r="FP308" s="889">
        <f t="shared" si="2056"/>
        <v>0</v>
      </c>
      <c r="FQ308" s="889">
        <f t="shared" si="2057"/>
        <v>0</v>
      </c>
      <c r="FR308" s="889">
        <f t="shared" si="2058"/>
        <v>0</v>
      </c>
      <c r="FS308" s="889">
        <f t="shared" si="2059"/>
        <v>0</v>
      </c>
      <c r="FT308" s="889">
        <f t="shared" si="2060"/>
        <v>0</v>
      </c>
      <c r="FU308" s="889">
        <f t="shared" si="2262"/>
        <v>0</v>
      </c>
      <c r="FV308" s="889">
        <f t="shared" si="2263"/>
        <v>0</v>
      </c>
      <c r="FW308" s="889">
        <f t="shared" si="2264"/>
        <v>0</v>
      </c>
      <c r="FX308" s="889">
        <f t="shared" si="2265"/>
        <v>0</v>
      </c>
      <c r="FY308" s="889">
        <f t="shared" si="2061"/>
        <v>0</v>
      </c>
      <c r="FZ308" s="889">
        <f t="shared" si="2062"/>
        <v>0</v>
      </c>
      <c r="GA308" s="889">
        <f t="shared" si="2063"/>
        <v>0</v>
      </c>
      <c r="GB308" s="889">
        <f t="shared" si="2064"/>
        <v>0</v>
      </c>
      <c r="GC308" s="889">
        <f t="shared" si="2065"/>
        <v>0</v>
      </c>
      <c r="GD308" s="889">
        <f t="shared" si="2066"/>
        <v>0</v>
      </c>
      <c r="GE308" s="889">
        <f t="shared" si="2067"/>
        <v>0</v>
      </c>
      <c r="GF308" s="889">
        <f t="shared" si="2068"/>
        <v>0</v>
      </c>
      <c r="GG308" s="889">
        <f t="shared" si="2069"/>
        <v>0</v>
      </c>
      <c r="GH308" s="889">
        <f t="shared" si="2070"/>
        <v>0</v>
      </c>
      <c r="GI308" s="889">
        <f t="shared" si="2071"/>
        <v>0</v>
      </c>
      <c r="GJ308" s="889">
        <f t="shared" si="2072"/>
        <v>0</v>
      </c>
      <c r="GK308" s="889">
        <f t="shared" si="1988"/>
        <v>0</v>
      </c>
      <c r="GL308" s="889">
        <f t="shared" si="2266"/>
        <v>0</v>
      </c>
      <c r="GM308" s="889">
        <f t="shared" si="2073"/>
        <v>0</v>
      </c>
    </row>
    <row r="309" spans="1:195" s="888" customFormat="1">
      <c r="A309" s="870">
        <f t="shared" si="2267"/>
        <v>202</v>
      </c>
      <c r="B309" s="876" t="s">
        <v>527</v>
      </c>
      <c r="C309" s="870" t="str">
        <f t="shared" si="2109"/>
        <v>PDB-1</v>
      </c>
      <c r="D309" s="902" t="s">
        <v>754</v>
      </c>
      <c r="E309" s="873" t="s">
        <v>608</v>
      </c>
      <c r="F309" s="903" t="s">
        <v>29</v>
      </c>
      <c r="G309" s="870" t="s">
        <v>329</v>
      </c>
      <c r="H309" s="874">
        <v>0.2</v>
      </c>
      <c r="I309" s="870" t="s">
        <v>330</v>
      </c>
      <c r="J309" s="870" t="s">
        <v>357</v>
      </c>
      <c r="K309" s="875">
        <v>230</v>
      </c>
      <c r="L309" s="876">
        <v>0.85</v>
      </c>
      <c r="M309" s="877">
        <v>0.95</v>
      </c>
      <c r="N309" s="878">
        <f t="shared" si="2110"/>
        <v>1.0768609503297888</v>
      </c>
      <c r="O309" s="878">
        <f t="shared" si="2111"/>
        <v>0</v>
      </c>
      <c r="P309" s="876" t="str">
        <f t="shared" si="2112"/>
        <v>0.00</v>
      </c>
      <c r="Q309" s="877">
        <v>65</v>
      </c>
      <c r="R309" s="877">
        <v>0</v>
      </c>
      <c r="S309" s="877">
        <f t="shared" si="2113"/>
        <v>0</v>
      </c>
      <c r="T309" s="876" t="s">
        <v>131</v>
      </c>
      <c r="U309" s="877" t="s">
        <v>333</v>
      </c>
      <c r="V309" s="876">
        <v>2.5</v>
      </c>
      <c r="W309" s="876" t="str">
        <f t="shared" si="2114"/>
        <v>3C X 2.5</v>
      </c>
      <c r="X309" s="876" t="str">
        <f t="shared" ref="X309" si="2269">(IF(J309="1Ph",W309,IF(J309="3Ph",(IF(G309="MOTOR",(CONCATENATE(W309,"+PE")),W309)))))</f>
        <v>3C X 2.5</v>
      </c>
      <c r="Y309" s="876" t="s">
        <v>358</v>
      </c>
      <c r="Z309" s="879">
        <f>IF(T309="AIR",VLOOKUP(W309,'Catalogue Aluminium'!$B$9:$G$93,2,FALSE),IF(T309="GROUND",VLOOKUP(W309,'Catalogue Aluminium'!$B$9:$G$93,3,FALSE),IF(T309="DUCT",VLOOKUP(W309,'Catalogue Aluminium'!$B$9:$G$93,4,FALSE),IF(T309="TRENCH",VLOOKUP(W309,'Catalogue Aluminium'!$B$9:$G$93,2,FALSE)))))</f>
        <v>28</v>
      </c>
      <c r="AA309" s="880">
        <f>VLOOKUP(W309,'Catalogue Aluminium'!$B$9:$G$93,5,FALSE)</f>
        <v>9.48</v>
      </c>
      <c r="AB309" s="880">
        <f>VLOOKUP(W309,'Catalogue Aluminium'!$B$9:$G$93,6,FALSE)</f>
        <v>0.1007</v>
      </c>
      <c r="AC309" s="900">
        <f t="shared" si="2149"/>
        <v>34</v>
      </c>
      <c r="AD309" s="870">
        <f>10</f>
        <v>10</v>
      </c>
      <c r="AE309" s="900">
        <v>10</v>
      </c>
      <c r="AF309" s="876">
        <v>8</v>
      </c>
      <c r="AG309" s="876">
        <f t="shared" ref="AG309" si="2270">ROUNDUP((SUM(AC309:AF309)*0.1),0)</f>
        <v>7</v>
      </c>
      <c r="AH309" s="881">
        <f t="shared" ref="AH309" si="2271">SUM(AC309:AG309)</f>
        <v>69</v>
      </c>
      <c r="AI309" s="879">
        <f>IF(T309="AIR",'Catalogue Aluminium'!$K$9,IF(T309="TRENCH",'Catalogue Aluminium'!$K$12,"NA"))</f>
        <v>0.89</v>
      </c>
      <c r="AJ309" s="878">
        <f>IF(T309="Air",(IF(U309="1C",'Catalogue Aluminium'!$L$9,'Catalogue Aluminium'!$M$9)),IF(T309="DUCT",(IF($U309="1C",'Catalogue Aluminium'!$L$10,'Catalogue Aluminium'!$M$10)),IF(T309="GROUND",(IF($U309="1C",'Catalogue Aluminium'!$L$11,'Catalogue Aluminium'!$M$11)),IF(T309="TRENCH",(IF($U309="1C",'Catalogue Aluminium'!$L$12,'Catalogue Aluminium'!$M$12))))))</f>
        <v>0.66</v>
      </c>
      <c r="AK309" s="879" t="str">
        <f>IF(T309="Air",'Catalogue Aluminium'!$N$9,IF(T309="GROUND",'Catalogue Aluminium'!$N$10,IF(T309="DUCT",'Catalogue Aluminium'!$N$11,IF(T309="TRENCH",'Catalogue Aluminium'!$N$12,"NA"))))</f>
        <v>NA</v>
      </c>
      <c r="AL309" s="879" t="str">
        <f>IF(T309="Air",(IF(U309="1C",'Catalogue Aluminium'!$O$9,'Catalogue Aluminium'!$P$9)),IF(T309="DUCT",(IF($U309="1C",'Catalogue Aluminium'!$O$10,'Catalogue Aluminium'!$P$10)),IF(T309="GROUND",(IF($U309="1C",'Catalogue Aluminium'!$O$11,'Catalogue Aluminium'!$P$11)),IF(T309="TRENCH",(IF($U309="1C",'Catalogue Aluminium'!$O$12,'Catalogue Aluminium'!$P$12))))))</f>
        <v>NA</v>
      </c>
      <c r="AM309" s="879" t="str">
        <f>IF(T309="AIR","NA",IF(T309="TRENCH","NA",IF(T309="DUCT",IF(U309="1C",VLOOKUP(V309,'Catalogue Aluminium'!$Q$9:$S$28,2,FALSE),VLOOKUP(V309,'Catalogue Aluminium'!$Q$9:$S$28,3)),IF(T309="GROUND",IF(U309="1C",VLOOKUP(V309,'Catalogue Aluminium'!$Q$9:$S$28,2,FALSE),VLOOKUP(V309,'Catalogue Aluminium'!$Q$9:$S$28,3))))))</f>
        <v>NA</v>
      </c>
      <c r="AN309" s="882">
        <f t="shared" ref="AN309" si="2272">IF(T309="AIR",AI309*AJ309,IF(T309="TRENCH",AI309*AJ309,IF(T309="DUCT",AJ309*AK309*AL309*AM309,IF(T309="GROUND",AJ309*AK309*AL309*AM309))))</f>
        <v>0.58740000000000003</v>
      </c>
      <c r="AO309" s="877">
        <f t="shared" ref="AO309" si="2273">Z309*AN309</f>
        <v>16.447200000000002</v>
      </c>
      <c r="AP309" s="875">
        <f t="shared" ref="AP309" si="2274">CEILING(((N309)/AO309),1)</f>
        <v>1</v>
      </c>
      <c r="AQ309" s="877" t="str">
        <f t="shared" ref="AQ309" si="2275">IF(AO309*AP309&gt;=N309,"YES","NO")</f>
        <v>YES</v>
      </c>
      <c r="AR309" s="882">
        <f t="shared" ref="AR309" si="2276">SQRT(3)*AH309*N309*((AA309*L309)+(AB309*SIN(ACOS(L309))))*100/(AP309*K309*1000)</f>
        <v>0.45385636404609503</v>
      </c>
      <c r="AS309" s="876" t="str">
        <f t="shared" ref="AS309" si="2277">IF(G309="INCOMER",(IF(AR309&lt;=2,"YES","NO")),IF(G309="POWER",(IF(AR309&lt;=2.5,"YES","NO")),IF(G309="MOTOR",(IF(AR309&lt;=3,"YES","NO")))))</f>
        <v>YES</v>
      </c>
      <c r="AT309" s="882" t="str">
        <f t="shared" si="2124"/>
        <v>NA</v>
      </c>
      <c r="AU309" s="876" t="str">
        <f t="shared" si="2125"/>
        <v>NA</v>
      </c>
      <c r="AV309" s="883" t="str">
        <f t="shared" si="2126"/>
        <v>1R x 0.6/1kV x 3C x 2.5 Sqmm</v>
      </c>
      <c r="AW309" s="883" t="str">
        <f t="shared" si="2127"/>
        <v>1R x 0.6/1kV x 3C x 2.5 Sqmm</v>
      </c>
      <c r="AX309" s="876"/>
      <c r="AY309" s="884"/>
      <c r="AZ309" s="884"/>
      <c r="BA309" s="885" t="str">
        <f t="shared" si="2268"/>
        <v/>
      </c>
      <c r="BB309" s="886"/>
      <c r="BC309" s="887"/>
      <c r="BE309" s="889"/>
      <c r="BF309" s="889"/>
      <c r="BG309" s="889"/>
      <c r="BH309" s="889"/>
      <c r="BI309" s="889"/>
      <c r="BJ309" s="889"/>
      <c r="BK309" s="889"/>
      <c r="BL309" s="889"/>
      <c r="BM309" s="889"/>
      <c r="BN309" s="889"/>
      <c r="BO309" s="889"/>
      <c r="BP309" s="889"/>
      <c r="BQ309" s="889"/>
      <c r="BR309" s="889"/>
      <c r="BS309" s="889"/>
      <c r="BT309" s="889"/>
      <c r="BU309" s="889"/>
      <c r="BV309" s="889"/>
      <c r="BW309" s="889"/>
      <c r="BX309" s="889"/>
      <c r="BY309" s="889"/>
      <c r="BZ309" s="889"/>
      <c r="CA309" s="889"/>
      <c r="CB309" s="889"/>
      <c r="CC309" s="889"/>
      <c r="CD309" s="889"/>
      <c r="CE309" s="889"/>
      <c r="CF309" s="889"/>
      <c r="CG309" s="889"/>
      <c r="CH309" s="889"/>
      <c r="CI309" s="889"/>
      <c r="CJ309" s="889"/>
      <c r="CK309" s="889"/>
      <c r="CL309" s="889"/>
      <c r="CM309" s="889"/>
      <c r="CN309" s="889"/>
      <c r="CO309" s="889"/>
      <c r="CP309" s="889"/>
      <c r="CQ309" s="889"/>
      <c r="CR309" s="889"/>
      <c r="CS309" s="889"/>
      <c r="CT309" s="889"/>
      <c r="CU309" s="889"/>
      <c r="CV309" s="889"/>
      <c r="CW309" s="889"/>
      <c r="CX309" s="889"/>
      <c r="CY309" s="889"/>
      <c r="CZ309" s="889"/>
      <c r="DA309" s="889"/>
      <c r="DB309" s="889"/>
      <c r="DC309" s="889"/>
      <c r="DD309" s="889"/>
      <c r="DE309" s="889"/>
      <c r="DF309" s="889"/>
      <c r="DG309" s="889"/>
      <c r="DH309" s="889"/>
      <c r="DI309" s="889"/>
      <c r="DJ309" s="889"/>
      <c r="DK309" s="889"/>
      <c r="DL309" s="889"/>
      <c r="DM309" s="889"/>
      <c r="DN309" s="889"/>
      <c r="DO309" s="889"/>
      <c r="DP309" s="889"/>
      <c r="DQ309" s="889"/>
      <c r="DR309" s="889"/>
      <c r="DS309" s="889"/>
      <c r="DT309" s="889"/>
      <c r="DU309" s="889"/>
      <c r="DW309" s="889">
        <f t="shared" ref="DW309" si="2278">IF(BE309=1,($BC309*BE309),0)</f>
        <v>0</v>
      </c>
      <c r="DX309" s="889">
        <f t="shared" ref="DX309" si="2279">IF(BF309=1,($BC309*BF309),0)</f>
        <v>0</v>
      </c>
      <c r="DY309" s="889">
        <f t="shared" ref="DY309" si="2280">IF(BG309=1,($BC309*BG309),0)</f>
        <v>0</v>
      </c>
      <c r="DZ309" s="889">
        <f t="shared" ref="DZ309" si="2281">IF(BH309=1,($BC309*BH309),0)</f>
        <v>0</v>
      </c>
      <c r="EA309" s="889">
        <f t="shared" ref="EA309" si="2282">IF(BI309=1,($BC309*BI309),0)</f>
        <v>0</v>
      </c>
      <c r="EB309" s="889">
        <f t="shared" ref="EB309" si="2283">IF(BJ309=1,($BC309*BJ309),0)</f>
        <v>0</v>
      </c>
      <c r="EC309" s="889">
        <f t="shared" ref="EC309" si="2284">IF(BK309=1,($BC309*BK309),0)</f>
        <v>0</v>
      </c>
      <c r="ED309" s="889">
        <f t="shared" si="2019"/>
        <v>0</v>
      </c>
      <c r="EE309" s="889">
        <f t="shared" si="2020"/>
        <v>0</v>
      </c>
      <c r="EF309" s="889">
        <f t="shared" si="2021"/>
        <v>0</v>
      </c>
      <c r="EG309" s="889">
        <f t="shared" si="2022"/>
        <v>0</v>
      </c>
      <c r="EH309" s="889">
        <f t="shared" si="2023"/>
        <v>0</v>
      </c>
      <c r="EI309" s="889">
        <f t="shared" si="2024"/>
        <v>0</v>
      </c>
      <c r="EJ309" s="889">
        <f t="shared" si="2025"/>
        <v>0</v>
      </c>
      <c r="EK309" s="889">
        <f t="shared" si="2026"/>
        <v>0</v>
      </c>
      <c r="EL309" s="889">
        <f t="shared" si="2027"/>
        <v>0</v>
      </c>
      <c r="EM309" s="889">
        <f t="shared" si="2028"/>
        <v>0</v>
      </c>
      <c r="EN309" s="889">
        <f t="shared" si="2029"/>
        <v>0</v>
      </c>
      <c r="EO309" s="889">
        <f t="shared" si="2030"/>
        <v>0</v>
      </c>
      <c r="EP309" s="889">
        <f t="shared" si="2031"/>
        <v>0</v>
      </c>
      <c r="EQ309" s="889">
        <f t="shared" si="2032"/>
        <v>0</v>
      </c>
      <c r="ER309" s="889">
        <f t="shared" si="2033"/>
        <v>0</v>
      </c>
      <c r="ES309" s="889">
        <f t="shared" si="2034"/>
        <v>0</v>
      </c>
      <c r="ET309" s="889">
        <f t="shared" si="2034"/>
        <v>0</v>
      </c>
      <c r="EU309" s="889">
        <f t="shared" si="2035"/>
        <v>0</v>
      </c>
      <c r="EV309" s="889">
        <f t="shared" si="2036"/>
        <v>0</v>
      </c>
      <c r="EW309" s="889">
        <f t="shared" si="2037"/>
        <v>0</v>
      </c>
      <c r="EX309" s="889">
        <f t="shared" si="2038"/>
        <v>0</v>
      </c>
      <c r="EY309" s="889">
        <f t="shared" si="2039"/>
        <v>0</v>
      </c>
      <c r="EZ309" s="889">
        <f t="shared" si="2040"/>
        <v>0</v>
      </c>
      <c r="FA309" s="889">
        <f t="shared" si="2041"/>
        <v>0</v>
      </c>
      <c r="FB309" s="889">
        <f t="shared" si="2042"/>
        <v>0</v>
      </c>
      <c r="FC309" s="889">
        <f t="shared" si="2043"/>
        <v>0</v>
      </c>
      <c r="FD309" s="889">
        <f t="shared" si="2044"/>
        <v>0</v>
      </c>
      <c r="FE309" s="889">
        <f t="shared" si="2045"/>
        <v>0</v>
      </c>
      <c r="FF309" s="889">
        <f t="shared" si="2046"/>
        <v>0</v>
      </c>
      <c r="FG309" s="889">
        <f t="shared" si="2047"/>
        <v>0</v>
      </c>
      <c r="FH309" s="889">
        <f t="shared" si="2048"/>
        <v>0</v>
      </c>
      <c r="FI309" s="889">
        <f t="shared" si="2049"/>
        <v>0</v>
      </c>
      <c r="FJ309" s="889">
        <f t="shared" si="2050"/>
        <v>0</v>
      </c>
      <c r="FK309" s="889">
        <f t="shared" si="2051"/>
        <v>0</v>
      </c>
      <c r="FL309" s="889">
        <f t="shared" si="2052"/>
        <v>0</v>
      </c>
      <c r="FM309" s="889">
        <f t="shared" si="2053"/>
        <v>0</v>
      </c>
      <c r="FN309" s="889">
        <f t="shared" si="2054"/>
        <v>0</v>
      </c>
      <c r="FO309" s="889">
        <f t="shared" si="2055"/>
        <v>0</v>
      </c>
      <c r="FP309" s="889">
        <f t="shared" si="2056"/>
        <v>0</v>
      </c>
      <c r="FQ309" s="889">
        <f t="shared" si="2057"/>
        <v>0</v>
      </c>
      <c r="FR309" s="889">
        <f t="shared" si="2058"/>
        <v>0</v>
      </c>
      <c r="FS309" s="889">
        <f t="shared" si="2059"/>
        <v>0</v>
      </c>
      <c r="FT309" s="889">
        <f t="shared" si="2060"/>
        <v>0</v>
      </c>
      <c r="FU309" s="889">
        <f t="shared" si="2262"/>
        <v>0</v>
      </c>
      <c r="FV309" s="889">
        <f t="shared" si="2263"/>
        <v>0</v>
      </c>
      <c r="FW309" s="889">
        <f t="shared" si="2264"/>
        <v>0</v>
      </c>
      <c r="FX309" s="889">
        <f t="shared" si="2265"/>
        <v>0</v>
      </c>
      <c r="FY309" s="889">
        <f t="shared" si="2061"/>
        <v>0</v>
      </c>
      <c r="FZ309" s="889">
        <f t="shared" si="2062"/>
        <v>0</v>
      </c>
      <c r="GA309" s="889">
        <f t="shared" si="2063"/>
        <v>0</v>
      </c>
      <c r="GB309" s="889">
        <f t="shared" si="2064"/>
        <v>0</v>
      </c>
      <c r="GC309" s="889">
        <f t="shared" si="2065"/>
        <v>0</v>
      </c>
      <c r="GD309" s="889">
        <f t="shared" si="2066"/>
        <v>0</v>
      </c>
      <c r="GE309" s="889">
        <f t="shared" si="2067"/>
        <v>0</v>
      </c>
      <c r="GF309" s="889">
        <f t="shared" si="2068"/>
        <v>0</v>
      </c>
      <c r="GG309" s="889">
        <f t="shared" si="2069"/>
        <v>0</v>
      </c>
      <c r="GH309" s="889">
        <f t="shared" si="2070"/>
        <v>0</v>
      </c>
      <c r="GI309" s="889">
        <f t="shared" si="2071"/>
        <v>0</v>
      </c>
      <c r="GJ309" s="889">
        <f t="shared" si="2072"/>
        <v>0</v>
      </c>
      <c r="GK309" s="889">
        <f t="shared" si="1988"/>
        <v>0</v>
      </c>
      <c r="GL309" s="889">
        <f t="shared" si="2266"/>
        <v>0</v>
      </c>
      <c r="GM309" s="889">
        <f t="shared" si="2073"/>
        <v>0</v>
      </c>
    </row>
    <row r="310" spans="1:195" s="888" customFormat="1">
      <c r="A310" s="870">
        <f t="shared" si="2267"/>
        <v>203</v>
      </c>
      <c r="B310" s="876" t="s">
        <v>527</v>
      </c>
      <c r="C310" s="870" t="str">
        <f t="shared" si="2109"/>
        <v>PDB-1</v>
      </c>
      <c r="D310" s="902" t="s">
        <v>745</v>
      </c>
      <c r="E310" s="873" t="s">
        <v>608</v>
      </c>
      <c r="F310" s="903" t="s">
        <v>29</v>
      </c>
      <c r="G310" s="870" t="s">
        <v>329</v>
      </c>
      <c r="H310" s="877">
        <v>15</v>
      </c>
      <c r="I310" s="870" t="s">
        <v>330</v>
      </c>
      <c r="J310" s="870" t="s">
        <v>331</v>
      </c>
      <c r="K310" s="875">
        <v>400</v>
      </c>
      <c r="L310" s="876">
        <v>0.85</v>
      </c>
      <c r="M310" s="877">
        <v>0.95</v>
      </c>
      <c r="N310" s="878">
        <f t="shared" si="2110"/>
        <v>26.81271852365597</v>
      </c>
      <c r="O310" s="878">
        <f t="shared" si="2111"/>
        <v>0</v>
      </c>
      <c r="P310" s="876" t="str">
        <f t="shared" si="2112"/>
        <v>0.00</v>
      </c>
      <c r="Q310" s="877">
        <v>50</v>
      </c>
      <c r="R310" s="877">
        <v>0</v>
      </c>
      <c r="S310" s="877">
        <f t="shared" si="2113"/>
        <v>0</v>
      </c>
      <c r="T310" s="876" t="s">
        <v>131</v>
      </c>
      <c r="U310" s="877" t="s">
        <v>522</v>
      </c>
      <c r="V310" s="876">
        <v>16</v>
      </c>
      <c r="W310" s="876" t="str">
        <f t="shared" si="2114"/>
        <v>4C X 16</v>
      </c>
      <c r="X310" s="876" t="str">
        <f t="shared" si="2115"/>
        <v>4C X 16</v>
      </c>
      <c r="Y310" s="876" t="s">
        <v>358</v>
      </c>
      <c r="Z310" s="879">
        <f>IF(T310="AIR",VLOOKUP(W310,'Catalogue Aluminium'!$B$9:$G$93,2,FALSE),IF(T310="GROUND",VLOOKUP(W310,'Catalogue Aluminium'!$B$9:$G$93,3,FALSE),IF(T310="DUCT",VLOOKUP(W310,'Catalogue Aluminium'!$B$9:$G$93,4,FALSE),IF(T310="TRENCH",VLOOKUP(W310,'Catalogue Aluminium'!$B$9:$G$93,2,FALSE)))))</f>
        <v>70</v>
      </c>
      <c r="AA310" s="880">
        <f>VLOOKUP(W310,'Catalogue Aluminium'!$B$9:$G$93,5,FALSE)</f>
        <v>2.44</v>
      </c>
      <c r="AB310" s="880">
        <f>VLOOKUP(W310,'Catalogue Aluminium'!$B$9:$G$93,6,FALSE)</f>
        <v>8.1500000000000003E-2</v>
      </c>
      <c r="AC310" s="900">
        <f t="shared" si="2149"/>
        <v>34</v>
      </c>
      <c r="AD310" s="870">
        <f>10</f>
        <v>10</v>
      </c>
      <c r="AE310" s="900">
        <v>10</v>
      </c>
      <c r="AF310" s="876">
        <v>8</v>
      </c>
      <c r="AG310" s="876">
        <f t="shared" si="2116"/>
        <v>7</v>
      </c>
      <c r="AH310" s="881">
        <f t="shared" si="2117"/>
        <v>69</v>
      </c>
      <c r="AI310" s="879">
        <f>IF(T310="AIR",'Catalogue Aluminium'!$K$9,IF(T310="TRENCH",'Catalogue Aluminium'!$K$12,"NA"))</f>
        <v>0.89</v>
      </c>
      <c r="AJ310" s="878">
        <f>IF(T310="Air",(IF(U310="1C",'Catalogue Aluminium'!$L$9,'Catalogue Aluminium'!$M$9)),IF(T310="DUCT",(IF($U310="1C",'Catalogue Aluminium'!$L$10,'Catalogue Aluminium'!$M$10)),IF(T310="GROUND",(IF($U310="1C",'Catalogue Aluminium'!$L$11,'Catalogue Aluminium'!$M$11)),IF(T310="TRENCH",(IF($U310="1C",'Catalogue Aluminium'!$L$12,'Catalogue Aluminium'!$M$12))))))</f>
        <v>0.66</v>
      </c>
      <c r="AK310" s="879" t="str">
        <f>IF(T310="Air",'Catalogue Aluminium'!$N$9,IF(T310="GROUND",'Catalogue Aluminium'!$N$10,IF(T310="DUCT",'Catalogue Aluminium'!$N$11,IF(T310="TRENCH",'Catalogue Aluminium'!$N$12,"NA"))))</f>
        <v>NA</v>
      </c>
      <c r="AL310" s="879" t="str">
        <f>IF(T310="Air",(IF(U310="1C",'Catalogue Aluminium'!$O$9,'Catalogue Aluminium'!$P$9)),IF(T310="DUCT",(IF($U310="1C",'Catalogue Aluminium'!$O$10,'Catalogue Aluminium'!$P$10)),IF(T310="GROUND",(IF($U310="1C",'Catalogue Aluminium'!$O$11,'Catalogue Aluminium'!$P$11)),IF(T310="TRENCH",(IF($U310="1C",'Catalogue Aluminium'!$O$12,'Catalogue Aluminium'!$P$12))))))</f>
        <v>NA</v>
      </c>
      <c r="AM310" s="879" t="str">
        <f>IF(T310="AIR","NA",IF(T310="TRENCH","NA",IF(T310="DUCT",IF(U310="1C",VLOOKUP(V310,'Catalogue Aluminium'!$Q$9:$S$28,2,FALSE),VLOOKUP(V310,'Catalogue Aluminium'!$Q$9:$S$28,3)),IF(T310="GROUND",IF(U310="1C",VLOOKUP(V310,'Catalogue Aluminium'!$Q$9:$S$28,2,FALSE),VLOOKUP(V310,'Catalogue Aluminium'!$Q$9:$S$28,3))))))</f>
        <v>NA</v>
      </c>
      <c r="AN310" s="882">
        <f t="shared" si="2118"/>
        <v>0.58740000000000003</v>
      </c>
      <c r="AO310" s="877">
        <f t="shared" si="2119"/>
        <v>41.118000000000002</v>
      </c>
      <c r="AP310" s="875">
        <f t="shared" si="2120"/>
        <v>1</v>
      </c>
      <c r="AQ310" s="877" t="str">
        <f t="shared" si="2121"/>
        <v>YES</v>
      </c>
      <c r="AR310" s="882">
        <f t="shared" si="2122"/>
        <v>1.6958898680858145</v>
      </c>
      <c r="AS310" s="876" t="str">
        <f t="shared" si="2123"/>
        <v>YES</v>
      </c>
      <c r="AT310" s="882" t="str">
        <f t="shared" si="2124"/>
        <v>NA</v>
      </c>
      <c r="AU310" s="876" t="str">
        <f t="shared" si="2125"/>
        <v>NA</v>
      </c>
      <c r="AV310" s="883" t="str">
        <f t="shared" si="2126"/>
        <v>1R x 0.6/1kV x 4C x 16 Sqmm</v>
      </c>
      <c r="AW310" s="883" t="str">
        <f t="shared" si="2127"/>
        <v>1R x 0.6/1kV x 4C x 16 Sqmm</v>
      </c>
      <c r="AX310" s="876"/>
      <c r="AY310" s="884"/>
      <c r="AZ310" s="884"/>
      <c r="BA310" s="885" t="str">
        <f t="shared" si="2268"/>
        <v/>
      </c>
      <c r="BB310" s="886"/>
      <c r="BC310" s="887"/>
      <c r="BE310" s="889"/>
      <c r="BF310" s="889"/>
      <c r="BG310" s="889"/>
      <c r="BH310" s="889"/>
      <c r="BI310" s="889"/>
      <c r="BJ310" s="889"/>
      <c r="BK310" s="889"/>
      <c r="BL310" s="889"/>
      <c r="BM310" s="889"/>
      <c r="BN310" s="889"/>
      <c r="BO310" s="889"/>
      <c r="BP310" s="889"/>
      <c r="BQ310" s="889"/>
      <c r="BR310" s="889"/>
      <c r="BS310" s="889"/>
      <c r="BT310" s="889"/>
      <c r="BU310" s="889"/>
      <c r="BV310" s="889"/>
      <c r="BW310" s="889"/>
      <c r="BX310" s="889"/>
      <c r="BY310" s="889"/>
      <c r="BZ310" s="889"/>
      <c r="CA310" s="889"/>
      <c r="CB310" s="889"/>
      <c r="CC310" s="889"/>
      <c r="CD310" s="889"/>
      <c r="CE310" s="889"/>
      <c r="CF310" s="889"/>
      <c r="CG310" s="889"/>
      <c r="CH310" s="889"/>
      <c r="CI310" s="889"/>
      <c r="CJ310" s="889"/>
      <c r="CK310" s="889"/>
      <c r="CL310" s="889"/>
      <c r="CM310" s="889"/>
      <c r="CN310" s="889"/>
      <c r="CO310" s="889"/>
      <c r="CP310" s="889"/>
      <c r="CQ310" s="889"/>
      <c r="CR310" s="889"/>
      <c r="CS310" s="889"/>
      <c r="CT310" s="889"/>
      <c r="CU310" s="889"/>
      <c r="CV310" s="889"/>
      <c r="CW310" s="889"/>
      <c r="CX310" s="889"/>
      <c r="CY310" s="889"/>
      <c r="CZ310" s="889"/>
      <c r="DA310" s="889"/>
      <c r="DB310" s="889"/>
      <c r="DC310" s="889"/>
      <c r="DD310" s="889"/>
      <c r="DE310" s="889"/>
      <c r="DF310" s="889"/>
      <c r="DG310" s="889"/>
      <c r="DH310" s="889"/>
      <c r="DI310" s="889"/>
      <c r="DJ310" s="889"/>
      <c r="DK310" s="889"/>
      <c r="DL310" s="889"/>
      <c r="DM310" s="889"/>
      <c r="DN310" s="889"/>
      <c r="DO310" s="889"/>
      <c r="DP310" s="889"/>
      <c r="DQ310" s="889"/>
      <c r="DR310" s="889"/>
      <c r="DS310" s="889"/>
      <c r="DT310" s="889"/>
      <c r="DU310" s="889"/>
      <c r="DW310" s="889">
        <f t="shared" si="2108"/>
        <v>0</v>
      </c>
      <c r="DX310" s="889">
        <f t="shared" si="2102"/>
        <v>0</v>
      </c>
      <c r="DY310" s="889">
        <f t="shared" si="2103"/>
        <v>0</v>
      </c>
      <c r="DZ310" s="889">
        <f t="shared" si="2104"/>
        <v>0</v>
      </c>
      <c r="EA310" s="889">
        <f t="shared" si="2105"/>
        <v>0</v>
      </c>
      <c r="EB310" s="889">
        <f t="shared" si="2106"/>
        <v>0</v>
      </c>
      <c r="EC310" s="889">
        <f t="shared" si="2107"/>
        <v>0</v>
      </c>
      <c r="ED310" s="889">
        <f t="shared" si="2019"/>
        <v>0</v>
      </c>
      <c r="EE310" s="889">
        <f t="shared" si="2020"/>
        <v>0</v>
      </c>
      <c r="EF310" s="889">
        <f t="shared" si="2021"/>
        <v>0</v>
      </c>
      <c r="EG310" s="889">
        <f t="shared" si="2022"/>
        <v>0</v>
      </c>
      <c r="EH310" s="889">
        <f t="shared" si="2023"/>
        <v>0</v>
      </c>
      <c r="EI310" s="889">
        <f t="shared" si="2024"/>
        <v>0</v>
      </c>
      <c r="EJ310" s="889">
        <f t="shared" si="2025"/>
        <v>0</v>
      </c>
      <c r="EK310" s="889">
        <f t="shared" si="2026"/>
        <v>0</v>
      </c>
      <c r="EL310" s="889">
        <f t="shared" si="2027"/>
        <v>0</v>
      </c>
      <c r="EM310" s="889">
        <f t="shared" si="2028"/>
        <v>0</v>
      </c>
      <c r="EN310" s="889">
        <f t="shared" si="2029"/>
        <v>0</v>
      </c>
      <c r="EO310" s="889">
        <f t="shared" si="2030"/>
        <v>0</v>
      </c>
      <c r="EP310" s="889">
        <f t="shared" si="2031"/>
        <v>0</v>
      </c>
      <c r="EQ310" s="889">
        <f t="shared" si="2032"/>
        <v>0</v>
      </c>
      <c r="ER310" s="889">
        <f t="shared" si="2033"/>
        <v>0</v>
      </c>
      <c r="ES310" s="889">
        <f t="shared" si="2034"/>
        <v>0</v>
      </c>
      <c r="ET310" s="889">
        <f t="shared" si="2034"/>
        <v>0</v>
      </c>
      <c r="EU310" s="889">
        <f t="shared" si="2035"/>
        <v>0</v>
      </c>
      <c r="EV310" s="889">
        <f t="shared" si="2036"/>
        <v>0</v>
      </c>
      <c r="EW310" s="889">
        <f t="shared" si="2037"/>
        <v>0</v>
      </c>
      <c r="EX310" s="889">
        <f t="shared" si="2038"/>
        <v>0</v>
      </c>
      <c r="EY310" s="889">
        <f t="shared" si="2039"/>
        <v>0</v>
      </c>
      <c r="EZ310" s="889">
        <f t="shared" si="2040"/>
        <v>0</v>
      </c>
      <c r="FA310" s="889">
        <f t="shared" si="2041"/>
        <v>0</v>
      </c>
      <c r="FB310" s="889">
        <f t="shared" si="2042"/>
        <v>0</v>
      </c>
      <c r="FC310" s="889">
        <f t="shared" si="2043"/>
        <v>0</v>
      </c>
      <c r="FD310" s="889">
        <f t="shared" si="2044"/>
        <v>0</v>
      </c>
      <c r="FE310" s="889">
        <f t="shared" si="2045"/>
        <v>0</v>
      </c>
      <c r="FF310" s="889">
        <f t="shared" si="2046"/>
        <v>0</v>
      </c>
      <c r="FG310" s="889">
        <f t="shared" si="2047"/>
        <v>0</v>
      </c>
      <c r="FH310" s="889">
        <f t="shared" si="2048"/>
        <v>0</v>
      </c>
      <c r="FI310" s="889">
        <f t="shared" si="2049"/>
        <v>0</v>
      </c>
      <c r="FJ310" s="889">
        <f t="shared" si="2050"/>
        <v>0</v>
      </c>
      <c r="FK310" s="889">
        <f t="shared" si="2051"/>
        <v>0</v>
      </c>
      <c r="FL310" s="889">
        <f t="shared" si="2052"/>
        <v>0</v>
      </c>
      <c r="FM310" s="889">
        <f t="shared" si="2053"/>
        <v>0</v>
      </c>
      <c r="FN310" s="889">
        <f t="shared" si="2054"/>
        <v>0</v>
      </c>
      <c r="FO310" s="889">
        <f t="shared" si="2055"/>
        <v>0</v>
      </c>
      <c r="FP310" s="889">
        <f t="shared" si="2056"/>
        <v>0</v>
      </c>
      <c r="FQ310" s="889">
        <f t="shared" si="2057"/>
        <v>0</v>
      </c>
      <c r="FR310" s="889">
        <f t="shared" si="2058"/>
        <v>0</v>
      </c>
      <c r="FS310" s="889">
        <f t="shared" si="2059"/>
        <v>0</v>
      </c>
      <c r="FT310" s="889">
        <f t="shared" si="2060"/>
        <v>0</v>
      </c>
      <c r="FU310" s="889">
        <f t="shared" si="2262"/>
        <v>0</v>
      </c>
      <c r="FV310" s="889">
        <f t="shared" si="2263"/>
        <v>0</v>
      </c>
      <c r="FW310" s="889">
        <f t="shared" si="2264"/>
        <v>0</v>
      </c>
      <c r="FX310" s="889">
        <f t="shared" si="2265"/>
        <v>0</v>
      </c>
      <c r="FY310" s="889">
        <f t="shared" si="2061"/>
        <v>0</v>
      </c>
      <c r="FZ310" s="889">
        <f t="shared" si="2062"/>
        <v>0</v>
      </c>
      <c r="GA310" s="889">
        <f t="shared" si="2063"/>
        <v>0</v>
      </c>
      <c r="GB310" s="889">
        <f t="shared" si="2064"/>
        <v>0</v>
      </c>
      <c r="GC310" s="889">
        <f t="shared" si="2065"/>
        <v>0</v>
      </c>
      <c r="GD310" s="889">
        <f t="shared" si="2066"/>
        <v>0</v>
      </c>
      <c r="GE310" s="889">
        <f t="shared" si="2067"/>
        <v>0</v>
      </c>
      <c r="GF310" s="889">
        <f t="shared" si="2068"/>
        <v>0</v>
      </c>
      <c r="GG310" s="889">
        <f t="shared" si="2069"/>
        <v>0</v>
      </c>
      <c r="GH310" s="889">
        <f t="shared" si="2070"/>
        <v>0</v>
      </c>
      <c r="GI310" s="889">
        <f t="shared" si="2071"/>
        <v>0</v>
      </c>
      <c r="GJ310" s="889">
        <f t="shared" si="2072"/>
        <v>0</v>
      </c>
      <c r="GK310" s="889">
        <f t="shared" si="1988"/>
        <v>0</v>
      </c>
      <c r="GL310" s="889">
        <f t="shared" si="2266"/>
        <v>0</v>
      </c>
      <c r="GM310" s="889">
        <f t="shared" si="2073"/>
        <v>0</v>
      </c>
    </row>
    <row r="311" spans="1:195" s="888" customFormat="1">
      <c r="A311" s="870">
        <f t="shared" si="2267"/>
        <v>204</v>
      </c>
      <c r="B311" s="876" t="s">
        <v>527</v>
      </c>
      <c r="C311" s="870" t="str">
        <f t="shared" si="2109"/>
        <v>PDB-1</v>
      </c>
      <c r="D311" s="902" t="s">
        <v>746</v>
      </c>
      <c r="E311" s="873" t="s">
        <v>608</v>
      </c>
      <c r="F311" s="903" t="s">
        <v>29</v>
      </c>
      <c r="G311" s="870" t="s">
        <v>329</v>
      </c>
      <c r="H311" s="877">
        <v>10</v>
      </c>
      <c r="I311" s="870" t="s">
        <v>330</v>
      </c>
      <c r="J311" s="870" t="s">
        <v>331</v>
      </c>
      <c r="K311" s="875">
        <v>400</v>
      </c>
      <c r="L311" s="876">
        <v>0.85</v>
      </c>
      <c r="M311" s="877">
        <v>0.95</v>
      </c>
      <c r="N311" s="878">
        <f t="shared" si="2110"/>
        <v>17.875145682437314</v>
      </c>
      <c r="O311" s="878">
        <f t="shared" si="2111"/>
        <v>0</v>
      </c>
      <c r="P311" s="876" t="str">
        <f t="shared" si="2112"/>
        <v>0.00</v>
      </c>
      <c r="Q311" s="877">
        <v>50</v>
      </c>
      <c r="R311" s="877">
        <v>0</v>
      </c>
      <c r="S311" s="877">
        <f t="shared" si="2113"/>
        <v>0</v>
      </c>
      <c r="T311" s="876" t="s">
        <v>131</v>
      </c>
      <c r="U311" s="877" t="s">
        <v>522</v>
      </c>
      <c r="V311" s="876">
        <v>6</v>
      </c>
      <c r="W311" s="876" t="str">
        <f t="shared" si="2114"/>
        <v>4C X 6</v>
      </c>
      <c r="X311" s="876" t="str">
        <f t="shared" si="2115"/>
        <v>4C X 6</v>
      </c>
      <c r="Y311" s="876" t="s">
        <v>358</v>
      </c>
      <c r="Z311" s="879">
        <f>IF(T311="AIR",VLOOKUP(W311,'Catalogue Aluminium'!$B$9:$G$93,2,FALSE),IF(T311="GROUND",VLOOKUP(W311,'Catalogue Aluminium'!$B$9:$G$93,3,FALSE),IF(T311="DUCT",VLOOKUP(W311,'Catalogue Aluminium'!$B$9:$G$93,4,FALSE),IF(T311="TRENCH",VLOOKUP(W311,'Catalogue Aluminium'!$B$9:$G$93,2,FALSE)))))</f>
        <v>51</v>
      </c>
      <c r="AA311" s="880">
        <f>VLOOKUP(W311,'Catalogue Aluminium'!$B$9:$G$93,5,FALSE)</f>
        <v>3.94</v>
      </c>
      <c r="AB311" s="880">
        <f>VLOOKUP(W311,'Catalogue Aluminium'!$B$9:$G$93,6,FALSE)</f>
        <v>9.0200000000000002E-2</v>
      </c>
      <c r="AC311" s="900">
        <f t="shared" si="2149"/>
        <v>34</v>
      </c>
      <c r="AD311" s="870">
        <f>10</f>
        <v>10</v>
      </c>
      <c r="AE311" s="900">
        <v>10</v>
      </c>
      <c r="AF311" s="876">
        <v>8</v>
      </c>
      <c r="AG311" s="876">
        <f t="shared" si="2116"/>
        <v>7</v>
      </c>
      <c r="AH311" s="881">
        <f t="shared" si="2117"/>
        <v>69</v>
      </c>
      <c r="AI311" s="879">
        <f>IF(T311="AIR",'Catalogue Aluminium'!$K$9,IF(T311="TRENCH",'Catalogue Aluminium'!$K$12,"NA"))</f>
        <v>0.89</v>
      </c>
      <c r="AJ311" s="878">
        <f>IF(T311="Air",(IF(U311="1C",'Catalogue Aluminium'!$L$9,'Catalogue Aluminium'!$M$9)),IF(T311="DUCT",(IF($U311="1C",'Catalogue Aluminium'!$L$10,'Catalogue Aluminium'!$M$10)),IF(T311="GROUND",(IF($U311="1C",'Catalogue Aluminium'!$L$11,'Catalogue Aluminium'!$M$11)),IF(T311="TRENCH",(IF($U311="1C",'Catalogue Aluminium'!$L$12,'Catalogue Aluminium'!$M$12))))))</f>
        <v>0.66</v>
      </c>
      <c r="AK311" s="879" t="str">
        <f>IF(T311="Air",'Catalogue Aluminium'!$N$9,IF(T311="GROUND",'Catalogue Aluminium'!$N$10,IF(T311="DUCT",'Catalogue Aluminium'!$N$11,IF(T311="TRENCH",'Catalogue Aluminium'!$N$12,"NA"))))</f>
        <v>NA</v>
      </c>
      <c r="AL311" s="879" t="str">
        <f>IF(T311="Air",(IF(U311="1C",'Catalogue Aluminium'!$O$9,'Catalogue Aluminium'!$P$9)),IF(T311="DUCT",(IF($U311="1C",'Catalogue Aluminium'!$O$10,'Catalogue Aluminium'!$P$10)),IF(T311="GROUND",(IF($U311="1C",'Catalogue Aluminium'!$O$11,'Catalogue Aluminium'!$P$11)),IF(T311="TRENCH",(IF($U311="1C",'Catalogue Aluminium'!$O$12,'Catalogue Aluminium'!$P$12))))))</f>
        <v>NA</v>
      </c>
      <c r="AM311" s="879" t="str">
        <f>IF(T311="AIR","NA",IF(T311="TRENCH","NA",IF(T311="DUCT",IF(U311="1C",VLOOKUP(V311,'Catalogue Aluminium'!$Q$9:$S$28,2,FALSE),VLOOKUP(V311,'Catalogue Aluminium'!$Q$9:$S$28,3)),IF(T311="GROUND",IF(U311="1C",VLOOKUP(V311,'Catalogue Aluminium'!$Q$9:$S$28,2,FALSE),VLOOKUP(V311,'Catalogue Aluminium'!$Q$9:$S$28,3))))))</f>
        <v>NA</v>
      </c>
      <c r="AN311" s="882">
        <f t="shared" si="2118"/>
        <v>0.58740000000000003</v>
      </c>
      <c r="AO311" s="877">
        <f t="shared" si="2119"/>
        <v>29.957400000000003</v>
      </c>
      <c r="AP311" s="875">
        <f t="shared" si="2120"/>
        <v>1</v>
      </c>
      <c r="AQ311" s="877" t="str">
        <f t="shared" si="2121"/>
        <v>YES</v>
      </c>
      <c r="AR311" s="882">
        <f t="shared" si="2122"/>
        <v>1.8139819267942812</v>
      </c>
      <c r="AS311" s="876" t="str">
        <f t="shared" si="2123"/>
        <v>YES</v>
      </c>
      <c r="AT311" s="882" t="str">
        <f t="shared" si="2124"/>
        <v>NA</v>
      </c>
      <c r="AU311" s="876" t="str">
        <f t="shared" si="2125"/>
        <v>NA</v>
      </c>
      <c r="AV311" s="883" t="str">
        <f t="shared" si="2126"/>
        <v>1R x 0.6/1kV x 4C x 6 Sqmm</v>
      </c>
      <c r="AW311" s="883" t="str">
        <f t="shared" si="2127"/>
        <v>1R x 0.6/1kV x 4C x 6 Sqmm</v>
      </c>
      <c r="AX311" s="876"/>
      <c r="AY311" s="884"/>
      <c r="AZ311" s="884"/>
      <c r="BA311" s="885" t="str">
        <f t="shared" si="2268"/>
        <v/>
      </c>
      <c r="BB311" s="886"/>
      <c r="BC311" s="887"/>
      <c r="BE311" s="889"/>
      <c r="BF311" s="889"/>
      <c r="BG311" s="889"/>
      <c r="BH311" s="889"/>
      <c r="BI311" s="889"/>
      <c r="BJ311" s="889"/>
      <c r="BK311" s="889"/>
      <c r="BL311" s="889"/>
      <c r="BM311" s="889"/>
      <c r="BN311" s="889"/>
      <c r="BO311" s="889"/>
      <c r="BP311" s="889"/>
      <c r="BQ311" s="889"/>
      <c r="BR311" s="889"/>
      <c r="BS311" s="889"/>
      <c r="BT311" s="889"/>
      <c r="BU311" s="889"/>
      <c r="BV311" s="889"/>
      <c r="BW311" s="889"/>
      <c r="BX311" s="889"/>
      <c r="BY311" s="889"/>
      <c r="BZ311" s="889"/>
      <c r="CA311" s="889"/>
      <c r="CB311" s="889"/>
      <c r="CC311" s="889"/>
      <c r="CD311" s="889"/>
      <c r="CE311" s="889"/>
      <c r="CF311" s="889"/>
      <c r="CG311" s="889"/>
      <c r="CH311" s="889"/>
      <c r="CI311" s="889"/>
      <c r="CJ311" s="889"/>
      <c r="CK311" s="889"/>
      <c r="CL311" s="889"/>
      <c r="CM311" s="889"/>
      <c r="CN311" s="889"/>
      <c r="CO311" s="889"/>
      <c r="CP311" s="889"/>
      <c r="CQ311" s="889"/>
      <c r="CR311" s="889"/>
      <c r="CS311" s="889"/>
      <c r="CT311" s="889"/>
      <c r="CU311" s="889"/>
      <c r="CV311" s="889"/>
      <c r="CW311" s="889"/>
      <c r="CX311" s="889"/>
      <c r="CY311" s="889"/>
      <c r="CZ311" s="889"/>
      <c r="DA311" s="889"/>
      <c r="DB311" s="889"/>
      <c r="DC311" s="889"/>
      <c r="DD311" s="889"/>
      <c r="DE311" s="889"/>
      <c r="DF311" s="889"/>
      <c r="DG311" s="889"/>
      <c r="DH311" s="889"/>
      <c r="DI311" s="889"/>
      <c r="DJ311" s="889"/>
      <c r="DK311" s="889"/>
      <c r="DL311" s="889"/>
      <c r="DM311" s="889"/>
      <c r="DN311" s="889"/>
      <c r="DO311" s="889"/>
      <c r="DP311" s="889"/>
      <c r="DQ311" s="889"/>
      <c r="DR311" s="889"/>
      <c r="DS311" s="889"/>
      <c r="DT311" s="889"/>
      <c r="DU311" s="889"/>
      <c r="DW311" s="889">
        <f t="shared" si="2108"/>
        <v>0</v>
      </c>
      <c r="DX311" s="889">
        <f t="shared" si="2102"/>
        <v>0</v>
      </c>
      <c r="DY311" s="889">
        <f t="shared" si="2103"/>
        <v>0</v>
      </c>
      <c r="DZ311" s="889">
        <f t="shared" si="2104"/>
        <v>0</v>
      </c>
      <c r="EA311" s="889">
        <f t="shared" si="2105"/>
        <v>0</v>
      </c>
      <c r="EB311" s="889">
        <f t="shared" si="2106"/>
        <v>0</v>
      </c>
      <c r="EC311" s="889">
        <f t="shared" si="2107"/>
        <v>0</v>
      </c>
      <c r="ED311" s="889">
        <f t="shared" si="2019"/>
        <v>0</v>
      </c>
      <c r="EE311" s="889">
        <f t="shared" si="2020"/>
        <v>0</v>
      </c>
      <c r="EF311" s="889">
        <f t="shared" si="2021"/>
        <v>0</v>
      </c>
      <c r="EG311" s="889">
        <f t="shared" si="2022"/>
        <v>0</v>
      </c>
      <c r="EH311" s="889">
        <f t="shared" si="2023"/>
        <v>0</v>
      </c>
      <c r="EI311" s="889">
        <f t="shared" si="2024"/>
        <v>0</v>
      </c>
      <c r="EJ311" s="889">
        <f t="shared" si="2025"/>
        <v>0</v>
      </c>
      <c r="EK311" s="889">
        <f t="shared" si="2026"/>
        <v>0</v>
      </c>
      <c r="EL311" s="889">
        <f t="shared" si="2027"/>
        <v>0</v>
      </c>
      <c r="EM311" s="889">
        <f t="shared" si="2028"/>
        <v>0</v>
      </c>
      <c r="EN311" s="889">
        <f t="shared" si="2029"/>
        <v>0</v>
      </c>
      <c r="EO311" s="889">
        <f t="shared" si="2030"/>
        <v>0</v>
      </c>
      <c r="EP311" s="889">
        <f t="shared" si="2031"/>
        <v>0</v>
      </c>
      <c r="EQ311" s="889">
        <f t="shared" si="2032"/>
        <v>0</v>
      </c>
      <c r="ER311" s="889">
        <f t="shared" si="2033"/>
        <v>0</v>
      </c>
      <c r="ES311" s="889">
        <f t="shared" si="2034"/>
        <v>0</v>
      </c>
      <c r="ET311" s="889">
        <f t="shared" si="2034"/>
        <v>0</v>
      </c>
      <c r="EU311" s="889">
        <f t="shared" si="2035"/>
        <v>0</v>
      </c>
      <c r="EV311" s="889">
        <f t="shared" si="2036"/>
        <v>0</v>
      </c>
      <c r="EW311" s="889">
        <f t="shared" si="2037"/>
        <v>0</v>
      </c>
      <c r="EX311" s="889">
        <f t="shared" si="2038"/>
        <v>0</v>
      </c>
      <c r="EY311" s="889">
        <f t="shared" si="2039"/>
        <v>0</v>
      </c>
      <c r="EZ311" s="889">
        <f t="shared" si="2040"/>
        <v>0</v>
      </c>
      <c r="FA311" s="889">
        <f t="shared" si="2041"/>
        <v>0</v>
      </c>
      <c r="FB311" s="889">
        <f t="shared" si="2042"/>
        <v>0</v>
      </c>
      <c r="FC311" s="889">
        <f t="shared" si="2043"/>
        <v>0</v>
      </c>
      <c r="FD311" s="889">
        <f t="shared" si="2044"/>
        <v>0</v>
      </c>
      <c r="FE311" s="889">
        <f t="shared" si="2045"/>
        <v>0</v>
      </c>
      <c r="FF311" s="889">
        <f t="shared" si="2046"/>
        <v>0</v>
      </c>
      <c r="FG311" s="889">
        <f t="shared" si="2047"/>
        <v>0</v>
      </c>
      <c r="FH311" s="889">
        <f t="shared" si="2048"/>
        <v>0</v>
      </c>
      <c r="FI311" s="889">
        <f t="shared" si="2049"/>
        <v>0</v>
      </c>
      <c r="FJ311" s="889">
        <f t="shared" si="2050"/>
        <v>0</v>
      </c>
      <c r="FK311" s="889">
        <f t="shared" si="2051"/>
        <v>0</v>
      </c>
      <c r="FL311" s="889">
        <f t="shared" si="2052"/>
        <v>0</v>
      </c>
      <c r="FM311" s="889">
        <f t="shared" si="2053"/>
        <v>0</v>
      </c>
      <c r="FN311" s="889">
        <f t="shared" si="2054"/>
        <v>0</v>
      </c>
      <c r="FO311" s="889">
        <f t="shared" si="2055"/>
        <v>0</v>
      </c>
      <c r="FP311" s="889">
        <f t="shared" si="2056"/>
        <v>0</v>
      </c>
      <c r="FQ311" s="889">
        <f t="shared" si="2057"/>
        <v>0</v>
      </c>
      <c r="FR311" s="889">
        <f t="shared" si="2058"/>
        <v>0</v>
      </c>
      <c r="FS311" s="889">
        <f t="shared" si="2059"/>
        <v>0</v>
      </c>
      <c r="FT311" s="889">
        <f t="shared" si="2060"/>
        <v>0</v>
      </c>
      <c r="FU311" s="889">
        <f t="shared" si="2262"/>
        <v>0</v>
      </c>
      <c r="FV311" s="889">
        <f t="shared" si="2263"/>
        <v>0</v>
      </c>
      <c r="FW311" s="889">
        <f t="shared" si="2264"/>
        <v>0</v>
      </c>
      <c r="FX311" s="889">
        <f t="shared" si="2265"/>
        <v>0</v>
      </c>
      <c r="FY311" s="889">
        <f t="shared" si="2061"/>
        <v>0</v>
      </c>
      <c r="FZ311" s="889">
        <f t="shared" si="2062"/>
        <v>0</v>
      </c>
      <c r="GA311" s="889">
        <f t="shared" si="2063"/>
        <v>0</v>
      </c>
      <c r="GB311" s="889">
        <f t="shared" si="2064"/>
        <v>0</v>
      </c>
      <c r="GC311" s="889">
        <f t="shared" si="2065"/>
        <v>0</v>
      </c>
      <c r="GD311" s="889">
        <f t="shared" si="2066"/>
        <v>0</v>
      </c>
      <c r="GE311" s="889">
        <f t="shared" si="2067"/>
        <v>0</v>
      </c>
      <c r="GF311" s="889">
        <f t="shared" si="2068"/>
        <v>0</v>
      </c>
      <c r="GG311" s="889">
        <f t="shared" si="2069"/>
        <v>0</v>
      </c>
      <c r="GH311" s="889">
        <f t="shared" si="2070"/>
        <v>0</v>
      </c>
      <c r="GI311" s="889">
        <f t="shared" si="2071"/>
        <v>0</v>
      </c>
      <c r="GJ311" s="889">
        <f t="shared" si="2072"/>
        <v>0</v>
      </c>
      <c r="GK311" s="889">
        <f t="shared" si="1988"/>
        <v>0</v>
      </c>
      <c r="GL311" s="889">
        <f t="shared" si="2266"/>
        <v>0</v>
      </c>
      <c r="GM311" s="889">
        <f t="shared" si="2073"/>
        <v>0</v>
      </c>
    </row>
    <row r="312" spans="1:195" s="888" customFormat="1">
      <c r="A312" s="870">
        <f t="shared" si="2267"/>
        <v>205</v>
      </c>
      <c r="B312" s="876" t="s">
        <v>527</v>
      </c>
      <c r="C312" s="870" t="str">
        <f t="shared" si="2109"/>
        <v>PDB-1</v>
      </c>
      <c r="D312" s="902" t="s">
        <v>755</v>
      </c>
      <c r="E312" s="873" t="s">
        <v>608</v>
      </c>
      <c r="F312" s="903" t="s">
        <v>28</v>
      </c>
      <c r="G312" s="870" t="s">
        <v>350</v>
      </c>
      <c r="H312" s="877">
        <v>45</v>
      </c>
      <c r="I312" s="870" t="s">
        <v>330</v>
      </c>
      <c r="J312" s="870" t="s">
        <v>331</v>
      </c>
      <c r="K312" s="875">
        <v>400</v>
      </c>
      <c r="L312" s="876">
        <v>0.85</v>
      </c>
      <c r="M312" s="877">
        <v>0.95400000000000007</v>
      </c>
      <c r="N312" s="878">
        <f t="shared" si="2110"/>
        <v>80.100888671299273</v>
      </c>
      <c r="O312" s="878">
        <f t="shared" si="2111"/>
        <v>480.60533202779561</v>
      </c>
      <c r="P312" s="876">
        <f t="shared" si="2112"/>
        <v>0.2</v>
      </c>
      <c r="Q312" s="877">
        <v>50</v>
      </c>
      <c r="R312" s="877">
        <v>0</v>
      </c>
      <c r="S312" s="877">
        <f t="shared" si="2113"/>
        <v>0</v>
      </c>
      <c r="T312" s="876" t="s">
        <v>131</v>
      </c>
      <c r="U312" s="877" t="s">
        <v>333</v>
      </c>
      <c r="V312" s="876">
        <v>50</v>
      </c>
      <c r="W312" s="876" t="str">
        <f t="shared" si="2114"/>
        <v>3C X 50</v>
      </c>
      <c r="X312" s="876" t="str">
        <f t="shared" si="2115"/>
        <v>3C X 50+PE</v>
      </c>
      <c r="Y312" s="876" t="s">
        <v>358</v>
      </c>
      <c r="Z312" s="879">
        <f>IF(T312="AIR",VLOOKUP(W312,'Catalogue Aluminium'!$B$9:$G$93,2,FALSE),IF(T312="GROUND",VLOOKUP(W312,'Catalogue Aluminium'!$B$9:$G$93,3,FALSE),IF(T312="DUCT",VLOOKUP(W312,'Catalogue Aluminium'!$B$9:$G$93,4,FALSE),IF(T312="TRENCH",VLOOKUP(W312,'Catalogue Aluminium'!$B$9:$G$93,2,FALSE)))))</f>
        <v>141</v>
      </c>
      <c r="AA312" s="880">
        <f>VLOOKUP(W312,'Catalogue Aluminium'!$B$9:$G$93,5,FALSE)</f>
        <v>0.82</v>
      </c>
      <c r="AB312" s="880">
        <f>VLOOKUP(W312,'Catalogue Aluminium'!$B$9:$G$93,6,FALSE)</f>
        <v>7.9200000000000007E-2</v>
      </c>
      <c r="AC312" s="900">
        <f t="shared" si="2149"/>
        <v>34</v>
      </c>
      <c r="AD312" s="870">
        <f>10</f>
        <v>10</v>
      </c>
      <c r="AE312" s="900">
        <v>10</v>
      </c>
      <c r="AF312" s="876">
        <v>8</v>
      </c>
      <c r="AG312" s="876">
        <f t="shared" si="2116"/>
        <v>7</v>
      </c>
      <c r="AH312" s="881">
        <f t="shared" si="2117"/>
        <v>69</v>
      </c>
      <c r="AI312" s="879">
        <f>IF(T312="AIR",'Catalogue Aluminium'!$K$9,IF(T312="TRENCH",'Catalogue Aluminium'!$K$12,"NA"))</f>
        <v>0.89</v>
      </c>
      <c r="AJ312" s="878">
        <f>IF(T312="Air",(IF(U312="1C",'Catalogue Aluminium'!$L$9,'Catalogue Aluminium'!$M$9)),IF(T312="DUCT",(IF($U312="1C",'Catalogue Aluminium'!$L$10,'Catalogue Aluminium'!$M$10)),IF(T312="GROUND",(IF($U312="1C",'Catalogue Aluminium'!$L$11,'Catalogue Aluminium'!$M$11)),IF(T312="TRENCH",(IF($U312="1C",'Catalogue Aluminium'!$L$12,'Catalogue Aluminium'!$M$12))))))</f>
        <v>0.66</v>
      </c>
      <c r="AK312" s="879" t="str">
        <f>IF(T312="Air",'Catalogue Aluminium'!$N$9,IF(T312="GROUND",'Catalogue Aluminium'!$N$10,IF(T312="DUCT",'Catalogue Aluminium'!$N$11,IF(T312="TRENCH",'Catalogue Aluminium'!$N$12,"NA"))))</f>
        <v>NA</v>
      </c>
      <c r="AL312" s="879" t="str">
        <f>IF(T312="Air",(IF(U312="1C",'Catalogue Aluminium'!$O$9,'Catalogue Aluminium'!$P$9)),IF(T312="DUCT",(IF($U312="1C",'Catalogue Aluminium'!$O$10,'Catalogue Aluminium'!$P$10)),IF(T312="GROUND",(IF($U312="1C",'Catalogue Aluminium'!$O$11,'Catalogue Aluminium'!$P$11)),IF(T312="TRENCH",(IF($U312="1C",'Catalogue Aluminium'!$O$12,'Catalogue Aluminium'!$P$12))))))</f>
        <v>NA</v>
      </c>
      <c r="AM312" s="879" t="str">
        <f>IF(T312="AIR","NA",IF(T312="TRENCH","NA",IF(T312="DUCT",IF(U312="1C",VLOOKUP(V312,'Catalogue Aluminium'!$Q$9:$S$28,2,FALSE),VLOOKUP(V312,'Catalogue Aluminium'!$Q$9:$S$28,3)),IF(T312="GROUND",IF(U312="1C",VLOOKUP(V312,'Catalogue Aluminium'!$Q$9:$S$28,2,FALSE),VLOOKUP(V312,'Catalogue Aluminium'!$Q$9:$S$28,3))))))</f>
        <v>NA</v>
      </c>
      <c r="AN312" s="882">
        <f t="shared" si="2118"/>
        <v>0.58740000000000003</v>
      </c>
      <c r="AO312" s="877">
        <f t="shared" si="2119"/>
        <v>82.823400000000007</v>
      </c>
      <c r="AP312" s="875">
        <f t="shared" si="2120"/>
        <v>1</v>
      </c>
      <c r="AQ312" s="877" t="str">
        <f t="shared" si="2121"/>
        <v>YES</v>
      </c>
      <c r="AR312" s="882">
        <f t="shared" si="2122"/>
        <v>1.7679403880725062</v>
      </c>
      <c r="AS312" s="876" t="str">
        <f t="shared" si="2123"/>
        <v>YES</v>
      </c>
      <c r="AT312" s="882">
        <f t="shared" si="2124"/>
        <v>3.4692447915082645</v>
      </c>
      <c r="AU312" s="876" t="str">
        <f t="shared" si="2125"/>
        <v>YES</v>
      </c>
      <c r="AV312" s="883" t="str">
        <f t="shared" si="2126"/>
        <v>1R x 0.6/1kV x 3C x 50 Sqmm</v>
      </c>
      <c r="AW312" s="883" t="str">
        <f t="shared" si="2127"/>
        <v>1R x 0.6/1kV x 3C x 50+PE Sqmm</v>
      </c>
      <c r="AX312" s="876"/>
      <c r="AY312" s="884"/>
      <c r="AZ312" s="884"/>
      <c r="BA312" s="885" t="str">
        <f t="shared" si="2268"/>
        <v/>
      </c>
      <c r="BB312" s="886"/>
      <c r="BC312" s="887"/>
      <c r="BE312" s="889"/>
      <c r="BF312" s="889"/>
      <c r="BG312" s="889"/>
      <c r="BH312" s="889"/>
      <c r="BI312" s="889"/>
      <c r="BJ312" s="889"/>
      <c r="BK312" s="889"/>
      <c r="BL312" s="889"/>
      <c r="BM312" s="889"/>
      <c r="BN312" s="889"/>
      <c r="BO312" s="889"/>
      <c r="BP312" s="889"/>
      <c r="BQ312" s="889"/>
      <c r="BR312" s="889"/>
      <c r="BS312" s="889"/>
      <c r="BT312" s="889"/>
      <c r="BU312" s="889"/>
      <c r="BV312" s="889"/>
      <c r="BW312" s="889"/>
      <c r="BX312" s="889"/>
      <c r="BY312" s="889"/>
      <c r="BZ312" s="889"/>
      <c r="CA312" s="889"/>
      <c r="CB312" s="889"/>
      <c r="CC312" s="889"/>
      <c r="CD312" s="889"/>
      <c r="CE312" s="889"/>
      <c r="CF312" s="889"/>
      <c r="CG312" s="889"/>
      <c r="CH312" s="889"/>
      <c r="CI312" s="889"/>
      <c r="CJ312" s="889"/>
      <c r="CK312" s="889"/>
      <c r="CL312" s="889"/>
      <c r="CM312" s="889"/>
      <c r="CN312" s="889"/>
      <c r="CO312" s="889"/>
      <c r="CP312" s="889"/>
      <c r="CQ312" s="889"/>
      <c r="CR312" s="889"/>
      <c r="CS312" s="889"/>
      <c r="CT312" s="889"/>
      <c r="CU312" s="889"/>
      <c r="CV312" s="889"/>
      <c r="CW312" s="889"/>
      <c r="CX312" s="889"/>
      <c r="CY312" s="889"/>
      <c r="CZ312" s="889"/>
      <c r="DA312" s="889"/>
      <c r="DB312" s="889"/>
      <c r="DC312" s="889"/>
      <c r="DD312" s="889"/>
      <c r="DE312" s="889"/>
      <c r="DF312" s="889"/>
      <c r="DG312" s="889"/>
      <c r="DH312" s="889"/>
      <c r="DI312" s="889"/>
      <c r="DJ312" s="889"/>
      <c r="DK312" s="889"/>
      <c r="DL312" s="889"/>
      <c r="DM312" s="889"/>
      <c r="DN312" s="889"/>
      <c r="DO312" s="889"/>
      <c r="DP312" s="889"/>
      <c r="DQ312" s="889"/>
      <c r="DR312" s="889"/>
      <c r="DS312" s="889"/>
      <c r="DT312" s="889"/>
      <c r="DU312" s="889"/>
      <c r="DW312" s="889">
        <f t="shared" si="2108"/>
        <v>0</v>
      </c>
      <c r="DX312" s="889">
        <f t="shared" si="2102"/>
        <v>0</v>
      </c>
      <c r="DY312" s="889">
        <f t="shared" si="2103"/>
        <v>0</v>
      </c>
      <c r="DZ312" s="889">
        <f t="shared" si="2104"/>
        <v>0</v>
      </c>
      <c r="EA312" s="889">
        <f t="shared" si="2105"/>
        <v>0</v>
      </c>
      <c r="EB312" s="889">
        <f t="shared" si="2106"/>
        <v>0</v>
      </c>
      <c r="EC312" s="889">
        <f t="shared" si="2107"/>
        <v>0</v>
      </c>
      <c r="ED312" s="889">
        <f t="shared" si="2019"/>
        <v>0</v>
      </c>
      <c r="EE312" s="889">
        <f t="shared" si="2020"/>
        <v>0</v>
      </c>
      <c r="EF312" s="889">
        <f t="shared" si="2021"/>
        <v>0</v>
      </c>
      <c r="EG312" s="889">
        <f t="shared" si="2022"/>
        <v>0</v>
      </c>
      <c r="EH312" s="889">
        <f t="shared" si="2023"/>
        <v>0</v>
      </c>
      <c r="EI312" s="889">
        <f t="shared" si="2024"/>
        <v>0</v>
      </c>
      <c r="EJ312" s="889">
        <f t="shared" si="2025"/>
        <v>0</v>
      </c>
      <c r="EK312" s="889">
        <f t="shared" si="2026"/>
        <v>0</v>
      </c>
      <c r="EL312" s="889">
        <f t="shared" si="2027"/>
        <v>0</v>
      </c>
      <c r="EM312" s="889">
        <f t="shared" si="2028"/>
        <v>0</v>
      </c>
      <c r="EN312" s="889">
        <f t="shared" si="2029"/>
        <v>0</v>
      </c>
      <c r="EO312" s="889">
        <f t="shared" si="2030"/>
        <v>0</v>
      </c>
      <c r="EP312" s="889">
        <f t="shared" si="2031"/>
        <v>0</v>
      </c>
      <c r="EQ312" s="889">
        <f t="shared" si="2032"/>
        <v>0</v>
      </c>
      <c r="ER312" s="889">
        <f t="shared" si="2033"/>
        <v>0</v>
      </c>
      <c r="ES312" s="889">
        <f t="shared" si="2034"/>
        <v>0</v>
      </c>
      <c r="ET312" s="889">
        <f t="shared" si="2034"/>
        <v>0</v>
      </c>
      <c r="EU312" s="889">
        <f t="shared" si="2035"/>
        <v>0</v>
      </c>
      <c r="EV312" s="889">
        <f t="shared" si="2036"/>
        <v>0</v>
      </c>
      <c r="EW312" s="889">
        <f t="shared" si="2037"/>
        <v>0</v>
      </c>
      <c r="EX312" s="889">
        <f t="shared" si="2038"/>
        <v>0</v>
      </c>
      <c r="EY312" s="889">
        <f t="shared" si="2039"/>
        <v>0</v>
      </c>
      <c r="EZ312" s="889">
        <f t="shared" si="2040"/>
        <v>0</v>
      </c>
      <c r="FA312" s="889">
        <f t="shared" si="2041"/>
        <v>0</v>
      </c>
      <c r="FB312" s="889">
        <f t="shared" si="2042"/>
        <v>0</v>
      </c>
      <c r="FC312" s="889">
        <f t="shared" si="2043"/>
        <v>0</v>
      </c>
      <c r="FD312" s="889">
        <f t="shared" si="2044"/>
        <v>0</v>
      </c>
      <c r="FE312" s="889">
        <f t="shared" si="2045"/>
        <v>0</v>
      </c>
      <c r="FF312" s="889">
        <f t="shared" si="2046"/>
        <v>0</v>
      </c>
      <c r="FG312" s="889">
        <f t="shared" si="2047"/>
        <v>0</v>
      </c>
      <c r="FH312" s="889">
        <f t="shared" si="2048"/>
        <v>0</v>
      </c>
      <c r="FI312" s="889">
        <f t="shared" si="2049"/>
        <v>0</v>
      </c>
      <c r="FJ312" s="889">
        <f t="shared" si="2050"/>
        <v>0</v>
      </c>
      <c r="FK312" s="889">
        <f t="shared" si="2051"/>
        <v>0</v>
      </c>
      <c r="FL312" s="889">
        <f t="shared" si="2052"/>
        <v>0</v>
      </c>
      <c r="FM312" s="889">
        <f t="shared" si="2053"/>
        <v>0</v>
      </c>
      <c r="FN312" s="889">
        <f t="shared" si="2054"/>
        <v>0</v>
      </c>
      <c r="FO312" s="889">
        <f t="shared" si="2055"/>
        <v>0</v>
      </c>
      <c r="FP312" s="889">
        <f t="shared" si="2056"/>
        <v>0</v>
      </c>
      <c r="FQ312" s="889">
        <f t="shared" si="2057"/>
        <v>0</v>
      </c>
      <c r="FR312" s="889">
        <f t="shared" si="2058"/>
        <v>0</v>
      </c>
      <c r="FS312" s="889">
        <f t="shared" si="2059"/>
        <v>0</v>
      </c>
      <c r="FT312" s="889">
        <f t="shared" si="2060"/>
        <v>0</v>
      </c>
      <c r="FU312" s="889">
        <f t="shared" si="2262"/>
        <v>0</v>
      </c>
      <c r="FV312" s="889">
        <f t="shared" si="2263"/>
        <v>0</v>
      </c>
      <c r="FW312" s="889">
        <f t="shared" si="2264"/>
        <v>0</v>
      </c>
      <c r="FX312" s="889">
        <f t="shared" si="2265"/>
        <v>0</v>
      </c>
      <c r="FY312" s="889">
        <f t="shared" si="2061"/>
        <v>0</v>
      </c>
      <c r="FZ312" s="889">
        <f t="shared" si="2062"/>
        <v>0</v>
      </c>
      <c r="GA312" s="889">
        <f t="shared" si="2063"/>
        <v>0</v>
      </c>
      <c r="GB312" s="889">
        <f t="shared" si="2064"/>
        <v>0</v>
      </c>
      <c r="GC312" s="889">
        <f t="shared" si="2065"/>
        <v>0</v>
      </c>
      <c r="GD312" s="889">
        <f t="shared" si="2066"/>
        <v>0</v>
      </c>
      <c r="GE312" s="889">
        <f t="shared" si="2067"/>
        <v>0</v>
      </c>
      <c r="GF312" s="889">
        <f t="shared" si="2068"/>
        <v>0</v>
      </c>
      <c r="GG312" s="889">
        <f t="shared" si="2069"/>
        <v>0</v>
      </c>
      <c r="GH312" s="889">
        <f t="shared" si="2070"/>
        <v>0</v>
      </c>
      <c r="GI312" s="889">
        <f t="shared" si="2071"/>
        <v>0</v>
      </c>
      <c r="GJ312" s="889">
        <f t="shared" si="2072"/>
        <v>0</v>
      </c>
      <c r="GK312" s="889">
        <f t="shared" si="1988"/>
        <v>0</v>
      </c>
      <c r="GL312" s="889">
        <f t="shared" si="2266"/>
        <v>0</v>
      </c>
      <c r="GM312" s="889">
        <f t="shared" si="2073"/>
        <v>0</v>
      </c>
    </row>
    <row r="313" spans="1:195" s="888" customFormat="1">
      <c r="A313" s="870">
        <f t="shared" si="2267"/>
        <v>206</v>
      </c>
      <c r="B313" s="876" t="s">
        <v>527</v>
      </c>
      <c r="C313" s="870" t="str">
        <f t="shared" si="2109"/>
        <v>PDB-1</v>
      </c>
      <c r="D313" s="902" t="s">
        <v>756</v>
      </c>
      <c r="E313" s="873" t="s">
        <v>608</v>
      </c>
      <c r="F313" s="903" t="s">
        <v>28</v>
      </c>
      <c r="G313" s="870" t="s">
        <v>329</v>
      </c>
      <c r="H313" s="874">
        <v>0.2</v>
      </c>
      <c r="I313" s="870" t="s">
        <v>330</v>
      </c>
      <c r="J313" s="870" t="s">
        <v>357</v>
      </c>
      <c r="K313" s="875">
        <v>230</v>
      </c>
      <c r="L313" s="876">
        <v>0.85</v>
      </c>
      <c r="M313" s="877">
        <v>0.95</v>
      </c>
      <c r="N313" s="878">
        <f t="shared" si="2110"/>
        <v>1.0768609503297888</v>
      </c>
      <c r="O313" s="878">
        <f t="shared" si="2111"/>
        <v>0</v>
      </c>
      <c r="P313" s="876" t="str">
        <f t="shared" si="2112"/>
        <v>0.00</v>
      </c>
      <c r="Q313" s="877">
        <v>65</v>
      </c>
      <c r="R313" s="877">
        <v>0</v>
      </c>
      <c r="S313" s="877">
        <f t="shared" si="2113"/>
        <v>0</v>
      </c>
      <c r="T313" s="876" t="s">
        <v>131</v>
      </c>
      <c r="U313" s="877" t="s">
        <v>333</v>
      </c>
      <c r="V313" s="876">
        <v>2.5</v>
      </c>
      <c r="W313" s="876" t="str">
        <f t="shared" si="2114"/>
        <v>3C X 2.5</v>
      </c>
      <c r="X313" s="876" t="str">
        <f t="shared" ref="X313" si="2285">(IF(J313="1Ph",W313,IF(J313="3Ph",(IF(G313="MOTOR",(CONCATENATE(W313,"+PE")),W313)))))</f>
        <v>3C X 2.5</v>
      </c>
      <c r="Y313" s="876" t="s">
        <v>358</v>
      </c>
      <c r="Z313" s="879">
        <f>IF(T313="AIR",VLOOKUP(W313,'Catalogue Aluminium'!$B$9:$G$93,2,FALSE),IF(T313="GROUND",VLOOKUP(W313,'Catalogue Aluminium'!$B$9:$G$93,3,FALSE),IF(T313="DUCT",VLOOKUP(W313,'Catalogue Aluminium'!$B$9:$G$93,4,FALSE),IF(T313="TRENCH",VLOOKUP(W313,'Catalogue Aluminium'!$B$9:$G$93,2,FALSE)))))</f>
        <v>28</v>
      </c>
      <c r="AA313" s="880">
        <f>VLOOKUP(W313,'Catalogue Aluminium'!$B$9:$G$93,5,FALSE)</f>
        <v>9.48</v>
      </c>
      <c r="AB313" s="880">
        <f>VLOOKUP(W313,'Catalogue Aluminium'!$B$9:$G$93,6,FALSE)</f>
        <v>0.1007</v>
      </c>
      <c r="AC313" s="900">
        <f t="shared" si="2149"/>
        <v>34</v>
      </c>
      <c r="AD313" s="870">
        <f>10</f>
        <v>10</v>
      </c>
      <c r="AE313" s="900">
        <v>10</v>
      </c>
      <c r="AF313" s="876">
        <v>8</v>
      </c>
      <c r="AG313" s="876">
        <f t="shared" ref="AG313" si="2286">ROUNDUP((SUM(AC313:AF313)*0.1),0)</f>
        <v>7</v>
      </c>
      <c r="AH313" s="881">
        <f t="shared" ref="AH313" si="2287">SUM(AC313:AG313)</f>
        <v>69</v>
      </c>
      <c r="AI313" s="879">
        <f>IF(T313="AIR",'Catalogue Aluminium'!$K$9,IF(T313="TRENCH",'Catalogue Aluminium'!$K$12,"NA"))</f>
        <v>0.89</v>
      </c>
      <c r="AJ313" s="878">
        <f>IF(T313="Air",(IF(U313="1C",'Catalogue Aluminium'!$L$9,'Catalogue Aluminium'!$M$9)),IF(T313="DUCT",(IF($U313="1C",'Catalogue Aluminium'!$L$10,'Catalogue Aluminium'!$M$10)),IF(T313="GROUND",(IF($U313="1C",'Catalogue Aluminium'!$L$11,'Catalogue Aluminium'!$M$11)),IF(T313="TRENCH",(IF($U313="1C",'Catalogue Aluminium'!$L$12,'Catalogue Aluminium'!$M$12))))))</f>
        <v>0.66</v>
      </c>
      <c r="AK313" s="879" t="str">
        <f>IF(T313="Air",'Catalogue Aluminium'!$N$9,IF(T313="GROUND",'Catalogue Aluminium'!$N$10,IF(T313="DUCT",'Catalogue Aluminium'!$N$11,IF(T313="TRENCH",'Catalogue Aluminium'!$N$12,"NA"))))</f>
        <v>NA</v>
      </c>
      <c r="AL313" s="879" t="str">
        <f>IF(T313="Air",(IF(U313="1C",'Catalogue Aluminium'!$O$9,'Catalogue Aluminium'!$P$9)),IF(T313="DUCT",(IF($U313="1C",'Catalogue Aluminium'!$O$10,'Catalogue Aluminium'!$P$10)),IF(T313="GROUND",(IF($U313="1C",'Catalogue Aluminium'!$O$11,'Catalogue Aluminium'!$P$11)),IF(T313="TRENCH",(IF($U313="1C",'Catalogue Aluminium'!$O$12,'Catalogue Aluminium'!$P$12))))))</f>
        <v>NA</v>
      </c>
      <c r="AM313" s="879" t="str">
        <f>IF(T313="AIR","NA",IF(T313="TRENCH","NA",IF(T313="DUCT",IF(U313="1C",VLOOKUP(V313,'Catalogue Aluminium'!$Q$9:$S$28,2,FALSE),VLOOKUP(V313,'Catalogue Aluminium'!$Q$9:$S$28,3)),IF(T313="GROUND",IF(U313="1C",VLOOKUP(V313,'Catalogue Aluminium'!$Q$9:$S$28,2,FALSE),VLOOKUP(V313,'Catalogue Aluminium'!$Q$9:$S$28,3))))))</f>
        <v>NA</v>
      </c>
      <c r="AN313" s="882">
        <f t="shared" ref="AN313" si="2288">IF(T313="AIR",AI313*AJ313,IF(T313="TRENCH",AI313*AJ313,IF(T313="DUCT",AJ313*AK313*AL313*AM313,IF(T313="GROUND",AJ313*AK313*AL313*AM313))))</f>
        <v>0.58740000000000003</v>
      </c>
      <c r="AO313" s="877">
        <f t="shared" ref="AO313" si="2289">Z313*AN313</f>
        <v>16.447200000000002</v>
      </c>
      <c r="AP313" s="875">
        <f t="shared" ref="AP313" si="2290">CEILING(((N313)/AO313),1)</f>
        <v>1</v>
      </c>
      <c r="AQ313" s="877" t="str">
        <f t="shared" ref="AQ313" si="2291">IF(AO313*AP313&gt;=N313,"YES","NO")</f>
        <v>YES</v>
      </c>
      <c r="AR313" s="882">
        <f t="shared" ref="AR313" si="2292">SQRT(3)*AH313*N313*((AA313*L313)+(AB313*SIN(ACOS(L313))))*100/(AP313*K313*1000)</f>
        <v>0.45385636404609503</v>
      </c>
      <c r="AS313" s="876" t="str">
        <f t="shared" ref="AS313" si="2293">IF(G313="INCOMER",(IF(AR313&lt;=2,"YES","NO")),IF(G313="POWER",(IF(AR313&lt;=2.5,"YES","NO")),IF(G313="MOTOR",(IF(AR313&lt;=3,"YES","NO")))))</f>
        <v>YES</v>
      </c>
      <c r="AT313" s="882" t="str">
        <f t="shared" si="2124"/>
        <v>NA</v>
      </c>
      <c r="AU313" s="876" t="str">
        <f t="shared" si="2125"/>
        <v>NA</v>
      </c>
      <c r="AV313" s="883" t="str">
        <f t="shared" si="2126"/>
        <v>1R x 0.6/1kV x 3C x 2.5 Sqmm</v>
      </c>
      <c r="AW313" s="883" t="str">
        <f t="shared" si="2127"/>
        <v>1R x 0.6/1kV x 3C x 2.5 Sqmm</v>
      </c>
      <c r="AX313" s="876"/>
      <c r="AY313" s="884"/>
      <c r="AZ313" s="884"/>
      <c r="BA313" s="885" t="str">
        <f t="shared" si="2268"/>
        <v/>
      </c>
      <c r="BB313" s="886"/>
      <c r="BC313" s="887"/>
      <c r="BE313" s="889"/>
      <c r="BF313" s="889"/>
      <c r="BG313" s="889"/>
      <c r="BH313" s="889"/>
      <c r="BI313" s="889"/>
      <c r="BJ313" s="889"/>
      <c r="BK313" s="889"/>
      <c r="BL313" s="889"/>
      <c r="BM313" s="889"/>
      <c r="BN313" s="889"/>
      <c r="BO313" s="889"/>
      <c r="BP313" s="889"/>
      <c r="BQ313" s="889"/>
      <c r="BR313" s="889"/>
      <c r="BS313" s="889"/>
      <c r="BT313" s="889"/>
      <c r="BU313" s="889"/>
      <c r="BV313" s="889"/>
      <c r="BW313" s="889"/>
      <c r="BX313" s="889"/>
      <c r="BY313" s="889"/>
      <c r="BZ313" s="889"/>
      <c r="CA313" s="889"/>
      <c r="CB313" s="889"/>
      <c r="CC313" s="889"/>
      <c r="CD313" s="889"/>
      <c r="CE313" s="889"/>
      <c r="CF313" s="889"/>
      <c r="CG313" s="889"/>
      <c r="CH313" s="889"/>
      <c r="CI313" s="889"/>
      <c r="CJ313" s="889"/>
      <c r="CK313" s="889"/>
      <c r="CL313" s="889"/>
      <c r="CM313" s="889"/>
      <c r="CN313" s="889"/>
      <c r="CO313" s="889"/>
      <c r="CP313" s="889"/>
      <c r="CQ313" s="889"/>
      <c r="CR313" s="889"/>
      <c r="CS313" s="889"/>
      <c r="CT313" s="889"/>
      <c r="CU313" s="889"/>
      <c r="CV313" s="889"/>
      <c r="CW313" s="889"/>
      <c r="CX313" s="889"/>
      <c r="CY313" s="889"/>
      <c r="CZ313" s="889"/>
      <c r="DA313" s="889"/>
      <c r="DB313" s="889"/>
      <c r="DC313" s="889"/>
      <c r="DD313" s="889"/>
      <c r="DE313" s="889"/>
      <c r="DF313" s="889"/>
      <c r="DG313" s="889"/>
      <c r="DH313" s="889"/>
      <c r="DI313" s="889"/>
      <c r="DJ313" s="889"/>
      <c r="DK313" s="889"/>
      <c r="DL313" s="889"/>
      <c r="DM313" s="889"/>
      <c r="DN313" s="889"/>
      <c r="DO313" s="889"/>
      <c r="DP313" s="889"/>
      <c r="DQ313" s="889"/>
      <c r="DR313" s="889"/>
      <c r="DS313" s="889"/>
      <c r="DT313" s="889"/>
      <c r="DU313" s="889"/>
      <c r="DW313" s="889">
        <f t="shared" ref="DW313" si="2294">IF(BE313=1,($BC313*BE313),0)</f>
        <v>0</v>
      </c>
      <c r="DX313" s="889">
        <f t="shared" ref="DX313" si="2295">IF(BF313=1,($BC313*BF313),0)</f>
        <v>0</v>
      </c>
      <c r="DY313" s="889">
        <f t="shared" ref="DY313" si="2296">IF(BG313=1,($BC313*BG313),0)</f>
        <v>0</v>
      </c>
      <c r="DZ313" s="889">
        <f t="shared" ref="DZ313" si="2297">IF(BH313=1,($BC313*BH313),0)</f>
        <v>0</v>
      </c>
      <c r="EA313" s="889">
        <f t="shared" ref="EA313" si="2298">IF(BI313=1,($BC313*BI313),0)</f>
        <v>0</v>
      </c>
      <c r="EB313" s="889">
        <f t="shared" ref="EB313" si="2299">IF(BJ313=1,($BC313*BJ313),0)</f>
        <v>0</v>
      </c>
      <c r="EC313" s="889">
        <f t="shared" ref="EC313" si="2300">IF(BK313=1,($BC313*BK313),0)</f>
        <v>0</v>
      </c>
      <c r="ED313" s="889">
        <f t="shared" si="2019"/>
        <v>0</v>
      </c>
      <c r="EE313" s="889">
        <f t="shared" si="2020"/>
        <v>0</v>
      </c>
      <c r="EF313" s="889">
        <f t="shared" si="2021"/>
        <v>0</v>
      </c>
      <c r="EG313" s="889">
        <f t="shared" si="2022"/>
        <v>0</v>
      </c>
      <c r="EH313" s="889">
        <f t="shared" si="2023"/>
        <v>0</v>
      </c>
      <c r="EI313" s="889">
        <f t="shared" si="2024"/>
        <v>0</v>
      </c>
      <c r="EJ313" s="889">
        <f t="shared" si="2025"/>
        <v>0</v>
      </c>
      <c r="EK313" s="889">
        <f t="shared" si="2026"/>
        <v>0</v>
      </c>
      <c r="EL313" s="889">
        <f t="shared" si="2027"/>
        <v>0</v>
      </c>
      <c r="EM313" s="889">
        <f t="shared" si="2028"/>
        <v>0</v>
      </c>
      <c r="EN313" s="889">
        <f t="shared" si="2029"/>
        <v>0</v>
      </c>
      <c r="EO313" s="889">
        <f t="shared" si="2030"/>
        <v>0</v>
      </c>
      <c r="EP313" s="889">
        <f t="shared" si="2031"/>
        <v>0</v>
      </c>
      <c r="EQ313" s="889">
        <f t="shared" si="2032"/>
        <v>0</v>
      </c>
      <c r="ER313" s="889">
        <f t="shared" si="2033"/>
        <v>0</v>
      </c>
      <c r="ES313" s="889">
        <f t="shared" si="2034"/>
        <v>0</v>
      </c>
      <c r="ET313" s="889">
        <f t="shared" si="2034"/>
        <v>0</v>
      </c>
      <c r="EU313" s="889">
        <f t="shared" si="2035"/>
        <v>0</v>
      </c>
      <c r="EV313" s="889">
        <f t="shared" si="2036"/>
        <v>0</v>
      </c>
      <c r="EW313" s="889">
        <f t="shared" si="2037"/>
        <v>0</v>
      </c>
      <c r="EX313" s="889">
        <f t="shared" si="2038"/>
        <v>0</v>
      </c>
      <c r="EY313" s="889">
        <f t="shared" si="2039"/>
        <v>0</v>
      </c>
      <c r="EZ313" s="889">
        <f t="shared" si="2040"/>
        <v>0</v>
      </c>
      <c r="FA313" s="889">
        <f t="shared" si="2041"/>
        <v>0</v>
      </c>
      <c r="FB313" s="889">
        <f t="shared" si="2042"/>
        <v>0</v>
      </c>
      <c r="FC313" s="889">
        <f t="shared" si="2043"/>
        <v>0</v>
      </c>
      <c r="FD313" s="889">
        <f t="shared" si="2044"/>
        <v>0</v>
      </c>
      <c r="FE313" s="889">
        <f t="shared" si="2045"/>
        <v>0</v>
      </c>
      <c r="FF313" s="889">
        <f t="shared" si="2046"/>
        <v>0</v>
      </c>
      <c r="FG313" s="889">
        <f t="shared" si="2047"/>
        <v>0</v>
      </c>
      <c r="FH313" s="889">
        <f t="shared" si="2048"/>
        <v>0</v>
      </c>
      <c r="FI313" s="889">
        <f t="shared" si="2049"/>
        <v>0</v>
      </c>
      <c r="FJ313" s="889">
        <f t="shared" si="2050"/>
        <v>0</v>
      </c>
      <c r="FK313" s="889">
        <f t="shared" si="2051"/>
        <v>0</v>
      </c>
      <c r="FL313" s="889">
        <f t="shared" si="2052"/>
        <v>0</v>
      </c>
      <c r="FM313" s="889">
        <f t="shared" si="2053"/>
        <v>0</v>
      </c>
      <c r="FN313" s="889">
        <f t="shared" si="2054"/>
        <v>0</v>
      </c>
      <c r="FO313" s="889">
        <f t="shared" si="2055"/>
        <v>0</v>
      </c>
      <c r="FP313" s="889">
        <f t="shared" si="2056"/>
        <v>0</v>
      </c>
      <c r="FQ313" s="889">
        <f t="shared" si="2057"/>
        <v>0</v>
      </c>
      <c r="FR313" s="889">
        <f t="shared" si="2058"/>
        <v>0</v>
      </c>
      <c r="FS313" s="889">
        <f t="shared" si="2059"/>
        <v>0</v>
      </c>
      <c r="FT313" s="889">
        <f t="shared" si="2060"/>
        <v>0</v>
      </c>
      <c r="FU313" s="889">
        <f t="shared" si="2262"/>
        <v>0</v>
      </c>
      <c r="FV313" s="889">
        <f t="shared" si="2263"/>
        <v>0</v>
      </c>
      <c r="FW313" s="889">
        <f t="shared" si="2264"/>
        <v>0</v>
      </c>
      <c r="FX313" s="889">
        <f t="shared" si="2265"/>
        <v>0</v>
      </c>
      <c r="FY313" s="889">
        <f t="shared" si="2061"/>
        <v>0</v>
      </c>
      <c r="FZ313" s="889">
        <f t="shared" si="2062"/>
        <v>0</v>
      </c>
      <c r="GA313" s="889">
        <f t="shared" si="2063"/>
        <v>0</v>
      </c>
      <c r="GB313" s="889">
        <f t="shared" si="2064"/>
        <v>0</v>
      </c>
      <c r="GC313" s="889">
        <f t="shared" si="2065"/>
        <v>0</v>
      </c>
      <c r="GD313" s="889">
        <f t="shared" si="2066"/>
        <v>0</v>
      </c>
      <c r="GE313" s="889">
        <f t="shared" si="2067"/>
        <v>0</v>
      </c>
      <c r="GF313" s="889">
        <f t="shared" si="2068"/>
        <v>0</v>
      </c>
      <c r="GG313" s="889">
        <f t="shared" si="2069"/>
        <v>0</v>
      </c>
      <c r="GH313" s="889">
        <f t="shared" si="2070"/>
        <v>0</v>
      </c>
      <c r="GI313" s="889">
        <f t="shared" si="2071"/>
        <v>0</v>
      </c>
      <c r="GJ313" s="889">
        <f t="shared" si="2072"/>
        <v>0</v>
      </c>
      <c r="GK313" s="889">
        <f t="shared" si="1988"/>
        <v>0</v>
      </c>
      <c r="GL313" s="889">
        <f t="shared" si="2266"/>
        <v>0</v>
      </c>
      <c r="GM313" s="889">
        <f t="shared" si="2073"/>
        <v>0</v>
      </c>
    </row>
    <row r="314" spans="1:195" s="888" customFormat="1">
      <c r="A314" s="870">
        <f>1+A313</f>
        <v>207</v>
      </c>
      <c r="B314" s="876" t="s">
        <v>527</v>
      </c>
      <c r="C314" s="870" t="str">
        <f t="shared" si="2109"/>
        <v>PDB-1</v>
      </c>
      <c r="D314" s="902" t="s">
        <v>749</v>
      </c>
      <c r="E314" s="873" t="s">
        <v>608</v>
      </c>
      <c r="F314" s="903" t="s">
        <v>28</v>
      </c>
      <c r="G314" s="870" t="s">
        <v>329</v>
      </c>
      <c r="H314" s="877">
        <v>15</v>
      </c>
      <c r="I314" s="870" t="s">
        <v>330</v>
      </c>
      <c r="J314" s="870" t="s">
        <v>331</v>
      </c>
      <c r="K314" s="875">
        <v>400</v>
      </c>
      <c r="L314" s="876">
        <v>0.85</v>
      </c>
      <c r="M314" s="877">
        <v>0.95</v>
      </c>
      <c r="N314" s="878">
        <f t="shared" si="2110"/>
        <v>26.81271852365597</v>
      </c>
      <c r="O314" s="878">
        <f t="shared" si="2111"/>
        <v>0</v>
      </c>
      <c r="P314" s="876" t="str">
        <f t="shared" si="2112"/>
        <v>0.00</v>
      </c>
      <c r="Q314" s="877">
        <v>50</v>
      </c>
      <c r="R314" s="877">
        <v>0</v>
      </c>
      <c r="S314" s="877">
        <f t="shared" si="2113"/>
        <v>0</v>
      </c>
      <c r="T314" s="876" t="s">
        <v>131</v>
      </c>
      <c r="U314" s="877" t="s">
        <v>522</v>
      </c>
      <c r="V314" s="876">
        <v>16</v>
      </c>
      <c r="W314" s="876" t="str">
        <f t="shared" si="2114"/>
        <v>4C X 16</v>
      </c>
      <c r="X314" s="876" t="str">
        <f t="shared" si="2115"/>
        <v>4C X 16</v>
      </c>
      <c r="Y314" s="876" t="s">
        <v>358</v>
      </c>
      <c r="Z314" s="879">
        <f>IF(T314="AIR",VLOOKUP(W314,'Catalogue Aluminium'!$B$9:$G$93,2,FALSE),IF(T314="GROUND",VLOOKUP(W314,'Catalogue Aluminium'!$B$9:$G$93,3,FALSE),IF(T314="DUCT",VLOOKUP(W314,'Catalogue Aluminium'!$B$9:$G$93,4,FALSE),IF(T314="TRENCH",VLOOKUP(W314,'Catalogue Aluminium'!$B$9:$G$93,2,FALSE)))))</f>
        <v>70</v>
      </c>
      <c r="AA314" s="880">
        <f>VLOOKUP(W314,'Catalogue Aluminium'!$B$9:$G$93,5,FALSE)</f>
        <v>2.44</v>
      </c>
      <c r="AB314" s="880">
        <f>VLOOKUP(W314,'Catalogue Aluminium'!$B$9:$G$93,6,FALSE)</f>
        <v>8.1500000000000003E-2</v>
      </c>
      <c r="AC314" s="900">
        <f t="shared" si="2149"/>
        <v>34</v>
      </c>
      <c r="AD314" s="870">
        <f>10</f>
        <v>10</v>
      </c>
      <c r="AE314" s="900">
        <v>10</v>
      </c>
      <c r="AF314" s="876">
        <v>8</v>
      </c>
      <c r="AG314" s="876">
        <f t="shared" si="2116"/>
        <v>7</v>
      </c>
      <c r="AH314" s="881">
        <f t="shared" si="2117"/>
        <v>69</v>
      </c>
      <c r="AI314" s="879">
        <f>IF(T314="AIR",'Catalogue Aluminium'!$K$9,IF(T314="TRENCH",'Catalogue Aluminium'!$K$12,"NA"))</f>
        <v>0.89</v>
      </c>
      <c r="AJ314" s="878">
        <f>IF(T314="Air",(IF(U314="1C",'Catalogue Aluminium'!$L$9,'Catalogue Aluminium'!$M$9)),IF(T314="DUCT",(IF($U314="1C",'Catalogue Aluminium'!$L$10,'Catalogue Aluminium'!$M$10)),IF(T314="GROUND",(IF($U314="1C",'Catalogue Aluminium'!$L$11,'Catalogue Aluminium'!$M$11)),IF(T314="TRENCH",(IF($U314="1C",'Catalogue Aluminium'!$L$12,'Catalogue Aluminium'!$M$12))))))</f>
        <v>0.66</v>
      </c>
      <c r="AK314" s="879" t="str">
        <f>IF(T314="Air",'Catalogue Aluminium'!$N$9,IF(T314="GROUND",'Catalogue Aluminium'!$N$10,IF(T314="DUCT",'Catalogue Aluminium'!$N$11,IF(T314="TRENCH",'Catalogue Aluminium'!$N$12,"NA"))))</f>
        <v>NA</v>
      </c>
      <c r="AL314" s="879" t="str">
        <f>IF(T314="Air",(IF(U314="1C",'Catalogue Aluminium'!$O$9,'Catalogue Aluminium'!$P$9)),IF(T314="DUCT",(IF($U314="1C",'Catalogue Aluminium'!$O$10,'Catalogue Aluminium'!$P$10)),IF(T314="GROUND",(IF($U314="1C",'Catalogue Aluminium'!$O$11,'Catalogue Aluminium'!$P$11)),IF(T314="TRENCH",(IF($U314="1C",'Catalogue Aluminium'!$O$12,'Catalogue Aluminium'!$P$12))))))</f>
        <v>NA</v>
      </c>
      <c r="AM314" s="879" t="str">
        <f>IF(T314="AIR","NA",IF(T314="TRENCH","NA",IF(T314="DUCT",IF(U314="1C",VLOOKUP(V314,'Catalogue Aluminium'!$Q$9:$S$28,2,FALSE),VLOOKUP(V314,'Catalogue Aluminium'!$Q$9:$S$28,3)),IF(T314="GROUND",IF(U314="1C",VLOOKUP(V314,'Catalogue Aluminium'!$Q$9:$S$28,2,FALSE),VLOOKUP(V314,'Catalogue Aluminium'!$Q$9:$S$28,3))))))</f>
        <v>NA</v>
      </c>
      <c r="AN314" s="882">
        <f t="shared" si="2118"/>
        <v>0.58740000000000003</v>
      </c>
      <c r="AO314" s="877">
        <f t="shared" si="2119"/>
        <v>41.118000000000002</v>
      </c>
      <c r="AP314" s="875">
        <f t="shared" si="2120"/>
        <v>1</v>
      </c>
      <c r="AQ314" s="877" t="str">
        <f t="shared" si="2121"/>
        <v>YES</v>
      </c>
      <c r="AR314" s="882">
        <f t="shared" si="2122"/>
        <v>1.6958898680858145</v>
      </c>
      <c r="AS314" s="876" t="str">
        <f t="shared" si="2123"/>
        <v>YES</v>
      </c>
      <c r="AT314" s="882" t="str">
        <f t="shared" si="2124"/>
        <v>NA</v>
      </c>
      <c r="AU314" s="876" t="str">
        <f t="shared" si="2125"/>
        <v>NA</v>
      </c>
      <c r="AV314" s="883" t="str">
        <f t="shared" si="2126"/>
        <v>1R x 0.6/1kV x 4C x 16 Sqmm</v>
      </c>
      <c r="AW314" s="883" t="str">
        <f t="shared" si="2127"/>
        <v>1R x 0.6/1kV x 4C x 16 Sqmm</v>
      </c>
      <c r="AX314" s="876"/>
      <c r="AY314" s="884"/>
      <c r="AZ314" s="884"/>
      <c r="BA314" s="885" t="str">
        <f t="shared" si="2268"/>
        <v/>
      </c>
      <c r="BB314" s="886"/>
      <c r="BC314" s="887"/>
      <c r="BE314" s="889"/>
      <c r="BF314" s="889"/>
      <c r="BG314" s="889"/>
      <c r="BH314" s="889"/>
      <c r="BI314" s="889"/>
      <c r="BJ314" s="889"/>
      <c r="BK314" s="889"/>
      <c r="BL314" s="889"/>
      <c r="BM314" s="889"/>
      <c r="BN314" s="889"/>
      <c r="BO314" s="889"/>
      <c r="BP314" s="889"/>
      <c r="BQ314" s="889"/>
      <c r="BR314" s="889"/>
      <c r="BS314" s="889"/>
      <c r="BT314" s="889"/>
      <c r="BU314" s="889"/>
      <c r="BV314" s="889"/>
      <c r="BW314" s="889"/>
      <c r="BX314" s="889"/>
      <c r="BY314" s="889"/>
      <c r="BZ314" s="889"/>
      <c r="CA314" s="889"/>
      <c r="CB314" s="889"/>
      <c r="CC314" s="889"/>
      <c r="CD314" s="889"/>
      <c r="CE314" s="889"/>
      <c r="CF314" s="889"/>
      <c r="CG314" s="889"/>
      <c r="CH314" s="889"/>
      <c r="CI314" s="889"/>
      <c r="CJ314" s="889"/>
      <c r="CK314" s="889"/>
      <c r="CL314" s="889"/>
      <c r="CM314" s="889"/>
      <c r="CN314" s="889"/>
      <c r="CO314" s="889"/>
      <c r="CP314" s="889"/>
      <c r="CQ314" s="889"/>
      <c r="CR314" s="889"/>
      <c r="CS314" s="889"/>
      <c r="CT314" s="889"/>
      <c r="CU314" s="889"/>
      <c r="CV314" s="889"/>
      <c r="CW314" s="889"/>
      <c r="CX314" s="889"/>
      <c r="CY314" s="889"/>
      <c r="CZ314" s="889"/>
      <c r="DA314" s="889"/>
      <c r="DB314" s="889"/>
      <c r="DC314" s="889"/>
      <c r="DD314" s="889"/>
      <c r="DE314" s="889"/>
      <c r="DF314" s="889"/>
      <c r="DG314" s="889"/>
      <c r="DH314" s="889"/>
      <c r="DI314" s="889"/>
      <c r="DJ314" s="889"/>
      <c r="DK314" s="889"/>
      <c r="DL314" s="889"/>
      <c r="DM314" s="889"/>
      <c r="DN314" s="889"/>
      <c r="DO314" s="889"/>
      <c r="DP314" s="889"/>
      <c r="DQ314" s="889"/>
      <c r="DR314" s="889"/>
      <c r="DS314" s="889"/>
      <c r="DT314" s="889"/>
      <c r="DU314" s="889"/>
      <c r="DW314" s="889">
        <f t="shared" si="2108"/>
        <v>0</v>
      </c>
      <c r="DX314" s="889">
        <f t="shared" si="2102"/>
        <v>0</v>
      </c>
      <c r="DY314" s="889">
        <f t="shared" si="2103"/>
        <v>0</v>
      </c>
      <c r="DZ314" s="889">
        <f t="shared" si="2104"/>
        <v>0</v>
      </c>
      <c r="EA314" s="889">
        <f t="shared" si="2105"/>
        <v>0</v>
      </c>
      <c r="EB314" s="889">
        <f t="shared" si="2106"/>
        <v>0</v>
      </c>
      <c r="EC314" s="889">
        <f t="shared" si="2107"/>
        <v>0</v>
      </c>
      <c r="ED314" s="889">
        <f t="shared" si="2019"/>
        <v>0</v>
      </c>
      <c r="EE314" s="889">
        <f t="shared" si="2020"/>
        <v>0</v>
      </c>
      <c r="EF314" s="889">
        <f t="shared" si="2021"/>
        <v>0</v>
      </c>
      <c r="EG314" s="889">
        <f t="shared" si="2022"/>
        <v>0</v>
      </c>
      <c r="EH314" s="889">
        <f t="shared" si="2023"/>
        <v>0</v>
      </c>
      <c r="EI314" s="889">
        <f t="shared" si="2024"/>
        <v>0</v>
      </c>
      <c r="EJ314" s="889">
        <f t="shared" si="2025"/>
        <v>0</v>
      </c>
      <c r="EK314" s="889">
        <f t="shared" si="2026"/>
        <v>0</v>
      </c>
      <c r="EL314" s="889">
        <f t="shared" si="2027"/>
        <v>0</v>
      </c>
      <c r="EM314" s="889">
        <f t="shared" si="2028"/>
        <v>0</v>
      </c>
      <c r="EN314" s="889">
        <f t="shared" si="2029"/>
        <v>0</v>
      </c>
      <c r="EO314" s="889">
        <f t="shared" si="2030"/>
        <v>0</v>
      </c>
      <c r="EP314" s="889">
        <f t="shared" si="2031"/>
        <v>0</v>
      </c>
      <c r="EQ314" s="889">
        <f t="shared" si="2032"/>
        <v>0</v>
      </c>
      <c r="ER314" s="889">
        <f t="shared" si="2033"/>
        <v>0</v>
      </c>
      <c r="ES314" s="889">
        <f t="shared" si="2034"/>
        <v>0</v>
      </c>
      <c r="ET314" s="889">
        <f t="shared" si="2034"/>
        <v>0</v>
      </c>
      <c r="EU314" s="889">
        <f t="shared" si="2035"/>
        <v>0</v>
      </c>
      <c r="EV314" s="889">
        <f t="shared" si="2036"/>
        <v>0</v>
      </c>
      <c r="EW314" s="889">
        <f t="shared" si="2037"/>
        <v>0</v>
      </c>
      <c r="EX314" s="889">
        <f t="shared" si="2038"/>
        <v>0</v>
      </c>
      <c r="EY314" s="889">
        <f t="shared" si="2039"/>
        <v>0</v>
      </c>
      <c r="EZ314" s="889">
        <f t="shared" si="2040"/>
        <v>0</v>
      </c>
      <c r="FA314" s="889">
        <f t="shared" si="2041"/>
        <v>0</v>
      </c>
      <c r="FB314" s="889">
        <f t="shared" si="2042"/>
        <v>0</v>
      </c>
      <c r="FC314" s="889">
        <f t="shared" si="2043"/>
        <v>0</v>
      </c>
      <c r="FD314" s="889">
        <f t="shared" si="2044"/>
        <v>0</v>
      </c>
      <c r="FE314" s="889">
        <f t="shared" si="2045"/>
        <v>0</v>
      </c>
      <c r="FF314" s="889">
        <f t="shared" si="2046"/>
        <v>0</v>
      </c>
      <c r="FG314" s="889">
        <f t="shared" si="2047"/>
        <v>0</v>
      </c>
      <c r="FH314" s="889">
        <f t="shared" si="2048"/>
        <v>0</v>
      </c>
      <c r="FI314" s="889">
        <f t="shared" si="2049"/>
        <v>0</v>
      </c>
      <c r="FJ314" s="889">
        <f t="shared" si="2050"/>
        <v>0</v>
      </c>
      <c r="FK314" s="889">
        <f t="shared" si="2051"/>
        <v>0</v>
      </c>
      <c r="FL314" s="889">
        <f t="shared" si="2052"/>
        <v>0</v>
      </c>
      <c r="FM314" s="889">
        <f t="shared" si="2053"/>
        <v>0</v>
      </c>
      <c r="FN314" s="889">
        <f t="shared" si="2054"/>
        <v>0</v>
      </c>
      <c r="FO314" s="889">
        <f t="shared" si="2055"/>
        <v>0</v>
      </c>
      <c r="FP314" s="889">
        <f t="shared" si="2056"/>
        <v>0</v>
      </c>
      <c r="FQ314" s="889">
        <f t="shared" si="2057"/>
        <v>0</v>
      </c>
      <c r="FR314" s="889">
        <f t="shared" si="2058"/>
        <v>0</v>
      </c>
      <c r="FS314" s="889">
        <f t="shared" si="2059"/>
        <v>0</v>
      </c>
      <c r="FT314" s="889">
        <f t="shared" si="2060"/>
        <v>0</v>
      </c>
      <c r="FU314" s="889">
        <f t="shared" si="2262"/>
        <v>0</v>
      </c>
      <c r="FV314" s="889">
        <f t="shared" si="2263"/>
        <v>0</v>
      </c>
      <c r="FW314" s="889">
        <f t="shared" si="2264"/>
        <v>0</v>
      </c>
      <c r="FX314" s="889">
        <f t="shared" si="2265"/>
        <v>0</v>
      </c>
      <c r="FY314" s="889">
        <f t="shared" si="2061"/>
        <v>0</v>
      </c>
      <c r="FZ314" s="889">
        <f t="shared" si="2062"/>
        <v>0</v>
      </c>
      <c r="GA314" s="889">
        <f t="shared" si="2063"/>
        <v>0</v>
      </c>
      <c r="GB314" s="889">
        <f t="shared" si="2064"/>
        <v>0</v>
      </c>
      <c r="GC314" s="889">
        <f t="shared" si="2065"/>
        <v>0</v>
      </c>
      <c r="GD314" s="889">
        <f t="shared" si="2066"/>
        <v>0</v>
      </c>
      <c r="GE314" s="889">
        <f t="shared" si="2067"/>
        <v>0</v>
      </c>
      <c r="GF314" s="889">
        <f t="shared" si="2068"/>
        <v>0</v>
      </c>
      <c r="GG314" s="889">
        <f t="shared" si="2069"/>
        <v>0</v>
      </c>
      <c r="GH314" s="889">
        <f t="shared" si="2070"/>
        <v>0</v>
      </c>
      <c r="GI314" s="889">
        <f t="shared" si="2071"/>
        <v>0</v>
      </c>
      <c r="GJ314" s="889">
        <f t="shared" si="2072"/>
        <v>0</v>
      </c>
      <c r="GK314" s="889">
        <f t="shared" si="1988"/>
        <v>0</v>
      </c>
      <c r="GL314" s="889">
        <f t="shared" si="2266"/>
        <v>0</v>
      </c>
      <c r="GM314" s="889">
        <f t="shared" si="2073"/>
        <v>0</v>
      </c>
    </row>
    <row r="315" spans="1:195" s="888" customFormat="1">
      <c r="A315" s="870">
        <f t="shared" si="2267"/>
        <v>208</v>
      </c>
      <c r="B315" s="876" t="s">
        <v>527</v>
      </c>
      <c r="C315" s="870" t="str">
        <f t="shared" si="2109"/>
        <v>PDB-1</v>
      </c>
      <c r="D315" s="902" t="s">
        <v>750</v>
      </c>
      <c r="E315" s="873" t="s">
        <v>608</v>
      </c>
      <c r="F315" s="903" t="s">
        <v>28</v>
      </c>
      <c r="G315" s="870" t="s">
        <v>329</v>
      </c>
      <c r="H315" s="877">
        <v>10</v>
      </c>
      <c r="I315" s="870" t="s">
        <v>330</v>
      </c>
      <c r="J315" s="870" t="s">
        <v>331</v>
      </c>
      <c r="K315" s="875">
        <v>400</v>
      </c>
      <c r="L315" s="876">
        <v>0.85</v>
      </c>
      <c r="M315" s="877">
        <v>0.95</v>
      </c>
      <c r="N315" s="878">
        <f t="shared" si="2110"/>
        <v>17.875145682437314</v>
      </c>
      <c r="O315" s="878">
        <f t="shared" si="2111"/>
        <v>0</v>
      </c>
      <c r="P315" s="876" t="str">
        <f t="shared" si="2112"/>
        <v>0.00</v>
      </c>
      <c r="Q315" s="877">
        <v>50</v>
      </c>
      <c r="R315" s="877">
        <v>0</v>
      </c>
      <c r="S315" s="877">
        <f t="shared" si="2113"/>
        <v>0</v>
      </c>
      <c r="T315" s="876" t="s">
        <v>131</v>
      </c>
      <c r="U315" s="877" t="s">
        <v>522</v>
      </c>
      <c r="V315" s="876">
        <v>6</v>
      </c>
      <c r="W315" s="876" t="str">
        <f t="shared" si="2114"/>
        <v>4C X 6</v>
      </c>
      <c r="X315" s="876" t="str">
        <f t="shared" si="2115"/>
        <v>4C X 6</v>
      </c>
      <c r="Y315" s="876" t="s">
        <v>358</v>
      </c>
      <c r="Z315" s="879">
        <f>IF(T315="AIR",VLOOKUP(W315,'Catalogue Aluminium'!$B$9:$G$93,2,FALSE),IF(T315="GROUND",VLOOKUP(W315,'Catalogue Aluminium'!$B$9:$G$93,3,FALSE),IF(T315="DUCT",VLOOKUP(W315,'Catalogue Aluminium'!$B$9:$G$93,4,FALSE),IF(T315="TRENCH",VLOOKUP(W315,'Catalogue Aluminium'!$B$9:$G$93,2,FALSE)))))</f>
        <v>51</v>
      </c>
      <c r="AA315" s="880">
        <f>VLOOKUP(W315,'Catalogue Aluminium'!$B$9:$G$93,5,FALSE)</f>
        <v>3.94</v>
      </c>
      <c r="AB315" s="880">
        <f>VLOOKUP(W315,'Catalogue Aluminium'!$B$9:$G$93,6,FALSE)</f>
        <v>9.0200000000000002E-2</v>
      </c>
      <c r="AC315" s="900">
        <f t="shared" si="2149"/>
        <v>34</v>
      </c>
      <c r="AD315" s="870">
        <f>10</f>
        <v>10</v>
      </c>
      <c r="AE315" s="900">
        <v>10</v>
      </c>
      <c r="AF315" s="876">
        <v>8</v>
      </c>
      <c r="AG315" s="876">
        <f t="shared" si="2116"/>
        <v>7</v>
      </c>
      <c r="AH315" s="881">
        <f t="shared" si="2117"/>
        <v>69</v>
      </c>
      <c r="AI315" s="879">
        <f>IF(T315="AIR",'Catalogue Aluminium'!$K$9,IF(T315="TRENCH",'Catalogue Aluminium'!$K$12,"NA"))</f>
        <v>0.89</v>
      </c>
      <c r="AJ315" s="878">
        <f>IF(T315="Air",(IF(U315="1C",'Catalogue Aluminium'!$L$9,'Catalogue Aluminium'!$M$9)),IF(T315="DUCT",(IF($U315="1C",'Catalogue Aluminium'!$L$10,'Catalogue Aluminium'!$M$10)),IF(T315="GROUND",(IF($U315="1C",'Catalogue Aluminium'!$L$11,'Catalogue Aluminium'!$M$11)),IF(T315="TRENCH",(IF($U315="1C",'Catalogue Aluminium'!$L$12,'Catalogue Aluminium'!$M$12))))))</f>
        <v>0.66</v>
      </c>
      <c r="AK315" s="879" t="str">
        <f>IF(T315="Air",'Catalogue Aluminium'!$N$9,IF(T315="GROUND",'Catalogue Aluminium'!$N$10,IF(T315="DUCT",'Catalogue Aluminium'!$N$11,IF(T315="TRENCH",'Catalogue Aluminium'!$N$12,"NA"))))</f>
        <v>NA</v>
      </c>
      <c r="AL315" s="879" t="str">
        <f>IF(T315="Air",(IF(U315="1C",'Catalogue Aluminium'!$O$9,'Catalogue Aluminium'!$P$9)),IF(T315="DUCT",(IF($U315="1C",'Catalogue Aluminium'!$O$10,'Catalogue Aluminium'!$P$10)),IF(T315="GROUND",(IF($U315="1C",'Catalogue Aluminium'!$O$11,'Catalogue Aluminium'!$P$11)),IF(T315="TRENCH",(IF($U315="1C",'Catalogue Aluminium'!$O$12,'Catalogue Aluminium'!$P$12))))))</f>
        <v>NA</v>
      </c>
      <c r="AM315" s="879" t="str">
        <f>IF(T315="AIR","NA",IF(T315="TRENCH","NA",IF(T315="DUCT",IF(U315="1C",VLOOKUP(V315,'Catalogue Aluminium'!$Q$9:$S$28,2,FALSE),VLOOKUP(V315,'Catalogue Aluminium'!$Q$9:$S$28,3)),IF(T315="GROUND",IF(U315="1C",VLOOKUP(V315,'Catalogue Aluminium'!$Q$9:$S$28,2,FALSE),VLOOKUP(V315,'Catalogue Aluminium'!$Q$9:$S$28,3))))))</f>
        <v>NA</v>
      </c>
      <c r="AN315" s="882">
        <f t="shared" si="2118"/>
        <v>0.58740000000000003</v>
      </c>
      <c r="AO315" s="877">
        <f t="shared" si="2119"/>
        <v>29.957400000000003</v>
      </c>
      <c r="AP315" s="875">
        <f t="shared" si="2120"/>
        <v>1</v>
      </c>
      <c r="AQ315" s="877" t="str">
        <f t="shared" si="2121"/>
        <v>YES</v>
      </c>
      <c r="AR315" s="882">
        <f t="shared" si="2122"/>
        <v>1.8139819267942812</v>
      </c>
      <c r="AS315" s="876" t="str">
        <f t="shared" si="2123"/>
        <v>YES</v>
      </c>
      <c r="AT315" s="882" t="str">
        <f t="shared" si="2124"/>
        <v>NA</v>
      </c>
      <c r="AU315" s="876" t="str">
        <f t="shared" si="2125"/>
        <v>NA</v>
      </c>
      <c r="AV315" s="883" t="str">
        <f t="shared" si="2126"/>
        <v>1R x 0.6/1kV x 4C x 6 Sqmm</v>
      </c>
      <c r="AW315" s="883" t="str">
        <f t="shared" si="2127"/>
        <v>1R x 0.6/1kV x 4C x 6 Sqmm</v>
      </c>
      <c r="AX315" s="876"/>
      <c r="AY315" s="884"/>
      <c r="AZ315" s="884"/>
      <c r="BA315" s="885" t="str">
        <f t="shared" si="2268"/>
        <v/>
      </c>
      <c r="BB315" s="886"/>
      <c r="BC315" s="887"/>
      <c r="BE315" s="889"/>
      <c r="BF315" s="889"/>
      <c r="BG315" s="889"/>
      <c r="BH315" s="889"/>
      <c r="BI315" s="889"/>
      <c r="BJ315" s="889"/>
      <c r="BK315" s="889"/>
      <c r="BL315" s="889"/>
      <c r="BM315" s="889"/>
      <c r="BN315" s="889"/>
      <c r="BO315" s="889"/>
      <c r="BP315" s="889"/>
      <c r="BQ315" s="889"/>
      <c r="BR315" s="889"/>
      <c r="BS315" s="889"/>
      <c r="BT315" s="889"/>
      <c r="BU315" s="889"/>
      <c r="BV315" s="889"/>
      <c r="BW315" s="889"/>
      <c r="BX315" s="889"/>
      <c r="BY315" s="889"/>
      <c r="BZ315" s="889"/>
      <c r="CA315" s="889"/>
      <c r="CB315" s="889"/>
      <c r="CC315" s="889"/>
      <c r="CD315" s="889"/>
      <c r="CE315" s="889"/>
      <c r="CF315" s="889"/>
      <c r="CG315" s="889"/>
      <c r="CH315" s="889"/>
      <c r="CI315" s="889"/>
      <c r="CJ315" s="889"/>
      <c r="CK315" s="889"/>
      <c r="CL315" s="889"/>
      <c r="CM315" s="889"/>
      <c r="CN315" s="889"/>
      <c r="CO315" s="889"/>
      <c r="CP315" s="889"/>
      <c r="CQ315" s="889"/>
      <c r="CR315" s="889"/>
      <c r="CS315" s="889"/>
      <c r="CT315" s="889"/>
      <c r="CU315" s="889"/>
      <c r="CV315" s="889"/>
      <c r="CW315" s="889"/>
      <c r="CX315" s="889"/>
      <c r="CY315" s="889"/>
      <c r="CZ315" s="889"/>
      <c r="DA315" s="889"/>
      <c r="DB315" s="889"/>
      <c r="DC315" s="889"/>
      <c r="DD315" s="889"/>
      <c r="DE315" s="889"/>
      <c r="DF315" s="889"/>
      <c r="DG315" s="889"/>
      <c r="DH315" s="889"/>
      <c r="DI315" s="889"/>
      <c r="DJ315" s="889"/>
      <c r="DK315" s="889"/>
      <c r="DL315" s="889"/>
      <c r="DM315" s="889"/>
      <c r="DN315" s="889"/>
      <c r="DO315" s="889"/>
      <c r="DP315" s="889"/>
      <c r="DQ315" s="889"/>
      <c r="DR315" s="889"/>
      <c r="DS315" s="889"/>
      <c r="DT315" s="889"/>
      <c r="DU315" s="889"/>
      <c r="DW315" s="889">
        <f t="shared" si="2108"/>
        <v>0</v>
      </c>
      <c r="DX315" s="889">
        <f t="shared" si="2102"/>
        <v>0</v>
      </c>
      <c r="DY315" s="889">
        <f t="shared" si="2103"/>
        <v>0</v>
      </c>
      <c r="DZ315" s="889">
        <f t="shared" si="2104"/>
        <v>0</v>
      </c>
      <c r="EA315" s="889">
        <f t="shared" si="2105"/>
        <v>0</v>
      </c>
      <c r="EB315" s="889">
        <f t="shared" si="2106"/>
        <v>0</v>
      </c>
      <c r="EC315" s="889">
        <f t="shared" si="2107"/>
        <v>0</v>
      </c>
      <c r="ED315" s="889">
        <f t="shared" si="2019"/>
        <v>0</v>
      </c>
      <c r="EE315" s="889">
        <f t="shared" si="2020"/>
        <v>0</v>
      </c>
      <c r="EF315" s="889">
        <f t="shared" si="2021"/>
        <v>0</v>
      </c>
      <c r="EG315" s="889">
        <f t="shared" si="2022"/>
        <v>0</v>
      </c>
      <c r="EH315" s="889">
        <f t="shared" si="2023"/>
        <v>0</v>
      </c>
      <c r="EI315" s="889">
        <f t="shared" si="2024"/>
        <v>0</v>
      </c>
      <c r="EJ315" s="889">
        <f t="shared" si="2025"/>
        <v>0</v>
      </c>
      <c r="EK315" s="889">
        <f t="shared" si="2026"/>
        <v>0</v>
      </c>
      <c r="EL315" s="889">
        <f t="shared" si="2027"/>
        <v>0</v>
      </c>
      <c r="EM315" s="889">
        <f t="shared" si="2028"/>
        <v>0</v>
      </c>
      <c r="EN315" s="889">
        <f t="shared" si="2029"/>
        <v>0</v>
      </c>
      <c r="EO315" s="889">
        <f t="shared" si="2030"/>
        <v>0</v>
      </c>
      <c r="EP315" s="889">
        <f t="shared" si="2031"/>
        <v>0</v>
      </c>
      <c r="EQ315" s="889">
        <f t="shared" si="2032"/>
        <v>0</v>
      </c>
      <c r="ER315" s="889">
        <f t="shared" si="2033"/>
        <v>0</v>
      </c>
      <c r="ES315" s="889">
        <f t="shared" si="2034"/>
        <v>0</v>
      </c>
      <c r="ET315" s="889">
        <f t="shared" si="2034"/>
        <v>0</v>
      </c>
      <c r="EU315" s="889">
        <f t="shared" si="2035"/>
        <v>0</v>
      </c>
      <c r="EV315" s="889">
        <f t="shared" si="2036"/>
        <v>0</v>
      </c>
      <c r="EW315" s="889">
        <f t="shared" si="2037"/>
        <v>0</v>
      </c>
      <c r="EX315" s="889">
        <f t="shared" si="2038"/>
        <v>0</v>
      </c>
      <c r="EY315" s="889">
        <f t="shared" si="2039"/>
        <v>0</v>
      </c>
      <c r="EZ315" s="889">
        <f t="shared" si="2040"/>
        <v>0</v>
      </c>
      <c r="FA315" s="889">
        <f t="shared" si="2041"/>
        <v>0</v>
      </c>
      <c r="FB315" s="889">
        <f t="shared" si="2042"/>
        <v>0</v>
      </c>
      <c r="FC315" s="889">
        <f t="shared" si="2043"/>
        <v>0</v>
      </c>
      <c r="FD315" s="889">
        <f t="shared" si="2044"/>
        <v>0</v>
      </c>
      <c r="FE315" s="889">
        <f t="shared" si="2045"/>
        <v>0</v>
      </c>
      <c r="FF315" s="889">
        <f t="shared" si="2046"/>
        <v>0</v>
      </c>
      <c r="FG315" s="889">
        <f t="shared" si="2047"/>
        <v>0</v>
      </c>
      <c r="FH315" s="889">
        <f t="shared" si="2048"/>
        <v>0</v>
      </c>
      <c r="FI315" s="889">
        <f t="shared" si="2049"/>
        <v>0</v>
      </c>
      <c r="FJ315" s="889">
        <f t="shared" si="2050"/>
        <v>0</v>
      </c>
      <c r="FK315" s="889">
        <f t="shared" si="2051"/>
        <v>0</v>
      </c>
      <c r="FL315" s="889">
        <f t="shared" si="2052"/>
        <v>0</v>
      </c>
      <c r="FM315" s="889">
        <f t="shared" si="2053"/>
        <v>0</v>
      </c>
      <c r="FN315" s="889">
        <f t="shared" si="2054"/>
        <v>0</v>
      </c>
      <c r="FO315" s="889">
        <f t="shared" si="2055"/>
        <v>0</v>
      </c>
      <c r="FP315" s="889">
        <f t="shared" si="2056"/>
        <v>0</v>
      </c>
      <c r="FQ315" s="889">
        <f t="shared" si="2057"/>
        <v>0</v>
      </c>
      <c r="FR315" s="889">
        <f t="shared" si="2058"/>
        <v>0</v>
      </c>
      <c r="FS315" s="889">
        <f t="shared" si="2059"/>
        <v>0</v>
      </c>
      <c r="FT315" s="889">
        <f t="shared" si="2060"/>
        <v>0</v>
      </c>
      <c r="FU315" s="889">
        <f t="shared" si="2262"/>
        <v>0</v>
      </c>
      <c r="FV315" s="889">
        <f t="shared" si="2263"/>
        <v>0</v>
      </c>
      <c r="FW315" s="889">
        <f t="shared" si="2264"/>
        <v>0</v>
      </c>
      <c r="FX315" s="889">
        <f t="shared" si="2265"/>
        <v>0</v>
      </c>
      <c r="FY315" s="889">
        <f t="shared" si="2061"/>
        <v>0</v>
      </c>
      <c r="FZ315" s="889">
        <f t="shared" si="2062"/>
        <v>0</v>
      </c>
      <c r="GA315" s="889">
        <f t="shared" si="2063"/>
        <v>0</v>
      </c>
      <c r="GB315" s="889">
        <f t="shared" si="2064"/>
        <v>0</v>
      </c>
      <c r="GC315" s="889">
        <f t="shared" si="2065"/>
        <v>0</v>
      </c>
      <c r="GD315" s="889">
        <f t="shared" si="2066"/>
        <v>0</v>
      </c>
      <c r="GE315" s="889">
        <f t="shared" si="2067"/>
        <v>0</v>
      </c>
      <c r="GF315" s="889">
        <f t="shared" si="2068"/>
        <v>0</v>
      </c>
      <c r="GG315" s="889">
        <f t="shared" si="2069"/>
        <v>0</v>
      </c>
      <c r="GH315" s="889">
        <f t="shared" si="2070"/>
        <v>0</v>
      </c>
      <c r="GI315" s="889">
        <f t="shared" si="2071"/>
        <v>0</v>
      </c>
      <c r="GJ315" s="889">
        <f t="shared" si="2072"/>
        <v>0</v>
      </c>
      <c r="GK315" s="889">
        <f t="shared" si="1988"/>
        <v>0</v>
      </c>
      <c r="GL315" s="889">
        <f t="shared" si="2266"/>
        <v>0</v>
      </c>
      <c r="GM315" s="889">
        <f t="shared" si="2073"/>
        <v>0</v>
      </c>
    </row>
    <row r="316" spans="1:195" s="869" customFormat="1" ht="27" customHeight="1">
      <c r="A316" s="406">
        <f t="shared" ref="A316:A326" si="2301">1+A311</f>
        <v>205</v>
      </c>
      <c r="B316" s="409" t="s">
        <v>527</v>
      </c>
      <c r="C316" s="406" t="str">
        <f t="shared" si="2109"/>
        <v>PDB-1</v>
      </c>
      <c r="D316" s="901" t="s">
        <v>1707</v>
      </c>
      <c r="E316" s="580" t="s">
        <v>608</v>
      </c>
      <c r="F316" s="582" t="s">
        <v>29</v>
      </c>
      <c r="G316" s="406" t="s">
        <v>329</v>
      </c>
      <c r="H316" s="583">
        <v>3.5</v>
      </c>
      <c r="I316" s="406" t="s">
        <v>330</v>
      </c>
      <c r="J316" s="406" t="s">
        <v>357</v>
      </c>
      <c r="K316" s="585">
        <v>230</v>
      </c>
      <c r="L316" s="409">
        <v>0.85</v>
      </c>
      <c r="M316" s="583">
        <v>0.95</v>
      </c>
      <c r="N316" s="407">
        <f t="shared" ref="N316:N326" si="2302">IF(I316="kVA",IF(J316="3Ph",(H316*1000/(1.732*M316*K316)),(H316*1000/(M316*K316))),IF(I316="kW",IF(J316="3Ph",(H316*1000/(1.732*M316*K316*L316)),(H316*1000/(M316*K316*L316)))))</f>
        <v>18.845066630771303</v>
      </c>
      <c r="O316" s="407">
        <f t="shared" ref="O316:O326" si="2303">IF(G316="MOTOR",(6*N316),IF(G316="VFD",(1*N316),0))</f>
        <v>0</v>
      </c>
      <c r="P316" s="409" t="str">
        <f t="shared" ref="P316:P326" si="2304">IF(G316="MOTOR",0.2,"0.00")</f>
        <v>0.00</v>
      </c>
      <c r="Q316" s="583">
        <v>50</v>
      </c>
      <c r="R316" s="583">
        <v>0</v>
      </c>
      <c r="S316" s="583">
        <f t="shared" ref="S316:S326" si="2305">(Q316*1000*SQRT(R316)/143)</f>
        <v>0</v>
      </c>
      <c r="T316" s="409" t="s">
        <v>131</v>
      </c>
      <c r="U316" s="583" t="s">
        <v>333</v>
      </c>
      <c r="V316" s="409">
        <v>50</v>
      </c>
      <c r="W316" s="409" t="str">
        <f t="shared" ref="W316:W326" si="2306">CONCATENATE(U316," X ",V316)</f>
        <v>3C X 50</v>
      </c>
      <c r="X316" s="409" t="str">
        <f t="shared" ref="X316:X326" si="2307">(IF(J316="1Ph",W316,IF(J316="3Ph",(IF(G316="MOTOR",(CONCATENATE(W316,"+PE")),W316)))))</f>
        <v>3C X 50</v>
      </c>
      <c r="Y316" s="409" t="s">
        <v>358</v>
      </c>
      <c r="Z316" s="408">
        <f>IF(T316="AIR",VLOOKUP(W316,'Catalogue Aluminium'!$B$9:$G$93,2,FALSE),IF(T316="GROUND",VLOOKUP(W316,'Catalogue Aluminium'!$B$9:$G$93,3,FALSE),IF(T316="DUCT",VLOOKUP(W316,'Catalogue Aluminium'!$B$9:$G$93,4,FALSE),IF(T316="TRENCH",VLOOKUP(W316,'Catalogue Aluminium'!$B$9:$G$93,2,FALSE)))))</f>
        <v>141</v>
      </c>
      <c r="AA316" s="410">
        <f>VLOOKUP(W316,'Catalogue Aluminium'!$B$9:$G$93,5,FALSE)</f>
        <v>0.82</v>
      </c>
      <c r="AB316" s="410">
        <f>VLOOKUP(W316,'Catalogue Aluminium'!$B$9:$G$93,6,FALSE)</f>
        <v>7.9200000000000007E-2</v>
      </c>
      <c r="AC316" s="896">
        <f t="shared" si="2149"/>
        <v>34</v>
      </c>
      <c r="AD316" s="406">
        <f t="shared" ref="AD316:AD326" si="2308">31+10</f>
        <v>41</v>
      </c>
      <c r="AE316" s="896">
        <v>10</v>
      </c>
      <c r="AF316" s="409">
        <v>8</v>
      </c>
      <c r="AG316" s="409">
        <f t="shared" ref="AG316:AG326" si="2309">ROUNDUP((SUM(AC316:AF316)*0.1),0)</f>
        <v>10</v>
      </c>
      <c r="AH316" s="865">
        <f t="shared" ref="AH316:AH326" si="2310">SUM(AC316:AG316)</f>
        <v>103</v>
      </c>
      <c r="AI316" s="408">
        <f>IF(T316="AIR",'Catalogue Aluminium'!$K$9,IF(T316="TRENCH",'Catalogue Aluminium'!$K$12,"NA"))</f>
        <v>0.89</v>
      </c>
      <c r="AJ316" s="407">
        <f>IF(T316="Air",(IF(U316="1C",'Catalogue Aluminium'!$L$9,'Catalogue Aluminium'!$M$9)),IF(T316="DUCT",(IF($U316="1C",'Catalogue Aluminium'!$L$10,'Catalogue Aluminium'!$M$10)),IF(T316="GROUND",(IF($U316="1C",'Catalogue Aluminium'!$L$11,'Catalogue Aluminium'!$M$11)),IF(T316="TRENCH",(IF($U316="1C",'Catalogue Aluminium'!$L$12,'Catalogue Aluminium'!$M$12))))))</f>
        <v>0.66</v>
      </c>
      <c r="AK316" s="408" t="str">
        <f>IF(T316="Air",'Catalogue Aluminium'!$N$9,IF(T316="GROUND",'Catalogue Aluminium'!$N$10,IF(T316="DUCT",'Catalogue Aluminium'!$N$11,IF(T316="TRENCH",'Catalogue Aluminium'!$N$12,"NA"))))</f>
        <v>NA</v>
      </c>
      <c r="AL316" s="408" t="str">
        <f>IF(T316="Air",(IF(U316="1C",'Catalogue Aluminium'!$O$9,'Catalogue Aluminium'!$P$9)),IF(T316="DUCT",(IF($U316="1C",'Catalogue Aluminium'!$O$10,'Catalogue Aluminium'!$P$10)),IF(T316="GROUND",(IF($U316="1C",'Catalogue Aluminium'!$O$11,'Catalogue Aluminium'!$P$11)),IF(T316="TRENCH",(IF($U316="1C",'Catalogue Aluminium'!$O$12,'Catalogue Aluminium'!$P$12))))))</f>
        <v>NA</v>
      </c>
      <c r="AM316" s="408" t="str">
        <f>IF(T316="AIR","NA",IF(T316="TRENCH","NA",IF(T316="DUCT",IF(U316="1C",VLOOKUP(V316,'Catalogue Aluminium'!$Q$9:$S$28,2,FALSE),VLOOKUP(V316,'Catalogue Aluminium'!$Q$9:$S$28,3)),IF(T316="GROUND",IF(U316="1C",VLOOKUP(V316,'Catalogue Aluminium'!$Q$9:$S$28,2,FALSE),VLOOKUP(V316,'Catalogue Aluminium'!$Q$9:$S$28,3))))))</f>
        <v>NA</v>
      </c>
      <c r="AN316" s="584">
        <f t="shared" ref="AN316:AN326" si="2311">IF(T316="AIR",AI316*AJ316,IF(T316="TRENCH",AI316*AJ316,IF(T316="DUCT",AJ316*AK316*AL316*AM316,IF(T316="GROUND",AJ316*AK316*AL316*AM316))))</f>
        <v>0.58740000000000003</v>
      </c>
      <c r="AO316" s="583">
        <f t="shared" ref="AO316:AO326" si="2312">Z316*AN316</f>
        <v>82.823400000000007</v>
      </c>
      <c r="AP316" s="585">
        <f t="shared" ref="AP316:AP326" si="2313">CEILING(((N316)/AO316),1)</f>
        <v>1</v>
      </c>
      <c r="AQ316" s="583" t="str">
        <f t="shared" ref="AQ316:AQ326" si="2314">IF(AO316*AP316&gt;=N316,"YES","NO")</f>
        <v>YES</v>
      </c>
      <c r="AR316" s="584">
        <f t="shared" ref="AR316:AR326" si="2315">SQRT(3)*AH316*N316*((AA316*L316)+(AB316*SIN(ACOS(L316))))*100/(AP316*K316*1000)</f>
        <v>1.0798122486861237</v>
      </c>
      <c r="AS316" s="409" t="str">
        <f t="shared" ref="AS316:AS326" si="2316">IF(G316="INCOMER",(IF(AR316&lt;=2,"YES","NO")),IF(G316="POWER",(IF(AR316&lt;=2.5,"YES","NO")),IF(G316="MOTOR",(IF(AR316&lt;=3,"YES","NO")))))</f>
        <v>YES</v>
      </c>
      <c r="AT316" s="584" t="str">
        <f t="shared" ref="AT316:AT326" si="2317">IF(G316="MOTOR",(SQRT(3)*AH316*O316*((AA316*P316)+(AB316*SIN(ACOS(P316))))*100/(AP316*K316*1000)),"NA")</f>
        <v>NA</v>
      </c>
      <c r="AU316" s="409" t="str">
        <f t="shared" ref="AU316:AU326" si="2318">IF(G316="MOTOR",IF(AT316&lt;=15,"YES","NO"),"NA")</f>
        <v>NA</v>
      </c>
      <c r="AV316" s="586" t="str">
        <f t="shared" ref="AV316:AV326" si="2319">IF(U316="1C",CONCATENATE(AP316,"R x ",Y316,"kV x ",U316," x ",V316," Sqmm/Phase"),CONCATENATE(AP316,"R x ",0.6,"/1kV x ",U316," x ",V316," Sqmm"))</f>
        <v>1R x 0.6/1kV x 3C x 50 Sqmm</v>
      </c>
      <c r="AW316" s="586" t="str">
        <f t="shared" ref="AW316:AW326" si="2320">IF(U316="1C",CONCATENATE(AP316,"R x ",Y316,"kV x ",U316," x ",V316," Sqmm/Phase"),CONCATENATE(AP316,"R x ",0.6,"/1kV x ",U316," x ",V316,(IF(G316="MOTOR","+PE",""))," Sqmm"))</f>
        <v>1R x 0.6/1kV x 3C x 50 Sqmm</v>
      </c>
      <c r="AX316" s="409">
        <f t="shared" ref="AX316:AX326" si="2321">(IF(K316=400,(IF(U316="1C",(4*AH316*AP316),(AH316*AP316))),IF(K316=230,(AH316*AP316))))</f>
        <v>103</v>
      </c>
      <c r="AY316" s="866"/>
      <c r="AZ316" s="866">
        <f t="shared" ref="AZ316:AZ326" si="2322">IF(U316="1C",(3*AP316*2),(AP316*2))</f>
        <v>2</v>
      </c>
      <c r="BA316" s="867" t="str">
        <f t="shared" ref="BA316:BA326" si="2323">CONCATENATE(IF(BE316=1,BE$4,""),IF(BF316=1,BF$4,""),IF(BG316=1,BG$4,""),IF(BH316=1,BH$4,""),IF(BI316=1,BI$4,""),IF(BJ316=1,BJ$4,""),IF(BK316=1,BK$4,""),IF(BL316=1,BL$4,""),IF(BM316=1,BM$4,""),IF(BN316=1,BN$4,""),IF(BO316=1,BO$4,""),IF(BP316=1,BP$4,""),IF(BQ316=1,BQ$4,""),IF(BR316=1,BR$4,""),IF(BS316=1,BS$4,""),IF(BT316=1,BT$4,""),IF(BU316=1,BU$4,""),IF(BV316=1,BV$4,""),IF(BW316=1,BW$4,""),IF(BX316=1,BX$4,""),IF(BY316=1,BY$4,""),IF(BZ316=1,BZ$4,""),IF(CA316=1,CA$4,""),IF(CB316=1,CB$4,""),IF(CC316=1,CC$4,""),IF(CD316=1,CD$4,""),IF(CE316=1,CE$4,""),IF(CF316=1,CF$4,""),IF(CG316=1,CG$4,""),IF(CH316=1,CH$4,""),IF(CI316=1,CI$4,""),IF(CJ316=1,CJ$4,""),IF(CK316=1,CK$4,""),IF(CL316=1,CL$4,""),IF(CM316=1,CM$4,""),IF(CN316=1,CN$4,""),IF(CO316=1,CO$4,""),IF(CP316=1,CP$4,""),IF(CQ316=1,CQ$4,""),IF(CR316=1,CR$4,""),IF(CS316=1,CS$4,""),IF(CT316=1,CT$4,""),IF(CU316=1,CU$4,""),IF(CV316=1,CV$4,""),IF(CW316=1,CW$4,""),IF(CX316=1,CX$4,""),IF(CY316=1,CY$4,""),IF(CZ316=1,CZ$4,""),IF(DA316=1,DA$4,""),IF(DB316=1,DB$4,""),IF(DC316=1,DC$4,""),IF(DD316=1,DD$4,""),IF(DE316=1,DE$4,""),IF(DF316=1,DF$4,""),IF(DG316=1,DG$4,""),IF(DH316=1,DH$4,""),IF(DI316=1,DI$4,""),IF(DJ316=1,DJ$4,""),IF(DK316=1,DK$4,""),IF(DL316=1,DL$4,""),IF(DM316=1,DM$4,""),IF(DN316=1,DN$4,""),IF(DO316=1,DO$4,""),IF(DP316=1,DP$4,""),IF(DQ316=1,DQ$4,""),IF(DR316=1,DR$4,""),IF(DS316=1,DS$4,""),IF(DT316=1,DT$4,""),IF(DU316=1,DU$4,""))</f>
        <v>ABB1</v>
      </c>
      <c r="BB316" s="868">
        <f>VLOOKUP(W316,'Catalogue Aluminium'!$B$9:$H$93,7,FALSE)</f>
        <v>26</v>
      </c>
      <c r="BC316" s="789">
        <f t="shared" ref="BC316:BC326" si="2324">AP316*BB316</f>
        <v>26</v>
      </c>
      <c r="BE316" s="587"/>
      <c r="BF316" s="587">
        <v>1</v>
      </c>
      <c r="BG316" s="587">
        <v>1</v>
      </c>
      <c r="BH316" s="587">
        <v>1</v>
      </c>
      <c r="BI316" s="587"/>
      <c r="BJ316" s="587"/>
      <c r="BK316" s="587"/>
      <c r="BL316" s="587"/>
      <c r="BM316" s="587"/>
      <c r="BN316" s="587"/>
      <c r="BO316" s="587"/>
      <c r="BP316" s="587"/>
      <c r="BQ316" s="587"/>
      <c r="BR316" s="587"/>
      <c r="BS316" s="587"/>
      <c r="BT316" s="587"/>
      <c r="BU316" s="587"/>
      <c r="BV316" s="587"/>
      <c r="BW316" s="587"/>
      <c r="BX316" s="587"/>
      <c r="BY316" s="587"/>
      <c r="BZ316" s="587"/>
      <c r="CA316" s="587"/>
      <c r="CB316" s="587"/>
      <c r="CC316" s="587"/>
      <c r="CD316" s="587"/>
      <c r="CE316" s="587"/>
      <c r="CF316" s="587"/>
      <c r="CG316" s="587"/>
      <c r="CH316" s="587"/>
      <c r="CI316" s="587"/>
      <c r="CJ316" s="587"/>
      <c r="CK316" s="587"/>
      <c r="CL316" s="587"/>
      <c r="CM316" s="587"/>
      <c r="CN316" s="587"/>
      <c r="CO316" s="587"/>
      <c r="CP316" s="587"/>
      <c r="CQ316" s="587"/>
      <c r="CR316" s="587"/>
      <c r="CS316" s="587"/>
      <c r="CT316" s="587"/>
      <c r="CU316" s="587"/>
      <c r="CV316" s="587"/>
      <c r="CW316" s="587"/>
      <c r="CX316" s="587"/>
      <c r="CY316" s="587"/>
      <c r="CZ316" s="587"/>
      <c r="DA316" s="587"/>
      <c r="DB316" s="587"/>
      <c r="DC316" s="587"/>
      <c r="DD316" s="587"/>
      <c r="DE316" s="587"/>
      <c r="DF316" s="587"/>
      <c r="DG316" s="587"/>
      <c r="DH316" s="587"/>
      <c r="DI316" s="587"/>
      <c r="DJ316" s="587"/>
      <c r="DK316" s="587"/>
      <c r="DL316" s="587"/>
      <c r="DM316" s="587"/>
      <c r="DN316" s="587"/>
      <c r="DO316" s="587"/>
      <c r="DP316" s="587"/>
      <c r="DQ316" s="587"/>
      <c r="DR316" s="587"/>
      <c r="DS316" s="587"/>
      <c r="DT316" s="587"/>
      <c r="DU316" s="587"/>
      <c r="DW316" s="587">
        <f t="shared" ref="DW316:DW326" si="2325">IF(BE316=1,($BC316*BE316),0)</f>
        <v>0</v>
      </c>
      <c r="DX316" s="587">
        <f t="shared" ref="DX316:DX326" si="2326">IF(BF316=1,($BC316*BF316),0)</f>
        <v>26</v>
      </c>
      <c r="DY316" s="587">
        <f t="shared" ref="DY316:DY326" si="2327">IF(BG316=1,($BC316*BG316),0)</f>
        <v>26</v>
      </c>
      <c r="DZ316" s="587">
        <f t="shared" ref="DZ316:DZ326" si="2328">IF(BH316=1,($BC316*BH316),0)</f>
        <v>26</v>
      </c>
      <c r="EA316" s="587">
        <f t="shared" ref="EA316:EA326" si="2329">IF(BI316=1,($BC316*BI316),0)</f>
        <v>0</v>
      </c>
      <c r="EB316" s="587">
        <f t="shared" ref="EB316:EB326" si="2330">IF(BJ316=1,($BC316*BJ316),0)</f>
        <v>0</v>
      </c>
      <c r="EC316" s="587">
        <f t="shared" ref="EC316:EC326" si="2331">IF(BK316=1,($BC316*BK316),0)</f>
        <v>0</v>
      </c>
      <c r="ED316" s="587">
        <f t="shared" ref="ED316:ED326" si="2332">IF(BL316=1,($BC316*BL316),0)</f>
        <v>0</v>
      </c>
      <c r="EE316" s="587">
        <f t="shared" ref="EE316:EE326" si="2333">IF(BM316=1,($BC316*BM316),0)</f>
        <v>0</v>
      </c>
      <c r="EF316" s="587">
        <f t="shared" ref="EF316:EF326" si="2334">IF(BN316=1,($BC316*BN316),0)</f>
        <v>0</v>
      </c>
      <c r="EG316" s="587">
        <f t="shared" ref="EG316:EG326" si="2335">IF(BO316=1,($BC316*BO316),0)</f>
        <v>0</v>
      </c>
      <c r="EH316" s="587">
        <f t="shared" ref="EH316:EH326" si="2336">IF(BP316=1,($BC316*BP316),0)</f>
        <v>0</v>
      </c>
      <c r="EI316" s="587">
        <f t="shared" ref="EI316:EI326" si="2337">IF(BQ316=1,($BC316*BQ316),0)</f>
        <v>0</v>
      </c>
      <c r="EJ316" s="587">
        <f t="shared" ref="EJ316:EJ326" si="2338">IF(BR316=1,($BC316*BR316),0)</f>
        <v>0</v>
      </c>
      <c r="EK316" s="587">
        <f t="shared" ref="EK316:EK326" si="2339">IF(BS316=1,($BC316*BS316),0)</f>
        <v>0</v>
      </c>
      <c r="EL316" s="587">
        <f t="shared" ref="EL316:EL326" si="2340">IF(BT316=1,($BC316*BT316),0)</f>
        <v>0</v>
      </c>
      <c r="EM316" s="587">
        <f t="shared" ref="EM316:EM326" si="2341">IF(BU316=1,($BC316*BU316),0)</f>
        <v>0</v>
      </c>
      <c r="EN316" s="587">
        <f t="shared" ref="EN316:EN326" si="2342">IF(BV316=1,($BC316*BV316),0)</f>
        <v>0</v>
      </c>
      <c r="EO316" s="587">
        <f t="shared" ref="EO316:EO326" si="2343">IF(BW316=1,($BC316*BW316),0)</f>
        <v>0</v>
      </c>
      <c r="EP316" s="587">
        <f t="shared" ref="EP316:EP326" si="2344">IF(BX316=1,($BC316*BX316),0)</f>
        <v>0</v>
      </c>
      <c r="EQ316" s="587">
        <f t="shared" ref="EQ316:EQ326" si="2345">IF(BY316=1,($BC316*BY316),0)</f>
        <v>0</v>
      </c>
      <c r="ER316" s="587">
        <f t="shared" ref="ER316:ER326" si="2346">IF(BZ316=1,($BC316*BZ316),0)</f>
        <v>0</v>
      </c>
      <c r="ES316" s="587">
        <f t="shared" ref="ES316:ES326" si="2347">IF(CA316=1,($BC316*CA316),0)</f>
        <v>0</v>
      </c>
      <c r="ET316" s="587">
        <f t="shared" ref="ET316:ET326" si="2348">IF(CB316=1,($BC316*CB316),0)</f>
        <v>0</v>
      </c>
      <c r="EU316" s="587">
        <f t="shared" ref="EU316:EU326" si="2349">IF(CC316=1,($BC316*CC316),0)</f>
        <v>0</v>
      </c>
      <c r="EV316" s="587">
        <f t="shared" ref="EV316:EV326" si="2350">IF(CD316=1,($BC316*CD316),0)</f>
        <v>0</v>
      </c>
      <c r="EW316" s="587">
        <f t="shared" ref="EW316:EW326" si="2351">IF(CE316=1,($BC316*CE316),0)</f>
        <v>0</v>
      </c>
      <c r="EX316" s="587">
        <f t="shared" ref="EX316:EX326" si="2352">IF(CF316=1,($BC316*CF316),0)</f>
        <v>0</v>
      </c>
      <c r="EY316" s="587">
        <f t="shared" ref="EY316:EY326" si="2353">IF(CG316=1,($BC316*CG316),0)</f>
        <v>0</v>
      </c>
      <c r="EZ316" s="587">
        <f t="shared" ref="EZ316:EZ326" si="2354">IF(CH316=1,($BC316*CH316),0)</f>
        <v>0</v>
      </c>
      <c r="FA316" s="587">
        <f t="shared" ref="FA316:FA326" si="2355">IF(CI316=1,($BC316*CI316),0)</f>
        <v>0</v>
      </c>
      <c r="FB316" s="587">
        <f t="shared" ref="FB316:FB326" si="2356">IF(CJ316=1,($BC316*CJ316),0)</f>
        <v>0</v>
      </c>
      <c r="FC316" s="587">
        <f t="shared" ref="FC316:FC326" si="2357">IF(CK316=1,($BC316*CK316),0)</f>
        <v>0</v>
      </c>
      <c r="FD316" s="587">
        <f t="shared" ref="FD316:FD326" si="2358">IF(CL316=1,($BC316*CL316),0)</f>
        <v>0</v>
      </c>
      <c r="FE316" s="587">
        <f t="shared" ref="FE316:FE326" si="2359">IF(CM316=1,($BC316*CM316),0)</f>
        <v>0</v>
      </c>
      <c r="FF316" s="587">
        <f t="shared" ref="FF316:FF326" si="2360">IF(CN316=1,($BC316*CN316),0)</f>
        <v>0</v>
      </c>
      <c r="FG316" s="587">
        <f t="shared" ref="FG316:FG326" si="2361">IF(CO316=1,($BC316*CO316),0)</f>
        <v>0</v>
      </c>
      <c r="FH316" s="587">
        <f t="shared" ref="FH316:FH326" si="2362">IF(CP316=1,($BC316*CP316),0)</f>
        <v>0</v>
      </c>
      <c r="FI316" s="587">
        <f t="shared" ref="FI316:FI326" si="2363">IF(CQ316=1,($BC316*CQ316),0)</f>
        <v>0</v>
      </c>
      <c r="FJ316" s="587">
        <f t="shared" ref="FJ316:FJ326" si="2364">IF(CR316=1,($BC316*CR316),0)</f>
        <v>0</v>
      </c>
      <c r="FK316" s="587">
        <f t="shared" ref="FK316:FK326" si="2365">IF(CS316=1,($BC316*CS316),0)</f>
        <v>0</v>
      </c>
      <c r="FL316" s="587">
        <f t="shared" ref="FL316:FL326" si="2366">IF(CT316=1,($BC316*CT316),0)</f>
        <v>0</v>
      </c>
      <c r="FM316" s="587">
        <f t="shared" ref="FM316:FM326" si="2367">IF(CU316=1,($BC316*CU316),0)</f>
        <v>0</v>
      </c>
      <c r="FN316" s="587">
        <f t="shared" ref="FN316:FN326" si="2368">IF(CV316=1,($BC316*CV316),0)</f>
        <v>0</v>
      </c>
      <c r="FO316" s="587">
        <f t="shared" ref="FO316:FO326" si="2369">IF(CW316=1,($BC316*CW316),0)</f>
        <v>0</v>
      </c>
      <c r="FP316" s="587">
        <f t="shared" ref="FP316:FP326" si="2370">IF(CX316=1,($BC316*CX316),0)</f>
        <v>0</v>
      </c>
      <c r="FQ316" s="587">
        <f t="shared" ref="FQ316:FQ326" si="2371">IF(CY316=1,($BC316*CY316),0)</f>
        <v>0</v>
      </c>
      <c r="FR316" s="587">
        <f t="shared" ref="FR316:FR326" si="2372">IF(CZ316=1,($BC316*CZ316),0)</f>
        <v>0</v>
      </c>
      <c r="FS316" s="587">
        <f t="shared" ref="FS316:FS326" si="2373">IF(DA316=1,($BC316*DA316),0)</f>
        <v>0</v>
      </c>
      <c r="FT316" s="587">
        <f t="shared" ref="FT316:FT326" si="2374">IF(DB316=1,($BC316*DB316),0)</f>
        <v>0</v>
      </c>
      <c r="FU316" s="587">
        <f t="shared" ref="FU316:FU326" si="2375">IF(DC316=1,($BC316*DC316),0)</f>
        <v>0</v>
      </c>
      <c r="FV316" s="587">
        <f t="shared" ref="FV316:FV326" si="2376">IF(DD316=1,($BC316*DD316),0)</f>
        <v>0</v>
      </c>
      <c r="FW316" s="587">
        <f t="shared" ref="FW316:FW326" si="2377">IF(DE316=1,($BC316*DE316),0)</f>
        <v>0</v>
      </c>
      <c r="FX316" s="587">
        <f t="shared" ref="FX316:FX326" si="2378">IF(DF316=1,($BC316*DF316),0)</f>
        <v>0</v>
      </c>
      <c r="FY316" s="587">
        <f t="shared" ref="FY316:FY326" si="2379">IF(DG316=1,($BC316*DG316),0)</f>
        <v>0</v>
      </c>
      <c r="FZ316" s="587">
        <f t="shared" ref="FZ316:FZ326" si="2380">IF(DH316=1,($BC316*DH316),0)</f>
        <v>0</v>
      </c>
      <c r="GA316" s="587">
        <f t="shared" ref="GA316:GA326" si="2381">IF(DI316=1,($BC316*DI316),0)</f>
        <v>0</v>
      </c>
      <c r="GB316" s="587">
        <f t="shared" ref="GB316:GB326" si="2382">IF(DJ316=1,($BC316*DJ316),0)</f>
        <v>0</v>
      </c>
      <c r="GC316" s="587">
        <f t="shared" ref="GC316:GC326" si="2383">IF(DK316=1,($BC316*DK316),0)</f>
        <v>0</v>
      </c>
      <c r="GD316" s="587">
        <f t="shared" ref="GD316:GD326" si="2384">IF(DL316=1,($BC316*DL316),0)</f>
        <v>0</v>
      </c>
      <c r="GE316" s="587">
        <f t="shared" ref="GE316:GE326" si="2385">IF(DM316=1,($BC316*DM316),0)</f>
        <v>0</v>
      </c>
      <c r="GF316" s="587">
        <f t="shared" ref="GF316:GF326" si="2386">IF(DN316=1,($BC316*DN316),0)</f>
        <v>0</v>
      </c>
      <c r="GG316" s="587">
        <f t="shared" ref="GG316:GG326" si="2387">IF(DO316=1,($BC316*DO316),0)</f>
        <v>0</v>
      </c>
      <c r="GH316" s="587">
        <f t="shared" ref="GH316:GH326" si="2388">IF(DP316=1,($BC316*DP316),0)</f>
        <v>0</v>
      </c>
      <c r="GI316" s="587">
        <f t="shared" ref="GI316:GI326" si="2389">IF(DQ316=1,($BC316*DQ316),0)</f>
        <v>0</v>
      </c>
      <c r="GJ316" s="587">
        <f t="shared" ref="GJ316:GJ326" si="2390">IF(DR316=1,($BC316*DR316),0)</f>
        <v>0</v>
      </c>
      <c r="GK316" s="587">
        <f t="shared" ref="GK316:GK326" si="2391">IF(DS316=1,($BC316*DS316),0)</f>
        <v>0</v>
      </c>
      <c r="GL316" s="587">
        <f t="shared" ref="GL316:GL326" si="2392">IF(DT316=1,($BC316*DT316),0)</f>
        <v>0</v>
      </c>
      <c r="GM316" s="587">
        <f t="shared" ref="GM316:GM326" si="2393">IF(DU316=1,($BC316*DU316),0)</f>
        <v>0</v>
      </c>
    </row>
    <row r="317" spans="1:195" s="869" customFormat="1" ht="27" customHeight="1">
      <c r="A317" s="406">
        <f t="shared" si="2301"/>
        <v>206</v>
      </c>
      <c r="B317" s="409" t="s">
        <v>527</v>
      </c>
      <c r="C317" s="406" t="str">
        <f t="shared" si="2109"/>
        <v>PDB-1</v>
      </c>
      <c r="D317" s="901" t="s">
        <v>1708</v>
      </c>
      <c r="E317" s="580" t="s">
        <v>608</v>
      </c>
      <c r="F317" s="582" t="s">
        <v>29</v>
      </c>
      <c r="G317" s="406" t="s">
        <v>329</v>
      </c>
      <c r="H317" s="583">
        <v>3.5</v>
      </c>
      <c r="I317" s="406" t="s">
        <v>330</v>
      </c>
      <c r="J317" s="406" t="s">
        <v>357</v>
      </c>
      <c r="K317" s="585">
        <v>230</v>
      </c>
      <c r="L317" s="409">
        <v>0.85</v>
      </c>
      <c r="M317" s="583">
        <v>0.95</v>
      </c>
      <c r="N317" s="407">
        <f t="shared" si="2302"/>
        <v>18.845066630771303</v>
      </c>
      <c r="O317" s="407">
        <f t="shared" si="2303"/>
        <v>0</v>
      </c>
      <c r="P317" s="409" t="str">
        <f t="shared" si="2304"/>
        <v>0.00</v>
      </c>
      <c r="Q317" s="583">
        <v>50</v>
      </c>
      <c r="R317" s="583">
        <v>0</v>
      </c>
      <c r="S317" s="583">
        <f t="shared" si="2305"/>
        <v>0</v>
      </c>
      <c r="T317" s="409" t="s">
        <v>131</v>
      </c>
      <c r="U317" s="583" t="s">
        <v>333</v>
      </c>
      <c r="V317" s="409">
        <v>50</v>
      </c>
      <c r="W317" s="409" t="str">
        <f t="shared" si="2306"/>
        <v>3C X 50</v>
      </c>
      <c r="X317" s="409" t="str">
        <f t="shared" si="2307"/>
        <v>3C X 50</v>
      </c>
      <c r="Y317" s="409" t="s">
        <v>358</v>
      </c>
      <c r="Z317" s="408">
        <f>IF(T317="AIR",VLOOKUP(W317,'Catalogue Aluminium'!$B$9:$G$93,2,FALSE),IF(T317="GROUND",VLOOKUP(W317,'Catalogue Aluminium'!$B$9:$G$93,3,FALSE),IF(T317="DUCT",VLOOKUP(W317,'Catalogue Aluminium'!$B$9:$G$93,4,FALSE),IF(T317="TRENCH",VLOOKUP(W317,'Catalogue Aluminium'!$B$9:$G$93,2,FALSE)))))</f>
        <v>141</v>
      </c>
      <c r="AA317" s="410">
        <f>VLOOKUP(W317,'Catalogue Aluminium'!$B$9:$G$93,5,FALSE)</f>
        <v>0.82</v>
      </c>
      <c r="AB317" s="410">
        <f>VLOOKUP(W317,'Catalogue Aluminium'!$B$9:$G$93,6,FALSE)</f>
        <v>7.9200000000000007E-2</v>
      </c>
      <c r="AC317" s="896">
        <f t="shared" si="2149"/>
        <v>34</v>
      </c>
      <c r="AD317" s="406">
        <f t="shared" si="2308"/>
        <v>41</v>
      </c>
      <c r="AE317" s="896">
        <v>10</v>
      </c>
      <c r="AF317" s="409">
        <v>8</v>
      </c>
      <c r="AG317" s="409">
        <f t="shared" si="2309"/>
        <v>10</v>
      </c>
      <c r="AH317" s="865">
        <f t="shared" si="2310"/>
        <v>103</v>
      </c>
      <c r="AI317" s="408">
        <f>IF(T317="AIR",'Catalogue Aluminium'!$K$9,IF(T317="TRENCH",'Catalogue Aluminium'!$K$12,"NA"))</f>
        <v>0.89</v>
      </c>
      <c r="AJ317" s="407">
        <f>IF(T317="Air",(IF(U317="1C",'Catalogue Aluminium'!$L$9,'Catalogue Aluminium'!$M$9)),IF(T317="DUCT",(IF($U317="1C",'Catalogue Aluminium'!$L$10,'Catalogue Aluminium'!$M$10)),IF(T317="GROUND",(IF($U317="1C",'Catalogue Aluminium'!$L$11,'Catalogue Aluminium'!$M$11)),IF(T317="TRENCH",(IF($U317="1C",'Catalogue Aluminium'!$L$12,'Catalogue Aluminium'!$M$12))))))</f>
        <v>0.66</v>
      </c>
      <c r="AK317" s="408" t="str">
        <f>IF(T317="Air",'Catalogue Aluminium'!$N$9,IF(T317="GROUND",'Catalogue Aluminium'!$N$10,IF(T317="DUCT",'Catalogue Aluminium'!$N$11,IF(T317="TRENCH",'Catalogue Aluminium'!$N$12,"NA"))))</f>
        <v>NA</v>
      </c>
      <c r="AL317" s="408" t="str">
        <f>IF(T317="Air",(IF(U317="1C",'Catalogue Aluminium'!$O$9,'Catalogue Aluminium'!$P$9)),IF(T317="DUCT",(IF($U317="1C",'Catalogue Aluminium'!$O$10,'Catalogue Aluminium'!$P$10)),IF(T317="GROUND",(IF($U317="1C",'Catalogue Aluminium'!$O$11,'Catalogue Aluminium'!$P$11)),IF(T317="TRENCH",(IF($U317="1C",'Catalogue Aluminium'!$O$12,'Catalogue Aluminium'!$P$12))))))</f>
        <v>NA</v>
      </c>
      <c r="AM317" s="408" t="str">
        <f>IF(T317="AIR","NA",IF(T317="TRENCH","NA",IF(T317="DUCT",IF(U317="1C",VLOOKUP(V317,'Catalogue Aluminium'!$Q$9:$S$28,2,FALSE),VLOOKUP(V317,'Catalogue Aluminium'!$Q$9:$S$28,3)),IF(T317="GROUND",IF(U317="1C",VLOOKUP(V317,'Catalogue Aluminium'!$Q$9:$S$28,2,FALSE),VLOOKUP(V317,'Catalogue Aluminium'!$Q$9:$S$28,3))))))</f>
        <v>NA</v>
      </c>
      <c r="AN317" s="584">
        <f t="shared" si="2311"/>
        <v>0.58740000000000003</v>
      </c>
      <c r="AO317" s="583">
        <f t="shared" si="2312"/>
        <v>82.823400000000007</v>
      </c>
      <c r="AP317" s="585">
        <f t="shared" si="2313"/>
        <v>1</v>
      </c>
      <c r="AQ317" s="583" t="str">
        <f t="shared" si="2314"/>
        <v>YES</v>
      </c>
      <c r="AR317" s="584">
        <f t="shared" si="2315"/>
        <v>1.0798122486861237</v>
      </c>
      <c r="AS317" s="409" t="str">
        <f t="shared" si="2316"/>
        <v>YES</v>
      </c>
      <c r="AT317" s="584" t="str">
        <f t="shared" si="2317"/>
        <v>NA</v>
      </c>
      <c r="AU317" s="409" t="str">
        <f t="shared" si="2318"/>
        <v>NA</v>
      </c>
      <c r="AV317" s="586" t="str">
        <f t="shared" si="2319"/>
        <v>1R x 0.6/1kV x 3C x 50 Sqmm</v>
      </c>
      <c r="AW317" s="586" t="str">
        <f t="shared" si="2320"/>
        <v>1R x 0.6/1kV x 3C x 50 Sqmm</v>
      </c>
      <c r="AX317" s="409">
        <f t="shared" si="2321"/>
        <v>103</v>
      </c>
      <c r="AY317" s="866"/>
      <c r="AZ317" s="866">
        <f t="shared" si="2322"/>
        <v>2</v>
      </c>
      <c r="BA317" s="867" t="str">
        <f t="shared" si="2323"/>
        <v>ABB1</v>
      </c>
      <c r="BB317" s="868">
        <f>VLOOKUP(W317,'Catalogue Aluminium'!$B$9:$H$93,7,FALSE)</f>
        <v>26</v>
      </c>
      <c r="BC317" s="789">
        <f t="shared" si="2324"/>
        <v>26</v>
      </c>
      <c r="BE317" s="587"/>
      <c r="BF317" s="587">
        <v>1</v>
      </c>
      <c r="BG317" s="587">
        <v>1</v>
      </c>
      <c r="BH317" s="587">
        <v>1</v>
      </c>
      <c r="BI317" s="587"/>
      <c r="BJ317" s="587"/>
      <c r="BK317" s="587"/>
      <c r="BL317" s="587"/>
      <c r="BM317" s="587"/>
      <c r="BN317" s="587"/>
      <c r="BO317" s="587"/>
      <c r="BP317" s="587"/>
      <c r="BQ317" s="587"/>
      <c r="BR317" s="587"/>
      <c r="BS317" s="587"/>
      <c r="BT317" s="587"/>
      <c r="BU317" s="587"/>
      <c r="BV317" s="587"/>
      <c r="BW317" s="587"/>
      <c r="BX317" s="587"/>
      <c r="BY317" s="587"/>
      <c r="BZ317" s="587"/>
      <c r="CA317" s="587"/>
      <c r="CB317" s="587"/>
      <c r="CC317" s="587"/>
      <c r="CD317" s="587"/>
      <c r="CE317" s="587"/>
      <c r="CF317" s="587"/>
      <c r="CG317" s="587"/>
      <c r="CH317" s="587"/>
      <c r="CI317" s="587"/>
      <c r="CJ317" s="587"/>
      <c r="CK317" s="587"/>
      <c r="CL317" s="587"/>
      <c r="CM317" s="587"/>
      <c r="CN317" s="587"/>
      <c r="CO317" s="587"/>
      <c r="CP317" s="587"/>
      <c r="CQ317" s="587"/>
      <c r="CR317" s="587"/>
      <c r="CS317" s="587"/>
      <c r="CT317" s="587"/>
      <c r="CU317" s="587"/>
      <c r="CV317" s="587"/>
      <c r="CW317" s="587"/>
      <c r="CX317" s="587"/>
      <c r="CY317" s="587"/>
      <c r="CZ317" s="587"/>
      <c r="DA317" s="587"/>
      <c r="DB317" s="587"/>
      <c r="DC317" s="587"/>
      <c r="DD317" s="587"/>
      <c r="DE317" s="587"/>
      <c r="DF317" s="587"/>
      <c r="DG317" s="587"/>
      <c r="DH317" s="587"/>
      <c r="DI317" s="587"/>
      <c r="DJ317" s="587"/>
      <c r="DK317" s="587"/>
      <c r="DL317" s="587"/>
      <c r="DM317" s="587"/>
      <c r="DN317" s="587"/>
      <c r="DO317" s="587"/>
      <c r="DP317" s="587"/>
      <c r="DQ317" s="587"/>
      <c r="DR317" s="587"/>
      <c r="DS317" s="587"/>
      <c r="DT317" s="587"/>
      <c r="DU317" s="587"/>
      <c r="DW317" s="587">
        <f t="shared" si="2325"/>
        <v>0</v>
      </c>
      <c r="DX317" s="587">
        <f t="shared" si="2326"/>
        <v>26</v>
      </c>
      <c r="DY317" s="587">
        <f t="shared" si="2327"/>
        <v>26</v>
      </c>
      <c r="DZ317" s="587">
        <f t="shared" si="2328"/>
        <v>26</v>
      </c>
      <c r="EA317" s="587">
        <f t="shared" si="2329"/>
        <v>0</v>
      </c>
      <c r="EB317" s="587">
        <f t="shared" si="2330"/>
        <v>0</v>
      </c>
      <c r="EC317" s="587">
        <f t="shared" si="2331"/>
        <v>0</v>
      </c>
      <c r="ED317" s="587">
        <f t="shared" si="2332"/>
        <v>0</v>
      </c>
      <c r="EE317" s="587">
        <f t="shared" si="2333"/>
        <v>0</v>
      </c>
      <c r="EF317" s="587">
        <f t="shared" si="2334"/>
        <v>0</v>
      </c>
      <c r="EG317" s="587">
        <f t="shared" si="2335"/>
        <v>0</v>
      </c>
      <c r="EH317" s="587">
        <f t="shared" si="2336"/>
        <v>0</v>
      </c>
      <c r="EI317" s="587">
        <f t="shared" si="2337"/>
        <v>0</v>
      </c>
      <c r="EJ317" s="587">
        <f t="shared" si="2338"/>
        <v>0</v>
      </c>
      <c r="EK317" s="587">
        <f t="shared" si="2339"/>
        <v>0</v>
      </c>
      <c r="EL317" s="587">
        <f t="shared" si="2340"/>
        <v>0</v>
      </c>
      <c r="EM317" s="587">
        <f t="shared" si="2341"/>
        <v>0</v>
      </c>
      <c r="EN317" s="587">
        <f t="shared" si="2342"/>
        <v>0</v>
      </c>
      <c r="EO317" s="587">
        <f t="shared" si="2343"/>
        <v>0</v>
      </c>
      <c r="EP317" s="587">
        <f t="shared" si="2344"/>
        <v>0</v>
      </c>
      <c r="EQ317" s="587">
        <f t="shared" si="2345"/>
        <v>0</v>
      </c>
      <c r="ER317" s="587">
        <f t="shared" si="2346"/>
        <v>0</v>
      </c>
      <c r="ES317" s="587">
        <f t="shared" si="2347"/>
        <v>0</v>
      </c>
      <c r="ET317" s="587">
        <f t="shared" si="2348"/>
        <v>0</v>
      </c>
      <c r="EU317" s="587">
        <f t="shared" si="2349"/>
        <v>0</v>
      </c>
      <c r="EV317" s="587">
        <f t="shared" si="2350"/>
        <v>0</v>
      </c>
      <c r="EW317" s="587">
        <f t="shared" si="2351"/>
        <v>0</v>
      </c>
      <c r="EX317" s="587">
        <f t="shared" si="2352"/>
        <v>0</v>
      </c>
      <c r="EY317" s="587">
        <f t="shared" si="2353"/>
        <v>0</v>
      </c>
      <c r="EZ317" s="587">
        <f t="shared" si="2354"/>
        <v>0</v>
      </c>
      <c r="FA317" s="587">
        <f t="shared" si="2355"/>
        <v>0</v>
      </c>
      <c r="FB317" s="587">
        <f t="shared" si="2356"/>
        <v>0</v>
      </c>
      <c r="FC317" s="587">
        <f t="shared" si="2357"/>
        <v>0</v>
      </c>
      <c r="FD317" s="587">
        <f t="shared" si="2358"/>
        <v>0</v>
      </c>
      <c r="FE317" s="587">
        <f t="shared" si="2359"/>
        <v>0</v>
      </c>
      <c r="FF317" s="587">
        <f t="shared" si="2360"/>
        <v>0</v>
      </c>
      <c r="FG317" s="587">
        <f t="shared" si="2361"/>
        <v>0</v>
      </c>
      <c r="FH317" s="587">
        <f t="shared" si="2362"/>
        <v>0</v>
      </c>
      <c r="FI317" s="587">
        <f t="shared" si="2363"/>
        <v>0</v>
      </c>
      <c r="FJ317" s="587">
        <f t="shared" si="2364"/>
        <v>0</v>
      </c>
      <c r="FK317" s="587">
        <f t="shared" si="2365"/>
        <v>0</v>
      </c>
      <c r="FL317" s="587">
        <f t="shared" si="2366"/>
        <v>0</v>
      </c>
      <c r="FM317" s="587">
        <f t="shared" si="2367"/>
        <v>0</v>
      </c>
      <c r="FN317" s="587">
        <f t="shared" si="2368"/>
        <v>0</v>
      </c>
      <c r="FO317" s="587">
        <f t="shared" si="2369"/>
        <v>0</v>
      </c>
      <c r="FP317" s="587">
        <f t="shared" si="2370"/>
        <v>0</v>
      </c>
      <c r="FQ317" s="587">
        <f t="shared" si="2371"/>
        <v>0</v>
      </c>
      <c r="FR317" s="587">
        <f t="shared" si="2372"/>
        <v>0</v>
      </c>
      <c r="FS317" s="587">
        <f t="shared" si="2373"/>
        <v>0</v>
      </c>
      <c r="FT317" s="587">
        <f t="shared" si="2374"/>
        <v>0</v>
      </c>
      <c r="FU317" s="587">
        <f t="shared" si="2375"/>
        <v>0</v>
      </c>
      <c r="FV317" s="587">
        <f t="shared" si="2376"/>
        <v>0</v>
      </c>
      <c r="FW317" s="587">
        <f t="shared" si="2377"/>
        <v>0</v>
      </c>
      <c r="FX317" s="587">
        <f t="shared" si="2378"/>
        <v>0</v>
      </c>
      <c r="FY317" s="587">
        <f t="shared" si="2379"/>
        <v>0</v>
      </c>
      <c r="FZ317" s="587">
        <f t="shared" si="2380"/>
        <v>0</v>
      </c>
      <c r="GA317" s="587">
        <f t="shared" si="2381"/>
        <v>0</v>
      </c>
      <c r="GB317" s="587">
        <f t="shared" si="2382"/>
        <v>0</v>
      </c>
      <c r="GC317" s="587">
        <f t="shared" si="2383"/>
        <v>0</v>
      </c>
      <c r="GD317" s="587">
        <f t="shared" si="2384"/>
        <v>0</v>
      </c>
      <c r="GE317" s="587">
        <f t="shared" si="2385"/>
        <v>0</v>
      </c>
      <c r="GF317" s="587">
        <f t="shared" si="2386"/>
        <v>0</v>
      </c>
      <c r="GG317" s="587">
        <f t="shared" si="2387"/>
        <v>0</v>
      </c>
      <c r="GH317" s="587">
        <f t="shared" si="2388"/>
        <v>0</v>
      </c>
      <c r="GI317" s="587">
        <f t="shared" si="2389"/>
        <v>0</v>
      </c>
      <c r="GJ317" s="587">
        <f t="shared" si="2390"/>
        <v>0</v>
      </c>
      <c r="GK317" s="587">
        <f t="shared" si="2391"/>
        <v>0</v>
      </c>
      <c r="GL317" s="587">
        <f t="shared" si="2392"/>
        <v>0</v>
      </c>
      <c r="GM317" s="587">
        <f t="shared" si="2393"/>
        <v>0</v>
      </c>
    </row>
    <row r="318" spans="1:195" s="869" customFormat="1" ht="27" customHeight="1">
      <c r="A318" s="406">
        <f t="shared" si="2301"/>
        <v>207</v>
      </c>
      <c r="B318" s="409" t="s">
        <v>527</v>
      </c>
      <c r="C318" s="406" t="str">
        <f t="shared" si="2109"/>
        <v>PDB-1</v>
      </c>
      <c r="D318" s="901" t="s">
        <v>1709</v>
      </c>
      <c r="E318" s="580" t="s">
        <v>608</v>
      </c>
      <c r="F318" s="582" t="s">
        <v>29</v>
      </c>
      <c r="G318" s="406" t="s">
        <v>329</v>
      </c>
      <c r="H318" s="583">
        <v>3.5</v>
      </c>
      <c r="I318" s="406" t="s">
        <v>330</v>
      </c>
      <c r="J318" s="406" t="s">
        <v>357</v>
      </c>
      <c r="K318" s="585">
        <v>230</v>
      </c>
      <c r="L318" s="409">
        <v>0.85</v>
      </c>
      <c r="M318" s="583">
        <v>0.95</v>
      </c>
      <c r="N318" s="407">
        <f t="shared" si="2302"/>
        <v>18.845066630771303</v>
      </c>
      <c r="O318" s="407">
        <f t="shared" si="2303"/>
        <v>0</v>
      </c>
      <c r="P318" s="409" t="str">
        <f t="shared" si="2304"/>
        <v>0.00</v>
      </c>
      <c r="Q318" s="583">
        <v>50</v>
      </c>
      <c r="R318" s="583">
        <v>0</v>
      </c>
      <c r="S318" s="583">
        <f t="shared" si="2305"/>
        <v>0</v>
      </c>
      <c r="T318" s="409" t="s">
        <v>131</v>
      </c>
      <c r="U318" s="583" t="s">
        <v>333</v>
      </c>
      <c r="V318" s="409">
        <v>50</v>
      </c>
      <c r="W318" s="409" t="str">
        <f t="shared" si="2306"/>
        <v>3C X 50</v>
      </c>
      <c r="X318" s="409" t="str">
        <f t="shared" si="2307"/>
        <v>3C X 50</v>
      </c>
      <c r="Y318" s="409" t="s">
        <v>358</v>
      </c>
      <c r="Z318" s="408">
        <f>IF(T318="AIR",VLOOKUP(W318,'Catalogue Aluminium'!$B$9:$G$93,2,FALSE),IF(T318="GROUND",VLOOKUP(W318,'Catalogue Aluminium'!$B$9:$G$93,3,FALSE),IF(T318="DUCT",VLOOKUP(W318,'Catalogue Aluminium'!$B$9:$G$93,4,FALSE),IF(T318="TRENCH",VLOOKUP(W318,'Catalogue Aluminium'!$B$9:$G$93,2,FALSE)))))</f>
        <v>141</v>
      </c>
      <c r="AA318" s="410">
        <f>VLOOKUP(W318,'Catalogue Aluminium'!$B$9:$G$93,5,FALSE)</f>
        <v>0.82</v>
      </c>
      <c r="AB318" s="410">
        <f>VLOOKUP(W318,'Catalogue Aluminium'!$B$9:$G$93,6,FALSE)</f>
        <v>7.9200000000000007E-2</v>
      </c>
      <c r="AC318" s="896">
        <f t="shared" si="2149"/>
        <v>34</v>
      </c>
      <c r="AD318" s="406">
        <f t="shared" si="2308"/>
        <v>41</v>
      </c>
      <c r="AE318" s="896">
        <v>10</v>
      </c>
      <c r="AF318" s="409">
        <v>8</v>
      </c>
      <c r="AG318" s="409">
        <f t="shared" si="2309"/>
        <v>10</v>
      </c>
      <c r="AH318" s="865">
        <f t="shared" si="2310"/>
        <v>103</v>
      </c>
      <c r="AI318" s="408">
        <f>IF(T318="AIR",'Catalogue Aluminium'!$K$9,IF(T318="TRENCH",'Catalogue Aluminium'!$K$12,"NA"))</f>
        <v>0.89</v>
      </c>
      <c r="AJ318" s="407">
        <f>IF(T318="Air",(IF(U318="1C",'Catalogue Aluminium'!$L$9,'Catalogue Aluminium'!$M$9)),IF(T318="DUCT",(IF($U318="1C",'Catalogue Aluminium'!$L$10,'Catalogue Aluminium'!$M$10)),IF(T318="GROUND",(IF($U318="1C",'Catalogue Aluminium'!$L$11,'Catalogue Aluminium'!$M$11)),IF(T318="TRENCH",(IF($U318="1C",'Catalogue Aluminium'!$L$12,'Catalogue Aluminium'!$M$12))))))</f>
        <v>0.66</v>
      </c>
      <c r="AK318" s="408" t="str">
        <f>IF(T318="Air",'Catalogue Aluminium'!$N$9,IF(T318="GROUND",'Catalogue Aluminium'!$N$10,IF(T318="DUCT",'Catalogue Aluminium'!$N$11,IF(T318="TRENCH",'Catalogue Aluminium'!$N$12,"NA"))))</f>
        <v>NA</v>
      </c>
      <c r="AL318" s="408" t="str">
        <f>IF(T318="Air",(IF(U318="1C",'Catalogue Aluminium'!$O$9,'Catalogue Aluminium'!$P$9)),IF(T318="DUCT",(IF($U318="1C",'Catalogue Aluminium'!$O$10,'Catalogue Aluminium'!$P$10)),IF(T318="GROUND",(IF($U318="1C",'Catalogue Aluminium'!$O$11,'Catalogue Aluminium'!$P$11)),IF(T318="TRENCH",(IF($U318="1C",'Catalogue Aluminium'!$O$12,'Catalogue Aluminium'!$P$12))))))</f>
        <v>NA</v>
      </c>
      <c r="AM318" s="408" t="str">
        <f>IF(T318="AIR","NA",IF(T318="TRENCH","NA",IF(T318="DUCT",IF(U318="1C",VLOOKUP(V318,'Catalogue Aluminium'!$Q$9:$S$28,2,FALSE),VLOOKUP(V318,'Catalogue Aluminium'!$Q$9:$S$28,3)),IF(T318="GROUND",IF(U318="1C",VLOOKUP(V318,'Catalogue Aluminium'!$Q$9:$S$28,2,FALSE),VLOOKUP(V318,'Catalogue Aluminium'!$Q$9:$S$28,3))))))</f>
        <v>NA</v>
      </c>
      <c r="AN318" s="584">
        <f t="shared" si="2311"/>
        <v>0.58740000000000003</v>
      </c>
      <c r="AO318" s="583">
        <f t="shared" si="2312"/>
        <v>82.823400000000007</v>
      </c>
      <c r="AP318" s="585">
        <f t="shared" si="2313"/>
        <v>1</v>
      </c>
      <c r="AQ318" s="583" t="str">
        <f t="shared" si="2314"/>
        <v>YES</v>
      </c>
      <c r="AR318" s="584">
        <f t="shared" si="2315"/>
        <v>1.0798122486861237</v>
      </c>
      <c r="AS318" s="409" t="str">
        <f t="shared" si="2316"/>
        <v>YES</v>
      </c>
      <c r="AT318" s="584" t="str">
        <f t="shared" si="2317"/>
        <v>NA</v>
      </c>
      <c r="AU318" s="409" t="str">
        <f t="shared" si="2318"/>
        <v>NA</v>
      </c>
      <c r="AV318" s="586" t="str">
        <f t="shared" si="2319"/>
        <v>1R x 0.6/1kV x 3C x 50 Sqmm</v>
      </c>
      <c r="AW318" s="586" t="str">
        <f t="shared" si="2320"/>
        <v>1R x 0.6/1kV x 3C x 50 Sqmm</v>
      </c>
      <c r="AX318" s="409">
        <f t="shared" si="2321"/>
        <v>103</v>
      </c>
      <c r="AY318" s="866"/>
      <c r="AZ318" s="866">
        <f t="shared" si="2322"/>
        <v>2</v>
      </c>
      <c r="BA318" s="867" t="str">
        <f t="shared" si="2323"/>
        <v>ABB1</v>
      </c>
      <c r="BB318" s="868">
        <f>VLOOKUP(W318,'Catalogue Aluminium'!$B$9:$H$93,7,FALSE)</f>
        <v>26</v>
      </c>
      <c r="BC318" s="789">
        <f t="shared" si="2324"/>
        <v>26</v>
      </c>
      <c r="BE318" s="587"/>
      <c r="BF318" s="587">
        <v>1</v>
      </c>
      <c r="BG318" s="587">
        <v>1</v>
      </c>
      <c r="BH318" s="587">
        <v>1</v>
      </c>
      <c r="BI318" s="587"/>
      <c r="BJ318" s="587"/>
      <c r="BK318" s="587"/>
      <c r="BL318" s="587"/>
      <c r="BM318" s="587"/>
      <c r="BN318" s="587"/>
      <c r="BO318" s="587"/>
      <c r="BP318" s="587"/>
      <c r="BQ318" s="587"/>
      <c r="BR318" s="587"/>
      <c r="BS318" s="587"/>
      <c r="BT318" s="587"/>
      <c r="BU318" s="587"/>
      <c r="BV318" s="587"/>
      <c r="BW318" s="587"/>
      <c r="BX318" s="587"/>
      <c r="BY318" s="587"/>
      <c r="BZ318" s="587"/>
      <c r="CA318" s="587"/>
      <c r="CB318" s="587"/>
      <c r="CC318" s="587"/>
      <c r="CD318" s="587"/>
      <c r="CE318" s="587"/>
      <c r="CF318" s="587"/>
      <c r="CG318" s="587"/>
      <c r="CH318" s="587"/>
      <c r="CI318" s="587"/>
      <c r="CJ318" s="587"/>
      <c r="CK318" s="587"/>
      <c r="CL318" s="587"/>
      <c r="CM318" s="587"/>
      <c r="CN318" s="587"/>
      <c r="CO318" s="587"/>
      <c r="CP318" s="587"/>
      <c r="CQ318" s="587"/>
      <c r="CR318" s="587"/>
      <c r="CS318" s="587"/>
      <c r="CT318" s="587"/>
      <c r="CU318" s="587"/>
      <c r="CV318" s="587"/>
      <c r="CW318" s="587"/>
      <c r="CX318" s="587"/>
      <c r="CY318" s="587"/>
      <c r="CZ318" s="587"/>
      <c r="DA318" s="587"/>
      <c r="DB318" s="587"/>
      <c r="DC318" s="587"/>
      <c r="DD318" s="587"/>
      <c r="DE318" s="587"/>
      <c r="DF318" s="587"/>
      <c r="DG318" s="587"/>
      <c r="DH318" s="587"/>
      <c r="DI318" s="587"/>
      <c r="DJ318" s="587"/>
      <c r="DK318" s="587"/>
      <c r="DL318" s="587"/>
      <c r="DM318" s="587"/>
      <c r="DN318" s="587"/>
      <c r="DO318" s="587"/>
      <c r="DP318" s="587"/>
      <c r="DQ318" s="587"/>
      <c r="DR318" s="587"/>
      <c r="DS318" s="587"/>
      <c r="DT318" s="587"/>
      <c r="DU318" s="587"/>
      <c r="DW318" s="587">
        <f t="shared" si="2325"/>
        <v>0</v>
      </c>
      <c r="DX318" s="587">
        <f t="shared" si="2326"/>
        <v>26</v>
      </c>
      <c r="DY318" s="587">
        <f t="shared" si="2327"/>
        <v>26</v>
      </c>
      <c r="DZ318" s="587">
        <f t="shared" si="2328"/>
        <v>26</v>
      </c>
      <c r="EA318" s="587">
        <f t="shared" si="2329"/>
        <v>0</v>
      </c>
      <c r="EB318" s="587">
        <f t="shared" si="2330"/>
        <v>0</v>
      </c>
      <c r="EC318" s="587">
        <f t="shared" si="2331"/>
        <v>0</v>
      </c>
      <c r="ED318" s="587">
        <f t="shared" si="2332"/>
        <v>0</v>
      </c>
      <c r="EE318" s="587">
        <f t="shared" si="2333"/>
        <v>0</v>
      </c>
      <c r="EF318" s="587">
        <f t="shared" si="2334"/>
        <v>0</v>
      </c>
      <c r="EG318" s="587">
        <f t="shared" si="2335"/>
        <v>0</v>
      </c>
      <c r="EH318" s="587">
        <f t="shared" si="2336"/>
        <v>0</v>
      </c>
      <c r="EI318" s="587">
        <f t="shared" si="2337"/>
        <v>0</v>
      </c>
      <c r="EJ318" s="587">
        <f t="shared" si="2338"/>
        <v>0</v>
      </c>
      <c r="EK318" s="587">
        <f t="shared" si="2339"/>
        <v>0</v>
      </c>
      <c r="EL318" s="587">
        <f t="shared" si="2340"/>
        <v>0</v>
      </c>
      <c r="EM318" s="587">
        <f t="shared" si="2341"/>
        <v>0</v>
      </c>
      <c r="EN318" s="587">
        <f t="shared" si="2342"/>
        <v>0</v>
      </c>
      <c r="EO318" s="587">
        <f t="shared" si="2343"/>
        <v>0</v>
      </c>
      <c r="EP318" s="587">
        <f t="shared" si="2344"/>
        <v>0</v>
      </c>
      <c r="EQ318" s="587">
        <f t="shared" si="2345"/>
        <v>0</v>
      </c>
      <c r="ER318" s="587">
        <f t="shared" si="2346"/>
        <v>0</v>
      </c>
      <c r="ES318" s="587">
        <f t="shared" si="2347"/>
        <v>0</v>
      </c>
      <c r="ET318" s="587">
        <f t="shared" si="2348"/>
        <v>0</v>
      </c>
      <c r="EU318" s="587">
        <f t="shared" si="2349"/>
        <v>0</v>
      </c>
      <c r="EV318" s="587">
        <f t="shared" si="2350"/>
        <v>0</v>
      </c>
      <c r="EW318" s="587">
        <f t="shared" si="2351"/>
        <v>0</v>
      </c>
      <c r="EX318" s="587">
        <f t="shared" si="2352"/>
        <v>0</v>
      </c>
      <c r="EY318" s="587">
        <f t="shared" si="2353"/>
        <v>0</v>
      </c>
      <c r="EZ318" s="587">
        <f t="shared" si="2354"/>
        <v>0</v>
      </c>
      <c r="FA318" s="587">
        <f t="shared" si="2355"/>
        <v>0</v>
      </c>
      <c r="FB318" s="587">
        <f t="shared" si="2356"/>
        <v>0</v>
      </c>
      <c r="FC318" s="587">
        <f t="shared" si="2357"/>
        <v>0</v>
      </c>
      <c r="FD318" s="587">
        <f t="shared" si="2358"/>
        <v>0</v>
      </c>
      <c r="FE318" s="587">
        <f t="shared" si="2359"/>
        <v>0</v>
      </c>
      <c r="FF318" s="587">
        <f t="shared" si="2360"/>
        <v>0</v>
      </c>
      <c r="FG318" s="587">
        <f t="shared" si="2361"/>
        <v>0</v>
      </c>
      <c r="FH318" s="587">
        <f t="shared" si="2362"/>
        <v>0</v>
      </c>
      <c r="FI318" s="587">
        <f t="shared" si="2363"/>
        <v>0</v>
      </c>
      <c r="FJ318" s="587">
        <f t="shared" si="2364"/>
        <v>0</v>
      </c>
      <c r="FK318" s="587">
        <f t="shared" si="2365"/>
        <v>0</v>
      </c>
      <c r="FL318" s="587">
        <f t="shared" si="2366"/>
        <v>0</v>
      </c>
      <c r="FM318" s="587">
        <f t="shared" si="2367"/>
        <v>0</v>
      </c>
      <c r="FN318" s="587">
        <f t="shared" si="2368"/>
        <v>0</v>
      </c>
      <c r="FO318" s="587">
        <f t="shared" si="2369"/>
        <v>0</v>
      </c>
      <c r="FP318" s="587">
        <f t="shared" si="2370"/>
        <v>0</v>
      </c>
      <c r="FQ318" s="587">
        <f t="shared" si="2371"/>
        <v>0</v>
      </c>
      <c r="FR318" s="587">
        <f t="shared" si="2372"/>
        <v>0</v>
      </c>
      <c r="FS318" s="587">
        <f t="shared" si="2373"/>
        <v>0</v>
      </c>
      <c r="FT318" s="587">
        <f t="shared" si="2374"/>
        <v>0</v>
      </c>
      <c r="FU318" s="587">
        <f t="shared" si="2375"/>
        <v>0</v>
      </c>
      <c r="FV318" s="587">
        <f t="shared" si="2376"/>
        <v>0</v>
      </c>
      <c r="FW318" s="587">
        <f t="shared" si="2377"/>
        <v>0</v>
      </c>
      <c r="FX318" s="587">
        <f t="shared" si="2378"/>
        <v>0</v>
      </c>
      <c r="FY318" s="587">
        <f t="shared" si="2379"/>
        <v>0</v>
      </c>
      <c r="FZ318" s="587">
        <f t="shared" si="2380"/>
        <v>0</v>
      </c>
      <c r="GA318" s="587">
        <f t="shared" si="2381"/>
        <v>0</v>
      </c>
      <c r="GB318" s="587">
        <f t="shared" si="2382"/>
        <v>0</v>
      </c>
      <c r="GC318" s="587">
        <f t="shared" si="2383"/>
        <v>0</v>
      </c>
      <c r="GD318" s="587">
        <f t="shared" si="2384"/>
        <v>0</v>
      </c>
      <c r="GE318" s="587">
        <f t="shared" si="2385"/>
        <v>0</v>
      </c>
      <c r="GF318" s="587">
        <f t="shared" si="2386"/>
        <v>0</v>
      </c>
      <c r="GG318" s="587">
        <f t="shared" si="2387"/>
        <v>0</v>
      </c>
      <c r="GH318" s="587">
        <f t="shared" si="2388"/>
        <v>0</v>
      </c>
      <c r="GI318" s="587">
        <f t="shared" si="2389"/>
        <v>0</v>
      </c>
      <c r="GJ318" s="587">
        <f t="shared" si="2390"/>
        <v>0</v>
      </c>
      <c r="GK318" s="587">
        <f t="shared" si="2391"/>
        <v>0</v>
      </c>
      <c r="GL318" s="587">
        <f t="shared" si="2392"/>
        <v>0</v>
      </c>
      <c r="GM318" s="587">
        <f t="shared" si="2393"/>
        <v>0</v>
      </c>
    </row>
    <row r="319" spans="1:195" s="869" customFormat="1" ht="27" customHeight="1">
      <c r="A319" s="406">
        <f t="shared" si="2301"/>
        <v>208</v>
      </c>
      <c r="B319" s="409" t="s">
        <v>527</v>
      </c>
      <c r="C319" s="406" t="str">
        <f t="shared" si="2109"/>
        <v>PDB-1</v>
      </c>
      <c r="D319" s="901" t="s">
        <v>1710</v>
      </c>
      <c r="E319" s="580" t="s">
        <v>608</v>
      </c>
      <c r="F319" s="582" t="s">
        <v>29</v>
      </c>
      <c r="G319" s="406" t="s">
        <v>329</v>
      </c>
      <c r="H319" s="583">
        <v>3.5</v>
      </c>
      <c r="I319" s="406" t="s">
        <v>330</v>
      </c>
      <c r="J319" s="406" t="s">
        <v>357</v>
      </c>
      <c r="K319" s="585">
        <v>230</v>
      </c>
      <c r="L319" s="409">
        <v>0.85</v>
      </c>
      <c r="M319" s="583">
        <v>0.95</v>
      </c>
      <c r="N319" s="407">
        <f t="shared" si="2302"/>
        <v>18.845066630771303</v>
      </c>
      <c r="O319" s="407">
        <f t="shared" si="2303"/>
        <v>0</v>
      </c>
      <c r="P319" s="409" t="str">
        <f t="shared" si="2304"/>
        <v>0.00</v>
      </c>
      <c r="Q319" s="583">
        <v>50</v>
      </c>
      <c r="R319" s="583">
        <v>0</v>
      </c>
      <c r="S319" s="583">
        <f t="shared" si="2305"/>
        <v>0</v>
      </c>
      <c r="T319" s="409" t="s">
        <v>131</v>
      </c>
      <c r="U319" s="583" t="s">
        <v>333</v>
      </c>
      <c r="V319" s="409">
        <v>50</v>
      </c>
      <c r="W319" s="409" t="str">
        <f t="shared" si="2306"/>
        <v>3C X 50</v>
      </c>
      <c r="X319" s="409" t="str">
        <f t="shared" si="2307"/>
        <v>3C X 50</v>
      </c>
      <c r="Y319" s="409" t="s">
        <v>358</v>
      </c>
      <c r="Z319" s="408">
        <f>IF(T319="AIR",VLOOKUP(W319,'Catalogue Aluminium'!$B$9:$G$93,2,FALSE),IF(T319="GROUND",VLOOKUP(W319,'Catalogue Aluminium'!$B$9:$G$93,3,FALSE),IF(T319="DUCT",VLOOKUP(W319,'Catalogue Aluminium'!$B$9:$G$93,4,FALSE),IF(T319="TRENCH",VLOOKUP(W319,'Catalogue Aluminium'!$B$9:$G$93,2,FALSE)))))</f>
        <v>141</v>
      </c>
      <c r="AA319" s="410">
        <f>VLOOKUP(W319,'Catalogue Aluminium'!$B$9:$G$93,5,FALSE)</f>
        <v>0.82</v>
      </c>
      <c r="AB319" s="410">
        <f>VLOOKUP(W319,'Catalogue Aluminium'!$B$9:$G$93,6,FALSE)</f>
        <v>7.9200000000000007E-2</v>
      </c>
      <c r="AC319" s="896">
        <f t="shared" si="2149"/>
        <v>34</v>
      </c>
      <c r="AD319" s="406">
        <f t="shared" si="2308"/>
        <v>41</v>
      </c>
      <c r="AE319" s="896">
        <v>10</v>
      </c>
      <c r="AF319" s="409">
        <v>8</v>
      </c>
      <c r="AG319" s="409">
        <f t="shared" si="2309"/>
        <v>10</v>
      </c>
      <c r="AH319" s="865">
        <f t="shared" si="2310"/>
        <v>103</v>
      </c>
      <c r="AI319" s="408">
        <f>IF(T319="AIR",'Catalogue Aluminium'!$K$9,IF(T319="TRENCH",'Catalogue Aluminium'!$K$12,"NA"))</f>
        <v>0.89</v>
      </c>
      <c r="AJ319" s="407">
        <f>IF(T319="Air",(IF(U319="1C",'Catalogue Aluminium'!$L$9,'Catalogue Aluminium'!$M$9)),IF(T319="DUCT",(IF($U319="1C",'Catalogue Aluminium'!$L$10,'Catalogue Aluminium'!$M$10)),IF(T319="GROUND",(IF($U319="1C",'Catalogue Aluminium'!$L$11,'Catalogue Aluminium'!$M$11)),IF(T319="TRENCH",(IF($U319="1C",'Catalogue Aluminium'!$L$12,'Catalogue Aluminium'!$M$12))))))</f>
        <v>0.66</v>
      </c>
      <c r="AK319" s="408" t="str">
        <f>IF(T319="Air",'Catalogue Aluminium'!$N$9,IF(T319="GROUND",'Catalogue Aluminium'!$N$10,IF(T319="DUCT",'Catalogue Aluminium'!$N$11,IF(T319="TRENCH",'Catalogue Aluminium'!$N$12,"NA"))))</f>
        <v>NA</v>
      </c>
      <c r="AL319" s="408" t="str">
        <f>IF(T319="Air",(IF(U319="1C",'Catalogue Aluminium'!$O$9,'Catalogue Aluminium'!$P$9)),IF(T319="DUCT",(IF($U319="1C",'Catalogue Aluminium'!$O$10,'Catalogue Aluminium'!$P$10)),IF(T319="GROUND",(IF($U319="1C",'Catalogue Aluminium'!$O$11,'Catalogue Aluminium'!$P$11)),IF(T319="TRENCH",(IF($U319="1C",'Catalogue Aluminium'!$O$12,'Catalogue Aluminium'!$P$12))))))</f>
        <v>NA</v>
      </c>
      <c r="AM319" s="408" t="str">
        <f>IF(T319="AIR","NA",IF(T319="TRENCH","NA",IF(T319="DUCT",IF(U319="1C",VLOOKUP(V319,'Catalogue Aluminium'!$Q$9:$S$28,2,FALSE),VLOOKUP(V319,'Catalogue Aluminium'!$Q$9:$S$28,3)),IF(T319="GROUND",IF(U319="1C",VLOOKUP(V319,'Catalogue Aluminium'!$Q$9:$S$28,2,FALSE),VLOOKUP(V319,'Catalogue Aluminium'!$Q$9:$S$28,3))))))</f>
        <v>NA</v>
      </c>
      <c r="AN319" s="584">
        <f t="shared" si="2311"/>
        <v>0.58740000000000003</v>
      </c>
      <c r="AO319" s="583">
        <f t="shared" si="2312"/>
        <v>82.823400000000007</v>
      </c>
      <c r="AP319" s="585">
        <f t="shared" si="2313"/>
        <v>1</v>
      </c>
      <c r="AQ319" s="583" t="str">
        <f t="shared" si="2314"/>
        <v>YES</v>
      </c>
      <c r="AR319" s="584">
        <f t="shared" si="2315"/>
        <v>1.0798122486861237</v>
      </c>
      <c r="AS319" s="409" t="str">
        <f t="shared" si="2316"/>
        <v>YES</v>
      </c>
      <c r="AT319" s="584" t="str">
        <f t="shared" si="2317"/>
        <v>NA</v>
      </c>
      <c r="AU319" s="409" t="str">
        <f t="shared" si="2318"/>
        <v>NA</v>
      </c>
      <c r="AV319" s="586" t="str">
        <f t="shared" si="2319"/>
        <v>1R x 0.6/1kV x 3C x 50 Sqmm</v>
      </c>
      <c r="AW319" s="586" t="str">
        <f t="shared" si="2320"/>
        <v>1R x 0.6/1kV x 3C x 50 Sqmm</v>
      </c>
      <c r="AX319" s="409">
        <f t="shared" si="2321"/>
        <v>103</v>
      </c>
      <c r="AY319" s="866"/>
      <c r="AZ319" s="866">
        <f t="shared" si="2322"/>
        <v>2</v>
      </c>
      <c r="BA319" s="867" t="str">
        <f t="shared" si="2323"/>
        <v>ABB1</v>
      </c>
      <c r="BB319" s="868">
        <f>VLOOKUP(W319,'Catalogue Aluminium'!$B$9:$H$93,7,FALSE)</f>
        <v>26</v>
      </c>
      <c r="BC319" s="789">
        <f t="shared" si="2324"/>
        <v>26</v>
      </c>
      <c r="BE319" s="587"/>
      <c r="BF319" s="587">
        <v>1</v>
      </c>
      <c r="BG319" s="587">
        <v>1</v>
      </c>
      <c r="BH319" s="587">
        <v>1</v>
      </c>
      <c r="BI319" s="587"/>
      <c r="BJ319" s="587"/>
      <c r="BK319" s="587"/>
      <c r="BL319" s="587"/>
      <c r="BM319" s="587"/>
      <c r="BN319" s="587"/>
      <c r="BO319" s="587"/>
      <c r="BP319" s="587"/>
      <c r="BQ319" s="587"/>
      <c r="BR319" s="587"/>
      <c r="BS319" s="587"/>
      <c r="BT319" s="587"/>
      <c r="BU319" s="587"/>
      <c r="BV319" s="587"/>
      <c r="BW319" s="587"/>
      <c r="BX319" s="587"/>
      <c r="BY319" s="587"/>
      <c r="BZ319" s="587"/>
      <c r="CA319" s="587"/>
      <c r="CB319" s="587"/>
      <c r="CC319" s="587"/>
      <c r="CD319" s="587"/>
      <c r="CE319" s="587"/>
      <c r="CF319" s="587"/>
      <c r="CG319" s="587"/>
      <c r="CH319" s="587"/>
      <c r="CI319" s="587"/>
      <c r="CJ319" s="587"/>
      <c r="CK319" s="587"/>
      <c r="CL319" s="587"/>
      <c r="CM319" s="587"/>
      <c r="CN319" s="587"/>
      <c r="CO319" s="587"/>
      <c r="CP319" s="587"/>
      <c r="CQ319" s="587"/>
      <c r="CR319" s="587"/>
      <c r="CS319" s="587"/>
      <c r="CT319" s="587"/>
      <c r="CU319" s="587"/>
      <c r="CV319" s="587"/>
      <c r="CW319" s="587"/>
      <c r="CX319" s="587"/>
      <c r="CY319" s="587"/>
      <c r="CZ319" s="587"/>
      <c r="DA319" s="587"/>
      <c r="DB319" s="587"/>
      <c r="DC319" s="587"/>
      <c r="DD319" s="587"/>
      <c r="DE319" s="587"/>
      <c r="DF319" s="587"/>
      <c r="DG319" s="587"/>
      <c r="DH319" s="587"/>
      <c r="DI319" s="587"/>
      <c r="DJ319" s="587"/>
      <c r="DK319" s="587"/>
      <c r="DL319" s="587"/>
      <c r="DM319" s="587"/>
      <c r="DN319" s="587"/>
      <c r="DO319" s="587"/>
      <c r="DP319" s="587"/>
      <c r="DQ319" s="587"/>
      <c r="DR319" s="587"/>
      <c r="DS319" s="587"/>
      <c r="DT319" s="587"/>
      <c r="DU319" s="587"/>
      <c r="DW319" s="587">
        <f t="shared" si="2325"/>
        <v>0</v>
      </c>
      <c r="DX319" s="587">
        <f t="shared" si="2326"/>
        <v>26</v>
      </c>
      <c r="DY319" s="587">
        <f t="shared" si="2327"/>
        <v>26</v>
      </c>
      <c r="DZ319" s="587">
        <f t="shared" si="2328"/>
        <v>26</v>
      </c>
      <c r="EA319" s="587">
        <f t="shared" si="2329"/>
        <v>0</v>
      </c>
      <c r="EB319" s="587">
        <f t="shared" si="2330"/>
        <v>0</v>
      </c>
      <c r="EC319" s="587">
        <f t="shared" si="2331"/>
        <v>0</v>
      </c>
      <c r="ED319" s="587">
        <f t="shared" si="2332"/>
        <v>0</v>
      </c>
      <c r="EE319" s="587">
        <f t="shared" si="2333"/>
        <v>0</v>
      </c>
      <c r="EF319" s="587">
        <f t="shared" si="2334"/>
        <v>0</v>
      </c>
      <c r="EG319" s="587">
        <f t="shared" si="2335"/>
        <v>0</v>
      </c>
      <c r="EH319" s="587">
        <f t="shared" si="2336"/>
        <v>0</v>
      </c>
      <c r="EI319" s="587">
        <f t="shared" si="2337"/>
        <v>0</v>
      </c>
      <c r="EJ319" s="587">
        <f t="shared" si="2338"/>
        <v>0</v>
      </c>
      <c r="EK319" s="587">
        <f t="shared" si="2339"/>
        <v>0</v>
      </c>
      <c r="EL319" s="587">
        <f t="shared" si="2340"/>
        <v>0</v>
      </c>
      <c r="EM319" s="587">
        <f t="shared" si="2341"/>
        <v>0</v>
      </c>
      <c r="EN319" s="587">
        <f t="shared" si="2342"/>
        <v>0</v>
      </c>
      <c r="EO319" s="587">
        <f t="shared" si="2343"/>
        <v>0</v>
      </c>
      <c r="EP319" s="587">
        <f t="shared" si="2344"/>
        <v>0</v>
      </c>
      <c r="EQ319" s="587">
        <f t="shared" si="2345"/>
        <v>0</v>
      </c>
      <c r="ER319" s="587">
        <f t="shared" si="2346"/>
        <v>0</v>
      </c>
      <c r="ES319" s="587">
        <f t="shared" si="2347"/>
        <v>0</v>
      </c>
      <c r="ET319" s="587">
        <f t="shared" si="2348"/>
        <v>0</v>
      </c>
      <c r="EU319" s="587">
        <f t="shared" si="2349"/>
        <v>0</v>
      </c>
      <c r="EV319" s="587">
        <f t="shared" si="2350"/>
        <v>0</v>
      </c>
      <c r="EW319" s="587">
        <f t="shared" si="2351"/>
        <v>0</v>
      </c>
      <c r="EX319" s="587">
        <f t="shared" si="2352"/>
        <v>0</v>
      </c>
      <c r="EY319" s="587">
        <f t="shared" si="2353"/>
        <v>0</v>
      </c>
      <c r="EZ319" s="587">
        <f t="shared" si="2354"/>
        <v>0</v>
      </c>
      <c r="FA319" s="587">
        <f t="shared" si="2355"/>
        <v>0</v>
      </c>
      <c r="FB319" s="587">
        <f t="shared" si="2356"/>
        <v>0</v>
      </c>
      <c r="FC319" s="587">
        <f t="shared" si="2357"/>
        <v>0</v>
      </c>
      <c r="FD319" s="587">
        <f t="shared" si="2358"/>
        <v>0</v>
      </c>
      <c r="FE319" s="587">
        <f t="shared" si="2359"/>
        <v>0</v>
      </c>
      <c r="FF319" s="587">
        <f t="shared" si="2360"/>
        <v>0</v>
      </c>
      <c r="FG319" s="587">
        <f t="shared" si="2361"/>
        <v>0</v>
      </c>
      <c r="FH319" s="587">
        <f t="shared" si="2362"/>
        <v>0</v>
      </c>
      <c r="FI319" s="587">
        <f t="shared" si="2363"/>
        <v>0</v>
      </c>
      <c r="FJ319" s="587">
        <f t="shared" si="2364"/>
        <v>0</v>
      </c>
      <c r="FK319" s="587">
        <f t="shared" si="2365"/>
        <v>0</v>
      </c>
      <c r="FL319" s="587">
        <f t="shared" si="2366"/>
        <v>0</v>
      </c>
      <c r="FM319" s="587">
        <f t="shared" si="2367"/>
        <v>0</v>
      </c>
      <c r="FN319" s="587">
        <f t="shared" si="2368"/>
        <v>0</v>
      </c>
      <c r="FO319" s="587">
        <f t="shared" si="2369"/>
        <v>0</v>
      </c>
      <c r="FP319" s="587">
        <f t="shared" si="2370"/>
        <v>0</v>
      </c>
      <c r="FQ319" s="587">
        <f t="shared" si="2371"/>
        <v>0</v>
      </c>
      <c r="FR319" s="587">
        <f t="shared" si="2372"/>
        <v>0</v>
      </c>
      <c r="FS319" s="587">
        <f t="shared" si="2373"/>
        <v>0</v>
      </c>
      <c r="FT319" s="587">
        <f t="shared" si="2374"/>
        <v>0</v>
      </c>
      <c r="FU319" s="587">
        <f t="shared" si="2375"/>
        <v>0</v>
      </c>
      <c r="FV319" s="587">
        <f t="shared" si="2376"/>
        <v>0</v>
      </c>
      <c r="FW319" s="587">
        <f t="shared" si="2377"/>
        <v>0</v>
      </c>
      <c r="FX319" s="587">
        <f t="shared" si="2378"/>
        <v>0</v>
      </c>
      <c r="FY319" s="587">
        <f t="shared" si="2379"/>
        <v>0</v>
      </c>
      <c r="FZ319" s="587">
        <f t="shared" si="2380"/>
        <v>0</v>
      </c>
      <c r="GA319" s="587">
        <f t="shared" si="2381"/>
        <v>0</v>
      </c>
      <c r="GB319" s="587">
        <f t="shared" si="2382"/>
        <v>0</v>
      </c>
      <c r="GC319" s="587">
        <f t="shared" si="2383"/>
        <v>0</v>
      </c>
      <c r="GD319" s="587">
        <f t="shared" si="2384"/>
        <v>0</v>
      </c>
      <c r="GE319" s="587">
        <f t="shared" si="2385"/>
        <v>0</v>
      </c>
      <c r="GF319" s="587">
        <f t="shared" si="2386"/>
        <v>0</v>
      </c>
      <c r="GG319" s="587">
        <f t="shared" si="2387"/>
        <v>0</v>
      </c>
      <c r="GH319" s="587">
        <f t="shared" si="2388"/>
        <v>0</v>
      </c>
      <c r="GI319" s="587">
        <f t="shared" si="2389"/>
        <v>0</v>
      </c>
      <c r="GJ319" s="587">
        <f t="shared" si="2390"/>
        <v>0</v>
      </c>
      <c r="GK319" s="587">
        <f t="shared" si="2391"/>
        <v>0</v>
      </c>
      <c r="GL319" s="587">
        <f t="shared" si="2392"/>
        <v>0</v>
      </c>
      <c r="GM319" s="587">
        <f t="shared" si="2393"/>
        <v>0</v>
      </c>
    </row>
    <row r="320" spans="1:195" s="869" customFormat="1" ht="27" customHeight="1">
      <c r="A320" s="406">
        <f t="shared" si="2301"/>
        <v>209</v>
      </c>
      <c r="B320" s="409" t="s">
        <v>527</v>
      </c>
      <c r="C320" s="406" t="str">
        <f t="shared" si="2109"/>
        <v>PDB-1</v>
      </c>
      <c r="D320" s="901" t="s">
        <v>1711</v>
      </c>
      <c r="E320" s="580" t="s">
        <v>608</v>
      </c>
      <c r="F320" s="582" t="s">
        <v>29</v>
      </c>
      <c r="G320" s="406" t="s">
        <v>329</v>
      </c>
      <c r="H320" s="583">
        <v>3.5</v>
      </c>
      <c r="I320" s="406" t="s">
        <v>330</v>
      </c>
      <c r="J320" s="406" t="s">
        <v>357</v>
      </c>
      <c r="K320" s="585">
        <v>230</v>
      </c>
      <c r="L320" s="409">
        <v>0.85</v>
      </c>
      <c r="M320" s="583">
        <v>0.95</v>
      </c>
      <c r="N320" s="407">
        <f t="shared" si="2302"/>
        <v>18.845066630771303</v>
      </c>
      <c r="O320" s="407">
        <f t="shared" si="2303"/>
        <v>0</v>
      </c>
      <c r="P320" s="409" t="str">
        <f t="shared" si="2304"/>
        <v>0.00</v>
      </c>
      <c r="Q320" s="583">
        <v>50</v>
      </c>
      <c r="R320" s="583">
        <v>0</v>
      </c>
      <c r="S320" s="583">
        <f t="shared" si="2305"/>
        <v>0</v>
      </c>
      <c r="T320" s="409" t="s">
        <v>131</v>
      </c>
      <c r="U320" s="583" t="s">
        <v>333</v>
      </c>
      <c r="V320" s="409">
        <v>50</v>
      </c>
      <c r="W320" s="409" t="str">
        <f t="shared" si="2306"/>
        <v>3C X 50</v>
      </c>
      <c r="X320" s="409" t="str">
        <f t="shared" si="2307"/>
        <v>3C X 50</v>
      </c>
      <c r="Y320" s="409" t="s">
        <v>358</v>
      </c>
      <c r="Z320" s="408">
        <f>IF(T320="AIR",VLOOKUP(W320,'Catalogue Aluminium'!$B$9:$G$93,2,FALSE),IF(T320="GROUND",VLOOKUP(W320,'Catalogue Aluminium'!$B$9:$G$93,3,FALSE),IF(T320="DUCT",VLOOKUP(W320,'Catalogue Aluminium'!$B$9:$G$93,4,FALSE),IF(T320="TRENCH",VLOOKUP(W320,'Catalogue Aluminium'!$B$9:$G$93,2,FALSE)))))</f>
        <v>141</v>
      </c>
      <c r="AA320" s="410">
        <f>VLOOKUP(W320,'Catalogue Aluminium'!$B$9:$G$93,5,FALSE)</f>
        <v>0.82</v>
      </c>
      <c r="AB320" s="410">
        <f>VLOOKUP(W320,'Catalogue Aluminium'!$B$9:$G$93,6,FALSE)</f>
        <v>7.9200000000000007E-2</v>
      </c>
      <c r="AC320" s="896">
        <f t="shared" si="2149"/>
        <v>34</v>
      </c>
      <c r="AD320" s="406">
        <f t="shared" si="2308"/>
        <v>41</v>
      </c>
      <c r="AE320" s="896">
        <v>10</v>
      </c>
      <c r="AF320" s="409">
        <v>8</v>
      </c>
      <c r="AG320" s="409">
        <f t="shared" si="2309"/>
        <v>10</v>
      </c>
      <c r="AH320" s="865">
        <f t="shared" si="2310"/>
        <v>103</v>
      </c>
      <c r="AI320" s="408">
        <f>IF(T320="AIR",'Catalogue Aluminium'!$K$9,IF(T320="TRENCH",'Catalogue Aluminium'!$K$12,"NA"))</f>
        <v>0.89</v>
      </c>
      <c r="AJ320" s="407">
        <f>IF(T320="Air",(IF(U320="1C",'Catalogue Aluminium'!$L$9,'Catalogue Aluminium'!$M$9)),IF(T320="DUCT",(IF($U320="1C",'Catalogue Aluminium'!$L$10,'Catalogue Aluminium'!$M$10)),IF(T320="GROUND",(IF($U320="1C",'Catalogue Aluminium'!$L$11,'Catalogue Aluminium'!$M$11)),IF(T320="TRENCH",(IF($U320="1C",'Catalogue Aluminium'!$L$12,'Catalogue Aluminium'!$M$12))))))</f>
        <v>0.66</v>
      </c>
      <c r="AK320" s="408" t="str">
        <f>IF(T320="Air",'Catalogue Aluminium'!$N$9,IF(T320="GROUND",'Catalogue Aluminium'!$N$10,IF(T320="DUCT",'Catalogue Aluminium'!$N$11,IF(T320="TRENCH",'Catalogue Aluminium'!$N$12,"NA"))))</f>
        <v>NA</v>
      </c>
      <c r="AL320" s="408" t="str">
        <f>IF(T320="Air",(IF(U320="1C",'Catalogue Aluminium'!$O$9,'Catalogue Aluminium'!$P$9)),IF(T320="DUCT",(IF($U320="1C",'Catalogue Aluminium'!$O$10,'Catalogue Aluminium'!$P$10)),IF(T320="GROUND",(IF($U320="1C",'Catalogue Aluminium'!$O$11,'Catalogue Aluminium'!$P$11)),IF(T320="TRENCH",(IF($U320="1C",'Catalogue Aluminium'!$O$12,'Catalogue Aluminium'!$P$12))))))</f>
        <v>NA</v>
      </c>
      <c r="AM320" s="408" t="str">
        <f>IF(T320="AIR","NA",IF(T320="TRENCH","NA",IF(T320="DUCT",IF(U320="1C",VLOOKUP(V320,'Catalogue Aluminium'!$Q$9:$S$28,2,FALSE),VLOOKUP(V320,'Catalogue Aluminium'!$Q$9:$S$28,3)),IF(T320="GROUND",IF(U320="1C",VLOOKUP(V320,'Catalogue Aluminium'!$Q$9:$S$28,2,FALSE),VLOOKUP(V320,'Catalogue Aluminium'!$Q$9:$S$28,3))))))</f>
        <v>NA</v>
      </c>
      <c r="AN320" s="584">
        <f t="shared" si="2311"/>
        <v>0.58740000000000003</v>
      </c>
      <c r="AO320" s="583">
        <f t="shared" si="2312"/>
        <v>82.823400000000007</v>
      </c>
      <c r="AP320" s="585">
        <f t="shared" si="2313"/>
        <v>1</v>
      </c>
      <c r="AQ320" s="583" t="str">
        <f t="shared" si="2314"/>
        <v>YES</v>
      </c>
      <c r="AR320" s="584">
        <f t="shared" si="2315"/>
        <v>1.0798122486861237</v>
      </c>
      <c r="AS320" s="409" t="str">
        <f t="shared" si="2316"/>
        <v>YES</v>
      </c>
      <c r="AT320" s="584" t="str">
        <f t="shared" si="2317"/>
        <v>NA</v>
      </c>
      <c r="AU320" s="409" t="str">
        <f t="shared" si="2318"/>
        <v>NA</v>
      </c>
      <c r="AV320" s="586" t="str">
        <f t="shared" si="2319"/>
        <v>1R x 0.6/1kV x 3C x 50 Sqmm</v>
      </c>
      <c r="AW320" s="586" t="str">
        <f t="shared" si="2320"/>
        <v>1R x 0.6/1kV x 3C x 50 Sqmm</v>
      </c>
      <c r="AX320" s="409">
        <f t="shared" si="2321"/>
        <v>103</v>
      </c>
      <c r="AY320" s="866"/>
      <c r="AZ320" s="866">
        <f t="shared" si="2322"/>
        <v>2</v>
      </c>
      <c r="BA320" s="867" t="str">
        <f t="shared" si="2323"/>
        <v>ABB1</v>
      </c>
      <c r="BB320" s="868">
        <f>VLOOKUP(W320,'Catalogue Aluminium'!$B$9:$H$93,7,FALSE)</f>
        <v>26</v>
      </c>
      <c r="BC320" s="789">
        <f t="shared" si="2324"/>
        <v>26</v>
      </c>
      <c r="BE320" s="587"/>
      <c r="BF320" s="587">
        <v>1</v>
      </c>
      <c r="BG320" s="587">
        <v>1</v>
      </c>
      <c r="BH320" s="587">
        <v>1</v>
      </c>
      <c r="BI320" s="587"/>
      <c r="BJ320" s="587"/>
      <c r="BK320" s="587"/>
      <c r="BL320" s="587"/>
      <c r="BM320" s="587"/>
      <c r="BN320" s="587"/>
      <c r="BO320" s="587"/>
      <c r="BP320" s="587"/>
      <c r="BQ320" s="587"/>
      <c r="BR320" s="587"/>
      <c r="BS320" s="587"/>
      <c r="BT320" s="587"/>
      <c r="BU320" s="587"/>
      <c r="BV320" s="587"/>
      <c r="BW320" s="587"/>
      <c r="BX320" s="587"/>
      <c r="BY320" s="587"/>
      <c r="BZ320" s="587"/>
      <c r="CA320" s="587"/>
      <c r="CB320" s="587"/>
      <c r="CC320" s="587"/>
      <c r="CD320" s="587"/>
      <c r="CE320" s="587"/>
      <c r="CF320" s="587"/>
      <c r="CG320" s="587"/>
      <c r="CH320" s="587"/>
      <c r="CI320" s="587"/>
      <c r="CJ320" s="587"/>
      <c r="CK320" s="587"/>
      <c r="CL320" s="587"/>
      <c r="CM320" s="587"/>
      <c r="CN320" s="587"/>
      <c r="CO320" s="587"/>
      <c r="CP320" s="587"/>
      <c r="CQ320" s="587"/>
      <c r="CR320" s="587"/>
      <c r="CS320" s="587"/>
      <c r="CT320" s="587"/>
      <c r="CU320" s="587"/>
      <c r="CV320" s="587"/>
      <c r="CW320" s="587"/>
      <c r="CX320" s="587"/>
      <c r="CY320" s="587"/>
      <c r="CZ320" s="587"/>
      <c r="DA320" s="587"/>
      <c r="DB320" s="587"/>
      <c r="DC320" s="587"/>
      <c r="DD320" s="587"/>
      <c r="DE320" s="587"/>
      <c r="DF320" s="587"/>
      <c r="DG320" s="587"/>
      <c r="DH320" s="587"/>
      <c r="DI320" s="587"/>
      <c r="DJ320" s="587"/>
      <c r="DK320" s="587"/>
      <c r="DL320" s="587"/>
      <c r="DM320" s="587"/>
      <c r="DN320" s="587"/>
      <c r="DO320" s="587"/>
      <c r="DP320" s="587"/>
      <c r="DQ320" s="587"/>
      <c r="DR320" s="587"/>
      <c r="DS320" s="587"/>
      <c r="DT320" s="587"/>
      <c r="DU320" s="587"/>
      <c r="DW320" s="587">
        <f t="shared" si="2325"/>
        <v>0</v>
      </c>
      <c r="DX320" s="587">
        <f t="shared" si="2326"/>
        <v>26</v>
      </c>
      <c r="DY320" s="587">
        <f t="shared" si="2327"/>
        <v>26</v>
      </c>
      <c r="DZ320" s="587">
        <f t="shared" si="2328"/>
        <v>26</v>
      </c>
      <c r="EA320" s="587">
        <f t="shared" si="2329"/>
        <v>0</v>
      </c>
      <c r="EB320" s="587">
        <f t="shared" si="2330"/>
        <v>0</v>
      </c>
      <c r="EC320" s="587">
        <f t="shared" si="2331"/>
        <v>0</v>
      </c>
      <c r="ED320" s="587">
        <f t="shared" si="2332"/>
        <v>0</v>
      </c>
      <c r="EE320" s="587">
        <f t="shared" si="2333"/>
        <v>0</v>
      </c>
      <c r="EF320" s="587">
        <f t="shared" si="2334"/>
        <v>0</v>
      </c>
      <c r="EG320" s="587">
        <f t="shared" si="2335"/>
        <v>0</v>
      </c>
      <c r="EH320" s="587">
        <f t="shared" si="2336"/>
        <v>0</v>
      </c>
      <c r="EI320" s="587">
        <f t="shared" si="2337"/>
        <v>0</v>
      </c>
      <c r="EJ320" s="587">
        <f t="shared" si="2338"/>
        <v>0</v>
      </c>
      <c r="EK320" s="587">
        <f t="shared" si="2339"/>
        <v>0</v>
      </c>
      <c r="EL320" s="587">
        <f t="shared" si="2340"/>
        <v>0</v>
      </c>
      <c r="EM320" s="587">
        <f t="shared" si="2341"/>
        <v>0</v>
      </c>
      <c r="EN320" s="587">
        <f t="shared" si="2342"/>
        <v>0</v>
      </c>
      <c r="EO320" s="587">
        <f t="shared" si="2343"/>
        <v>0</v>
      </c>
      <c r="EP320" s="587">
        <f t="shared" si="2344"/>
        <v>0</v>
      </c>
      <c r="EQ320" s="587">
        <f t="shared" si="2345"/>
        <v>0</v>
      </c>
      <c r="ER320" s="587">
        <f t="shared" si="2346"/>
        <v>0</v>
      </c>
      <c r="ES320" s="587">
        <f t="shared" si="2347"/>
        <v>0</v>
      </c>
      <c r="ET320" s="587">
        <f t="shared" si="2348"/>
        <v>0</v>
      </c>
      <c r="EU320" s="587">
        <f t="shared" si="2349"/>
        <v>0</v>
      </c>
      <c r="EV320" s="587">
        <f t="shared" si="2350"/>
        <v>0</v>
      </c>
      <c r="EW320" s="587">
        <f t="shared" si="2351"/>
        <v>0</v>
      </c>
      <c r="EX320" s="587">
        <f t="shared" si="2352"/>
        <v>0</v>
      </c>
      <c r="EY320" s="587">
        <f t="shared" si="2353"/>
        <v>0</v>
      </c>
      <c r="EZ320" s="587">
        <f t="shared" si="2354"/>
        <v>0</v>
      </c>
      <c r="FA320" s="587">
        <f t="shared" si="2355"/>
        <v>0</v>
      </c>
      <c r="FB320" s="587">
        <f t="shared" si="2356"/>
        <v>0</v>
      </c>
      <c r="FC320" s="587">
        <f t="shared" si="2357"/>
        <v>0</v>
      </c>
      <c r="FD320" s="587">
        <f t="shared" si="2358"/>
        <v>0</v>
      </c>
      <c r="FE320" s="587">
        <f t="shared" si="2359"/>
        <v>0</v>
      </c>
      <c r="FF320" s="587">
        <f t="shared" si="2360"/>
        <v>0</v>
      </c>
      <c r="FG320" s="587">
        <f t="shared" si="2361"/>
        <v>0</v>
      </c>
      <c r="FH320" s="587">
        <f t="shared" si="2362"/>
        <v>0</v>
      </c>
      <c r="FI320" s="587">
        <f t="shared" si="2363"/>
        <v>0</v>
      </c>
      <c r="FJ320" s="587">
        <f t="shared" si="2364"/>
        <v>0</v>
      </c>
      <c r="FK320" s="587">
        <f t="shared" si="2365"/>
        <v>0</v>
      </c>
      <c r="FL320" s="587">
        <f t="shared" si="2366"/>
        <v>0</v>
      </c>
      <c r="FM320" s="587">
        <f t="shared" si="2367"/>
        <v>0</v>
      </c>
      <c r="FN320" s="587">
        <f t="shared" si="2368"/>
        <v>0</v>
      </c>
      <c r="FO320" s="587">
        <f t="shared" si="2369"/>
        <v>0</v>
      </c>
      <c r="FP320" s="587">
        <f t="shared" si="2370"/>
        <v>0</v>
      </c>
      <c r="FQ320" s="587">
        <f t="shared" si="2371"/>
        <v>0</v>
      </c>
      <c r="FR320" s="587">
        <f t="shared" si="2372"/>
        <v>0</v>
      </c>
      <c r="FS320" s="587">
        <f t="shared" si="2373"/>
        <v>0</v>
      </c>
      <c r="FT320" s="587">
        <f t="shared" si="2374"/>
        <v>0</v>
      </c>
      <c r="FU320" s="587">
        <f t="shared" si="2375"/>
        <v>0</v>
      </c>
      <c r="FV320" s="587">
        <f t="shared" si="2376"/>
        <v>0</v>
      </c>
      <c r="FW320" s="587">
        <f t="shared" si="2377"/>
        <v>0</v>
      </c>
      <c r="FX320" s="587">
        <f t="shared" si="2378"/>
        <v>0</v>
      </c>
      <c r="FY320" s="587">
        <f t="shared" si="2379"/>
        <v>0</v>
      </c>
      <c r="FZ320" s="587">
        <f t="shared" si="2380"/>
        <v>0</v>
      </c>
      <c r="GA320" s="587">
        <f t="shared" si="2381"/>
        <v>0</v>
      </c>
      <c r="GB320" s="587">
        <f t="shared" si="2382"/>
        <v>0</v>
      </c>
      <c r="GC320" s="587">
        <f t="shared" si="2383"/>
        <v>0</v>
      </c>
      <c r="GD320" s="587">
        <f t="shared" si="2384"/>
        <v>0</v>
      </c>
      <c r="GE320" s="587">
        <f t="shared" si="2385"/>
        <v>0</v>
      </c>
      <c r="GF320" s="587">
        <f t="shared" si="2386"/>
        <v>0</v>
      </c>
      <c r="GG320" s="587">
        <f t="shared" si="2387"/>
        <v>0</v>
      </c>
      <c r="GH320" s="587">
        <f t="shared" si="2388"/>
        <v>0</v>
      </c>
      <c r="GI320" s="587">
        <f t="shared" si="2389"/>
        <v>0</v>
      </c>
      <c r="GJ320" s="587">
        <f t="shared" si="2390"/>
        <v>0</v>
      </c>
      <c r="GK320" s="587">
        <f t="shared" si="2391"/>
        <v>0</v>
      </c>
      <c r="GL320" s="587">
        <f t="shared" si="2392"/>
        <v>0</v>
      </c>
      <c r="GM320" s="587">
        <f t="shared" si="2393"/>
        <v>0</v>
      </c>
    </row>
    <row r="321" spans="1:195" s="869" customFormat="1" ht="27" customHeight="1">
      <c r="A321" s="406">
        <f t="shared" si="2301"/>
        <v>206</v>
      </c>
      <c r="B321" s="409" t="s">
        <v>527</v>
      </c>
      <c r="C321" s="406" t="str">
        <f t="shared" si="2109"/>
        <v>PDB-1</v>
      </c>
      <c r="D321" s="901" t="s">
        <v>1712</v>
      </c>
      <c r="E321" s="580" t="s">
        <v>608</v>
      </c>
      <c r="F321" s="582" t="s">
        <v>29</v>
      </c>
      <c r="G321" s="406" t="s">
        <v>329</v>
      </c>
      <c r="H321" s="583">
        <v>3.5</v>
      </c>
      <c r="I321" s="406" t="s">
        <v>330</v>
      </c>
      <c r="J321" s="406" t="s">
        <v>357</v>
      </c>
      <c r="K321" s="585">
        <v>230</v>
      </c>
      <c r="L321" s="409">
        <v>0.85</v>
      </c>
      <c r="M321" s="583">
        <v>0.95</v>
      </c>
      <c r="N321" s="407">
        <f t="shared" si="2302"/>
        <v>18.845066630771303</v>
      </c>
      <c r="O321" s="407">
        <f t="shared" si="2303"/>
        <v>0</v>
      </c>
      <c r="P321" s="409" t="str">
        <f t="shared" si="2304"/>
        <v>0.00</v>
      </c>
      <c r="Q321" s="583">
        <v>50</v>
      </c>
      <c r="R321" s="583">
        <v>0</v>
      </c>
      <c r="S321" s="583">
        <f t="shared" si="2305"/>
        <v>0</v>
      </c>
      <c r="T321" s="409" t="s">
        <v>131</v>
      </c>
      <c r="U321" s="583" t="s">
        <v>333</v>
      </c>
      <c r="V321" s="409">
        <v>50</v>
      </c>
      <c r="W321" s="409" t="str">
        <f t="shared" si="2306"/>
        <v>3C X 50</v>
      </c>
      <c r="X321" s="409" t="str">
        <f t="shared" si="2307"/>
        <v>3C X 50</v>
      </c>
      <c r="Y321" s="409" t="s">
        <v>358</v>
      </c>
      <c r="Z321" s="408">
        <f>IF(T321="AIR",VLOOKUP(W321,'Catalogue Aluminium'!$B$9:$G$93,2,FALSE),IF(T321="GROUND",VLOOKUP(W321,'Catalogue Aluminium'!$B$9:$G$93,3,FALSE),IF(T321="DUCT",VLOOKUP(W321,'Catalogue Aluminium'!$B$9:$G$93,4,FALSE),IF(T321="TRENCH",VLOOKUP(W321,'Catalogue Aluminium'!$B$9:$G$93,2,FALSE)))))</f>
        <v>141</v>
      </c>
      <c r="AA321" s="410">
        <f>VLOOKUP(W321,'Catalogue Aluminium'!$B$9:$G$93,5,FALSE)</f>
        <v>0.82</v>
      </c>
      <c r="AB321" s="410">
        <f>VLOOKUP(W321,'Catalogue Aluminium'!$B$9:$G$93,6,FALSE)</f>
        <v>7.9200000000000007E-2</v>
      </c>
      <c r="AC321" s="896">
        <f t="shared" si="2149"/>
        <v>34</v>
      </c>
      <c r="AD321" s="406">
        <f t="shared" si="2308"/>
        <v>41</v>
      </c>
      <c r="AE321" s="896">
        <v>10</v>
      </c>
      <c r="AF321" s="409">
        <v>8</v>
      </c>
      <c r="AG321" s="409">
        <f t="shared" si="2309"/>
        <v>10</v>
      </c>
      <c r="AH321" s="865">
        <f t="shared" si="2310"/>
        <v>103</v>
      </c>
      <c r="AI321" s="408">
        <f>IF(T321="AIR",'Catalogue Aluminium'!$K$9,IF(T321="TRENCH",'Catalogue Aluminium'!$K$12,"NA"))</f>
        <v>0.89</v>
      </c>
      <c r="AJ321" s="407">
        <f>IF(T321="Air",(IF(U321="1C",'Catalogue Aluminium'!$L$9,'Catalogue Aluminium'!$M$9)),IF(T321="DUCT",(IF($U321="1C",'Catalogue Aluminium'!$L$10,'Catalogue Aluminium'!$M$10)),IF(T321="GROUND",(IF($U321="1C",'Catalogue Aluminium'!$L$11,'Catalogue Aluminium'!$M$11)),IF(T321="TRENCH",(IF($U321="1C",'Catalogue Aluminium'!$L$12,'Catalogue Aluminium'!$M$12))))))</f>
        <v>0.66</v>
      </c>
      <c r="AK321" s="408" t="str">
        <f>IF(T321="Air",'Catalogue Aluminium'!$N$9,IF(T321="GROUND",'Catalogue Aluminium'!$N$10,IF(T321="DUCT",'Catalogue Aluminium'!$N$11,IF(T321="TRENCH",'Catalogue Aluminium'!$N$12,"NA"))))</f>
        <v>NA</v>
      </c>
      <c r="AL321" s="408" t="str">
        <f>IF(T321="Air",(IF(U321="1C",'Catalogue Aluminium'!$O$9,'Catalogue Aluminium'!$P$9)),IF(T321="DUCT",(IF($U321="1C",'Catalogue Aluminium'!$O$10,'Catalogue Aluminium'!$P$10)),IF(T321="GROUND",(IF($U321="1C",'Catalogue Aluminium'!$O$11,'Catalogue Aluminium'!$P$11)),IF(T321="TRENCH",(IF($U321="1C",'Catalogue Aluminium'!$O$12,'Catalogue Aluminium'!$P$12))))))</f>
        <v>NA</v>
      </c>
      <c r="AM321" s="408" t="str">
        <f>IF(T321="AIR","NA",IF(T321="TRENCH","NA",IF(T321="DUCT",IF(U321="1C",VLOOKUP(V321,'Catalogue Aluminium'!$Q$9:$S$28,2,FALSE),VLOOKUP(V321,'Catalogue Aluminium'!$Q$9:$S$28,3)),IF(T321="GROUND",IF(U321="1C",VLOOKUP(V321,'Catalogue Aluminium'!$Q$9:$S$28,2,FALSE),VLOOKUP(V321,'Catalogue Aluminium'!$Q$9:$S$28,3))))))</f>
        <v>NA</v>
      </c>
      <c r="AN321" s="584">
        <f t="shared" si="2311"/>
        <v>0.58740000000000003</v>
      </c>
      <c r="AO321" s="583">
        <f t="shared" si="2312"/>
        <v>82.823400000000007</v>
      </c>
      <c r="AP321" s="585">
        <f t="shared" si="2313"/>
        <v>1</v>
      </c>
      <c r="AQ321" s="583" t="str">
        <f t="shared" si="2314"/>
        <v>YES</v>
      </c>
      <c r="AR321" s="584">
        <f t="shared" si="2315"/>
        <v>1.0798122486861237</v>
      </c>
      <c r="AS321" s="409" t="str">
        <f t="shared" si="2316"/>
        <v>YES</v>
      </c>
      <c r="AT321" s="584" t="str">
        <f t="shared" si="2317"/>
        <v>NA</v>
      </c>
      <c r="AU321" s="409" t="str">
        <f t="shared" si="2318"/>
        <v>NA</v>
      </c>
      <c r="AV321" s="586" t="str">
        <f t="shared" si="2319"/>
        <v>1R x 0.6/1kV x 3C x 50 Sqmm</v>
      </c>
      <c r="AW321" s="586" t="str">
        <f t="shared" si="2320"/>
        <v>1R x 0.6/1kV x 3C x 50 Sqmm</v>
      </c>
      <c r="AX321" s="409">
        <f t="shared" si="2321"/>
        <v>103</v>
      </c>
      <c r="AY321" s="866"/>
      <c r="AZ321" s="866">
        <f t="shared" si="2322"/>
        <v>2</v>
      </c>
      <c r="BA321" s="867" t="str">
        <f t="shared" si="2323"/>
        <v>ABB1</v>
      </c>
      <c r="BB321" s="868">
        <f>VLOOKUP(W321,'Catalogue Aluminium'!$B$9:$H$93,7,FALSE)</f>
        <v>26</v>
      </c>
      <c r="BC321" s="789">
        <f t="shared" si="2324"/>
        <v>26</v>
      </c>
      <c r="BE321" s="587"/>
      <c r="BF321" s="587">
        <v>1</v>
      </c>
      <c r="BG321" s="587">
        <v>1</v>
      </c>
      <c r="BH321" s="587">
        <v>1</v>
      </c>
      <c r="BI321" s="587"/>
      <c r="BJ321" s="587"/>
      <c r="BK321" s="587"/>
      <c r="BL321" s="587"/>
      <c r="BM321" s="587"/>
      <c r="BN321" s="587"/>
      <c r="BO321" s="587"/>
      <c r="BP321" s="587"/>
      <c r="BQ321" s="587"/>
      <c r="BR321" s="587"/>
      <c r="BS321" s="587"/>
      <c r="BT321" s="587"/>
      <c r="BU321" s="587"/>
      <c r="BV321" s="587"/>
      <c r="BW321" s="587"/>
      <c r="BX321" s="587"/>
      <c r="BY321" s="587"/>
      <c r="BZ321" s="587"/>
      <c r="CA321" s="587"/>
      <c r="CB321" s="587"/>
      <c r="CC321" s="587"/>
      <c r="CD321" s="587"/>
      <c r="CE321" s="587"/>
      <c r="CF321" s="587"/>
      <c r="CG321" s="587"/>
      <c r="CH321" s="587"/>
      <c r="CI321" s="587"/>
      <c r="CJ321" s="587"/>
      <c r="CK321" s="587"/>
      <c r="CL321" s="587"/>
      <c r="CM321" s="587"/>
      <c r="CN321" s="587"/>
      <c r="CO321" s="587"/>
      <c r="CP321" s="587"/>
      <c r="CQ321" s="587"/>
      <c r="CR321" s="587"/>
      <c r="CS321" s="587"/>
      <c r="CT321" s="587"/>
      <c r="CU321" s="587"/>
      <c r="CV321" s="587"/>
      <c r="CW321" s="587"/>
      <c r="CX321" s="587"/>
      <c r="CY321" s="587"/>
      <c r="CZ321" s="587"/>
      <c r="DA321" s="587"/>
      <c r="DB321" s="587"/>
      <c r="DC321" s="587"/>
      <c r="DD321" s="587"/>
      <c r="DE321" s="587"/>
      <c r="DF321" s="587"/>
      <c r="DG321" s="587"/>
      <c r="DH321" s="587"/>
      <c r="DI321" s="587"/>
      <c r="DJ321" s="587"/>
      <c r="DK321" s="587"/>
      <c r="DL321" s="587"/>
      <c r="DM321" s="587"/>
      <c r="DN321" s="587"/>
      <c r="DO321" s="587"/>
      <c r="DP321" s="587"/>
      <c r="DQ321" s="587"/>
      <c r="DR321" s="587"/>
      <c r="DS321" s="587"/>
      <c r="DT321" s="587"/>
      <c r="DU321" s="587"/>
      <c r="DW321" s="587">
        <f t="shared" si="2325"/>
        <v>0</v>
      </c>
      <c r="DX321" s="587">
        <f t="shared" si="2326"/>
        <v>26</v>
      </c>
      <c r="DY321" s="587">
        <f t="shared" si="2327"/>
        <v>26</v>
      </c>
      <c r="DZ321" s="587">
        <f t="shared" si="2328"/>
        <v>26</v>
      </c>
      <c r="EA321" s="587">
        <f t="shared" si="2329"/>
        <v>0</v>
      </c>
      <c r="EB321" s="587">
        <f t="shared" si="2330"/>
        <v>0</v>
      </c>
      <c r="EC321" s="587">
        <f t="shared" si="2331"/>
        <v>0</v>
      </c>
      <c r="ED321" s="587">
        <f t="shared" si="2332"/>
        <v>0</v>
      </c>
      <c r="EE321" s="587">
        <f t="shared" si="2333"/>
        <v>0</v>
      </c>
      <c r="EF321" s="587">
        <f t="shared" si="2334"/>
        <v>0</v>
      </c>
      <c r="EG321" s="587">
        <f t="shared" si="2335"/>
        <v>0</v>
      </c>
      <c r="EH321" s="587">
        <f t="shared" si="2336"/>
        <v>0</v>
      </c>
      <c r="EI321" s="587">
        <f t="shared" si="2337"/>
        <v>0</v>
      </c>
      <c r="EJ321" s="587">
        <f t="shared" si="2338"/>
        <v>0</v>
      </c>
      <c r="EK321" s="587">
        <f t="shared" si="2339"/>
        <v>0</v>
      </c>
      <c r="EL321" s="587">
        <f t="shared" si="2340"/>
        <v>0</v>
      </c>
      <c r="EM321" s="587">
        <f t="shared" si="2341"/>
        <v>0</v>
      </c>
      <c r="EN321" s="587">
        <f t="shared" si="2342"/>
        <v>0</v>
      </c>
      <c r="EO321" s="587">
        <f t="shared" si="2343"/>
        <v>0</v>
      </c>
      <c r="EP321" s="587">
        <f t="shared" si="2344"/>
        <v>0</v>
      </c>
      <c r="EQ321" s="587">
        <f t="shared" si="2345"/>
        <v>0</v>
      </c>
      <c r="ER321" s="587">
        <f t="shared" si="2346"/>
        <v>0</v>
      </c>
      <c r="ES321" s="587">
        <f t="shared" si="2347"/>
        <v>0</v>
      </c>
      <c r="ET321" s="587">
        <f t="shared" si="2348"/>
        <v>0</v>
      </c>
      <c r="EU321" s="587">
        <f t="shared" si="2349"/>
        <v>0</v>
      </c>
      <c r="EV321" s="587">
        <f t="shared" si="2350"/>
        <v>0</v>
      </c>
      <c r="EW321" s="587">
        <f t="shared" si="2351"/>
        <v>0</v>
      </c>
      <c r="EX321" s="587">
        <f t="shared" si="2352"/>
        <v>0</v>
      </c>
      <c r="EY321" s="587">
        <f t="shared" si="2353"/>
        <v>0</v>
      </c>
      <c r="EZ321" s="587">
        <f t="shared" si="2354"/>
        <v>0</v>
      </c>
      <c r="FA321" s="587">
        <f t="shared" si="2355"/>
        <v>0</v>
      </c>
      <c r="FB321" s="587">
        <f t="shared" si="2356"/>
        <v>0</v>
      </c>
      <c r="FC321" s="587">
        <f t="shared" si="2357"/>
        <v>0</v>
      </c>
      <c r="FD321" s="587">
        <f t="shared" si="2358"/>
        <v>0</v>
      </c>
      <c r="FE321" s="587">
        <f t="shared" si="2359"/>
        <v>0</v>
      </c>
      <c r="FF321" s="587">
        <f t="shared" si="2360"/>
        <v>0</v>
      </c>
      <c r="FG321" s="587">
        <f t="shared" si="2361"/>
        <v>0</v>
      </c>
      <c r="FH321" s="587">
        <f t="shared" si="2362"/>
        <v>0</v>
      </c>
      <c r="FI321" s="587">
        <f t="shared" si="2363"/>
        <v>0</v>
      </c>
      <c r="FJ321" s="587">
        <f t="shared" si="2364"/>
        <v>0</v>
      </c>
      <c r="FK321" s="587">
        <f t="shared" si="2365"/>
        <v>0</v>
      </c>
      <c r="FL321" s="587">
        <f t="shared" si="2366"/>
        <v>0</v>
      </c>
      <c r="FM321" s="587">
        <f t="shared" si="2367"/>
        <v>0</v>
      </c>
      <c r="FN321" s="587">
        <f t="shared" si="2368"/>
        <v>0</v>
      </c>
      <c r="FO321" s="587">
        <f t="shared" si="2369"/>
        <v>0</v>
      </c>
      <c r="FP321" s="587">
        <f t="shared" si="2370"/>
        <v>0</v>
      </c>
      <c r="FQ321" s="587">
        <f t="shared" si="2371"/>
        <v>0</v>
      </c>
      <c r="FR321" s="587">
        <f t="shared" si="2372"/>
        <v>0</v>
      </c>
      <c r="FS321" s="587">
        <f t="shared" si="2373"/>
        <v>0</v>
      </c>
      <c r="FT321" s="587">
        <f t="shared" si="2374"/>
        <v>0</v>
      </c>
      <c r="FU321" s="587">
        <f t="shared" si="2375"/>
        <v>0</v>
      </c>
      <c r="FV321" s="587">
        <f t="shared" si="2376"/>
        <v>0</v>
      </c>
      <c r="FW321" s="587">
        <f t="shared" si="2377"/>
        <v>0</v>
      </c>
      <c r="FX321" s="587">
        <f t="shared" si="2378"/>
        <v>0</v>
      </c>
      <c r="FY321" s="587">
        <f t="shared" si="2379"/>
        <v>0</v>
      </c>
      <c r="FZ321" s="587">
        <f t="shared" si="2380"/>
        <v>0</v>
      </c>
      <c r="GA321" s="587">
        <f t="shared" si="2381"/>
        <v>0</v>
      </c>
      <c r="GB321" s="587">
        <f t="shared" si="2382"/>
        <v>0</v>
      </c>
      <c r="GC321" s="587">
        <f t="shared" si="2383"/>
        <v>0</v>
      </c>
      <c r="GD321" s="587">
        <f t="shared" si="2384"/>
        <v>0</v>
      </c>
      <c r="GE321" s="587">
        <f t="shared" si="2385"/>
        <v>0</v>
      </c>
      <c r="GF321" s="587">
        <f t="shared" si="2386"/>
        <v>0</v>
      </c>
      <c r="GG321" s="587">
        <f t="shared" si="2387"/>
        <v>0</v>
      </c>
      <c r="GH321" s="587">
        <f t="shared" si="2388"/>
        <v>0</v>
      </c>
      <c r="GI321" s="587">
        <f t="shared" si="2389"/>
        <v>0</v>
      </c>
      <c r="GJ321" s="587">
        <f t="shared" si="2390"/>
        <v>0</v>
      </c>
      <c r="GK321" s="587">
        <f t="shared" si="2391"/>
        <v>0</v>
      </c>
      <c r="GL321" s="587">
        <f t="shared" si="2392"/>
        <v>0</v>
      </c>
      <c r="GM321" s="587">
        <f t="shared" si="2393"/>
        <v>0</v>
      </c>
    </row>
    <row r="322" spans="1:195" s="869" customFormat="1" ht="27" customHeight="1">
      <c r="A322" s="406">
        <f t="shared" si="2301"/>
        <v>207</v>
      </c>
      <c r="B322" s="409" t="s">
        <v>527</v>
      </c>
      <c r="C322" s="406" t="str">
        <f t="shared" si="2109"/>
        <v>PDB-1</v>
      </c>
      <c r="D322" s="901" t="s">
        <v>1713</v>
      </c>
      <c r="E322" s="580" t="s">
        <v>608</v>
      </c>
      <c r="F322" s="582" t="s">
        <v>29</v>
      </c>
      <c r="G322" s="406" t="s">
        <v>329</v>
      </c>
      <c r="H322" s="583">
        <v>3.5</v>
      </c>
      <c r="I322" s="406" t="s">
        <v>330</v>
      </c>
      <c r="J322" s="406" t="s">
        <v>357</v>
      </c>
      <c r="K322" s="585">
        <v>230</v>
      </c>
      <c r="L322" s="409">
        <v>0.85</v>
      </c>
      <c r="M322" s="583">
        <v>0.95</v>
      </c>
      <c r="N322" s="407">
        <f t="shared" si="2302"/>
        <v>18.845066630771303</v>
      </c>
      <c r="O322" s="407">
        <f t="shared" si="2303"/>
        <v>0</v>
      </c>
      <c r="P322" s="409" t="str">
        <f t="shared" si="2304"/>
        <v>0.00</v>
      </c>
      <c r="Q322" s="583">
        <v>50</v>
      </c>
      <c r="R322" s="583">
        <v>0</v>
      </c>
      <c r="S322" s="583">
        <f t="shared" si="2305"/>
        <v>0</v>
      </c>
      <c r="T322" s="409" t="s">
        <v>131</v>
      </c>
      <c r="U322" s="583" t="s">
        <v>333</v>
      </c>
      <c r="V322" s="409">
        <v>50</v>
      </c>
      <c r="W322" s="409" t="str">
        <f t="shared" si="2306"/>
        <v>3C X 50</v>
      </c>
      <c r="X322" s="409" t="str">
        <f t="shared" si="2307"/>
        <v>3C X 50</v>
      </c>
      <c r="Y322" s="409" t="s">
        <v>358</v>
      </c>
      <c r="Z322" s="408">
        <f>IF(T322="AIR",VLOOKUP(W322,'Catalogue Aluminium'!$B$9:$G$93,2,FALSE),IF(T322="GROUND",VLOOKUP(W322,'Catalogue Aluminium'!$B$9:$G$93,3,FALSE),IF(T322="DUCT",VLOOKUP(W322,'Catalogue Aluminium'!$B$9:$G$93,4,FALSE),IF(T322="TRENCH",VLOOKUP(W322,'Catalogue Aluminium'!$B$9:$G$93,2,FALSE)))))</f>
        <v>141</v>
      </c>
      <c r="AA322" s="410">
        <f>VLOOKUP(W322,'Catalogue Aluminium'!$B$9:$G$93,5,FALSE)</f>
        <v>0.82</v>
      </c>
      <c r="AB322" s="410">
        <f>VLOOKUP(W322,'Catalogue Aluminium'!$B$9:$G$93,6,FALSE)</f>
        <v>7.9200000000000007E-2</v>
      </c>
      <c r="AC322" s="896">
        <f t="shared" si="2149"/>
        <v>34</v>
      </c>
      <c r="AD322" s="406">
        <f t="shared" si="2308"/>
        <v>41</v>
      </c>
      <c r="AE322" s="896">
        <v>10</v>
      </c>
      <c r="AF322" s="409">
        <v>8</v>
      </c>
      <c r="AG322" s="409">
        <f t="shared" si="2309"/>
        <v>10</v>
      </c>
      <c r="AH322" s="865">
        <f t="shared" si="2310"/>
        <v>103</v>
      </c>
      <c r="AI322" s="408">
        <f>IF(T322="AIR",'Catalogue Aluminium'!$K$9,IF(T322="TRENCH",'Catalogue Aluminium'!$K$12,"NA"))</f>
        <v>0.89</v>
      </c>
      <c r="AJ322" s="407">
        <f>IF(T322="Air",(IF(U322="1C",'Catalogue Aluminium'!$L$9,'Catalogue Aluminium'!$M$9)),IF(T322="DUCT",(IF($U322="1C",'Catalogue Aluminium'!$L$10,'Catalogue Aluminium'!$M$10)),IF(T322="GROUND",(IF($U322="1C",'Catalogue Aluminium'!$L$11,'Catalogue Aluminium'!$M$11)),IF(T322="TRENCH",(IF($U322="1C",'Catalogue Aluminium'!$L$12,'Catalogue Aluminium'!$M$12))))))</f>
        <v>0.66</v>
      </c>
      <c r="AK322" s="408" t="str">
        <f>IF(T322="Air",'Catalogue Aluminium'!$N$9,IF(T322="GROUND",'Catalogue Aluminium'!$N$10,IF(T322="DUCT",'Catalogue Aluminium'!$N$11,IF(T322="TRENCH",'Catalogue Aluminium'!$N$12,"NA"))))</f>
        <v>NA</v>
      </c>
      <c r="AL322" s="408" t="str">
        <f>IF(T322="Air",(IF(U322="1C",'Catalogue Aluminium'!$O$9,'Catalogue Aluminium'!$P$9)),IF(T322="DUCT",(IF($U322="1C",'Catalogue Aluminium'!$O$10,'Catalogue Aluminium'!$P$10)),IF(T322="GROUND",(IF($U322="1C",'Catalogue Aluminium'!$O$11,'Catalogue Aluminium'!$P$11)),IF(T322="TRENCH",(IF($U322="1C",'Catalogue Aluminium'!$O$12,'Catalogue Aluminium'!$P$12))))))</f>
        <v>NA</v>
      </c>
      <c r="AM322" s="408" t="str">
        <f>IF(T322="AIR","NA",IF(T322="TRENCH","NA",IF(T322="DUCT",IF(U322="1C",VLOOKUP(V322,'Catalogue Aluminium'!$Q$9:$S$28,2,FALSE),VLOOKUP(V322,'Catalogue Aluminium'!$Q$9:$S$28,3)),IF(T322="GROUND",IF(U322="1C",VLOOKUP(V322,'Catalogue Aluminium'!$Q$9:$S$28,2,FALSE),VLOOKUP(V322,'Catalogue Aluminium'!$Q$9:$S$28,3))))))</f>
        <v>NA</v>
      </c>
      <c r="AN322" s="584">
        <f t="shared" si="2311"/>
        <v>0.58740000000000003</v>
      </c>
      <c r="AO322" s="583">
        <f t="shared" si="2312"/>
        <v>82.823400000000007</v>
      </c>
      <c r="AP322" s="585">
        <f t="shared" si="2313"/>
        <v>1</v>
      </c>
      <c r="AQ322" s="583" t="str">
        <f t="shared" si="2314"/>
        <v>YES</v>
      </c>
      <c r="AR322" s="584">
        <f t="shared" si="2315"/>
        <v>1.0798122486861237</v>
      </c>
      <c r="AS322" s="409" t="str">
        <f t="shared" si="2316"/>
        <v>YES</v>
      </c>
      <c r="AT322" s="584" t="str">
        <f t="shared" si="2317"/>
        <v>NA</v>
      </c>
      <c r="AU322" s="409" t="str">
        <f t="shared" si="2318"/>
        <v>NA</v>
      </c>
      <c r="AV322" s="586" t="str">
        <f t="shared" si="2319"/>
        <v>1R x 0.6/1kV x 3C x 50 Sqmm</v>
      </c>
      <c r="AW322" s="586" t="str">
        <f t="shared" si="2320"/>
        <v>1R x 0.6/1kV x 3C x 50 Sqmm</v>
      </c>
      <c r="AX322" s="409">
        <f t="shared" si="2321"/>
        <v>103</v>
      </c>
      <c r="AY322" s="866"/>
      <c r="AZ322" s="866">
        <f t="shared" si="2322"/>
        <v>2</v>
      </c>
      <c r="BA322" s="867" t="str">
        <f t="shared" si="2323"/>
        <v>ABB1</v>
      </c>
      <c r="BB322" s="868">
        <f>VLOOKUP(W322,'Catalogue Aluminium'!$B$9:$H$93,7,FALSE)</f>
        <v>26</v>
      </c>
      <c r="BC322" s="789">
        <f t="shared" si="2324"/>
        <v>26</v>
      </c>
      <c r="BE322" s="587"/>
      <c r="BF322" s="587">
        <v>1</v>
      </c>
      <c r="BG322" s="587">
        <v>1</v>
      </c>
      <c r="BH322" s="587">
        <v>1</v>
      </c>
      <c r="BI322" s="587"/>
      <c r="BJ322" s="587"/>
      <c r="BK322" s="587"/>
      <c r="BL322" s="587"/>
      <c r="BM322" s="587"/>
      <c r="BN322" s="587"/>
      <c r="BO322" s="587"/>
      <c r="BP322" s="587"/>
      <c r="BQ322" s="587"/>
      <c r="BR322" s="587"/>
      <c r="BS322" s="587"/>
      <c r="BT322" s="587"/>
      <c r="BU322" s="587"/>
      <c r="BV322" s="587"/>
      <c r="BW322" s="587"/>
      <c r="BX322" s="587"/>
      <c r="BY322" s="587"/>
      <c r="BZ322" s="587"/>
      <c r="CA322" s="587"/>
      <c r="CB322" s="587"/>
      <c r="CC322" s="587"/>
      <c r="CD322" s="587"/>
      <c r="CE322" s="587"/>
      <c r="CF322" s="587"/>
      <c r="CG322" s="587"/>
      <c r="CH322" s="587"/>
      <c r="CI322" s="587"/>
      <c r="CJ322" s="587"/>
      <c r="CK322" s="587"/>
      <c r="CL322" s="587"/>
      <c r="CM322" s="587"/>
      <c r="CN322" s="587"/>
      <c r="CO322" s="587"/>
      <c r="CP322" s="587"/>
      <c r="CQ322" s="587"/>
      <c r="CR322" s="587"/>
      <c r="CS322" s="587"/>
      <c r="CT322" s="587"/>
      <c r="CU322" s="587"/>
      <c r="CV322" s="587"/>
      <c r="CW322" s="587"/>
      <c r="CX322" s="587"/>
      <c r="CY322" s="587"/>
      <c r="CZ322" s="587"/>
      <c r="DA322" s="587"/>
      <c r="DB322" s="587"/>
      <c r="DC322" s="587"/>
      <c r="DD322" s="587"/>
      <c r="DE322" s="587"/>
      <c r="DF322" s="587"/>
      <c r="DG322" s="587"/>
      <c r="DH322" s="587"/>
      <c r="DI322" s="587"/>
      <c r="DJ322" s="587"/>
      <c r="DK322" s="587"/>
      <c r="DL322" s="587"/>
      <c r="DM322" s="587"/>
      <c r="DN322" s="587"/>
      <c r="DO322" s="587"/>
      <c r="DP322" s="587"/>
      <c r="DQ322" s="587"/>
      <c r="DR322" s="587"/>
      <c r="DS322" s="587"/>
      <c r="DT322" s="587"/>
      <c r="DU322" s="587"/>
      <c r="DW322" s="587">
        <f t="shared" si="2325"/>
        <v>0</v>
      </c>
      <c r="DX322" s="587">
        <f t="shared" si="2326"/>
        <v>26</v>
      </c>
      <c r="DY322" s="587">
        <f t="shared" si="2327"/>
        <v>26</v>
      </c>
      <c r="DZ322" s="587">
        <f t="shared" si="2328"/>
        <v>26</v>
      </c>
      <c r="EA322" s="587">
        <f t="shared" si="2329"/>
        <v>0</v>
      </c>
      <c r="EB322" s="587">
        <f t="shared" si="2330"/>
        <v>0</v>
      </c>
      <c r="EC322" s="587">
        <f t="shared" si="2331"/>
        <v>0</v>
      </c>
      <c r="ED322" s="587">
        <f t="shared" si="2332"/>
        <v>0</v>
      </c>
      <c r="EE322" s="587">
        <f t="shared" si="2333"/>
        <v>0</v>
      </c>
      <c r="EF322" s="587">
        <f t="shared" si="2334"/>
        <v>0</v>
      </c>
      <c r="EG322" s="587">
        <f t="shared" si="2335"/>
        <v>0</v>
      </c>
      <c r="EH322" s="587">
        <f t="shared" si="2336"/>
        <v>0</v>
      </c>
      <c r="EI322" s="587">
        <f t="shared" si="2337"/>
        <v>0</v>
      </c>
      <c r="EJ322" s="587">
        <f t="shared" si="2338"/>
        <v>0</v>
      </c>
      <c r="EK322" s="587">
        <f t="shared" si="2339"/>
        <v>0</v>
      </c>
      <c r="EL322" s="587">
        <f t="shared" si="2340"/>
        <v>0</v>
      </c>
      <c r="EM322" s="587">
        <f t="shared" si="2341"/>
        <v>0</v>
      </c>
      <c r="EN322" s="587">
        <f t="shared" si="2342"/>
        <v>0</v>
      </c>
      <c r="EO322" s="587">
        <f t="shared" si="2343"/>
        <v>0</v>
      </c>
      <c r="EP322" s="587">
        <f t="shared" si="2344"/>
        <v>0</v>
      </c>
      <c r="EQ322" s="587">
        <f t="shared" si="2345"/>
        <v>0</v>
      </c>
      <c r="ER322" s="587">
        <f t="shared" si="2346"/>
        <v>0</v>
      </c>
      <c r="ES322" s="587">
        <f t="shared" si="2347"/>
        <v>0</v>
      </c>
      <c r="ET322" s="587">
        <f t="shared" si="2348"/>
        <v>0</v>
      </c>
      <c r="EU322" s="587">
        <f t="shared" si="2349"/>
        <v>0</v>
      </c>
      <c r="EV322" s="587">
        <f t="shared" si="2350"/>
        <v>0</v>
      </c>
      <c r="EW322" s="587">
        <f t="shared" si="2351"/>
        <v>0</v>
      </c>
      <c r="EX322" s="587">
        <f t="shared" si="2352"/>
        <v>0</v>
      </c>
      <c r="EY322" s="587">
        <f t="shared" si="2353"/>
        <v>0</v>
      </c>
      <c r="EZ322" s="587">
        <f t="shared" si="2354"/>
        <v>0</v>
      </c>
      <c r="FA322" s="587">
        <f t="shared" si="2355"/>
        <v>0</v>
      </c>
      <c r="FB322" s="587">
        <f t="shared" si="2356"/>
        <v>0</v>
      </c>
      <c r="FC322" s="587">
        <f t="shared" si="2357"/>
        <v>0</v>
      </c>
      <c r="FD322" s="587">
        <f t="shared" si="2358"/>
        <v>0</v>
      </c>
      <c r="FE322" s="587">
        <f t="shared" si="2359"/>
        <v>0</v>
      </c>
      <c r="FF322" s="587">
        <f t="shared" si="2360"/>
        <v>0</v>
      </c>
      <c r="FG322" s="587">
        <f t="shared" si="2361"/>
        <v>0</v>
      </c>
      <c r="FH322" s="587">
        <f t="shared" si="2362"/>
        <v>0</v>
      </c>
      <c r="FI322" s="587">
        <f t="shared" si="2363"/>
        <v>0</v>
      </c>
      <c r="FJ322" s="587">
        <f t="shared" si="2364"/>
        <v>0</v>
      </c>
      <c r="FK322" s="587">
        <f t="shared" si="2365"/>
        <v>0</v>
      </c>
      <c r="FL322" s="587">
        <f t="shared" si="2366"/>
        <v>0</v>
      </c>
      <c r="FM322" s="587">
        <f t="shared" si="2367"/>
        <v>0</v>
      </c>
      <c r="FN322" s="587">
        <f t="shared" si="2368"/>
        <v>0</v>
      </c>
      <c r="FO322" s="587">
        <f t="shared" si="2369"/>
        <v>0</v>
      </c>
      <c r="FP322" s="587">
        <f t="shared" si="2370"/>
        <v>0</v>
      </c>
      <c r="FQ322" s="587">
        <f t="shared" si="2371"/>
        <v>0</v>
      </c>
      <c r="FR322" s="587">
        <f t="shared" si="2372"/>
        <v>0</v>
      </c>
      <c r="FS322" s="587">
        <f t="shared" si="2373"/>
        <v>0</v>
      </c>
      <c r="FT322" s="587">
        <f t="shared" si="2374"/>
        <v>0</v>
      </c>
      <c r="FU322" s="587">
        <f t="shared" si="2375"/>
        <v>0</v>
      </c>
      <c r="FV322" s="587">
        <f t="shared" si="2376"/>
        <v>0</v>
      </c>
      <c r="FW322" s="587">
        <f t="shared" si="2377"/>
        <v>0</v>
      </c>
      <c r="FX322" s="587">
        <f t="shared" si="2378"/>
        <v>0</v>
      </c>
      <c r="FY322" s="587">
        <f t="shared" si="2379"/>
        <v>0</v>
      </c>
      <c r="FZ322" s="587">
        <f t="shared" si="2380"/>
        <v>0</v>
      </c>
      <c r="GA322" s="587">
        <f t="shared" si="2381"/>
        <v>0</v>
      </c>
      <c r="GB322" s="587">
        <f t="shared" si="2382"/>
        <v>0</v>
      </c>
      <c r="GC322" s="587">
        <f t="shared" si="2383"/>
        <v>0</v>
      </c>
      <c r="GD322" s="587">
        <f t="shared" si="2384"/>
        <v>0</v>
      </c>
      <c r="GE322" s="587">
        <f t="shared" si="2385"/>
        <v>0</v>
      </c>
      <c r="GF322" s="587">
        <f t="shared" si="2386"/>
        <v>0</v>
      </c>
      <c r="GG322" s="587">
        <f t="shared" si="2387"/>
        <v>0</v>
      </c>
      <c r="GH322" s="587">
        <f t="shared" si="2388"/>
        <v>0</v>
      </c>
      <c r="GI322" s="587">
        <f t="shared" si="2389"/>
        <v>0</v>
      </c>
      <c r="GJ322" s="587">
        <f t="shared" si="2390"/>
        <v>0</v>
      </c>
      <c r="GK322" s="587">
        <f t="shared" si="2391"/>
        <v>0</v>
      </c>
      <c r="GL322" s="587">
        <f t="shared" si="2392"/>
        <v>0</v>
      </c>
      <c r="GM322" s="587">
        <f t="shared" si="2393"/>
        <v>0</v>
      </c>
    </row>
    <row r="323" spans="1:195" s="869" customFormat="1" ht="27" customHeight="1">
      <c r="A323" s="406">
        <f t="shared" si="2301"/>
        <v>208</v>
      </c>
      <c r="B323" s="409" t="s">
        <v>527</v>
      </c>
      <c r="C323" s="406" t="str">
        <f t="shared" si="2109"/>
        <v>PDB-1</v>
      </c>
      <c r="D323" s="901" t="s">
        <v>1714</v>
      </c>
      <c r="E323" s="580" t="s">
        <v>608</v>
      </c>
      <c r="F323" s="582" t="s">
        <v>29</v>
      </c>
      <c r="G323" s="406" t="s">
        <v>329</v>
      </c>
      <c r="H323" s="583">
        <v>3.5</v>
      </c>
      <c r="I323" s="406" t="s">
        <v>330</v>
      </c>
      <c r="J323" s="406" t="s">
        <v>357</v>
      </c>
      <c r="K323" s="585">
        <v>230</v>
      </c>
      <c r="L323" s="409">
        <v>0.85</v>
      </c>
      <c r="M323" s="583">
        <v>0.95</v>
      </c>
      <c r="N323" s="407">
        <f t="shared" si="2302"/>
        <v>18.845066630771303</v>
      </c>
      <c r="O323" s="407">
        <f t="shared" si="2303"/>
        <v>0</v>
      </c>
      <c r="P323" s="409" t="str">
        <f t="shared" si="2304"/>
        <v>0.00</v>
      </c>
      <c r="Q323" s="583">
        <v>50</v>
      </c>
      <c r="R323" s="583">
        <v>0</v>
      </c>
      <c r="S323" s="583">
        <f t="shared" si="2305"/>
        <v>0</v>
      </c>
      <c r="T323" s="409" t="s">
        <v>131</v>
      </c>
      <c r="U323" s="583" t="s">
        <v>333</v>
      </c>
      <c r="V323" s="409">
        <v>50</v>
      </c>
      <c r="W323" s="409" t="str">
        <f t="shared" si="2306"/>
        <v>3C X 50</v>
      </c>
      <c r="X323" s="409" t="str">
        <f t="shared" si="2307"/>
        <v>3C X 50</v>
      </c>
      <c r="Y323" s="409" t="s">
        <v>358</v>
      </c>
      <c r="Z323" s="408">
        <f>IF(T323="AIR",VLOOKUP(W323,'Catalogue Aluminium'!$B$9:$G$93,2,FALSE),IF(T323="GROUND",VLOOKUP(W323,'Catalogue Aluminium'!$B$9:$G$93,3,FALSE),IF(T323="DUCT",VLOOKUP(W323,'Catalogue Aluminium'!$B$9:$G$93,4,FALSE),IF(T323="TRENCH",VLOOKUP(W323,'Catalogue Aluminium'!$B$9:$G$93,2,FALSE)))))</f>
        <v>141</v>
      </c>
      <c r="AA323" s="410">
        <f>VLOOKUP(W323,'Catalogue Aluminium'!$B$9:$G$93,5,FALSE)</f>
        <v>0.82</v>
      </c>
      <c r="AB323" s="410">
        <f>VLOOKUP(W323,'Catalogue Aluminium'!$B$9:$G$93,6,FALSE)</f>
        <v>7.9200000000000007E-2</v>
      </c>
      <c r="AC323" s="896">
        <f t="shared" si="2149"/>
        <v>34</v>
      </c>
      <c r="AD323" s="406">
        <f t="shared" si="2308"/>
        <v>41</v>
      </c>
      <c r="AE323" s="896">
        <v>10</v>
      </c>
      <c r="AF323" s="409">
        <v>8</v>
      </c>
      <c r="AG323" s="409">
        <f t="shared" si="2309"/>
        <v>10</v>
      </c>
      <c r="AH323" s="865">
        <f t="shared" si="2310"/>
        <v>103</v>
      </c>
      <c r="AI323" s="408">
        <f>IF(T323="AIR",'Catalogue Aluminium'!$K$9,IF(T323="TRENCH",'Catalogue Aluminium'!$K$12,"NA"))</f>
        <v>0.89</v>
      </c>
      <c r="AJ323" s="407">
        <f>IF(T323="Air",(IF(U323="1C",'Catalogue Aluminium'!$L$9,'Catalogue Aluminium'!$M$9)),IF(T323="DUCT",(IF($U323="1C",'Catalogue Aluminium'!$L$10,'Catalogue Aluminium'!$M$10)),IF(T323="GROUND",(IF($U323="1C",'Catalogue Aluminium'!$L$11,'Catalogue Aluminium'!$M$11)),IF(T323="TRENCH",(IF($U323="1C",'Catalogue Aluminium'!$L$12,'Catalogue Aluminium'!$M$12))))))</f>
        <v>0.66</v>
      </c>
      <c r="AK323" s="408" t="str">
        <f>IF(T323="Air",'Catalogue Aluminium'!$N$9,IF(T323="GROUND",'Catalogue Aluminium'!$N$10,IF(T323="DUCT",'Catalogue Aluminium'!$N$11,IF(T323="TRENCH",'Catalogue Aluminium'!$N$12,"NA"))))</f>
        <v>NA</v>
      </c>
      <c r="AL323" s="408" t="str">
        <f>IF(T323="Air",(IF(U323="1C",'Catalogue Aluminium'!$O$9,'Catalogue Aluminium'!$P$9)),IF(T323="DUCT",(IF($U323="1C",'Catalogue Aluminium'!$O$10,'Catalogue Aluminium'!$P$10)),IF(T323="GROUND",(IF($U323="1C",'Catalogue Aluminium'!$O$11,'Catalogue Aluminium'!$P$11)),IF(T323="TRENCH",(IF($U323="1C",'Catalogue Aluminium'!$O$12,'Catalogue Aluminium'!$P$12))))))</f>
        <v>NA</v>
      </c>
      <c r="AM323" s="408" t="str">
        <f>IF(T323="AIR","NA",IF(T323="TRENCH","NA",IF(T323="DUCT",IF(U323="1C",VLOOKUP(V323,'Catalogue Aluminium'!$Q$9:$S$28,2,FALSE),VLOOKUP(V323,'Catalogue Aluminium'!$Q$9:$S$28,3)),IF(T323="GROUND",IF(U323="1C",VLOOKUP(V323,'Catalogue Aluminium'!$Q$9:$S$28,2,FALSE),VLOOKUP(V323,'Catalogue Aluminium'!$Q$9:$S$28,3))))))</f>
        <v>NA</v>
      </c>
      <c r="AN323" s="584">
        <f t="shared" si="2311"/>
        <v>0.58740000000000003</v>
      </c>
      <c r="AO323" s="583">
        <f t="shared" si="2312"/>
        <v>82.823400000000007</v>
      </c>
      <c r="AP323" s="585">
        <f t="shared" si="2313"/>
        <v>1</v>
      </c>
      <c r="AQ323" s="583" t="str">
        <f t="shared" si="2314"/>
        <v>YES</v>
      </c>
      <c r="AR323" s="584">
        <f t="shared" si="2315"/>
        <v>1.0798122486861237</v>
      </c>
      <c r="AS323" s="409" t="str">
        <f t="shared" si="2316"/>
        <v>YES</v>
      </c>
      <c r="AT323" s="584" t="str">
        <f t="shared" si="2317"/>
        <v>NA</v>
      </c>
      <c r="AU323" s="409" t="str">
        <f t="shared" si="2318"/>
        <v>NA</v>
      </c>
      <c r="AV323" s="586" t="str">
        <f t="shared" si="2319"/>
        <v>1R x 0.6/1kV x 3C x 50 Sqmm</v>
      </c>
      <c r="AW323" s="586" t="str">
        <f t="shared" si="2320"/>
        <v>1R x 0.6/1kV x 3C x 50 Sqmm</v>
      </c>
      <c r="AX323" s="409">
        <f t="shared" si="2321"/>
        <v>103</v>
      </c>
      <c r="AY323" s="866"/>
      <c r="AZ323" s="866">
        <f t="shared" si="2322"/>
        <v>2</v>
      </c>
      <c r="BA323" s="867" t="str">
        <f t="shared" si="2323"/>
        <v>ABB1</v>
      </c>
      <c r="BB323" s="868">
        <f>VLOOKUP(W323,'Catalogue Aluminium'!$B$9:$H$93,7,FALSE)</f>
        <v>26</v>
      </c>
      <c r="BC323" s="789">
        <f t="shared" si="2324"/>
        <v>26</v>
      </c>
      <c r="BE323" s="587"/>
      <c r="BF323" s="587">
        <v>1</v>
      </c>
      <c r="BG323" s="587">
        <v>1</v>
      </c>
      <c r="BH323" s="587">
        <v>1</v>
      </c>
      <c r="BI323" s="587"/>
      <c r="BJ323" s="587"/>
      <c r="BK323" s="587"/>
      <c r="BL323" s="587"/>
      <c r="BM323" s="587"/>
      <c r="BN323" s="587"/>
      <c r="BO323" s="587"/>
      <c r="BP323" s="587"/>
      <c r="BQ323" s="587"/>
      <c r="BR323" s="587"/>
      <c r="BS323" s="587"/>
      <c r="BT323" s="587"/>
      <c r="BU323" s="587"/>
      <c r="BV323" s="587"/>
      <c r="BW323" s="587"/>
      <c r="BX323" s="587"/>
      <c r="BY323" s="587"/>
      <c r="BZ323" s="587"/>
      <c r="CA323" s="587"/>
      <c r="CB323" s="587"/>
      <c r="CC323" s="587"/>
      <c r="CD323" s="587"/>
      <c r="CE323" s="587"/>
      <c r="CF323" s="587"/>
      <c r="CG323" s="587"/>
      <c r="CH323" s="587"/>
      <c r="CI323" s="587"/>
      <c r="CJ323" s="587"/>
      <c r="CK323" s="587"/>
      <c r="CL323" s="587"/>
      <c r="CM323" s="587"/>
      <c r="CN323" s="587"/>
      <c r="CO323" s="587"/>
      <c r="CP323" s="587"/>
      <c r="CQ323" s="587"/>
      <c r="CR323" s="587"/>
      <c r="CS323" s="587"/>
      <c r="CT323" s="587"/>
      <c r="CU323" s="587"/>
      <c r="CV323" s="587"/>
      <c r="CW323" s="587"/>
      <c r="CX323" s="587"/>
      <c r="CY323" s="587"/>
      <c r="CZ323" s="587"/>
      <c r="DA323" s="587"/>
      <c r="DB323" s="587"/>
      <c r="DC323" s="587"/>
      <c r="DD323" s="587"/>
      <c r="DE323" s="587"/>
      <c r="DF323" s="587"/>
      <c r="DG323" s="587"/>
      <c r="DH323" s="587"/>
      <c r="DI323" s="587"/>
      <c r="DJ323" s="587"/>
      <c r="DK323" s="587"/>
      <c r="DL323" s="587"/>
      <c r="DM323" s="587"/>
      <c r="DN323" s="587"/>
      <c r="DO323" s="587"/>
      <c r="DP323" s="587"/>
      <c r="DQ323" s="587"/>
      <c r="DR323" s="587"/>
      <c r="DS323" s="587"/>
      <c r="DT323" s="587"/>
      <c r="DU323" s="587"/>
      <c r="DW323" s="587">
        <f t="shared" si="2325"/>
        <v>0</v>
      </c>
      <c r="DX323" s="587">
        <f t="shared" si="2326"/>
        <v>26</v>
      </c>
      <c r="DY323" s="587">
        <f t="shared" si="2327"/>
        <v>26</v>
      </c>
      <c r="DZ323" s="587">
        <f t="shared" si="2328"/>
        <v>26</v>
      </c>
      <c r="EA323" s="587">
        <f t="shared" si="2329"/>
        <v>0</v>
      </c>
      <c r="EB323" s="587">
        <f t="shared" si="2330"/>
        <v>0</v>
      </c>
      <c r="EC323" s="587">
        <f t="shared" si="2331"/>
        <v>0</v>
      </c>
      <c r="ED323" s="587">
        <f t="shared" si="2332"/>
        <v>0</v>
      </c>
      <c r="EE323" s="587">
        <f t="shared" si="2333"/>
        <v>0</v>
      </c>
      <c r="EF323" s="587">
        <f t="shared" si="2334"/>
        <v>0</v>
      </c>
      <c r="EG323" s="587">
        <f t="shared" si="2335"/>
        <v>0</v>
      </c>
      <c r="EH323" s="587">
        <f t="shared" si="2336"/>
        <v>0</v>
      </c>
      <c r="EI323" s="587">
        <f t="shared" si="2337"/>
        <v>0</v>
      </c>
      <c r="EJ323" s="587">
        <f t="shared" si="2338"/>
        <v>0</v>
      </c>
      <c r="EK323" s="587">
        <f t="shared" si="2339"/>
        <v>0</v>
      </c>
      <c r="EL323" s="587">
        <f t="shared" si="2340"/>
        <v>0</v>
      </c>
      <c r="EM323" s="587">
        <f t="shared" si="2341"/>
        <v>0</v>
      </c>
      <c r="EN323" s="587">
        <f t="shared" si="2342"/>
        <v>0</v>
      </c>
      <c r="EO323" s="587">
        <f t="shared" si="2343"/>
        <v>0</v>
      </c>
      <c r="EP323" s="587">
        <f t="shared" si="2344"/>
        <v>0</v>
      </c>
      <c r="EQ323" s="587">
        <f t="shared" si="2345"/>
        <v>0</v>
      </c>
      <c r="ER323" s="587">
        <f t="shared" si="2346"/>
        <v>0</v>
      </c>
      <c r="ES323" s="587">
        <f t="shared" si="2347"/>
        <v>0</v>
      </c>
      <c r="ET323" s="587">
        <f t="shared" si="2348"/>
        <v>0</v>
      </c>
      <c r="EU323" s="587">
        <f t="shared" si="2349"/>
        <v>0</v>
      </c>
      <c r="EV323" s="587">
        <f t="shared" si="2350"/>
        <v>0</v>
      </c>
      <c r="EW323" s="587">
        <f t="shared" si="2351"/>
        <v>0</v>
      </c>
      <c r="EX323" s="587">
        <f t="shared" si="2352"/>
        <v>0</v>
      </c>
      <c r="EY323" s="587">
        <f t="shared" si="2353"/>
        <v>0</v>
      </c>
      <c r="EZ323" s="587">
        <f t="shared" si="2354"/>
        <v>0</v>
      </c>
      <c r="FA323" s="587">
        <f t="shared" si="2355"/>
        <v>0</v>
      </c>
      <c r="FB323" s="587">
        <f t="shared" si="2356"/>
        <v>0</v>
      </c>
      <c r="FC323" s="587">
        <f t="shared" si="2357"/>
        <v>0</v>
      </c>
      <c r="FD323" s="587">
        <f t="shared" si="2358"/>
        <v>0</v>
      </c>
      <c r="FE323" s="587">
        <f t="shared" si="2359"/>
        <v>0</v>
      </c>
      <c r="FF323" s="587">
        <f t="shared" si="2360"/>
        <v>0</v>
      </c>
      <c r="FG323" s="587">
        <f t="shared" si="2361"/>
        <v>0</v>
      </c>
      <c r="FH323" s="587">
        <f t="shared" si="2362"/>
        <v>0</v>
      </c>
      <c r="FI323" s="587">
        <f t="shared" si="2363"/>
        <v>0</v>
      </c>
      <c r="FJ323" s="587">
        <f t="shared" si="2364"/>
        <v>0</v>
      </c>
      <c r="FK323" s="587">
        <f t="shared" si="2365"/>
        <v>0</v>
      </c>
      <c r="FL323" s="587">
        <f t="shared" si="2366"/>
        <v>0</v>
      </c>
      <c r="FM323" s="587">
        <f t="shared" si="2367"/>
        <v>0</v>
      </c>
      <c r="FN323" s="587">
        <f t="shared" si="2368"/>
        <v>0</v>
      </c>
      <c r="FO323" s="587">
        <f t="shared" si="2369"/>
        <v>0</v>
      </c>
      <c r="FP323" s="587">
        <f t="shared" si="2370"/>
        <v>0</v>
      </c>
      <c r="FQ323" s="587">
        <f t="shared" si="2371"/>
        <v>0</v>
      </c>
      <c r="FR323" s="587">
        <f t="shared" si="2372"/>
        <v>0</v>
      </c>
      <c r="FS323" s="587">
        <f t="shared" si="2373"/>
        <v>0</v>
      </c>
      <c r="FT323" s="587">
        <f t="shared" si="2374"/>
        <v>0</v>
      </c>
      <c r="FU323" s="587">
        <f t="shared" si="2375"/>
        <v>0</v>
      </c>
      <c r="FV323" s="587">
        <f t="shared" si="2376"/>
        <v>0</v>
      </c>
      <c r="FW323" s="587">
        <f t="shared" si="2377"/>
        <v>0</v>
      </c>
      <c r="FX323" s="587">
        <f t="shared" si="2378"/>
        <v>0</v>
      </c>
      <c r="FY323" s="587">
        <f t="shared" si="2379"/>
        <v>0</v>
      </c>
      <c r="FZ323" s="587">
        <f t="shared" si="2380"/>
        <v>0</v>
      </c>
      <c r="GA323" s="587">
        <f t="shared" si="2381"/>
        <v>0</v>
      </c>
      <c r="GB323" s="587">
        <f t="shared" si="2382"/>
        <v>0</v>
      </c>
      <c r="GC323" s="587">
        <f t="shared" si="2383"/>
        <v>0</v>
      </c>
      <c r="GD323" s="587">
        <f t="shared" si="2384"/>
        <v>0</v>
      </c>
      <c r="GE323" s="587">
        <f t="shared" si="2385"/>
        <v>0</v>
      </c>
      <c r="GF323" s="587">
        <f t="shared" si="2386"/>
        <v>0</v>
      </c>
      <c r="GG323" s="587">
        <f t="shared" si="2387"/>
        <v>0</v>
      </c>
      <c r="GH323" s="587">
        <f t="shared" si="2388"/>
        <v>0</v>
      </c>
      <c r="GI323" s="587">
        <f t="shared" si="2389"/>
        <v>0</v>
      </c>
      <c r="GJ323" s="587">
        <f t="shared" si="2390"/>
        <v>0</v>
      </c>
      <c r="GK323" s="587">
        <f t="shared" si="2391"/>
        <v>0</v>
      </c>
      <c r="GL323" s="587">
        <f t="shared" si="2392"/>
        <v>0</v>
      </c>
      <c r="GM323" s="587">
        <f t="shared" si="2393"/>
        <v>0</v>
      </c>
    </row>
    <row r="324" spans="1:195" s="869" customFormat="1" ht="27" customHeight="1">
      <c r="A324" s="406">
        <f t="shared" si="2301"/>
        <v>209</v>
      </c>
      <c r="B324" s="409" t="s">
        <v>527</v>
      </c>
      <c r="C324" s="406" t="str">
        <f t="shared" si="2109"/>
        <v>PDB-1</v>
      </c>
      <c r="D324" s="901" t="s">
        <v>1715</v>
      </c>
      <c r="E324" s="580" t="s">
        <v>608</v>
      </c>
      <c r="F324" s="582" t="s">
        <v>29</v>
      </c>
      <c r="G324" s="406" t="s">
        <v>329</v>
      </c>
      <c r="H324" s="583">
        <v>3.5</v>
      </c>
      <c r="I324" s="406" t="s">
        <v>330</v>
      </c>
      <c r="J324" s="406" t="s">
        <v>357</v>
      </c>
      <c r="K324" s="585">
        <v>230</v>
      </c>
      <c r="L324" s="409">
        <v>0.85</v>
      </c>
      <c r="M324" s="583">
        <v>0.95</v>
      </c>
      <c r="N324" s="407">
        <f t="shared" si="2302"/>
        <v>18.845066630771303</v>
      </c>
      <c r="O324" s="407">
        <f t="shared" si="2303"/>
        <v>0</v>
      </c>
      <c r="P324" s="409" t="str">
        <f t="shared" si="2304"/>
        <v>0.00</v>
      </c>
      <c r="Q324" s="583">
        <v>50</v>
      </c>
      <c r="R324" s="583">
        <v>0</v>
      </c>
      <c r="S324" s="583">
        <f t="shared" si="2305"/>
        <v>0</v>
      </c>
      <c r="T324" s="409" t="s">
        <v>131</v>
      </c>
      <c r="U324" s="583" t="s">
        <v>333</v>
      </c>
      <c r="V324" s="409">
        <v>50</v>
      </c>
      <c r="W324" s="409" t="str">
        <f t="shared" si="2306"/>
        <v>3C X 50</v>
      </c>
      <c r="X324" s="409" t="str">
        <f t="shared" si="2307"/>
        <v>3C X 50</v>
      </c>
      <c r="Y324" s="409" t="s">
        <v>358</v>
      </c>
      <c r="Z324" s="408">
        <f>IF(T324="AIR",VLOOKUP(W324,'Catalogue Aluminium'!$B$9:$G$93,2,FALSE),IF(T324="GROUND",VLOOKUP(W324,'Catalogue Aluminium'!$B$9:$G$93,3,FALSE),IF(T324="DUCT",VLOOKUP(W324,'Catalogue Aluminium'!$B$9:$G$93,4,FALSE),IF(T324="TRENCH",VLOOKUP(W324,'Catalogue Aluminium'!$B$9:$G$93,2,FALSE)))))</f>
        <v>141</v>
      </c>
      <c r="AA324" s="410">
        <f>VLOOKUP(W324,'Catalogue Aluminium'!$B$9:$G$93,5,FALSE)</f>
        <v>0.82</v>
      </c>
      <c r="AB324" s="410">
        <f>VLOOKUP(W324,'Catalogue Aluminium'!$B$9:$G$93,6,FALSE)</f>
        <v>7.9200000000000007E-2</v>
      </c>
      <c r="AC324" s="896">
        <f t="shared" si="2149"/>
        <v>34</v>
      </c>
      <c r="AD324" s="406">
        <f t="shared" si="2308"/>
        <v>41</v>
      </c>
      <c r="AE324" s="896">
        <v>10</v>
      </c>
      <c r="AF324" s="409">
        <v>8</v>
      </c>
      <c r="AG324" s="409">
        <f t="shared" si="2309"/>
        <v>10</v>
      </c>
      <c r="AH324" s="865">
        <f t="shared" si="2310"/>
        <v>103</v>
      </c>
      <c r="AI324" s="408">
        <f>IF(T324="AIR",'Catalogue Aluminium'!$K$9,IF(T324="TRENCH",'Catalogue Aluminium'!$K$12,"NA"))</f>
        <v>0.89</v>
      </c>
      <c r="AJ324" s="407">
        <f>IF(T324="Air",(IF(U324="1C",'Catalogue Aluminium'!$L$9,'Catalogue Aluminium'!$M$9)),IF(T324="DUCT",(IF($U324="1C",'Catalogue Aluminium'!$L$10,'Catalogue Aluminium'!$M$10)),IF(T324="GROUND",(IF($U324="1C",'Catalogue Aluminium'!$L$11,'Catalogue Aluminium'!$M$11)),IF(T324="TRENCH",(IF($U324="1C",'Catalogue Aluminium'!$L$12,'Catalogue Aluminium'!$M$12))))))</f>
        <v>0.66</v>
      </c>
      <c r="AK324" s="408" t="str">
        <f>IF(T324="Air",'Catalogue Aluminium'!$N$9,IF(T324="GROUND",'Catalogue Aluminium'!$N$10,IF(T324="DUCT",'Catalogue Aluminium'!$N$11,IF(T324="TRENCH",'Catalogue Aluminium'!$N$12,"NA"))))</f>
        <v>NA</v>
      </c>
      <c r="AL324" s="408" t="str">
        <f>IF(T324="Air",(IF(U324="1C",'Catalogue Aluminium'!$O$9,'Catalogue Aluminium'!$P$9)),IF(T324="DUCT",(IF($U324="1C",'Catalogue Aluminium'!$O$10,'Catalogue Aluminium'!$P$10)),IF(T324="GROUND",(IF($U324="1C",'Catalogue Aluminium'!$O$11,'Catalogue Aluminium'!$P$11)),IF(T324="TRENCH",(IF($U324="1C",'Catalogue Aluminium'!$O$12,'Catalogue Aluminium'!$P$12))))))</f>
        <v>NA</v>
      </c>
      <c r="AM324" s="408" t="str">
        <f>IF(T324="AIR","NA",IF(T324="TRENCH","NA",IF(T324="DUCT",IF(U324="1C",VLOOKUP(V324,'Catalogue Aluminium'!$Q$9:$S$28,2,FALSE),VLOOKUP(V324,'Catalogue Aluminium'!$Q$9:$S$28,3)),IF(T324="GROUND",IF(U324="1C",VLOOKUP(V324,'Catalogue Aluminium'!$Q$9:$S$28,2,FALSE),VLOOKUP(V324,'Catalogue Aluminium'!$Q$9:$S$28,3))))))</f>
        <v>NA</v>
      </c>
      <c r="AN324" s="584">
        <f t="shared" si="2311"/>
        <v>0.58740000000000003</v>
      </c>
      <c r="AO324" s="583">
        <f t="shared" si="2312"/>
        <v>82.823400000000007</v>
      </c>
      <c r="AP324" s="585">
        <f t="shared" si="2313"/>
        <v>1</v>
      </c>
      <c r="AQ324" s="583" t="str">
        <f t="shared" si="2314"/>
        <v>YES</v>
      </c>
      <c r="AR324" s="584">
        <f t="shared" si="2315"/>
        <v>1.0798122486861237</v>
      </c>
      <c r="AS324" s="409" t="str">
        <f t="shared" si="2316"/>
        <v>YES</v>
      </c>
      <c r="AT324" s="584" t="str">
        <f t="shared" si="2317"/>
        <v>NA</v>
      </c>
      <c r="AU324" s="409" t="str">
        <f t="shared" si="2318"/>
        <v>NA</v>
      </c>
      <c r="AV324" s="586" t="str">
        <f t="shared" si="2319"/>
        <v>1R x 0.6/1kV x 3C x 50 Sqmm</v>
      </c>
      <c r="AW324" s="586" t="str">
        <f t="shared" si="2320"/>
        <v>1R x 0.6/1kV x 3C x 50 Sqmm</v>
      </c>
      <c r="AX324" s="409">
        <f t="shared" si="2321"/>
        <v>103</v>
      </c>
      <c r="AY324" s="866"/>
      <c r="AZ324" s="866">
        <f t="shared" si="2322"/>
        <v>2</v>
      </c>
      <c r="BA324" s="867" t="str">
        <f t="shared" si="2323"/>
        <v>ABB1</v>
      </c>
      <c r="BB324" s="868">
        <f>VLOOKUP(W324,'Catalogue Aluminium'!$B$9:$H$93,7,FALSE)</f>
        <v>26</v>
      </c>
      <c r="BC324" s="789">
        <f t="shared" si="2324"/>
        <v>26</v>
      </c>
      <c r="BE324" s="587"/>
      <c r="BF324" s="587">
        <v>1</v>
      </c>
      <c r="BG324" s="587">
        <v>1</v>
      </c>
      <c r="BH324" s="587">
        <v>1</v>
      </c>
      <c r="BI324" s="587"/>
      <c r="BJ324" s="587"/>
      <c r="BK324" s="587"/>
      <c r="BL324" s="587"/>
      <c r="BM324" s="587"/>
      <c r="BN324" s="587"/>
      <c r="BO324" s="587"/>
      <c r="BP324" s="587"/>
      <c r="BQ324" s="587"/>
      <c r="BR324" s="587"/>
      <c r="BS324" s="587"/>
      <c r="BT324" s="587"/>
      <c r="BU324" s="587"/>
      <c r="BV324" s="587"/>
      <c r="BW324" s="587"/>
      <c r="BX324" s="587"/>
      <c r="BY324" s="587"/>
      <c r="BZ324" s="587"/>
      <c r="CA324" s="587"/>
      <c r="CB324" s="587"/>
      <c r="CC324" s="587"/>
      <c r="CD324" s="587"/>
      <c r="CE324" s="587"/>
      <c r="CF324" s="587"/>
      <c r="CG324" s="587"/>
      <c r="CH324" s="587"/>
      <c r="CI324" s="587"/>
      <c r="CJ324" s="587"/>
      <c r="CK324" s="587"/>
      <c r="CL324" s="587"/>
      <c r="CM324" s="587"/>
      <c r="CN324" s="587"/>
      <c r="CO324" s="587"/>
      <c r="CP324" s="587"/>
      <c r="CQ324" s="587"/>
      <c r="CR324" s="587"/>
      <c r="CS324" s="587"/>
      <c r="CT324" s="587"/>
      <c r="CU324" s="587"/>
      <c r="CV324" s="587"/>
      <c r="CW324" s="587"/>
      <c r="CX324" s="587"/>
      <c r="CY324" s="587"/>
      <c r="CZ324" s="587"/>
      <c r="DA324" s="587"/>
      <c r="DB324" s="587"/>
      <c r="DC324" s="587"/>
      <c r="DD324" s="587"/>
      <c r="DE324" s="587"/>
      <c r="DF324" s="587"/>
      <c r="DG324" s="587"/>
      <c r="DH324" s="587"/>
      <c r="DI324" s="587"/>
      <c r="DJ324" s="587"/>
      <c r="DK324" s="587"/>
      <c r="DL324" s="587"/>
      <c r="DM324" s="587"/>
      <c r="DN324" s="587"/>
      <c r="DO324" s="587"/>
      <c r="DP324" s="587"/>
      <c r="DQ324" s="587"/>
      <c r="DR324" s="587"/>
      <c r="DS324" s="587"/>
      <c r="DT324" s="587"/>
      <c r="DU324" s="587"/>
      <c r="DW324" s="587">
        <f t="shared" si="2325"/>
        <v>0</v>
      </c>
      <c r="DX324" s="587">
        <f t="shared" si="2326"/>
        <v>26</v>
      </c>
      <c r="DY324" s="587">
        <f t="shared" si="2327"/>
        <v>26</v>
      </c>
      <c r="DZ324" s="587">
        <f t="shared" si="2328"/>
        <v>26</v>
      </c>
      <c r="EA324" s="587">
        <f t="shared" si="2329"/>
        <v>0</v>
      </c>
      <c r="EB324" s="587">
        <f t="shared" si="2330"/>
        <v>0</v>
      </c>
      <c r="EC324" s="587">
        <f t="shared" si="2331"/>
        <v>0</v>
      </c>
      <c r="ED324" s="587">
        <f t="shared" si="2332"/>
        <v>0</v>
      </c>
      <c r="EE324" s="587">
        <f t="shared" si="2333"/>
        <v>0</v>
      </c>
      <c r="EF324" s="587">
        <f t="shared" si="2334"/>
        <v>0</v>
      </c>
      <c r="EG324" s="587">
        <f t="shared" si="2335"/>
        <v>0</v>
      </c>
      <c r="EH324" s="587">
        <f t="shared" si="2336"/>
        <v>0</v>
      </c>
      <c r="EI324" s="587">
        <f t="shared" si="2337"/>
        <v>0</v>
      </c>
      <c r="EJ324" s="587">
        <f t="shared" si="2338"/>
        <v>0</v>
      </c>
      <c r="EK324" s="587">
        <f t="shared" si="2339"/>
        <v>0</v>
      </c>
      <c r="EL324" s="587">
        <f t="shared" si="2340"/>
        <v>0</v>
      </c>
      <c r="EM324" s="587">
        <f t="shared" si="2341"/>
        <v>0</v>
      </c>
      <c r="EN324" s="587">
        <f t="shared" si="2342"/>
        <v>0</v>
      </c>
      <c r="EO324" s="587">
        <f t="shared" si="2343"/>
        <v>0</v>
      </c>
      <c r="EP324" s="587">
        <f t="shared" si="2344"/>
        <v>0</v>
      </c>
      <c r="EQ324" s="587">
        <f t="shared" si="2345"/>
        <v>0</v>
      </c>
      <c r="ER324" s="587">
        <f t="shared" si="2346"/>
        <v>0</v>
      </c>
      <c r="ES324" s="587">
        <f t="shared" si="2347"/>
        <v>0</v>
      </c>
      <c r="ET324" s="587">
        <f t="shared" si="2348"/>
        <v>0</v>
      </c>
      <c r="EU324" s="587">
        <f t="shared" si="2349"/>
        <v>0</v>
      </c>
      <c r="EV324" s="587">
        <f t="shared" si="2350"/>
        <v>0</v>
      </c>
      <c r="EW324" s="587">
        <f t="shared" si="2351"/>
        <v>0</v>
      </c>
      <c r="EX324" s="587">
        <f t="shared" si="2352"/>
        <v>0</v>
      </c>
      <c r="EY324" s="587">
        <f t="shared" si="2353"/>
        <v>0</v>
      </c>
      <c r="EZ324" s="587">
        <f t="shared" si="2354"/>
        <v>0</v>
      </c>
      <c r="FA324" s="587">
        <f t="shared" si="2355"/>
        <v>0</v>
      </c>
      <c r="FB324" s="587">
        <f t="shared" si="2356"/>
        <v>0</v>
      </c>
      <c r="FC324" s="587">
        <f t="shared" si="2357"/>
        <v>0</v>
      </c>
      <c r="FD324" s="587">
        <f t="shared" si="2358"/>
        <v>0</v>
      </c>
      <c r="FE324" s="587">
        <f t="shared" si="2359"/>
        <v>0</v>
      </c>
      <c r="FF324" s="587">
        <f t="shared" si="2360"/>
        <v>0</v>
      </c>
      <c r="FG324" s="587">
        <f t="shared" si="2361"/>
        <v>0</v>
      </c>
      <c r="FH324" s="587">
        <f t="shared" si="2362"/>
        <v>0</v>
      </c>
      <c r="FI324" s="587">
        <f t="shared" si="2363"/>
        <v>0</v>
      </c>
      <c r="FJ324" s="587">
        <f t="shared" si="2364"/>
        <v>0</v>
      </c>
      <c r="FK324" s="587">
        <f t="shared" si="2365"/>
        <v>0</v>
      </c>
      <c r="FL324" s="587">
        <f t="shared" si="2366"/>
        <v>0</v>
      </c>
      <c r="FM324" s="587">
        <f t="shared" si="2367"/>
        <v>0</v>
      </c>
      <c r="FN324" s="587">
        <f t="shared" si="2368"/>
        <v>0</v>
      </c>
      <c r="FO324" s="587">
        <f t="shared" si="2369"/>
        <v>0</v>
      </c>
      <c r="FP324" s="587">
        <f t="shared" si="2370"/>
        <v>0</v>
      </c>
      <c r="FQ324" s="587">
        <f t="shared" si="2371"/>
        <v>0</v>
      </c>
      <c r="FR324" s="587">
        <f t="shared" si="2372"/>
        <v>0</v>
      </c>
      <c r="FS324" s="587">
        <f t="shared" si="2373"/>
        <v>0</v>
      </c>
      <c r="FT324" s="587">
        <f t="shared" si="2374"/>
        <v>0</v>
      </c>
      <c r="FU324" s="587">
        <f t="shared" si="2375"/>
        <v>0</v>
      </c>
      <c r="FV324" s="587">
        <f t="shared" si="2376"/>
        <v>0</v>
      </c>
      <c r="FW324" s="587">
        <f t="shared" si="2377"/>
        <v>0</v>
      </c>
      <c r="FX324" s="587">
        <f t="shared" si="2378"/>
        <v>0</v>
      </c>
      <c r="FY324" s="587">
        <f t="shared" si="2379"/>
        <v>0</v>
      </c>
      <c r="FZ324" s="587">
        <f t="shared" si="2380"/>
        <v>0</v>
      </c>
      <c r="GA324" s="587">
        <f t="shared" si="2381"/>
        <v>0</v>
      </c>
      <c r="GB324" s="587">
        <f t="shared" si="2382"/>
        <v>0</v>
      </c>
      <c r="GC324" s="587">
        <f t="shared" si="2383"/>
        <v>0</v>
      </c>
      <c r="GD324" s="587">
        <f t="shared" si="2384"/>
        <v>0</v>
      </c>
      <c r="GE324" s="587">
        <f t="shared" si="2385"/>
        <v>0</v>
      </c>
      <c r="GF324" s="587">
        <f t="shared" si="2386"/>
        <v>0</v>
      </c>
      <c r="GG324" s="587">
        <f t="shared" si="2387"/>
        <v>0</v>
      </c>
      <c r="GH324" s="587">
        <f t="shared" si="2388"/>
        <v>0</v>
      </c>
      <c r="GI324" s="587">
        <f t="shared" si="2389"/>
        <v>0</v>
      </c>
      <c r="GJ324" s="587">
        <f t="shared" si="2390"/>
        <v>0</v>
      </c>
      <c r="GK324" s="587">
        <f t="shared" si="2391"/>
        <v>0</v>
      </c>
      <c r="GL324" s="587">
        <f t="shared" si="2392"/>
        <v>0</v>
      </c>
      <c r="GM324" s="587">
        <f t="shared" si="2393"/>
        <v>0</v>
      </c>
    </row>
    <row r="325" spans="1:195" s="869" customFormat="1" ht="27" customHeight="1">
      <c r="A325" s="406">
        <f t="shared" si="2301"/>
        <v>210</v>
      </c>
      <c r="B325" s="409" t="s">
        <v>527</v>
      </c>
      <c r="C325" s="406" t="str">
        <f t="shared" si="2109"/>
        <v>PDB-1</v>
      </c>
      <c r="D325" s="901" t="s">
        <v>1716</v>
      </c>
      <c r="E325" s="580" t="s">
        <v>608</v>
      </c>
      <c r="F325" s="582" t="s">
        <v>29</v>
      </c>
      <c r="G325" s="406" t="s">
        <v>329</v>
      </c>
      <c r="H325" s="583">
        <v>3.5</v>
      </c>
      <c r="I325" s="406" t="s">
        <v>330</v>
      </c>
      <c r="J325" s="406" t="s">
        <v>357</v>
      </c>
      <c r="K325" s="585">
        <v>230</v>
      </c>
      <c r="L325" s="409">
        <v>0.85</v>
      </c>
      <c r="M325" s="583">
        <v>0.95</v>
      </c>
      <c r="N325" s="407">
        <f t="shared" si="2302"/>
        <v>18.845066630771303</v>
      </c>
      <c r="O325" s="407">
        <f t="shared" si="2303"/>
        <v>0</v>
      </c>
      <c r="P325" s="409" t="str">
        <f t="shared" si="2304"/>
        <v>0.00</v>
      </c>
      <c r="Q325" s="583">
        <v>50</v>
      </c>
      <c r="R325" s="583">
        <v>0</v>
      </c>
      <c r="S325" s="583">
        <f t="shared" si="2305"/>
        <v>0</v>
      </c>
      <c r="T325" s="409" t="s">
        <v>131</v>
      </c>
      <c r="U325" s="583" t="s">
        <v>333</v>
      </c>
      <c r="V325" s="409">
        <v>50</v>
      </c>
      <c r="W325" s="409" t="str">
        <f t="shared" si="2306"/>
        <v>3C X 50</v>
      </c>
      <c r="X325" s="409" t="str">
        <f t="shared" si="2307"/>
        <v>3C X 50</v>
      </c>
      <c r="Y325" s="409" t="s">
        <v>358</v>
      </c>
      <c r="Z325" s="408">
        <f>IF(T325="AIR",VLOOKUP(W325,'Catalogue Aluminium'!$B$9:$G$93,2,FALSE),IF(T325="GROUND",VLOOKUP(W325,'Catalogue Aluminium'!$B$9:$G$93,3,FALSE),IF(T325="DUCT",VLOOKUP(W325,'Catalogue Aluminium'!$B$9:$G$93,4,FALSE),IF(T325="TRENCH",VLOOKUP(W325,'Catalogue Aluminium'!$B$9:$G$93,2,FALSE)))))</f>
        <v>141</v>
      </c>
      <c r="AA325" s="410">
        <f>VLOOKUP(W325,'Catalogue Aluminium'!$B$9:$G$93,5,FALSE)</f>
        <v>0.82</v>
      </c>
      <c r="AB325" s="410">
        <f>VLOOKUP(W325,'Catalogue Aluminium'!$B$9:$G$93,6,FALSE)</f>
        <v>7.9200000000000007E-2</v>
      </c>
      <c r="AC325" s="896">
        <f t="shared" si="2149"/>
        <v>34</v>
      </c>
      <c r="AD325" s="406">
        <f t="shared" si="2308"/>
        <v>41</v>
      </c>
      <c r="AE325" s="896">
        <v>10</v>
      </c>
      <c r="AF325" s="409">
        <v>8</v>
      </c>
      <c r="AG325" s="409">
        <f t="shared" si="2309"/>
        <v>10</v>
      </c>
      <c r="AH325" s="865">
        <f t="shared" si="2310"/>
        <v>103</v>
      </c>
      <c r="AI325" s="408">
        <f>IF(T325="AIR",'Catalogue Aluminium'!$K$9,IF(T325="TRENCH",'Catalogue Aluminium'!$K$12,"NA"))</f>
        <v>0.89</v>
      </c>
      <c r="AJ325" s="407">
        <f>IF(T325="Air",(IF(U325="1C",'Catalogue Aluminium'!$L$9,'Catalogue Aluminium'!$M$9)),IF(T325="DUCT",(IF($U325="1C",'Catalogue Aluminium'!$L$10,'Catalogue Aluminium'!$M$10)),IF(T325="GROUND",(IF($U325="1C",'Catalogue Aluminium'!$L$11,'Catalogue Aluminium'!$M$11)),IF(T325="TRENCH",(IF($U325="1C",'Catalogue Aluminium'!$L$12,'Catalogue Aluminium'!$M$12))))))</f>
        <v>0.66</v>
      </c>
      <c r="AK325" s="408" t="str">
        <f>IF(T325="Air",'Catalogue Aluminium'!$N$9,IF(T325="GROUND",'Catalogue Aluminium'!$N$10,IF(T325="DUCT",'Catalogue Aluminium'!$N$11,IF(T325="TRENCH",'Catalogue Aluminium'!$N$12,"NA"))))</f>
        <v>NA</v>
      </c>
      <c r="AL325" s="408" t="str">
        <f>IF(T325="Air",(IF(U325="1C",'Catalogue Aluminium'!$O$9,'Catalogue Aluminium'!$P$9)),IF(T325="DUCT",(IF($U325="1C",'Catalogue Aluminium'!$O$10,'Catalogue Aluminium'!$P$10)),IF(T325="GROUND",(IF($U325="1C",'Catalogue Aluminium'!$O$11,'Catalogue Aluminium'!$P$11)),IF(T325="TRENCH",(IF($U325="1C",'Catalogue Aluminium'!$O$12,'Catalogue Aluminium'!$P$12))))))</f>
        <v>NA</v>
      </c>
      <c r="AM325" s="408" t="str">
        <f>IF(T325="AIR","NA",IF(T325="TRENCH","NA",IF(T325="DUCT",IF(U325="1C",VLOOKUP(V325,'Catalogue Aluminium'!$Q$9:$S$28,2,FALSE),VLOOKUP(V325,'Catalogue Aluminium'!$Q$9:$S$28,3)),IF(T325="GROUND",IF(U325="1C",VLOOKUP(V325,'Catalogue Aluminium'!$Q$9:$S$28,2,FALSE),VLOOKUP(V325,'Catalogue Aluminium'!$Q$9:$S$28,3))))))</f>
        <v>NA</v>
      </c>
      <c r="AN325" s="584">
        <f t="shared" si="2311"/>
        <v>0.58740000000000003</v>
      </c>
      <c r="AO325" s="583">
        <f t="shared" si="2312"/>
        <v>82.823400000000007</v>
      </c>
      <c r="AP325" s="585">
        <f t="shared" si="2313"/>
        <v>1</v>
      </c>
      <c r="AQ325" s="583" t="str">
        <f t="shared" si="2314"/>
        <v>YES</v>
      </c>
      <c r="AR325" s="584">
        <f t="shared" si="2315"/>
        <v>1.0798122486861237</v>
      </c>
      <c r="AS325" s="409" t="str">
        <f t="shared" si="2316"/>
        <v>YES</v>
      </c>
      <c r="AT325" s="584" t="str">
        <f t="shared" si="2317"/>
        <v>NA</v>
      </c>
      <c r="AU325" s="409" t="str">
        <f t="shared" si="2318"/>
        <v>NA</v>
      </c>
      <c r="AV325" s="586" t="str">
        <f t="shared" si="2319"/>
        <v>1R x 0.6/1kV x 3C x 50 Sqmm</v>
      </c>
      <c r="AW325" s="586" t="str">
        <f t="shared" si="2320"/>
        <v>1R x 0.6/1kV x 3C x 50 Sqmm</v>
      </c>
      <c r="AX325" s="409">
        <f t="shared" si="2321"/>
        <v>103</v>
      </c>
      <c r="AY325" s="866"/>
      <c r="AZ325" s="866">
        <f t="shared" si="2322"/>
        <v>2</v>
      </c>
      <c r="BA325" s="867" t="str">
        <f t="shared" si="2323"/>
        <v>ABB1</v>
      </c>
      <c r="BB325" s="868">
        <f>VLOOKUP(W325,'Catalogue Aluminium'!$B$9:$H$93,7,FALSE)</f>
        <v>26</v>
      </c>
      <c r="BC325" s="789">
        <f t="shared" si="2324"/>
        <v>26</v>
      </c>
      <c r="BE325" s="587"/>
      <c r="BF325" s="587">
        <v>1</v>
      </c>
      <c r="BG325" s="587">
        <v>1</v>
      </c>
      <c r="BH325" s="587">
        <v>1</v>
      </c>
      <c r="BI325" s="587"/>
      <c r="BJ325" s="587"/>
      <c r="BK325" s="587"/>
      <c r="BL325" s="587"/>
      <c r="BM325" s="587"/>
      <c r="BN325" s="587"/>
      <c r="BO325" s="587"/>
      <c r="BP325" s="587"/>
      <c r="BQ325" s="587"/>
      <c r="BR325" s="587"/>
      <c r="BS325" s="587"/>
      <c r="BT325" s="587"/>
      <c r="BU325" s="587"/>
      <c r="BV325" s="587"/>
      <c r="BW325" s="587"/>
      <c r="BX325" s="587"/>
      <c r="BY325" s="587"/>
      <c r="BZ325" s="587"/>
      <c r="CA325" s="587"/>
      <c r="CB325" s="587"/>
      <c r="CC325" s="587"/>
      <c r="CD325" s="587"/>
      <c r="CE325" s="587"/>
      <c r="CF325" s="587"/>
      <c r="CG325" s="587"/>
      <c r="CH325" s="587"/>
      <c r="CI325" s="587"/>
      <c r="CJ325" s="587"/>
      <c r="CK325" s="587"/>
      <c r="CL325" s="587"/>
      <c r="CM325" s="587"/>
      <c r="CN325" s="587"/>
      <c r="CO325" s="587"/>
      <c r="CP325" s="587"/>
      <c r="CQ325" s="587"/>
      <c r="CR325" s="587"/>
      <c r="CS325" s="587"/>
      <c r="CT325" s="587"/>
      <c r="CU325" s="587"/>
      <c r="CV325" s="587"/>
      <c r="CW325" s="587"/>
      <c r="CX325" s="587"/>
      <c r="CY325" s="587"/>
      <c r="CZ325" s="587"/>
      <c r="DA325" s="587"/>
      <c r="DB325" s="587"/>
      <c r="DC325" s="587"/>
      <c r="DD325" s="587"/>
      <c r="DE325" s="587"/>
      <c r="DF325" s="587"/>
      <c r="DG325" s="587"/>
      <c r="DH325" s="587"/>
      <c r="DI325" s="587"/>
      <c r="DJ325" s="587"/>
      <c r="DK325" s="587"/>
      <c r="DL325" s="587"/>
      <c r="DM325" s="587"/>
      <c r="DN325" s="587"/>
      <c r="DO325" s="587"/>
      <c r="DP325" s="587"/>
      <c r="DQ325" s="587"/>
      <c r="DR325" s="587"/>
      <c r="DS325" s="587"/>
      <c r="DT325" s="587"/>
      <c r="DU325" s="587"/>
      <c r="DW325" s="587">
        <f t="shared" si="2325"/>
        <v>0</v>
      </c>
      <c r="DX325" s="587">
        <f t="shared" si="2326"/>
        <v>26</v>
      </c>
      <c r="DY325" s="587">
        <f t="shared" si="2327"/>
        <v>26</v>
      </c>
      <c r="DZ325" s="587">
        <f t="shared" si="2328"/>
        <v>26</v>
      </c>
      <c r="EA325" s="587">
        <f t="shared" si="2329"/>
        <v>0</v>
      </c>
      <c r="EB325" s="587">
        <f t="shared" si="2330"/>
        <v>0</v>
      </c>
      <c r="EC325" s="587">
        <f t="shared" si="2331"/>
        <v>0</v>
      </c>
      <c r="ED325" s="587">
        <f t="shared" si="2332"/>
        <v>0</v>
      </c>
      <c r="EE325" s="587">
        <f t="shared" si="2333"/>
        <v>0</v>
      </c>
      <c r="EF325" s="587">
        <f t="shared" si="2334"/>
        <v>0</v>
      </c>
      <c r="EG325" s="587">
        <f t="shared" si="2335"/>
        <v>0</v>
      </c>
      <c r="EH325" s="587">
        <f t="shared" si="2336"/>
        <v>0</v>
      </c>
      <c r="EI325" s="587">
        <f t="shared" si="2337"/>
        <v>0</v>
      </c>
      <c r="EJ325" s="587">
        <f t="shared" si="2338"/>
        <v>0</v>
      </c>
      <c r="EK325" s="587">
        <f t="shared" si="2339"/>
        <v>0</v>
      </c>
      <c r="EL325" s="587">
        <f t="shared" si="2340"/>
        <v>0</v>
      </c>
      <c r="EM325" s="587">
        <f t="shared" si="2341"/>
        <v>0</v>
      </c>
      <c r="EN325" s="587">
        <f t="shared" si="2342"/>
        <v>0</v>
      </c>
      <c r="EO325" s="587">
        <f t="shared" si="2343"/>
        <v>0</v>
      </c>
      <c r="EP325" s="587">
        <f t="shared" si="2344"/>
        <v>0</v>
      </c>
      <c r="EQ325" s="587">
        <f t="shared" si="2345"/>
        <v>0</v>
      </c>
      <c r="ER325" s="587">
        <f t="shared" si="2346"/>
        <v>0</v>
      </c>
      <c r="ES325" s="587">
        <f t="shared" si="2347"/>
        <v>0</v>
      </c>
      <c r="ET325" s="587">
        <f t="shared" si="2348"/>
        <v>0</v>
      </c>
      <c r="EU325" s="587">
        <f t="shared" si="2349"/>
        <v>0</v>
      </c>
      <c r="EV325" s="587">
        <f t="shared" si="2350"/>
        <v>0</v>
      </c>
      <c r="EW325" s="587">
        <f t="shared" si="2351"/>
        <v>0</v>
      </c>
      <c r="EX325" s="587">
        <f t="shared" si="2352"/>
        <v>0</v>
      </c>
      <c r="EY325" s="587">
        <f t="shared" si="2353"/>
        <v>0</v>
      </c>
      <c r="EZ325" s="587">
        <f t="shared" si="2354"/>
        <v>0</v>
      </c>
      <c r="FA325" s="587">
        <f t="shared" si="2355"/>
        <v>0</v>
      </c>
      <c r="FB325" s="587">
        <f t="shared" si="2356"/>
        <v>0</v>
      </c>
      <c r="FC325" s="587">
        <f t="shared" si="2357"/>
        <v>0</v>
      </c>
      <c r="FD325" s="587">
        <f t="shared" si="2358"/>
        <v>0</v>
      </c>
      <c r="FE325" s="587">
        <f t="shared" si="2359"/>
        <v>0</v>
      </c>
      <c r="FF325" s="587">
        <f t="shared" si="2360"/>
        <v>0</v>
      </c>
      <c r="FG325" s="587">
        <f t="shared" si="2361"/>
        <v>0</v>
      </c>
      <c r="FH325" s="587">
        <f t="shared" si="2362"/>
        <v>0</v>
      </c>
      <c r="FI325" s="587">
        <f t="shared" si="2363"/>
        <v>0</v>
      </c>
      <c r="FJ325" s="587">
        <f t="shared" si="2364"/>
        <v>0</v>
      </c>
      <c r="FK325" s="587">
        <f t="shared" si="2365"/>
        <v>0</v>
      </c>
      <c r="FL325" s="587">
        <f t="shared" si="2366"/>
        <v>0</v>
      </c>
      <c r="FM325" s="587">
        <f t="shared" si="2367"/>
        <v>0</v>
      </c>
      <c r="FN325" s="587">
        <f t="shared" si="2368"/>
        <v>0</v>
      </c>
      <c r="FO325" s="587">
        <f t="shared" si="2369"/>
        <v>0</v>
      </c>
      <c r="FP325" s="587">
        <f t="shared" si="2370"/>
        <v>0</v>
      </c>
      <c r="FQ325" s="587">
        <f t="shared" si="2371"/>
        <v>0</v>
      </c>
      <c r="FR325" s="587">
        <f t="shared" si="2372"/>
        <v>0</v>
      </c>
      <c r="FS325" s="587">
        <f t="shared" si="2373"/>
        <v>0</v>
      </c>
      <c r="FT325" s="587">
        <f t="shared" si="2374"/>
        <v>0</v>
      </c>
      <c r="FU325" s="587">
        <f t="shared" si="2375"/>
        <v>0</v>
      </c>
      <c r="FV325" s="587">
        <f t="shared" si="2376"/>
        <v>0</v>
      </c>
      <c r="FW325" s="587">
        <f t="shared" si="2377"/>
        <v>0</v>
      </c>
      <c r="FX325" s="587">
        <f t="shared" si="2378"/>
        <v>0</v>
      </c>
      <c r="FY325" s="587">
        <f t="shared" si="2379"/>
        <v>0</v>
      </c>
      <c r="FZ325" s="587">
        <f t="shared" si="2380"/>
        <v>0</v>
      </c>
      <c r="GA325" s="587">
        <f t="shared" si="2381"/>
        <v>0</v>
      </c>
      <c r="GB325" s="587">
        <f t="shared" si="2382"/>
        <v>0</v>
      </c>
      <c r="GC325" s="587">
        <f t="shared" si="2383"/>
        <v>0</v>
      </c>
      <c r="GD325" s="587">
        <f t="shared" si="2384"/>
        <v>0</v>
      </c>
      <c r="GE325" s="587">
        <f t="shared" si="2385"/>
        <v>0</v>
      </c>
      <c r="GF325" s="587">
        <f t="shared" si="2386"/>
        <v>0</v>
      </c>
      <c r="GG325" s="587">
        <f t="shared" si="2387"/>
        <v>0</v>
      </c>
      <c r="GH325" s="587">
        <f t="shared" si="2388"/>
        <v>0</v>
      </c>
      <c r="GI325" s="587">
        <f t="shared" si="2389"/>
        <v>0</v>
      </c>
      <c r="GJ325" s="587">
        <f t="shared" si="2390"/>
        <v>0</v>
      </c>
      <c r="GK325" s="587">
        <f t="shared" si="2391"/>
        <v>0</v>
      </c>
      <c r="GL325" s="587">
        <f t="shared" si="2392"/>
        <v>0</v>
      </c>
      <c r="GM325" s="587">
        <f t="shared" si="2393"/>
        <v>0</v>
      </c>
    </row>
    <row r="326" spans="1:195" s="869" customFormat="1" ht="27" customHeight="1">
      <c r="A326" s="406">
        <f t="shared" si="2301"/>
        <v>207</v>
      </c>
      <c r="B326" s="409" t="s">
        <v>527</v>
      </c>
      <c r="C326" s="406" t="str">
        <f t="shared" si="2109"/>
        <v>PDB-1</v>
      </c>
      <c r="D326" s="901" t="s">
        <v>1717</v>
      </c>
      <c r="E326" s="580" t="s">
        <v>608</v>
      </c>
      <c r="F326" s="582" t="s">
        <v>29</v>
      </c>
      <c r="G326" s="406" t="s">
        <v>329</v>
      </c>
      <c r="H326" s="583">
        <v>3.5</v>
      </c>
      <c r="I326" s="406" t="s">
        <v>330</v>
      </c>
      <c r="J326" s="406" t="s">
        <v>357</v>
      </c>
      <c r="K326" s="585">
        <v>230</v>
      </c>
      <c r="L326" s="409">
        <v>0.85</v>
      </c>
      <c r="M326" s="583">
        <v>0.95</v>
      </c>
      <c r="N326" s="407">
        <f t="shared" si="2302"/>
        <v>18.845066630771303</v>
      </c>
      <c r="O326" s="407">
        <f t="shared" si="2303"/>
        <v>0</v>
      </c>
      <c r="P326" s="409" t="str">
        <f t="shared" si="2304"/>
        <v>0.00</v>
      </c>
      <c r="Q326" s="583">
        <v>50</v>
      </c>
      <c r="R326" s="583">
        <v>0</v>
      </c>
      <c r="S326" s="583">
        <f t="shared" si="2305"/>
        <v>0</v>
      </c>
      <c r="T326" s="409" t="s">
        <v>131</v>
      </c>
      <c r="U326" s="583" t="s">
        <v>333</v>
      </c>
      <c r="V326" s="409">
        <v>50</v>
      </c>
      <c r="W326" s="409" t="str">
        <f t="shared" si="2306"/>
        <v>3C X 50</v>
      </c>
      <c r="X326" s="409" t="str">
        <f t="shared" si="2307"/>
        <v>3C X 50</v>
      </c>
      <c r="Y326" s="409" t="s">
        <v>358</v>
      </c>
      <c r="Z326" s="408">
        <f>IF(T326="AIR",VLOOKUP(W326,'Catalogue Aluminium'!$B$9:$G$93,2,FALSE),IF(T326="GROUND",VLOOKUP(W326,'Catalogue Aluminium'!$B$9:$G$93,3,FALSE),IF(T326="DUCT",VLOOKUP(W326,'Catalogue Aluminium'!$B$9:$G$93,4,FALSE),IF(T326="TRENCH",VLOOKUP(W326,'Catalogue Aluminium'!$B$9:$G$93,2,FALSE)))))</f>
        <v>141</v>
      </c>
      <c r="AA326" s="410">
        <f>VLOOKUP(W326,'Catalogue Aluminium'!$B$9:$G$93,5,FALSE)</f>
        <v>0.82</v>
      </c>
      <c r="AB326" s="410">
        <f>VLOOKUP(W326,'Catalogue Aluminium'!$B$9:$G$93,6,FALSE)</f>
        <v>7.9200000000000007E-2</v>
      </c>
      <c r="AC326" s="896">
        <f t="shared" si="2149"/>
        <v>34</v>
      </c>
      <c r="AD326" s="406">
        <f t="shared" si="2308"/>
        <v>41</v>
      </c>
      <c r="AE326" s="896">
        <v>10</v>
      </c>
      <c r="AF326" s="409">
        <v>8</v>
      </c>
      <c r="AG326" s="409">
        <f t="shared" si="2309"/>
        <v>10</v>
      </c>
      <c r="AH326" s="865">
        <f t="shared" si="2310"/>
        <v>103</v>
      </c>
      <c r="AI326" s="408">
        <f>IF(T326="AIR",'Catalogue Aluminium'!$K$9,IF(T326="TRENCH",'Catalogue Aluminium'!$K$12,"NA"))</f>
        <v>0.89</v>
      </c>
      <c r="AJ326" s="407">
        <f>IF(T326="Air",(IF(U326="1C",'Catalogue Aluminium'!$L$9,'Catalogue Aluminium'!$M$9)),IF(T326="DUCT",(IF($U326="1C",'Catalogue Aluminium'!$L$10,'Catalogue Aluminium'!$M$10)),IF(T326="GROUND",(IF($U326="1C",'Catalogue Aluminium'!$L$11,'Catalogue Aluminium'!$M$11)),IF(T326="TRENCH",(IF($U326="1C",'Catalogue Aluminium'!$L$12,'Catalogue Aluminium'!$M$12))))))</f>
        <v>0.66</v>
      </c>
      <c r="AK326" s="408" t="str">
        <f>IF(T326="Air",'Catalogue Aluminium'!$N$9,IF(T326="GROUND",'Catalogue Aluminium'!$N$10,IF(T326="DUCT",'Catalogue Aluminium'!$N$11,IF(T326="TRENCH",'Catalogue Aluminium'!$N$12,"NA"))))</f>
        <v>NA</v>
      </c>
      <c r="AL326" s="408" t="str">
        <f>IF(T326="Air",(IF(U326="1C",'Catalogue Aluminium'!$O$9,'Catalogue Aluminium'!$P$9)),IF(T326="DUCT",(IF($U326="1C",'Catalogue Aluminium'!$O$10,'Catalogue Aluminium'!$P$10)),IF(T326="GROUND",(IF($U326="1C",'Catalogue Aluminium'!$O$11,'Catalogue Aluminium'!$P$11)),IF(T326="TRENCH",(IF($U326="1C",'Catalogue Aluminium'!$O$12,'Catalogue Aluminium'!$P$12))))))</f>
        <v>NA</v>
      </c>
      <c r="AM326" s="408" t="str">
        <f>IF(T326="AIR","NA",IF(T326="TRENCH","NA",IF(T326="DUCT",IF(U326="1C",VLOOKUP(V326,'Catalogue Aluminium'!$Q$9:$S$28,2,FALSE),VLOOKUP(V326,'Catalogue Aluminium'!$Q$9:$S$28,3)),IF(T326="GROUND",IF(U326="1C",VLOOKUP(V326,'Catalogue Aluminium'!$Q$9:$S$28,2,FALSE),VLOOKUP(V326,'Catalogue Aluminium'!$Q$9:$S$28,3))))))</f>
        <v>NA</v>
      </c>
      <c r="AN326" s="584">
        <f t="shared" si="2311"/>
        <v>0.58740000000000003</v>
      </c>
      <c r="AO326" s="583">
        <f t="shared" si="2312"/>
        <v>82.823400000000007</v>
      </c>
      <c r="AP326" s="585">
        <f t="shared" si="2313"/>
        <v>1</v>
      </c>
      <c r="AQ326" s="583" t="str">
        <f t="shared" si="2314"/>
        <v>YES</v>
      </c>
      <c r="AR326" s="584">
        <f t="shared" si="2315"/>
        <v>1.0798122486861237</v>
      </c>
      <c r="AS326" s="409" t="str">
        <f t="shared" si="2316"/>
        <v>YES</v>
      </c>
      <c r="AT326" s="584" t="str">
        <f t="shared" si="2317"/>
        <v>NA</v>
      </c>
      <c r="AU326" s="409" t="str">
        <f t="shared" si="2318"/>
        <v>NA</v>
      </c>
      <c r="AV326" s="586" t="str">
        <f t="shared" si="2319"/>
        <v>1R x 0.6/1kV x 3C x 50 Sqmm</v>
      </c>
      <c r="AW326" s="586" t="str">
        <f t="shared" si="2320"/>
        <v>1R x 0.6/1kV x 3C x 50 Sqmm</v>
      </c>
      <c r="AX326" s="409">
        <f t="shared" si="2321"/>
        <v>103</v>
      </c>
      <c r="AY326" s="866"/>
      <c r="AZ326" s="866">
        <f t="shared" si="2322"/>
        <v>2</v>
      </c>
      <c r="BA326" s="867" t="str">
        <f t="shared" si="2323"/>
        <v>ABB1</v>
      </c>
      <c r="BB326" s="868">
        <f>VLOOKUP(W326,'Catalogue Aluminium'!$B$9:$H$93,7,FALSE)</f>
        <v>26</v>
      </c>
      <c r="BC326" s="789">
        <f t="shared" si="2324"/>
        <v>26</v>
      </c>
      <c r="BE326" s="587"/>
      <c r="BF326" s="587">
        <v>1</v>
      </c>
      <c r="BG326" s="587">
        <v>1</v>
      </c>
      <c r="BH326" s="587">
        <v>1</v>
      </c>
      <c r="BI326" s="587"/>
      <c r="BJ326" s="587"/>
      <c r="BK326" s="587"/>
      <c r="BL326" s="587"/>
      <c r="BM326" s="587"/>
      <c r="BN326" s="587"/>
      <c r="BO326" s="587"/>
      <c r="BP326" s="587"/>
      <c r="BQ326" s="587"/>
      <c r="BR326" s="587"/>
      <c r="BS326" s="587"/>
      <c r="BT326" s="587"/>
      <c r="BU326" s="587"/>
      <c r="BV326" s="587"/>
      <c r="BW326" s="587"/>
      <c r="BX326" s="587"/>
      <c r="BY326" s="587"/>
      <c r="BZ326" s="587"/>
      <c r="CA326" s="587"/>
      <c r="CB326" s="587"/>
      <c r="CC326" s="587"/>
      <c r="CD326" s="587"/>
      <c r="CE326" s="587"/>
      <c r="CF326" s="587"/>
      <c r="CG326" s="587"/>
      <c r="CH326" s="587"/>
      <c r="CI326" s="587"/>
      <c r="CJ326" s="587"/>
      <c r="CK326" s="587"/>
      <c r="CL326" s="587"/>
      <c r="CM326" s="587"/>
      <c r="CN326" s="587"/>
      <c r="CO326" s="587"/>
      <c r="CP326" s="587"/>
      <c r="CQ326" s="587"/>
      <c r="CR326" s="587"/>
      <c r="CS326" s="587"/>
      <c r="CT326" s="587"/>
      <c r="CU326" s="587"/>
      <c r="CV326" s="587"/>
      <c r="CW326" s="587"/>
      <c r="CX326" s="587"/>
      <c r="CY326" s="587"/>
      <c r="CZ326" s="587"/>
      <c r="DA326" s="587"/>
      <c r="DB326" s="587"/>
      <c r="DC326" s="587"/>
      <c r="DD326" s="587"/>
      <c r="DE326" s="587"/>
      <c r="DF326" s="587"/>
      <c r="DG326" s="587"/>
      <c r="DH326" s="587"/>
      <c r="DI326" s="587"/>
      <c r="DJ326" s="587"/>
      <c r="DK326" s="587"/>
      <c r="DL326" s="587"/>
      <c r="DM326" s="587"/>
      <c r="DN326" s="587"/>
      <c r="DO326" s="587"/>
      <c r="DP326" s="587"/>
      <c r="DQ326" s="587"/>
      <c r="DR326" s="587"/>
      <c r="DS326" s="587"/>
      <c r="DT326" s="587"/>
      <c r="DU326" s="587"/>
      <c r="DW326" s="587">
        <f t="shared" si="2325"/>
        <v>0</v>
      </c>
      <c r="DX326" s="587">
        <f t="shared" si="2326"/>
        <v>26</v>
      </c>
      <c r="DY326" s="587">
        <f t="shared" si="2327"/>
        <v>26</v>
      </c>
      <c r="DZ326" s="587">
        <f t="shared" si="2328"/>
        <v>26</v>
      </c>
      <c r="EA326" s="587">
        <f t="shared" si="2329"/>
        <v>0</v>
      </c>
      <c r="EB326" s="587">
        <f t="shared" si="2330"/>
        <v>0</v>
      </c>
      <c r="EC326" s="587">
        <f t="shared" si="2331"/>
        <v>0</v>
      </c>
      <c r="ED326" s="587">
        <f t="shared" si="2332"/>
        <v>0</v>
      </c>
      <c r="EE326" s="587">
        <f t="shared" si="2333"/>
        <v>0</v>
      </c>
      <c r="EF326" s="587">
        <f t="shared" si="2334"/>
        <v>0</v>
      </c>
      <c r="EG326" s="587">
        <f t="shared" si="2335"/>
        <v>0</v>
      </c>
      <c r="EH326" s="587">
        <f t="shared" si="2336"/>
        <v>0</v>
      </c>
      <c r="EI326" s="587">
        <f t="shared" si="2337"/>
        <v>0</v>
      </c>
      <c r="EJ326" s="587">
        <f t="shared" si="2338"/>
        <v>0</v>
      </c>
      <c r="EK326" s="587">
        <f t="shared" si="2339"/>
        <v>0</v>
      </c>
      <c r="EL326" s="587">
        <f t="shared" si="2340"/>
        <v>0</v>
      </c>
      <c r="EM326" s="587">
        <f t="shared" si="2341"/>
        <v>0</v>
      </c>
      <c r="EN326" s="587">
        <f t="shared" si="2342"/>
        <v>0</v>
      </c>
      <c r="EO326" s="587">
        <f t="shared" si="2343"/>
        <v>0</v>
      </c>
      <c r="EP326" s="587">
        <f t="shared" si="2344"/>
        <v>0</v>
      </c>
      <c r="EQ326" s="587">
        <f t="shared" si="2345"/>
        <v>0</v>
      </c>
      <c r="ER326" s="587">
        <f t="shared" si="2346"/>
        <v>0</v>
      </c>
      <c r="ES326" s="587">
        <f t="shared" si="2347"/>
        <v>0</v>
      </c>
      <c r="ET326" s="587">
        <f t="shared" si="2348"/>
        <v>0</v>
      </c>
      <c r="EU326" s="587">
        <f t="shared" si="2349"/>
        <v>0</v>
      </c>
      <c r="EV326" s="587">
        <f t="shared" si="2350"/>
        <v>0</v>
      </c>
      <c r="EW326" s="587">
        <f t="shared" si="2351"/>
        <v>0</v>
      </c>
      <c r="EX326" s="587">
        <f t="shared" si="2352"/>
        <v>0</v>
      </c>
      <c r="EY326" s="587">
        <f t="shared" si="2353"/>
        <v>0</v>
      </c>
      <c r="EZ326" s="587">
        <f t="shared" si="2354"/>
        <v>0</v>
      </c>
      <c r="FA326" s="587">
        <f t="shared" si="2355"/>
        <v>0</v>
      </c>
      <c r="FB326" s="587">
        <f t="shared" si="2356"/>
        <v>0</v>
      </c>
      <c r="FC326" s="587">
        <f t="shared" si="2357"/>
        <v>0</v>
      </c>
      <c r="FD326" s="587">
        <f t="shared" si="2358"/>
        <v>0</v>
      </c>
      <c r="FE326" s="587">
        <f t="shared" si="2359"/>
        <v>0</v>
      </c>
      <c r="FF326" s="587">
        <f t="shared" si="2360"/>
        <v>0</v>
      </c>
      <c r="FG326" s="587">
        <f t="shared" si="2361"/>
        <v>0</v>
      </c>
      <c r="FH326" s="587">
        <f t="shared" si="2362"/>
        <v>0</v>
      </c>
      <c r="FI326" s="587">
        <f t="shared" si="2363"/>
        <v>0</v>
      </c>
      <c r="FJ326" s="587">
        <f t="shared" si="2364"/>
        <v>0</v>
      </c>
      <c r="FK326" s="587">
        <f t="shared" si="2365"/>
        <v>0</v>
      </c>
      <c r="FL326" s="587">
        <f t="shared" si="2366"/>
        <v>0</v>
      </c>
      <c r="FM326" s="587">
        <f t="shared" si="2367"/>
        <v>0</v>
      </c>
      <c r="FN326" s="587">
        <f t="shared" si="2368"/>
        <v>0</v>
      </c>
      <c r="FO326" s="587">
        <f t="shared" si="2369"/>
        <v>0</v>
      </c>
      <c r="FP326" s="587">
        <f t="shared" si="2370"/>
        <v>0</v>
      </c>
      <c r="FQ326" s="587">
        <f t="shared" si="2371"/>
        <v>0</v>
      </c>
      <c r="FR326" s="587">
        <f t="shared" si="2372"/>
        <v>0</v>
      </c>
      <c r="FS326" s="587">
        <f t="shared" si="2373"/>
        <v>0</v>
      </c>
      <c r="FT326" s="587">
        <f t="shared" si="2374"/>
        <v>0</v>
      </c>
      <c r="FU326" s="587">
        <f t="shared" si="2375"/>
        <v>0</v>
      </c>
      <c r="FV326" s="587">
        <f t="shared" si="2376"/>
        <v>0</v>
      </c>
      <c r="FW326" s="587">
        <f t="shared" si="2377"/>
        <v>0</v>
      </c>
      <c r="FX326" s="587">
        <f t="shared" si="2378"/>
        <v>0</v>
      </c>
      <c r="FY326" s="587">
        <f t="shared" si="2379"/>
        <v>0</v>
      </c>
      <c r="FZ326" s="587">
        <f t="shared" si="2380"/>
        <v>0</v>
      </c>
      <c r="GA326" s="587">
        <f t="shared" si="2381"/>
        <v>0</v>
      </c>
      <c r="GB326" s="587">
        <f t="shared" si="2382"/>
        <v>0</v>
      </c>
      <c r="GC326" s="587">
        <f t="shared" si="2383"/>
        <v>0</v>
      </c>
      <c r="GD326" s="587">
        <f t="shared" si="2384"/>
        <v>0</v>
      </c>
      <c r="GE326" s="587">
        <f t="shared" si="2385"/>
        <v>0</v>
      </c>
      <c r="GF326" s="587">
        <f t="shared" si="2386"/>
        <v>0</v>
      </c>
      <c r="GG326" s="587">
        <f t="shared" si="2387"/>
        <v>0</v>
      </c>
      <c r="GH326" s="587">
        <f t="shared" si="2388"/>
        <v>0</v>
      </c>
      <c r="GI326" s="587">
        <f t="shared" si="2389"/>
        <v>0</v>
      </c>
      <c r="GJ326" s="587">
        <f t="shared" si="2390"/>
        <v>0</v>
      </c>
      <c r="GK326" s="587">
        <f t="shared" si="2391"/>
        <v>0</v>
      </c>
      <c r="GL326" s="587">
        <f t="shared" si="2392"/>
        <v>0</v>
      </c>
      <c r="GM326" s="587">
        <f t="shared" si="2393"/>
        <v>0</v>
      </c>
    </row>
    <row r="327" spans="1:195">
      <c r="A327" s="388">
        <f>1+A315</f>
        <v>209</v>
      </c>
      <c r="B327" s="401" t="s">
        <v>527</v>
      </c>
      <c r="C327" s="388" t="s">
        <v>741</v>
      </c>
      <c r="D327" s="445" t="s">
        <v>757</v>
      </c>
      <c r="E327" s="502" t="s">
        <v>608</v>
      </c>
      <c r="F327" s="571" t="s">
        <v>28</v>
      </c>
      <c r="G327" s="388" t="s">
        <v>329</v>
      </c>
      <c r="H327" s="350">
        <v>0.55000000000000004</v>
      </c>
      <c r="I327" s="388" t="s">
        <v>330</v>
      </c>
      <c r="J327" s="388" t="s">
        <v>331</v>
      </c>
      <c r="K327" s="434">
        <v>400</v>
      </c>
      <c r="L327" s="401">
        <v>0.85</v>
      </c>
      <c r="M327" s="418">
        <v>0.95</v>
      </c>
      <c r="N327" s="392">
        <f t="shared" si="2110"/>
        <v>0.98313301253405228</v>
      </c>
      <c r="O327" s="392">
        <f t="shared" si="2111"/>
        <v>0</v>
      </c>
      <c r="P327" s="401" t="str">
        <f t="shared" si="2112"/>
        <v>0.00</v>
      </c>
      <c r="Q327" s="418">
        <v>50</v>
      </c>
      <c r="R327" s="418">
        <v>0</v>
      </c>
      <c r="S327" s="418">
        <f t="shared" si="2113"/>
        <v>0</v>
      </c>
      <c r="T327" s="401" t="s">
        <v>131</v>
      </c>
      <c r="U327" s="418" t="s">
        <v>522</v>
      </c>
      <c r="V327" s="401">
        <v>4</v>
      </c>
      <c r="W327" s="401" t="str">
        <f t="shared" si="2114"/>
        <v>4C X 4</v>
      </c>
      <c r="X327" s="401" t="str">
        <f t="shared" si="2115"/>
        <v>4C X 4</v>
      </c>
      <c r="Y327" s="401" t="s">
        <v>358</v>
      </c>
      <c r="Z327" s="393">
        <f>IF(T327="AIR",VLOOKUP(W327,'Catalogue Aluminium'!$B$9:$G$93,2,FALSE),IF(T327="GROUND",VLOOKUP(W327,'Catalogue Aluminium'!$B$9:$G$93,3,FALSE),IF(T327="DUCT",VLOOKUP(W327,'Catalogue Aluminium'!$B$9:$G$93,4,FALSE),IF(T327="TRENCH",VLOOKUP(W327,'Catalogue Aluminium'!$B$9:$G$93,2,FALSE)))))</f>
        <v>38</v>
      </c>
      <c r="AA327" s="402">
        <f>VLOOKUP(W327,'Catalogue Aluminium'!$B$9:$G$93,5,FALSE)</f>
        <v>5.9</v>
      </c>
      <c r="AB327" s="402">
        <f>VLOOKUP(W327,'Catalogue Aluminium'!$B$9:$G$93,6,FALSE)</f>
        <v>9.4700000000000006E-2</v>
      </c>
      <c r="AC327" s="457">
        <f t="shared" si="2149"/>
        <v>34</v>
      </c>
      <c r="AD327" s="388">
        <f>10</f>
        <v>10</v>
      </c>
      <c r="AE327" s="457">
        <v>10</v>
      </c>
      <c r="AF327" s="401">
        <v>8</v>
      </c>
      <c r="AG327" s="401">
        <f t="shared" si="2116"/>
        <v>7</v>
      </c>
      <c r="AH327" s="436">
        <f t="shared" si="2117"/>
        <v>69</v>
      </c>
      <c r="AI327" s="393">
        <f>IF(T327="AIR",'Catalogue Aluminium'!$K$9,IF(T327="TRENCH",'Catalogue Aluminium'!$K$12,"NA"))</f>
        <v>0.89</v>
      </c>
      <c r="AJ327" s="392">
        <f>IF(T327="Air",(IF(U327="1C",'Catalogue Aluminium'!$L$9,'Catalogue Aluminium'!$M$9)),IF(T327="DUCT",(IF($U327="1C",'Catalogue Aluminium'!$L$10,'Catalogue Aluminium'!$M$10)),IF(T327="GROUND",(IF($U327="1C",'Catalogue Aluminium'!$L$11,'Catalogue Aluminium'!$M$11)),IF(T327="TRENCH",(IF($U327="1C",'Catalogue Aluminium'!$L$12,'Catalogue Aluminium'!$M$12))))))</f>
        <v>0.66</v>
      </c>
      <c r="AK327" s="393" t="str">
        <f>IF(T327="Air",'Catalogue Aluminium'!$N$9,IF(T327="GROUND",'Catalogue Aluminium'!$N$10,IF(T327="DUCT",'Catalogue Aluminium'!$N$11,IF(T327="TRENCH",'Catalogue Aluminium'!$N$12,"NA"))))</f>
        <v>NA</v>
      </c>
      <c r="AL327" s="393" t="str">
        <f>IF(T327="Air",(IF(U327="1C",'Catalogue Aluminium'!$O$9,'Catalogue Aluminium'!$P$9)),IF(T327="DUCT",(IF($U327="1C",'Catalogue Aluminium'!$O$10,'Catalogue Aluminium'!$P$10)),IF(T327="GROUND",(IF($U327="1C",'Catalogue Aluminium'!$O$11,'Catalogue Aluminium'!$P$11)),IF(T327="TRENCH",(IF($U327="1C",'Catalogue Aluminium'!$O$12,'Catalogue Aluminium'!$P$12))))))</f>
        <v>NA</v>
      </c>
      <c r="AM327" s="393" t="str">
        <f>IF(T327="AIR","NA",IF(T327="TRENCH","NA",IF(T327="DUCT",IF(U327="1C",VLOOKUP(V327,'Catalogue Aluminium'!$Q$9:$S$28,2,FALSE),VLOOKUP(V327,'Catalogue Aluminium'!$Q$9:$S$28,3)),IF(T327="GROUND",IF(U327="1C",VLOOKUP(V327,'Catalogue Aluminium'!$Q$9:$S$28,2,FALSE),VLOOKUP(V327,'Catalogue Aluminium'!$Q$9:$S$28,3))))))</f>
        <v>NA</v>
      </c>
      <c r="AN327" s="437">
        <f t="shared" si="2118"/>
        <v>0.58740000000000003</v>
      </c>
      <c r="AO327" s="418">
        <f t="shared" si="2119"/>
        <v>22.321200000000001</v>
      </c>
      <c r="AP327" s="434">
        <f t="shared" si="2120"/>
        <v>1</v>
      </c>
      <c r="AQ327" s="418" t="str">
        <f t="shared" si="2121"/>
        <v>YES</v>
      </c>
      <c r="AR327" s="437">
        <f t="shared" si="2122"/>
        <v>0.14877559933689716</v>
      </c>
      <c r="AS327" s="401" t="str">
        <f t="shared" si="2123"/>
        <v>YES</v>
      </c>
      <c r="AT327" s="437" t="str">
        <f t="shared" si="2124"/>
        <v>NA</v>
      </c>
      <c r="AU327" s="401" t="str">
        <f t="shared" si="2125"/>
        <v>NA</v>
      </c>
      <c r="AV327" s="503" t="str">
        <f t="shared" si="2126"/>
        <v>1R x 0.6/1kV x 4C x 4 Sqmm</v>
      </c>
      <c r="AW327" s="503" t="str">
        <f t="shared" si="2127"/>
        <v>1R x 0.6/1kV x 4C x 4 Sqmm</v>
      </c>
      <c r="AX327" s="401">
        <f t="shared" ref="AX327:AX339" si="2394">(IF(K327=400,(IF(U327="1C",(4*AH327*AP327),(AH327*AP327))),IF(K327=230,(AH327*AP327))))</f>
        <v>69</v>
      </c>
      <c r="AY327" s="504"/>
      <c r="AZ327" s="504">
        <f t="shared" si="2260"/>
        <v>2</v>
      </c>
      <c r="BA327" s="438" t="str">
        <f t="shared" si="2268"/>
        <v/>
      </c>
      <c r="BB327" s="505">
        <f>VLOOKUP(W327,'Catalogue Aluminium'!$B$9:$H$93,7,FALSE)</f>
        <v>16</v>
      </c>
      <c r="BC327" s="439">
        <f t="shared" si="2261"/>
        <v>16</v>
      </c>
      <c r="BE327" s="336"/>
      <c r="BF327" s="336"/>
      <c r="BG327" s="336"/>
      <c r="BH327" s="336"/>
      <c r="BI327" s="336"/>
      <c r="BJ327" s="336"/>
      <c r="BK327" s="336"/>
      <c r="BL327" s="336"/>
      <c r="BM327" s="336"/>
      <c r="BN327" s="336"/>
      <c r="BO327" s="336"/>
      <c r="BP327" s="336"/>
      <c r="BQ327" s="336"/>
      <c r="BR327" s="336"/>
      <c r="BS327" s="336"/>
      <c r="BT327" s="336"/>
      <c r="BU327" s="336"/>
      <c r="BV327" s="336"/>
      <c r="BW327" s="336"/>
      <c r="BX327" s="336"/>
      <c r="BY327" s="336"/>
      <c r="BZ327" s="336"/>
      <c r="CA327" s="336"/>
      <c r="CB327" s="336"/>
      <c r="CC327" s="336"/>
      <c r="CD327" s="336"/>
      <c r="CE327" s="336"/>
      <c r="CF327" s="336"/>
      <c r="CG327" s="336"/>
      <c r="CH327" s="336"/>
      <c r="CI327" s="336"/>
      <c r="CJ327" s="336"/>
      <c r="CK327" s="336"/>
      <c r="CL327" s="336"/>
      <c r="CM327" s="336"/>
      <c r="CN327" s="336"/>
      <c r="CO327" s="336"/>
      <c r="CP327" s="336"/>
      <c r="CQ327" s="336"/>
      <c r="CR327" s="336"/>
      <c r="CS327" s="336"/>
      <c r="CT327" s="336"/>
      <c r="CU327" s="336"/>
      <c r="CV327" s="336"/>
      <c r="CW327" s="336"/>
      <c r="CX327" s="336"/>
      <c r="CY327" s="336"/>
      <c r="CZ327" s="336"/>
      <c r="DA327" s="336"/>
      <c r="DB327" s="336"/>
      <c r="DC327" s="336"/>
      <c r="DD327" s="336"/>
      <c r="DE327" s="336"/>
      <c r="DF327" s="336"/>
      <c r="DG327" s="336"/>
      <c r="DH327" s="336"/>
      <c r="DI327" s="336"/>
      <c r="DJ327" s="336"/>
      <c r="DK327" s="336"/>
      <c r="DL327" s="336"/>
      <c r="DM327" s="336"/>
      <c r="DN327" s="336"/>
      <c r="DO327" s="336"/>
      <c r="DP327" s="336"/>
      <c r="DQ327" s="336"/>
      <c r="DR327" s="336"/>
      <c r="DS327" s="336"/>
      <c r="DT327" s="336"/>
      <c r="DU327" s="336"/>
      <c r="DW327" s="336">
        <f t="shared" si="2108"/>
        <v>0</v>
      </c>
      <c r="DX327" s="336">
        <f t="shared" si="2102"/>
        <v>0</v>
      </c>
      <c r="DY327" s="336">
        <f t="shared" si="2103"/>
        <v>0</v>
      </c>
      <c r="DZ327" s="336">
        <f t="shared" si="2104"/>
        <v>0</v>
      </c>
      <c r="EA327" s="336">
        <f t="shared" si="2105"/>
        <v>0</v>
      </c>
      <c r="EB327" s="336">
        <f t="shared" si="2106"/>
        <v>0</v>
      </c>
      <c r="EC327" s="336">
        <f t="shared" si="2107"/>
        <v>0</v>
      </c>
      <c r="ED327" s="336">
        <f t="shared" si="2019"/>
        <v>0</v>
      </c>
      <c r="EE327" s="336">
        <f t="shared" si="2020"/>
        <v>0</v>
      </c>
      <c r="EF327" s="336">
        <f t="shared" si="2021"/>
        <v>0</v>
      </c>
      <c r="EG327" s="336">
        <f t="shared" si="2022"/>
        <v>0</v>
      </c>
      <c r="EH327" s="336">
        <f t="shared" si="2023"/>
        <v>0</v>
      </c>
      <c r="EI327" s="336">
        <f t="shared" si="2024"/>
        <v>0</v>
      </c>
      <c r="EJ327" s="336">
        <f t="shared" si="2025"/>
        <v>0</v>
      </c>
      <c r="EK327" s="336">
        <f t="shared" si="2026"/>
        <v>0</v>
      </c>
      <c r="EL327" s="336">
        <f t="shared" si="2027"/>
        <v>0</v>
      </c>
      <c r="EM327" s="336">
        <f t="shared" si="2028"/>
        <v>0</v>
      </c>
      <c r="EN327" s="336">
        <f t="shared" si="2029"/>
        <v>0</v>
      </c>
      <c r="EO327" s="336">
        <f t="shared" si="2030"/>
        <v>0</v>
      </c>
      <c r="EP327" s="336">
        <f t="shared" si="2031"/>
        <v>0</v>
      </c>
      <c r="EQ327" s="336">
        <f t="shared" si="2032"/>
        <v>0</v>
      </c>
      <c r="ER327" s="336">
        <f t="shared" si="2033"/>
        <v>0</v>
      </c>
      <c r="ES327" s="336">
        <f t="shared" si="2034"/>
        <v>0</v>
      </c>
      <c r="ET327" s="336">
        <f t="shared" si="2034"/>
        <v>0</v>
      </c>
      <c r="EU327" s="336">
        <f t="shared" si="2035"/>
        <v>0</v>
      </c>
      <c r="EV327" s="336">
        <f t="shared" si="2036"/>
        <v>0</v>
      </c>
      <c r="EW327" s="336">
        <f t="shared" si="2037"/>
        <v>0</v>
      </c>
      <c r="EX327" s="336">
        <f t="shared" si="2038"/>
        <v>0</v>
      </c>
      <c r="EY327" s="336">
        <f t="shared" si="2039"/>
        <v>0</v>
      </c>
      <c r="EZ327" s="336">
        <f t="shared" si="2040"/>
        <v>0</v>
      </c>
      <c r="FA327" s="336">
        <f t="shared" si="2041"/>
        <v>0</v>
      </c>
      <c r="FB327" s="336">
        <f t="shared" si="2042"/>
        <v>0</v>
      </c>
      <c r="FC327" s="336">
        <f t="shared" si="2043"/>
        <v>0</v>
      </c>
      <c r="FD327" s="336">
        <f t="shared" si="2044"/>
        <v>0</v>
      </c>
      <c r="FE327" s="336">
        <f t="shared" si="2045"/>
        <v>0</v>
      </c>
      <c r="FF327" s="336">
        <f t="shared" si="2046"/>
        <v>0</v>
      </c>
      <c r="FG327" s="336">
        <f t="shared" si="2047"/>
        <v>0</v>
      </c>
      <c r="FH327" s="336">
        <f t="shared" si="2048"/>
        <v>0</v>
      </c>
      <c r="FI327" s="336">
        <f t="shared" si="2049"/>
        <v>0</v>
      </c>
      <c r="FJ327" s="336">
        <f t="shared" si="2050"/>
        <v>0</v>
      </c>
      <c r="FK327" s="336">
        <f t="shared" si="2051"/>
        <v>0</v>
      </c>
      <c r="FL327" s="336">
        <f t="shared" si="2052"/>
        <v>0</v>
      </c>
      <c r="FM327" s="336">
        <f t="shared" si="2053"/>
        <v>0</v>
      </c>
      <c r="FN327" s="336">
        <f t="shared" si="2054"/>
        <v>0</v>
      </c>
      <c r="FO327" s="336">
        <f t="shared" si="2055"/>
        <v>0</v>
      </c>
      <c r="FP327" s="336">
        <f t="shared" si="2056"/>
        <v>0</v>
      </c>
      <c r="FQ327" s="336">
        <f t="shared" si="2057"/>
        <v>0</v>
      </c>
      <c r="FR327" s="336">
        <f t="shared" si="2058"/>
        <v>0</v>
      </c>
      <c r="FS327" s="336">
        <f t="shared" si="2059"/>
        <v>0</v>
      </c>
      <c r="FT327" s="336">
        <f t="shared" si="2060"/>
        <v>0</v>
      </c>
      <c r="FU327" s="336">
        <f t="shared" si="2262"/>
        <v>0</v>
      </c>
      <c r="FV327" s="336">
        <f t="shared" si="2263"/>
        <v>0</v>
      </c>
      <c r="FW327" s="336">
        <f t="shared" si="2264"/>
        <v>0</v>
      </c>
      <c r="FX327" s="336">
        <f t="shared" si="2265"/>
        <v>0</v>
      </c>
      <c r="FY327" s="336">
        <f t="shared" si="2061"/>
        <v>0</v>
      </c>
      <c r="FZ327" s="336">
        <f t="shared" si="2062"/>
        <v>0</v>
      </c>
      <c r="GA327" s="336">
        <f t="shared" si="2063"/>
        <v>0</v>
      </c>
      <c r="GB327" s="336">
        <f t="shared" si="2064"/>
        <v>0</v>
      </c>
      <c r="GC327" s="336">
        <f t="shared" si="2065"/>
        <v>0</v>
      </c>
      <c r="GD327" s="336">
        <f t="shared" si="2066"/>
        <v>0</v>
      </c>
      <c r="GE327" s="336">
        <f t="shared" si="2067"/>
        <v>0</v>
      </c>
      <c r="GF327" s="336">
        <f t="shared" si="2068"/>
        <v>0</v>
      </c>
      <c r="GG327" s="336">
        <f t="shared" si="2069"/>
        <v>0</v>
      </c>
      <c r="GH327" s="336">
        <f t="shared" si="2070"/>
        <v>0</v>
      </c>
      <c r="GI327" s="336">
        <f t="shared" si="2071"/>
        <v>0</v>
      </c>
      <c r="GJ327" s="336">
        <f t="shared" si="2072"/>
        <v>0</v>
      </c>
      <c r="GK327" s="336">
        <f t="shared" si="1988"/>
        <v>0</v>
      </c>
      <c r="GL327" s="336">
        <f t="shared" si="2266"/>
        <v>0</v>
      </c>
      <c r="GM327" s="336">
        <f t="shared" si="2073"/>
        <v>0</v>
      </c>
    </row>
    <row r="328" spans="1:195">
      <c r="A328" s="388">
        <f t="shared" si="2267"/>
        <v>210</v>
      </c>
      <c r="B328" s="401" t="s">
        <v>527</v>
      </c>
      <c r="C328" s="388" t="s">
        <v>741</v>
      </c>
      <c r="D328" s="445" t="s">
        <v>758</v>
      </c>
      <c r="E328" s="502" t="s">
        <v>608</v>
      </c>
      <c r="F328" s="571" t="s">
        <v>28</v>
      </c>
      <c r="G328" s="388" t="s">
        <v>329</v>
      </c>
      <c r="H328" s="350">
        <v>0.55000000000000004</v>
      </c>
      <c r="I328" s="388" t="s">
        <v>330</v>
      </c>
      <c r="J328" s="388" t="s">
        <v>331</v>
      </c>
      <c r="K328" s="434">
        <v>400</v>
      </c>
      <c r="L328" s="401">
        <v>0.85</v>
      </c>
      <c r="M328" s="418">
        <v>0.95</v>
      </c>
      <c r="N328" s="392">
        <f t="shared" si="2110"/>
        <v>0.98313301253405228</v>
      </c>
      <c r="O328" s="392">
        <f t="shared" si="2111"/>
        <v>0</v>
      </c>
      <c r="P328" s="401" t="str">
        <f t="shared" si="2112"/>
        <v>0.00</v>
      </c>
      <c r="Q328" s="418">
        <v>50</v>
      </c>
      <c r="R328" s="418">
        <v>0</v>
      </c>
      <c r="S328" s="418">
        <f t="shared" si="2113"/>
        <v>0</v>
      </c>
      <c r="T328" s="401" t="s">
        <v>131</v>
      </c>
      <c r="U328" s="418" t="s">
        <v>522</v>
      </c>
      <c r="V328" s="401">
        <v>4</v>
      </c>
      <c r="W328" s="401" t="str">
        <f t="shared" si="2114"/>
        <v>4C X 4</v>
      </c>
      <c r="X328" s="401" t="str">
        <f t="shared" si="2115"/>
        <v>4C X 4</v>
      </c>
      <c r="Y328" s="401" t="s">
        <v>358</v>
      </c>
      <c r="Z328" s="393">
        <f>IF(T328="AIR",VLOOKUP(W328,'Catalogue Aluminium'!$B$9:$G$93,2,FALSE),IF(T328="GROUND",VLOOKUP(W328,'Catalogue Aluminium'!$B$9:$G$93,3,FALSE),IF(T328="DUCT",VLOOKUP(W328,'Catalogue Aluminium'!$B$9:$G$93,4,FALSE),IF(T328="TRENCH",VLOOKUP(W328,'Catalogue Aluminium'!$B$9:$G$93,2,FALSE)))))</f>
        <v>38</v>
      </c>
      <c r="AA328" s="402">
        <f>VLOOKUP(W328,'Catalogue Aluminium'!$B$9:$G$93,5,FALSE)</f>
        <v>5.9</v>
      </c>
      <c r="AB328" s="402">
        <f>VLOOKUP(W328,'Catalogue Aluminium'!$B$9:$G$93,6,FALSE)</f>
        <v>9.4700000000000006E-2</v>
      </c>
      <c r="AC328" s="457">
        <f t="shared" si="2149"/>
        <v>34</v>
      </c>
      <c r="AD328" s="388">
        <f>10</f>
        <v>10</v>
      </c>
      <c r="AE328" s="457">
        <v>10</v>
      </c>
      <c r="AF328" s="401">
        <v>8</v>
      </c>
      <c r="AG328" s="401">
        <f t="shared" si="2116"/>
        <v>7</v>
      </c>
      <c r="AH328" s="436">
        <f t="shared" si="2117"/>
        <v>69</v>
      </c>
      <c r="AI328" s="393">
        <f>IF(T328="AIR",'Catalogue Aluminium'!$K$9,IF(T328="TRENCH",'Catalogue Aluminium'!$K$12,"NA"))</f>
        <v>0.89</v>
      </c>
      <c r="AJ328" s="392">
        <f>IF(T328="Air",(IF(U328="1C",'Catalogue Aluminium'!$L$9,'Catalogue Aluminium'!$M$9)),IF(T328="DUCT",(IF($U328="1C",'Catalogue Aluminium'!$L$10,'Catalogue Aluminium'!$M$10)),IF(T328="GROUND",(IF($U328="1C",'Catalogue Aluminium'!$L$11,'Catalogue Aluminium'!$M$11)),IF(T328="TRENCH",(IF($U328="1C",'Catalogue Aluminium'!$L$12,'Catalogue Aluminium'!$M$12))))))</f>
        <v>0.66</v>
      </c>
      <c r="AK328" s="393" t="str">
        <f>IF(T328="Air",'Catalogue Aluminium'!$N$9,IF(T328="GROUND",'Catalogue Aluminium'!$N$10,IF(T328="DUCT",'Catalogue Aluminium'!$N$11,IF(T328="TRENCH",'Catalogue Aluminium'!$N$12,"NA"))))</f>
        <v>NA</v>
      </c>
      <c r="AL328" s="393" t="str">
        <f>IF(T328="Air",(IF(U328="1C",'Catalogue Aluminium'!$O$9,'Catalogue Aluminium'!$P$9)),IF(T328="DUCT",(IF($U328="1C",'Catalogue Aluminium'!$O$10,'Catalogue Aluminium'!$P$10)),IF(T328="GROUND",(IF($U328="1C",'Catalogue Aluminium'!$O$11,'Catalogue Aluminium'!$P$11)),IF(T328="TRENCH",(IF($U328="1C",'Catalogue Aluminium'!$O$12,'Catalogue Aluminium'!$P$12))))))</f>
        <v>NA</v>
      </c>
      <c r="AM328" s="393" t="str">
        <f>IF(T328="AIR","NA",IF(T328="TRENCH","NA",IF(T328="DUCT",IF(U328="1C",VLOOKUP(V328,'Catalogue Aluminium'!$Q$9:$S$28,2,FALSE),VLOOKUP(V328,'Catalogue Aluminium'!$Q$9:$S$28,3)),IF(T328="GROUND",IF(U328="1C",VLOOKUP(V328,'Catalogue Aluminium'!$Q$9:$S$28,2,FALSE),VLOOKUP(V328,'Catalogue Aluminium'!$Q$9:$S$28,3))))))</f>
        <v>NA</v>
      </c>
      <c r="AN328" s="437">
        <f t="shared" si="2118"/>
        <v>0.58740000000000003</v>
      </c>
      <c r="AO328" s="418">
        <f t="shared" si="2119"/>
        <v>22.321200000000001</v>
      </c>
      <c r="AP328" s="434">
        <f t="shared" si="2120"/>
        <v>1</v>
      </c>
      <c r="AQ328" s="418" t="str">
        <f t="shared" si="2121"/>
        <v>YES</v>
      </c>
      <c r="AR328" s="437">
        <f t="shared" si="2122"/>
        <v>0.14877559933689716</v>
      </c>
      <c r="AS328" s="401" t="str">
        <f t="shared" si="2123"/>
        <v>YES</v>
      </c>
      <c r="AT328" s="437" t="str">
        <f t="shared" si="2124"/>
        <v>NA</v>
      </c>
      <c r="AU328" s="401" t="str">
        <f t="shared" si="2125"/>
        <v>NA</v>
      </c>
      <c r="AV328" s="503" t="str">
        <f t="shared" si="2126"/>
        <v>1R x 0.6/1kV x 4C x 4 Sqmm</v>
      </c>
      <c r="AW328" s="503" t="str">
        <f t="shared" si="2127"/>
        <v>1R x 0.6/1kV x 4C x 4 Sqmm</v>
      </c>
      <c r="AX328" s="401">
        <f t="shared" si="2394"/>
        <v>69</v>
      </c>
      <c r="AY328" s="504"/>
      <c r="AZ328" s="504">
        <f t="shared" si="2260"/>
        <v>2</v>
      </c>
      <c r="BA328" s="438" t="str">
        <f t="shared" si="2268"/>
        <v/>
      </c>
      <c r="BB328" s="505">
        <f>VLOOKUP(W328,'Catalogue Aluminium'!$B$9:$H$93,7,FALSE)</f>
        <v>16</v>
      </c>
      <c r="BC328" s="439">
        <f t="shared" si="2261"/>
        <v>16</v>
      </c>
      <c r="BE328" s="336"/>
      <c r="BF328" s="336"/>
      <c r="BG328" s="336"/>
      <c r="BH328" s="336"/>
      <c r="BI328" s="336"/>
      <c r="BJ328" s="336"/>
      <c r="BK328" s="336"/>
      <c r="BL328" s="336"/>
      <c r="BM328" s="336"/>
      <c r="BN328" s="336"/>
      <c r="BO328" s="336"/>
      <c r="BP328" s="336"/>
      <c r="BQ328" s="336"/>
      <c r="BR328" s="336"/>
      <c r="BS328" s="336"/>
      <c r="BT328" s="336"/>
      <c r="BU328" s="336"/>
      <c r="BV328" s="336"/>
      <c r="BW328" s="336"/>
      <c r="BX328" s="336"/>
      <c r="BY328" s="336"/>
      <c r="BZ328" s="336"/>
      <c r="CA328" s="336"/>
      <c r="CB328" s="336"/>
      <c r="CC328" s="336"/>
      <c r="CD328" s="336"/>
      <c r="CE328" s="336"/>
      <c r="CF328" s="336"/>
      <c r="CG328" s="336"/>
      <c r="CH328" s="336"/>
      <c r="CI328" s="336"/>
      <c r="CJ328" s="336"/>
      <c r="CK328" s="336"/>
      <c r="CL328" s="336"/>
      <c r="CM328" s="336"/>
      <c r="CN328" s="336"/>
      <c r="CO328" s="336"/>
      <c r="CP328" s="336"/>
      <c r="CQ328" s="336"/>
      <c r="CR328" s="336"/>
      <c r="CS328" s="336"/>
      <c r="CT328" s="336"/>
      <c r="CU328" s="336"/>
      <c r="CV328" s="336"/>
      <c r="CW328" s="336"/>
      <c r="CX328" s="336"/>
      <c r="CY328" s="336"/>
      <c r="CZ328" s="336"/>
      <c r="DA328" s="336"/>
      <c r="DB328" s="336"/>
      <c r="DC328" s="336"/>
      <c r="DD328" s="336"/>
      <c r="DE328" s="336"/>
      <c r="DF328" s="336"/>
      <c r="DG328" s="336"/>
      <c r="DH328" s="336"/>
      <c r="DI328" s="336"/>
      <c r="DJ328" s="336"/>
      <c r="DK328" s="336"/>
      <c r="DL328" s="336"/>
      <c r="DM328" s="336"/>
      <c r="DN328" s="336"/>
      <c r="DO328" s="336"/>
      <c r="DP328" s="336"/>
      <c r="DQ328" s="336"/>
      <c r="DR328" s="336"/>
      <c r="DS328" s="336"/>
      <c r="DT328" s="336"/>
      <c r="DU328" s="336"/>
      <c r="DW328" s="336">
        <f t="shared" si="2108"/>
        <v>0</v>
      </c>
      <c r="DX328" s="336">
        <f t="shared" si="2102"/>
        <v>0</v>
      </c>
      <c r="DY328" s="336">
        <f t="shared" si="2103"/>
        <v>0</v>
      </c>
      <c r="DZ328" s="336">
        <f t="shared" si="2104"/>
        <v>0</v>
      </c>
      <c r="EA328" s="336">
        <f t="shared" si="2105"/>
        <v>0</v>
      </c>
      <c r="EB328" s="336">
        <f t="shared" si="2106"/>
        <v>0</v>
      </c>
      <c r="EC328" s="336">
        <f t="shared" si="2107"/>
        <v>0</v>
      </c>
      <c r="ED328" s="336">
        <f t="shared" si="2019"/>
        <v>0</v>
      </c>
      <c r="EE328" s="336">
        <f t="shared" si="2020"/>
        <v>0</v>
      </c>
      <c r="EF328" s="336">
        <f t="shared" si="2021"/>
        <v>0</v>
      </c>
      <c r="EG328" s="336">
        <f t="shared" si="2022"/>
        <v>0</v>
      </c>
      <c r="EH328" s="336">
        <f t="shared" si="2023"/>
        <v>0</v>
      </c>
      <c r="EI328" s="336">
        <f t="shared" si="2024"/>
        <v>0</v>
      </c>
      <c r="EJ328" s="336">
        <f t="shared" si="2025"/>
        <v>0</v>
      </c>
      <c r="EK328" s="336">
        <f t="shared" si="2026"/>
        <v>0</v>
      </c>
      <c r="EL328" s="336">
        <f t="shared" si="2027"/>
        <v>0</v>
      </c>
      <c r="EM328" s="336">
        <f t="shared" si="2028"/>
        <v>0</v>
      </c>
      <c r="EN328" s="336">
        <f t="shared" si="2029"/>
        <v>0</v>
      </c>
      <c r="EO328" s="336">
        <f t="shared" si="2030"/>
        <v>0</v>
      </c>
      <c r="EP328" s="336">
        <f t="shared" si="2031"/>
        <v>0</v>
      </c>
      <c r="EQ328" s="336">
        <f t="shared" si="2032"/>
        <v>0</v>
      </c>
      <c r="ER328" s="336">
        <f t="shared" si="2033"/>
        <v>0</v>
      </c>
      <c r="ES328" s="336">
        <f t="shared" si="2034"/>
        <v>0</v>
      </c>
      <c r="ET328" s="336">
        <f t="shared" si="2034"/>
        <v>0</v>
      </c>
      <c r="EU328" s="336">
        <f t="shared" si="2035"/>
        <v>0</v>
      </c>
      <c r="EV328" s="336">
        <f t="shared" si="2036"/>
        <v>0</v>
      </c>
      <c r="EW328" s="336">
        <f t="shared" si="2037"/>
        <v>0</v>
      </c>
      <c r="EX328" s="336">
        <f t="shared" si="2038"/>
        <v>0</v>
      </c>
      <c r="EY328" s="336">
        <f t="shared" si="2039"/>
        <v>0</v>
      </c>
      <c r="EZ328" s="336">
        <f t="shared" si="2040"/>
        <v>0</v>
      </c>
      <c r="FA328" s="336">
        <f t="shared" si="2041"/>
        <v>0</v>
      </c>
      <c r="FB328" s="336">
        <f t="shared" si="2042"/>
        <v>0</v>
      </c>
      <c r="FC328" s="336">
        <f t="shared" si="2043"/>
        <v>0</v>
      </c>
      <c r="FD328" s="336">
        <f t="shared" si="2044"/>
        <v>0</v>
      </c>
      <c r="FE328" s="336">
        <f t="shared" si="2045"/>
        <v>0</v>
      </c>
      <c r="FF328" s="336">
        <f t="shared" si="2046"/>
        <v>0</v>
      </c>
      <c r="FG328" s="336">
        <f t="shared" si="2047"/>
        <v>0</v>
      </c>
      <c r="FH328" s="336">
        <f t="shared" si="2048"/>
        <v>0</v>
      </c>
      <c r="FI328" s="336">
        <f t="shared" si="2049"/>
        <v>0</v>
      </c>
      <c r="FJ328" s="336">
        <f t="shared" si="2050"/>
        <v>0</v>
      </c>
      <c r="FK328" s="336">
        <f t="shared" si="2051"/>
        <v>0</v>
      </c>
      <c r="FL328" s="336">
        <f t="shared" si="2052"/>
        <v>0</v>
      </c>
      <c r="FM328" s="336">
        <f t="shared" si="2053"/>
        <v>0</v>
      </c>
      <c r="FN328" s="336">
        <f t="shared" si="2054"/>
        <v>0</v>
      </c>
      <c r="FO328" s="336">
        <f t="shared" si="2055"/>
        <v>0</v>
      </c>
      <c r="FP328" s="336">
        <f t="shared" si="2056"/>
        <v>0</v>
      </c>
      <c r="FQ328" s="336">
        <f t="shared" si="2057"/>
        <v>0</v>
      </c>
      <c r="FR328" s="336">
        <f t="shared" si="2058"/>
        <v>0</v>
      </c>
      <c r="FS328" s="336">
        <f t="shared" si="2059"/>
        <v>0</v>
      </c>
      <c r="FT328" s="336">
        <f t="shared" si="2060"/>
        <v>0</v>
      </c>
      <c r="FU328" s="336">
        <f t="shared" si="2262"/>
        <v>0</v>
      </c>
      <c r="FV328" s="336">
        <f t="shared" si="2263"/>
        <v>0</v>
      </c>
      <c r="FW328" s="336">
        <f t="shared" si="2264"/>
        <v>0</v>
      </c>
      <c r="FX328" s="336">
        <f t="shared" si="2265"/>
        <v>0</v>
      </c>
      <c r="FY328" s="336">
        <f t="shared" si="2061"/>
        <v>0</v>
      </c>
      <c r="FZ328" s="336">
        <f t="shared" si="2062"/>
        <v>0</v>
      </c>
      <c r="GA328" s="336">
        <f t="shared" si="2063"/>
        <v>0</v>
      </c>
      <c r="GB328" s="336">
        <f t="shared" si="2064"/>
        <v>0</v>
      </c>
      <c r="GC328" s="336">
        <f t="shared" si="2065"/>
        <v>0</v>
      </c>
      <c r="GD328" s="336">
        <f t="shared" si="2066"/>
        <v>0</v>
      </c>
      <c r="GE328" s="336">
        <f t="shared" si="2067"/>
        <v>0</v>
      </c>
      <c r="GF328" s="336">
        <f t="shared" si="2068"/>
        <v>0</v>
      </c>
      <c r="GG328" s="336">
        <f t="shared" si="2069"/>
        <v>0</v>
      </c>
      <c r="GH328" s="336">
        <f t="shared" si="2070"/>
        <v>0</v>
      </c>
      <c r="GI328" s="336">
        <f t="shared" si="2071"/>
        <v>0</v>
      </c>
      <c r="GJ328" s="336">
        <f t="shared" si="2072"/>
        <v>0</v>
      </c>
      <c r="GK328" s="336">
        <f t="shared" si="1988"/>
        <v>0</v>
      </c>
      <c r="GL328" s="336">
        <f t="shared" si="2266"/>
        <v>0</v>
      </c>
      <c r="GM328" s="336">
        <f t="shared" si="2073"/>
        <v>0</v>
      </c>
    </row>
    <row r="329" spans="1:195">
      <c r="A329" s="388">
        <f t="shared" si="2267"/>
        <v>211</v>
      </c>
      <c r="B329" s="401" t="s">
        <v>527</v>
      </c>
      <c r="C329" s="388" t="s">
        <v>741</v>
      </c>
      <c r="D329" s="445" t="s">
        <v>759</v>
      </c>
      <c r="E329" s="502" t="s">
        <v>608</v>
      </c>
      <c r="F329" s="571" t="s">
        <v>28</v>
      </c>
      <c r="G329" s="388" t="s">
        <v>329</v>
      </c>
      <c r="H329" s="583">
        <v>10</v>
      </c>
      <c r="I329" s="388" t="s">
        <v>330</v>
      </c>
      <c r="J329" s="388" t="s">
        <v>331</v>
      </c>
      <c r="K329" s="434">
        <v>400</v>
      </c>
      <c r="L329" s="401">
        <v>0.85</v>
      </c>
      <c r="M329" s="418">
        <v>0.95</v>
      </c>
      <c r="N329" s="392">
        <f t="shared" si="2110"/>
        <v>17.875145682437314</v>
      </c>
      <c r="O329" s="392">
        <f t="shared" si="2111"/>
        <v>0</v>
      </c>
      <c r="P329" s="401" t="str">
        <f t="shared" si="2112"/>
        <v>0.00</v>
      </c>
      <c r="Q329" s="418">
        <v>50</v>
      </c>
      <c r="R329" s="418">
        <v>0</v>
      </c>
      <c r="S329" s="418">
        <f t="shared" si="2113"/>
        <v>0</v>
      </c>
      <c r="T329" s="401" t="s">
        <v>131</v>
      </c>
      <c r="U329" s="418" t="s">
        <v>522</v>
      </c>
      <c r="V329" s="401">
        <v>6</v>
      </c>
      <c r="W329" s="401" t="str">
        <f t="shared" si="2114"/>
        <v>4C X 6</v>
      </c>
      <c r="X329" s="401" t="str">
        <f t="shared" si="2115"/>
        <v>4C X 6</v>
      </c>
      <c r="Y329" s="401" t="s">
        <v>358</v>
      </c>
      <c r="Z329" s="393">
        <f>IF(T329="AIR",VLOOKUP(W329,'Catalogue Aluminium'!$B$9:$G$93,2,FALSE),IF(T329="GROUND",VLOOKUP(W329,'Catalogue Aluminium'!$B$9:$G$93,3,FALSE),IF(T329="DUCT",VLOOKUP(W329,'Catalogue Aluminium'!$B$9:$G$93,4,FALSE),IF(T329="TRENCH",VLOOKUP(W329,'Catalogue Aluminium'!$B$9:$G$93,2,FALSE)))))</f>
        <v>51</v>
      </c>
      <c r="AA329" s="402">
        <f>VLOOKUP(W329,'Catalogue Aluminium'!$B$9:$G$93,5,FALSE)</f>
        <v>3.94</v>
      </c>
      <c r="AB329" s="402">
        <f>VLOOKUP(W329,'Catalogue Aluminium'!$B$9:$G$93,6,FALSE)</f>
        <v>9.0200000000000002E-2</v>
      </c>
      <c r="AC329" s="457">
        <f t="shared" si="2149"/>
        <v>34</v>
      </c>
      <c r="AD329" s="388">
        <f>10</f>
        <v>10</v>
      </c>
      <c r="AE329" s="457">
        <v>10</v>
      </c>
      <c r="AF329" s="401">
        <v>8</v>
      </c>
      <c r="AG329" s="401">
        <f t="shared" si="2116"/>
        <v>7</v>
      </c>
      <c r="AH329" s="436">
        <f t="shared" si="2117"/>
        <v>69</v>
      </c>
      <c r="AI329" s="393">
        <f>IF(T329="AIR",'Catalogue Aluminium'!$K$9,IF(T329="TRENCH",'Catalogue Aluminium'!$K$12,"NA"))</f>
        <v>0.89</v>
      </c>
      <c r="AJ329" s="392">
        <f>IF(T329="Air",(IF(U329="1C",'Catalogue Aluminium'!$L$9,'Catalogue Aluminium'!$M$9)),IF(T329="DUCT",(IF($U329="1C",'Catalogue Aluminium'!$L$10,'Catalogue Aluminium'!$M$10)),IF(T329="GROUND",(IF($U329="1C",'Catalogue Aluminium'!$L$11,'Catalogue Aluminium'!$M$11)),IF(T329="TRENCH",(IF($U329="1C",'Catalogue Aluminium'!$L$12,'Catalogue Aluminium'!$M$12))))))</f>
        <v>0.66</v>
      </c>
      <c r="AK329" s="393" t="str">
        <f>IF(T329="Air",'Catalogue Aluminium'!$N$9,IF(T329="GROUND",'Catalogue Aluminium'!$N$10,IF(T329="DUCT",'Catalogue Aluminium'!$N$11,IF(T329="TRENCH",'Catalogue Aluminium'!$N$12,"NA"))))</f>
        <v>NA</v>
      </c>
      <c r="AL329" s="393" t="str">
        <f>IF(T329="Air",(IF(U329="1C",'Catalogue Aluminium'!$O$9,'Catalogue Aluminium'!$P$9)),IF(T329="DUCT",(IF($U329="1C",'Catalogue Aluminium'!$O$10,'Catalogue Aluminium'!$P$10)),IF(T329="GROUND",(IF($U329="1C",'Catalogue Aluminium'!$O$11,'Catalogue Aluminium'!$P$11)),IF(T329="TRENCH",(IF($U329="1C",'Catalogue Aluminium'!$O$12,'Catalogue Aluminium'!$P$12))))))</f>
        <v>NA</v>
      </c>
      <c r="AM329" s="393" t="str">
        <f>IF(T329="AIR","NA",IF(T329="TRENCH","NA",IF(T329="DUCT",IF(U329="1C",VLOOKUP(V329,'Catalogue Aluminium'!$Q$9:$S$28,2,FALSE),VLOOKUP(V329,'Catalogue Aluminium'!$Q$9:$S$28,3)),IF(T329="GROUND",IF(U329="1C",VLOOKUP(V329,'Catalogue Aluminium'!$Q$9:$S$28,2,FALSE),VLOOKUP(V329,'Catalogue Aluminium'!$Q$9:$S$28,3))))))</f>
        <v>NA</v>
      </c>
      <c r="AN329" s="437">
        <f t="shared" si="2118"/>
        <v>0.58740000000000003</v>
      </c>
      <c r="AO329" s="418">
        <f t="shared" si="2119"/>
        <v>29.957400000000003</v>
      </c>
      <c r="AP329" s="434">
        <f t="shared" si="2120"/>
        <v>1</v>
      </c>
      <c r="AQ329" s="418" t="str">
        <f t="shared" si="2121"/>
        <v>YES</v>
      </c>
      <c r="AR329" s="437">
        <f t="shared" si="2122"/>
        <v>1.8139819267942812</v>
      </c>
      <c r="AS329" s="401" t="str">
        <f t="shared" si="2123"/>
        <v>YES</v>
      </c>
      <c r="AT329" s="437" t="str">
        <f t="shared" si="2124"/>
        <v>NA</v>
      </c>
      <c r="AU329" s="401" t="str">
        <f t="shared" si="2125"/>
        <v>NA</v>
      </c>
      <c r="AV329" s="503" t="str">
        <f t="shared" si="2126"/>
        <v>1R x 0.6/1kV x 4C x 6 Sqmm</v>
      </c>
      <c r="AW329" s="503" t="str">
        <f t="shared" si="2127"/>
        <v>1R x 0.6/1kV x 4C x 6 Sqmm</v>
      </c>
      <c r="AX329" s="401">
        <f t="shared" si="2394"/>
        <v>69</v>
      </c>
      <c r="AY329" s="504"/>
      <c r="AZ329" s="504">
        <f t="shared" si="2260"/>
        <v>2</v>
      </c>
      <c r="BA329" s="438" t="str">
        <f t="shared" si="2268"/>
        <v/>
      </c>
      <c r="BB329" s="505">
        <f>VLOOKUP(W329,'Catalogue Aluminium'!$B$9:$H$93,7,FALSE)</f>
        <v>18</v>
      </c>
      <c r="BC329" s="439">
        <f t="shared" si="2261"/>
        <v>18</v>
      </c>
      <c r="BE329" s="336"/>
      <c r="BF329" s="336"/>
      <c r="BG329" s="336"/>
      <c r="BH329" s="336"/>
      <c r="BI329" s="336"/>
      <c r="BJ329" s="336"/>
      <c r="BK329" s="336"/>
      <c r="BL329" s="336"/>
      <c r="BM329" s="336"/>
      <c r="BN329" s="336"/>
      <c r="BO329" s="336"/>
      <c r="BP329" s="336"/>
      <c r="BQ329" s="336"/>
      <c r="BR329" s="336"/>
      <c r="BS329" s="336"/>
      <c r="BT329" s="336"/>
      <c r="BU329" s="336"/>
      <c r="BV329" s="336"/>
      <c r="BW329" s="336"/>
      <c r="BX329" s="336"/>
      <c r="BY329" s="336"/>
      <c r="BZ329" s="336"/>
      <c r="CA329" s="336"/>
      <c r="CB329" s="336"/>
      <c r="CC329" s="336"/>
      <c r="CD329" s="336"/>
      <c r="CE329" s="336"/>
      <c r="CF329" s="336"/>
      <c r="CG329" s="336"/>
      <c r="CH329" s="336"/>
      <c r="CI329" s="336"/>
      <c r="CJ329" s="336"/>
      <c r="CK329" s="336"/>
      <c r="CL329" s="336"/>
      <c r="CM329" s="336"/>
      <c r="CN329" s="336"/>
      <c r="CO329" s="336"/>
      <c r="CP329" s="336"/>
      <c r="CQ329" s="336"/>
      <c r="CR329" s="336"/>
      <c r="CS329" s="336"/>
      <c r="CT329" s="336"/>
      <c r="CU329" s="336"/>
      <c r="CV329" s="336"/>
      <c r="CW329" s="336"/>
      <c r="CX329" s="336"/>
      <c r="CY329" s="336"/>
      <c r="CZ329" s="336"/>
      <c r="DA329" s="336"/>
      <c r="DB329" s="336"/>
      <c r="DC329" s="336"/>
      <c r="DD329" s="336"/>
      <c r="DE329" s="336"/>
      <c r="DF329" s="336"/>
      <c r="DG329" s="336"/>
      <c r="DH329" s="336"/>
      <c r="DI329" s="336"/>
      <c r="DJ329" s="336"/>
      <c r="DK329" s="336"/>
      <c r="DL329" s="336"/>
      <c r="DM329" s="336"/>
      <c r="DN329" s="336"/>
      <c r="DO329" s="336"/>
      <c r="DP329" s="336"/>
      <c r="DQ329" s="336"/>
      <c r="DR329" s="336"/>
      <c r="DS329" s="336"/>
      <c r="DT329" s="336"/>
      <c r="DU329" s="336"/>
      <c r="DW329" s="336">
        <f t="shared" si="2108"/>
        <v>0</v>
      </c>
      <c r="DX329" s="336">
        <f t="shared" si="2102"/>
        <v>0</v>
      </c>
      <c r="DY329" s="336">
        <f t="shared" si="2103"/>
        <v>0</v>
      </c>
      <c r="DZ329" s="336">
        <f t="shared" si="2104"/>
        <v>0</v>
      </c>
      <c r="EA329" s="336">
        <f t="shared" si="2105"/>
        <v>0</v>
      </c>
      <c r="EB329" s="336">
        <f t="shared" si="2106"/>
        <v>0</v>
      </c>
      <c r="EC329" s="336">
        <f t="shared" si="2107"/>
        <v>0</v>
      </c>
      <c r="ED329" s="336">
        <f t="shared" si="2019"/>
        <v>0</v>
      </c>
      <c r="EE329" s="336">
        <f t="shared" si="2020"/>
        <v>0</v>
      </c>
      <c r="EF329" s="336">
        <f t="shared" si="2021"/>
        <v>0</v>
      </c>
      <c r="EG329" s="336">
        <f t="shared" si="2022"/>
        <v>0</v>
      </c>
      <c r="EH329" s="336">
        <f t="shared" si="2023"/>
        <v>0</v>
      </c>
      <c r="EI329" s="336">
        <f t="shared" si="2024"/>
        <v>0</v>
      </c>
      <c r="EJ329" s="336">
        <f t="shared" si="2025"/>
        <v>0</v>
      </c>
      <c r="EK329" s="336">
        <f t="shared" si="2026"/>
        <v>0</v>
      </c>
      <c r="EL329" s="336">
        <f t="shared" si="2027"/>
        <v>0</v>
      </c>
      <c r="EM329" s="336">
        <f t="shared" si="2028"/>
        <v>0</v>
      </c>
      <c r="EN329" s="336">
        <f t="shared" si="2029"/>
        <v>0</v>
      </c>
      <c r="EO329" s="336">
        <f t="shared" si="2030"/>
        <v>0</v>
      </c>
      <c r="EP329" s="336">
        <f t="shared" si="2031"/>
        <v>0</v>
      </c>
      <c r="EQ329" s="336">
        <f t="shared" si="2032"/>
        <v>0</v>
      </c>
      <c r="ER329" s="336">
        <f t="shared" si="2033"/>
        <v>0</v>
      </c>
      <c r="ES329" s="336">
        <f t="shared" si="2034"/>
        <v>0</v>
      </c>
      <c r="ET329" s="336">
        <f t="shared" si="2034"/>
        <v>0</v>
      </c>
      <c r="EU329" s="336">
        <f t="shared" si="2035"/>
        <v>0</v>
      </c>
      <c r="EV329" s="336">
        <f t="shared" si="2036"/>
        <v>0</v>
      </c>
      <c r="EW329" s="336">
        <f t="shared" si="2037"/>
        <v>0</v>
      </c>
      <c r="EX329" s="336">
        <f t="shared" si="2038"/>
        <v>0</v>
      </c>
      <c r="EY329" s="336">
        <f t="shared" si="2039"/>
        <v>0</v>
      </c>
      <c r="EZ329" s="336">
        <f t="shared" si="2040"/>
        <v>0</v>
      </c>
      <c r="FA329" s="336">
        <f t="shared" si="2041"/>
        <v>0</v>
      </c>
      <c r="FB329" s="336">
        <f t="shared" si="2042"/>
        <v>0</v>
      </c>
      <c r="FC329" s="336">
        <f t="shared" si="2043"/>
        <v>0</v>
      </c>
      <c r="FD329" s="336">
        <f t="shared" si="2044"/>
        <v>0</v>
      </c>
      <c r="FE329" s="336">
        <f t="shared" si="2045"/>
        <v>0</v>
      </c>
      <c r="FF329" s="336">
        <f t="shared" si="2046"/>
        <v>0</v>
      </c>
      <c r="FG329" s="336">
        <f t="shared" si="2047"/>
        <v>0</v>
      </c>
      <c r="FH329" s="336">
        <f t="shared" si="2048"/>
        <v>0</v>
      </c>
      <c r="FI329" s="336">
        <f t="shared" si="2049"/>
        <v>0</v>
      </c>
      <c r="FJ329" s="336">
        <f t="shared" si="2050"/>
        <v>0</v>
      </c>
      <c r="FK329" s="336">
        <f t="shared" si="2051"/>
        <v>0</v>
      </c>
      <c r="FL329" s="336">
        <f t="shared" si="2052"/>
        <v>0</v>
      </c>
      <c r="FM329" s="336">
        <f t="shared" si="2053"/>
        <v>0</v>
      </c>
      <c r="FN329" s="336">
        <f t="shared" si="2054"/>
        <v>0</v>
      </c>
      <c r="FO329" s="336">
        <f t="shared" si="2055"/>
        <v>0</v>
      </c>
      <c r="FP329" s="336">
        <f t="shared" si="2056"/>
        <v>0</v>
      </c>
      <c r="FQ329" s="336">
        <f t="shared" si="2057"/>
        <v>0</v>
      </c>
      <c r="FR329" s="336">
        <f t="shared" si="2058"/>
        <v>0</v>
      </c>
      <c r="FS329" s="336">
        <f t="shared" si="2059"/>
        <v>0</v>
      </c>
      <c r="FT329" s="336">
        <f t="shared" si="2060"/>
        <v>0</v>
      </c>
      <c r="FU329" s="336">
        <f t="shared" si="2262"/>
        <v>0</v>
      </c>
      <c r="FV329" s="336">
        <f t="shared" si="2263"/>
        <v>0</v>
      </c>
      <c r="FW329" s="336">
        <f t="shared" si="2264"/>
        <v>0</v>
      </c>
      <c r="FX329" s="336">
        <f t="shared" si="2265"/>
        <v>0</v>
      </c>
      <c r="FY329" s="336">
        <f t="shared" si="2061"/>
        <v>0</v>
      </c>
      <c r="FZ329" s="336">
        <f t="shared" si="2062"/>
        <v>0</v>
      </c>
      <c r="GA329" s="336">
        <f t="shared" si="2063"/>
        <v>0</v>
      </c>
      <c r="GB329" s="336">
        <f t="shared" si="2064"/>
        <v>0</v>
      </c>
      <c r="GC329" s="336">
        <f t="shared" si="2065"/>
        <v>0</v>
      </c>
      <c r="GD329" s="336">
        <f t="shared" si="2066"/>
        <v>0</v>
      </c>
      <c r="GE329" s="336">
        <f t="shared" si="2067"/>
        <v>0</v>
      </c>
      <c r="GF329" s="336">
        <f t="shared" si="2068"/>
        <v>0</v>
      </c>
      <c r="GG329" s="336">
        <f t="shared" si="2069"/>
        <v>0</v>
      </c>
      <c r="GH329" s="336">
        <f t="shared" si="2070"/>
        <v>0</v>
      </c>
      <c r="GI329" s="336">
        <f t="shared" si="2071"/>
        <v>0</v>
      </c>
      <c r="GJ329" s="336">
        <f t="shared" si="2072"/>
        <v>0</v>
      </c>
      <c r="GK329" s="336">
        <f t="shared" si="1988"/>
        <v>0</v>
      </c>
      <c r="GL329" s="336">
        <f t="shared" si="2266"/>
        <v>0</v>
      </c>
      <c r="GM329" s="336">
        <f t="shared" si="2073"/>
        <v>0</v>
      </c>
    </row>
    <row r="330" spans="1:195">
      <c r="A330" s="388">
        <f t="shared" si="2267"/>
        <v>212</v>
      </c>
      <c r="B330" s="401" t="s">
        <v>527</v>
      </c>
      <c r="C330" s="388" t="s">
        <v>741</v>
      </c>
      <c r="D330" s="445" t="s">
        <v>760</v>
      </c>
      <c r="E330" s="502" t="s">
        <v>608</v>
      </c>
      <c r="F330" s="571" t="s">
        <v>28</v>
      </c>
      <c r="G330" s="388" t="s">
        <v>329</v>
      </c>
      <c r="H330" s="583">
        <v>10</v>
      </c>
      <c r="I330" s="388" t="s">
        <v>330</v>
      </c>
      <c r="J330" s="388" t="s">
        <v>331</v>
      </c>
      <c r="K330" s="434">
        <v>400</v>
      </c>
      <c r="L330" s="401">
        <v>0.85</v>
      </c>
      <c r="M330" s="418">
        <v>0.95</v>
      </c>
      <c r="N330" s="392">
        <f t="shared" si="2110"/>
        <v>17.875145682437314</v>
      </c>
      <c r="O330" s="392">
        <f t="shared" si="2111"/>
        <v>0</v>
      </c>
      <c r="P330" s="401" t="str">
        <f t="shared" si="2112"/>
        <v>0.00</v>
      </c>
      <c r="Q330" s="418">
        <v>50</v>
      </c>
      <c r="R330" s="418">
        <v>0</v>
      </c>
      <c r="S330" s="418">
        <f t="shared" si="2113"/>
        <v>0</v>
      </c>
      <c r="T330" s="401" t="s">
        <v>131</v>
      </c>
      <c r="U330" s="418" t="s">
        <v>522</v>
      </c>
      <c r="V330" s="401">
        <v>6</v>
      </c>
      <c r="W330" s="401" t="str">
        <f t="shared" si="2114"/>
        <v>4C X 6</v>
      </c>
      <c r="X330" s="401" t="str">
        <f t="shared" si="2115"/>
        <v>4C X 6</v>
      </c>
      <c r="Y330" s="401" t="s">
        <v>358</v>
      </c>
      <c r="Z330" s="393">
        <f>IF(T330="AIR",VLOOKUP(W330,'Catalogue Aluminium'!$B$9:$G$93,2,FALSE),IF(T330="GROUND",VLOOKUP(W330,'Catalogue Aluminium'!$B$9:$G$93,3,FALSE),IF(T330="DUCT",VLOOKUP(W330,'Catalogue Aluminium'!$B$9:$G$93,4,FALSE),IF(T330="TRENCH",VLOOKUP(W330,'Catalogue Aluminium'!$B$9:$G$93,2,FALSE)))))</f>
        <v>51</v>
      </c>
      <c r="AA330" s="402">
        <f>VLOOKUP(W330,'Catalogue Aluminium'!$B$9:$G$93,5,FALSE)</f>
        <v>3.94</v>
      </c>
      <c r="AB330" s="402">
        <f>VLOOKUP(W330,'Catalogue Aluminium'!$B$9:$G$93,6,FALSE)</f>
        <v>9.0200000000000002E-2</v>
      </c>
      <c r="AC330" s="457">
        <f t="shared" si="2149"/>
        <v>34</v>
      </c>
      <c r="AD330" s="388">
        <f>10</f>
        <v>10</v>
      </c>
      <c r="AE330" s="457">
        <v>10</v>
      </c>
      <c r="AF330" s="401">
        <v>8</v>
      </c>
      <c r="AG330" s="401">
        <f t="shared" si="2116"/>
        <v>7</v>
      </c>
      <c r="AH330" s="436">
        <f t="shared" si="2117"/>
        <v>69</v>
      </c>
      <c r="AI330" s="393">
        <f>IF(T330="AIR",'Catalogue Aluminium'!$K$9,IF(T330="TRENCH",'Catalogue Aluminium'!$K$12,"NA"))</f>
        <v>0.89</v>
      </c>
      <c r="AJ330" s="392">
        <f>IF(T330="Air",(IF(U330="1C",'Catalogue Aluminium'!$L$9,'Catalogue Aluminium'!$M$9)),IF(T330="DUCT",(IF($U330="1C",'Catalogue Aluminium'!$L$10,'Catalogue Aluminium'!$M$10)),IF(T330="GROUND",(IF($U330="1C",'Catalogue Aluminium'!$L$11,'Catalogue Aluminium'!$M$11)),IF(T330="TRENCH",(IF($U330="1C",'Catalogue Aluminium'!$L$12,'Catalogue Aluminium'!$M$12))))))</f>
        <v>0.66</v>
      </c>
      <c r="AK330" s="393" t="str">
        <f>IF(T330="Air",'Catalogue Aluminium'!$N$9,IF(T330="GROUND",'Catalogue Aluminium'!$N$10,IF(T330="DUCT",'Catalogue Aluminium'!$N$11,IF(T330="TRENCH",'Catalogue Aluminium'!$N$12,"NA"))))</f>
        <v>NA</v>
      </c>
      <c r="AL330" s="393" t="str">
        <f>IF(T330="Air",(IF(U330="1C",'Catalogue Aluminium'!$O$9,'Catalogue Aluminium'!$P$9)),IF(T330="DUCT",(IF($U330="1C",'Catalogue Aluminium'!$O$10,'Catalogue Aluminium'!$P$10)),IF(T330="GROUND",(IF($U330="1C",'Catalogue Aluminium'!$O$11,'Catalogue Aluminium'!$P$11)),IF(T330="TRENCH",(IF($U330="1C",'Catalogue Aluminium'!$O$12,'Catalogue Aluminium'!$P$12))))))</f>
        <v>NA</v>
      </c>
      <c r="AM330" s="393" t="str">
        <f>IF(T330="AIR","NA",IF(T330="TRENCH","NA",IF(T330="DUCT",IF(U330="1C",VLOOKUP(V330,'Catalogue Aluminium'!$Q$9:$S$28,2,FALSE),VLOOKUP(V330,'Catalogue Aluminium'!$Q$9:$S$28,3)),IF(T330="GROUND",IF(U330="1C",VLOOKUP(V330,'Catalogue Aluminium'!$Q$9:$S$28,2,FALSE),VLOOKUP(V330,'Catalogue Aluminium'!$Q$9:$S$28,3))))))</f>
        <v>NA</v>
      </c>
      <c r="AN330" s="437">
        <f t="shared" si="2118"/>
        <v>0.58740000000000003</v>
      </c>
      <c r="AO330" s="418">
        <f t="shared" si="2119"/>
        <v>29.957400000000003</v>
      </c>
      <c r="AP330" s="434">
        <f t="shared" si="2120"/>
        <v>1</v>
      </c>
      <c r="AQ330" s="418" t="str">
        <f t="shared" si="2121"/>
        <v>YES</v>
      </c>
      <c r="AR330" s="437">
        <f t="shared" si="2122"/>
        <v>1.8139819267942812</v>
      </c>
      <c r="AS330" s="401" t="str">
        <f t="shared" si="2123"/>
        <v>YES</v>
      </c>
      <c r="AT330" s="437" t="str">
        <f t="shared" si="2124"/>
        <v>NA</v>
      </c>
      <c r="AU330" s="401" t="str">
        <f t="shared" si="2125"/>
        <v>NA</v>
      </c>
      <c r="AV330" s="503" t="str">
        <f t="shared" si="2126"/>
        <v>1R x 0.6/1kV x 4C x 6 Sqmm</v>
      </c>
      <c r="AW330" s="503" t="str">
        <f t="shared" si="2127"/>
        <v>1R x 0.6/1kV x 4C x 6 Sqmm</v>
      </c>
      <c r="AX330" s="401">
        <f t="shared" si="2394"/>
        <v>69</v>
      </c>
      <c r="AY330" s="504"/>
      <c r="AZ330" s="504">
        <f t="shared" si="2260"/>
        <v>2</v>
      </c>
      <c r="BA330" s="438" t="str">
        <f t="shared" si="2268"/>
        <v/>
      </c>
      <c r="BB330" s="505">
        <f>VLOOKUP(W330,'Catalogue Aluminium'!$B$9:$H$93,7,FALSE)</f>
        <v>18</v>
      </c>
      <c r="BC330" s="439">
        <f t="shared" si="2261"/>
        <v>18</v>
      </c>
      <c r="BE330" s="336"/>
      <c r="BF330" s="336"/>
      <c r="BG330" s="336"/>
      <c r="BH330" s="336"/>
      <c r="BI330" s="336"/>
      <c r="BJ330" s="336"/>
      <c r="BK330" s="336"/>
      <c r="BL330" s="336"/>
      <c r="BM330" s="336"/>
      <c r="BN330" s="336"/>
      <c r="BO330" s="336"/>
      <c r="BP330" s="336"/>
      <c r="BQ330" s="336"/>
      <c r="BR330" s="336"/>
      <c r="BS330" s="336"/>
      <c r="BT330" s="336"/>
      <c r="BU330" s="336"/>
      <c r="BV330" s="336"/>
      <c r="BW330" s="336"/>
      <c r="BX330" s="336"/>
      <c r="BY330" s="336"/>
      <c r="BZ330" s="336"/>
      <c r="CA330" s="336"/>
      <c r="CB330" s="336"/>
      <c r="CC330" s="336"/>
      <c r="CD330" s="336"/>
      <c r="CE330" s="336"/>
      <c r="CF330" s="336"/>
      <c r="CG330" s="336"/>
      <c r="CH330" s="336"/>
      <c r="CI330" s="336"/>
      <c r="CJ330" s="336"/>
      <c r="CK330" s="336"/>
      <c r="CL330" s="336"/>
      <c r="CM330" s="336"/>
      <c r="CN330" s="336"/>
      <c r="CO330" s="336"/>
      <c r="CP330" s="336"/>
      <c r="CQ330" s="336"/>
      <c r="CR330" s="336"/>
      <c r="CS330" s="336"/>
      <c r="CT330" s="336"/>
      <c r="CU330" s="336"/>
      <c r="CV330" s="336"/>
      <c r="CW330" s="336"/>
      <c r="CX330" s="336"/>
      <c r="CY330" s="336"/>
      <c r="CZ330" s="336"/>
      <c r="DA330" s="336"/>
      <c r="DB330" s="336"/>
      <c r="DC330" s="336"/>
      <c r="DD330" s="336"/>
      <c r="DE330" s="336"/>
      <c r="DF330" s="336"/>
      <c r="DG330" s="336"/>
      <c r="DH330" s="336"/>
      <c r="DI330" s="336"/>
      <c r="DJ330" s="336"/>
      <c r="DK330" s="336"/>
      <c r="DL330" s="336"/>
      <c r="DM330" s="336"/>
      <c r="DN330" s="336"/>
      <c r="DO330" s="336"/>
      <c r="DP330" s="336"/>
      <c r="DQ330" s="336"/>
      <c r="DR330" s="336"/>
      <c r="DS330" s="336"/>
      <c r="DT330" s="336"/>
      <c r="DU330" s="336"/>
      <c r="DW330" s="336">
        <f t="shared" si="2108"/>
        <v>0</v>
      </c>
      <c r="DX330" s="336">
        <f t="shared" si="2102"/>
        <v>0</v>
      </c>
      <c r="DY330" s="336">
        <f t="shared" si="2103"/>
        <v>0</v>
      </c>
      <c r="DZ330" s="336">
        <f t="shared" si="2104"/>
        <v>0</v>
      </c>
      <c r="EA330" s="336">
        <f t="shared" si="2105"/>
        <v>0</v>
      </c>
      <c r="EB330" s="336">
        <f t="shared" si="2106"/>
        <v>0</v>
      </c>
      <c r="EC330" s="336">
        <f t="shared" si="2107"/>
        <v>0</v>
      </c>
      <c r="ED330" s="336">
        <f t="shared" si="2019"/>
        <v>0</v>
      </c>
      <c r="EE330" s="336">
        <f t="shared" si="2020"/>
        <v>0</v>
      </c>
      <c r="EF330" s="336">
        <f t="shared" si="2021"/>
        <v>0</v>
      </c>
      <c r="EG330" s="336">
        <f t="shared" si="2022"/>
        <v>0</v>
      </c>
      <c r="EH330" s="336">
        <f t="shared" si="2023"/>
        <v>0</v>
      </c>
      <c r="EI330" s="336">
        <f t="shared" si="2024"/>
        <v>0</v>
      </c>
      <c r="EJ330" s="336">
        <f t="shared" si="2025"/>
        <v>0</v>
      </c>
      <c r="EK330" s="336">
        <f t="shared" si="2026"/>
        <v>0</v>
      </c>
      <c r="EL330" s="336">
        <f t="shared" si="2027"/>
        <v>0</v>
      </c>
      <c r="EM330" s="336">
        <f t="shared" si="2028"/>
        <v>0</v>
      </c>
      <c r="EN330" s="336">
        <f t="shared" si="2029"/>
        <v>0</v>
      </c>
      <c r="EO330" s="336">
        <f t="shared" si="2030"/>
        <v>0</v>
      </c>
      <c r="EP330" s="336">
        <f t="shared" si="2031"/>
        <v>0</v>
      </c>
      <c r="EQ330" s="336">
        <f t="shared" si="2032"/>
        <v>0</v>
      </c>
      <c r="ER330" s="336">
        <f t="shared" si="2033"/>
        <v>0</v>
      </c>
      <c r="ES330" s="336">
        <f t="shared" si="2034"/>
        <v>0</v>
      </c>
      <c r="ET330" s="336">
        <f t="shared" si="2034"/>
        <v>0</v>
      </c>
      <c r="EU330" s="336">
        <f t="shared" si="2035"/>
        <v>0</v>
      </c>
      <c r="EV330" s="336">
        <f t="shared" si="2036"/>
        <v>0</v>
      </c>
      <c r="EW330" s="336">
        <f t="shared" si="2037"/>
        <v>0</v>
      </c>
      <c r="EX330" s="336">
        <f t="shared" si="2038"/>
        <v>0</v>
      </c>
      <c r="EY330" s="336">
        <f t="shared" si="2039"/>
        <v>0</v>
      </c>
      <c r="EZ330" s="336">
        <f t="shared" si="2040"/>
        <v>0</v>
      </c>
      <c r="FA330" s="336">
        <f t="shared" si="2041"/>
        <v>0</v>
      </c>
      <c r="FB330" s="336">
        <f t="shared" si="2042"/>
        <v>0</v>
      </c>
      <c r="FC330" s="336">
        <f t="shared" si="2043"/>
        <v>0</v>
      </c>
      <c r="FD330" s="336">
        <f t="shared" si="2044"/>
        <v>0</v>
      </c>
      <c r="FE330" s="336">
        <f t="shared" si="2045"/>
        <v>0</v>
      </c>
      <c r="FF330" s="336">
        <f t="shared" si="2046"/>
        <v>0</v>
      </c>
      <c r="FG330" s="336">
        <f t="shared" si="2047"/>
        <v>0</v>
      </c>
      <c r="FH330" s="336">
        <f t="shared" si="2048"/>
        <v>0</v>
      </c>
      <c r="FI330" s="336">
        <f t="shared" si="2049"/>
        <v>0</v>
      </c>
      <c r="FJ330" s="336">
        <f t="shared" si="2050"/>
        <v>0</v>
      </c>
      <c r="FK330" s="336">
        <f t="shared" si="2051"/>
        <v>0</v>
      </c>
      <c r="FL330" s="336">
        <f t="shared" si="2052"/>
        <v>0</v>
      </c>
      <c r="FM330" s="336">
        <f t="shared" si="2053"/>
        <v>0</v>
      </c>
      <c r="FN330" s="336">
        <f t="shared" si="2054"/>
        <v>0</v>
      </c>
      <c r="FO330" s="336">
        <f t="shared" si="2055"/>
        <v>0</v>
      </c>
      <c r="FP330" s="336">
        <f t="shared" si="2056"/>
        <v>0</v>
      </c>
      <c r="FQ330" s="336">
        <f t="shared" si="2057"/>
        <v>0</v>
      </c>
      <c r="FR330" s="336">
        <f t="shared" si="2058"/>
        <v>0</v>
      </c>
      <c r="FS330" s="336">
        <f t="shared" si="2059"/>
        <v>0</v>
      </c>
      <c r="FT330" s="336">
        <f t="shared" si="2060"/>
        <v>0</v>
      </c>
      <c r="FU330" s="336">
        <f t="shared" si="2262"/>
        <v>0</v>
      </c>
      <c r="FV330" s="336">
        <f t="shared" si="2263"/>
        <v>0</v>
      </c>
      <c r="FW330" s="336">
        <f t="shared" si="2264"/>
        <v>0</v>
      </c>
      <c r="FX330" s="336">
        <f t="shared" si="2265"/>
        <v>0</v>
      </c>
      <c r="FY330" s="336">
        <f t="shared" si="2061"/>
        <v>0</v>
      </c>
      <c r="FZ330" s="336">
        <f t="shared" si="2062"/>
        <v>0</v>
      </c>
      <c r="GA330" s="336">
        <f t="shared" si="2063"/>
        <v>0</v>
      </c>
      <c r="GB330" s="336">
        <f t="shared" si="2064"/>
        <v>0</v>
      </c>
      <c r="GC330" s="336">
        <f t="shared" si="2065"/>
        <v>0</v>
      </c>
      <c r="GD330" s="336">
        <f t="shared" si="2066"/>
        <v>0</v>
      </c>
      <c r="GE330" s="336">
        <f t="shared" si="2067"/>
        <v>0</v>
      </c>
      <c r="GF330" s="336">
        <f t="shared" si="2068"/>
        <v>0</v>
      </c>
      <c r="GG330" s="336">
        <f t="shared" si="2069"/>
        <v>0</v>
      </c>
      <c r="GH330" s="336">
        <f t="shared" si="2070"/>
        <v>0</v>
      </c>
      <c r="GI330" s="336">
        <f t="shared" si="2071"/>
        <v>0</v>
      </c>
      <c r="GJ330" s="336">
        <f t="shared" si="2072"/>
        <v>0</v>
      </c>
      <c r="GK330" s="336">
        <f t="shared" si="1988"/>
        <v>0</v>
      </c>
      <c r="GL330" s="336">
        <f t="shared" si="2266"/>
        <v>0</v>
      </c>
      <c r="GM330" s="336">
        <f t="shared" si="2073"/>
        <v>0</v>
      </c>
    </row>
    <row r="331" spans="1:195">
      <c r="A331" s="388">
        <f t="shared" si="2267"/>
        <v>213</v>
      </c>
      <c r="B331" s="401" t="s">
        <v>527</v>
      </c>
      <c r="C331" s="388" t="s">
        <v>741</v>
      </c>
      <c r="D331" s="445" t="s">
        <v>761</v>
      </c>
      <c r="E331" s="502" t="s">
        <v>608</v>
      </c>
      <c r="F331" s="571" t="s">
        <v>28</v>
      </c>
      <c r="G331" s="388" t="s">
        <v>329</v>
      </c>
      <c r="H331" s="583">
        <v>10</v>
      </c>
      <c r="I331" s="388" t="s">
        <v>330</v>
      </c>
      <c r="J331" s="388" t="s">
        <v>331</v>
      </c>
      <c r="K331" s="434">
        <v>400</v>
      </c>
      <c r="L331" s="401">
        <v>0.85</v>
      </c>
      <c r="M331" s="418">
        <v>0.95</v>
      </c>
      <c r="N331" s="392">
        <f t="shared" si="2110"/>
        <v>17.875145682437314</v>
      </c>
      <c r="O331" s="392">
        <f t="shared" si="2111"/>
        <v>0</v>
      </c>
      <c r="P331" s="401" t="str">
        <f t="shared" si="2112"/>
        <v>0.00</v>
      </c>
      <c r="Q331" s="418">
        <v>50</v>
      </c>
      <c r="R331" s="418">
        <v>0</v>
      </c>
      <c r="S331" s="418">
        <f t="shared" si="2113"/>
        <v>0</v>
      </c>
      <c r="T331" s="401" t="s">
        <v>131</v>
      </c>
      <c r="U331" s="418" t="s">
        <v>522</v>
      </c>
      <c r="V331" s="401">
        <v>6</v>
      </c>
      <c r="W331" s="401" t="str">
        <f t="shared" si="2114"/>
        <v>4C X 6</v>
      </c>
      <c r="X331" s="401" t="str">
        <f t="shared" si="2115"/>
        <v>4C X 6</v>
      </c>
      <c r="Y331" s="401" t="s">
        <v>358</v>
      </c>
      <c r="Z331" s="393">
        <f>IF(T331="AIR",VLOOKUP(W331,'Catalogue Aluminium'!$B$9:$G$93,2,FALSE),IF(T331="GROUND",VLOOKUP(W331,'Catalogue Aluminium'!$B$9:$G$93,3,FALSE),IF(T331="DUCT",VLOOKUP(W331,'Catalogue Aluminium'!$B$9:$G$93,4,FALSE),IF(T331="TRENCH",VLOOKUP(W331,'Catalogue Aluminium'!$B$9:$G$93,2,FALSE)))))</f>
        <v>51</v>
      </c>
      <c r="AA331" s="402">
        <f>VLOOKUP(W331,'Catalogue Aluminium'!$B$9:$G$93,5,FALSE)</f>
        <v>3.94</v>
      </c>
      <c r="AB331" s="402">
        <f>VLOOKUP(W331,'Catalogue Aluminium'!$B$9:$G$93,6,FALSE)</f>
        <v>9.0200000000000002E-2</v>
      </c>
      <c r="AC331" s="457">
        <f t="shared" si="2149"/>
        <v>34</v>
      </c>
      <c r="AD331" s="388">
        <f>10</f>
        <v>10</v>
      </c>
      <c r="AE331" s="457">
        <v>10</v>
      </c>
      <c r="AF331" s="401">
        <v>8</v>
      </c>
      <c r="AG331" s="401">
        <f t="shared" si="2116"/>
        <v>7</v>
      </c>
      <c r="AH331" s="436">
        <f t="shared" si="2117"/>
        <v>69</v>
      </c>
      <c r="AI331" s="393">
        <f>IF(T331="AIR",'Catalogue Aluminium'!$K$9,IF(T331="TRENCH",'Catalogue Aluminium'!$K$12,"NA"))</f>
        <v>0.89</v>
      </c>
      <c r="AJ331" s="392">
        <f>IF(T331="Air",(IF(U331="1C",'Catalogue Aluminium'!$L$9,'Catalogue Aluminium'!$M$9)),IF(T331="DUCT",(IF($U331="1C",'Catalogue Aluminium'!$L$10,'Catalogue Aluminium'!$M$10)),IF(T331="GROUND",(IF($U331="1C",'Catalogue Aluminium'!$L$11,'Catalogue Aluminium'!$M$11)),IF(T331="TRENCH",(IF($U331="1C",'Catalogue Aluminium'!$L$12,'Catalogue Aluminium'!$M$12))))))</f>
        <v>0.66</v>
      </c>
      <c r="AK331" s="393" t="str">
        <f>IF(T331="Air",'Catalogue Aluminium'!$N$9,IF(T331="GROUND",'Catalogue Aluminium'!$N$10,IF(T331="DUCT",'Catalogue Aluminium'!$N$11,IF(T331="TRENCH",'Catalogue Aluminium'!$N$12,"NA"))))</f>
        <v>NA</v>
      </c>
      <c r="AL331" s="393" t="str">
        <f>IF(T331="Air",(IF(U331="1C",'Catalogue Aluminium'!$O$9,'Catalogue Aluminium'!$P$9)),IF(T331="DUCT",(IF($U331="1C",'Catalogue Aluminium'!$O$10,'Catalogue Aluminium'!$P$10)),IF(T331="GROUND",(IF($U331="1C",'Catalogue Aluminium'!$O$11,'Catalogue Aluminium'!$P$11)),IF(T331="TRENCH",(IF($U331="1C",'Catalogue Aluminium'!$O$12,'Catalogue Aluminium'!$P$12))))))</f>
        <v>NA</v>
      </c>
      <c r="AM331" s="393" t="str">
        <f>IF(T331="AIR","NA",IF(T331="TRENCH","NA",IF(T331="DUCT",IF(U331="1C",VLOOKUP(V331,'Catalogue Aluminium'!$Q$9:$S$28,2,FALSE),VLOOKUP(V331,'Catalogue Aluminium'!$Q$9:$S$28,3)),IF(T331="GROUND",IF(U331="1C",VLOOKUP(V331,'Catalogue Aluminium'!$Q$9:$S$28,2,FALSE),VLOOKUP(V331,'Catalogue Aluminium'!$Q$9:$S$28,3))))))</f>
        <v>NA</v>
      </c>
      <c r="AN331" s="437">
        <f t="shared" si="2118"/>
        <v>0.58740000000000003</v>
      </c>
      <c r="AO331" s="418">
        <f t="shared" si="2119"/>
        <v>29.957400000000003</v>
      </c>
      <c r="AP331" s="434">
        <f t="shared" si="2120"/>
        <v>1</v>
      </c>
      <c r="AQ331" s="418" t="str">
        <f t="shared" si="2121"/>
        <v>YES</v>
      </c>
      <c r="AR331" s="437">
        <f t="shared" si="2122"/>
        <v>1.8139819267942812</v>
      </c>
      <c r="AS331" s="401" t="str">
        <f t="shared" si="2123"/>
        <v>YES</v>
      </c>
      <c r="AT331" s="437" t="str">
        <f t="shared" si="2124"/>
        <v>NA</v>
      </c>
      <c r="AU331" s="401" t="str">
        <f t="shared" si="2125"/>
        <v>NA</v>
      </c>
      <c r="AV331" s="503" t="str">
        <f t="shared" si="2126"/>
        <v>1R x 0.6/1kV x 4C x 6 Sqmm</v>
      </c>
      <c r="AW331" s="503" t="str">
        <f t="shared" si="2127"/>
        <v>1R x 0.6/1kV x 4C x 6 Sqmm</v>
      </c>
      <c r="AX331" s="401">
        <f t="shared" si="2394"/>
        <v>69</v>
      </c>
      <c r="AY331" s="504"/>
      <c r="AZ331" s="504">
        <f t="shared" si="2260"/>
        <v>2</v>
      </c>
      <c r="BA331" s="438" t="str">
        <f t="shared" si="2268"/>
        <v/>
      </c>
      <c r="BB331" s="505">
        <f>VLOOKUP(W331,'Catalogue Aluminium'!$B$9:$H$93,7,FALSE)</f>
        <v>18</v>
      </c>
      <c r="BC331" s="439">
        <f t="shared" si="2261"/>
        <v>18</v>
      </c>
      <c r="BE331" s="336"/>
      <c r="BF331" s="336"/>
      <c r="BG331" s="336"/>
      <c r="BH331" s="336"/>
      <c r="BI331" s="336"/>
      <c r="BJ331" s="336"/>
      <c r="BK331" s="336"/>
      <c r="BL331" s="336"/>
      <c r="BM331" s="336"/>
      <c r="BN331" s="336"/>
      <c r="BO331" s="336"/>
      <c r="BP331" s="336"/>
      <c r="BQ331" s="336"/>
      <c r="BR331" s="336"/>
      <c r="BS331" s="336"/>
      <c r="BT331" s="336"/>
      <c r="BU331" s="336"/>
      <c r="BV331" s="336"/>
      <c r="BW331" s="336"/>
      <c r="BX331" s="336"/>
      <c r="BY331" s="336"/>
      <c r="BZ331" s="336"/>
      <c r="CA331" s="336"/>
      <c r="CB331" s="336"/>
      <c r="CC331" s="336"/>
      <c r="CD331" s="336"/>
      <c r="CE331" s="336"/>
      <c r="CF331" s="336"/>
      <c r="CG331" s="336"/>
      <c r="CH331" s="336"/>
      <c r="CI331" s="336"/>
      <c r="CJ331" s="336"/>
      <c r="CK331" s="336"/>
      <c r="CL331" s="336"/>
      <c r="CM331" s="336"/>
      <c r="CN331" s="336"/>
      <c r="CO331" s="336"/>
      <c r="CP331" s="336"/>
      <c r="CQ331" s="336"/>
      <c r="CR331" s="336"/>
      <c r="CS331" s="336"/>
      <c r="CT331" s="336"/>
      <c r="CU331" s="336"/>
      <c r="CV331" s="336"/>
      <c r="CW331" s="336"/>
      <c r="CX331" s="336"/>
      <c r="CY331" s="336"/>
      <c r="CZ331" s="336"/>
      <c r="DA331" s="336"/>
      <c r="DB331" s="336"/>
      <c r="DC331" s="336"/>
      <c r="DD331" s="336"/>
      <c r="DE331" s="336"/>
      <c r="DF331" s="336"/>
      <c r="DG331" s="336"/>
      <c r="DH331" s="336"/>
      <c r="DI331" s="336"/>
      <c r="DJ331" s="336"/>
      <c r="DK331" s="336"/>
      <c r="DL331" s="336"/>
      <c r="DM331" s="336"/>
      <c r="DN331" s="336"/>
      <c r="DO331" s="336"/>
      <c r="DP331" s="336"/>
      <c r="DQ331" s="336"/>
      <c r="DR331" s="336"/>
      <c r="DS331" s="336"/>
      <c r="DT331" s="336"/>
      <c r="DU331" s="336"/>
      <c r="DW331" s="336">
        <f t="shared" si="2108"/>
        <v>0</v>
      </c>
      <c r="DX331" s="336">
        <f t="shared" si="2102"/>
        <v>0</v>
      </c>
      <c r="DY331" s="336">
        <f t="shared" si="2103"/>
        <v>0</v>
      </c>
      <c r="DZ331" s="336">
        <f t="shared" si="2104"/>
        <v>0</v>
      </c>
      <c r="EA331" s="336">
        <f t="shared" si="2105"/>
        <v>0</v>
      </c>
      <c r="EB331" s="336">
        <f t="shared" si="2106"/>
        <v>0</v>
      </c>
      <c r="EC331" s="336">
        <f t="shared" si="2107"/>
        <v>0</v>
      </c>
      <c r="ED331" s="336">
        <f t="shared" si="2019"/>
        <v>0</v>
      </c>
      <c r="EE331" s="336">
        <f t="shared" si="2020"/>
        <v>0</v>
      </c>
      <c r="EF331" s="336">
        <f t="shared" si="2021"/>
        <v>0</v>
      </c>
      <c r="EG331" s="336">
        <f t="shared" si="2022"/>
        <v>0</v>
      </c>
      <c r="EH331" s="336">
        <f t="shared" si="2023"/>
        <v>0</v>
      </c>
      <c r="EI331" s="336">
        <f t="shared" si="2024"/>
        <v>0</v>
      </c>
      <c r="EJ331" s="336">
        <f t="shared" si="2025"/>
        <v>0</v>
      </c>
      <c r="EK331" s="336">
        <f t="shared" si="2026"/>
        <v>0</v>
      </c>
      <c r="EL331" s="336">
        <f t="shared" si="2027"/>
        <v>0</v>
      </c>
      <c r="EM331" s="336">
        <f t="shared" si="2028"/>
        <v>0</v>
      </c>
      <c r="EN331" s="336">
        <f t="shared" si="2029"/>
        <v>0</v>
      </c>
      <c r="EO331" s="336">
        <f t="shared" si="2030"/>
        <v>0</v>
      </c>
      <c r="EP331" s="336">
        <f t="shared" si="2031"/>
        <v>0</v>
      </c>
      <c r="EQ331" s="336">
        <f t="shared" si="2032"/>
        <v>0</v>
      </c>
      <c r="ER331" s="336">
        <f t="shared" si="2033"/>
        <v>0</v>
      </c>
      <c r="ES331" s="336">
        <f t="shared" si="2034"/>
        <v>0</v>
      </c>
      <c r="ET331" s="336">
        <f t="shared" si="2034"/>
        <v>0</v>
      </c>
      <c r="EU331" s="336">
        <f t="shared" si="2035"/>
        <v>0</v>
      </c>
      <c r="EV331" s="336">
        <f t="shared" si="2036"/>
        <v>0</v>
      </c>
      <c r="EW331" s="336">
        <f t="shared" si="2037"/>
        <v>0</v>
      </c>
      <c r="EX331" s="336">
        <f t="shared" si="2038"/>
        <v>0</v>
      </c>
      <c r="EY331" s="336">
        <f t="shared" si="2039"/>
        <v>0</v>
      </c>
      <c r="EZ331" s="336">
        <f t="shared" si="2040"/>
        <v>0</v>
      </c>
      <c r="FA331" s="336">
        <f t="shared" si="2041"/>
        <v>0</v>
      </c>
      <c r="FB331" s="336">
        <f t="shared" si="2042"/>
        <v>0</v>
      </c>
      <c r="FC331" s="336">
        <f t="shared" si="2043"/>
        <v>0</v>
      </c>
      <c r="FD331" s="336">
        <f t="shared" si="2044"/>
        <v>0</v>
      </c>
      <c r="FE331" s="336">
        <f t="shared" si="2045"/>
        <v>0</v>
      </c>
      <c r="FF331" s="336">
        <f t="shared" si="2046"/>
        <v>0</v>
      </c>
      <c r="FG331" s="336">
        <f t="shared" si="2047"/>
        <v>0</v>
      </c>
      <c r="FH331" s="336">
        <f t="shared" si="2048"/>
        <v>0</v>
      </c>
      <c r="FI331" s="336">
        <f t="shared" si="2049"/>
        <v>0</v>
      </c>
      <c r="FJ331" s="336">
        <f t="shared" si="2050"/>
        <v>0</v>
      </c>
      <c r="FK331" s="336">
        <f t="shared" si="2051"/>
        <v>0</v>
      </c>
      <c r="FL331" s="336">
        <f t="shared" si="2052"/>
        <v>0</v>
      </c>
      <c r="FM331" s="336">
        <f t="shared" si="2053"/>
        <v>0</v>
      </c>
      <c r="FN331" s="336">
        <f t="shared" si="2054"/>
        <v>0</v>
      </c>
      <c r="FO331" s="336">
        <f t="shared" si="2055"/>
        <v>0</v>
      </c>
      <c r="FP331" s="336">
        <f t="shared" si="2056"/>
        <v>0</v>
      </c>
      <c r="FQ331" s="336">
        <f t="shared" si="2057"/>
        <v>0</v>
      </c>
      <c r="FR331" s="336">
        <f t="shared" si="2058"/>
        <v>0</v>
      </c>
      <c r="FS331" s="336">
        <f t="shared" si="2059"/>
        <v>0</v>
      </c>
      <c r="FT331" s="336">
        <f t="shared" si="2060"/>
        <v>0</v>
      </c>
      <c r="FU331" s="336">
        <f t="shared" si="2262"/>
        <v>0</v>
      </c>
      <c r="FV331" s="336">
        <f t="shared" si="2263"/>
        <v>0</v>
      </c>
      <c r="FW331" s="336">
        <f t="shared" si="2264"/>
        <v>0</v>
      </c>
      <c r="FX331" s="336">
        <f t="shared" si="2265"/>
        <v>0</v>
      </c>
      <c r="FY331" s="336">
        <f t="shared" si="2061"/>
        <v>0</v>
      </c>
      <c r="FZ331" s="336">
        <f t="shared" si="2062"/>
        <v>0</v>
      </c>
      <c r="GA331" s="336">
        <f t="shared" si="2063"/>
        <v>0</v>
      </c>
      <c r="GB331" s="336">
        <f t="shared" si="2064"/>
        <v>0</v>
      </c>
      <c r="GC331" s="336">
        <f t="shared" si="2065"/>
        <v>0</v>
      </c>
      <c r="GD331" s="336">
        <f t="shared" si="2066"/>
        <v>0</v>
      </c>
      <c r="GE331" s="336">
        <f t="shared" si="2067"/>
        <v>0</v>
      </c>
      <c r="GF331" s="336">
        <f t="shared" si="2068"/>
        <v>0</v>
      </c>
      <c r="GG331" s="336">
        <f t="shared" si="2069"/>
        <v>0</v>
      </c>
      <c r="GH331" s="336">
        <f t="shared" si="2070"/>
        <v>0</v>
      </c>
      <c r="GI331" s="336">
        <f t="shared" si="2071"/>
        <v>0</v>
      </c>
      <c r="GJ331" s="336">
        <f t="shared" si="2072"/>
        <v>0</v>
      </c>
      <c r="GK331" s="336">
        <f t="shared" si="1988"/>
        <v>0</v>
      </c>
      <c r="GL331" s="336">
        <f t="shared" si="2266"/>
        <v>0</v>
      </c>
      <c r="GM331" s="336">
        <f t="shared" si="2073"/>
        <v>0</v>
      </c>
    </row>
    <row r="332" spans="1:195">
      <c r="A332" s="388">
        <f t="shared" si="2267"/>
        <v>214</v>
      </c>
      <c r="B332" s="401" t="s">
        <v>527</v>
      </c>
      <c r="C332" s="388" t="s">
        <v>741</v>
      </c>
      <c r="D332" s="445" t="s">
        <v>762</v>
      </c>
      <c r="E332" s="502" t="s">
        <v>608</v>
      </c>
      <c r="F332" s="571" t="s">
        <v>28</v>
      </c>
      <c r="G332" s="388" t="s">
        <v>329</v>
      </c>
      <c r="H332" s="583">
        <v>18</v>
      </c>
      <c r="I332" s="388" t="s">
        <v>330</v>
      </c>
      <c r="J332" s="388" t="s">
        <v>331</v>
      </c>
      <c r="K332" s="434">
        <v>400</v>
      </c>
      <c r="L332" s="401">
        <v>0.85</v>
      </c>
      <c r="M332" s="418">
        <v>0.95</v>
      </c>
      <c r="N332" s="392">
        <f t="shared" si="2110"/>
        <v>32.175262228387169</v>
      </c>
      <c r="O332" s="392">
        <f t="shared" si="2111"/>
        <v>0</v>
      </c>
      <c r="P332" s="401" t="str">
        <f t="shared" si="2112"/>
        <v>0.00</v>
      </c>
      <c r="Q332" s="418">
        <v>50</v>
      </c>
      <c r="R332" s="418">
        <v>0</v>
      </c>
      <c r="S332" s="418">
        <f t="shared" si="2113"/>
        <v>0</v>
      </c>
      <c r="T332" s="401" t="s">
        <v>131</v>
      </c>
      <c r="U332" s="418" t="s">
        <v>522</v>
      </c>
      <c r="V332" s="401">
        <v>6</v>
      </c>
      <c r="W332" s="401" t="str">
        <f t="shared" si="2114"/>
        <v>4C X 6</v>
      </c>
      <c r="X332" s="401" t="str">
        <f t="shared" si="2115"/>
        <v>4C X 6</v>
      </c>
      <c r="Y332" s="401" t="s">
        <v>358</v>
      </c>
      <c r="Z332" s="393">
        <f>IF(T332="AIR",VLOOKUP(W332,'Catalogue Aluminium'!$B$9:$G$93,2,FALSE),IF(T332="GROUND",VLOOKUP(W332,'Catalogue Aluminium'!$B$9:$G$93,3,FALSE),IF(T332="DUCT",VLOOKUP(W332,'Catalogue Aluminium'!$B$9:$G$93,4,FALSE),IF(T332="TRENCH",VLOOKUP(W332,'Catalogue Aluminium'!$B$9:$G$93,2,FALSE)))))</f>
        <v>51</v>
      </c>
      <c r="AA332" s="402">
        <f>VLOOKUP(W332,'Catalogue Aluminium'!$B$9:$G$93,5,FALSE)</f>
        <v>3.94</v>
      </c>
      <c r="AB332" s="402">
        <f>VLOOKUP(W332,'Catalogue Aluminium'!$B$9:$G$93,6,FALSE)</f>
        <v>9.0200000000000002E-2</v>
      </c>
      <c r="AC332" s="457">
        <f t="shared" si="2149"/>
        <v>34</v>
      </c>
      <c r="AD332" s="388">
        <f>10</f>
        <v>10</v>
      </c>
      <c r="AE332" s="457">
        <v>10</v>
      </c>
      <c r="AF332" s="401">
        <v>8</v>
      </c>
      <c r="AG332" s="401">
        <f t="shared" si="2116"/>
        <v>7</v>
      </c>
      <c r="AH332" s="436">
        <f t="shared" si="2117"/>
        <v>69</v>
      </c>
      <c r="AI332" s="393">
        <f>IF(T332="AIR",'Catalogue Aluminium'!$K$9,IF(T332="TRENCH",'Catalogue Aluminium'!$K$12,"NA"))</f>
        <v>0.89</v>
      </c>
      <c r="AJ332" s="392">
        <f>IF(T332="Air",(IF(U332="1C",'Catalogue Aluminium'!$L$9,'Catalogue Aluminium'!$M$9)),IF(T332="DUCT",(IF($U332="1C",'Catalogue Aluminium'!$L$10,'Catalogue Aluminium'!$M$10)),IF(T332="GROUND",(IF($U332="1C",'Catalogue Aluminium'!$L$11,'Catalogue Aluminium'!$M$11)),IF(T332="TRENCH",(IF($U332="1C",'Catalogue Aluminium'!$L$12,'Catalogue Aluminium'!$M$12))))))</f>
        <v>0.66</v>
      </c>
      <c r="AK332" s="393" t="str">
        <f>IF(T332="Air",'Catalogue Aluminium'!$N$9,IF(T332="GROUND",'Catalogue Aluminium'!$N$10,IF(T332="DUCT",'Catalogue Aluminium'!$N$11,IF(T332="TRENCH",'Catalogue Aluminium'!$N$12,"NA"))))</f>
        <v>NA</v>
      </c>
      <c r="AL332" s="393" t="str">
        <f>IF(T332="Air",(IF(U332="1C",'Catalogue Aluminium'!$O$9,'Catalogue Aluminium'!$P$9)),IF(T332="DUCT",(IF($U332="1C",'Catalogue Aluminium'!$O$10,'Catalogue Aluminium'!$P$10)),IF(T332="GROUND",(IF($U332="1C",'Catalogue Aluminium'!$O$11,'Catalogue Aluminium'!$P$11)),IF(T332="TRENCH",(IF($U332="1C",'Catalogue Aluminium'!$O$12,'Catalogue Aluminium'!$P$12))))))</f>
        <v>NA</v>
      </c>
      <c r="AM332" s="393" t="str">
        <f>IF(T332="AIR","NA",IF(T332="TRENCH","NA",IF(T332="DUCT",IF(U332="1C",VLOOKUP(V332,'Catalogue Aluminium'!$Q$9:$S$28,2,FALSE),VLOOKUP(V332,'Catalogue Aluminium'!$Q$9:$S$28,3)),IF(T332="GROUND",IF(U332="1C",VLOOKUP(V332,'Catalogue Aluminium'!$Q$9:$S$28,2,FALSE),VLOOKUP(V332,'Catalogue Aluminium'!$Q$9:$S$28,3))))))</f>
        <v>NA</v>
      </c>
      <c r="AN332" s="437">
        <f t="shared" si="2118"/>
        <v>0.58740000000000003</v>
      </c>
      <c r="AO332" s="418">
        <f t="shared" si="2119"/>
        <v>29.957400000000003</v>
      </c>
      <c r="AP332" s="434">
        <f t="shared" si="2120"/>
        <v>2</v>
      </c>
      <c r="AQ332" s="418" t="str">
        <f t="shared" si="2121"/>
        <v>YES</v>
      </c>
      <c r="AR332" s="437">
        <f t="shared" si="2122"/>
        <v>1.6325837341148535</v>
      </c>
      <c r="AS332" s="401" t="str">
        <f t="shared" si="2123"/>
        <v>YES</v>
      </c>
      <c r="AT332" s="437" t="str">
        <f t="shared" si="2124"/>
        <v>NA</v>
      </c>
      <c r="AU332" s="401" t="str">
        <f t="shared" si="2125"/>
        <v>NA</v>
      </c>
      <c r="AV332" s="503" t="str">
        <f t="shared" si="2126"/>
        <v>2R x 0.6/1kV x 4C x 6 Sqmm</v>
      </c>
      <c r="AW332" s="503" t="str">
        <f t="shared" si="2127"/>
        <v>2R x 0.6/1kV x 4C x 6 Sqmm</v>
      </c>
      <c r="AX332" s="401">
        <f t="shared" si="2394"/>
        <v>138</v>
      </c>
      <c r="AY332" s="504"/>
      <c r="AZ332" s="504">
        <f t="shared" si="2260"/>
        <v>4</v>
      </c>
      <c r="BA332" s="438" t="str">
        <f t="shared" si="2268"/>
        <v/>
      </c>
      <c r="BB332" s="505">
        <f>VLOOKUP(W332,'Catalogue Aluminium'!$B$9:$H$93,7,FALSE)</f>
        <v>18</v>
      </c>
      <c r="BC332" s="439">
        <f t="shared" si="2261"/>
        <v>36</v>
      </c>
      <c r="BE332" s="336"/>
      <c r="BF332" s="336"/>
      <c r="BG332" s="336"/>
      <c r="BH332" s="336"/>
      <c r="BI332" s="336"/>
      <c r="BJ332" s="336"/>
      <c r="BK332" s="336"/>
      <c r="BL332" s="336"/>
      <c r="BM332" s="336"/>
      <c r="BN332" s="336"/>
      <c r="BO332" s="336"/>
      <c r="BP332" s="336"/>
      <c r="BQ332" s="336"/>
      <c r="BR332" s="336"/>
      <c r="BS332" s="336"/>
      <c r="BT332" s="336"/>
      <c r="BU332" s="336"/>
      <c r="BV332" s="336"/>
      <c r="BW332" s="336"/>
      <c r="BX332" s="336"/>
      <c r="BY332" s="336"/>
      <c r="BZ332" s="336"/>
      <c r="CA332" s="336"/>
      <c r="CB332" s="336"/>
      <c r="CC332" s="336"/>
      <c r="CD332" s="336"/>
      <c r="CE332" s="336"/>
      <c r="CF332" s="336"/>
      <c r="CG332" s="336"/>
      <c r="CH332" s="336"/>
      <c r="CI332" s="336"/>
      <c r="CJ332" s="336"/>
      <c r="CK332" s="336"/>
      <c r="CL332" s="336"/>
      <c r="CM332" s="336"/>
      <c r="CN332" s="336"/>
      <c r="CO332" s="336"/>
      <c r="CP332" s="336"/>
      <c r="CQ332" s="336"/>
      <c r="CR332" s="336"/>
      <c r="CS332" s="336"/>
      <c r="CT332" s="336"/>
      <c r="CU332" s="336"/>
      <c r="CV332" s="336"/>
      <c r="CW332" s="336"/>
      <c r="CX332" s="336"/>
      <c r="CY332" s="336"/>
      <c r="CZ332" s="336"/>
      <c r="DA332" s="336"/>
      <c r="DB332" s="336"/>
      <c r="DC332" s="336"/>
      <c r="DD332" s="336"/>
      <c r="DE332" s="336"/>
      <c r="DF332" s="336"/>
      <c r="DG332" s="336"/>
      <c r="DH332" s="336"/>
      <c r="DI332" s="336"/>
      <c r="DJ332" s="336"/>
      <c r="DK332" s="336"/>
      <c r="DL332" s="336"/>
      <c r="DM332" s="336"/>
      <c r="DN332" s="336"/>
      <c r="DO332" s="336"/>
      <c r="DP332" s="336"/>
      <c r="DQ332" s="336"/>
      <c r="DR332" s="336"/>
      <c r="DS332" s="336"/>
      <c r="DT332" s="336"/>
      <c r="DU332" s="336"/>
      <c r="DW332" s="336">
        <f t="shared" si="2108"/>
        <v>0</v>
      </c>
      <c r="DX332" s="336">
        <f t="shared" si="2102"/>
        <v>0</v>
      </c>
      <c r="DY332" s="336">
        <f t="shared" si="2103"/>
        <v>0</v>
      </c>
      <c r="DZ332" s="336">
        <f t="shared" si="2104"/>
        <v>0</v>
      </c>
      <c r="EA332" s="336">
        <f t="shared" si="2105"/>
        <v>0</v>
      </c>
      <c r="EB332" s="336">
        <f t="shared" si="2106"/>
        <v>0</v>
      </c>
      <c r="EC332" s="336">
        <f t="shared" si="2107"/>
        <v>0</v>
      </c>
      <c r="ED332" s="336">
        <f t="shared" si="2019"/>
        <v>0</v>
      </c>
      <c r="EE332" s="336">
        <f t="shared" si="2020"/>
        <v>0</v>
      </c>
      <c r="EF332" s="336">
        <f t="shared" si="2021"/>
        <v>0</v>
      </c>
      <c r="EG332" s="336">
        <f t="shared" si="2022"/>
        <v>0</v>
      </c>
      <c r="EH332" s="336">
        <f t="shared" si="2023"/>
        <v>0</v>
      </c>
      <c r="EI332" s="336">
        <f t="shared" si="2024"/>
        <v>0</v>
      </c>
      <c r="EJ332" s="336">
        <f t="shared" si="2025"/>
        <v>0</v>
      </c>
      <c r="EK332" s="336">
        <f t="shared" si="2026"/>
        <v>0</v>
      </c>
      <c r="EL332" s="336">
        <f t="shared" si="2027"/>
        <v>0</v>
      </c>
      <c r="EM332" s="336">
        <f t="shared" si="2028"/>
        <v>0</v>
      </c>
      <c r="EN332" s="336">
        <f t="shared" si="2029"/>
        <v>0</v>
      </c>
      <c r="EO332" s="336">
        <f t="shared" si="2030"/>
        <v>0</v>
      </c>
      <c r="EP332" s="336">
        <f t="shared" si="2031"/>
        <v>0</v>
      </c>
      <c r="EQ332" s="336">
        <f t="shared" si="2032"/>
        <v>0</v>
      </c>
      <c r="ER332" s="336">
        <f t="shared" si="2033"/>
        <v>0</v>
      </c>
      <c r="ES332" s="336">
        <f t="shared" si="2034"/>
        <v>0</v>
      </c>
      <c r="ET332" s="336">
        <f t="shared" si="2034"/>
        <v>0</v>
      </c>
      <c r="EU332" s="336">
        <f t="shared" si="2035"/>
        <v>0</v>
      </c>
      <c r="EV332" s="336">
        <f t="shared" si="2036"/>
        <v>0</v>
      </c>
      <c r="EW332" s="336">
        <f t="shared" si="2037"/>
        <v>0</v>
      </c>
      <c r="EX332" s="336">
        <f t="shared" si="2038"/>
        <v>0</v>
      </c>
      <c r="EY332" s="336">
        <f t="shared" si="2039"/>
        <v>0</v>
      </c>
      <c r="EZ332" s="336">
        <f t="shared" si="2040"/>
        <v>0</v>
      </c>
      <c r="FA332" s="336">
        <f t="shared" si="2041"/>
        <v>0</v>
      </c>
      <c r="FB332" s="336">
        <f t="shared" si="2042"/>
        <v>0</v>
      </c>
      <c r="FC332" s="336">
        <f t="shared" si="2043"/>
        <v>0</v>
      </c>
      <c r="FD332" s="336">
        <f t="shared" si="2044"/>
        <v>0</v>
      </c>
      <c r="FE332" s="336">
        <f t="shared" si="2045"/>
        <v>0</v>
      </c>
      <c r="FF332" s="336">
        <f t="shared" si="2046"/>
        <v>0</v>
      </c>
      <c r="FG332" s="336">
        <f t="shared" si="2047"/>
        <v>0</v>
      </c>
      <c r="FH332" s="336">
        <f t="shared" si="2048"/>
        <v>0</v>
      </c>
      <c r="FI332" s="336">
        <f t="shared" si="2049"/>
        <v>0</v>
      </c>
      <c r="FJ332" s="336">
        <f t="shared" si="2050"/>
        <v>0</v>
      </c>
      <c r="FK332" s="336">
        <f t="shared" si="2051"/>
        <v>0</v>
      </c>
      <c r="FL332" s="336">
        <f t="shared" si="2052"/>
        <v>0</v>
      </c>
      <c r="FM332" s="336">
        <f t="shared" si="2053"/>
        <v>0</v>
      </c>
      <c r="FN332" s="336">
        <f t="shared" si="2054"/>
        <v>0</v>
      </c>
      <c r="FO332" s="336">
        <f t="shared" si="2055"/>
        <v>0</v>
      </c>
      <c r="FP332" s="336">
        <f t="shared" si="2056"/>
        <v>0</v>
      </c>
      <c r="FQ332" s="336">
        <f t="shared" si="2057"/>
        <v>0</v>
      </c>
      <c r="FR332" s="336">
        <f t="shared" si="2058"/>
        <v>0</v>
      </c>
      <c r="FS332" s="336">
        <f t="shared" si="2059"/>
        <v>0</v>
      </c>
      <c r="FT332" s="336">
        <f t="shared" si="2060"/>
        <v>0</v>
      </c>
      <c r="FU332" s="336">
        <f t="shared" si="2262"/>
        <v>0</v>
      </c>
      <c r="FV332" s="336">
        <f t="shared" si="2263"/>
        <v>0</v>
      </c>
      <c r="FW332" s="336">
        <f t="shared" si="2264"/>
        <v>0</v>
      </c>
      <c r="FX332" s="336">
        <f t="shared" si="2265"/>
        <v>0</v>
      </c>
      <c r="FY332" s="336">
        <f t="shared" si="2061"/>
        <v>0</v>
      </c>
      <c r="FZ332" s="336">
        <f t="shared" si="2062"/>
        <v>0</v>
      </c>
      <c r="GA332" s="336">
        <f t="shared" si="2063"/>
        <v>0</v>
      </c>
      <c r="GB332" s="336">
        <f t="shared" si="2064"/>
        <v>0</v>
      </c>
      <c r="GC332" s="336">
        <f t="shared" si="2065"/>
        <v>0</v>
      </c>
      <c r="GD332" s="336">
        <f t="shared" si="2066"/>
        <v>0</v>
      </c>
      <c r="GE332" s="336">
        <f t="shared" si="2067"/>
        <v>0</v>
      </c>
      <c r="GF332" s="336">
        <f t="shared" si="2068"/>
        <v>0</v>
      </c>
      <c r="GG332" s="336">
        <f t="shared" si="2069"/>
        <v>0</v>
      </c>
      <c r="GH332" s="336">
        <f t="shared" si="2070"/>
        <v>0</v>
      </c>
      <c r="GI332" s="336">
        <f t="shared" si="2071"/>
        <v>0</v>
      </c>
      <c r="GJ332" s="336">
        <f t="shared" si="2072"/>
        <v>0</v>
      </c>
      <c r="GK332" s="336">
        <f t="shared" si="1988"/>
        <v>0</v>
      </c>
      <c r="GL332" s="336">
        <f t="shared" si="2266"/>
        <v>0</v>
      </c>
      <c r="GM332" s="336">
        <f t="shared" si="2073"/>
        <v>0</v>
      </c>
    </row>
    <row r="333" spans="1:195">
      <c r="A333" s="388">
        <f t="shared" si="2267"/>
        <v>215</v>
      </c>
      <c r="B333" s="401" t="s">
        <v>527</v>
      </c>
      <c r="C333" s="388" t="s">
        <v>741</v>
      </c>
      <c r="D333" s="445" t="s">
        <v>763</v>
      </c>
      <c r="E333" s="502" t="s">
        <v>608</v>
      </c>
      <c r="F333" s="571" t="s">
        <v>28</v>
      </c>
      <c r="G333" s="388" t="s">
        <v>329</v>
      </c>
      <c r="H333" s="583">
        <v>18</v>
      </c>
      <c r="I333" s="388" t="s">
        <v>330</v>
      </c>
      <c r="J333" s="388" t="s">
        <v>331</v>
      </c>
      <c r="K333" s="434">
        <v>400</v>
      </c>
      <c r="L333" s="401">
        <v>0.85</v>
      </c>
      <c r="M333" s="418">
        <v>0.95</v>
      </c>
      <c r="N333" s="392">
        <f t="shared" si="2110"/>
        <v>32.175262228387169</v>
      </c>
      <c r="O333" s="392">
        <f t="shared" si="2111"/>
        <v>0</v>
      </c>
      <c r="P333" s="401" t="str">
        <f t="shared" si="2112"/>
        <v>0.00</v>
      </c>
      <c r="Q333" s="418">
        <v>50</v>
      </c>
      <c r="R333" s="418">
        <v>0</v>
      </c>
      <c r="S333" s="418">
        <f t="shared" si="2113"/>
        <v>0</v>
      </c>
      <c r="T333" s="401" t="s">
        <v>131</v>
      </c>
      <c r="U333" s="418" t="s">
        <v>522</v>
      </c>
      <c r="V333" s="401">
        <v>6</v>
      </c>
      <c r="W333" s="401" t="str">
        <f t="shared" si="2114"/>
        <v>4C X 6</v>
      </c>
      <c r="X333" s="401" t="str">
        <f t="shared" si="2115"/>
        <v>4C X 6</v>
      </c>
      <c r="Y333" s="401" t="s">
        <v>358</v>
      </c>
      <c r="Z333" s="393">
        <f>IF(T333="AIR",VLOOKUP(W333,'Catalogue Aluminium'!$B$9:$G$93,2,FALSE),IF(T333="GROUND",VLOOKUP(W333,'Catalogue Aluminium'!$B$9:$G$93,3,FALSE),IF(T333="DUCT",VLOOKUP(W333,'Catalogue Aluminium'!$B$9:$G$93,4,FALSE),IF(T333="TRENCH",VLOOKUP(W333,'Catalogue Aluminium'!$B$9:$G$93,2,FALSE)))))</f>
        <v>51</v>
      </c>
      <c r="AA333" s="402">
        <f>VLOOKUP(W333,'Catalogue Aluminium'!$B$9:$G$93,5,FALSE)</f>
        <v>3.94</v>
      </c>
      <c r="AB333" s="402">
        <f>VLOOKUP(W333,'Catalogue Aluminium'!$B$9:$G$93,6,FALSE)</f>
        <v>9.0200000000000002E-2</v>
      </c>
      <c r="AC333" s="457">
        <f t="shared" si="2149"/>
        <v>34</v>
      </c>
      <c r="AD333" s="388">
        <f>10</f>
        <v>10</v>
      </c>
      <c r="AE333" s="457">
        <v>10</v>
      </c>
      <c r="AF333" s="401">
        <v>8</v>
      </c>
      <c r="AG333" s="401">
        <f t="shared" si="2116"/>
        <v>7</v>
      </c>
      <c r="AH333" s="436">
        <f t="shared" si="2117"/>
        <v>69</v>
      </c>
      <c r="AI333" s="393">
        <f>IF(T333="AIR",'Catalogue Aluminium'!$K$9,IF(T333="TRENCH",'Catalogue Aluminium'!$K$12,"NA"))</f>
        <v>0.89</v>
      </c>
      <c r="AJ333" s="392">
        <f>IF(T333="Air",(IF(U333="1C",'Catalogue Aluminium'!$L$9,'Catalogue Aluminium'!$M$9)),IF(T333="DUCT",(IF($U333="1C",'Catalogue Aluminium'!$L$10,'Catalogue Aluminium'!$M$10)),IF(T333="GROUND",(IF($U333="1C",'Catalogue Aluminium'!$L$11,'Catalogue Aluminium'!$M$11)),IF(T333="TRENCH",(IF($U333="1C",'Catalogue Aluminium'!$L$12,'Catalogue Aluminium'!$M$12))))))</f>
        <v>0.66</v>
      </c>
      <c r="AK333" s="393" t="str">
        <f>IF(T333="Air",'Catalogue Aluminium'!$N$9,IF(T333="GROUND",'Catalogue Aluminium'!$N$10,IF(T333="DUCT",'Catalogue Aluminium'!$N$11,IF(T333="TRENCH",'Catalogue Aluminium'!$N$12,"NA"))))</f>
        <v>NA</v>
      </c>
      <c r="AL333" s="393" t="str">
        <f>IF(T333="Air",(IF(U333="1C",'Catalogue Aluminium'!$O$9,'Catalogue Aluminium'!$P$9)),IF(T333="DUCT",(IF($U333="1C",'Catalogue Aluminium'!$O$10,'Catalogue Aluminium'!$P$10)),IF(T333="GROUND",(IF($U333="1C",'Catalogue Aluminium'!$O$11,'Catalogue Aluminium'!$P$11)),IF(T333="TRENCH",(IF($U333="1C",'Catalogue Aluminium'!$O$12,'Catalogue Aluminium'!$P$12))))))</f>
        <v>NA</v>
      </c>
      <c r="AM333" s="393" t="str">
        <f>IF(T333="AIR","NA",IF(T333="TRENCH","NA",IF(T333="DUCT",IF(U333="1C",VLOOKUP(V333,'Catalogue Aluminium'!$Q$9:$S$28,2,FALSE),VLOOKUP(V333,'Catalogue Aluminium'!$Q$9:$S$28,3)),IF(T333="GROUND",IF(U333="1C",VLOOKUP(V333,'Catalogue Aluminium'!$Q$9:$S$28,2,FALSE),VLOOKUP(V333,'Catalogue Aluminium'!$Q$9:$S$28,3))))))</f>
        <v>NA</v>
      </c>
      <c r="AN333" s="437">
        <f t="shared" si="2118"/>
        <v>0.58740000000000003</v>
      </c>
      <c r="AO333" s="418">
        <f t="shared" si="2119"/>
        <v>29.957400000000003</v>
      </c>
      <c r="AP333" s="434">
        <f t="shared" si="2120"/>
        <v>2</v>
      </c>
      <c r="AQ333" s="418" t="str">
        <f t="shared" si="2121"/>
        <v>YES</v>
      </c>
      <c r="AR333" s="437">
        <f t="shared" si="2122"/>
        <v>1.6325837341148535</v>
      </c>
      <c r="AS333" s="401" t="str">
        <f t="shared" si="2123"/>
        <v>YES</v>
      </c>
      <c r="AT333" s="437" t="str">
        <f t="shared" si="2124"/>
        <v>NA</v>
      </c>
      <c r="AU333" s="401" t="str">
        <f t="shared" si="2125"/>
        <v>NA</v>
      </c>
      <c r="AV333" s="503" t="str">
        <f t="shared" si="2126"/>
        <v>2R x 0.6/1kV x 4C x 6 Sqmm</v>
      </c>
      <c r="AW333" s="503" t="str">
        <f t="shared" si="2127"/>
        <v>2R x 0.6/1kV x 4C x 6 Sqmm</v>
      </c>
      <c r="AX333" s="401">
        <f t="shared" si="2394"/>
        <v>138</v>
      </c>
      <c r="AY333" s="504"/>
      <c r="AZ333" s="504">
        <f t="shared" si="2260"/>
        <v>4</v>
      </c>
      <c r="BA333" s="438" t="str">
        <f t="shared" si="2268"/>
        <v/>
      </c>
      <c r="BB333" s="505">
        <f>VLOOKUP(W333,'Catalogue Aluminium'!$B$9:$H$93,7,FALSE)</f>
        <v>18</v>
      </c>
      <c r="BC333" s="439">
        <f t="shared" si="2261"/>
        <v>36</v>
      </c>
      <c r="BE333" s="336"/>
      <c r="BF333" s="336"/>
      <c r="BG333" s="336"/>
      <c r="BH333" s="336"/>
      <c r="BI333" s="336"/>
      <c r="BJ333" s="336"/>
      <c r="BK333" s="336"/>
      <c r="BL333" s="336"/>
      <c r="BM333" s="336"/>
      <c r="BN333" s="336"/>
      <c r="BO333" s="336"/>
      <c r="BP333" s="336"/>
      <c r="BQ333" s="336"/>
      <c r="BR333" s="336"/>
      <c r="BS333" s="336"/>
      <c r="BT333" s="336"/>
      <c r="BU333" s="336"/>
      <c r="BV333" s="336"/>
      <c r="BW333" s="336"/>
      <c r="BX333" s="336"/>
      <c r="BY333" s="336"/>
      <c r="BZ333" s="336"/>
      <c r="CA333" s="336"/>
      <c r="CB333" s="336"/>
      <c r="CC333" s="336"/>
      <c r="CD333" s="336"/>
      <c r="CE333" s="336"/>
      <c r="CF333" s="336"/>
      <c r="CG333" s="336"/>
      <c r="CH333" s="336"/>
      <c r="CI333" s="336"/>
      <c r="CJ333" s="336"/>
      <c r="CK333" s="336"/>
      <c r="CL333" s="336"/>
      <c r="CM333" s="336"/>
      <c r="CN333" s="336"/>
      <c r="CO333" s="336"/>
      <c r="CP333" s="336"/>
      <c r="CQ333" s="336"/>
      <c r="CR333" s="336"/>
      <c r="CS333" s="336"/>
      <c r="CT333" s="336"/>
      <c r="CU333" s="336"/>
      <c r="CV333" s="336"/>
      <c r="CW333" s="336"/>
      <c r="CX333" s="336"/>
      <c r="CY333" s="336"/>
      <c r="CZ333" s="336"/>
      <c r="DA333" s="336"/>
      <c r="DB333" s="336"/>
      <c r="DC333" s="336"/>
      <c r="DD333" s="336"/>
      <c r="DE333" s="336"/>
      <c r="DF333" s="336"/>
      <c r="DG333" s="336"/>
      <c r="DH333" s="336"/>
      <c r="DI333" s="336"/>
      <c r="DJ333" s="336"/>
      <c r="DK333" s="336"/>
      <c r="DL333" s="336"/>
      <c r="DM333" s="336"/>
      <c r="DN333" s="336"/>
      <c r="DO333" s="336"/>
      <c r="DP333" s="336"/>
      <c r="DQ333" s="336"/>
      <c r="DR333" s="336"/>
      <c r="DS333" s="336"/>
      <c r="DT333" s="336"/>
      <c r="DU333" s="336"/>
      <c r="DW333" s="336">
        <f t="shared" si="2108"/>
        <v>0</v>
      </c>
      <c r="DX333" s="336">
        <f t="shared" si="2102"/>
        <v>0</v>
      </c>
      <c r="DY333" s="336">
        <f t="shared" si="2103"/>
        <v>0</v>
      </c>
      <c r="DZ333" s="336">
        <f t="shared" si="2104"/>
        <v>0</v>
      </c>
      <c r="EA333" s="336">
        <f t="shared" si="2105"/>
        <v>0</v>
      </c>
      <c r="EB333" s="336">
        <f t="shared" si="2106"/>
        <v>0</v>
      </c>
      <c r="EC333" s="336">
        <f t="shared" si="2107"/>
        <v>0</v>
      </c>
      <c r="ED333" s="336">
        <f t="shared" si="2019"/>
        <v>0</v>
      </c>
      <c r="EE333" s="336">
        <f t="shared" si="2020"/>
        <v>0</v>
      </c>
      <c r="EF333" s="336">
        <f t="shared" si="2021"/>
        <v>0</v>
      </c>
      <c r="EG333" s="336">
        <f t="shared" si="2022"/>
        <v>0</v>
      </c>
      <c r="EH333" s="336">
        <f t="shared" si="2023"/>
        <v>0</v>
      </c>
      <c r="EI333" s="336">
        <f t="shared" si="2024"/>
        <v>0</v>
      </c>
      <c r="EJ333" s="336">
        <f t="shared" si="2025"/>
        <v>0</v>
      </c>
      <c r="EK333" s="336">
        <f t="shared" si="2026"/>
        <v>0</v>
      </c>
      <c r="EL333" s="336">
        <f t="shared" si="2027"/>
        <v>0</v>
      </c>
      <c r="EM333" s="336">
        <f t="shared" si="2028"/>
        <v>0</v>
      </c>
      <c r="EN333" s="336">
        <f t="shared" si="2029"/>
        <v>0</v>
      </c>
      <c r="EO333" s="336">
        <f t="shared" si="2030"/>
        <v>0</v>
      </c>
      <c r="EP333" s="336">
        <f t="shared" si="2031"/>
        <v>0</v>
      </c>
      <c r="EQ333" s="336">
        <f t="shared" si="2032"/>
        <v>0</v>
      </c>
      <c r="ER333" s="336">
        <f t="shared" si="2033"/>
        <v>0</v>
      </c>
      <c r="ES333" s="336">
        <f t="shared" si="2034"/>
        <v>0</v>
      </c>
      <c r="ET333" s="336">
        <f t="shared" si="2034"/>
        <v>0</v>
      </c>
      <c r="EU333" s="336">
        <f t="shared" si="2035"/>
        <v>0</v>
      </c>
      <c r="EV333" s="336">
        <f t="shared" si="2036"/>
        <v>0</v>
      </c>
      <c r="EW333" s="336">
        <f t="shared" si="2037"/>
        <v>0</v>
      </c>
      <c r="EX333" s="336">
        <f t="shared" si="2038"/>
        <v>0</v>
      </c>
      <c r="EY333" s="336">
        <f t="shared" si="2039"/>
        <v>0</v>
      </c>
      <c r="EZ333" s="336">
        <f t="shared" si="2040"/>
        <v>0</v>
      </c>
      <c r="FA333" s="336">
        <f t="shared" si="2041"/>
        <v>0</v>
      </c>
      <c r="FB333" s="336">
        <f t="shared" si="2042"/>
        <v>0</v>
      </c>
      <c r="FC333" s="336">
        <f t="shared" si="2043"/>
        <v>0</v>
      </c>
      <c r="FD333" s="336">
        <f t="shared" si="2044"/>
        <v>0</v>
      </c>
      <c r="FE333" s="336">
        <f t="shared" si="2045"/>
        <v>0</v>
      </c>
      <c r="FF333" s="336">
        <f t="shared" si="2046"/>
        <v>0</v>
      </c>
      <c r="FG333" s="336">
        <f t="shared" si="2047"/>
        <v>0</v>
      </c>
      <c r="FH333" s="336">
        <f t="shared" si="2048"/>
        <v>0</v>
      </c>
      <c r="FI333" s="336">
        <f t="shared" si="2049"/>
        <v>0</v>
      </c>
      <c r="FJ333" s="336">
        <f t="shared" si="2050"/>
        <v>0</v>
      </c>
      <c r="FK333" s="336">
        <f t="shared" si="2051"/>
        <v>0</v>
      </c>
      <c r="FL333" s="336">
        <f t="shared" si="2052"/>
        <v>0</v>
      </c>
      <c r="FM333" s="336">
        <f t="shared" si="2053"/>
        <v>0</v>
      </c>
      <c r="FN333" s="336">
        <f t="shared" si="2054"/>
        <v>0</v>
      </c>
      <c r="FO333" s="336">
        <f t="shared" si="2055"/>
        <v>0</v>
      </c>
      <c r="FP333" s="336">
        <f t="shared" si="2056"/>
        <v>0</v>
      </c>
      <c r="FQ333" s="336">
        <f t="shared" si="2057"/>
        <v>0</v>
      </c>
      <c r="FR333" s="336">
        <f t="shared" si="2058"/>
        <v>0</v>
      </c>
      <c r="FS333" s="336">
        <f t="shared" si="2059"/>
        <v>0</v>
      </c>
      <c r="FT333" s="336">
        <f t="shared" si="2060"/>
        <v>0</v>
      </c>
      <c r="FU333" s="336">
        <f t="shared" si="2262"/>
        <v>0</v>
      </c>
      <c r="FV333" s="336">
        <f t="shared" si="2263"/>
        <v>0</v>
      </c>
      <c r="FW333" s="336">
        <f t="shared" si="2264"/>
        <v>0</v>
      </c>
      <c r="FX333" s="336">
        <f t="shared" si="2265"/>
        <v>0</v>
      </c>
      <c r="FY333" s="336">
        <f t="shared" si="2061"/>
        <v>0</v>
      </c>
      <c r="FZ333" s="336">
        <f t="shared" si="2062"/>
        <v>0</v>
      </c>
      <c r="GA333" s="336">
        <f t="shared" si="2063"/>
        <v>0</v>
      </c>
      <c r="GB333" s="336">
        <f t="shared" si="2064"/>
        <v>0</v>
      </c>
      <c r="GC333" s="336">
        <f t="shared" si="2065"/>
        <v>0</v>
      </c>
      <c r="GD333" s="336">
        <f t="shared" si="2066"/>
        <v>0</v>
      </c>
      <c r="GE333" s="336">
        <f t="shared" si="2067"/>
        <v>0</v>
      </c>
      <c r="GF333" s="336">
        <f t="shared" si="2068"/>
        <v>0</v>
      </c>
      <c r="GG333" s="336">
        <f t="shared" si="2069"/>
        <v>0</v>
      </c>
      <c r="GH333" s="336">
        <f t="shared" si="2070"/>
        <v>0</v>
      </c>
      <c r="GI333" s="336">
        <f t="shared" si="2071"/>
        <v>0</v>
      </c>
      <c r="GJ333" s="336">
        <f t="shared" si="2072"/>
        <v>0</v>
      </c>
      <c r="GK333" s="336">
        <f t="shared" si="1988"/>
        <v>0</v>
      </c>
      <c r="GL333" s="336">
        <f t="shared" si="2266"/>
        <v>0</v>
      </c>
      <c r="GM333" s="336">
        <f t="shared" si="2073"/>
        <v>0</v>
      </c>
    </row>
    <row r="334" spans="1:195">
      <c r="A334" s="388">
        <f>1+A333</f>
        <v>216</v>
      </c>
      <c r="B334" s="401" t="s">
        <v>527</v>
      </c>
      <c r="C334" s="388" t="s">
        <v>741</v>
      </c>
      <c r="D334" s="445" t="s">
        <v>764</v>
      </c>
      <c r="E334" s="502" t="s">
        <v>608</v>
      </c>
      <c r="F334" s="571" t="s">
        <v>28</v>
      </c>
      <c r="G334" s="388" t="s">
        <v>329</v>
      </c>
      <c r="H334" s="583">
        <v>18</v>
      </c>
      <c r="I334" s="388" t="s">
        <v>330</v>
      </c>
      <c r="J334" s="388" t="s">
        <v>331</v>
      </c>
      <c r="K334" s="434">
        <v>400</v>
      </c>
      <c r="L334" s="401">
        <v>0.85</v>
      </c>
      <c r="M334" s="418">
        <v>0.95</v>
      </c>
      <c r="N334" s="392">
        <f t="shared" si="2110"/>
        <v>32.175262228387169</v>
      </c>
      <c r="O334" s="392">
        <f t="shared" si="2111"/>
        <v>0</v>
      </c>
      <c r="P334" s="401" t="str">
        <f t="shared" si="2112"/>
        <v>0.00</v>
      </c>
      <c r="Q334" s="418">
        <v>50</v>
      </c>
      <c r="R334" s="418">
        <v>0</v>
      </c>
      <c r="S334" s="418">
        <f t="shared" si="2113"/>
        <v>0</v>
      </c>
      <c r="T334" s="401" t="s">
        <v>131</v>
      </c>
      <c r="U334" s="418" t="s">
        <v>522</v>
      </c>
      <c r="V334" s="401">
        <v>6</v>
      </c>
      <c r="W334" s="401" t="str">
        <f t="shared" si="2114"/>
        <v>4C X 6</v>
      </c>
      <c r="X334" s="401" t="str">
        <f t="shared" si="2115"/>
        <v>4C X 6</v>
      </c>
      <c r="Y334" s="401" t="s">
        <v>358</v>
      </c>
      <c r="Z334" s="393">
        <f>IF(T334="AIR",VLOOKUP(W334,'Catalogue Aluminium'!$B$9:$G$93,2,FALSE),IF(T334="GROUND",VLOOKUP(W334,'Catalogue Aluminium'!$B$9:$G$93,3,FALSE),IF(T334="DUCT",VLOOKUP(W334,'Catalogue Aluminium'!$B$9:$G$93,4,FALSE),IF(T334="TRENCH",VLOOKUP(W334,'Catalogue Aluminium'!$B$9:$G$93,2,FALSE)))))</f>
        <v>51</v>
      </c>
      <c r="AA334" s="402">
        <f>VLOOKUP(W334,'Catalogue Aluminium'!$B$9:$G$93,5,FALSE)</f>
        <v>3.94</v>
      </c>
      <c r="AB334" s="402">
        <f>VLOOKUP(W334,'Catalogue Aluminium'!$B$9:$G$93,6,FALSE)</f>
        <v>9.0200000000000002E-2</v>
      </c>
      <c r="AC334" s="457">
        <f t="shared" si="2149"/>
        <v>34</v>
      </c>
      <c r="AD334" s="388">
        <f>10</f>
        <v>10</v>
      </c>
      <c r="AE334" s="457">
        <v>10</v>
      </c>
      <c r="AF334" s="401">
        <v>8</v>
      </c>
      <c r="AG334" s="401">
        <f t="shared" si="2116"/>
        <v>7</v>
      </c>
      <c r="AH334" s="436">
        <f t="shared" si="2117"/>
        <v>69</v>
      </c>
      <c r="AI334" s="393">
        <f>IF(T334="AIR",'Catalogue Aluminium'!$K$9,IF(T334="TRENCH",'Catalogue Aluminium'!$K$12,"NA"))</f>
        <v>0.89</v>
      </c>
      <c r="AJ334" s="392">
        <f>IF(T334="Air",(IF(U334="1C",'Catalogue Aluminium'!$L$9,'Catalogue Aluminium'!$M$9)),IF(T334="DUCT",(IF($U334="1C",'Catalogue Aluminium'!$L$10,'Catalogue Aluminium'!$M$10)),IF(T334="GROUND",(IF($U334="1C",'Catalogue Aluminium'!$L$11,'Catalogue Aluminium'!$M$11)),IF(T334="TRENCH",(IF($U334="1C",'Catalogue Aluminium'!$L$12,'Catalogue Aluminium'!$M$12))))))</f>
        <v>0.66</v>
      </c>
      <c r="AK334" s="393" t="str">
        <f>IF(T334="Air",'Catalogue Aluminium'!$N$9,IF(T334="GROUND",'Catalogue Aluminium'!$N$10,IF(T334="DUCT",'Catalogue Aluminium'!$N$11,IF(T334="TRENCH",'Catalogue Aluminium'!$N$12,"NA"))))</f>
        <v>NA</v>
      </c>
      <c r="AL334" s="393" t="str">
        <f>IF(T334="Air",(IF(U334="1C",'Catalogue Aluminium'!$O$9,'Catalogue Aluminium'!$P$9)),IF(T334="DUCT",(IF($U334="1C",'Catalogue Aluminium'!$O$10,'Catalogue Aluminium'!$P$10)),IF(T334="GROUND",(IF($U334="1C",'Catalogue Aluminium'!$O$11,'Catalogue Aluminium'!$P$11)),IF(T334="TRENCH",(IF($U334="1C",'Catalogue Aluminium'!$O$12,'Catalogue Aluminium'!$P$12))))))</f>
        <v>NA</v>
      </c>
      <c r="AM334" s="393" t="str">
        <f>IF(T334="AIR","NA",IF(T334="TRENCH","NA",IF(T334="DUCT",IF(U334="1C",VLOOKUP(V334,'Catalogue Aluminium'!$Q$9:$S$28,2,FALSE),VLOOKUP(V334,'Catalogue Aluminium'!$Q$9:$S$28,3)),IF(T334="GROUND",IF(U334="1C",VLOOKUP(V334,'Catalogue Aluminium'!$Q$9:$S$28,2,FALSE),VLOOKUP(V334,'Catalogue Aluminium'!$Q$9:$S$28,3))))))</f>
        <v>NA</v>
      </c>
      <c r="AN334" s="437">
        <f t="shared" si="2118"/>
        <v>0.58740000000000003</v>
      </c>
      <c r="AO334" s="418">
        <f t="shared" si="2119"/>
        <v>29.957400000000003</v>
      </c>
      <c r="AP334" s="434">
        <f t="shared" si="2120"/>
        <v>2</v>
      </c>
      <c r="AQ334" s="418" t="str">
        <f t="shared" si="2121"/>
        <v>YES</v>
      </c>
      <c r="AR334" s="437">
        <f t="shared" si="2122"/>
        <v>1.6325837341148535</v>
      </c>
      <c r="AS334" s="401" t="str">
        <f t="shared" si="2123"/>
        <v>YES</v>
      </c>
      <c r="AT334" s="437" t="str">
        <f t="shared" si="2124"/>
        <v>NA</v>
      </c>
      <c r="AU334" s="401" t="str">
        <f t="shared" si="2125"/>
        <v>NA</v>
      </c>
      <c r="AV334" s="503" t="str">
        <f t="shared" si="2126"/>
        <v>2R x 0.6/1kV x 4C x 6 Sqmm</v>
      </c>
      <c r="AW334" s="503" t="str">
        <f t="shared" si="2127"/>
        <v>2R x 0.6/1kV x 4C x 6 Sqmm</v>
      </c>
      <c r="AX334" s="401">
        <f t="shared" si="2394"/>
        <v>138</v>
      </c>
      <c r="AY334" s="504"/>
      <c r="AZ334" s="504">
        <f t="shared" si="2260"/>
        <v>4</v>
      </c>
      <c r="BA334" s="438" t="str">
        <f t="shared" si="2268"/>
        <v/>
      </c>
      <c r="BB334" s="505">
        <f>VLOOKUP(W334,'Catalogue Aluminium'!$B$9:$H$93,7,FALSE)</f>
        <v>18</v>
      </c>
      <c r="BC334" s="439">
        <f t="shared" si="2261"/>
        <v>36</v>
      </c>
      <c r="BE334" s="336"/>
      <c r="BF334" s="336"/>
      <c r="BG334" s="336"/>
      <c r="BH334" s="336"/>
      <c r="BI334" s="336"/>
      <c r="BJ334" s="336"/>
      <c r="BK334" s="336"/>
      <c r="BL334" s="336"/>
      <c r="BM334" s="336"/>
      <c r="BN334" s="336"/>
      <c r="BO334" s="336"/>
      <c r="BP334" s="336"/>
      <c r="BQ334" s="336"/>
      <c r="BR334" s="336"/>
      <c r="BS334" s="336"/>
      <c r="BT334" s="336"/>
      <c r="BU334" s="336"/>
      <c r="BV334" s="336"/>
      <c r="BW334" s="336"/>
      <c r="BX334" s="336"/>
      <c r="BY334" s="336"/>
      <c r="BZ334" s="336"/>
      <c r="CA334" s="336"/>
      <c r="CB334" s="336"/>
      <c r="CC334" s="336"/>
      <c r="CD334" s="336"/>
      <c r="CE334" s="336"/>
      <c r="CF334" s="336"/>
      <c r="CG334" s="336"/>
      <c r="CH334" s="336"/>
      <c r="CI334" s="336"/>
      <c r="CJ334" s="336"/>
      <c r="CK334" s="336"/>
      <c r="CL334" s="336"/>
      <c r="CM334" s="336"/>
      <c r="CN334" s="336"/>
      <c r="CO334" s="336"/>
      <c r="CP334" s="336"/>
      <c r="CQ334" s="336"/>
      <c r="CR334" s="336"/>
      <c r="CS334" s="336"/>
      <c r="CT334" s="336"/>
      <c r="CU334" s="336"/>
      <c r="CV334" s="336"/>
      <c r="CW334" s="336"/>
      <c r="CX334" s="336"/>
      <c r="CY334" s="336"/>
      <c r="CZ334" s="336"/>
      <c r="DA334" s="336"/>
      <c r="DB334" s="336"/>
      <c r="DC334" s="336"/>
      <c r="DD334" s="336"/>
      <c r="DE334" s="336"/>
      <c r="DF334" s="336"/>
      <c r="DG334" s="336"/>
      <c r="DH334" s="336"/>
      <c r="DI334" s="336"/>
      <c r="DJ334" s="336"/>
      <c r="DK334" s="336"/>
      <c r="DL334" s="336"/>
      <c r="DM334" s="336"/>
      <c r="DN334" s="336"/>
      <c r="DO334" s="336"/>
      <c r="DP334" s="336"/>
      <c r="DQ334" s="336"/>
      <c r="DR334" s="336"/>
      <c r="DS334" s="336"/>
      <c r="DT334" s="336"/>
      <c r="DU334" s="336"/>
      <c r="DW334" s="336">
        <f t="shared" si="2108"/>
        <v>0</v>
      </c>
      <c r="DX334" s="336">
        <f t="shared" si="2102"/>
        <v>0</v>
      </c>
      <c r="DY334" s="336">
        <f t="shared" si="2103"/>
        <v>0</v>
      </c>
      <c r="DZ334" s="336">
        <f t="shared" si="2104"/>
        <v>0</v>
      </c>
      <c r="EA334" s="336">
        <f t="shared" si="2105"/>
        <v>0</v>
      </c>
      <c r="EB334" s="336">
        <f t="shared" si="2106"/>
        <v>0</v>
      </c>
      <c r="EC334" s="336">
        <f t="shared" si="2107"/>
        <v>0</v>
      </c>
      <c r="ED334" s="336">
        <f t="shared" si="2019"/>
        <v>0</v>
      </c>
      <c r="EE334" s="336">
        <f t="shared" si="2020"/>
        <v>0</v>
      </c>
      <c r="EF334" s="336">
        <f t="shared" si="2021"/>
        <v>0</v>
      </c>
      <c r="EG334" s="336">
        <f t="shared" si="2022"/>
        <v>0</v>
      </c>
      <c r="EH334" s="336">
        <f t="shared" si="2023"/>
        <v>0</v>
      </c>
      <c r="EI334" s="336">
        <f t="shared" si="2024"/>
        <v>0</v>
      </c>
      <c r="EJ334" s="336">
        <f t="shared" si="2025"/>
        <v>0</v>
      </c>
      <c r="EK334" s="336">
        <f t="shared" si="2026"/>
        <v>0</v>
      </c>
      <c r="EL334" s="336">
        <f t="shared" si="2027"/>
        <v>0</v>
      </c>
      <c r="EM334" s="336">
        <f t="shared" si="2028"/>
        <v>0</v>
      </c>
      <c r="EN334" s="336">
        <f t="shared" si="2029"/>
        <v>0</v>
      </c>
      <c r="EO334" s="336">
        <f t="shared" si="2030"/>
        <v>0</v>
      </c>
      <c r="EP334" s="336">
        <f t="shared" si="2031"/>
        <v>0</v>
      </c>
      <c r="EQ334" s="336">
        <f t="shared" si="2032"/>
        <v>0</v>
      </c>
      <c r="ER334" s="336">
        <f t="shared" si="2033"/>
        <v>0</v>
      </c>
      <c r="ES334" s="336">
        <f t="shared" si="2034"/>
        <v>0</v>
      </c>
      <c r="ET334" s="336">
        <f t="shared" si="2034"/>
        <v>0</v>
      </c>
      <c r="EU334" s="336">
        <f t="shared" si="2035"/>
        <v>0</v>
      </c>
      <c r="EV334" s="336">
        <f t="shared" si="2036"/>
        <v>0</v>
      </c>
      <c r="EW334" s="336">
        <f t="shared" si="2037"/>
        <v>0</v>
      </c>
      <c r="EX334" s="336">
        <f t="shared" si="2038"/>
        <v>0</v>
      </c>
      <c r="EY334" s="336">
        <f t="shared" si="2039"/>
        <v>0</v>
      </c>
      <c r="EZ334" s="336">
        <f t="shared" si="2040"/>
        <v>0</v>
      </c>
      <c r="FA334" s="336">
        <f t="shared" si="2041"/>
        <v>0</v>
      </c>
      <c r="FB334" s="336">
        <f t="shared" si="2042"/>
        <v>0</v>
      </c>
      <c r="FC334" s="336">
        <f t="shared" si="2043"/>
        <v>0</v>
      </c>
      <c r="FD334" s="336">
        <f t="shared" si="2044"/>
        <v>0</v>
      </c>
      <c r="FE334" s="336">
        <f t="shared" si="2045"/>
        <v>0</v>
      </c>
      <c r="FF334" s="336">
        <f t="shared" si="2046"/>
        <v>0</v>
      </c>
      <c r="FG334" s="336">
        <f t="shared" si="2047"/>
        <v>0</v>
      </c>
      <c r="FH334" s="336">
        <f t="shared" si="2048"/>
        <v>0</v>
      </c>
      <c r="FI334" s="336">
        <f t="shared" si="2049"/>
        <v>0</v>
      </c>
      <c r="FJ334" s="336">
        <f t="shared" si="2050"/>
        <v>0</v>
      </c>
      <c r="FK334" s="336">
        <f t="shared" si="2051"/>
        <v>0</v>
      </c>
      <c r="FL334" s="336">
        <f t="shared" si="2052"/>
        <v>0</v>
      </c>
      <c r="FM334" s="336">
        <f t="shared" si="2053"/>
        <v>0</v>
      </c>
      <c r="FN334" s="336">
        <f t="shared" si="2054"/>
        <v>0</v>
      </c>
      <c r="FO334" s="336">
        <f t="shared" si="2055"/>
        <v>0</v>
      </c>
      <c r="FP334" s="336">
        <f t="shared" si="2056"/>
        <v>0</v>
      </c>
      <c r="FQ334" s="336">
        <f t="shared" si="2057"/>
        <v>0</v>
      </c>
      <c r="FR334" s="336">
        <f t="shared" si="2058"/>
        <v>0</v>
      </c>
      <c r="FS334" s="336">
        <f t="shared" si="2059"/>
        <v>0</v>
      </c>
      <c r="FT334" s="336">
        <f t="shared" si="2060"/>
        <v>0</v>
      </c>
      <c r="FU334" s="336">
        <f t="shared" si="2262"/>
        <v>0</v>
      </c>
      <c r="FV334" s="336">
        <f t="shared" si="2263"/>
        <v>0</v>
      </c>
      <c r="FW334" s="336">
        <f t="shared" si="2264"/>
        <v>0</v>
      </c>
      <c r="FX334" s="336">
        <f t="shared" si="2265"/>
        <v>0</v>
      </c>
      <c r="FY334" s="336">
        <f t="shared" si="2061"/>
        <v>0</v>
      </c>
      <c r="FZ334" s="336">
        <f t="shared" si="2062"/>
        <v>0</v>
      </c>
      <c r="GA334" s="336">
        <f t="shared" si="2063"/>
        <v>0</v>
      </c>
      <c r="GB334" s="336">
        <f t="shared" si="2064"/>
        <v>0</v>
      </c>
      <c r="GC334" s="336">
        <f t="shared" si="2065"/>
        <v>0</v>
      </c>
      <c r="GD334" s="336">
        <f t="shared" si="2066"/>
        <v>0</v>
      </c>
      <c r="GE334" s="336">
        <f t="shared" si="2067"/>
        <v>0</v>
      </c>
      <c r="GF334" s="336">
        <f t="shared" si="2068"/>
        <v>0</v>
      </c>
      <c r="GG334" s="336">
        <f t="shared" si="2069"/>
        <v>0</v>
      </c>
      <c r="GH334" s="336">
        <f t="shared" si="2070"/>
        <v>0</v>
      </c>
      <c r="GI334" s="336">
        <f t="shared" si="2071"/>
        <v>0</v>
      </c>
      <c r="GJ334" s="336">
        <f t="shared" si="2072"/>
        <v>0</v>
      </c>
      <c r="GK334" s="336">
        <f t="shared" si="1988"/>
        <v>0</v>
      </c>
      <c r="GL334" s="336">
        <f t="shared" si="2266"/>
        <v>0</v>
      </c>
      <c r="GM334" s="336">
        <f t="shared" si="2073"/>
        <v>0</v>
      </c>
    </row>
    <row r="335" spans="1:195" s="888" customFormat="1">
      <c r="A335" s="870">
        <f t="shared" si="2267"/>
        <v>217</v>
      </c>
      <c r="B335" s="876" t="s">
        <v>527</v>
      </c>
      <c r="C335" s="870" t="s">
        <v>741</v>
      </c>
      <c r="D335" s="902" t="s">
        <v>765</v>
      </c>
      <c r="E335" s="873" t="s">
        <v>608</v>
      </c>
      <c r="F335" s="903" t="s">
        <v>28</v>
      </c>
      <c r="G335" s="870" t="s">
        <v>329</v>
      </c>
      <c r="H335" s="877">
        <v>4</v>
      </c>
      <c r="I335" s="870" t="s">
        <v>330</v>
      </c>
      <c r="J335" s="870" t="s">
        <v>357</v>
      </c>
      <c r="K335" s="875">
        <v>230</v>
      </c>
      <c r="L335" s="876">
        <v>0.85</v>
      </c>
      <c r="M335" s="877">
        <v>0.95</v>
      </c>
      <c r="N335" s="878">
        <f t="shared" si="2110"/>
        <v>21.537219006595773</v>
      </c>
      <c r="O335" s="878">
        <f t="shared" si="2111"/>
        <v>0</v>
      </c>
      <c r="P335" s="876" t="str">
        <f t="shared" si="2112"/>
        <v>0.00</v>
      </c>
      <c r="Q335" s="877">
        <v>50</v>
      </c>
      <c r="R335" s="877">
        <v>0</v>
      </c>
      <c r="S335" s="877">
        <f t="shared" si="2113"/>
        <v>0</v>
      </c>
      <c r="T335" s="876" t="s">
        <v>131</v>
      </c>
      <c r="U335" s="877" t="s">
        <v>333</v>
      </c>
      <c r="V335" s="876">
        <v>16</v>
      </c>
      <c r="W335" s="876" t="str">
        <f t="shared" si="2114"/>
        <v>3C X 16</v>
      </c>
      <c r="X335" s="876" t="str">
        <f t="shared" si="2115"/>
        <v>3C X 16</v>
      </c>
      <c r="Y335" s="876" t="s">
        <v>358</v>
      </c>
      <c r="Z335" s="879">
        <f>IF(T335="AIR",VLOOKUP(W335,'Catalogue Aluminium'!$B$9:$G$93,2,FALSE),IF(T335="GROUND",VLOOKUP(W335,'Catalogue Aluminium'!$B$9:$G$93,3,FALSE),IF(T335="DUCT",VLOOKUP(W335,'Catalogue Aluminium'!$B$9:$G$93,4,FALSE),IF(T335="TRENCH",VLOOKUP(W335,'Catalogue Aluminium'!$B$9:$G$93,2,FALSE)))))</f>
        <v>70</v>
      </c>
      <c r="AA335" s="880">
        <f>VLOOKUP(W335,'Catalogue Aluminium'!$B$9:$G$93,5,FALSE)</f>
        <v>2.44</v>
      </c>
      <c r="AB335" s="880">
        <f>VLOOKUP(W335,'Catalogue Aluminium'!$B$9:$G$93,6,FALSE)</f>
        <v>8.1500000000000003E-2</v>
      </c>
      <c r="AC335" s="900">
        <f t="shared" si="2149"/>
        <v>34</v>
      </c>
      <c r="AD335" s="870">
        <f>10</f>
        <v>10</v>
      </c>
      <c r="AE335" s="900">
        <v>10</v>
      </c>
      <c r="AF335" s="876">
        <v>8</v>
      </c>
      <c r="AG335" s="876">
        <f t="shared" si="2116"/>
        <v>7</v>
      </c>
      <c r="AH335" s="881">
        <f t="shared" si="2117"/>
        <v>69</v>
      </c>
      <c r="AI335" s="879">
        <f>IF(T335="AIR",'Catalogue Aluminium'!$K$9,IF(T335="TRENCH",'Catalogue Aluminium'!$K$12,"NA"))</f>
        <v>0.89</v>
      </c>
      <c r="AJ335" s="878">
        <f>IF(T335="Air",(IF(U335="1C",'Catalogue Aluminium'!$L$9,'Catalogue Aluminium'!$M$9)),IF(T335="DUCT",(IF($U335="1C",'Catalogue Aluminium'!$L$10,'Catalogue Aluminium'!$M$10)),IF(T335="GROUND",(IF($U335="1C",'Catalogue Aluminium'!$L$11,'Catalogue Aluminium'!$M$11)),IF(T335="TRENCH",(IF($U335="1C",'Catalogue Aluminium'!$L$12,'Catalogue Aluminium'!$M$12))))))</f>
        <v>0.66</v>
      </c>
      <c r="AK335" s="879" t="str">
        <f>IF(T335="Air",'Catalogue Aluminium'!$N$9,IF(T335="GROUND",'Catalogue Aluminium'!$N$10,IF(T335="DUCT",'Catalogue Aluminium'!$N$11,IF(T335="TRENCH",'Catalogue Aluminium'!$N$12,"NA"))))</f>
        <v>NA</v>
      </c>
      <c r="AL335" s="879" t="str">
        <f>IF(T335="Air",(IF(U335="1C",'Catalogue Aluminium'!$O$9,'Catalogue Aluminium'!$P$9)),IF(T335="DUCT",(IF($U335="1C",'Catalogue Aluminium'!$O$10,'Catalogue Aluminium'!$P$10)),IF(T335="GROUND",(IF($U335="1C",'Catalogue Aluminium'!$O$11,'Catalogue Aluminium'!$P$11)),IF(T335="TRENCH",(IF($U335="1C",'Catalogue Aluminium'!$O$12,'Catalogue Aluminium'!$P$12))))))</f>
        <v>NA</v>
      </c>
      <c r="AM335" s="879" t="str">
        <f>IF(T335="AIR","NA",IF(T335="TRENCH","NA",IF(T335="DUCT",IF(U335="1C",VLOOKUP(V335,'Catalogue Aluminium'!$Q$9:$S$28,2,FALSE),VLOOKUP(V335,'Catalogue Aluminium'!$Q$9:$S$28,3)),IF(T335="GROUND",IF(U335="1C",VLOOKUP(V335,'Catalogue Aluminium'!$Q$9:$S$28,2,FALSE),VLOOKUP(V335,'Catalogue Aluminium'!$Q$9:$S$28,3))))))</f>
        <v>NA</v>
      </c>
      <c r="AN335" s="882">
        <f t="shared" si="2118"/>
        <v>0.58740000000000003</v>
      </c>
      <c r="AO335" s="877">
        <f t="shared" si="2119"/>
        <v>41.118000000000002</v>
      </c>
      <c r="AP335" s="875">
        <f t="shared" si="2120"/>
        <v>1</v>
      </c>
      <c r="AQ335" s="877" t="str">
        <f t="shared" si="2121"/>
        <v>YES</v>
      </c>
      <c r="AR335" s="882">
        <f t="shared" si="2122"/>
        <v>2.3690737252372571</v>
      </c>
      <c r="AS335" s="876" t="str">
        <f t="shared" si="2123"/>
        <v>YES</v>
      </c>
      <c r="AT335" s="882" t="str">
        <f t="shared" si="2124"/>
        <v>NA</v>
      </c>
      <c r="AU335" s="876" t="str">
        <f t="shared" si="2125"/>
        <v>NA</v>
      </c>
      <c r="AV335" s="883" t="str">
        <f t="shared" si="2126"/>
        <v>1R x 0.6/1kV x 3C x 16 Sqmm</v>
      </c>
      <c r="AW335" s="883" t="str">
        <f t="shared" si="2127"/>
        <v>1R x 0.6/1kV x 3C x 16 Sqmm</v>
      </c>
      <c r="AX335" s="876"/>
      <c r="AY335" s="884"/>
      <c r="AZ335" s="884"/>
      <c r="BA335" s="885" t="str">
        <f t="shared" si="2268"/>
        <v/>
      </c>
      <c r="BB335" s="886"/>
      <c r="BC335" s="887"/>
      <c r="BE335" s="889"/>
      <c r="BF335" s="889"/>
      <c r="BG335" s="889"/>
      <c r="BH335" s="889"/>
      <c r="BI335" s="889"/>
      <c r="BJ335" s="889"/>
      <c r="BK335" s="889"/>
      <c r="BL335" s="889"/>
      <c r="BM335" s="889"/>
      <c r="BN335" s="889"/>
      <c r="BO335" s="889"/>
      <c r="BP335" s="889"/>
      <c r="BQ335" s="889"/>
      <c r="BR335" s="889"/>
      <c r="BS335" s="889"/>
      <c r="BT335" s="889"/>
      <c r="BU335" s="889"/>
      <c r="BV335" s="889"/>
      <c r="BW335" s="889"/>
      <c r="BX335" s="889"/>
      <c r="BY335" s="889"/>
      <c r="BZ335" s="889"/>
      <c r="CA335" s="889"/>
      <c r="CB335" s="889"/>
      <c r="CC335" s="889"/>
      <c r="CD335" s="889"/>
      <c r="CE335" s="889"/>
      <c r="CF335" s="889"/>
      <c r="CG335" s="889"/>
      <c r="CH335" s="889"/>
      <c r="CI335" s="889"/>
      <c r="CJ335" s="889"/>
      <c r="CK335" s="889"/>
      <c r="CL335" s="889"/>
      <c r="CM335" s="889"/>
      <c r="CN335" s="889"/>
      <c r="CO335" s="889"/>
      <c r="CP335" s="889"/>
      <c r="CQ335" s="889"/>
      <c r="CR335" s="889"/>
      <c r="CS335" s="889"/>
      <c r="CT335" s="889"/>
      <c r="CU335" s="889"/>
      <c r="CV335" s="889"/>
      <c r="CW335" s="889"/>
      <c r="CX335" s="889"/>
      <c r="CY335" s="889"/>
      <c r="CZ335" s="889"/>
      <c r="DA335" s="889"/>
      <c r="DB335" s="889"/>
      <c r="DC335" s="889"/>
      <c r="DD335" s="889"/>
      <c r="DE335" s="889"/>
      <c r="DF335" s="889"/>
      <c r="DG335" s="889"/>
      <c r="DH335" s="889"/>
      <c r="DI335" s="889"/>
      <c r="DJ335" s="889"/>
      <c r="DK335" s="889"/>
      <c r="DL335" s="889"/>
      <c r="DM335" s="889"/>
      <c r="DN335" s="889"/>
      <c r="DO335" s="889"/>
      <c r="DP335" s="889"/>
      <c r="DQ335" s="889"/>
      <c r="DR335" s="889"/>
      <c r="DS335" s="889"/>
      <c r="DT335" s="889"/>
      <c r="DU335" s="889"/>
      <c r="DW335" s="889">
        <f t="shared" si="2108"/>
        <v>0</v>
      </c>
      <c r="DX335" s="889">
        <f t="shared" si="2102"/>
        <v>0</v>
      </c>
      <c r="DY335" s="889">
        <f t="shared" si="2103"/>
        <v>0</v>
      </c>
      <c r="DZ335" s="889">
        <f t="shared" si="2104"/>
        <v>0</v>
      </c>
      <c r="EA335" s="889">
        <f t="shared" si="2105"/>
        <v>0</v>
      </c>
      <c r="EB335" s="889">
        <f t="shared" si="2106"/>
        <v>0</v>
      </c>
      <c r="EC335" s="889">
        <f t="shared" si="2107"/>
        <v>0</v>
      </c>
      <c r="ED335" s="889">
        <f t="shared" si="2019"/>
        <v>0</v>
      </c>
      <c r="EE335" s="889">
        <f t="shared" si="2020"/>
        <v>0</v>
      </c>
      <c r="EF335" s="889">
        <f t="shared" si="2021"/>
        <v>0</v>
      </c>
      <c r="EG335" s="889">
        <f t="shared" si="2022"/>
        <v>0</v>
      </c>
      <c r="EH335" s="889">
        <f t="shared" si="2023"/>
        <v>0</v>
      </c>
      <c r="EI335" s="889">
        <f t="shared" si="2024"/>
        <v>0</v>
      </c>
      <c r="EJ335" s="889">
        <f t="shared" si="2025"/>
        <v>0</v>
      </c>
      <c r="EK335" s="889">
        <f t="shared" si="2026"/>
        <v>0</v>
      </c>
      <c r="EL335" s="889">
        <f t="shared" si="2027"/>
        <v>0</v>
      </c>
      <c r="EM335" s="889">
        <f t="shared" si="2028"/>
        <v>0</v>
      </c>
      <c r="EN335" s="889">
        <f t="shared" si="2029"/>
        <v>0</v>
      </c>
      <c r="EO335" s="889">
        <f t="shared" si="2030"/>
        <v>0</v>
      </c>
      <c r="EP335" s="889">
        <f t="shared" si="2031"/>
        <v>0</v>
      </c>
      <c r="EQ335" s="889">
        <f t="shared" si="2032"/>
        <v>0</v>
      </c>
      <c r="ER335" s="889">
        <f t="shared" si="2033"/>
        <v>0</v>
      </c>
      <c r="ES335" s="889">
        <f t="shared" si="2034"/>
        <v>0</v>
      </c>
      <c r="ET335" s="889">
        <f t="shared" si="2034"/>
        <v>0</v>
      </c>
      <c r="EU335" s="889">
        <f t="shared" si="2035"/>
        <v>0</v>
      </c>
      <c r="EV335" s="889">
        <f t="shared" si="2036"/>
        <v>0</v>
      </c>
      <c r="EW335" s="889">
        <f t="shared" si="2037"/>
        <v>0</v>
      </c>
      <c r="EX335" s="889">
        <f t="shared" si="2038"/>
        <v>0</v>
      </c>
      <c r="EY335" s="889">
        <f t="shared" si="2039"/>
        <v>0</v>
      </c>
      <c r="EZ335" s="889">
        <f t="shared" si="2040"/>
        <v>0</v>
      </c>
      <c r="FA335" s="889">
        <f t="shared" si="2041"/>
        <v>0</v>
      </c>
      <c r="FB335" s="889">
        <f t="shared" si="2042"/>
        <v>0</v>
      </c>
      <c r="FC335" s="889">
        <f t="shared" si="2043"/>
        <v>0</v>
      </c>
      <c r="FD335" s="889">
        <f t="shared" si="2044"/>
        <v>0</v>
      </c>
      <c r="FE335" s="889">
        <f t="shared" si="2045"/>
        <v>0</v>
      </c>
      <c r="FF335" s="889">
        <f t="shared" si="2046"/>
        <v>0</v>
      </c>
      <c r="FG335" s="889">
        <f t="shared" si="2047"/>
        <v>0</v>
      </c>
      <c r="FH335" s="889">
        <f t="shared" si="2048"/>
        <v>0</v>
      </c>
      <c r="FI335" s="889">
        <f t="shared" si="2049"/>
        <v>0</v>
      </c>
      <c r="FJ335" s="889">
        <f t="shared" si="2050"/>
        <v>0</v>
      </c>
      <c r="FK335" s="889">
        <f t="shared" si="2051"/>
        <v>0</v>
      </c>
      <c r="FL335" s="889">
        <f t="shared" si="2052"/>
        <v>0</v>
      </c>
      <c r="FM335" s="889">
        <f t="shared" si="2053"/>
        <v>0</v>
      </c>
      <c r="FN335" s="889">
        <f t="shared" si="2054"/>
        <v>0</v>
      </c>
      <c r="FO335" s="889">
        <f t="shared" si="2055"/>
        <v>0</v>
      </c>
      <c r="FP335" s="889">
        <f t="shared" si="2056"/>
        <v>0</v>
      </c>
      <c r="FQ335" s="889">
        <f t="shared" si="2057"/>
        <v>0</v>
      </c>
      <c r="FR335" s="889">
        <f t="shared" si="2058"/>
        <v>0</v>
      </c>
      <c r="FS335" s="889">
        <f t="shared" si="2059"/>
        <v>0</v>
      </c>
      <c r="FT335" s="889">
        <f t="shared" si="2060"/>
        <v>0</v>
      </c>
      <c r="FU335" s="889">
        <f t="shared" si="2262"/>
        <v>0</v>
      </c>
      <c r="FV335" s="889">
        <f t="shared" si="2263"/>
        <v>0</v>
      </c>
      <c r="FW335" s="889">
        <f t="shared" si="2264"/>
        <v>0</v>
      </c>
      <c r="FX335" s="889">
        <f t="shared" si="2265"/>
        <v>0</v>
      </c>
      <c r="FY335" s="889">
        <f t="shared" si="2061"/>
        <v>0</v>
      </c>
      <c r="FZ335" s="889">
        <f t="shared" si="2062"/>
        <v>0</v>
      </c>
      <c r="GA335" s="889">
        <f t="shared" si="2063"/>
        <v>0</v>
      </c>
      <c r="GB335" s="889">
        <f t="shared" si="2064"/>
        <v>0</v>
      </c>
      <c r="GC335" s="889">
        <f t="shared" si="2065"/>
        <v>0</v>
      </c>
      <c r="GD335" s="889">
        <f t="shared" si="2066"/>
        <v>0</v>
      </c>
      <c r="GE335" s="889">
        <f t="shared" si="2067"/>
        <v>0</v>
      </c>
      <c r="GF335" s="889">
        <f t="shared" si="2068"/>
        <v>0</v>
      </c>
      <c r="GG335" s="889">
        <f t="shared" si="2069"/>
        <v>0</v>
      </c>
      <c r="GH335" s="889">
        <f t="shared" si="2070"/>
        <v>0</v>
      </c>
      <c r="GI335" s="889">
        <f t="shared" si="2071"/>
        <v>0</v>
      </c>
      <c r="GJ335" s="889">
        <f t="shared" si="2072"/>
        <v>0</v>
      </c>
      <c r="GK335" s="889">
        <f t="shared" si="1988"/>
        <v>0</v>
      </c>
      <c r="GL335" s="889">
        <f t="shared" si="2266"/>
        <v>0</v>
      </c>
      <c r="GM335" s="889">
        <f t="shared" si="2073"/>
        <v>0</v>
      </c>
    </row>
    <row r="336" spans="1:195">
      <c r="A336" s="388">
        <f t="shared" si="2267"/>
        <v>218</v>
      </c>
      <c r="B336" s="401" t="s">
        <v>527</v>
      </c>
      <c r="C336" s="388" t="s">
        <v>741</v>
      </c>
      <c r="D336" s="445" t="s">
        <v>766</v>
      </c>
      <c r="E336" s="502" t="s">
        <v>608</v>
      </c>
      <c r="F336" s="571" t="s">
        <v>28</v>
      </c>
      <c r="G336" s="388" t="s">
        <v>329</v>
      </c>
      <c r="H336" s="583">
        <v>3.5</v>
      </c>
      <c r="I336" s="388" t="s">
        <v>330</v>
      </c>
      <c r="J336" s="388" t="s">
        <v>357</v>
      </c>
      <c r="K336" s="434">
        <v>230</v>
      </c>
      <c r="L336" s="401">
        <v>0.85</v>
      </c>
      <c r="M336" s="418">
        <v>0.95</v>
      </c>
      <c r="N336" s="392">
        <f t="shared" si="2110"/>
        <v>18.845066630771303</v>
      </c>
      <c r="O336" s="392">
        <f t="shared" si="2111"/>
        <v>0</v>
      </c>
      <c r="P336" s="401" t="str">
        <f t="shared" si="2112"/>
        <v>0.00</v>
      </c>
      <c r="Q336" s="418">
        <v>50</v>
      </c>
      <c r="R336" s="418">
        <v>0</v>
      </c>
      <c r="S336" s="418">
        <f t="shared" si="2113"/>
        <v>0</v>
      </c>
      <c r="T336" s="401" t="s">
        <v>131</v>
      </c>
      <c r="U336" s="418" t="s">
        <v>333</v>
      </c>
      <c r="V336" s="401">
        <v>16</v>
      </c>
      <c r="W336" s="401" t="str">
        <f t="shared" si="2114"/>
        <v>3C X 16</v>
      </c>
      <c r="X336" s="401" t="str">
        <f t="shared" si="2115"/>
        <v>3C X 16</v>
      </c>
      <c r="Y336" s="401" t="s">
        <v>358</v>
      </c>
      <c r="Z336" s="393">
        <f>IF(T336="AIR",VLOOKUP(W336,'Catalogue Aluminium'!$B$9:$G$93,2,FALSE),IF(T336="GROUND",VLOOKUP(W336,'Catalogue Aluminium'!$B$9:$G$93,3,FALSE),IF(T336="DUCT",VLOOKUP(W336,'Catalogue Aluminium'!$B$9:$G$93,4,FALSE),IF(T336="TRENCH",VLOOKUP(W336,'Catalogue Aluminium'!$B$9:$G$93,2,FALSE)))))</f>
        <v>70</v>
      </c>
      <c r="AA336" s="402">
        <f>VLOOKUP(W336,'Catalogue Aluminium'!$B$9:$G$93,5,FALSE)</f>
        <v>2.44</v>
      </c>
      <c r="AB336" s="402">
        <f>VLOOKUP(W336,'Catalogue Aluminium'!$B$9:$G$93,6,FALSE)</f>
        <v>8.1500000000000003E-2</v>
      </c>
      <c r="AC336" s="457">
        <f t="shared" si="2149"/>
        <v>34</v>
      </c>
      <c r="AD336" s="388">
        <f>10</f>
        <v>10</v>
      </c>
      <c r="AE336" s="457">
        <v>10</v>
      </c>
      <c r="AF336" s="401">
        <v>8</v>
      </c>
      <c r="AG336" s="401">
        <f t="shared" si="2116"/>
        <v>7</v>
      </c>
      <c r="AH336" s="436">
        <f t="shared" si="2117"/>
        <v>69</v>
      </c>
      <c r="AI336" s="393">
        <f>IF(T336="AIR",'Catalogue Aluminium'!$K$9,IF(T336="TRENCH",'Catalogue Aluminium'!$K$12,"NA"))</f>
        <v>0.89</v>
      </c>
      <c r="AJ336" s="392">
        <f>IF(T336="Air",(IF(U336="1C",'Catalogue Aluminium'!$L$9,'Catalogue Aluminium'!$M$9)),IF(T336="DUCT",(IF($U336="1C",'Catalogue Aluminium'!$L$10,'Catalogue Aluminium'!$M$10)),IF(T336="GROUND",(IF($U336="1C",'Catalogue Aluminium'!$L$11,'Catalogue Aluminium'!$M$11)),IF(T336="TRENCH",(IF($U336="1C",'Catalogue Aluminium'!$L$12,'Catalogue Aluminium'!$M$12))))))</f>
        <v>0.66</v>
      </c>
      <c r="AK336" s="393" t="str">
        <f>IF(T336="Air",'Catalogue Aluminium'!$N$9,IF(T336="GROUND",'Catalogue Aluminium'!$N$10,IF(T336="DUCT",'Catalogue Aluminium'!$N$11,IF(T336="TRENCH",'Catalogue Aluminium'!$N$12,"NA"))))</f>
        <v>NA</v>
      </c>
      <c r="AL336" s="393" t="str">
        <f>IF(T336="Air",(IF(U336="1C",'Catalogue Aluminium'!$O$9,'Catalogue Aluminium'!$P$9)),IF(T336="DUCT",(IF($U336="1C",'Catalogue Aluminium'!$O$10,'Catalogue Aluminium'!$P$10)),IF(T336="GROUND",(IF($U336="1C",'Catalogue Aluminium'!$O$11,'Catalogue Aluminium'!$P$11)),IF(T336="TRENCH",(IF($U336="1C",'Catalogue Aluminium'!$O$12,'Catalogue Aluminium'!$P$12))))))</f>
        <v>NA</v>
      </c>
      <c r="AM336" s="393" t="str">
        <f>IF(T336="AIR","NA",IF(T336="TRENCH","NA",IF(T336="DUCT",IF(U336="1C",VLOOKUP(V336,'Catalogue Aluminium'!$Q$9:$S$28,2,FALSE),VLOOKUP(V336,'Catalogue Aluminium'!$Q$9:$S$28,3)),IF(T336="GROUND",IF(U336="1C",VLOOKUP(V336,'Catalogue Aluminium'!$Q$9:$S$28,2,FALSE),VLOOKUP(V336,'Catalogue Aluminium'!$Q$9:$S$28,3))))))</f>
        <v>NA</v>
      </c>
      <c r="AN336" s="437">
        <f t="shared" si="2118"/>
        <v>0.58740000000000003</v>
      </c>
      <c r="AO336" s="418">
        <f t="shared" si="2119"/>
        <v>41.118000000000002</v>
      </c>
      <c r="AP336" s="434">
        <f t="shared" si="2120"/>
        <v>1</v>
      </c>
      <c r="AQ336" s="418" t="str">
        <f t="shared" si="2121"/>
        <v>YES</v>
      </c>
      <c r="AR336" s="437">
        <f t="shared" si="2122"/>
        <v>2.0729395095826004</v>
      </c>
      <c r="AS336" s="401" t="str">
        <f t="shared" si="2123"/>
        <v>YES</v>
      </c>
      <c r="AT336" s="437" t="str">
        <f t="shared" si="2124"/>
        <v>NA</v>
      </c>
      <c r="AU336" s="401" t="str">
        <f t="shared" si="2125"/>
        <v>NA</v>
      </c>
      <c r="AV336" s="503" t="str">
        <f t="shared" si="2126"/>
        <v>1R x 0.6/1kV x 3C x 16 Sqmm</v>
      </c>
      <c r="AW336" s="503" t="str">
        <f t="shared" si="2127"/>
        <v>1R x 0.6/1kV x 3C x 16 Sqmm</v>
      </c>
      <c r="AX336" s="401">
        <f t="shared" si="2394"/>
        <v>69</v>
      </c>
      <c r="AY336" s="504"/>
      <c r="AZ336" s="504">
        <f t="shared" si="2260"/>
        <v>2</v>
      </c>
      <c r="BA336" s="438" t="str">
        <f t="shared" si="2268"/>
        <v/>
      </c>
      <c r="BB336" s="505">
        <f>VLOOKUP(W336,'Catalogue Aluminium'!$B$9:$H$93,7,FALSE)</f>
        <v>19</v>
      </c>
      <c r="BC336" s="439">
        <f t="shared" si="2261"/>
        <v>19</v>
      </c>
      <c r="BE336" s="336"/>
      <c r="BF336" s="336"/>
      <c r="BG336" s="336"/>
      <c r="BH336" s="336"/>
      <c r="BI336" s="336"/>
      <c r="BJ336" s="336"/>
      <c r="BK336" s="336"/>
      <c r="BL336" s="336"/>
      <c r="BM336" s="336"/>
      <c r="BN336" s="336"/>
      <c r="BO336" s="336"/>
      <c r="BP336" s="336"/>
      <c r="BQ336" s="336"/>
      <c r="BR336" s="336"/>
      <c r="BS336" s="336"/>
      <c r="BT336" s="336"/>
      <c r="BU336" s="336"/>
      <c r="BV336" s="336"/>
      <c r="BW336" s="336"/>
      <c r="BX336" s="336"/>
      <c r="BY336" s="336"/>
      <c r="BZ336" s="336"/>
      <c r="CA336" s="336"/>
      <c r="CB336" s="336"/>
      <c r="CC336" s="336"/>
      <c r="CD336" s="336"/>
      <c r="CE336" s="336"/>
      <c r="CF336" s="336"/>
      <c r="CG336" s="336"/>
      <c r="CH336" s="336"/>
      <c r="CI336" s="336"/>
      <c r="CJ336" s="336"/>
      <c r="CK336" s="336"/>
      <c r="CL336" s="336"/>
      <c r="CM336" s="336"/>
      <c r="CN336" s="336"/>
      <c r="CO336" s="336"/>
      <c r="CP336" s="336"/>
      <c r="CQ336" s="336"/>
      <c r="CR336" s="336"/>
      <c r="CS336" s="336"/>
      <c r="CT336" s="336"/>
      <c r="CU336" s="336"/>
      <c r="CV336" s="336"/>
      <c r="CW336" s="336"/>
      <c r="CX336" s="336"/>
      <c r="CY336" s="336"/>
      <c r="CZ336" s="336"/>
      <c r="DA336" s="336"/>
      <c r="DB336" s="336"/>
      <c r="DC336" s="336"/>
      <c r="DD336" s="336"/>
      <c r="DE336" s="336"/>
      <c r="DF336" s="336"/>
      <c r="DG336" s="336"/>
      <c r="DH336" s="336"/>
      <c r="DI336" s="336"/>
      <c r="DJ336" s="336"/>
      <c r="DK336" s="336"/>
      <c r="DL336" s="336"/>
      <c r="DM336" s="336"/>
      <c r="DN336" s="336"/>
      <c r="DO336" s="336"/>
      <c r="DP336" s="336"/>
      <c r="DQ336" s="336"/>
      <c r="DR336" s="336"/>
      <c r="DS336" s="336"/>
      <c r="DT336" s="336"/>
      <c r="DU336" s="336"/>
      <c r="DW336" s="336">
        <f t="shared" si="2108"/>
        <v>0</v>
      </c>
      <c r="DX336" s="336">
        <f t="shared" si="2102"/>
        <v>0</v>
      </c>
      <c r="DY336" s="336">
        <f t="shared" si="2103"/>
        <v>0</v>
      </c>
      <c r="DZ336" s="336">
        <f t="shared" si="2104"/>
        <v>0</v>
      </c>
      <c r="EA336" s="336">
        <f t="shared" si="2105"/>
        <v>0</v>
      </c>
      <c r="EB336" s="336">
        <f t="shared" si="2106"/>
        <v>0</v>
      </c>
      <c r="EC336" s="336">
        <f t="shared" si="2107"/>
        <v>0</v>
      </c>
      <c r="ED336" s="336">
        <f t="shared" si="2019"/>
        <v>0</v>
      </c>
      <c r="EE336" s="336">
        <f t="shared" si="2020"/>
        <v>0</v>
      </c>
      <c r="EF336" s="336">
        <f t="shared" si="2021"/>
        <v>0</v>
      </c>
      <c r="EG336" s="336">
        <f t="shared" si="2022"/>
        <v>0</v>
      </c>
      <c r="EH336" s="336">
        <f t="shared" si="2023"/>
        <v>0</v>
      </c>
      <c r="EI336" s="336">
        <f t="shared" si="2024"/>
        <v>0</v>
      </c>
      <c r="EJ336" s="336">
        <f t="shared" si="2025"/>
        <v>0</v>
      </c>
      <c r="EK336" s="336">
        <f t="shared" si="2026"/>
        <v>0</v>
      </c>
      <c r="EL336" s="336">
        <f t="shared" si="2027"/>
        <v>0</v>
      </c>
      <c r="EM336" s="336">
        <f t="shared" si="2028"/>
        <v>0</v>
      </c>
      <c r="EN336" s="336">
        <f t="shared" si="2029"/>
        <v>0</v>
      </c>
      <c r="EO336" s="336">
        <f t="shared" si="2030"/>
        <v>0</v>
      </c>
      <c r="EP336" s="336">
        <f t="shared" si="2031"/>
        <v>0</v>
      </c>
      <c r="EQ336" s="336">
        <f t="shared" si="2032"/>
        <v>0</v>
      </c>
      <c r="ER336" s="336">
        <f t="shared" si="2033"/>
        <v>0</v>
      </c>
      <c r="ES336" s="336">
        <f t="shared" si="2034"/>
        <v>0</v>
      </c>
      <c r="ET336" s="336">
        <f t="shared" si="2034"/>
        <v>0</v>
      </c>
      <c r="EU336" s="336">
        <f t="shared" si="2035"/>
        <v>0</v>
      </c>
      <c r="EV336" s="336">
        <f t="shared" si="2036"/>
        <v>0</v>
      </c>
      <c r="EW336" s="336">
        <f t="shared" si="2037"/>
        <v>0</v>
      </c>
      <c r="EX336" s="336">
        <f t="shared" si="2038"/>
        <v>0</v>
      </c>
      <c r="EY336" s="336">
        <f t="shared" si="2039"/>
        <v>0</v>
      </c>
      <c r="EZ336" s="336">
        <f t="shared" si="2040"/>
        <v>0</v>
      </c>
      <c r="FA336" s="336">
        <f t="shared" si="2041"/>
        <v>0</v>
      </c>
      <c r="FB336" s="336">
        <f t="shared" si="2042"/>
        <v>0</v>
      </c>
      <c r="FC336" s="336">
        <f t="shared" si="2043"/>
        <v>0</v>
      </c>
      <c r="FD336" s="336">
        <f t="shared" si="2044"/>
        <v>0</v>
      </c>
      <c r="FE336" s="336">
        <f t="shared" si="2045"/>
        <v>0</v>
      </c>
      <c r="FF336" s="336">
        <f t="shared" si="2046"/>
        <v>0</v>
      </c>
      <c r="FG336" s="336">
        <f t="shared" si="2047"/>
        <v>0</v>
      </c>
      <c r="FH336" s="336">
        <f t="shared" si="2048"/>
        <v>0</v>
      </c>
      <c r="FI336" s="336">
        <f t="shared" si="2049"/>
        <v>0</v>
      </c>
      <c r="FJ336" s="336">
        <f t="shared" si="2050"/>
        <v>0</v>
      </c>
      <c r="FK336" s="336">
        <f t="shared" si="2051"/>
        <v>0</v>
      </c>
      <c r="FL336" s="336">
        <f t="shared" si="2052"/>
        <v>0</v>
      </c>
      <c r="FM336" s="336">
        <f t="shared" si="2053"/>
        <v>0</v>
      </c>
      <c r="FN336" s="336">
        <f t="shared" si="2054"/>
        <v>0</v>
      </c>
      <c r="FO336" s="336">
        <f t="shared" si="2055"/>
        <v>0</v>
      </c>
      <c r="FP336" s="336">
        <f t="shared" si="2056"/>
        <v>0</v>
      </c>
      <c r="FQ336" s="336">
        <f t="shared" si="2057"/>
        <v>0</v>
      </c>
      <c r="FR336" s="336">
        <f t="shared" si="2058"/>
        <v>0</v>
      </c>
      <c r="FS336" s="336">
        <f t="shared" si="2059"/>
        <v>0</v>
      </c>
      <c r="FT336" s="336">
        <f t="shared" si="2060"/>
        <v>0</v>
      </c>
      <c r="FU336" s="336">
        <f t="shared" si="2262"/>
        <v>0</v>
      </c>
      <c r="FV336" s="336">
        <f t="shared" si="2263"/>
        <v>0</v>
      </c>
      <c r="FW336" s="336">
        <f t="shared" si="2264"/>
        <v>0</v>
      </c>
      <c r="FX336" s="336">
        <f t="shared" si="2265"/>
        <v>0</v>
      </c>
      <c r="FY336" s="336">
        <f t="shared" si="2061"/>
        <v>0</v>
      </c>
      <c r="FZ336" s="336">
        <f t="shared" si="2062"/>
        <v>0</v>
      </c>
      <c r="GA336" s="336">
        <f t="shared" si="2063"/>
        <v>0</v>
      </c>
      <c r="GB336" s="336">
        <f t="shared" si="2064"/>
        <v>0</v>
      </c>
      <c r="GC336" s="336">
        <f t="shared" si="2065"/>
        <v>0</v>
      </c>
      <c r="GD336" s="336">
        <f t="shared" si="2066"/>
        <v>0</v>
      </c>
      <c r="GE336" s="336">
        <f t="shared" si="2067"/>
        <v>0</v>
      </c>
      <c r="GF336" s="336">
        <f t="shared" si="2068"/>
        <v>0</v>
      </c>
      <c r="GG336" s="336">
        <f t="shared" si="2069"/>
        <v>0</v>
      </c>
      <c r="GH336" s="336">
        <f t="shared" si="2070"/>
        <v>0</v>
      </c>
      <c r="GI336" s="336">
        <f t="shared" si="2071"/>
        <v>0</v>
      </c>
      <c r="GJ336" s="336">
        <f t="shared" si="2072"/>
        <v>0</v>
      </c>
      <c r="GK336" s="336">
        <f t="shared" si="1988"/>
        <v>0</v>
      </c>
      <c r="GL336" s="336">
        <f t="shared" si="2266"/>
        <v>0</v>
      </c>
      <c r="GM336" s="336">
        <f t="shared" si="2073"/>
        <v>0</v>
      </c>
    </row>
    <row r="337" spans="1:195">
      <c r="A337" s="388">
        <f t="shared" si="2267"/>
        <v>219</v>
      </c>
      <c r="B337" s="401" t="s">
        <v>527</v>
      </c>
      <c r="C337" s="388" t="s">
        <v>741</v>
      </c>
      <c r="D337" s="445" t="s">
        <v>767</v>
      </c>
      <c r="E337" s="502" t="s">
        <v>608</v>
      </c>
      <c r="F337" s="571" t="s">
        <v>28</v>
      </c>
      <c r="G337" s="388" t="s">
        <v>329</v>
      </c>
      <c r="H337" s="583">
        <v>3.5</v>
      </c>
      <c r="I337" s="388" t="s">
        <v>330</v>
      </c>
      <c r="J337" s="388" t="s">
        <v>357</v>
      </c>
      <c r="K337" s="434">
        <v>230</v>
      </c>
      <c r="L337" s="401">
        <v>0.85</v>
      </c>
      <c r="M337" s="418">
        <v>0.95</v>
      </c>
      <c r="N337" s="392">
        <f t="shared" si="2110"/>
        <v>18.845066630771303</v>
      </c>
      <c r="O337" s="392">
        <f t="shared" si="2111"/>
        <v>0</v>
      </c>
      <c r="P337" s="401" t="str">
        <f t="shared" si="2112"/>
        <v>0.00</v>
      </c>
      <c r="Q337" s="418">
        <v>50</v>
      </c>
      <c r="R337" s="418">
        <v>0</v>
      </c>
      <c r="S337" s="418">
        <f t="shared" si="2113"/>
        <v>0</v>
      </c>
      <c r="T337" s="401" t="s">
        <v>131</v>
      </c>
      <c r="U337" s="418" t="s">
        <v>333</v>
      </c>
      <c r="V337" s="401">
        <v>16</v>
      </c>
      <c r="W337" s="401" t="str">
        <f t="shared" si="2114"/>
        <v>3C X 16</v>
      </c>
      <c r="X337" s="401" t="str">
        <f t="shared" si="2115"/>
        <v>3C X 16</v>
      </c>
      <c r="Y337" s="401" t="s">
        <v>358</v>
      </c>
      <c r="Z337" s="393">
        <f>IF(T337="AIR",VLOOKUP(W337,'Catalogue Aluminium'!$B$9:$G$93,2,FALSE),IF(T337="GROUND",VLOOKUP(W337,'Catalogue Aluminium'!$B$9:$G$93,3,FALSE),IF(T337="DUCT",VLOOKUP(W337,'Catalogue Aluminium'!$B$9:$G$93,4,FALSE),IF(T337="TRENCH",VLOOKUP(W337,'Catalogue Aluminium'!$B$9:$G$93,2,FALSE)))))</f>
        <v>70</v>
      </c>
      <c r="AA337" s="402">
        <f>VLOOKUP(W337,'Catalogue Aluminium'!$B$9:$G$93,5,FALSE)</f>
        <v>2.44</v>
      </c>
      <c r="AB337" s="402">
        <f>VLOOKUP(W337,'Catalogue Aluminium'!$B$9:$G$93,6,FALSE)</f>
        <v>8.1500000000000003E-2</v>
      </c>
      <c r="AC337" s="457">
        <f t="shared" si="2149"/>
        <v>34</v>
      </c>
      <c r="AD337" s="388">
        <f>10</f>
        <v>10</v>
      </c>
      <c r="AE337" s="457">
        <v>10</v>
      </c>
      <c r="AF337" s="401">
        <v>8</v>
      </c>
      <c r="AG337" s="401">
        <f t="shared" si="2116"/>
        <v>7</v>
      </c>
      <c r="AH337" s="436">
        <f t="shared" si="2117"/>
        <v>69</v>
      </c>
      <c r="AI337" s="393">
        <f>IF(T337="AIR",'Catalogue Aluminium'!$K$9,IF(T337="TRENCH",'Catalogue Aluminium'!$K$12,"NA"))</f>
        <v>0.89</v>
      </c>
      <c r="AJ337" s="392">
        <f>IF(T337="Air",(IF(U337="1C",'Catalogue Aluminium'!$L$9,'Catalogue Aluminium'!$M$9)),IF(T337="DUCT",(IF($U337="1C",'Catalogue Aluminium'!$L$10,'Catalogue Aluminium'!$M$10)),IF(T337="GROUND",(IF($U337="1C",'Catalogue Aluminium'!$L$11,'Catalogue Aluminium'!$M$11)),IF(T337="TRENCH",(IF($U337="1C",'Catalogue Aluminium'!$L$12,'Catalogue Aluminium'!$M$12))))))</f>
        <v>0.66</v>
      </c>
      <c r="AK337" s="393" t="str">
        <f>IF(T337="Air",'Catalogue Aluminium'!$N$9,IF(T337="GROUND",'Catalogue Aluminium'!$N$10,IF(T337="DUCT",'Catalogue Aluminium'!$N$11,IF(T337="TRENCH",'Catalogue Aluminium'!$N$12,"NA"))))</f>
        <v>NA</v>
      </c>
      <c r="AL337" s="393" t="str">
        <f>IF(T337="Air",(IF(U337="1C",'Catalogue Aluminium'!$O$9,'Catalogue Aluminium'!$P$9)),IF(T337="DUCT",(IF($U337="1C",'Catalogue Aluminium'!$O$10,'Catalogue Aluminium'!$P$10)),IF(T337="GROUND",(IF($U337="1C",'Catalogue Aluminium'!$O$11,'Catalogue Aluminium'!$P$11)),IF(T337="TRENCH",(IF($U337="1C",'Catalogue Aluminium'!$O$12,'Catalogue Aluminium'!$P$12))))))</f>
        <v>NA</v>
      </c>
      <c r="AM337" s="393" t="str">
        <f>IF(T337="AIR","NA",IF(T337="TRENCH","NA",IF(T337="DUCT",IF(U337="1C",VLOOKUP(V337,'Catalogue Aluminium'!$Q$9:$S$28,2,FALSE),VLOOKUP(V337,'Catalogue Aluminium'!$Q$9:$S$28,3)),IF(T337="GROUND",IF(U337="1C",VLOOKUP(V337,'Catalogue Aluminium'!$Q$9:$S$28,2,FALSE),VLOOKUP(V337,'Catalogue Aluminium'!$Q$9:$S$28,3))))))</f>
        <v>NA</v>
      </c>
      <c r="AN337" s="437">
        <f t="shared" si="2118"/>
        <v>0.58740000000000003</v>
      </c>
      <c r="AO337" s="418">
        <f t="shared" si="2119"/>
        <v>41.118000000000002</v>
      </c>
      <c r="AP337" s="434">
        <f t="shared" si="2120"/>
        <v>1</v>
      </c>
      <c r="AQ337" s="418" t="str">
        <f t="shared" si="2121"/>
        <v>YES</v>
      </c>
      <c r="AR337" s="437">
        <f t="shared" si="2122"/>
        <v>2.0729395095826004</v>
      </c>
      <c r="AS337" s="401" t="str">
        <f t="shared" si="2123"/>
        <v>YES</v>
      </c>
      <c r="AT337" s="437" t="str">
        <f t="shared" si="2124"/>
        <v>NA</v>
      </c>
      <c r="AU337" s="401" t="str">
        <f t="shared" si="2125"/>
        <v>NA</v>
      </c>
      <c r="AV337" s="503" t="str">
        <f t="shared" si="2126"/>
        <v>1R x 0.6/1kV x 3C x 16 Sqmm</v>
      </c>
      <c r="AW337" s="503" t="str">
        <f t="shared" si="2127"/>
        <v>1R x 0.6/1kV x 3C x 16 Sqmm</v>
      </c>
      <c r="AX337" s="401">
        <f t="shared" si="2394"/>
        <v>69</v>
      </c>
      <c r="AY337" s="504"/>
      <c r="AZ337" s="504">
        <f t="shared" si="2260"/>
        <v>2</v>
      </c>
      <c r="BA337" s="438" t="str">
        <f t="shared" si="2268"/>
        <v/>
      </c>
      <c r="BB337" s="505">
        <f>VLOOKUP(W337,'Catalogue Aluminium'!$B$9:$H$93,7,FALSE)</f>
        <v>19</v>
      </c>
      <c r="BC337" s="439">
        <f t="shared" si="2261"/>
        <v>19</v>
      </c>
      <c r="BE337" s="336"/>
      <c r="BF337" s="336"/>
      <c r="BG337" s="336"/>
      <c r="BH337" s="336"/>
      <c r="BI337" s="336"/>
      <c r="BJ337" s="336"/>
      <c r="BK337" s="336"/>
      <c r="BL337" s="336"/>
      <c r="BM337" s="336"/>
      <c r="BN337" s="336"/>
      <c r="BO337" s="336"/>
      <c r="BP337" s="336"/>
      <c r="BQ337" s="336"/>
      <c r="BR337" s="336"/>
      <c r="BS337" s="336"/>
      <c r="BT337" s="336"/>
      <c r="BU337" s="336"/>
      <c r="BV337" s="336"/>
      <c r="BW337" s="336"/>
      <c r="BX337" s="336"/>
      <c r="BY337" s="336"/>
      <c r="BZ337" s="336"/>
      <c r="CA337" s="336"/>
      <c r="CB337" s="336"/>
      <c r="CC337" s="336"/>
      <c r="CD337" s="336"/>
      <c r="CE337" s="336"/>
      <c r="CF337" s="336"/>
      <c r="CG337" s="336"/>
      <c r="CH337" s="336"/>
      <c r="CI337" s="336"/>
      <c r="CJ337" s="336"/>
      <c r="CK337" s="336"/>
      <c r="CL337" s="336"/>
      <c r="CM337" s="336"/>
      <c r="CN337" s="336"/>
      <c r="CO337" s="336"/>
      <c r="CP337" s="336"/>
      <c r="CQ337" s="336"/>
      <c r="CR337" s="336"/>
      <c r="CS337" s="336"/>
      <c r="CT337" s="336"/>
      <c r="CU337" s="336"/>
      <c r="CV337" s="336"/>
      <c r="CW337" s="336"/>
      <c r="CX337" s="336"/>
      <c r="CY337" s="336"/>
      <c r="CZ337" s="336"/>
      <c r="DA337" s="336"/>
      <c r="DB337" s="336"/>
      <c r="DC337" s="336"/>
      <c r="DD337" s="336"/>
      <c r="DE337" s="336"/>
      <c r="DF337" s="336"/>
      <c r="DG337" s="336"/>
      <c r="DH337" s="336"/>
      <c r="DI337" s="336"/>
      <c r="DJ337" s="336"/>
      <c r="DK337" s="336"/>
      <c r="DL337" s="336"/>
      <c r="DM337" s="336"/>
      <c r="DN337" s="336"/>
      <c r="DO337" s="336"/>
      <c r="DP337" s="336"/>
      <c r="DQ337" s="336"/>
      <c r="DR337" s="336"/>
      <c r="DS337" s="336"/>
      <c r="DT337" s="336"/>
      <c r="DU337" s="336"/>
      <c r="DW337" s="336">
        <f t="shared" si="2108"/>
        <v>0</v>
      </c>
      <c r="DX337" s="336">
        <f t="shared" si="2102"/>
        <v>0</v>
      </c>
      <c r="DY337" s="336">
        <f t="shared" si="2103"/>
        <v>0</v>
      </c>
      <c r="DZ337" s="336">
        <f t="shared" si="2104"/>
        <v>0</v>
      </c>
      <c r="EA337" s="336">
        <f t="shared" si="2105"/>
        <v>0</v>
      </c>
      <c r="EB337" s="336">
        <f t="shared" si="2106"/>
        <v>0</v>
      </c>
      <c r="EC337" s="336">
        <f t="shared" si="2107"/>
        <v>0</v>
      </c>
      <c r="ED337" s="336">
        <f t="shared" si="2019"/>
        <v>0</v>
      </c>
      <c r="EE337" s="336">
        <f t="shared" si="2020"/>
        <v>0</v>
      </c>
      <c r="EF337" s="336">
        <f t="shared" si="2021"/>
        <v>0</v>
      </c>
      <c r="EG337" s="336">
        <f t="shared" si="2022"/>
        <v>0</v>
      </c>
      <c r="EH337" s="336">
        <f t="shared" si="2023"/>
        <v>0</v>
      </c>
      <c r="EI337" s="336">
        <f t="shared" si="2024"/>
        <v>0</v>
      </c>
      <c r="EJ337" s="336">
        <f t="shared" si="2025"/>
        <v>0</v>
      </c>
      <c r="EK337" s="336">
        <f t="shared" si="2026"/>
        <v>0</v>
      </c>
      <c r="EL337" s="336">
        <f t="shared" si="2027"/>
        <v>0</v>
      </c>
      <c r="EM337" s="336">
        <f t="shared" si="2028"/>
        <v>0</v>
      </c>
      <c r="EN337" s="336">
        <f t="shared" si="2029"/>
        <v>0</v>
      </c>
      <c r="EO337" s="336">
        <f t="shared" si="2030"/>
        <v>0</v>
      </c>
      <c r="EP337" s="336">
        <f t="shared" si="2031"/>
        <v>0</v>
      </c>
      <c r="EQ337" s="336">
        <f t="shared" si="2032"/>
        <v>0</v>
      </c>
      <c r="ER337" s="336">
        <f t="shared" si="2033"/>
        <v>0</v>
      </c>
      <c r="ES337" s="336">
        <f t="shared" si="2034"/>
        <v>0</v>
      </c>
      <c r="ET337" s="336">
        <f t="shared" si="2034"/>
        <v>0</v>
      </c>
      <c r="EU337" s="336">
        <f t="shared" si="2035"/>
        <v>0</v>
      </c>
      <c r="EV337" s="336">
        <f t="shared" si="2036"/>
        <v>0</v>
      </c>
      <c r="EW337" s="336">
        <f t="shared" si="2037"/>
        <v>0</v>
      </c>
      <c r="EX337" s="336">
        <f t="shared" si="2038"/>
        <v>0</v>
      </c>
      <c r="EY337" s="336">
        <f t="shared" si="2039"/>
        <v>0</v>
      </c>
      <c r="EZ337" s="336">
        <f t="shared" si="2040"/>
        <v>0</v>
      </c>
      <c r="FA337" s="336">
        <f t="shared" si="2041"/>
        <v>0</v>
      </c>
      <c r="FB337" s="336">
        <f t="shared" si="2042"/>
        <v>0</v>
      </c>
      <c r="FC337" s="336">
        <f t="shared" si="2043"/>
        <v>0</v>
      </c>
      <c r="FD337" s="336">
        <f t="shared" si="2044"/>
        <v>0</v>
      </c>
      <c r="FE337" s="336">
        <f t="shared" si="2045"/>
        <v>0</v>
      </c>
      <c r="FF337" s="336">
        <f t="shared" si="2046"/>
        <v>0</v>
      </c>
      <c r="FG337" s="336">
        <f t="shared" si="2047"/>
        <v>0</v>
      </c>
      <c r="FH337" s="336">
        <f t="shared" si="2048"/>
        <v>0</v>
      </c>
      <c r="FI337" s="336">
        <f t="shared" si="2049"/>
        <v>0</v>
      </c>
      <c r="FJ337" s="336">
        <f t="shared" si="2050"/>
        <v>0</v>
      </c>
      <c r="FK337" s="336">
        <f t="shared" si="2051"/>
        <v>0</v>
      </c>
      <c r="FL337" s="336">
        <f t="shared" si="2052"/>
        <v>0</v>
      </c>
      <c r="FM337" s="336">
        <f t="shared" si="2053"/>
        <v>0</v>
      </c>
      <c r="FN337" s="336">
        <f t="shared" si="2054"/>
        <v>0</v>
      </c>
      <c r="FO337" s="336">
        <f t="shared" si="2055"/>
        <v>0</v>
      </c>
      <c r="FP337" s="336">
        <f t="shared" si="2056"/>
        <v>0</v>
      </c>
      <c r="FQ337" s="336">
        <f t="shared" si="2057"/>
        <v>0</v>
      </c>
      <c r="FR337" s="336">
        <f t="shared" si="2058"/>
        <v>0</v>
      </c>
      <c r="FS337" s="336">
        <f t="shared" si="2059"/>
        <v>0</v>
      </c>
      <c r="FT337" s="336">
        <f t="shared" si="2060"/>
        <v>0</v>
      </c>
      <c r="FU337" s="336">
        <f t="shared" si="2262"/>
        <v>0</v>
      </c>
      <c r="FV337" s="336">
        <f t="shared" si="2263"/>
        <v>0</v>
      </c>
      <c r="FW337" s="336">
        <f t="shared" si="2264"/>
        <v>0</v>
      </c>
      <c r="FX337" s="336">
        <f t="shared" si="2265"/>
        <v>0</v>
      </c>
      <c r="FY337" s="336">
        <f t="shared" si="2061"/>
        <v>0</v>
      </c>
      <c r="FZ337" s="336">
        <f t="shared" si="2062"/>
        <v>0</v>
      </c>
      <c r="GA337" s="336">
        <f t="shared" si="2063"/>
        <v>0</v>
      </c>
      <c r="GB337" s="336">
        <f t="shared" si="2064"/>
        <v>0</v>
      </c>
      <c r="GC337" s="336">
        <f t="shared" si="2065"/>
        <v>0</v>
      </c>
      <c r="GD337" s="336">
        <f t="shared" si="2066"/>
        <v>0</v>
      </c>
      <c r="GE337" s="336">
        <f t="shared" si="2067"/>
        <v>0</v>
      </c>
      <c r="GF337" s="336">
        <f t="shared" si="2068"/>
        <v>0</v>
      </c>
      <c r="GG337" s="336">
        <f t="shared" si="2069"/>
        <v>0</v>
      </c>
      <c r="GH337" s="336">
        <f t="shared" si="2070"/>
        <v>0</v>
      </c>
      <c r="GI337" s="336">
        <f t="shared" si="2071"/>
        <v>0</v>
      </c>
      <c r="GJ337" s="336">
        <f t="shared" si="2072"/>
        <v>0</v>
      </c>
      <c r="GK337" s="336">
        <f t="shared" si="1988"/>
        <v>0</v>
      </c>
      <c r="GL337" s="336">
        <f t="shared" si="2266"/>
        <v>0</v>
      </c>
      <c r="GM337" s="336">
        <f t="shared" si="2073"/>
        <v>0</v>
      </c>
    </row>
    <row r="338" spans="1:195">
      <c r="A338" s="388">
        <f t="shared" si="2267"/>
        <v>220</v>
      </c>
      <c r="B338" s="401" t="s">
        <v>527</v>
      </c>
      <c r="C338" s="388" t="s">
        <v>741</v>
      </c>
      <c r="D338" s="445" t="s">
        <v>768</v>
      </c>
      <c r="E338" s="502" t="s">
        <v>608</v>
      </c>
      <c r="F338" s="571" t="s">
        <v>28</v>
      </c>
      <c r="G338" s="388" t="s">
        <v>329</v>
      </c>
      <c r="H338" s="583">
        <v>3.5</v>
      </c>
      <c r="I338" s="388" t="s">
        <v>330</v>
      </c>
      <c r="J338" s="388" t="s">
        <v>357</v>
      </c>
      <c r="K338" s="434">
        <v>230</v>
      </c>
      <c r="L338" s="401">
        <v>0.85</v>
      </c>
      <c r="M338" s="418">
        <v>0.95</v>
      </c>
      <c r="N338" s="392">
        <f t="shared" si="2110"/>
        <v>18.845066630771303</v>
      </c>
      <c r="O338" s="392">
        <f t="shared" si="2111"/>
        <v>0</v>
      </c>
      <c r="P338" s="401" t="str">
        <f t="shared" si="2112"/>
        <v>0.00</v>
      </c>
      <c r="Q338" s="418">
        <v>50</v>
      </c>
      <c r="R338" s="418">
        <v>0</v>
      </c>
      <c r="S338" s="418">
        <f t="shared" si="2113"/>
        <v>0</v>
      </c>
      <c r="T338" s="401" t="s">
        <v>131</v>
      </c>
      <c r="U338" s="418" t="s">
        <v>333</v>
      </c>
      <c r="V338" s="401">
        <v>16</v>
      </c>
      <c r="W338" s="401" t="str">
        <f t="shared" si="2114"/>
        <v>3C X 16</v>
      </c>
      <c r="X338" s="401" t="str">
        <f t="shared" si="2115"/>
        <v>3C X 16</v>
      </c>
      <c r="Y338" s="401" t="s">
        <v>358</v>
      </c>
      <c r="Z338" s="393">
        <f>IF(T338="AIR",VLOOKUP(W338,'Catalogue Aluminium'!$B$9:$G$93,2,FALSE),IF(T338="GROUND",VLOOKUP(W338,'Catalogue Aluminium'!$B$9:$G$93,3,FALSE),IF(T338="DUCT",VLOOKUP(W338,'Catalogue Aluminium'!$B$9:$G$93,4,FALSE),IF(T338="TRENCH",VLOOKUP(W338,'Catalogue Aluminium'!$B$9:$G$93,2,FALSE)))))</f>
        <v>70</v>
      </c>
      <c r="AA338" s="402">
        <f>VLOOKUP(W338,'Catalogue Aluminium'!$B$9:$G$93,5,FALSE)</f>
        <v>2.44</v>
      </c>
      <c r="AB338" s="402">
        <f>VLOOKUP(W338,'Catalogue Aluminium'!$B$9:$G$93,6,FALSE)</f>
        <v>8.1500000000000003E-2</v>
      </c>
      <c r="AC338" s="457">
        <f t="shared" si="2149"/>
        <v>34</v>
      </c>
      <c r="AD338" s="388">
        <f>10</f>
        <v>10</v>
      </c>
      <c r="AE338" s="457">
        <v>10</v>
      </c>
      <c r="AF338" s="401">
        <v>8</v>
      </c>
      <c r="AG338" s="401">
        <f t="shared" si="2116"/>
        <v>7</v>
      </c>
      <c r="AH338" s="436">
        <f t="shared" si="2117"/>
        <v>69</v>
      </c>
      <c r="AI338" s="393">
        <f>IF(T338="AIR",'Catalogue Aluminium'!$K$9,IF(T338="TRENCH",'Catalogue Aluminium'!$K$12,"NA"))</f>
        <v>0.89</v>
      </c>
      <c r="AJ338" s="392">
        <f>IF(T338="Air",(IF(U338="1C",'Catalogue Aluminium'!$L$9,'Catalogue Aluminium'!$M$9)),IF(T338="DUCT",(IF($U338="1C",'Catalogue Aluminium'!$L$10,'Catalogue Aluminium'!$M$10)),IF(T338="GROUND",(IF($U338="1C",'Catalogue Aluminium'!$L$11,'Catalogue Aluminium'!$M$11)),IF(T338="TRENCH",(IF($U338="1C",'Catalogue Aluminium'!$L$12,'Catalogue Aluminium'!$M$12))))))</f>
        <v>0.66</v>
      </c>
      <c r="AK338" s="393" t="str">
        <f>IF(T338="Air",'Catalogue Aluminium'!$N$9,IF(T338="GROUND",'Catalogue Aluminium'!$N$10,IF(T338="DUCT",'Catalogue Aluminium'!$N$11,IF(T338="TRENCH",'Catalogue Aluminium'!$N$12,"NA"))))</f>
        <v>NA</v>
      </c>
      <c r="AL338" s="393" t="str">
        <f>IF(T338="Air",(IF(U338="1C",'Catalogue Aluminium'!$O$9,'Catalogue Aluminium'!$P$9)),IF(T338="DUCT",(IF($U338="1C",'Catalogue Aluminium'!$O$10,'Catalogue Aluminium'!$P$10)),IF(T338="GROUND",(IF($U338="1C",'Catalogue Aluminium'!$O$11,'Catalogue Aluminium'!$P$11)),IF(T338="TRENCH",(IF($U338="1C",'Catalogue Aluminium'!$O$12,'Catalogue Aluminium'!$P$12))))))</f>
        <v>NA</v>
      </c>
      <c r="AM338" s="393" t="str">
        <f>IF(T338="AIR","NA",IF(T338="TRENCH","NA",IF(T338="DUCT",IF(U338="1C",VLOOKUP(V338,'Catalogue Aluminium'!$Q$9:$S$28,2,FALSE),VLOOKUP(V338,'Catalogue Aluminium'!$Q$9:$S$28,3)),IF(T338="GROUND",IF(U338="1C",VLOOKUP(V338,'Catalogue Aluminium'!$Q$9:$S$28,2,FALSE),VLOOKUP(V338,'Catalogue Aluminium'!$Q$9:$S$28,3))))))</f>
        <v>NA</v>
      </c>
      <c r="AN338" s="437">
        <f t="shared" si="2118"/>
        <v>0.58740000000000003</v>
      </c>
      <c r="AO338" s="418">
        <f t="shared" si="2119"/>
        <v>41.118000000000002</v>
      </c>
      <c r="AP338" s="434">
        <f t="shared" si="2120"/>
        <v>1</v>
      </c>
      <c r="AQ338" s="418" t="str">
        <f t="shared" si="2121"/>
        <v>YES</v>
      </c>
      <c r="AR338" s="437">
        <f t="shared" si="2122"/>
        <v>2.0729395095826004</v>
      </c>
      <c r="AS338" s="401" t="str">
        <f t="shared" si="2123"/>
        <v>YES</v>
      </c>
      <c r="AT338" s="437" t="str">
        <f t="shared" si="2124"/>
        <v>NA</v>
      </c>
      <c r="AU338" s="401" t="str">
        <f t="shared" si="2125"/>
        <v>NA</v>
      </c>
      <c r="AV338" s="503" t="str">
        <f t="shared" si="2126"/>
        <v>1R x 0.6/1kV x 3C x 16 Sqmm</v>
      </c>
      <c r="AW338" s="503" t="str">
        <f t="shared" si="2127"/>
        <v>1R x 0.6/1kV x 3C x 16 Sqmm</v>
      </c>
      <c r="AX338" s="401">
        <f t="shared" si="2394"/>
        <v>69</v>
      </c>
      <c r="AY338" s="504"/>
      <c r="AZ338" s="504">
        <f t="shared" si="2260"/>
        <v>2</v>
      </c>
      <c r="BA338" s="438" t="str">
        <f t="shared" si="2268"/>
        <v/>
      </c>
      <c r="BB338" s="505">
        <f>VLOOKUP(W338,'Catalogue Aluminium'!$B$9:$H$93,7,FALSE)</f>
        <v>19</v>
      </c>
      <c r="BC338" s="439">
        <f t="shared" si="2261"/>
        <v>19</v>
      </c>
      <c r="BE338" s="336"/>
      <c r="BF338" s="336"/>
      <c r="BG338" s="336"/>
      <c r="BH338" s="336"/>
      <c r="BI338" s="336"/>
      <c r="BJ338" s="336"/>
      <c r="BK338" s="336"/>
      <c r="BL338" s="336"/>
      <c r="BM338" s="336"/>
      <c r="BN338" s="336"/>
      <c r="BO338" s="336"/>
      <c r="BP338" s="336"/>
      <c r="BQ338" s="336"/>
      <c r="BR338" s="336"/>
      <c r="BS338" s="336"/>
      <c r="BT338" s="336"/>
      <c r="BU338" s="336"/>
      <c r="BV338" s="336"/>
      <c r="BW338" s="336"/>
      <c r="BX338" s="336"/>
      <c r="BY338" s="336"/>
      <c r="BZ338" s="336"/>
      <c r="CA338" s="336"/>
      <c r="CB338" s="336"/>
      <c r="CC338" s="336"/>
      <c r="CD338" s="336"/>
      <c r="CE338" s="336"/>
      <c r="CF338" s="336"/>
      <c r="CG338" s="336"/>
      <c r="CH338" s="336"/>
      <c r="CI338" s="336"/>
      <c r="CJ338" s="336"/>
      <c r="CK338" s="336"/>
      <c r="CL338" s="336"/>
      <c r="CM338" s="336"/>
      <c r="CN338" s="336"/>
      <c r="CO338" s="336"/>
      <c r="CP338" s="336"/>
      <c r="CQ338" s="336"/>
      <c r="CR338" s="336"/>
      <c r="CS338" s="336"/>
      <c r="CT338" s="336"/>
      <c r="CU338" s="336"/>
      <c r="CV338" s="336"/>
      <c r="CW338" s="336"/>
      <c r="CX338" s="336"/>
      <c r="CY338" s="336"/>
      <c r="CZ338" s="336"/>
      <c r="DA338" s="336"/>
      <c r="DB338" s="336"/>
      <c r="DC338" s="336"/>
      <c r="DD338" s="336"/>
      <c r="DE338" s="336"/>
      <c r="DF338" s="336"/>
      <c r="DG338" s="336"/>
      <c r="DH338" s="336"/>
      <c r="DI338" s="336"/>
      <c r="DJ338" s="336"/>
      <c r="DK338" s="336"/>
      <c r="DL338" s="336"/>
      <c r="DM338" s="336"/>
      <c r="DN338" s="336"/>
      <c r="DO338" s="336"/>
      <c r="DP338" s="336"/>
      <c r="DQ338" s="336"/>
      <c r="DR338" s="336"/>
      <c r="DS338" s="336"/>
      <c r="DT338" s="336"/>
      <c r="DU338" s="336"/>
      <c r="DW338" s="336">
        <f t="shared" si="2108"/>
        <v>0</v>
      </c>
      <c r="DX338" s="336">
        <f t="shared" si="2102"/>
        <v>0</v>
      </c>
      <c r="DY338" s="336">
        <f t="shared" si="2103"/>
        <v>0</v>
      </c>
      <c r="DZ338" s="336">
        <f t="shared" si="2104"/>
        <v>0</v>
      </c>
      <c r="EA338" s="336">
        <f t="shared" si="2105"/>
        <v>0</v>
      </c>
      <c r="EB338" s="336">
        <f t="shared" si="2106"/>
        <v>0</v>
      </c>
      <c r="EC338" s="336">
        <f t="shared" si="2107"/>
        <v>0</v>
      </c>
      <c r="ED338" s="336">
        <f t="shared" si="2019"/>
        <v>0</v>
      </c>
      <c r="EE338" s="336">
        <f t="shared" si="2020"/>
        <v>0</v>
      </c>
      <c r="EF338" s="336">
        <f t="shared" si="2021"/>
        <v>0</v>
      </c>
      <c r="EG338" s="336">
        <f t="shared" si="2022"/>
        <v>0</v>
      </c>
      <c r="EH338" s="336">
        <f t="shared" si="2023"/>
        <v>0</v>
      </c>
      <c r="EI338" s="336">
        <f t="shared" si="2024"/>
        <v>0</v>
      </c>
      <c r="EJ338" s="336">
        <f t="shared" si="2025"/>
        <v>0</v>
      </c>
      <c r="EK338" s="336">
        <f t="shared" si="2026"/>
        <v>0</v>
      </c>
      <c r="EL338" s="336">
        <f t="shared" si="2027"/>
        <v>0</v>
      </c>
      <c r="EM338" s="336">
        <f t="shared" si="2028"/>
        <v>0</v>
      </c>
      <c r="EN338" s="336">
        <f t="shared" si="2029"/>
        <v>0</v>
      </c>
      <c r="EO338" s="336">
        <f t="shared" si="2030"/>
        <v>0</v>
      </c>
      <c r="EP338" s="336">
        <f t="shared" si="2031"/>
        <v>0</v>
      </c>
      <c r="EQ338" s="336">
        <f t="shared" si="2032"/>
        <v>0</v>
      </c>
      <c r="ER338" s="336">
        <f t="shared" si="2033"/>
        <v>0</v>
      </c>
      <c r="ES338" s="336">
        <f t="shared" si="2034"/>
        <v>0</v>
      </c>
      <c r="ET338" s="336">
        <f t="shared" si="2034"/>
        <v>0</v>
      </c>
      <c r="EU338" s="336">
        <f t="shared" si="2035"/>
        <v>0</v>
      </c>
      <c r="EV338" s="336">
        <f t="shared" si="2036"/>
        <v>0</v>
      </c>
      <c r="EW338" s="336">
        <f t="shared" si="2037"/>
        <v>0</v>
      </c>
      <c r="EX338" s="336">
        <f t="shared" si="2038"/>
        <v>0</v>
      </c>
      <c r="EY338" s="336">
        <f t="shared" si="2039"/>
        <v>0</v>
      </c>
      <c r="EZ338" s="336">
        <f t="shared" si="2040"/>
        <v>0</v>
      </c>
      <c r="FA338" s="336">
        <f t="shared" si="2041"/>
        <v>0</v>
      </c>
      <c r="FB338" s="336">
        <f t="shared" si="2042"/>
        <v>0</v>
      </c>
      <c r="FC338" s="336">
        <f t="shared" si="2043"/>
        <v>0</v>
      </c>
      <c r="FD338" s="336">
        <f t="shared" si="2044"/>
        <v>0</v>
      </c>
      <c r="FE338" s="336">
        <f t="shared" si="2045"/>
        <v>0</v>
      </c>
      <c r="FF338" s="336">
        <f t="shared" si="2046"/>
        <v>0</v>
      </c>
      <c r="FG338" s="336">
        <f t="shared" si="2047"/>
        <v>0</v>
      </c>
      <c r="FH338" s="336">
        <f t="shared" si="2048"/>
        <v>0</v>
      </c>
      <c r="FI338" s="336">
        <f t="shared" si="2049"/>
        <v>0</v>
      </c>
      <c r="FJ338" s="336">
        <f t="shared" si="2050"/>
        <v>0</v>
      </c>
      <c r="FK338" s="336">
        <f t="shared" si="2051"/>
        <v>0</v>
      </c>
      <c r="FL338" s="336">
        <f t="shared" si="2052"/>
        <v>0</v>
      </c>
      <c r="FM338" s="336">
        <f t="shared" si="2053"/>
        <v>0</v>
      </c>
      <c r="FN338" s="336">
        <f t="shared" si="2054"/>
        <v>0</v>
      </c>
      <c r="FO338" s="336">
        <f t="shared" si="2055"/>
        <v>0</v>
      </c>
      <c r="FP338" s="336">
        <f t="shared" si="2056"/>
        <v>0</v>
      </c>
      <c r="FQ338" s="336">
        <f t="shared" si="2057"/>
        <v>0</v>
      </c>
      <c r="FR338" s="336">
        <f t="shared" si="2058"/>
        <v>0</v>
      </c>
      <c r="FS338" s="336">
        <f t="shared" si="2059"/>
        <v>0</v>
      </c>
      <c r="FT338" s="336">
        <f t="shared" si="2060"/>
        <v>0</v>
      </c>
      <c r="FU338" s="336">
        <f t="shared" si="2262"/>
        <v>0</v>
      </c>
      <c r="FV338" s="336">
        <f t="shared" si="2263"/>
        <v>0</v>
      </c>
      <c r="FW338" s="336">
        <f t="shared" si="2264"/>
        <v>0</v>
      </c>
      <c r="FX338" s="336">
        <f t="shared" si="2265"/>
        <v>0</v>
      </c>
      <c r="FY338" s="336">
        <f t="shared" si="2061"/>
        <v>0</v>
      </c>
      <c r="FZ338" s="336">
        <f t="shared" si="2062"/>
        <v>0</v>
      </c>
      <c r="GA338" s="336">
        <f t="shared" si="2063"/>
        <v>0</v>
      </c>
      <c r="GB338" s="336">
        <f t="shared" si="2064"/>
        <v>0</v>
      </c>
      <c r="GC338" s="336">
        <f t="shared" si="2065"/>
        <v>0</v>
      </c>
      <c r="GD338" s="336">
        <f t="shared" si="2066"/>
        <v>0</v>
      </c>
      <c r="GE338" s="336">
        <f t="shared" si="2067"/>
        <v>0</v>
      </c>
      <c r="GF338" s="336">
        <f t="shared" si="2068"/>
        <v>0</v>
      </c>
      <c r="GG338" s="336">
        <f t="shared" si="2069"/>
        <v>0</v>
      </c>
      <c r="GH338" s="336">
        <f t="shared" si="2070"/>
        <v>0</v>
      </c>
      <c r="GI338" s="336">
        <f t="shared" si="2071"/>
        <v>0</v>
      </c>
      <c r="GJ338" s="336">
        <f t="shared" si="2072"/>
        <v>0</v>
      </c>
      <c r="GK338" s="336">
        <f t="shared" si="1988"/>
        <v>0</v>
      </c>
      <c r="GL338" s="336">
        <f t="shared" si="2266"/>
        <v>0</v>
      </c>
      <c r="GM338" s="336">
        <f t="shared" si="2073"/>
        <v>0</v>
      </c>
    </row>
    <row r="339" spans="1:195">
      <c r="A339" s="388">
        <f t="shared" si="2267"/>
        <v>221</v>
      </c>
      <c r="B339" s="401" t="s">
        <v>527</v>
      </c>
      <c r="C339" s="388" t="s">
        <v>741</v>
      </c>
      <c r="D339" s="445" t="s">
        <v>769</v>
      </c>
      <c r="E339" s="502" t="s">
        <v>608</v>
      </c>
      <c r="F339" s="571" t="s">
        <v>28</v>
      </c>
      <c r="G339" s="388" t="s">
        <v>329</v>
      </c>
      <c r="H339" s="583">
        <v>3.5</v>
      </c>
      <c r="I339" s="388" t="s">
        <v>330</v>
      </c>
      <c r="J339" s="388" t="s">
        <v>357</v>
      </c>
      <c r="K339" s="434">
        <v>230</v>
      </c>
      <c r="L339" s="401">
        <v>0.85</v>
      </c>
      <c r="M339" s="418">
        <v>0.95</v>
      </c>
      <c r="N339" s="392">
        <f t="shared" si="2110"/>
        <v>18.845066630771303</v>
      </c>
      <c r="O339" s="392">
        <f t="shared" si="2111"/>
        <v>0</v>
      </c>
      <c r="P339" s="401" t="str">
        <f t="shared" si="2112"/>
        <v>0.00</v>
      </c>
      <c r="Q339" s="418">
        <v>50</v>
      </c>
      <c r="R339" s="418">
        <v>0</v>
      </c>
      <c r="S339" s="418">
        <f t="shared" si="2113"/>
        <v>0</v>
      </c>
      <c r="T339" s="401" t="s">
        <v>131</v>
      </c>
      <c r="U339" s="418" t="s">
        <v>333</v>
      </c>
      <c r="V339" s="401">
        <v>16</v>
      </c>
      <c r="W339" s="401" t="str">
        <f t="shared" si="2114"/>
        <v>3C X 16</v>
      </c>
      <c r="X339" s="401" t="str">
        <f t="shared" si="2115"/>
        <v>3C X 16</v>
      </c>
      <c r="Y339" s="401" t="s">
        <v>358</v>
      </c>
      <c r="Z339" s="393">
        <f>IF(T339="AIR",VLOOKUP(W339,'Catalogue Aluminium'!$B$9:$G$93,2,FALSE),IF(T339="GROUND",VLOOKUP(W339,'Catalogue Aluminium'!$B$9:$G$93,3,FALSE),IF(T339="DUCT",VLOOKUP(W339,'Catalogue Aluminium'!$B$9:$G$93,4,FALSE),IF(T339="TRENCH",VLOOKUP(W339,'Catalogue Aluminium'!$B$9:$G$93,2,FALSE)))))</f>
        <v>70</v>
      </c>
      <c r="AA339" s="402">
        <f>VLOOKUP(W339,'Catalogue Aluminium'!$B$9:$G$93,5,FALSE)</f>
        <v>2.44</v>
      </c>
      <c r="AB339" s="402">
        <f>VLOOKUP(W339,'Catalogue Aluminium'!$B$9:$G$93,6,FALSE)</f>
        <v>8.1500000000000003E-2</v>
      </c>
      <c r="AC339" s="457">
        <f t="shared" si="2149"/>
        <v>34</v>
      </c>
      <c r="AD339" s="388">
        <f>10</f>
        <v>10</v>
      </c>
      <c r="AE339" s="457">
        <v>10</v>
      </c>
      <c r="AF339" s="401">
        <v>8</v>
      </c>
      <c r="AG339" s="401">
        <f t="shared" si="2116"/>
        <v>7</v>
      </c>
      <c r="AH339" s="436">
        <f t="shared" si="2117"/>
        <v>69</v>
      </c>
      <c r="AI339" s="393">
        <f>IF(T339="AIR",'Catalogue Aluminium'!$K$9,IF(T339="TRENCH",'Catalogue Aluminium'!$K$12,"NA"))</f>
        <v>0.89</v>
      </c>
      <c r="AJ339" s="392">
        <f>IF(T339="Air",(IF(U339="1C",'Catalogue Aluminium'!$L$9,'Catalogue Aluminium'!$M$9)),IF(T339="DUCT",(IF($U339="1C",'Catalogue Aluminium'!$L$10,'Catalogue Aluminium'!$M$10)),IF(T339="GROUND",(IF($U339="1C",'Catalogue Aluminium'!$L$11,'Catalogue Aluminium'!$M$11)),IF(T339="TRENCH",(IF($U339="1C",'Catalogue Aluminium'!$L$12,'Catalogue Aluminium'!$M$12))))))</f>
        <v>0.66</v>
      </c>
      <c r="AK339" s="393" t="str">
        <f>IF(T339="Air",'Catalogue Aluminium'!$N$9,IF(T339="GROUND",'Catalogue Aluminium'!$N$10,IF(T339="DUCT",'Catalogue Aluminium'!$N$11,IF(T339="TRENCH",'Catalogue Aluminium'!$N$12,"NA"))))</f>
        <v>NA</v>
      </c>
      <c r="AL339" s="393" t="str">
        <f>IF(T339="Air",(IF(U339="1C",'Catalogue Aluminium'!$O$9,'Catalogue Aluminium'!$P$9)),IF(T339="DUCT",(IF($U339="1C",'Catalogue Aluminium'!$O$10,'Catalogue Aluminium'!$P$10)),IF(T339="GROUND",(IF($U339="1C",'Catalogue Aluminium'!$O$11,'Catalogue Aluminium'!$P$11)),IF(T339="TRENCH",(IF($U339="1C",'Catalogue Aluminium'!$O$12,'Catalogue Aluminium'!$P$12))))))</f>
        <v>NA</v>
      </c>
      <c r="AM339" s="393" t="str">
        <f>IF(T339="AIR","NA",IF(T339="TRENCH","NA",IF(T339="DUCT",IF(U339="1C",VLOOKUP(V339,'Catalogue Aluminium'!$Q$9:$S$28,2,FALSE),VLOOKUP(V339,'Catalogue Aluminium'!$Q$9:$S$28,3)),IF(T339="GROUND",IF(U339="1C",VLOOKUP(V339,'Catalogue Aluminium'!$Q$9:$S$28,2,FALSE),VLOOKUP(V339,'Catalogue Aluminium'!$Q$9:$S$28,3))))))</f>
        <v>NA</v>
      </c>
      <c r="AN339" s="437">
        <f t="shared" si="2118"/>
        <v>0.58740000000000003</v>
      </c>
      <c r="AO339" s="418">
        <f t="shared" si="2119"/>
        <v>41.118000000000002</v>
      </c>
      <c r="AP339" s="434">
        <f t="shared" si="2120"/>
        <v>1</v>
      </c>
      <c r="AQ339" s="418" t="str">
        <f t="shared" si="2121"/>
        <v>YES</v>
      </c>
      <c r="AR339" s="437">
        <f t="shared" si="2122"/>
        <v>2.0729395095826004</v>
      </c>
      <c r="AS339" s="401" t="str">
        <f t="shared" si="2123"/>
        <v>YES</v>
      </c>
      <c r="AT339" s="437" t="str">
        <f t="shared" si="2124"/>
        <v>NA</v>
      </c>
      <c r="AU339" s="401" t="str">
        <f t="shared" si="2125"/>
        <v>NA</v>
      </c>
      <c r="AV339" s="503" t="str">
        <f t="shared" si="2126"/>
        <v>1R x 0.6/1kV x 3C x 16 Sqmm</v>
      </c>
      <c r="AW339" s="503" t="str">
        <f t="shared" si="2127"/>
        <v>1R x 0.6/1kV x 3C x 16 Sqmm</v>
      </c>
      <c r="AX339" s="401">
        <f t="shared" si="2394"/>
        <v>69</v>
      </c>
      <c r="AY339" s="504"/>
      <c r="AZ339" s="504">
        <f t="shared" si="2260"/>
        <v>2</v>
      </c>
      <c r="BA339" s="438" t="str">
        <f t="shared" si="2268"/>
        <v/>
      </c>
      <c r="BB339" s="505">
        <f>VLOOKUP(W339,'Catalogue Aluminium'!$B$9:$H$93,7,FALSE)</f>
        <v>19</v>
      </c>
      <c r="BC339" s="439">
        <f t="shared" si="2261"/>
        <v>19</v>
      </c>
      <c r="BE339" s="336"/>
      <c r="BF339" s="336"/>
      <c r="BG339" s="336"/>
      <c r="BH339" s="336"/>
      <c r="BI339" s="336"/>
      <c r="BJ339" s="336"/>
      <c r="BK339" s="336"/>
      <c r="BL339" s="336"/>
      <c r="BM339" s="336"/>
      <c r="BN339" s="336"/>
      <c r="BO339" s="336"/>
      <c r="BP339" s="336"/>
      <c r="BQ339" s="336"/>
      <c r="BR339" s="336"/>
      <c r="BS339" s="336"/>
      <c r="BT339" s="336"/>
      <c r="BU339" s="336"/>
      <c r="BV339" s="336"/>
      <c r="BW339" s="336"/>
      <c r="BX339" s="336"/>
      <c r="BY339" s="336"/>
      <c r="BZ339" s="336"/>
      <c r="CA339" s="336"/>
      <c r="CB339" s="336"/>
      <c r="CC339" s="336"/>
      <c r="CD339" s="336"/>
      <c r="CE339" s="336"/>
      <c r="CF339" s="336"/>
      <c r="CG339" s="336"/>
      <c r="CH339" s="336"/>
      <c r="CI339" s="336"/>
      <c r="CJ339" s="336"/>
      <c r="CK339" s="336"/>
      <c r="CL339" s="336"/>
      <c r="CM339" s="336"/>
      <c r="CN339" s="336"/>
      <c r="CO339" s="336"/>
      <c r="CP339" s="336"/>
      <c r="CQ339" s="336"/>
      <c r="CR339" s="336"/>
      <c r="CS339" s="336"/>
      <c r="CT339" s="336"/>
      <c r="CU339" s="336"/>
      <c r="CV339" s="336"/>
      <c r="CW339" s="336"/>
      <c r="CX339" s="336"/>
      <c r="CY339" s="336"/>
      <c r="CZ339" s="336"/>
      <c r="DA339" s="336"/>
      <c r="DB339" s="336"/>
      <c r="DC339" s="336"/>
      <c r="DD339" s="336"/>
      <c r="DE339" s="336"/>
      <c r="DF339" s="336"/>
      <c r="DG339" s="336"/>
      <c r="DH339" s="336"/>
      <c r="DI339" s="336"/>
      <c r="DJ339" s="336"/>
      <c r="DK339" s="336"/>
      <c r="DL339" s="336"/>
      <c r="DM339" s="336"/>
      <c r="DN339" s="336"/>
      <c r="DO339" s="336"/>
      <c r="DP339" s="336"/>
      <c r="DQ339" s="336"/>
      <c r="DR339" s="336"/>
      <c r="DS339" s="336"/>
      <c r="DT339" s="336"/>
      <c r="DU339" s="336"/>
      <c r="DW339" s="336">
        <f t="shared" si="2108"/>
        <v>0</v>
      </c>
      <c r="DX339" s="336">
        <f t="shared" si="2102"/>
        <v>0</v>
      </c>
      <c r="DY339" s="336">
        <f t="shared" si="2103"/>
        <v>0</v>
      </c>
      <c r="DZ339" s="336">
        <f t="shared" si="2104"/>
        <v>0</v>
      </c>
      <c r="EA339" s="336">
        <f t="shared" si="2105"/>
        <v>0</v>
      </c>
      <c r="EB339" s="336">
        <f t="shared" si="2106"/>
        <v>0</v>
      </c>
      <c r="EC339" s="336">
        <f t="shared" si="2107"/>
        <v>0</v>
      </c>
      <c r="ED339" s="336">
        <f t="shared" si="2019"/>
        <v>0</v>
      </c>
      <c r="EE339" s="336">
        <f t="shared" si="2020"/>
        <v>0</v>
      </c>
      <c r="EF339" s="336">
        <f t="shared" si="2021"/>
        <v>0</v>
      </c>
      <c r="EG339" s="336">
        <f t="shared" si="2022"/>
        <v>0</v>
      </c>
      <c r="EH339" s="336">
        <f t="shared" si="2023"/>
        <v>0</v>
      </c>
      <c r="EI339" s="336">
        <f t="shared" si="2024"/>
        <v>0</v>
      </c>
      <c r="EJ339" s="336">
        <f t="shared" si="2025"/>
        <v>0</v>
      </c>
      <c r="EK339" s="336">
        <f t="shared" si="2026"/>
        <v>0</v>
      </c>
      <c r="EL339" s="336">
        <f t="shared" si="2027"/>
        <v>0</v>
      </c>
      <c r="EM339" s="336">
        <f t="shared" si="2028"/>
        <v>0</v>
      </c>
      <c r="EN339" s="336">
        <f t="shared" si="2029"/>
        <v>0</v>
      </c>
      <c r="EO339" s="336">
        <f t="shared" si="2030"/>
        <v>0</v>
      </c>
      <c r="EP339" s="336">
        <f t="shared" si="2031"/>
        <v>0</v>
      </c>
      <c r="EQ339" s="336">
        <f t="shared" si="2032"/>
        <v>0</v>
      </c>
      <c r="ER339" s="336">
        <f t="shared" si="2033"/>
        <v>0</v>
      </c>
      <c r="ES339" s="336">
        <f t="shared" si="2034"/>
        <v>0</v>
      </c>
      <c r="ET339" s="336">
        <f t="shared" si="2034"/>
        <v>0</v>
      </c>
      <c r="EU339" s="336">
        <f t="shared" si="2035"/>
        <v>0</v>
      </c>
      <c r="EV339" s="336">
        <f t="shared" si="2036"/>
        <v>0</v>
      </c>
      <c r="EW339" s="336">
        <f t="shared" si="2037"/>
        <v>0</v>
      </c>
      <c r="EX339" s="336">
        <f t="shared" si="2038"/>
        <v>0</v>
      </c>
      <c r="EY339" s="336">
        <f t="shared" si="2039"/>
        <v>0</v>
      </c>
      <c r="EZ339" s="336">
        <f t="shared" si="2040"/>
        <v>0</v>
      </c>
      <c r="FA339" s="336">
        <f t="shared" si="2041"/>
        <v>0</v>
      </c>
      <c r="FB339" s="336">
        <f t="shared" si="2042"/>
        <v>0</v>
      </c>
      <c r="FC339" s="336">
        <f t="shared" si="2043"/>
        <v>0</v>
      </c>
      <c r="FD339" s="336">
        <f t="shared" si="2044"/>
        <v>0</v>
      </c>
      <c r="FE339" s="336">
        <f t="shared" si="2045"/>
        <v>0</v>
      </c>
      <c r="FF339" s="336">
        <f t="shared" si="2046"/>
        <v>0</v>
      </c>
      <c r="FG339" s="336">
        <f t="shared" si="2047"/>
        <v>0</v>
      </c>
      <c r="FH339" s="336">
        <f t="shared" si="2048"/>
        <v>0</v>
      </c>
      <c r="FI339" s="336">
        <f t="shared" si="2049"/>
        <v>0</v>
      </c>
      <c r="FJ339" s="336">
        <f t="shared" si="2050"/>
        <v>0</v>
      </c>
      <c r="FK339" s="336">
        <f t="shared" si="2051"/>
        <v>0</v>
      </c>
      <c r="FL339" s="336">
        <f t="shared" si="2052"/>
        <v>0</v>
      </c>
      <c r="FM339" s="336">
        <f t="shared" si="2053"/>
        <v>0</v>
      </c>
      <c r="FN339" s="336">
        <f t="shared" si="2054"/>
        <v>0</v>
      </c>
      <c r="FO339" s="336">
        <f t="shared" si="2055"/>
        <v>0</v>
      </c>
      <c r="FP339" s="336">
        <f t="shared" si="2056"/>
        <v>0</v>
      </c>
      <c r="FQ339" s="336">
        <f t="shared" si="2057"/>
        <v>0</v>
      </c>
      <c r="FR339" s="336">
        <f t="shared" si="2058"/>
        <v>0</v>
      </c>
      <c r="FS339" s="336">
        <f t="shared" si="2059"/>
        <v>0</v>
      </c>
      <c r="FT339" s="336">
        <f t="shared" si="2060"/>
        <v>0</v>
      </c>
      <c r="FU339" s="336">
        <f t="shared" si="2262"/>
        <v>0</v>
      </c>
      <c r="FV339" s="336">
        <f t="shared" si="2263"/>
        <v>0</v>
      </c>
      <c r="FW339" s="336">
        <f t="shared" si="2264"/>
        <v>0</v>
      </c>
      <c r="FX339" s="336">
        <f t="shared" si="2265"/>
        <v>0</v>
      </c>
      <c r="FY339" s="336">
        <f t="shared" si="2061"/>
        <v>0</v>
      </c>
      <c r="FZ339" s="336">
        <f t="shared" si="2062"/>
        <v>0</v>
      </c>
      <c r="GA339" s="336">
        <f t="shared" si="2063"/>
        <v>0</v>
      </c>
      <c r="GB339" s="336">
        <f t="shared" si="2064"/>
        <v>0</v>
      </c>
      <c r="GC339" s="336">
        <f t="shared" si="2065"/>
        <v>0</v>
      </c>
      <c r="GD339" s="336">
        <f t="shared" si="2066"/>
        <v>0</v>
      </c>
      <c r="GE339" s="336">
        <f t="shared" si="2067"/>
        <v>0</v>
      </c>
      <c r="GF339" s="336">
        <f t="shared" si="2068"/>
        <v>0</v>
      </c>
      <c r="GG339" s="336">
        <f t="shared" si="2069"/>
        <v>0</v>
      </c>
      <c r="GH339" s="336">
        <f t="shared" si="2070"/>
        <v>0</v>
      </c>
      <c r="GI339" s="336">
        <f t="shared" si="2071"/>
        <v>0</v>
      </c>
      <c r="GJ339" s="336">
        <f t="shared" si="2072"/>
        <v>0</v>
      </c>
      <c r="GK339" s="336">
        <f t="shared" si="1988"/>
        <v>0</v>
      </c>
      <c r="GL339" s="336">
        <f t="shared" si="2266"/>
        <v>0</v>
      </c>
      <c r="GM339" s="336">
        <f t="shared" si="2073"/>
        <v>0</v>
      </c>
    </row>
    <row r="340" spans="1:195" s="914" customFormat="1">
      <c r="A340" s="373"/>
      <c r="B340" s="376"/>
      <c r="C340" s="373"/>
      <c r="D340" s="812" t="s">
        <v>1746</v>
      </c>
      <c r="E340" s="509"/>
      <c r="F340" s="572"/>
      <c r="G340" s="373"/>
      <c r="H340" s="382"/>
      <c r="I340" s="373"/>
      <c r="J340" s="373"/>
      <c r="K340" s="381"/>
      <c r="L340" s="376"/>
      <c r="M340" s="382"/>
      <c r="N340" s="375"/>
      <c r="O340" s="375"/>
      <c r="P340" s="376"/>
      <c r="Q340" s="382"/>
      <c r="R340" s="382"/>
      <c r="S340" s="382"/>
      <c r="T340" s="376"/>
      <c r="U340" s="382"/>
      <c r="V340" s="376"/>
      <c r="W340" s="376"/>
      <c r="X340" s="376"/>
      <c r="Y340" s="376"/>
      <c r="Z340" s="377"/>
      <c r="AA340" s="378"/>
      <c r="AB340" s="378"/>
      <c r="AC340" s="379"/>
      <c r="AD340" s="373"/>
      <c r="AE340" s="379"/>
      <c r="AF340" s="376"/>
      <c r="AG340" s="376"/>
      <c r="AH340" s="380"/>
      <c r="AI340" s="377"/>
      <c r="AJ340" s="375"/>
      <c r="AK340" s="377"/>
      <c r="AL340" s="377"/>
      <c r="AM340" s="377"/>
      <c r="AN340" s="383"/>
      <c r="AO340" s="382"/>
      <c r="AP340" s="381"/>
      <c r="AQ340" s="382"/>
      <c r="AR340" s="383"/>
      <c r="AS340" s="376"/>
      <c r="AT340" s="383"/>
      <c r="AU340" s="376"/>
      <c r="AV340" s="384"/>
      <c r="AW340" s="384"/>
      <c r="AX340" s="376"/>
      <c r="AY340" s="385"/>
      <c r="AZ340" s="385"/>
      <c r="BA340" s="386"/>
      <c r="BB340" s="739"/>
      <c r="BC340" s="740"/>
      <c r="BE340" s="513"/>
      <c r="BF340" s="513"/>
      <c r="BG340" s="513"/>
      <c r="BH340" s="513"/>
      <c r="BI340" s="513"/>
      <c r="BJ340" s="513"/>
      <c r="BK340" s="513"/>
      <c r="BL340" s="513"/>
      <c r="BM340" s="513"/>
      <c r="BN340" s="513"/>
      <c r="BO340" s="513"/>
      <c r="BP340" s="513"/>
      <c r="BQ340" s="513"/>
      <c r="BR340" s="513"/>
      <c r="BS340" s="513"/>
      <c r="BT340" s="513"/>
      <c r="BU340" s="513"/>
      <c r="BV340" s="513"/>
      <c r="BW340" s="513"/>
      <c r="BX340" s="513"/>
      <c r="BY340" s="513"/>
      <c r="BZ340" s="513"/>
      <c r="CA340" s="513"/>
      <c r="CB340" s="513"/>
      <c r="CC340" s="513"/>
      <c r="CD340" s="513"/>
      <c r="CE340" s="513"/>
      <c r="CF340" s="513"/>
      <c r="CG340" s="513"/>
      <c r="CH340" s="513"/>
      <c r="CI340" s="513"/>
      <c r="CJ340" s="513"/>
      <c r="CK340" s="513"/>
      <c r="CL340" s="513"/>
      <c r="CM340" s="513"/>
      <c r="CN340" s="513"/>
      <c r="CO340" s="513"/>
      <c r="CP340" s="513"/>
      <c r="CQ340" s="513"/>
      <c r="CR340" s="513"/>
      <c r="CS340" s="513"/>
      <c r="CT340" s="513"/>
      <c r="CU340" s="513"/>
      <c r="CV340" s="513"/>
      <c r="CW340" s="513"/>
      <c r="CX340" s="513"/>
      <c r="CY340" s="513"/>
      <c r="CZ340" s="513"/>
      <c r="DA340" s="513"/>
      <c r="DB340" s="513"/>
      <c r="DC340" s="513"/>
      <c r="DD340" s="513"/>
      <c r="DE340" s="513"/>
      <c r="DF340" s="513"/>
      <c r="DG340" s="513"/>
      <c r="DH340" s="513"/>
      <c r="DI340" s="513"/>
      <c r="DJ340" s="513"/>
      <c r="DK340" s="513"/>
      <c r="DL340" s="513"/>
      <c r="DM340" s="513"/>
      <c r="DN340" s="513"/>
      <c r="DO340" s="513"/>
      <c r="DP340" s="513"/>
      <c r="DQ340" s="513"/>
      <c r="DR340" s="513"/>
      <c r="DS340" s="513"/>
      <c r="DT340" s="513"/>
      <c r="DU340" s="513"/>
      <c r="DW340" s="513"/>
      <c r="DX340" s="513"/>
      <c r="DY340" s="513"/>
      <c r="DZ340" s="513"/>
      <c r="EA340" s="513"/>
      <c r="EB340" s="513"/>
      <c r="EC340" s="513"/>
      <c r="ED340" s="513"/>
      <c r="EE340" s="513"/>
      <c r="EF340" s="513"/>
      <c r="EG340" s="513"/>
      <c r="EH340" s="513"/>
      <c r="EI340" s="513"/>
      <c r="EJ340" s="513"/>
      <c r="EK340" s="513"/>
      <c r="EL340" s="513"/>
      <c r="EM340" s="513"/>
      <c r="EN340" s="513"/>
      <c r="EO340" s="513"/>
      <c r="EP340" s="513"/>
      <c r="EQ340" s="513"/>
      <c r="ER340" s="513"/>
      <c r="ES340" s="513"/>
      <c r="ET340" s="513"/>
      <c r="EU340" s="513"/>
      <c r="EV340" s="513"/>
      <c r="EW340" s="513"/>
      <c r="EX340" s="513"/>
      <c r="EY340" s="513"/>
      <c r="EZ340" s="513"/>
      <c r="FA340" s="513"/>
      <c r="FB340" s="513"/>
      <c r="FC340" s="513"/>
      <c r="FD340" s="513"/>
      <c r="FE340" s="513"/>
      <c r="FF340" s="513"/>
      <c r="FG340" s="513"/>
      <c r="FH340" s="513"/>
      <c r="FI340" s="513"/>
      <c r="FJ340" s="513"/>
      <c r="FK340" s="513"/>
      <c r="FL340" s="513"/>
      <c r="FM340" s="513"/>
      <c r="FN340" s="513"/>
      <c r="FO340" s="513"/>
      <c r="FP340" s="513"/>
      <c r="FQ340" s="513"/>
      <c r="FR340" s="513"/>
      <c r="FS340" s="513"/>
      <c r="FT340" s="513"/>
      <c r="FU340" s="513"/>
      <c r="FV340" s="513"/>
      <c r="FW340" s="513"/>
      <c r="FX340" s="513"/>
      <c r="FY340" s="513"/>
      <c r="FZ340" s="513"/>
      <c r="GA340" s="513"/>
      <c r="GB340" s="513"/>
      <c r="GC340" s="513"/>
      <c r="GD340" s="513"/>
      <c r="GE340" s="513"/>
      <c r="GF340" s="513"/>
      <c r="GG340" s="513"/>
      <c r="GH340" s="513"/>
      <c r="GI340" s="513"/>
      <c r="GJ340" s="513"/>
      <c r="GK340" s="513"/>
      <c r="GL340" s="513"/>
      <c r="GM340" s="513"/>
    </row>
    <row r="341" spans="1:195" s="914" customFormat="1">
      <c r="A341" s="373"/>
      <c r="B341" s="376"/>
      <c r="C341" s="373"/>
      <c r="D341" s="812" t="s">
        <v>1747</v>
      </c>
      <c r="E341" s="509"/>
      <c r="F341" s="572"/>
      <c r="G341" s="373"/>
      <c r="H341" s="382"/>
      <c r="I341" s="373"/>
      <c r="J341" s="373"/>
      <c r="K341" s="381"/>
      <c r="L341" s="376"/>
      <c r="M341" s="382"/>
      <c r="N341" s="375"/>
      <c r="O341" s="375"/>
      <c r="P341" s="376"/>
      <c r="Q341" s="382"/>
      <c r="R341" s="382"/>
      <c r="S341" s="382"/>
      <c r="T341" s="376"/>
      <c r="U341" s="382"/>
      <c r="V341" s="376"/>
      <c r="W341" s="376"/>
      <c r="X341" s="376"/>
      <c r="Y341" s="376"/>
      <c r="Z341" s="377"/>
      <c r="AA341" s="378"/>
      <c r="AB341" s="378"/>
      <c r="AC341" s="379"/>
      <c r="AD341" s="373"/>
      <c r="AE341" s="379"/>
      <c r="AF341" s="376"/>
      <c r="AG341" s="376"/>
      <c r="AH341" s="380"/>
      <c r="AI341" s="377"/>
      <c r="AJ341" s="375"/>
      <c r="AK341" s="377"/>
      <c r="AL341" s="377"/>
      <c r="AM341" s="377"/>
      <c r="AN341" s="383"/>
      <c r="AO341" s="382"/>
      <c r="AP341" s="381"/>
      <c r="AQ341" s="382"/>
      <c r="AR341" s="383"/>
      <c r="AS341" s="376"/>
      <c r="AT341" s="383"/>
      <c r="AU341" s="376"/>
      <c r="AV341" s="384"/>
      <c r="AW341" s="384"/>
      <c r="AX341" s="376"/>
      <c r="AY341" s="385"/>
      <c r="AZ341" s="385"/>
      <c r="BA341" s="386"/>
      <c r="BB341" s="739"/>
      <c r="BC341" s="740"/>
      <c r="BE341" s="513"/>
      <c r="BF341" s="513"/>
      <c r="BG341" s="513"/>
      <c r="BH341" s="513"/>
      <c r="BI341" s="513"/>
      <c r="BJ341" s="513"/>
      <c r="BK341" s="513"/>
      <c r="BL341" s="513"/>
      <c r="BM341" s="513"/>
      <c r="BN341" s="513"/>
      <c r="BO341" s="513"/>
      <c r="BP341" s="513"/>
      <c r="BQ341" s="513"/>
      <c r="BR341" s="513"/>
      <c r="BS341" s="513"/>
      <c r="BT341" s="513"/>
      <c r="BU341" s="513"/>
      <c r="BV341" s="513"/>
      <c r="BW341" s="513"/>
      <c r="BX341" s="513"/>
      <c r="BY341" s="513"/>
      <c r="BZ341" s="513"/>
      <c r="CA341" s="513"/>
      <c r="CB341" s="513"/>
      <c r="CC341" s="513"/>
      <c r="CD341" s="513"/>
      <c r="CE341" s="513"/>
      <c r="CF341" s="513"/>
      <c r="CG341" s="513"/>
      <c r="CH341" s="513"/>
      <c r="CI341" s="513"/>
      <c r="CJ341" s="513"/>
      <c r="CK341" s="513"/>
      <c r="CL341" s="513"/>
      <c r="CM341" s="513"/>
      <c r="CN341" s="513"/>
      <c r="CO341" s="513"/>
      <c r="CP341" s="513"/>
      <c r="CQ341" s="513"/>
      <c r="CR341" s="513"/>
      <c r="CS341" s="513"/>
      <c r="CT341" s="513"/>
      <c r="CU341" s="513"/>
      <c r="CV341" s="513"/>
      <c r="CW341" s="513"/>
      <c r="CX341" s="513"/>
      <c r="CY341" s="513"/>
      <c r="CZ341" s="513"/>
      <c r="DA341" s="513"/>
      <c r="DB341" s="513"/>
      <c r="DC341" s="513"/>
      <c r="DD341" s="513"/>
      <c r="DE341" s="513"/>
      <c r="DF341" s="513"/>
      <c r="DG341" s="513"/>
      <c r="DH341" s="513"/>
      <c r="DI341" s="513"/>
      <c r="DJ341" s="513"/>
      <c r="DK341" s="513"/>
      <c r="DL341" s="513"/>
      <c r="DM341" s="513"/>
      <c r="DN341" s="513"/>
      <c r="DO341" s="513"/>
      <c r="DP341" s="513"/>
      <c r="DQ341" s="513"/>
      <c r="DR341" s="513"/>
      <c r="DS341" s="513"/>
      <c r="DT341" s="513"/>
      <c r="DU341" s="513"/>
      <c r="DW341" s="513"/>
      <c r="DX341" s="513"/>
      <c r="DY341" s="513"/>
      <c r="DZ341" s="513"/>
      <c r="EA341" s="513"/>
      <c r="EB341" s="513"/>
      <c r="EC341" s="513"/>
      <c r="ED341" s="513"/>
      <c r="EE341" s="513"/>
      <c r="EF341" s="513"/>
      <c r="EG341" s="513"/>
      <c r="EH341" s="513"/>
      <c r="EI341" s="513"/>
      <c r="EJ341" s="513"/>
      <c r="EK341" s="513"/>
      <c r="EL341" s="513"/>
      <c r="EM341" s="513"/>
      <c r="EN341" s="513"/>
      <c r="EO341" s="513"/>
      <c r="EP341" s="513"/>
      <c r="EQ341" s="513"/>
      <c r="ER341" s="513"/>
      <c r="ES341" s="513"/>
      <c r="ET341" s="513"/>
      <c r="EU341" s="513"/>
      <c r="EV341" s="513"/>
      <c r="EW341" s="513"/>
      <c r="EX341" s="513"/>
      <c r="EY341" s="513"/>
      <c r="EZ341" s="513"/>
      <c r="FA341" s="513"/>
      <c r="FB341" s="513"/>
      <c r="FC341" s="513"/>
      <c r="FD341" s="513"/>
      <c r="FE341" s="513"/>
      <c r="FF341" s="513"/>
      <c r="FG341" s="513"/>
      <c r="FH341" s="513"/>
      <c r="FI341" s="513"/>
      <c r="FJ341" s="513"/>
      <c r="FK341" s="513"/>
      <c r="FL341" s="513"/>
      <c r="FM341" s="513"/>
      <c r="FN341" s="513"/>
      <c r="FO341" s="513"/>
      <c r="FP341" s="513"/>
      <c r="FQ341" s="513"/>
      <c r="FR341" s="513"/>
      <c r="FS341" s="513"/>
      <c r="FT341" s="513"/>
      <c r="FU341" s="513"/>
      <c r="FV341" s="513"/>
      <c r="FW341" s="513"/>
      <c r="FX341" s="513"/>
      <c r="FY341" s="513"/>
      <c r="FZ341" s="513"/>
      <c r="GA341" s="513"/>
      <c r="GB341" s="513"/>
      <c r="GC341" s="513"/>
      <c r="GD341" s="513"/>
      <c r="GE341" s="513"/>
      <c r="GF341" s="513"/>
      <c r="GG341" s="513"/>
      <c r="GH341" s="513"/>
      <c r="GI341" s="513"/>
      <c r="GJ341" s="513"/>
      <c r="GK341" s="513"/>
      <c r="GL341" s="513"/>
      <c r="GM341" s="513"/>
    </row>
    <row r="342" spans="1:195" s="869" customFormat="1">
      <c r="A342" s="406">
        <f>1+A339</f>
        <v>222</v>
      </c>
      <c r="B342" s="409" t="s">
        <v>527</v>
      </c>
      <c r="C342" s="406" t="s">
        <v>741</v>
      </c>
      <c r="D342" s="901" t="s">
        <v>1748</v>
      </c>
      <c r="E342" s="580" t="s">
        <v>555</v>
      </c>
      <c r="F342" s="582" t="s">
        <v>28</v>
      </c>
      <c r="G342" s="406" t="s">
        <v>329</v>
      </c>
      <c r="H342" s="583">
        <v>18</v>
      </c>
      <c r="I342" s="406" t="s">
        <v>330</v>
      </c>
      <c r="J342" s="406" t="s">
        <v>357</v>
      </c>
      <c r="K342" s="585">
        <v>230</v>
      </c>
      <c r="L342" s="409">
        <v>0.85</v>
      </c>
      <c r="M342" s="583">
        <v>0.95</v>
      </c>
      <c r="N342" s="407">
        <v>18.845066630771303</v>
      </c>
      <c r="O342" s="407">
        <v>0</v>
      </c>
      <c r="P342" s="409" t="str">
        <f t="shared" ref="P342:P345" si="2395">IF(G342="MOTOR",0.2,"0.00")</f>
        <v>0.00</v>
      </c>
      <c r="Q342" s="583">
        <v>50</v>
      </c>
      <c r="R342" s="583">
        <v>0</v>
      </c>
      <c r="S342" s="583">
        <f t="shared" ref="S342:S345" si="2396">(Q342*1000*SQRT(R342)/143)</f>
        <v>0</v>
      </c>
      <c r="T342" s="409" t="s">
        <v>131</v>
      </c>
      <c r="U342" s="583" t="s">
        <v>333</v>
      </c>
      <c r="V342" s="409">
        <v>25</v>
      </c>
      <c r="W342" s="409" t="str">
        <f t="shared" ref="W342:W345" si="2397">CONCATENATE(U342," X ",V342)</f>
        <v>3C X 25</v>
      </c>
      <c r="X342" s="409" t="str">
        <f t="shared" ref="X342:X345" si="2398">(IF(J342="1Ph",W342,IF(J342="3Ph",(IF(G342="MOTOR",(CONCATENATE(W342,"+PE")),W342)))))</f>
        <v>3C X 25</v>
      </c>
      <c r="Y342" s="409" t="s">
        <v>358</v>
      </c>
      <c r="Z342" s="408">
        <f>IF(T342="AIR",VLOOKUP(W342,'Catalogue Aluminium'!$B$9:$G$93,2,FALSE),IF(T342="GROUND",VLOOKUP(W342,'Catalogue Aluminium'!$B$9:$G$93,3,FALSE),IF(T342="DUCT",VLOOKUP(W342,'Catalogue Aluminium'!$B$9:$G$93,4,FALSE),IF(T342="TRENCH",VLOOKUP(W342,'Catalogue Aluminium'!$B$9:$G$93,2,FALSE)))))</f>
        <v>95</v>
      </c>
      <c r="AA342" s="410">
        <f>VLOOKUP(W342,'Catalogue Aluminium'!$B$9:$G$93,5,FALSE)</f>
        <v>1.54</v>
      </c>
      <c r="AB342" s="410">
        <f>VLOOKUP(W342,'Catalogue Aluminium'!$B$9:$G$93,6,FALSE)</f>
        <v>8.1600000000000006E-2</v>
      </c>
      <c r="AC342" s="896">
        <f t="shared" si="2149"/>
        <v>34</v>
      </c>
      <c r="AD342" s="406">
        <f t="shared" ref="AD342:AD345" si="2399">31+10</f>
        <v>41</v>
      </c>
      <c r="AE342" s="896">
        <v>10</v>
      </c>
      <c r="AF342" s="409">
        <v>8</v>
      </c>
      <c r="AG342" s="409">
        <f t="shared" ref="AG342:AG345" si="2400">ROUNDUP((SUM(AC342:AF342)*0.1),0)</f>
        <v>10</v>
      </c>
      <c r="AH342" s="865">
        <f t="shared" ref="AH342:AH345" si="2401">SUM(AC342:AG342)</f>
        <v>103</v>
      </c>
      <c r="AI342" s="408">
        <f>IF(T342="AIR",'Catalogue Aluminium'!$K$9,IF(T342="TRENCH",'Catalogue Aluminium'!$K$12,"NA"))</f>
        <v>0.89</v>
      </c>
      <c r="AJ342" s="407">
        <f>IF(T342="Air",(IF(U342="1C",'Catalogue Aluminium'!$L$9,'Catalogue Aluminium'!$M$9)),IF(T342="DUCT",(IF($U342="1C",'Catalogue Aluminium'!$L$10,'Catalogue Aluminium'!$M$10)),IF(T342="GROUND",(IF($U342="1C",'Catalogue Aluminium'!$L$11,'Catalogue Aluminium'!$M$11)),IF(T342="TRENCH",(IF($U342="1C",'Catalogue Aluminium'!$L$12,'Catalogue Aluminium'!$M$12))))))</f>
        <v>0.66</v>
      </c>
      <c r="AK342" s="408" t="str">
        <f>IF(T342="Air",'Catalogue Aluminium'!$N$9,IF(T342="GROUND",'Catalogue Aluminium'!$N$10,IF(T342="DUCT",'Catalogue Aluminium'!$N$11,IF(T342="TRENCH",'Catalogue Aluminium'!$N$12,"NA"))))</f>
        <v>NA</v>
      </c>
      <c r="AL342" s="408" t="str">
        <f>IF(T342="Air",(IF(U342="1C",'Catalogue Aluminium'!$O$9,'Catalogue Aluminium'!$P$9)),IF(T342="DUCT",(IF($U342="1C",'Catalogue Aluminium'!$O$10,'Catalogue Aluminium'!$P$10)),IF(T342="GROUND",(IF($U342="1C",'Catalogue Aluminium'!$O$11,'Catalogue Aluminium'!$P$11)),IF(T342="TRENCH",(IF($U342="1C",'Catalogue Aluminium'!$O$12,'Catalogue Aluminium'!$P$12))))))</f>
        <v>NA</v>
      </c>
      <c r="AM342" s="408" t="str">
        <f>IF(T342="AIR","NA",IF(T342="TRENCH","NA",IF(T342="DUCT",IF(U342="1C",VLOOKUP(V342,'Catalogue Aluminium'!$Q$9:$S$28,2,FALSE),VLOOKUP(V342,'Catalogue Aluminium'!$Q$9:$S$28,3)),IF(T342="GROUND",IF(U342="1C",VLOOKUP(V342,'Catalogue Aluminium'!$Q$9:$S$28,2,FALSE),VLOOKUP(V342,'Catalogue Aluminium'!$Q$9:$S$28,3))))))</f>
        <v>NA</v>
      </c>
      <c r="AN342" s="584">
        <f t="shared" ref="AN342:AN345" si="2402">IF(T342="AIR",AI342*AJ342,IF(T342="TRENCH",AI342*AJ342,IF(T342="DUCT",AJ342*AK342*AL342*AM342,IF(T342="GROUND",AJ342*AK342*AL342*AM342))))</f>
        <v>0.58740000000000003</v>
      </c>
      <c r="AO342" s="583">
        <f t="shared" ref="AO342:AO345" si="2403">Z342*AN342</f>
        <v>55.803000000000004</v>
      </c>
      <c r="AP342" s="585">
        <f t="shared" ref="AP342:AP345" si="2404">CEILING(((N342)/AO342),1)</f>
        <v>1</v>
      </c>
      <c r="AQ342" s="583" t="str">
        <f t="shared" ref="AQ342:AQ345" si="2405">IF(AO342*AP342&gt;=N342,"YES","NO")</f>
        <v>YES</v>
      </c>
      <c r="AR342" s="584">
        <f t="shared" ref="AR342:AR345" si="2406">SQRT(3)*AH342*N342*((AA342*L342)+(AB342*SIN(ACOS(L342))))*100/(AP342*K342*1000)</f>
        <v>1.9762401426431155</v>
      </c>
      <c r="AS342" s="409" t="str">
        <f t="shared" ref="AS342:AS345" si="2407">IF(G342="INCOMER",(IF(AR342&lt;=2,"YES","NO")),IF(G342="POWER",(IF(AR342&lt;=2.5,"YES","NO")),IF(G342="MOTOR",(IF(AR342&lt;=3,"YES","NO")))))</f>
        <v>YES</v>
      </c>
      <c r="AT342" s="584" t="str">
        <f t="shared" ref="AT342:AT345" si="2408">IF(G342="MOTOR",(SQRT(3)*AH342*O342*((AA342*P342)+(AB342*SIN(ACOS(P342))))*100/(AP342*K342*1000)),"NA")</f>
        <v>NA</v>
      </c>
      <c r="AU342" s="409" t="str">
        <f t="shared" ref="AU342:AU345" si="2409">IF(G342="MOTOR",IF(AT342&lt;=15,"YES","NO"),"NA")</f>
        <v>NA</v>
      </c>
      <c r="AV342" s="586" t="str">
        <f t="shared" ref="AV342:AV345" si="2410">IF(U342="1C",CONCATENATE(AP342,"R x ",Y342,"kV x ",U342," x ",V342," Sqmm/Phase"),CONCATENATE(AP342,"R x ",0.6,"/1kV x ",U342," x ",V342," Sqmm"))</f>
        <v>1R x 0.6/1kV x 3C x 25 Sqmm</v>
      </c>
      <c r="AW342" s="586" t="str">
        <f t="shared" ref="AW342:AW345" si="2411">IF(U342="1C",CONCATENATE(AP342,"R x ",Y342,"kV x ",U342," x ",V342," Sqmm/Phase"),CONCATENATE(AP342,"R x ",0.6,"/1kV x ",U342," x ",V342,(IF(G342="MOTOR","+PE",""))," Sqmm"))</f>
        <v>1R x 0.6/1kV x 3C x 25 Sqmm</v>
      </c>
      <c r="AX342" s="409">
        <f t="shared" ref="AX342:AX345" si="2412">(IF(K342=400,(IF(U342="1C",(4*AH342*AP342),(AH342*AP342))),IF(K342=230,(AH342*AP342))))</f>
        <v>103</v>
      </c>
      <c r="AY342" s="866"/>
      <c r="AZ342" s="866">
        <f t="shared" ref="AZ342:AZ345" si="2413">IF(U342="1C",(3*AP342*2),(AP342*2))</f>
        <v>2</v>
      </c>
      <c r="BA342" s="867" t="str">
        <f t="shared" ref="BA342:BA345" si="2414">CONCATENATE(IF(BE342=1,BE$4,""),IF(BF342=1,BF$4,""),IF(BG342=1,BG$4,""),IF(BH342=1,BH$4,""),IF(BI342=1,BI$4,""),IF(BJ342=1,BJ$4,""),IF(BK342=1,BK$4,""),IF(BL342=1,BL$4,""),IF(BM342=1,BM$4,""),IF(BN342=1,BN$4,""),IF(BO342=1,BO$4,""),IF(BP342=1,BP$4,""),IF(BQ342=1,BQ$4,""),IF(BR342=1,BR$4,""),IF(BS342=1,BS$4,""),IF(BT342=1,BT$4,""),IF(BU342=1,BU$4,""),IF(BV342=1,BV$4,""),IF(BW342=1,BW$4,""),IF(BX342=1,BX$4,""),IF(BY342=1,BY$4,""),IF(BZ342=1,BZ$4,""),IF(CA342=1,CA$4,""),IF(CC342=1,CC$4,""),IF(CD342=1,CD$4,""),IF(CE342=1,CE$4,""),IF(CF342=1,CF$4,""),IF(CG342=1,CG$4,""),IF(CH342=1,CH$4,""),IF(CI342=1,CI$4,""),IF(CJ342=1,CJ$4,""),IF(CK342=1,CK$4,""),IF(CL342=1,CL$4,""),IF(CM342=1,CM$4,""),IF(CN342=1,CN$4,""),IF(CO342=1,CO$4,""),IF(CP342=1,CP$4,""),IF(CQ342=1,CQ$4,""),IF(CR342=1,CR$4,""),IF(CS342=1,CS$4,""),IF(CT342=1,CT$4,""),IF(CU342=1,CU$4,""),IF(CV342=1,CV$4,""),IF(CW342=1,CW$4,""),IF(CX342=1,CX$4,""),IF(CY342=1,CY$4,""),IF(CZ342=1,CZ$4,""),IF(DA342=1,DA$4,""),IF(DB342=1,DB$4,""),IF(DC342=1,DC$4,""),IF(DD342=1,DD$4,""),IF(DE342=1,DE$4,""),IF(DF342=1,DF$4,""),IF(DG342=1,DG$4,""),IF(DH342=1,DH$4,""),IF(DI342=1,DI$4,""),IF(DJ342=1,DJ$4,""),IF(DK342=1,DK$4,""),IF(DL342=1,DL$4,""),IF(DM342=1,DM$4,""),IF(DN342=1,DN$4,""),IF(DO342=1,DO$4,""),IF(DP342=1,DP$4,""),IF(DQ342=1,DQ$4,""),IF(DR342=1,DR$4,""),IF(DS342=1,DS$4,""),IF(DT342=1,DT$4,""),IF(DU342=1,DU$4,""))</f>
        <v/>
      </c>
      <c r="BB342" s="868">
        <f>VLOOKUP(W342,'Catalogue Aluminium'!$B$9:$H$93,7,FALSE)</f>
        <v>21</v>
      </c>
      <c r="BC342" s="789">
        <f t="shared" ref="BC342:BC345" si="2415">AP342*BB342</f>
        <v>21</v>
      </c>
      <c r="BE342" s="587"/>
      <c r="BF342" s="587"/>
      <c r="BG342" s="587"/>
      <c r="BH342" s="587"/>
      <c r="BI342" s="587"/>
      <c r="BJ342" s="587"/>
      <c r="BK342" s="587"/>
      <c r="BL342" s="587"/>
      <c r="BM342" s="587"/>
      <c r="BN342" s="587"/>
      <c r="BO342" s="587"/>
      <c r="BP342" s="587"/>
      <c r="BQ342" s="587"/>
      <c r="BR342" s="587"/>
      <c r="BS342" s="587"/>
      <c r="BT342" s="587"/>
      <c r="BU342" s="587"/>
      <c r="BV342" s="587"/>
      <c r="BW342" s="587"/>
      <c r="BX342" s="587"/>
      <c r="BY342" s="587"/>
      <c r="BZ342" s="587"/>
      <c r="CA342" s="587"/>
      <c r="CB342" s="587"/>
      <c r="CC342" s="587"/>
      <c r="CD342" s="587"/>
      <c r="CE342" s="587"/>
      <c r="CF342" s="587"/>
      <c r="CG342" s="587"/>
      <c r="CH342" s="587"/>
      <c r="CI342" s="587"/>
      <c r="CJ342" s="587"/>
      <c r="CK342" s="587"/>
      <c r="CL342" s="587"/>
      <c r="CM342" s="587"/>
      <c r="CN342" s="587"/>
      <c r="CO342" s="587"/>
      <c r="CP342" s="587"/>
      <c r="CQ342" s="587"/>
      <c r="CR342" s="587"/>
      <c r="CS342" s="587"/>
      <c r="CT342" s="587"/>
      <c r="CU342" s="587"/>
      <c r="CV342" s="587"/>
      <c r="CW342" s="587"/>
      <c r="CX342" s="587"/>
      <c r="CY342" s="587"/>
      <c r="CZ342" s="587"/>
      <c r="DA342" s="587"/>
      <c r="DB342" s="587"/>
      <c r="DC342" s="587"/>
      <c r="DD342" s="587"/>
      <c r="DE342" s="587"/>
      <c r="DF342" s="587"/>
      <c r="DG342" s="587"/>
      <c r="DH342" s="587"/>
      <c r="DI342" s="587"/>
      <c r="DJ342" s="587"/>
      <c r="DK342" s="587"/>
      <c r="DL342" s="587"/>
      <c r="DM342" s="587"/>
      <c r="DN342" s="587"/>
      <c r="DO342" s="587"/>
      <c r="DP342" s="587"/>
      <c r="DQ342" s="587"/>
      <c r="DR342" s="587"/>
      <c r="DS342" s="587"/>
      <c r="DT342" s="587"/>
      <c r="DU342" s="587"/>
      <c r="DW342" s="587">
        <f t="shared" ref="DW342:DW345" si="2416">IF(BE342=1,($BC342*BE342),0)</f>
        <v>0</v>
      </c>
      <c r="DX342" s="587">
        <f t="shared" ref="DX342:DX345" si="2417">IF(BF342=1,($BC342*BF342),0)</f>
        <v>0</v>
      </c>
      <c r="DY342" s="587">
        <f t="shared" ref="DY342:DY345" si="2418">IF(BG342=1,($BC342*BG342),0)</f>
        <v>0</v>
      </c>
      <c r="DZ342" s="587">
        <f t="shared" ref="DZ342:DZ345" si="2419">IF(BH342=1,($BC342*BH342),0)</f>
        <v>0</v>
      </c>
      <c r="EA342" s="587">
        <f t="shared" ref="EA342:EA345" si="2420">IF(BI342=1,($BC342*BI342),0)</f>
        <v>0</v>
      </c>
      <c r="EB342" s="587">
        <f t="shared" ref="EB342:EB345" si="2421">IF(BJ342=1,($BC342*BJ342),0)</f>
        <v>0</v>
      </c>
      <c r="EC342" s="587">
        <f t="shared" ref="EC342:EC345" si="2422">IF(BK342=1,($BC342*BK342),0)</f>
        <v>0</v>
      </c>
      <c r="ED342" s="587">
        <f t="shared" ref="ED342:ED345" si="2423">IF(BL342=1,($BC342*BL342),0)</f>
        <v>0</v>
      </c>
      <c r="EE342" s="587">
        <f t="shared" ref="EE342:EE345" si="2424">IF(BM342=1,($BC342*BM342),0)</f>
        <v>0</v>
      </c>
      <c r="EF342" s="587">
        <f t="shared" ref="EF342:EF345" si="2425">IF(BN342=1,($BC342*BN342),0)</f>
        <v>0</v>
      </c>
      <c r="EG342" s="587">
        <f t="shared" ref="EG342:EG345" si="2426">IF(BO342=1,($BC342*BO342),0)</f>
        <v>0</v>
      </c>
      <c r="EH342" s="587">
        <f t="shared" ref="EH342:EH345" si="2427">IF(BP342=1,($BC342*BP342),0)</f>
        <v>0</v>
      </c>
      <c r="EI342" s="587">
        <f t="shared" ref="EI342:EI345" si="2428">IF(BQ342=1,($BC342*BQ342),0)</f>
        <v>0</v>
      </c>
      <c r="EJ342" s="587">
        <f t="shared" ref="EJ342:EJ345" si="2429">IF(BR342=1,($BC342*BR342),0)</f>
        <v>0</v>
      </c>
      <c r="EK342" s="587">
        <f t="shared" ref="EK342:EK345" si="2430">IF(BS342=1,($BC342*BS342),0)</f>
        <v>0</v>
      </c>
      <c r="EL342" s="587">
        <f t="shared" ref="EL342:EL345" si="2431">IF(BT342=1,($BC342*BT342),0)</f>
        <v>0</v>
      </c>
      <c r="EM342" s="587">
        <f t="shared" ref="EM342:EM345" si="2432">IF(BU342=1,($BC342*BU342),0)</f>
        <v>0</v>
      </c>
      <c r="EN342" s="587">
        <f t="shared" ref="EN342:EN345" si="2433">IF(BV342=1,($BC342*BV342),0)</f>
        <v>0</v>
      </c>
      <c r="EO342" s="587">
        <f t="shared" ref="EO342:EO345" si="2434">IF(BW342=1,($BC342*BW342),0)</f>
        <v>0</v>
      </c>
      <c r="EP342" s="587">
        <f t="shared" ref="EP342:EP345" si="2435">IF(BX342=1,($BC342*BX342),0)</f>
        <v>0</v>
      </c>
      <c r="EQ342" s="587">
        <f t="shared" ref="EQ342:EQ345" si="2436">IF(BY342=1,($BC342*BY342),0)</f>
        <v>0</v>
      </c>
      <c r="ER342" s="587">
        <f t="shared" ref="ER342:ER345" si="2437">IF(BZ342=1,($BC342*BZ342),0)</f>
        <v>0</v>
      </c>
      <c r="ES342" s="587">
        <f t="shared" ref="ES342:ES345" si="2438">IF(CA342=1,($BC342*CA342),0)</f>
        <v>0</v>
      </c>
      <c r="ET342" s="587">
        <f t="shared" ref="ET342:ET345" si="2439">IF(CB342=1,($BC342*CB342),0)</f>
        <v>0</v>
      </c>
      <c r="EU342" s="587">
        <f t="shared" ref="EU342:EU345" si="2440">IF(CC342=1,($BC342*CC342),0)</f>
        <v>0</v>
      </c>
      <c r="EV342" s="587">
        <f t="shared" ref="EV342:EV345" si="2441">IF(CD342=1,($BC342*CD342),0)</f>
        <v>0</v>
      </c>
      <c r="EW342" s="587">
        <f t="shared" ref="EW342:EW345" si="2442">IF(CE342=1,($BC342*CE342),0)</f>
        <v>0</v>
      </c>
      <c r="EX342" s="587">
        <f t="shared" ref="EX342:EX345" si="2443">IF(CF342=1,($BC342*CF342),0)</f>
        <v>0</v>
      </c>
      <c r="EY342" s="587">
        <f t="shared" ref="EY342:EY345" si="2444">IF(CG342=1,($BC342*CG342),0)</f>
        <v>0</v>
      </c>
      <c r="EZ342" s="587">
        <f t="shared" ref="EZ342:EZ345" si="2445">IF(CH342=1,($BC342*CH342),0)</f>
        <v>0</v>
      </c>
      <c r="FA342" s="587">
        <f t="shared" ref="FA342:FA345" si="2446">IF(CI342=1,($BC342*CI342),0)</f>
        <v>0</v>
      </c>
      <c r="FB342" s="587">
        <f t="shared" ref="FB342:FB345" si="2447">IF(CJ342=1,($BC342*CJ342),0)</f>
        <v>0</v>
      </c>
      <c r="FC342" s="587">
        <f t="shared" ref="FC342:FC345" si="2448">IF(CK342=1,($BC342*CK342),0)</f>
        <v>0</v>
      </c>
      <c r="FD342" s="587">
        <f t="shared" ref="FD342:FD345" si="2449">IF(CL342=1,($BC342*CL342),0)</f>
        <v>0</v>
      </c>
      <c r="FE342" s="587">
        <f t="shared" ref="FE342:FE345" si="2450">IF(CM342=1,($BC342*CM342),0)</f>
        <v>0</v>
      </c>
      <c r="FF342" s="587">
        <f t="shared" ref="FF342:FF345" si="2451">IF(CN342=1,($BC342*CN342),0)</f>
        <v>0</v>
      </c>
      <c r="FG342" s="587">
        <f t="shared" ref="FG342:FG345" si="2452">IF(CO342=1,($BC342*CO342),0)</f>
        <v>0</v>
      </c>
      <c r="FH342" s="587">
        <f t="shared" ref="FH342:FH345" si="2453">IF(CP342=1,($BC342*CP342),0)</f>
        <v>0</v>
      </c>
      <c r="FI342" s="587">
        <f t="shared" ref="FI342:FI345" si="2454">IF(CQ342=1,($BC342*CQ342),0)</f>
        <v>0</v>
      </c>
      <c r="FJ342" s="587">
        <f t="shared" ref="FJ342:FJ345" si="2455">IF(CR342=1,($BC342*CR342),0)</f>
        <v>0</v>
      </c>
      <c r="FK342" s="587">
        <f t="shared" ref="FK342:FK345" si="2456">IF(CS342=1,($BC342*CS342),0)</f>
        <v>0</v>
      </c>
      <c r="FL342" s="587">
        <f t="shared" ref="FL342:FL345" si="2457">IF(CT342=1,($BC342*CT342),0)</f>
        <v>0</v>
      </c>
      <c r="FM342" s="587">
        <f t="shared" ref="FM342:FM345" si="2458">IF(CU342=1,($BC342*CU342),0)</f>
        <v>0</v>
      </c>
      <c r="FN342" s="587">
        <f t="shared" ref="FN342:FN345" si="2459">IF(CV342=1,($BC342*CV342),0)</f>
        <v>0</v>
      </c>
      <c r="FO342" s="587">
        <f t="shared" ref="FO342:FO345" si="2460">IF(CW342=1,($BC342*CW342),0)</f>
        <v>0</v>
      </c>
      <c r="FP342" s="587">
        <f t="shared" ref="FP342:FP345" si="2461">IF(CX342=1,($BC342*CX342),0)</f>
        <v>0</v>
      </c>
      <c r="FQ342" s="587">
        <f t="shared" ref="FQ342:FQ345" si="2462">IF(CY342=1,($BC342*CY342),0)</f>
        <v>0</v>
      </c>
      <c r="FR342" s="587">
        <f t="shared" ref="FR342:FR345" si="2463">IF(CZ342=1,($BC342*CZ342),0)</f>
        <v>0</v>
      </c>
      <c r="FS342" s="587">
        <f t="shared" ref="FS342:FS345" si="2464">IF(DA342=1,($BC342*DA342),0)</f>
        <v>0</v>
      </c>
      <c r="FT342" s="587">
        <f t="shared" ref="FT342:FT345" si="2465">IF(DB342=1,($BC342*DB342),0)</f>
        <v>0</v>
      </c>
      <c r="FU342" s="587">
        <f t="shared" ref="FU342:FU345" si="2466">IF(DC342=1,($BC342*DC342),0)</f>
        <v>0</v>
      </c>
      <c r="FV342" s="587">
        <f t="shared" ref="FV342:FV345" si="2467">IF(DD342=1,($BC342*DD342),0)</f>
        <v>0</v>
      </c>
      <c r="FW342" s="587">
        <f t="shared" ref="FW342:FW345" si="2468">IF(DE342=1,($BC342*DE342),0)</f>
        <v>0</v>
      </c>
      <c r="FX342" s="587">
        <f t="shared" ref="FX342:FX345" si="2469">IF(DF342=1,($BC342*DF342),0)</f>
        <v>0</v>
      </c>
      <c r="FY342" s="587">
        <f t="shared" ref="FY342:FY345" si="2470">IF(DG342=1,($BC342*DG342),0)</f>
        <v>0</v>
      </c>
      <c r="FZ342" s="587">
        <f t="shared" ref="FZ342:FZ345" si="2471">IF(DH342=1,($BC342*DH342),0)</f>
        <v>0</v>
      </c>
      <c r="GA342" s="587">
        <f t="shared" ref="GA342:GA345" si="2472">IF(DI342=1,($BC342*DI342),0)</f>
        <v>0</v>
      </c>
      <c r="GB342" s="587">
        <f t="shared" ref="GB342:GB345" si="2473">IF(DJ342=1,($BC342*DJ342),0)</f>
        <v>0</v>
      </c>
      <c r="GC342" s="587">
        <f t="shared" ref="GC342:GC345" si="2474">IF(DK342=1,($BC342*DK342),0)</f>
        <v>0</v>
      </c>
      <c r="GD342" s="587">
        <f t="shared" ref="GD342:GD345" si="2475">IF(DL342=1,($BC342*DL342),0)</f>
        <v>0</v>
      </c>
      <c r="GE342" s="587">
        <f t="shared" ref="GE342:GE345" si="2476">IF(DM342=1,($BC342*DM342),0)</f>
        <v>0</v>
      </c>
      <c r="GF342" s="587">
        <f t="shared" ref="GF342:GF345" si="2477">IF(DN342=1,($BC342*DN342),0)</f>
        <v>0</v>
      </c>
      <c r="GG342" s="587">
        <f t="shared" ref="GG342:GG345" si="2478">IF(DO342=1,($BC342*DO342),0)</f>
        <v>0</v>
      </c>
      <c r="GH342" s="587">
        <f t="shared" ref="GH342:GH345" si="2479">IF(DP342=1,($BC342*DP342),0)</f>
        <v>0</v>
      </c>
      <c r="GI342" s="587">
        <f t="shared" ref="GI342:GI345" si="2480">IF(DQ342=1,($BC342*DQ342),0)</f>
        <v>0</v>
      </c>
      <c r="GJ342" s="587">
        <f t="shared" ref="GJ342:GJ345" si="2481">IF(DR342=1,($BC342*DR342),0)</f>
        <v>0</v>
      </c>
      <c r="GK342" s="587">
        <f t="shared" ref="GK342:GK345" si="2482">IF(DS342=1,($BC342*DS342),0)</f>
        <v>0</v>
      </c>
      <c r="GL342" s="587">
        <f t="shared" ref="GL342:GL345" si="2483">IF(DT342=1,($BC342*DT342),0)</f>
        <v>0</v>
      </c>
      <c r="GM342" s="587">
        <f t="shared" ref="GM342:GM345" si="2484">IF(DU342=1,($BC342*DU342),0)</f>
        <v>0</v>
      </c>
    </row>
    <row r="343" spans="1:195" s="869" customFormat="1">
      <c r="A343" s="406">
        <f t="shared" si="2267"/>
        <v>223</v>
      </c>
      <c r="B343" s="409" t="s">
        <v>527</v>
      </c>
      <c r="C343" s="406" t="s">
        <v>741</v>
      </c>
      <c r="D343" s="901" t="s">
        <v>1749</v>
      </c>
      <c r="E343" s="580" t="s">
        <v>555</v>
      </c>
      <c r="F343" s="582" t="s">
        <v>28</v>
      </c>
      <c r="G343" s="406" t="s">
        <v>329</v>
      </c>
      <c r="H343" s="583">
        <v>18</v>
      </c>
      <c r="I343" s="406" t="s">
        <v>330</v>
      </c>
      <c r="J343" s="406" t="s">
        <v>357</v>
      </c>
      <c r="K343" s="585">
        <v>230</v>
      </c>
      <c r="L343" s="409">
        <v>0.85</v>
      </c>
      <c r="M343" s="583">
        <v>0.95</v>
      </c>
      <c r="N343" s="407">
        <v>18.845066630771303</v>
      </c>
      <c r="O343" s="407">
        <v>0</v>
      </c>
      <c r="P343" s="409" t="str">
        <f t="shared" si="2395"/>
        <v>0.00</v>
      </c>
      <c r="Q343" s="583">
        <v>50</v>
      </c>
      <c r="R343" s="583">
        <v>0</v>
      </c>
      <c r="S343" s="583">
        <f t="shared" si="2396"/>
        <v>0</v>
      </c>
      <c r="T343" s="409" t="s">
        <v>131</v>
      </c>
      <c r="U343" s="583" t="s">
        <v>333</v>
      </c>
      <c r="V343" s="409">
        <v>25</v>
      </c>
      <c r="W343" s="409" t="str">
        <f t="shared" si="2397"/>
        <v>3C X 25</v>
      </c>
      <c r="X343" s="409" t="str">
        <f t="shared" si="2398"/>
        <v>3C X 25</v>
      </c>
      <c r="Y343" s="409" t="s">
        <v>358</v>
      </c>
      <c r="Z343" s="408">
        <f>IF(T343="AIR",VLOOKUP(W343,'Catalogue Aluminium'!$B$9:$G$93,2,FALSE),IF(T343="GROUND",VLOOKUP(W343,'Catalogue Aluminium'!$B$9:$G$93,3,FALSE),IF(T343="DUCT",VLOOKUP(W343,'Catalogue Aluminium'!$B$9:$G$93,4,FALSE),IF(T343="TRENCH",VLOOKUP(W343,'Catalogue Aluminium'!$B$9:$G$93,2,FALSE)))))</f>
        <v>95</v>
      </c>
      <c r="AA343" s="410">
        <f>VLOOKUP(W343,'Catalogue Aluminium'!$B$9:$G$93,5,FALSE)</f>
        <v>1.54</v>
      </c>
      <c r="AB343" s="410">
        <f>VLOOKUP(W343,'Catalogue Aluminium'!$B$9:$G$93,6,FALSE)</f>
        <v>8.1600000000000006E-2</v>
      </c>
      <c r="AC343" s="896">
        <f t="shared" si="2149"/>
        <v>34</v>
      </c>
      <c r="AD343" s="406">
        <f t="shared" si="2399"/>
        <v>41</v>
      </c>
      <c r="AE343" s="896">
        <v>10</v>
      </c>
      <c r="AF343" s="409">
        <v>8</v>
      </c>
      <c r="AG343" s="409">
        <f t="shared" si="2400"/>
        <v>10</v>
      </c>
      <c r="AH343" s="865">
        <f t="shared" si="2401"/>
        <v>103</v>
      </c>
      <c r="AI343" s="408">
        <f>IF(T343="AIR",'Catalogue Aluminium'!$K$9,IF(T343="TRENCH",'Catalogue Aluminium'!$K$12,"NA"))</f>
        <v>0.89</v>
      </c>
      <c r="AJ343" s="407">
        <f>IF(T343="Air",(IF(U343="1C",'Catalogue Aluminium'!$L$9,'Catalogue Aluminium'!$M$9)),IF(T343="DUCT",(IF($U343="1C",'Catalogue Aluminium'!$L$10,'Catalogue Aluminium'!$M$10)),IF(T343="GROUND",(IF($U343="1C",'Catalogue Aluminium'!$L$11,'Catalogue Aluminium'!$M$11)),IF(T343="TRENCH",(IF($U343="1C",'Catalogue Aluminium'!$L$12,'Catalogue Aluminium'!$M$12))))))</f>
        <v>0.66</v>
      </c>
      <c r="AK343" s="408" t="str">
        <f>IF(T343="Air",'Catalogue Aluminium'!$N$9,IF(T343="GROUND",'Catalogue Aluminium'!$N$10,IF(T343="DUCT",'Catalogue Aluminium'!$N$11,IF(T343="TRENCH",'Catalogue Aluminium'!$N$12,"NA"))))</f>
        <v>NA</v>
      </c>
      <c r="AL343" s="408" t="str">
        <f>IF(T343="Air",(IF(U343="1C",'Catalogue Aluminium'!$O$9,'Catalogue Aluminium'!$P$9)),IF(T343="DUCT",(IF($U343="1C",'Catalogue Aluminium'!$O$10,'Catalogue Aluminium'!$P$10)),IF(T343="GROUND",(IF($U343="1C",'Catalogue Aluminium'!$O$11,'Catalogue Aluminium'!$P$11)),IF(T343="TRENCH",(IF($U343="1C",'Catalogue Aluminium'!$O$12,'Catalogue Aluminium'!$P$12))))))</f>
        <v>NA</v>
      </c>
      <c r="AM343" s="408" t="str">
        <f>IF(T343="AIR","NA",IF(T343="TRENCH","NA",IF(T343="DUCT",IF(U343="1C",VLOOKUP(V343,'Catalogue Aluminium'!$Q$9:$S$28,2,FALSE),VLOOKUP(V343,'Catalogue Aluminium'!$Q$9:$S$28,3)),IF(T343="GROUND",IF(U343="1C",VLOOKUP(V343,'Catalogue Aluminium'!$Q$9:$S$28,2,FALSE),VLOOKUP(V343,'Catalogue Aluminium'!$Q$9:$S$28,3))))))</f>
        <v>NA</v>
      </c>
      <c r="AN343" s="584">
        <f t="shared" si="2402"/>
        <v>0.58740000000000003</v>
      </c>
      <c r="AO343" s="583">
        <f t="shared" si="2403"/>
        <v>55.803000000000004</v>
      </c>
      <c r="AP343" s="585">
        <f t="shared" si="2404"/>
        <v>1</v>
      </c>
      <c r="AQ343" s="583" t="str">
        <f t="shared" si="2405"/>
        <v>YES</v>
      </c>
      <c r="AR343" s="584">
        <f t="shared" si="2406"/>
        <v>1.9762401426431155</v>
      </c>
      <c r="AS343" s="409" t="str">
        <f t="shared" si="2407"/>
        <v>YES</v>
      </c>
      <c r="AT343" s="584" t="str">
        <f t="shared" si="2408"/>
        <v>NA</v>
      </c>
      <c r="AU343" s="409" t="str">
        <f t="shared" si="2409"/>
        <v>NA</v>
      </c>
      <c r="AV343" s="586" t="str">
        <f t="shared" si="2410"/>
        <v>1R x 0.6/1kV x 3C x 25 Sqmm</v>
      </c>
      <c r="AW343" s="586" t="str">
        <f t="shared" si="2411"/>
        <v>1R x 0.6/1kV x 3C x 25 Sqmm</v>
      </c>
      <c r="AX343" s="409">
        <f t="shared" si="2412"/>
        <v>103</v>
      </c>
      <c r="AY343" s="866"/>
      <c r="AZ343" s="866">
        <f t="shared" si="2413"/>
        <v>2</v>
      </c>
      <c r="BA343" s="867" t="str">
        <f t="shared" si="2414"/>
        <v/>
      </c>
      <c r="BB343" s="868">
        <f>VLOOKUP(W343,'Catalogue Aluminium'!$B$9:$H$93,7,FALSE)</f>
        <v>21</v>
      </c>
      <c r="BC343" s="789">
        <f t="shared" si="2415"/>
        <v>21</v>
      </c>
      <c r="BE343" s="587"/>
      <c r="BF343" s="587"/>
      <c r="BG343" s="587"/>
      <c r="BH343" s="587"/>
      <c r="BI343" s="587"/>
      <c r="BJ343" s="587"/>
      <c r="BK343" s="587"/>
      <c r="BL343" s="587"/>
      <c r="BM343" s="587"/>
      <c r="BN343" s="587"/>
      <c r="BO343" s="587"/>
      <c r="BP343" s="587"/>
      <c r="BQ343" s="587"/>
      <c r="BR343" s="587"/>
      <c r="BS343" s="587"/>
      <c r="BT343" s="587"/>
      <c r="BU343" s="587"/>
      <c r="BV343" s="587"/>
      <c r="BW343" s="587"/>
      <c r="BX343" s="587"/>
      <c r="BY343" s="587"/>
      <c r="BZ343" s="587"/>
      <c r="CA343" s="587"/>
      <c r="CB343" s="587"/>
      <c r="CC343" s="587"/>
      <c r="CD343" s="587"/>
      <c r="CE343" s="587"/>
      <c r="CF343" s="587"/>
      <c r="CG343" s="587"/>
      <c r="CH343" s="587"/>
      <c r="CI343" s="587"/>
      <c r="CJ343" s="587"/>
      <c r="CK343" s="587"/>
      <c r="CL343" s="587"/>
      <c r="CM343" s="587"/>
      <c r="CN343" s="587"/>
      <c r="CO343" s="587"/>
      <c r="CP343" s="587"/>
      <c r="CQ343" s="587"/>
      <c r="CR343" s="587"/>
      <c r="CS343" s="587"/>
      <c r="CT343" s="587"/>
      <c r="CU343" s="587"/>
      <c r="CV343" s="587"/>
      <c r="CW343" s="587"/>
      <c r="CX343" s="587"/>
      <c r="CY343" s="587"/>
      <c r="CZ343" s="587"/>
      <c r="DA343" s="587"/>
      <c r="DB343" s="587"/>
      <c r="DC343" s="587"/>
      <c r="DD343" s="587"/>
      <c r="DE343" s="587"/>
      <c r="DF343" s="587"/>
      <c r="DG343" s="587"/>
      <c r="DH343" s="587"/>
      <c r="DI343" s="587"/>
      <c r="DJ343" s="587"/>
      <c r="DK343" s="587"/>
      <c r="DL343" s="587"/>
      <c r="DM343" s="587"/>
      <c r="DN343" s="587"/>
      <c r="DO343" s="587"/>
      <c r="DP343" s="587"/>
      <c r="DQ343" s="587"/>
      <c r="DR343" s="587"/>
      <c r="DS343" s="587"/>
      <c r="DT343" s="587"/>
      <c r="DU343" s="587"/>
      <c r="DW343" s="587">
        <f t="shared" si="2416"/>
        <v>0</v>
      </c>
      <c r="DX343" s="587">
        <f t="shared" si="2417"/>
        <v>0</v>
      </c>
      <c r="DY343" s="587">
        <f t="shared" si="2418"/>
        <v>0</v>
      </c>
      <c r="DZ343" s="587">
        <f t="shared" si="2419"/>
        <v>0</v>
      </c>
      <c r="EA343" s="587">
        <f t="shared" si="2420"/>
        <v>0</v>
      </c>
      <c r="EB343" s="587">
        <f t="shared" si="2421"/>
        <v>0</v>
      </c>
      <c r="EC343" s="587">
        <f t="shared" si="2422"/>
        <v>0</v>
      </c>
      <c r="ED343" s="587">
        <f t="shared" si="2423"/>
        <v>0</v>
      </c>
      <c r="EE343" s="587">
        <f t="shared" si="2424"/>
        <v>0</v>
      </c>
      <c r="EF343" s="587">
        <f t="shared" si="2425"/>
        <v>0</v>
      </c>
      <c r="EG343" s="587">
        <f t="shared" si="2426"/>
        <v>0</v>
      </c>
      <c r="EH343" s="587">
        <f t="shared" si="2427"/>
        <v>0</v>
      </c>
      <c r="EI343" s="587">
        <f t="shared" si="2428"/>
        <v>0</v>
      </c>
      <c r="EJ343" s="587">
        <f t="shared" si="2429"/>
        <v>0</v>
      </c>
      <c r="EK343" s="587">
        <f t="shared" si="2430"/>
        <v>0</v>
      </c>
      <c r="EL343" s="587">
        <f t="shared" si="2431"/>
        <v>0</v>
      </c>
      <c r="EM343" s="587">
        <f t="shared" si="2432"/>
        <v>0</v>
      </c>
      <c r="EN343" s="587">
        <f t="shared" si="2433"/>
        <v>0</v>
      </c>
      <c r="EO343" s="587">
        <f t="shared" si="2434"/>
        <v>0</v>
      </c>
      <c r="EP343" s="587">
        <f t="shared" si="2435"/>
        <v>0</v>
      </c>
      <c r="EQ343" s="587">
        <f t="shared" si="2436"/>
        <v>0</v>
      </c>
      <c r="ER343" s="587">
        <f t="shared" si="2437"/>
        <v>0</v>
      </c>
      <c r="ES343" s="587">
        <f t="shared" si="2438"/>
        <v>0</v>
      </c>
      <c r="ET343" s="587">
        <f t="shared" si="2439"/>
        <v>0</v>
      </c>
      <c r="EU343" s="587">
        <f t="shared" si="2440"/>
        <v>0</v>
      </c>
      <c r="EV343" s="587">
        <f t="shared" si="2441"/>
        <v>0</v>
      </c>
      <c r="EW343" s="587">
        <f t="shared" si="2442"/>
        <v>0</v>
      </c>
      <c r="EX343" s="587">
        <f t="shared" si="2443"/>
        <v>0</v>
      </c>
      <c r="EY343" s="587">
        <f t="shared" si="2444"/>
        <v>0</v>
      </c>
      <c r="EZ343" s="587">
        <f t="shared" si="2445"/>
        <v>0</v>
      </c>
      <c r="FA343" s="587">
        <f t="shared" si="2446"/>
        <v>0</v>
      </c>
      <c r="FB343" s="587">
        <f t="shared" si="2447"/>
        <v>0</v>
      </c>
      <c r="FC343" s="587">
        <f t="shared" si="2448"/>
        <v>0</v>
      </c>
      <c r="FD343" s="587">
        <f t="shared" si="2449"/>
        <v>0</v>
      </c>
      <c r="FE343" s="587">
        <f t="shared" si="2450"/>
        <v>0</v>
      </c>
      <c r="FF343" s="587">
        <f t="shared" si="2451"/>
        <v>0</v>
      </c>
      <c r="FG343" s="587">
        <f t="shared" si="2452"/>
        <v>0</v>
      </c>
      <c r="FH343" s="587">
        <f t="shared" si="2453"/>
        <v>0</v>
      </c>
      <c r="FI343" s="587">
        <f t="shared" si="2454"/>
        <v>0</v>
      </c>
      <c r="FJ343" s="587">
        <f t="shared" si="2455"/>
        <v>0</v>
      </c>
      <c r="FK343" s="587">
        <f t="shared" si="2456"/>
        <v>0</v>
      </c>
      <c r="FL343" s="587">
        <f t="shared" si="2457"/>
        <v>0</v>
      </c>
      <c r="FM343" s="587">
        <f t="shared" si="2458"/>
        <v>0</v>
      </c>
      <c r="FN343" s="587">
        <f t="shared" si="2459"/>
        <v>0</v>
      </c>
      <c r="FO343" s="587">
        <f t="shared" si="2460"/>
        <v>0</v>
      </c>
      <c r="FP343" s="587">
        <f t="shared" si="2461"/>
        <v>0</v>
      </c>
      <c r="FQ343" s="587">
        <f t="shared" si="2462"/>
        <v>0</v>
      </c>
      <c r="FR343" s="587">
        <f t="shared" si="2463"/>
        <v>0</v>
      </c>
      <c r="FS343" s="587">
        <f t="shared" si="2464"/>
        <v>0</v>
      </c>
      <c r="FT343" s="587">
        <f t="shared" si="2465"/>
        <v>0</v>
      </c>
      <c r="FU343" s="587">
        <f t="shared" si="2466"/>
        <v>0</v>
      </c>
      <c r="FV343" s="587">
        <f t="shared" si="2467"/>
        <v>0</v>
      </c>
      <c r="FW343" s="587">
        <f t="shared" si="2468"/>
        <v>0</v>
      </c>
      <c r="FX343" s="587">
        <f t="shared" si="2469"/>
        <v>0</v>
      </c>
      <c r="FY343" s="587">
        <f t="shared" si="2470"/>
        <v>0</v>
      </c>
      <c r="FZ343" s="587">
        <f t="shared" si="2471"/>
        <v>0</v>
      </c>
      <c r="GA343" s="587">
        <f t="shared" si="2472"/>
        <v>0</v>
      </c>
      <c r="GB343" s="587">
        <f t="shared" si="2473"/>
        <v>0</v>
      </c>
      <c r="GC343" s="587">
        <f t="shared" si="2474"/>
        <v>0</v>
      </c>
      <c r="GD343" s="587">
        <f t="shared" si="2475"/>
        <v>0</v>
      </c>
      <c r="GE343" s="587">
        <f t="shared" si="2476"/>
        <v>0</v>
      </c>
      <c r="GF343" s="587">
        <f t="shared" si="2477"/>
        <v>0</v>
      </c>
      <c r="GG343" s="587">
        <f t="shared" si="2478"/>
        <v>0</v>
      </c>
      <c r="GH343" s="587">
        <f t="shared" si="2479"/>
        <v>0</v>
      </c>
      <c r="GI343" s="587">
        <f t="shared" si="2480"/>
        <v>0</v>
      </c>
      <c r="GJ343" s="587">
        <f t="shared" si="2481"/>
        <v>0</v>
      </c>
      <c r="GK343" s="587">
        <f t="shared" si="2482"/>
        <v>0</v>
      </c>
      <c r="GL343" s="587">
        <f t="shared" si="2483"/>
        <v>0</v>
      </c>
      <c r="GM343" s="587">
        <f t="shared" si="2484"/>
        <v>0</v>
      </c>
    </row>
    <row r="344" spans="1:195" s="869" customFormat="1" ht="12.75" customHeight="1">
      <c r="A344" s="406">
        <f t="shared" si="2267"/>
        <v>224</v>
      </c>
      <c r="B344" s="409" t="s">
        <v>527</v>
      </c>
      <c r="C344" s="406" t="s">
        <v>741</v>
      </c>
      <c r="D344" s="901" t="s">
        <v>1750</v>
      </c>
      <c r="E344" s="580" t="s">
        <v>555</v>
      </c>
      <c r="F344" s="582" t="s">
        <v>28</v>
      </c>
      <c r="G344" s="406" t="s">
        <v>329</v>
      </c>
      <c r="H344" s="583">
        <v>1.1000000000000001</v>
      </c>
      <c r="I344" s="406" t="s">
        <v>330</v>
      </c>
      <c r="J344" s="406" t="s">
        <v>357</v>
      </c>
      <c r="K344" s="585">
        <v>230</v>
      </c>
      <c r="L344" s="409">
        <v>0.85</v>
      </c>
      <c r="M344" s="583">
        <v>0.95</v>
      </c>
      <c r="N344" s="407">
        <v>18.845066630771303</v>
      </c>
      <c r="O344" s="407">
        <v>0</v>
      </c>
      <c r="P344" s="409" t="str">
        <f t="shared" si="2395"/>
        <v>0.00</v>
      </c>
      <c r="Q344" s="583">
        <v>50</v>
      </c>
      <c r="R344" s="583">
        <v>0</v>
      </c>
      <c r="S344" s="583">
        <f t="shared" si="2396"/>
        <v>0</v>
      </c>
      <c r="T344" s="409" t="s">
        <v>131</v>
      </c>
      <c r="U344" s="583" t="s">
        <v>333</v>
      </c>
      <c r="V344" s="409">
        <v>25</v>
      </c>
      <c r="W344" s="409" t="str">
        <f t="shared" si="2397"/>
        <v>3C X 25</v>
      </c>
      <c r="X344" s="409" t="str">
        <f t="shared" si="2398"/>
        <v>3C X 25</v>
      </c>
      <c r="Y344" s="409" t="s">
        <v>358</v>
      </c>
      <c r="Z344" s="408">
        <f>IF(T344="AIR",VLOOKUP(W344,'Catalogue Aluminium'!$B$9:$G$93,2,FALSE),IF(T344="GROUND",VLOOKUP(W344,'Catalogue Aluminium'!$B$9:$G$93,3,FALSE),IF(T344="DUCT",VLOOKUP(W344,'Catalogue Aluminium'!$B$9:$G$93,4,FALSE),IF(T344="TRENCH",VLOOKUP(W344,'Catalogue Aluminium'!$B$9:$G$93,2,FALSE)))))</f>
        <v>95</v>
      </c>
      <c r="AA344" s="410">
        <f>VLOOKUP(W344,'Catalogue Aluminium'!$B$9:$G$93,5,FALSE)</f>
        <v>1.54</v>
      </c>
      <c r="AB344" s="410">
        <f>VLOOKUP(W344,'Catalogue Aluminium'!$B$9:$G$93,6,FALSE)</f>
        <v>8.1600000000000006E-2</v>
      </c>
      <c r="AC344" s="896">
        <f t="shared" si="2149"/>
        <v>34</v>
      </c>
      <c r="AD344" s="406">
        <f t="shared" si="2399"/>
        <v>41</v>
      </c>
      <c r="AE344" s="896">
        <v>10</v>
      </c>
      <c r="AF344" s="409">
        <v>8</v>
      </c>
      <c r="AG344" s="409">
        <f t="shared" si="2400"/>
        <v>10</v>
      </c>
      <c r="AH344" s="865">
        <f t="shared" si="2401"/>
        <v>103</v>
      </c>
      <c r="AI344" s="408">
        <f>IF(T344="AIR",'Catalogue Aluminium'!$K$9,IF(T344="TRENCH",'Catalogue Aluminium'!$K$12,"NA"))</f>
        <v>0.89</v>
      </c>
      <c r="AJ344" s="407">
        <f>IF(T344="Air",(IF(U344="1C",'Catalogue Aluminium'!$L$9,'Catalogue Aluminium'!$M$9)),IF(T344="DUCT",(IF($U344="1C",'Catalogue Aluminium'!$L$10,'Catalogue Aluminium'!$M$10)),IF(T344="GROUND",(IF($U344="1C",'Catalogue Aluminium'!$L$11,'Catalogue Aluminium'!$M$11)),IF(T344="TRENCH",(IF($U344="1C",'Catalogue Aluminium'!$L$12,'Catalogue Aluminium'!$M$12))))))</f>
        <v>0.66</v>
      </c>
      <c r="AK344" s="408" t="str">
        <f>IF(T344="Air",'Catalogue Aluminium'!$N$9,IF(T344="GROUND",'Catalogue Aluminium'!$N$10,IF(T344="DUCT",'Catalogue Aluminium'!$N$11,IF(T344="TRENCH",'Catalogue Aluminium'!$N$12,"NA"))))</f>
        <v>NA</v>
      </c>
      <c r="AL344" s="408" t="str">
        <f>IF(T344="Air",(IF(U344="1C",'Catalogue Aluminium'!$O$9,'Catalogue Aluminium'!$P$9)),IF(T344="DUCT",(IF($U344="1C",'Catalogue Aluminium'!$O$10,'Catalogue Aluminium'!$P$10)),IF(T344="GROUND",(IF($U344="1C",'Catalogue Aluminium'!$O$11,'Catalogue Aluminium'!$P$11)),IF(T344="TRENCH",(IF($U344="1C",'Catalogue Aluminium'!$O$12,'Catalogue Aluminium'!$P$12))))))</f>
        <v>NA</v>
      </c>
      <c r="AM344" s="408" t="str">
        <f>IF(T344="AIR","NA",IF(T344="TRENCH","NA",IF(T344="DUCT",IF(U344="1C",VLOOKUP(V344,'Catalogue Aluminium'!$Q$9:$S$28,2,FALSE),VLOOKUP(V344,'Catalogue Aluminium'!$Q$9:$S$28,3)),IF(T344="GROUND",IF(U344="1C",VLOOKUP(V344,'Catalogue Aluminium'!$Q$9:$S$28,2,FALSE),VLOOKUP(V344,'Catalogue Aluminium'!$Q$9:$S$28,3))))))</f>
        <v>NA</v>
      </c>
      <c r="AN344" s="584">
        <f t="shared" si="2402"/>
        <v>0.58740000000000003</v>
      </c>
      <c r="AO344" s="583">
        <f t="shared" si="2403"/>
        <v>55.803000000000004</v>
      </c>
      <c r="AP344" s="585">
        <f t="shared" si="2404"/>
        <v>1</v>
      </c>
      <c r="AQ344" s="583" t="str">
        <f t="shared" si="2405"/>
        <v>YES</v>
      </c>
      <c r="AR344" s="584">
        <f t="shared" si="2406"/>
        <v>1.9762401426431155</v>
      </c>
      <c r="AS344" s="409" t="str">
        <f t="shared" si="2407"/>
        <v>YES</v>
      </c>
      <c r="AT344" s="584" t="str">
        <f t="shared" si="2408"/>
        <v>NA</v>
      </c>
      <c r="AU344" s="409" t="str">
        <f t="shared" si="2409"/>
        <v>NA</v>
      </c>
      <c r="AV344" s="586" t="str">
        <f t="shared" si="2410"/>
        <v>1R x 0.6/1kV x 3C x 25 Sqmm</v>
      </c>
      <c r="AW344" s="586" t="str">
        <f t="shared" si="2411"/>
        <v>1R x 0.6/1kV x 3C x 25 Sqmm</v>
      </c>
      <c r="AX344" s="409">
        <f t="shared" si="2412"/>
        <v>103</v>
      </c>
      <c r="AY344" s="866"/>
      <c r="AZ344" s="866">
        <f t="shared" si="2413"/>
        <v>2</v>
      </c>
      <c r="BA344" s="867" t="str">
        <f t="shared" si="2414"/>
        <v/>
      </c>
      <c r="BB344" s="868">
        <f>VLOOKUP(W344,'Catalogue Aluminium'!$B$9:$H$93,7,FALSE)</f>
        <v>21</v>
      </c>
      <c r="BC344" s="789">
        <f t="shared" si="2415"/>
        <v>21</v>
      </c>
      <c r="BE344" s="587"/>
      <c r="BF344" s="587"/>
      <c r="BG344" s="587"/>
      <c r="BH344" s="587"/>
      <c r="BI344" s="587"/>
      <c r="BJ344" s="587"/>
      <c r="BK344" s="587"/>
      <c r="BL344" s="587"/>
      <c r="BM344" s="587"/>
      <c r="BN344" s="587"/>
      <c r="BO344" s="587"/>
      <c r="BP344" s="587"/>
      <c r="BQ344" s="587"/>
      <c r="BR344" s="587"/>
      <c r="BS344" s="587"/>
      <c r="BT344" s="587"/>
      <c r="BU344" s="587"/>
      <c r="BV344" s="587"/>
      <c r="BW344" s="587"/>
      <c r="BX344" s="587"/>
      <c r="BY344" s="587"/>
      <c r="BZ344" s="587"/>
      <c r="CA344" s="587"/>
      <c r="CB344" s="587"/>
      <c r="CC344" s="587"/>
      <c r="CD344" s="587"/>
      <c r="CE344" s="587"/>
      <c r="CF344" s="587"/>
      <c r="CG344" s="587"/>
      <c r="CH344" s="587"/>
      <c r="CI344" s="587"/>
      <c r="CJ344" s="587"/>
      <c r="CK344" s="587"/>
      <c r="CL344" s="587"/>
      <c r="CM344" s="587"/>
      <c r="CN344" s="587"/>
      <c r="CO344" s="587"/>
      <c r="CP344" s="587"/>
      <c r="CQ344" s="587"/>
      <c r="CR344" s="587"/>
      <c r="CS344" s="587"/>
      <c r="CT344" s="587"/>
      <c r="CU344" s="587"/>
      <c r="CV344" s="587"/>
      <c r="CW344" s="587"/>
      <c r="CX344" s="587"/>
      <c r="CY344" s="587"/>
      <c r="CZ344" s="587"/>
      <c r="DA344" s="587"/>
      <c r="DB344" s="587"/>
      <c r="DC344" s="587"/>
      <c r="DD344" s="587"/>
      <c r="DE344" s="587"/>
      <c r="DF344" s="587"/>
      <c r="DG344" s="587"/>
      <c r="DH344" s="587"/>
      <c r="DI344" s="587"/>
      <c r="DJ344" s="587"/>
      <c r="DK344" s="587"/>
      <c r="DL344" s="587"/>
      <c r="DM344" s="587"/>
      <c r="DN344" s="587"/>
      <c r="DO344" s="587"/>
      <c r="DP344" s="587"/>
      <c r="DQ344" s="587"/>
      <c r="DR344" s="587"/>
      <c r="DS344" s="587"/>
      <c r="DT344" s="587"/>
      <c r="DU344" s="587"/>
      <c r="DW344" s="587">
        <f t="shared" si="2416"/>
        <v>0</v>
      </c>
      <c r="DX344" s="587">
        <f t="shared" si="2417"/>
        <v>0</v>
      </c>
      <c r="DY344" s="587">
        <f t="shared" si="2418"/>
        <v>0</v>
      </c>
      <c r="DZ344" s="587">
        <f t="shared" si="2419"/>
        <v>0</v>
      </c>
      <c r="EA344" s="587">
        <f t="shared" si="2420"/>
        <v>0</v>
      </c>
      <c r="EB344" s="587">
        <f t="shared" si="2421"/>
        <v>0</v>
      </c>
      <c r="EC344" s="587">
        <f t="shared" si="2422"/>
        <v>0</v>
      </c>
      <c r="ED344" s="587">
        <f t="shared" si="2423"/>
        <v>0</v>
      </c>
      <c r="EE344" s="587">
        <f t="shared" si="2424"/>
        <v>0</v>
      </c>
      <c r="EF344" s="587">
        <f t="shared" si="2425"/>
        <v>0</v>
      </c>
      <c r="EG344" s="587">
        <f t="shared" si="2426"/>
        <v>0</v>
      </c>
      <c r="EH344" s="587">
        <f t="shared" si="2427"/>
        <v>0</v>
      </c>
      <c r="EI344" s="587">
        <f t="shared" si="2428"/>
        <v>0</v>
      </c>
      <c r="EJ344" s="587">
        <f t="shared" si="2429"/>
        <v>0</v>
      </c>
      <c r="EK344" s="587">
        <f t="shared" si="2430"/>
        <v>0</v>
      </c>
      <c r="EL344" s="587">
        <f t="shared" si="2431"/>
        <v>0</v>
      </c>
      <c r="EM344" s="587">
        <f t="shared" si="2432"/>
        <v>0</v>
      </c>
      <c r="EN344" s="587">
        <f t="shared" si="2433"/>
        <v>0</v>
      </c>
      <c r="EO344" s="587">
        <f t="shared" si="2434"/>
        <v>0</v>
      </c>
      <c r="EP344" s="587">
        <f t="shared" si="2435"/>
        <v>0</v>
      </c>
      <c r="EQ344" s="587">
        <f t="shared" si="2436"/>
        <v>0</v>
      </c>
      <c r="ER344" s="587">
        <f t="shared" si="2437"/>
        <v>0</v>
      </c>
      <c r="ES344" s="587">
        <f t="shared" si="2438"/>
        <v>0</v>
      </c>
      <c r="ET344" s="587">
        <f t="shared" si="2439"/>
        <v>0</v>
      </c>
      <c r="EU344" s="587">
        <f t="shared" si="2440"/>
        <v>0</v>
      </c>
      <c r="EV344" s="587">
        <f t="shared" si="2441"/>
        <v>0</v>
      </c>
      <c r="EW344" s="587">
        <f t="shared" si="2442"/>
        <v>0</v>
      </c>
      <c r="EX344" s="587">
        <f t="shared" si="2443"/>
        <v>0</v>
      </c>
      <c r="EY344" s="587">
        <f t="shared" si="2444"/>
        <v>0</v>
      </c>
      <c r="EZ344" s="587">
        <f t="shared" si="2445"/>
        <v>0</v>
      </c>
      <c r="FA344" s="587">
        <f t="shared" si="2446"/>
        <v>0</v>
      </c>
      <c r="FB344" s="587">
        <f t="shared" si="2447"/>
        <v>0</v>
      </c>
      <c r="FC344" s="587">
        <f t="shared" si="2448"/>
        <v>0</v>
      </c>
      <c r="FD344" s="587">
        <f t="shared" si="2449"/>
        <v>0</v>
      </c>
      <c r="FE344" s="587">
        <f t="shared" si="2450"/>
        <v>0</v>
      </c>
      <c r="FF344" s="587">
        <f t="shared" si="2451"/>
        <v>0</v>
      </c>
      <c r="FG344" s="587">
        <f t="shared" si="2452"/>
        <v>0</v>
      </c>
      <c r="FH344" s="587">
        <f t="shared" si="2453"/>
        <v>0</v>
      </c>
      <c r="FI344" s="587">
        <f t="shared" si="2454"/>
        <v>0</v>
      </c>
      <c r="FJ344" s="587">
        <f t="shared" si="2455"/>
        <v>0</v>
      </c>
      <c r="FK344" s="587">
        <f t="shared" si="2456"/>
        <v>0</v>
      </c>
      <c r="FL344" s="587">
        <f t="shared" si="2457"/>
        <v>0</v>
      </c>
      <c r="FM344" s="587">
        <f t="shared" si="2458"/>
        <v>0</v>
      </c>
      <c r="FN344" s="587">
        <f t="shared" si="2459"/>
        <v>0</v>
      </c>
      <c r="FO344" s="587">
        <f t="shared" si="2460"/>
        <v>0</v>
      </c>
      <c r="FP344" s="587">
        <f t="shared" si="2461"/>
        <v>0</v>
      </c>
      <c r="FQ344" s="587">
        <f t="shared" si="2462"/>
        <v>0</v>
      </c>
      <c r="FR344" s="587">
        <f t="shared" si="2463"/>
        <v>0</v>
      </c>
      <c r="FS344" s="587">
        <f t="shared" si="2464"/>
        <v>0</v>
      </c>
      <c r="FT344" s="587">
        <f t="shared" si="2465"/>
        <v>0</v>
      </c>
      <c r="FU344" s="587">
        <f t="shared" si="2466"/>
        <v>0</v>
      </c>
      <c r="FV344" s="587">
        <f t="shared" si="2467"/>
        <v>0</v>
      </c>
      <c r="FW344" s="587">
        <f t="shared" si="2468"/>
        <v>0</v>
      </c>
      <c r="FX344" s="587">
        <f t="shared" si="2469"/>
        <v>0</v>
      </c>
      <c r="FY344" s="587">
        <f t="shared" si="2470"/>
        <v>0</v>
      </c>
      <c r="FZ344" s="587">
        <f t="shared" si="2471"/>
        <v>0</v>
      </c>
      <c r="GA344" s="587">
        <f t="shared" si="2472"/>
        <v>0</v>
      </c>
      <c r="GB344" s="587">
        <f t="shared" si="2473"/>
        <v>0</v>
      </c>
      <c r="GC344" s="587">
        <f t="shared" si="2474"/>
        <v>0</v>
      </c>
      <c r="GD344" s="587">
        <f t="shared" si="2475"/>
        <v>0</v>
      </c>
      <c r="GE344" s="587">
        <f t="shared" si="2476"/>
        <v>0</v>
      </c>
      <c r="GF344" s="587">
        <f t="shared" si="2477"/>
        <v>0</v>
      </c>
      <c r="GG344" s="587">
        <f t="shared" si="2478"/>
        <v>0</v>
      </c>
      <c r="GH344" s="587">
        <f t="shared" si="2479"/>
        <v>0</v>
      </c>
      <c r="GI344" s="587">
        <f t="shared" si="2480"/>
        <v>0</v>
      </c>
      <c r="GJ344" s="587">
        <f t="shared" si="2481"/>
        <v>0</v>
      </c>
      <c r="GK344" s="587">
        <f t="shared" si="2482"/>
        <v>0</v>
      </c>
      <c r="GL344" s="587">
        <f t="shared" si="2483"/>
        <v>0</v>
      </c>
      <c r="GM344" s="587">
        <f t="shared" si="2484"/>
        <v>0</v>
      </c>
    </row>
    <row r="345" spans="1:195" s="869" customFormat="1" ht="12.75" customHeight="1">
      <c r="A345" s="406">
        <f t="shared" si="2267"/>
        <v>225</v>
      </c>
      <c r="B345" s="409" t="s">
        <v>527</v>
      </c>
      <c r="C345" s="406" t="s">
        <v>741</v>
      </c>
      <c r="D345" s="901" t="s">
        <v>1751</v>
      </c>
      <c r="E345" s="580" t="s">
        <v>555</v>
      </c>
      <c r="F345" s="582" t="s">
        <v>28</v>
      </c>
      <c r="G345" s="406" t="s">
        <v>329</v>
      </c>
      <c r="H345" s="583">
        <v>1.1000000000000001</v>
      </c>
      <c r="I345" s="406" t="s">
        <v>330</v>
      </c>
      <c r="J345" s="406" t="s">
        <v>357</v>
      </c>
      <c r="K345" s="585">
        <v>230</v>
      </c>
      <c r="L345" s="409">
        <v>0.85</v>
      </c>
      <c r="M345" s="583">
        <v>0.95</v>
      </c>
      <c r="N345" s="407">
        <v>18.845066630771303</v>
      </c>
      <c r="O345" s="407">
        <v>0</v>
      </c>
      <c r="P345" s="409" t="str">
        <f t="shared" si="2395"/>
        <v>0.00</v>
      </c>
      <c r="Q345" s="583">
        <v>50</v>
      </c>
      <c r="R345" s="583">
        <v>0</v>
      </c>
      <c r="S345" s="583">
        <f t="shared" si="2396"/>
        <v>0</v>
      </c>
      <c r="T345" s="409" t="s">
        <v>131</v>
      </c>
      <c r="U345" s="583" t="s">
        <v>333</v>
      </c>
      <c r="V345" s="409">
        <v>25</v>
      </c>
      <c r="W345" s="409" t="str">
        <f t="shared" si="2397"/>
        <v>3C X 25</v>
      </c>
      <c r="X345" s="409" t="str">
        <f t="shared" si="2398"/>
        <v>3C X 25</v>
      </c>
      <c r="Y345" s="409" t="s">
        <v>358</v>
      </c>
      <c r="Z345" s="408">
        <f>IF(T345="AIR",VLOOKUP(W345,'Catalogue Aluminium'!$B$9:$G$93,2,FALSE),IF(T345="GROUND",VLOOKUP(W345,'Catalogue Aluminium'!$B$9:$G$93,3,FALSE),IF(T345="DUCT",VLOOKUP(W345,'Catalogue Aluminium'!$B$9:$G$93,4,FALSE),IF(T345="TRENCH",VLOOKUP(W345,'Catalogue Aluminium'!$B$9:$G$93,2,FALSE)))))</f>
        <v>95</v>
      </c>
      <c r="AA345" s="410">
        <f>VLOOKUP(W345,'Catalogue Aluminium'!$B$9:$G$93,5,FALSE)</f>
        <v>1.54</v>
      </c>
      <c r="AB345" s="410">
        <f>VLOOKUP(W345,'Catalogue Aluminium'!$B$9:$G$93,6,FALSE)</f>
        <v>8.1600000000000006E-2</v>
      </c>
      <c r="AC345" s="896">
        <f t="shared" si="2149"/>
        <v>34</v>
      </c>
      <c r="AD345" s="406">
        <f t="shared" si="2399"/>
        <v>41</v>
      </c>
      <c r="AE345" s="896">
        <v>10</v>
      </c>
      <c r="AF345" s="409">
        <v>8</v>
      </c>
      <c r="AG345" s="409">
        <f t="shared" si="2400"/>
        <v>10</v>
      </c>
      <c r="AH345" s="865">
        <f t="shared" si="2401"/>
        <v>103</v>
      </c>
      <c r="AI345" s="408">
        <f>IF(T345="AIR",'Catalogue Aluminium'!$K$9,IF(T345="TRENCH",'Catalogue Aluminium'!$K$12,"NA"))</f>
        <v>0.89</v>
      </c>
      <c r="AJ345" s="407">
        <f>IF(T345="Air",(IF(U345="1C",'Catalogue Aluminium'!$L$9,'Catalogue Aluminium'!$M$9)),IF(T345="DUCT",(IF($U345="1C",'Catalogue Aluminium'!$L$10,'Catalogue Aluminium'!$M$10)),IF(T345="GROUND",(IF($U345="1C",'Catalogue Aluminium'!$L$11,'Catalogue Aluminium'!$M$11)),IF(T345="TRENCH",(IF($U345="1C",'Catalogue Aluminium'!$L$12,'Catalogue Aluminium'!$M$12))))))</f>
        <v>0.66</v>
      </c>
      <c r="AK345" s="408" t="str">
        <f>IF(T345="Air",'Catalogue Aluminium'!$N$9,IF(T345="GROUND",'Catalogue Aluminium'!$N$10,IF(T345="DUCT",'Catalogue Aluminium'!$N$11,IF(T345="TRENCH",'Catalogue Aluminium'!$N$12,"NA"))))</f>
        <v>NA</v>
      </c>
      <c r="AL345" s="408" t="str">
        <f>IF(T345="Air",(IF(U345="1C",'Catalogue Aluminium'!$O$9,'Catalogue Aluminium'!$P$9)),IF(T345="DUCT",(IF($U345="1C",'Catalogue Aluminium'!$O$10,'Catalogue Aluminium'!$P$10)),IF(T345="GROUND",(IF($U345="1C",'Catalogue Aluminium'!$O$11,'Catalogue Aluminium'!$P$11)),IF(T345="TRENCH",(IF($U345="1C",'Catalogue Aluminium'!$O$12,'Catalogue Aluminium'!$P$12))))))</f>
        <v>NA</v>
      </c>
      <c r="AM345" s="408" t="str">
        <f>IF(T345="AIR","NA",IF(T345="TRENCH","NA",IF(T345="DUCT",IF(U345="1C",VLOOKUP(V345,'Catalogue Aluminium'!$Q$9:$S$28,2,FALSE),VLOOKUP(V345,'Catalogue Aluminium'!$Q$9:$S$28,3)),IF(T345="GROUND",IF(U345="1C",VLOOKUP(V345,'Catalogue Aluminium'!$Q$9:$S$28,2,FALSE),VLOOKUP(V345,'Catalogue Aluminium'!$Q$9:$S$28,3))))))</f>
        <v>NA</v>
      </c>
      <c r="AN345" s="584">
        <f t="shared" si="2402"/>
        <v>0.58740000000000003</v>
      </c>
      <c r="AO345" s="583">
        <f t="shared" si="2403"/>
        <v>55.803000000000004</v>
      </c>
      <c r="AP345" s="585">
        <f t="shared" si="2404"/>
        <v>1</v>
      </c>
      <c r="AQ345" s="583" t="str">
        <f t="shared" si="2405"/>
        <v>YES</v>
      </c>
      <c r="AR345" s="584">
        <f t="shared" si="2406"/>
        <v>1.9762401426431155</v>
      </c>
      <c r="AS345" s="409" t="str">
        <f t="shared" si="2407"/>
        <v>YES</v>
      </c>
      <c r="AT345" s="584" t="str">
        <f t="shared" si="2408"/>
        <v>NA</v>
      </c>
      <c r="AU345" s="409" t="str">
        <f t="shared" si="2409"/>
        <v>NA</v>
      </c>
      <c r="AV345" s="586" t="str">
        <f t="shared" si="2410"/>
        <v>1R x 0.6/1kV x 3C x 25 Sqmm</v>
      </c>
      <c r="AW345" s="586" t="str">
        <f t="shared" si="2411"/>
        <v>1R x 0.6/1kV x 3C x 25 Sqmm</v>
      </c>
      <c r="AX345" s="409">
        <f t="shared" si="2412"/>
        <v>103</v>
      </c>
      <c r="AY345" s="866"/>
      <c r="AZ345" s="866">
        <f t="shared" si="2413"/>
        <v>2</v>
      </c>
      <c r="BA345" s="867" t="str">
        <f t="shared" si="2414"/>
        <v/>
      </c>
      <c r="BB345" s="868">
        <f>VLOOKUP(W345,'Catalogue Aluminium'!$B$9:$H$93,7,FALSE)</f>
        <v>21</v>
      </c>
      <c r="BC345" s="789">
        <f t="shared" si="2415"/>
        <v>21</v>
      </c>
      <c r="BE345" s="587"/>
      <c r="BF345" s="587"/>
      <c r="BG345" s="587"/>
      <c r="BH345" s="587"/>
      <c r="BI345" s="587"/>
      <c r="BJ345" s="587"/>
      <c r="BK345" s="587"/>
      <c r="BL345" s="587"/>
      <c r="BM345" s="587"/>
      <c r="BN345" s="587"/>
      <c r="BO345" s="587"/>
      <c r="BP345" s="587"/>
      <c r="BQ345" s="587"/>
      <c r="BR345" s="587"/>
      <c r="BS345" s="587"/>
      <c r="BT345" s="587"/>
      <c r="BU345" s="587"/>
      <c r="BV345" s="587"/>
      <c r="BW345" s="587"/>
      <c r="BX345" s="587"/>
      <c r="BY345" s="587"/>
      <c r="BZ345" s="587"/>
      <c r="CA345" s="587"/>
      <c r="CB345" s="587"/>
      <c r="CC345" s="587"/>
      <c r="CD345" s="587"/>
      <c r="CE345" s="587"/>
      <c r="CF345" s="587"/>
      <c r="CG345" s="587"/>
      <c r="CH345" s="587"/>
      <c r="CI345" s="587"/>
      <c r="CJ345" s="587"/>
      <c r="CK345" s="587"/>
      <c r="CL345" s="587"/>
      <c r="CM345" s="587"/>
      <c r="CN345" s="587"/>
      <c r="CO345" s="587"/>
      <c r="CP345" s="587"/>
      <c r="CQ345" s="587"/>
      <c r="CR345" s="587"/>
      <c r="CS345" s="587"/>
      <c r="CT345" s="587"/>
      <c r="CU345" s="587"/>
      <c r="CV345" s="587"/>
      <c r="CW345" s="587"/>
      <c r="CX345" s="587"/>
      <c r="CY345" s="587"/>
      <c r="CZ345" s="587"/>
      <c r="DA345" s="587"/>
      <c r="DB345" s="587"/>
      <c r="DC345" s="587"/>
      <c r="DD345" s="587"/>
      <c r="DE345" s="587"/>
      <c r="DF345" s="587"/>
      <c r="DG345" s="587"/>
      <c r="DH345" s="587"/>
      <c r="DI345" s="587"/>
      <c r="DJ345" s="587"/>
      <c r="DK345" s="587"/>
      <c r="DL345" s="587"/>
      <c r="DM345" s="587"/>
      <c r="DN345" s="587"/>
      <c r="DO345" s="587"/>
      <c r="DP345" s="587"/>
      <c r="DQ345" s="587"/>
      <c r="DR345" s="587"/>
      <c r="DS345" s="587"/>
      <c r="DT345" s="587"/>
      <c r="DU345" s="587"/>
      <c r="DW345" s="587">
        <f t="shared" si="2416"/>
        <v>0</v>
      </c>
      <c r="DX345" s="587">
        <f t="shared" si="2417"/>
        <v>0</v>
      </c>
      <c r="DY345" s="587">
        <f t="shared" si="2418"/>
        <v>0</v>
      </c>
      <c r="DZ345" s="587">
        <f t="shared" si="2419"/>
        <v>0</v>
      </c>
      <c r="EA345" s="587">
        <f t="shared" si="2420"/>
        <v>0</v>
      </c>
      <c r="EB345" s="587">
        <f t="shared" si="2421"/>
        <v>0</v>
      </c>
      <c r="EC345" s="587">
        <f t="shared" si="2422"/>
        <v>0</v>
      </c>
      <c r="ED345" s="587">
        <f t="shared" si="2423"/>
        <v>0</v>
      </c>
      <c r="EE345" s="587">
        <f t="shared" si="2424"/>
        <v>0</v>
      </c>
      <c r="EF345" s="587">
        <f t="shared" si="2425"/>
        <v>0</v>
      </c>
      <c r="EG345" s="587">
        <f t="shared" si="2426"/>
        <v>0</v>
      </c>
      <c r="EH345" s="587">
        <f t="shared" si="2427"/>
        <v>0</v>
      </c>
      <c r="EI345" s="587">
        <f t="shared" si="2428"/>
        <v>0</v>
      </c>
      <c r="EJ345" s="587">
        <f t="shared" si="2429"/>
        <v>0</v>
      </c>
      <c r="EK345" s="587">
        <f t="shared" si="2430"/>
        <v>0</v>
      </c>
      <c r="EL345" s="587">
        <f t="shared" si="2431"/>
        <v>0</v>
      </c>
      <c r="EM345" s="587">
        <f t="shared" si="2432"/>
        <v>0</v>
      </c>
      <c r="EN345" s="587">
        <f t="shared" si="2433"/>
        <v>0</v>
      </c>
      <c r="EO345" s="587">
        <f t="shared" si="2434"/>
        <v>0</v>
      </c>
      <c r="EP345" s="587">
        <f t="shared" si="2435"/>
        <v>0</v>
      </c>
      <c r="EQ345" s="587">
        <f t="shared" si="2436"/>
        <v>0</v>
      </c>
      <c r="ER345" s="587">
        <f t="shared" si="2437"/>
        <v>0</v>
      </c>
      <c r="ES345" s="587">
        <f t="shared" si="2438"/>
        <v>0</v>
      </c>
      <c r="ET345" s="587">
        <f t="shared" si="2439"/>
        <v>0</v>
      </c>
      <c r="EU345" s="587">
        <f t="shared" si="2440"/>
        <v>0</v>
      </c>
      <c r="EV345" s="587">
        <f t="shared" si="2441"/>
        <v>0</v>
      </c>
      <c r="EW345" s="587">
        <f t="shared" si="2442"/>
        <v>0</v>
      </c>
      <c r="EX345" s="587">
        <f t="shared" si="2443"/>
        <v>0</v>
      </c>
      <c r="EY345" s="587">
        <f t="shared" si="2444"/>
        <v>0</v>
      </c>
      <c r="EZ345" s="587">
        <f t="shared" si="2445"/>
        <v>0</v>
      </c>
      <c r="FA345" s="587">
        <f t="shared" si="2446"/>
        <v>0</v>
      </c>
      <c r="FB345" s="587">
        <f t="shared" si="2447"/>
        <v>0</v>
      </c>
      <c r="FC345" s="587">
        <f t="shared" si="2448"/>
        <v>0</v>
      </c>
      <c r="FD345" s="587">
        <f t="shared" si="2449"/>
        <v>0</v>
      </c>
      <c r="FE345" s="587">
        <f t="shared" si="2450"/>
        <v>0</v>
      </c>
      <c r="FF345" s="587">
        <f t="shared" si="2451"/>
        <v>0</v>
      </c>
      <c r="FG345" s="587">
        <f t="shared" si="2452"/>
        <v>0</v>
      </c>
      <c r="FH345" s="587">
        <f t="shared" si="2453"/>
        <v>0</v>
      </c>
      <c r="FI345" s="587">
        <f t="shared" si="2454"/>
        <v>0</v>
      </c>
      <c r="FJ345" s="587">
        <f t="shared" si="2455"/>
        <v>0</v>
      </c>
      <c r="FK345" s="587">
        <f t="shared" si="2456"/>
        <v>0</v>
      </c>
      <c r="FL345" s="587">
        <f t="shared" si="2457"/>
        <v>0</v>
      </c>
      <c r="FM345" s="587">
        <f t="shared" si="2458"/>
        <v>0</v>
      </c>
      <c r="FN345" s="587">
        <f t="shared" si="2459"/>
        <v>0</v>
      </c>
      <c r="FO345" s="587">
        <f t="shared" si="2460"/>
        <v>0</v>
      </c>
      <c r="FP345" s="587">
        <f t="shared" si="2461"/>
        <v>0</v>
      </c>
      <c r="FQ345" s="587">
        <f t="shared" si="2462"/>
        <v>0</v>
      </c>
      <c r="FR345" s="587">
        <f t="shared" si="2463"/>
        <v>0</v>
      </c>
      <c r="FS345" s="587">
        <f t="shared" si="2464"/>
        <v>0</v>
      </c>
      <c r="FT345" s="587">
        <f t="shared" si="2465"/>
        <v>0</v>
      </c>
      <c r="FU345" s="587">
        <f t="shared" si="2466"/>
        <v>0</v>
      </c>
      <c r="FV345" s="587">
        <f t="shared" si="2467"/>
        <v>0</v>
      </c>
      <c r="FW345" s="587">
        <f t="shared" si="2468"/>
        <v>0</v>
      </c>
      <c r="FX345" s="587">
        <f t="shared" si="2469"/>
        <v>0</v>
      </c>
      <c r="FY345" s="587">
        <f t="shared" si="2470"/>
        <v>0</v>
      </c>
      <c r="FZ345" s="587">
        <f t="shared" si="2471"/>
        <v>0</v>
      </c>
      <c r="GA345" s="587">
        <f t="shared" si="2472"/>
        <v>0</v>
      </c>
      <c r="GB345" s="587">
        <f t="shared" si="2473"/>
        <v>0</v>
      </c>
      <c r="GC345" s="587">
        <f t="shared" si="2474"/>
        <v>0</v>
      </c>
      <c r="GD345" s="587">
        <f t="shared" si="2475"/>
        <v>0</v>
      </c>
      <c r="GE345" s="587">
        <f t="shared" si="2476"/>
        <v>0</v>
      </c>
      <c r="GF345" s="587">
        <f t="shared" si="2477"/>
        <v>0</v>
      </c>
      <c r="GG345" s="587">
        <f t="shared" si="2478"/>
        <v>0</v>
      </c>
      <c r="GH345" s="587">
        <f t="shared" si="2479"/>
        <v>0</v>
      </c>
      <c r="GI345" s="587">
        <f t="shared" si="2480"/>
        <v>0</v>
      </c>
      <c r="GJ345" s="587">
        <f t="shared" si="2481"/>
        <v>0</v>
      </c>
      <c r="GK345" s="587">
        <f t="shared" si="2482"/>
        <v>0</v>
      </c>
      <c r="GL345" s="587">
        <f t="shared" si="2483"/>
        <v>0</v>
      </c>
      <c r="GM345" s="587">
        <f t="shared" si="2484"/>
        <v>0</v>
      </c>
    </row>
    <row r="346" spans="1:195" s="76" customFormat="1">
      <c r="A346" s="373"/>
      <c r="B346" s="373"/>
      <c r="C346" s="373"/>
      <c r="D346" s="508" t="s">
        <v>605</v>
      </c>
      <c r="E346" s="509"/>
      <c r="F346" s="572"/>
      <c r="G346" s="373"/>
      <c r="H346" s="382"/>
      <c r="I346" s="373"/>
      <c r="J346" s="373"/>
      <c r="K346" s="381"/>
      <c r="L346" s="376"/>
      <c r="M346" s="382"/>
      <c r="N346" s="375"/>
      <c r="O346" s="375"/>
      <c r="P346" s="376"/>
      <c r="Q346" s="382"/>
      <c r="R346" s="382"/>
      <c r="S346" s="382"/>
      <c r="T346" s="376"/>
      <c r="U346" s="382"/>
      <c r="V346" s="376"/>
      <c r="W346" s="376"/>
      <c r="X346" s="376"/>
      <c r="Y346" s="376"/>
      <c r="Z346" s="377"/>
      <c r="AA346" s="378"/>
      <c r="AB346" s="378"/>
      <c r="AC346" s="378"/>
      <c r="AD346" s="378"/>
      <c r="AE346" s="378"/>
      <c r="AF346" s="378"/>
      <c r="AG346" s="378"/>
      <c r="AH346" s="378"/>
      <c r="AI346" s="377"/>
      <c r="AJ346" s="375"/>
      <c r="AK346" s="377"/>
      <c r="AL346" s="377"/>
      <c r="AM346" s="377"/>
      <c r="AN346" s="383"/>
      <c r="AO346" s="382"/>
      <c r="AP346" s="381"/>
      <c r="AQ346" s="382"/>
      <c r="AR346" s="383"/>
      <c r="AS346" s="376"/>
      <c r="AT346" s="383"/>
      <c r="AU346" s="383"/>
      <c r="AV346" s="384"/>
      <c r="AW346" s="384"/>
      <c r="AX346" s="376"/>
      <c r="AY346" s="385"/>
      <c r="AZ346" s="385"/>
      <c r="BA346" s="513" t="str">
        <f t="shared" si="2268"/>
        <v/>
      </c>
      <c r="BB346" s="513"/>
      <c r="BC346" s="513"/>
      <c r="BE346" s="513"/>
      <c r="BF346" s="513"/>
      <c r="BG346" s="513"/>
      <c r="BH346" s="513"/>
      <c r="BI346" s="513"/>
      <c r="BJ346" s="513"/>
      <c r="BK346" s="513"/>
      <c r="BL346" s="513"/>
      <c r="BM346" s="513"/>
      <c r="BN346" s="513"/>
      <c r="BO346" s="513"/>
      <c r="BP346" s="513"/>
      <c r="BQ346" s="513"/>
      <c r="BR346" s="513"/>
      <c r="BS346" s="513"/>
      <c r="BT346" s="513"/>
      <c r="BU346" s="513"/>
      <c r="BV346" s="513"/>
      <c r="BW346" s="513"/>
      <c r="BX346" s="513"/>
      <c r="BY346" s="513"/>
      <c r="BZ346" s="513"/>
      <c r="CA346" s="513"/>
      <c r="CB346" s="513"/>
      <c r="CC346" s="513"/>
      <c r="CD346" s="513"/>
      <c r="CE346" s="513"/>
      <c r="CF346" s="513"/>
      <c r="CG346" s="513"/>
      <c r="CH346" s="513"/>
      <c r="CI346" s="513"/>
      <c r="CJ346" s="513"/>
      <c r="CK346" s="513"/>
      <c r="CL346" s="513"/>
      <c r="CM346" s="513"/>
      <c r="CN346" s="513"/>
      <c r="CO346" s="513"/>
      <c r="CP346" s="513"/>
      <c r="CQ346" s="513"/>
      <c r="CR346" s="513"/>
      <c r="CS346" s="513"/>
      <c r="CT346" s="513"/>
      <c r="CU346" s="513"/>
      <c r="CV346" s="513"/>
      <c r="CW346" s="513"/>
      <c r="CX346" s="513"/>
      <c r="CY346" s="513"/>
      <c r="CZ346" s="513"/>
      <c r="DA346" s="513"/>
      <c r="DB346" s="513"/>
      <c r="DC346" s="513"/>
      <c r="DD346" s="513"/>
      <c r="DE346" s="513"/>
      <c r="DF346" s="513"/>
      <c r="DG346" s="513"/>
      <c r="DH346" s="513"/>
      <c r="DI346" s="513"/>
      <c r="DJ346" s="513"/>
      <c r="DK346" s="513"/>
      <c r="DL346" s="513"/>
      <c r="DM346" s="513"/>
      <c r="DN346" s="513"/>
      <c r="DO346" s="513"/>
      <c r="DP346" s="513"/>
      <c r="DQ346" s="513"/>
      <c r="DR346" s="513"/>
      <c r="DS346" s="513"/>
      <c r="DT346" s="513"/>
      <c r="DU346" s="513"/>
      <c r="DV346" s="61"/>
      <c r="DW346" s="336">
        <f t="shared" si="2108"/>
        <v>0</v>
      </c>
      <c r="DX346" s="336">
        <f t="shared" si="2102"/>
        <v>0</v>
      </c>
      <c r="DY346" s="336">
        <f t="shared" si="2103"/>
        <v>0</v>
      </c>
      <c r="DZ346" s="336">
        <f t="shared" si="2104"/>
        <v>0</v>
      </c>
      <c r="EA346" s="336">
        <f t="shared" si="2105"/>
        <v>0</v>
      </c>
      <c r="EB346" s="336">
        <f t="shared" si="2106"/>
        <v>0</v>
      </c>
      <c r="EC346" s="336">
        <f t="shared" si="2107"/>
        <v>0</v>
      </c>
      <c r="ED346" s="336">
        <f t="shared" si="2019"/>
        <v>0</v>
      </c>
      <c r="EE346" s="336">
        <f t="shared" si="2020"/>
        <v>0</v>
      </c>
      <c r="EF346" s="336">
        <f t="shared" si="2021"/>
        <v>0</v>
      </c>
      <c r="EG346" s="336">
        <f t="shared" si="2022"/>
        <v>0</v>
      </c>
      <c r="EH346" s="336">
        <f t="shared" si="2023"/>
        <v>0</v>
      </c>
      <c r="EI346" s="336">
        <f t="shared" si="2024"/>
        <v>0</v>
      </c>
      <c r="EJ346" s="336">
        <f t="shared" si="2025"/>
        <v>0</v>
      </c>
      <c r="EK346" s="336">
        <f t="shared" si="2026"/>
        <v>0</v>
      </c>
      <c r="EL346" s="336">
        <f t="shared" si="2027"/>
        <v>0</v>
      </c>
      <c r="EM346" s="336">
        <f t="shared" si="2028"/>
        <v>0</v>
      </c>
      <c r="EN346" s="336">
        <f t="shared" si="2029"/>
        <v>0</v>
      </c>
      <c r="EO346" s="336">
        <f t="shared" si="2030"/>
        <v>0</v>
      </c>
      <c r="EP346" s="336">
        <f t="shared" si="2031"/>
        <v>0</v>
      </c>
      <c r="EQ346" s="336">
        <f t="shared" si="2032"/>
        <v>0</v>
      </c>
      <c r="ER346" s="336">
        <f t="shared" si="2033"/>
        <v>0</v>
      </c>
      <c r="ES346" s="336">
        <f t="shared" si="2034"/>
        <v>0</v>
      </c>
      <c r="ET346" s="336">
        <f t="shared" si="2034"/>
        <v>0</v>
      </c>
      <c r="EU346" s="336">
        <f t="shared" si="2035"/>
        <v>0</v>
      </c>
      <c r="EV346" s="336">
        <f t="shared" si="2036"/>
        <v>0</v>
      </c>
      <c r="EW346" s="336">
        <f t="shared" si="2037"/>
        <v>0</v>
      </c>
      <c r="EX346" s="336">
        <f t="shared" si="2038"/>
        <v>0</v>
      </c>
      <c r="EY346" s="336">
        <f t="shared" si="2039"/>
        <v>0</v>
      </c>
      <c r="EZ346" s="336">
        <f t="shared" si="2040"/>
        <v>0</v>
      </c>
      <c r="FA346" s="336">
        <f t="shared" si="2041"/>
        <v>0</v>
      </c>
      <c r="FB346" s="336">
        <f t="shared" si="2042"/>
        <v>0</v>
      </c>
      <c r="FC346" s="336">
        <f t="shared" si="2043"/>
        <v>0</v>
      </c>
      <c r="FD346" s="336">
        <f t="shared" si="2044"/>
        <v>0</v>
      </c>
      <c r="FE346" s="336">
        <f t="shared" si="2045"/>
        <v>0</v>
      </c>
      <c r="FF346" s="336">
        <f t="shared" si="2046"/>
        <v>0</v>
      </c>
      <c r="FG346" s="336">
        <f t="shared" si="2047"/>
        <v>0</v>
      </c>
      <c r="FH346" s="336">
        <f t="shared" si="2048"/>
        <v>0</v>
      </c>
      <c r="FI346" s="336">
        <f t="shared" si="2049"/>
        <v>0</v>
      </c>
      <c r="FJ346" s="336">
        <f t="shared" si="2050"/>
        <v>0</v>
      </c>
      <c r="FK346" s="336">
        <f t="shared" si="2051"/>
        <v>0</v>
      </c>
      <c r="FL346" s="336">
        <f t="shared" si="2052"/>
        <v>0</v>
      </c>
      <c r="FM346" s="336">
        <f t="shared" si="2053"/>
        <v>0</v>
      </c>
      <c r="FN346" s="336">
        <f t="shared" si="2054"/>
        <v>0</v>
      </c>
      <c r="FO346" s="492">
        <f t="shared" si="2055"/>
        <v>0</v>
      </c>
      <c r="FP346" s="492">
        <f t="shared" si="2056"/>
        <v>0</v>
      </c>
      <c r="FQ346" s="492">
        <f t="shared" si="2057"/>
        <v>0</v>
      </c>
      <c r="FR346" s="492">
        <f t="shared" si="2058"/>
        <v>0</v>
      </c>
      <c r="FS346" s="492">
        <f t="shared" si="2059"/>
        <v>0</v>
      </c>
      <c r="FT346" s="492">
        <f t="shared" si="2060"/>
        <v>0</v>
      </c>
      <c r="FU346" s="336">
        <f t="shared" si="2262"/>
        <v>0</v>
      </c>
      <c r="FV346" s="336">
        <f t="shared" si="2263"/>
        <v>0</v>
      </c>
      <c r="FW346" s="336">
        <f t="shared" si="2264"/>
        <v>0</v>
      </c>
      <c r="FX346" s="336">
        <f t="shared" si="2265"/>
        <v>0</v>
      </c>
      <c r="FY346" s="492">
        <f t="shared" si="2061"/>
        <v>0</v>
      </c>
      <c r="FZ346" s="492">
        <f t="shared" si="2062"/>
        <v>0</v>
      </c>
      <c r="GA346" s="492">
        <f t="shared" si="2063"/>
        <v>0</v>
      </c>
      <c r="GB346" s="492">
        <f t="shared" si="2064"/>
        <v>0</v>
      </c>
      <c r="GC346" s="492">
        <f t="shared" si="2065"/>
        <v>0</v>
      </c>
      <c r="GD346" s="492">
        <f t="shared" si="2066"/>
        <v>0</v>
      </c>
      <c r="GE346" s="492">
        <f t="shared" si="2067"/>
        <v>0</v>
      </c>
      <c r="GF346" s="492">
        <f t="shared" si="2068"/>
        <v>0</v>
      </c>
      <c r="GG346" s="492">
        <f t="shared" si="2069"/>
        <v>0</v>
      </c>
      <c r="GH346" s="492">
        <f t="shared" si="2070"/>
        <v>0</v>
      </c>
      <c r="GI346" s="492">
        <f t="shared" si="2071"/>
        <v>0</v>
      </c>
      <c r="GJ346" s="492">
        <f t="shared" si="2072"/>
        <v>0</v>
      </c>
      <c r="GK346" s="492">
        <f t="shared" si="1988"/>
        <v>0</v>
      </c>
      <c r="GL346" s="336">
        <f t="shared" si="2266"/>
        <v>0</v>
      </c>
      <c r="GM346" s="492">
        <f t="shared" si="2073"/>
        <v>0</v>
      </c>
    </row>
    <row r="347" spans="1:195">
      <c r="A347" s="337">
        <f>1+A339</f>
        <v>222</v>
      </c>
      <c r="B347" s="526" t="s">
        <v>770</v>
      </c>
      <c r="C347" s="337" t="str">
        <f>$D$293</f>
        <v>PDB-1</v>
      </c>
      <c r="D347" s="372" t="s">
        <v>771</v>
      </c>
      <c r="E347" s="500" t="s">
        <v>608</v>
      </c>
      <c r="F347" s="570" t="s">
        <v>28</v>
      </c>
      <c r="G347" s="337" t="s">
        <v>329</v>
      </c>
      <c r="H347" s="350">
        <v>31.073684210526316</v>
      </c>
      <c r="I347" s="337" t="s">
        <v>330</v>
      </c>
      <c r="J347" s="337" t="s">
        <v>331</v>
      </c>
      <c r="K347" s="349">
        <v>400</v>
      </c>
      <c r="L347" s="343">
        <v>0.85</v>
      </c>
      <c r="M347" s="350">
        <v>0.95</v>
      </c>
      <c r="N347" s="342">
        <f>IF(I347="kVA",IF(J347="3Ph",(H347*1000/(1.732*M347*K347)),(H347*1000/(M347*K347))),IF(I347="kW",IF(J347="3Ph",(H347*1000/(1.732*M347*K347*L347)),(H347*1000/(M347*K347*L347)))))</f>
        <v>55.544663215321002</v>
      </c>
      <c r="O347" s="342">
        <f t="shared" si="2111"/>
        <v>0</v>
      </c>
      <c r="P347" s="343" t="str">
        <f>IF(G347="MOTOR",0.2,"0.00")</f>
        <v>0.00</v>
      </c>
      <c r="Q347" s="350">
        <v>50</v>
      </c>
      <c r="R347" s="350">
        <v>0</v>
      </c>
      <c r="S347" s="350">
        <f>(Q347*1000*SQRT(R347)/143)</f>
        <v>0</v>
      </c>
      <c r="T347" s="343" t="s">
        <v>131</v>
      </c>
      <c r="U347" s="350" t="s">
        <v>535</v>
      </c>
      <c r="V347" s="343">
        <v>25</v>
      </c>
      <c r="W347" s="343" t="str">
        <f>CONCATENATE(U347," X ",V347)</f>
        <v>3.5C X 25</v>
      </c>
      <c r="X347" s="343" t="str">
        <f>(IF(J347="1Ph",W347,IF(J347="3Ph",(IF(G347="MOTOR",(CONCATENATE(W347,"+PE")),W347)))))</f>
        <v>3.5C X 25</v>
      </c>
      <c r="Y347" s="343" t="s">
        <v>358</v>
      </c>
      <c r="Z347" s="344">
        <f>IF(T347="AIR",VLOOKUP(W347,'Catalogue Aluminium'!$B$9:$G$93,2,FALSE),IF(T347="GROUND",VLOOKUP(W347,'Catalogue Aluminium'!$B$9:$G$93,3,FALSE),IF(T347="DUCT",VLOOKUP(W347,'Catalogue Aluminium'!$B$9:$G$93,4,FALSE),IF(T347="TRENCH",VLOOKUP(W347,'Catalogue Aluminium'!$B$9:$G$93,2,FALSE)))))</f>
        <v>95</v>
      </c>
      <c r="AA347" s="345">
        <f>VLOOKUP(W347,'Catalogue Aluminium'!$B$9:$G$93,5,FALSE)</f>
        <v>1.54</v>
      </c>
      <c r="AB347" s="345">
        <f>VLOOKUP(W347,'Catalogue Aluminium'!$B$9:$G$93,6,FALSE)</f>
        <v>8.1600000000000006E-2</v>
      </c>
      <c r="AC347" s="457">
        <v>15</v>
      </c>
      <c r="AD347" s="388">
        <v>0</v>
      </c>
      <c r="AE347" s="457">
        <v>5</v>
      </c>
      <c r="AF347" s="401">
        <v>8</v>
      </c>
      <c r="AG347" s="401">
        <f t="shared" ref="AG347:AG348" si="2485">ROUNDUP((SUM(AC347:AF347)*0.1),0)</f>
        <v>3</v>
      </c>
      <c r="AH347" s="347">
        <f t="shared" ref="AH347:AH348" si="2486">SUM(AC347:AG347)</f>
        <v>31</v>
      </c>
      <c r="AI347" s="344">
        <f>IF(T347="AIR",'Catalogue Aluminium'!$K$9,IF(T347="TRENCH",'Catalogue Aluminium'!$K$12,"NA"))</f>
        <v>0.89</v>
      </c>
      <c r="AJ347" s="342">
        <f>IF(T347="Air",(IF(U347="1C",'Catalogue Aluminium'!$L$9,'Catalogue Aluminium'!$M$9)),IF(T347="DUCT",(IF($U347="1C",'Catalogue Aluminium'!$L$10,'Catalogue Aluminium'!$M$10)),IF(T347="GROUND",(IF($U347="1C",'Catalogue Aluminium'!$L$11,'Catalogue Aluminium'!$M$11)),IF(T347="TRENCH",(IF($U347="1C",'Catalogue Aluminium'!$L$12,'Catalogue Aluminium'!$M$12))))))</f>
        <v>0.66</v>
      </c>
      <c r="AK347" s="344" t="str">
        <f>IF(T347="Air",'Catalogue Aluminium'!$N$9,IF(T347="GROUND",'Catalogue Aluminium'!$N$10,IF(T347="DUCT",'Catalogue Aluminium'!$N$11,IF(T347="TRENCH",'Catalogue Aluminium'!$N$12,"NA"))))</f>
        <v>NA</v>
      </c>
      <c r="AL347" s="344" t="str">
        <f>IF(T347="Air",(IF(U347="1C",'Catalogue Aluminium'!$O$9,'Catalogue Aluminium'!$P$9)),IF(T347="DUCT",(IF($U347="1C",'Catalogue Aluminium'!$O$10,'Catalogue Aluminium'!$P$10)),IF(T347="GROUND",(IF($U347="1C",'Catalogue Aluminium'!$O$11,'Catalogue Aluminium'!$P$11)),IF(T347="TRENCH",(IF($U347="1C",'Catalogue Aluminium'!$O$12,'Catalogue Aluminium'!$P$12))))))</f>
        <v>NA</v>
      </c>
      <c r="AM347" s="344" t="str">
        <f>IF(T347="AIR","NA",IF(T347="TRENCH","NA",IF(T347="DUCT",IF(U347="1C",VLOOKUP(V347,'Catalogue Aluminium'!$Q$9:$S$28,2,FALSE),VLOOKUP(V347,'Catalogue Aluminium'!$Q$9:$S$28,3)),IF(T347="GROUND",IF(U347="1C",VLOOKUP(V347,'Catalogue Aluminium'!$Q$9:$S$28,2,FALSE),VLOOKUP(V347,'Catalogue Aluminium'!$Q$9:$S$28,3))))))</f>
        <v>NA</v>
      </c>
      <c r="AN347" s="351">
        <f>IF(T347="AIR",AI347*AJ347,IF(T347="TRENCH",AI347*AJ347,IF(T347="DUCT",AJ347*AK347*AL347*AM347,IF(T347="GROUND",AJ347*AK347*AL347*AM347))))</f>
        <v>0.58740000000000003</v>
      </c>
      <c r="AO347" s="350">
        <f>Z347*AN347</f>
        <v>55.803000000000004</v>
      </c>
      <c r="AP347" s="349">
        <f t="shared" ref="AP347:AP348" si="2487">CEILING(((N347)/AO347),1)</f>
        <v>1</v>
      </c>
      <c r="AQ347" s="350" t="str">
        <f>IF(AO347*AP347&gt;=N347,"YES","NO")</f>
        <v>YES</v>
      </c>
      <c r="AR347" s="351">
        <f>SQRT(3)*AH347*N347*((AA347*L347)+(AB347*SIN(ACOS(L347))))*100/(AP347*K347*1000)</f>
        <v>1.0080375056966653</v>
      </c>
      <c r="AS347" s="343" t="str">
        <f>IF(G347="INCOMER",(IF(AR347&lt;=2,"YES","NO")),IF(G347="POWER",(IF(AR347&lt;=2.5,"YES","NO")),IF(G347="MOTOR",(IF(AR347&lt;=3,"YES","NO")))))</f>
        <v>YES</v>
      </c>
      <c r="AT347" s="351" t="str">
        <f>IF(G347="MOTOR",(SQRT(3)*AH347*O347*((AA347*P347)+(AB347*SIN(ACOS(P347))))*100/(AP347*K347*1000)),"NA")</f>
        <v>NA</v>
      </c>
      <c r="AU347" s="343" t="str">
        <f>IF(G347="MOTOR",IF(AT347&lt;=15,"YES","NO"),"NA")</f>
        <v>NA</v>
      </c>
      <c r="AV347" s="354" t="str">
        <f>IF(U347="1C",CONCATENATE(AP347,"R x ",Y347,"kV x ",U347," x ",V347," Sqmm/Phase"),CONCATENATE(AP347,"R x ",0.6,"/1kV x ",U347," x ",V347," Sqmm"))</f>
        <v>1R x 0.6/1kV x 3.5C x 25 Sqmm</v>
      </c>
      <c r="AW347" s="354" t="str">
        <f>IF(U347="1C",CONCATENATE(AP347,"R x ",Y347,"kV x ",U347," x ",V347," Sqmm/Phase"),CONCATENATE(AP347,"R x ",0.6,"/1kV x ",U347," x ",V347,(IF(G347="MOTOR","+PE",""))," Sqmm"))</f>
        <v>1R x 0.6/1kV x 3.5C x 25 Sqmm</v>
      </c>
      <c r="AX347" s="343">
        <f>(IF(K347=400,(IF(U347="1C",(4*AH347*AP347),(AH347*AP347))),IF(K347=230,(AH347*AP347))))</f>
        <v>31</v>
      </c>
      <c r="AY347" s="355"/>
      <c r="AZ347" s="355">
        <f>IF(U347="1C",(3*AP347*2),(AP347*2))</f>
        <v>2</v>
      </c>
      <c r="BA347" s="356" t="str">
        <f t="shared" si="2268"/>
        <v/>
      </c>
      <c r="BB347" s="501">
        <f>VLOOKUP(W347,'Catalogue Aluminium'!$B$9:$H$93,7,FALSE)</f>
        <v>25</v>
      </c>
      <c r="BC347" s="328">
        <f>AP347*BB347</f>
        <v>25</v>
      </c>
      <c r="BE347" s="336"/>
      <c r="BF347" s="336"/>
      <c r="BG347" s="336"/>
      <c r="BH347" s="336"/>
      <c r="BI347" s="336"/>
      <c r="BJ347" s="336"/>
      <c r="BK347" s="336"/>
      <c r="BL347" s="336"/>
      <c r="BM347" s="336"/>
      <c r="BN347" s="336"/>
      <c r="BO347" s="336"/>
      <c r="BP347" s="336"/>
      <c r="BQ347" s="336"/>
      <c r="BR347" s="336"/>
      <c r="BS347" s="336"/>
      <c r="BT347" s="336"/>
      <c r="BU347" s="336"/>
      <c r="BV347" s="336"/>
      <c r="BW347" s="336"/>
      <c r="BX347" s="336"/>
      <c r="BY347" s="336"/>
      <c r="BZ347" s="336"/>
      <c r="CA347" s="336"/>
      <c r="CB347" s="336"/>
      <c r="CC347" s="336"/>
      <c r="CD347" s="336"/>
      <c r="CE347" s="336"/>
      <c r="CF347" s="336"/>
      <c r="CG347" s="336"/>
      <c r="CH347" s="336"/>
      <c r="CI347" s="336"/>
      <c r="CJ347" s="336"/>
      <c r="CK347" s="336"/>
      <c r="CL347" s="336"/>
      <c r="CM347" s="336"/>
      <c r="CN347" s="336"/>
      <c r="CO347" s="336"/>
      <c r="CP347" s="336"/>
      <c r="CQ347" s="336"/>
      <c r="CR347" s="336"/>
      <c r="CS347" s="336"/>
      <c r="CT347" s="336"/>
      <c r="CU347" s="336"/>
      <c r="CV347" s="336"/>
      <c r="CW347" s="336"/>
      <c r="CX347" s="336"/>
      <c r="CY347" s="336"/>
      <c r="CZ347" s="336"/>
      <c r="DA347" s="336"/>
      <c r="DB347" s="336"/>
      <c r="DC347" s="336"/>
      <c r="DD347" s="336"/>
      <c r="DE347" s="336"/>
      <c r="DF347" s="336"/>
      <c r="DG347" s="336"/>
      <c r="DH347" s="336"/>
      <c r="DI347" s="336"/>
      <c r="DJ347" s="336"/>
      <c r="DK347" s="336"/>
      <c r="DL347" s="336"/>
      <c r="DM347" s="336"/>
      <c r="DN347" s="336"/>
      <c r="DO347" s="336"/>
      <c r="DP347" s="336"/>
      <c r="DQ347" s="336"/>
      <c r="DR347" s="336"/>
      <c r="DS347" s="336"/>
      <c r="DT347" s="336"/>
      <c r="DU347" s="336"/>
      <c r="DW347" s="336">
        <f t="shared" si="2108"/>
        <v>0</v>
      </c>
      <c r="DX347" s="336">
        <f t="shared" si="2102"/>
        <v>0</v>
      </c>
      <c r="DY347" s="336">
        <f t="shared" si="2103"/>
        <v>0</v>
      </c>
      <c r="DZ347" s="336">
        <f t="shared" si="2104"/>
        <v>0</v>
      </c>
      <c r="EA347" s="336">
        <f t="shared" si="2105"/>
        <v>0</v>
      </c>
      <c r="EB347" s="336">
        <f t="shared" si="2106"/>
        <v>0</v>
      </c>
      <c r="EC347" s="336">
        <f t="shared" si="2107"/>
        <v>0</v>
      </c>
      <c r="ED347" s="336">
        <f t="shared" si="2019"/>
        <v>0</v>
      </c>
      <c r="EE347" s="336">
        <f t="shared" si="2020"/>
        <v>0</v>
      </c>
      <c r="EF347" s="336">
        <f t="shared" si="2021"/>
        <v>0</v>
      </c>
      <c r="EG347" s="336">
        <f t="shared" si="2022"/>
        <v>0</v>
      </c>
      <c r="EH347" s="336">
        <f t="shared" si="2023"/>
        <v>0</v>
      </c>
      <c r="EI347" s="336">
        <f t="shared" si="2024"/>
        <v>0</v>
      </c>
      <c r="EJ347" s="336">
        <f t="shared" si="2025"/>
        <v>0</v>
      </c>
      <c r="EK347" s="336">
        <f t="shared" si="2026"/>
        <v>0</v>
      </c>
      <c r="EL347" s="336">
        <f t="shared" si="2027"/>
        <v>0</v>
      </c>
      <c r="EM347" s="336">
        <f t="shared" si="2028"/>
        <v>0</v>
      </c>
      <c r="EN347" s="336">
        <f t="shared" si="2029"/>
        <v>0</v>
      </c>
      <c r="EO347" s="336">
        <f t="shared" si="2030"/>
        <v>0</v>
      </c>
      <c r="EP347" s="336">
        <f t="shared" si="2031"/>
        <v>0</v>
      </c>
      <c r="EQ347" s="336">
        <f t="shared" si="2032"/>
        <v>0</v>
      </c>
      <c r="ER347" s="336">
        <f t="shared" si="2033"/>
        <v>0</v>
      </c>
      <c r="ES347" s="336">
        <f t="shared" si="2034"/>
        <v>0</v>
      </c>
      <c r="ET347" s="336">
        <f t="shared" si="2034"/>
        <v>0</v>
      </c>
      <c r="EU347" s="336">
        <f t="shared" si="2035"/>
        <v>0</v>
      </c>
      <c r="EV347" s="336">
        <f t="shared" si="2036"/>
        <v>0</v>
      </c>
      <c r="EW347" s="336">
        <f t="shared" si="2037"/>
        <v>0</v>
      </c>
      <c r="EX347" s="336">
        <f t="shared" si="2038"/>
        <v>0</v>
      </c>
      <c r="EY347" s="336">
        <f t="shared" si="2039"/>
        <v>0</v>
      </c>
      <c r="EZ347" s="336">
        <f t="shared" si="2040"/>
        <v>0</v>
      </c>
      <c r="FA347" s="336">
        <f t="shared" si="2041"/>
        <v>0</v>
      </c>
      <c r="FB347" s="336">
        <f t="shared" si="2042"/>
        <v>0</v>
      </c>
      <c r="FC347" s="336">
        <f t="shared" si="2043"/>
        <v>0</v>
      </c>
      <c r="FD347" s="336">
        <f t="shared" si="2044"/>
        <v>0</v>
      </c>
      <c r="FE347" s="336">
        <f t="shared" si="2045"/>
        <v>0</v>
      </c>
      <c r="FF347" s="336">
        <f t="shared" si="2046"/>
        <v>0</v>
      </c>
      <c r="FG347" s="336">
        <f t="shared" si="2047"/>
        <v>0</v>
      </c>
      <c r="FH347" s="336">
        <f t="shared" si="2048"/>
        <v>0</v>
      </c>
      <c r="FI347" s="336">
        <f t="shared" si="2049"/>
        <v>0</v>
      </c>
      <c r="FJ347" s="336">
        <f t="shared" si="2050"/>
        <v>0</v>
      </c>
      <c r="FK347" s="336">
        <f t="shared" si="2051"/>
        <v>0</v>
      </c>
      <c r="FL347" s="336">
        <f t="shared" si="2052"/>
        <v>0</v>
      </c>
      <c r="FM347" s="336">
        <f t="shared" si="2053"/>
        <v>0</v>
      </c>
      <c r="FN347" s="336">
        <f t="shared" si="2054"/>
        <v>0</v>
      </c>
      <c r="FO347" s="336">
        <f t="shared" si="2055"/>
        <v>0</v>
      </c>
      <c r="FP347" s="336">
        <f t="shared" si="2056"/>
        <v>0</v>
      </c>
      <c r="FQ347" s="336">
        <f t="shared" si="2057"/>
        <v>0</v>
      </c>
      <c r="FR347" s="336">
        <f t="shared" si="2058"/>
        <v>0</v>
      </c>
      <c r="FS347" s="336">
        <f t="shared" si="2059"/>
        <v>0</v>
      </c>
      <c r="FT347" s="336">
        <f t="shared" si="2060"/>
        <v>0</v>
      </c>
      <c r="FU347" s="336">
        <f t="shared" si="2262"/>
        <v>0</v>
      </c>
      <c r="FV347" s="336">
        <f t="shared" si="2263"/>
        <v>0</v>
      </c>
      <c r="FW347" s="336">
        <f t="shared" si="2264"/>
        <v>0</v>
      </c>
      <c r="FX347" s="336">
        <f t="shared" si="2265"/>
        <v>0</v>
      </c>
      <c r="FY347" s="336">
        <f t="shared" si="2061"/>
        <v>0</v>
      </c>
      <c r="FZ347" s="336">
        <f t="shared" si="2062"/>
        <v>0</v>
      </c>
      <c r="GA347" s="336">
        <f t="shared" si="2063"/>
        <v>0</v>
      </c>
      <c r="GB347" s="336">
        <f t="shared" si="2064"/>
        <v>0</v>
      </c>
      <c r="GC347" s="336">
        <f t="shared" si="2065"/>
        <v>0</v>
      </c>
      <c r="GD347" s="336">
        <f t="shared" si="2066"/>
        <v>0</v>
      </c>
      <c r="GE347" s="336">
        <f t="shared" si="2067"/>
        <v>0</v>
      </c>
      <c r="GF347" s="336">
        <f t="shared" si="2068"/>
        <v>0</v>
      </c>
      <c r="GG347" s="336">
        <f t="shared" si="2069"/>
        <v>0</v>
      </c>
      <c r="GH347" s="336">
        <f t="shared" si="2070"/>
        <v>0</v>
      </c>
      <c r="GI347" s="336">
        <f t="shared" si="2071"/>
        <v>0</v>
      </c>
      <c r="GJ347" s="336">
        <f t="shared" si="2072"/>
        <v>0</v>
      </c>
      <c r="GK347" s="336">
        <f t="shared" si="1988"/>
        <v>0</v>
      </c>
      <c r="GL347" s="336">
        <f t="shared" si="2266"/>
        <v>0</v>
      </c>
      <c r="GM347" s="336">
        <f t="shared" si="2073"/>
        <v>0</v>
      </c>
    </row>
    <row r="348" spans="1:195">
      <c r="A348" s="337">
        <f t="shared" ref="A348:A369" si="2488">1+A347</f>
        <v>223</v>
      </c>
      <c r="B348" s="526" t="s">
        <v>770</v>
      </c>
      <c r="C348" s="337" t="str">
        <f>$D$293</f>
        <v>PDB-1</v>
      </c>
      <c r="D348" s="372" t="s">
        <v>772</v>
      </c>
      <c r="E348" s="500" t="s">
        <v>608</v>
      </c>
      <c r="F348" s="570" t="s">
        <v>29</v>
      </c>
      <c r="G348" s="337" t="s">
        <v>329</v>
      </c>
      <c r="H348" s="350">
        <v>31.073684210526316</v>
      </c>
      <c r="I348" s="337" t="s">
        <v>330</v>
      </c>
      <c r="J348" s="337" t="s">
        <v>331</v>
      </c>
      <c r="K348" s="349">
        <v>400</v>
      </c>
      <c r="L348" s="343">
        <v>0.85</v>
      </c>
      <c r="M348" s="350">
        <v>0.95</v>
      </c>
      <c r="N348" s="342">
        <f>IF(I348="kVA",IF(J348="3Ph",(H348*1000/(1.732*M348*K348)),(H348*1000/(M348*K348))),IF(I348="kW",IF(J348="3Ph",(H348*1000/(1.732*M348*K348*L348)),(H348*1000/(M348*K348*L348)))))</f>
        <v>55.544663215321002</v>
      </c>
      <c r="O348" s="342">
        <f t="shared" si="2111"/>
        <v>0</v>
      </c>
      <c r="P348" s="343" t="str">
        <f>IF(G348="MOTOR",0.2,"0.00")</f>
        <v>0.00</v>
      </c>
      <c r="Q348" s="350">
        <v>50</v>
      </c>
      <c r="R348" s="350">
        <v>0</v>
      </c>
      <c r="S348" s="350">
        <f>(Q348*1000*SQRT(R348)/143)</f>
        <v>0</v>
      </c>
      <c r="T348" s="343" t="s">
        <v>131</v>
      </c>
      <c r="U348" s="350" t="s">
        <v>535</v>
      </c>
      <c r="V348" s="343">
        <v>25</v>
      </c>
      <c r="W348" s="343" t="str">
        <f>CONCATENATE(U348," X ",V348)</f>
        <v>3.5C X 25</v>
      </c>
      <c r="X348" s="343" t="str">
        <f>(IF(J348="1Ph",W348,IF(J348="3Ph",(IF(G348="MOTOR",(CONCATENATE(W348,"+PE")),W348)))))</f>
        <v>3.5C X 25</v>
      </c>
      <c r="Y348" s="343" t="s">
        <v>358</v>
      </c>
      <c r="Z348" s="344">
        <f>IF(T348="AIR",VLOOKUP(W348,'Catalogue Aluminium'!$B$9:$G$93,2,FALSE),IF(T348="GROUND",VLOOKUP(W348,'Catalogue Aluminium'!$B$9:$G$93,3,FALSE),IF(T348="DUCT",VLOOKUP(W348,'Catalogue Aluminium'!$B$9:$G$93,4,FALSE),IF(T348="TRENCH",VLOOKUP(W348,'Catalogue Aluminium'!$B$9:$G$93,2,FALSE)))))</f>
        <v>95</v>
      </c>
      <c r="AA348" s="345">
        <f>VLOOKUP(W348,'Catalogue Aluminium'!$B$9:$G$93,5,FALSE)</f>
        <v>1.54</v>
      </c>
      <c r="AB348" s="345">
        <f>VLOOKUP(W348,'Catalogue Aluminium'!$B$9:$G$93,6,FALSE)</f>
        <v>8.1600000000000006E-2</v>
      </c>
      <c r="AC348" s="457">
        <v>15</v>
      </c>
      <c r="AD348" s="388">
        <v>0</v>
      </c>
      <c r="AE348" s="457">
        <v>5</v>
      </c>
      <c r="AF348" s="401">
        <v>8</v>
      </c>
      <c r="AG348" s="401">
        <f t="shared" si="2485"/>
        <v>3</v>
      </c>
      <c r="AH348" s="347">
        <f t="shared" si="2486"/>
        <v>31</v>
      </c>
      <c r="AI348" s="344">
        <f>IF(T348="AIR",'Catalogue Aluminium'!$K$9,IF(T348="TRENCH",'Catalogue Aluminium'!$K$12,"NA"))</f>
        <v>0.89</v>
      </c>
      <c r="AJ348" s="342">
        <f>IF(T348="Air",(IF(U348="1C",'Catalogue Aluminium'!$L$9,'Catalogue Aluminium'!$M$9)),IF(T348="DUCT",(IF($U348="1C",'Catalogue Aluminium'!$L$10,'Catalogue Aluminium'!$M$10)),IF(T348="GROUND",(IF($U348="1C",'Catalogue Aluminium'!$L$11,'Catalogue Aluminium'!$M$11)),IF(T348="TRENCH",(IF($U348="1C",'Catalogue Aluminium'!$L$12,'Catalogue Aluminium'!$M$12))))))</f>
        <v>0.66</v>
      </c>
      <c r="AK348" s="344" t="str">
        <f>IF(T348="Air",'Catalogue Aluminium'!$N$9,IF(T348="GROUND",'Catalogue Aluminium'!$N$10,IF(T348="DUCT",'Catalogue Aluminium'!$N$11,IF(T348="TRENCH",'Catalogue Aluminium'!$N$12,"NA"))))</f>
        <v>NA</v>
      </c>
      <c r="AL348" s="344" t="str">
        <f>IF(T348="Air",(IF(U348="1C",'Catalogue Aluminium'!$O$9,'Catalogue Aluminium'!$P$9)),IF(T348="DUCT",(IF($U348="1C",'Catalogue Aluminium'!$O$10,'Catalogue Aluminium'!$P$10)),IF(T348="GROUND",(IF($U348="1C",'Catalogue Aluminium'!$O$11,'Catalogue Aluminium'!$P$11)),IF(T348="TRENCH",(IF($U348="1C",'Catalogue Aluminium'!$O$12,'Catalogue Aluminium'!$P$12))))))</f>
        <v>NA</v>
      </c>
      <c r="AM348" s="344" t="str">
        <f>IF(T348="AIR","NA",IF(T348="TRENCH","NA",IF(T348="DUCT",IF(U348="1C",VLOOKUP(V348,'Catalogue Aluminium'!$Q$9:$S$28,2,FALSE),VLOOKUP(V348,'Catalogue Aluminium'!$Q$9:$S$28,3)),IF(T348="GROUND",IF(U348="1C",VLOOKUP(V348,'Catalogue Aluminium'!$Q$9:$S$28,2,FALSE),VLOOKUP(V348,'Catalogue Aluminium'!$Q$9:$S$28,3))))))</f>
        <v>NA</v>
      </c>
      <c r="AN348" s="351">
        <f>IF(T348="AIR",AI348*AJ348,IF(T348="TRENCH",AI348*AJ348,IF(T348="DUCT",AJ348*AK348*AL348*AM348,IF(T348="GROUND",AJ348*AK348*AL348*AM348))))</f>
        <v>0.58740000000000003</v>
      </c>
      <c r="AO348" s="350">
        <f>Z348*AN348</f>
        <v>55.803000000000004</v>
      </c>
      <c r="AP348" s="349">
        <f t="shared" si="2487"/>
        <v>1</v>
      </c>
      <c r="AQ348" s="350" t="str">
        <f>IF(AO348*AP348&gt;=N348,"YES","NO")</f>
        <v>YES</v>
      </c>
      <c r="AR348" s="351">
        <f>SQRT(3)*AH348*N348*((AA348*L348)+(AB348*SIN(ACOS(L348))))*100/(AP348*K348*1000)</f>
        <v>1.0080375056966653</v>
      </c>
      <c r="AS348" s="343" t="str">
        <f>IF(G348="INCOMER",(IF(AR348&lt;=2,"YES","NO")),IF(G348="POWER",(IF(AR348&lt;=2.5,"YES","NO")),IF(G348="MOTOR",(IF(AR348&lt;=3,"YES","NO")))))</f>
        <v>YES</v>
      </c>
      <c r="AT348" s="351" t="str">
        <f>IF(G348="MOTOR",(SQRT(3)*AH348*O348*((AA348*P348)+(AB348*SIN(ACOS(P348))))*100/(AP348*K348*1000)),"NA")</f>
        <v>NA</v>
      </c>
      <c r="AU348" s="343" t="str">
        <f>IF(G348="MOTOR",IF(AT348&lt;=15,"YES","NO"),"NA")</f>
        <v>NA</v>
      </c>
      <c r="AV348" s="354" t="str">
        <f>IF(U348="1C",CONCATENATE(AP348,"R x ",Y348,"kV x ",U348," x ",V348," Sqmm/Phase"),CONCATENATE(AP348,"R x ",0.6,"/1kV x ",U348," x ",V348," Sqmm"))</f>
        <v>1R x 0.6/1kV x 3.5C x 25 Sqmm</v>
      </c>
      <c r="AW348" s="354" t="str">
        <f>IF(U348="1C",CONCATENATE(AP348,"R x ",Y348,"kV x ",U348," x ",V348," Sqmm/Phase"),CONCATENATE(AP348,"R x ",0.6,"/1kV x ",U348," x ",V348,(IF(G348="MOTOR","+PE",""))," Sqmm"))</f>
        <v>1R x 0.6/1kV x 3.5C x 25 Sqmm</v>
      </c>
      <c r="AX348" s="343">
        <f>(IF(K348=400,(IF(U348="1C",(4*AH348*AP348),(AH348*AP348))),IF(K348=230,(AH348*AP348))))</f>
        <v>31</v>
      </c>
      <c r="AY348" s="355"/>
      <c r="AZ348" s="355">
        <f>IF(U348="1C",(3*AP348*2),(AP348*2))</f>
        <v>2</v>
      </c>
      <c r="BA348" s="356" t="str">
        <f t="shared" si="2268"/>
        <v/>
      </c>
      <c r="BB348" s="501">
        <f>VLOOKUP(W348,'Catalogue Aluminium'!$B$9:$H$93,7,FALSE)</f>
        <v>25</v>
      </c>
      <c r="BC348" s="328">
        <f>AP348*BB348</f>
        <v>25</v>
      </c>
      <c r="BE348" s="336"/>
      <c r="BF348" s="336"/>
      <c r="BG348" s="336"/>
      <c r="BH348" s="336"/>
      <c r="BI348" s="336"/>
      <c r="BJ348" s="336"/>
      <c r="BK348" s="336"/>
      <c r="BL348" s="336"/>
      <c r="BM348" s="336"/>
      <c r="BN348" s="336"/>
      <c r="BO348" s="336"/>
      <c r="BP348" s="336"/>
      <c r="BQ348" s="336"/>
      <c r="BR348" s="336"/>
      <c r="BS348" s="336"/>
      <c r="BT348" s="336"/>
      <c r="BU348" s="336"/>
      <c r="BV348" s="336"/>
      <c r="BW348" s="336"/>
      <c r="BX348" s="336"/>
      <c r="BY348" s="336"/>
      <c r="BZ348" s="336"/>
      <c r="CA348" s="336"/>
      <c r="CB348" s="336"/>
      <c r="CC348" s="336"/>
      <c r="CD348" s="336"/>
      <c r="CE348" s="336"/>
      <c r="CF348" s="336"/>
      <c r="CG348" s="336"/>
      <c r="CH348" s="336"/>
      <c r="CI348" s="336"/>
      <c r="CJ348" s="336"/>
      <c r="CK348" s="336"/>
      <c r="CL348" s="336"/>
      <c r="CM348" s="336"/>
      <c r="CN348" s="336"/>
      <c r="CO348" s="336"/>
      <c r="CP348" s="336"/>
      <c r="CQ348" s="336"/>
      <c r="CR348" s="336"/>
      <c r="CS348" s="336"/>
      <c r="CT348" s="336"/>
      <c r="CU348" s="336"/>
      <c r="CV348" s="336"/>
      <c r="CW348" s="336"/>
      <c r="CX348" s="336"/>
      <c r="CY348" s="336"/>
      <c r="CZ348" s="336"/>
      <c r="DA348" s="336"/>
      <c r="DB348" s="336"/>
      <c r="DC348" s="336"/>
      <c r="DD348" s="336"/>
      <c r="DE348" s="336"/>
      <c r="DF348" s="336"/>
      <c r="DG348" s="336"/>
      <c r="DH348" s="336"/>
      <c r="DI348" s="336"/>
      <c r="DJ348" s="336"/>
      <c r="DK348" s="336"/>
      <c r="DL348" s="336"/>
      <c r="DM348" s="336"/>
      <c r="DN348" s="336"/>
      <c r="DO348" s="336"/>
      <c r="DP348" s="336"/>
      <c r="DQ348" s="336"/>
      <c r="DR348" s="336"/>
      <c r="DS348" s="336"/>
      <c r="DT348" s="336"/>
      <c r="DU348" s="336"/>
      <c r="DW348" s="336">
        <f t="shared" si="2108"/>
        <v>0</v>
      </c>
      <c r="DX348" s="336">
        <f t="shared" si="2102"/>
        <v>0</v>
      </c>
      <c r="DY348" s="336">
        <f t="shared" si="2103"/>
        <v>0</v>
      </c>
      <c r="DZ348" s="336">
        <f t="shared" si="2104"/>
        <v>0</v>
      </c>
      <c r="EA348" s="336">
        <f t="shared" si="2105"/>
        <v>0</v>
      </c>
      <c r="EB348" s="336">
        <f t="shared" si="2106"/>
        <v>0</v>
      </c>
      <c r="EC348" s="336">
        <f t="shared" si="2107"/>
        <v>0</v>
      </c>
      <c r="ED348" s="336">
        <f t="shared" si="2019"/>
        <v>0</v>
      </c>
      <c r="EE348" s="336">
        <f t="shared" si="2020"/>
        <v>0</v>
      </c>
      <c r="EF348" s="336">
        <f t="shared" si="2021"/>
        <v>0</v>
      </c>
      <c r="EG348" s="336">
        <f t="shared" si="2022"/>
        <v>0</v>
      </c>
      <c r="EH348" s="336">
        <f t="shared" si="2023"/>
        <v>0</v>
      </c>
      <c r="EI348" s="336">
        <f t="shared" si="2024"/>
        <v>0</v>
      </c>
      <c r="EJ348" s="336">
        <f t="shared" si="2025"/>
        <v>0</v>
      </c>
      <c r="EK348" s="336">
        <f t="shared" si="2026"/>
        <v>0</v>
      </c>
      <c r="EL348" s="336">
        <f t="shared" si="2027"/>
        <v>0</v>
      </c>
      <c r="EM348" s="336">
        <f t="shared" si="2028"/>
        <v>0</v>
      </c>
      <c r="EN348" s="336">
        <f t="shared" si="2029"/>
        <v>0</v>
      </c>
      <c r="EO348" s="336">
        <f t="shared" si="2030"/>
        <v>0</v>
      </c>
      <c r="EP348" s="336">
        <f t="shared" si="2031"/>
        <v>0</v>
      </c>
      <c r="EQ348" s="336">
        <f t="shared" si="2032"/>
        <v>0</v>
      </c>
      <c r="ER348" s="336">
        <f t="shared" si="2033"/>
        <v>0</v>
      </c>
      <c r="ES348" s="336">
        <f t="shared" si="2034"/>
        <v>0</v>
      </c>
      <c r="ET348" s="336">
        <f t="shared" si="2034"/>
        <v>0</v>
      </c>
      <c r="EU348" s="336">
        <f t="shared" si="2035"/>
        <v>0</v>
      </c>
      <c r="EV348" s="336">
        <f t="shared" si="2036"/>
        <v>0</v>
      </c>
      <c r="EW348" s="336">
        <f t="shared" si="2037"/>
        <v>0</v>
      </c>
      <c r="EX348" s="336">
        <f t="shared" si="2038"/>
        <v>0</v>
      </c>
      <c r="EY348" s="336">
        <f t="shared" si="2039"/>
        <v>0</v>
      </c>
      <c r="EZ348" s="336">
        <f t="shared" si="2040"/>
        <v>0</v>
      </c>
      <c r="FA348" s="336">
        <f t="shared" si="2041"/>
        <v>0</v>
      </c>
      <c r="FB348" s="336">
        <f t="shared" si="2042"/>
        <v>0</v>
      </c>
      <c r="FC348" s="336">
        <f t="shared" si="2043"/>
        <v>0</v>
      </c>
      <c r="FD348" s="336">
        <f t="shared" si="2044"/>
        <v>0</v>
      </c>
      <c r="FE348" s="336">
        <f t="shared" si="2045"/>
        <v>0</v>
      </c>
      <c r="FF348" s="336">
        <f t="shared" si="2046"/>
        <v>0</v>
      </c>
      <c r="FG348" s="336">
        <f t="shared" si="2047"/>
        <v>0</v>
      </c>
      <c r="FH348" s="336">
        <f t="shared" si="2048"/>
        <v>0</v>
      </c>
      <c r="FI348" s="336">
        <f t="shared" si="2049"/>
        <v>0</v>
      </c>
      <c r="FJ348" s="336">
        <f t="shared" si="2050"/>
        <v>0</v>
      </c>
      <c r="FK348" s="336">
        <f t="shared" si="2051"/>
        <v>0</v>
      </c>
      <c r="FL348" s="336">
        <f t="shared" si="2052"/>
        <v>0</v>
      </c>
      <c r="FM348" s="336">
        <f t="shared" si="2053"/>
        <v>0</v>
      </c>
      <c r="FN348" s="336">
        <f t="shared" si="2054"/>
        <v>0</v>
      </c>
      <c r="FO348" s="336">
        <f t="shared" si="2055"/>
        <v>0</v>
      </c>
      <c r="FP348" s="336">
        <f t="shared" si="2056"/>
        <v>0</v>
      </c>
      <c r="FQ348" s="336">
        <f t="shared" si="2057"/>
        <v>0</v>
      </c>
      <c r="FR348" s="336">
        <f t="shared" si="2058"/>
        <v>0</v>
      </c>
      <c r="FS348" s="336">
        <f t="shared" si="2059"/>
        <v>0</v>
      </c>
      <c r="FT348" s="336">
        <f t="shared" si="2060"/>
        <v>0</v>
      </c>
      <c r="FU348" s="336">
        <f t="shared" si="2262"/>
        <v>0</v>
      </c>
      <c r="FV348" s="336">
        <f t="shared" si="2263"/>
        <v>0</v>
      </c>
      <c r="FW348" s="336">
        <f t="shared" si="2264"/>
        <v>0</v>
      </c>
      <c r="FX348" s="336">
        <f t="shared" si="2265"/>
        <v>0</v>
      </c>
      <c r="FY348" s="336">
        <f t="shared" si="2061"/>
        <v>0</v>
      </c>
      <c r="FZ348" s="336">
        <f t="shared" si="2062"/>
        <v>0</v>
      </c>
      <c r="GA348" s="336">
        <f t="shared" si="2063"/>
        <v>0</v>
      </c>
      <c r="GB348" s="336">
        <f t="shared" si="2064"/>
        <v>0</v>
      </c>
      <c r="GC348" s="336">
        <f t="shared" si="2065"/>
        <v>0</v>
      </c>
      <c r="GD348" s="336">
        <f t="shared" si="2066"/>
        <v>0</v>
      </c>
      <c r="GE348" s="336">
        <f t="shared" si="2067"/>
        <v>0</v>
      </c>
      <c r="GF348" s="336">
        <f t="shared" si="2068"/>
        <v>0</v>
      </c>
      <c r="GG348" s="336">
        <f t="shared" si="2069"/>
        <v>0</v>
      </c>
      <c r="GH348" s="336">
        <f t="shared" si="2070"/>
        <v>0</v>
      </c>
      <c r="GI348" s="336">
        <f t="shared" si="2071"/>
        <v>0</v>
      </c>
      <c r="GJ348" s="336">
        <f t="shared" si="2072"/>
        <v>0</v>
      </c>
      <c r="GK348" s="336">
        <f t="shared" si="1988"/>
        <v>0</v>
      </c>
      <c r="GL348" s="336">
        <f t="shared" si="2266"/>
        <v>0</v>
      </c>
      <c r="GM348" s="336">
        <f t="shared" si="2073"/>
        <v>0</v>
      </c>
    </row>
    <row r="349" spans="1:195" ht="25.5">
      <c r="A349" s="337">
        <f t="shared" si="2488"/>
        <v>224</v>
      </c>
      <c r="B349" s="526" t="s">
        <v>612</v>
      </c>
      <c r="C349" s="337" t="str">
        <f>$D$6</f>
        <v>PMCC-1</v>
      </c>
      <c r="D349" s="372" t="s">
        <v>773</v>
      </c>
      <c r="E349" s="500" t="s">
        <v>608</v>
      </c>
      <c r="F349" s="570"/>
      <c r="G349" s="340" t="s">
        <v>337</v>
      </c>
      <c r="H349" s="350">
        <v>343.19366346235347</v>
      </c>
      <c r="I349" s="337" t="s">
        <v>330</v>
      </c>
      <c r="J349" s="337" t="s">
        <v>331</v>
      </c>
      <c r="K349" s="349">
        <v>400</v>
      </c>
      <c r="L349" s="343">
        <v>0.84999999999999987</v>
      </c>
      <c r="M349" s="350">
        <v>0.95099999999999985</v>
      </c>
      <c r="N349" s="342">
        <f>IF(I349="kVA",IF(J349="3Ph",(H349*1000/(1.732*M349*K349)),(H349*1000/(M349*K349))),IF(I349="kW",IF(J349="3Ph",(H349*1000/(1.732*M349*K349*L349)),(H349*1000/(M349*K349*L349)))))</f>
        <v>612.81860095636034</v>
      </c>
      <c r="O349" s="399"/>
      <c r="P349" s="400"/>
      <c r="Q349" s="400"/>
      <c r="R349" s="400"/>
      <c r="S349" s="400"/>
      <c r="T349" s="400"/>
      <c r="U349" s="400"/>
      <c r="V349" s="400"/>
      <c r="W349" s="400"/>
      <c r="X349" s="400"/>
      <c r="Y349" s="400"/>
      <c r="Z349" s="400"/>
      <c r="AA349" s="400"/>
      <c r="AB349" s="400"/>
      <c r="AC349" s="913"/>
      <c r="AD349" s="913"/>
      <c r="AE349" s="913"/>
      <c r="AF349" s="913"/>
      <c r="AG349" s="913"/>
      <c r="AH349" s="400"/>
      <c r="AI349" s="400"/>
      <c r="AJ349" s="400"/>
      <c r="AK349" s="400"/>
      <c r="AL349" s="400"/>
      <c r="AM349" s="400"/>
      <c r="AN349" s="400"/>
      <c r="AO349" s="400"/>
      <c r="AP349" s="400"/>
      <c r="AQ349" s="400"/>
      <c r="AR349" s="400"/>
      <c r="AS349" s="400"/>
      <c r="AT349" s="400"/>
      <c r="AU349" s="400"/>
      <c r="AV349" s="400"/>
      <c r="AW349" s="400"/>
      <c r="AX349" s="400"/>
      <c r="AY349" s="400"/>
      <c r="AZ349" s="400"/>
      <c r="BA349" s="400"/>
      <c r="BB349" s="400"/>
      <c r="BC349" s="912"/>
      <c r="BE349" s="530"/>
      <c r="BF349" s="530"/>
      <c r="BG349" s="530"/>
      <c r="BH349" s="530"/>
      <c r="BI349" s="530"/>
      <c r="BJ349" s="530"/>
      <c r="BK349" s="530"/>
      <c r="BL349" s="530"/>
      <c r="BM349" s="530"/>
      <c r="BN349" s="530"/>
      <c r="BO349" s="530"/>
      <c r="BP349" s="530"/>
      <c r="BQ349" s="530"/>
      <c r="BR349" s="530"/>
      <c r="BS349" s="530"/>
      <c r="BT349" s="530"/>
      <c r="BU349" s="530"/>
      <c r="BV349" s="530"/>
      <c r="BW349" s="530"/>
      <c r="BX349" s="530"/>
      <c r="BY349" s="530"/>
      <c r="BZ349" s="530"/>
      <c r="CA349" s="530"/>
      <c r="CB349" s="530"/>
      <c r="CC349" s="530"/>
      <c r="CD349" s="530"/>
      <c r="CE349" s="530"/>
      <c r="CF349" s="530"/>
      <c r="CG349" s="530"/>
      <c r="CH349" s="530"/>
      <c r="CI349" s="530"/>
      <c r="CJ349" s="530"/>
      <c r="CK349" s="530"/>
      <c r="CL349" s="530"/>
      <c r="CM349" s="530"/>
      <c r="CN349" s="530"/>
      <c r="CO349" s="530"/>
      <c r="CP349" s="530"/>
      <c r="CQ349" s="530"/>
      <c r="CR349" s="530"/>
      <c r="CS349" s="530"/>
      <c r="CT349" s="530"/>
      <c r="CU349" s="530"/>
      <c r="CV349" s="530"/>
      <c r="CW349" s="530"/>
      <c r="CX349" s="530"/>
      <c r="CY349" s="530"/>
      <c r="CZ349" s="530"/>
      <c r="DA349" s="530"/>
      <c r="DB349" s="530"/>
      <c r="DC349" s="530"/>
      <c r="DD349" s="530"/>
      <c r="DE349" s="530"/>
      <c r="DF349" s="530"/>
      <c r="DG349" s="530"/>
      <c r="DH349" s="530"/>
      <c r="DI349" s="530"/>
      <c r="DJ349" s="530"/>
      <c r="DK349" s="530"/>
      <c r="DL349" s="530"/>
      <c r="DM349" s="530"/>
      <c r="DN349" s="530"/>
      <c r="DO349" s="530"/>
      <c r="DP349" s="530"/>
      <c r="DQ349" s="530"/>
      <c r="DR349" s="530"/>
      <c r="DS349" s="530"/>
      <c r="DT349" s="530"/>
      <c r="DU349" s="530"/>
      <c r="DW349" s="336">
        <f t="shared" si="2108"/>
        <v>0</v>
      </c>
      <c r="DX349" s="336">
        <f t="shared" si="2102"/>
        <v>0</v>
      </c>
      <c r="DY349" s="336">
        <f t="shared" si="2103"/>
        <v>0</v>
      </c>
      <c r="DZ349" s="336">
        <f t="shared" si="2104"/>
        <v>0</v>
      </c>
      <c r="EA349" s="336">
        <f t="shared" si="2105"/>
        <v>0</v>
      </c>
      <c r="EB349" s="336">
        <f t="shared" si="2106"/>
        <v>0</v>
      </c>
      <c r="EC349" s="336">
        <f t="shared" si="2107"/>
        <v>0</v>
      </c>
      <c r="ED349" s="336">
        <f t="shared" si="2019"/>
        <v>0</v>
      </c>
      <c r="EE349" s="336">
        <f t="shared" si="2020"/>
        <v>0</v>
      </c>
      <c r="EF349" s="336">
        <f t="shared" si="2021"/>
        <v>0</v>
      </c>
      <c r="EG349" s="336">
        <f t="shared" si="2022"/>
        <v>0</v>
      </c>
      <c r="EH349" s="336">
        <f t="shared" si="2023"/>
        <v>0</v>
      </c>
      <c r="EI349" s="336">
        <f t="shared" si="2024"/>
        <v>0</v>
      </c>
      <c r="EJ349" s="336">
        <f t="shared" si="2025"/>
        <v>0</v>
      </c>
      <c r="EK349" s="336">
        <f t="shared" si="2026"/>
        <v>0</v>
      </c>
      <c r="EL349" s="336">
        <f t="shared" si="2027"/>
        <v>0</v>
      </c>
      <c r="EM349" s="336">
        <f t="shared" si="2028"/>
        <v>0</v>
      </c>
      <c r="EN349" s="336">
        <f t="shared" si="2029"/>
        <v>0</v>
      </c>
      <c r="EO349" s="336">
        <f t="shared" si="2030"/>
        <v>0</v>
      </c>
      <c r="EP349" s="336">
        <f t="shared" si="2031"/>
        <v>0</v>
      </c>
      <c r="EQ349" s="336">
        <f t="shared" si="2032"/>
        <v>0</v>
      </c>
      <c r="ER349" s="336">
        <f t="shared" si="2033"/>
        <v>0</v>
      </c>
      <c r="ES349" s="336">
        <f t="shared" si="2034"/>
        <v>0</v>
      </c>
      <c r="ET349" s="336">
        <f t="shared" si="2034"/>
        <v>0</v>
      </c>
      <c r="EU349" s="336">
        <f t="shared" si="2035"/>
        <v>0</v>
      </c>
      <c r="EV349" s="336">
        <f t="shared" si="2036"/>
        <v>0</v>
      </c>
      <c r="EW349" s="336">
        <f t="shared" si="2037"/>
        <v>0</v>
      </c>
      <c r="EX349" s="336">
        <f t="shared" si="2038"/>
        <v>0</v>
      </c>
      <c r="EY349" s="336">
        <f t="shared" si="2039"/>
        <v>0</v>
      </c>
      <c r="EZ349" s="336">
        <f t="shared" si="2040"/>
        <v>0</v>
      </c>
      <c r="FA349" s="336">
        <f t="shared" si="2041"/>
        <v>0</v>
      </c>
      <c r="FB349" s="336">
        <f t="shared" si="2042"/>
        <v>0</v>
      </c>
      <c r="FC349" s="336">
        <f t="shared" si="2043"/>
        <v>0</v>
      </c>
      <c r="FD349" s="336">
        <f t="shared" si="2044"/>
        <v>0</v>
      </c>
      <c r="FE349" s="336">
        <f t="shared" si="2045"/>
        <v>0</v>
      </c>
      <c r="FF349" s="336">
        <f t="shared" si="2046"/>
        <v>0</v>
      </c>
      <c r="FG349" s="336">
        <f t="shared" si="2047"/>
        <v>0</v>
      </c>
      <c r="FH349" s="336">
        <f t="shared" si="2048"/>
        <v>0</v>
      </c>
      <c r="FI349" s="336">
        <f t="shared" si="2049"/>
        <v>0</v>
      </c>
      <c r="FJ349" s="336">
        <f t="shared" si="2050"/>
        <v>0</v>
      </c>
      <c r="FK349" s="336">
        <f t="shared" si="2051"/>
        <v>0</v>
      </c>
      <c r="FL349" s="336">
        <f t="shared" si="2052"/>
        <v>0</v>
      </c>
      <c r="FM349" s="336">
        <f t="shared" si="2053"/>
        <v>0</v>
      </c>
      <c r="FN349" s="336">
        <f t="shared" si="2054"/>
        <v>0</v>
      </c>
      <c r="FO349" s="336">
        <f t="shared" si="2055"/>
        <v>0</v>
      </c>
      <c r="FP349" s="336">
        <f t="shared" si="2056"/>
        <v>0</v>
      </c>
      <c r="FQ349" s="336">
        <f t="shared" si="2057"/>
        <v>0</v>
      </c>
      <c r="FR349" s="336">
        <f t="shared" si="2058"/>
        <v>0</v>
      </c>
      <c r="FS349" s="336">
        <f t="shared" si="2059"/>
        <v>0</v>
      </c>
      <c r="FT349" s="336">
        <f t="shared" si="2060"/>
        <v>0</v>
      </c>
      <c r="FU349" s="336">
        <f t="shared" si="2262"/>
        <v>0</v>
      </c>
      <c r="FV349" s="336">
        <f t="shared" si="2263"/>
        <v>0</v>
      </c>
      <c r="FW349" s="336">
        <f t="shared" si="2264"/>
        <v>0</v>
      </c>
      <c r="FX349" s="336">
        <f t="shared" si="2265"/>
        <v>0</v>
      </c>
      <c r="FY349" s="336">
        <f t="shared" si="2061"/>
        <v>0</v>
      </c>
      <c r="FZ349" s="336">
        <f t="shared" si="2062"/>
        <v>0</v>
      </c>
      <c r="GA349" s="336">
        <f t="shared" si="2063"/>
        <v>0</v>
      </c>
      <c r="GB349" s="336">
        <f t="shared" si="2064"/>
        <v>0</v>
      </c>
      <c r="GC349" s="336">
        <f t="shared" si="2065"/>
        <v>0</v>
      </c>
      <c r="GD349" s="336">
        <f t="shared" si="2066"/>
        <v>0</v>
      </c>
      <c r="GE349" s="336">
        <f t="shared" si="2067"/>
        <v>0</v>
      </c>
      <c r="GF349" s="336">
        <f t="shared" si="2068"/>
        <v>0</v>
      </c>
      <c r="GG349" s="336">
        <f t="shared" si="2069"/>
        <v>0</v>
      </c>
      <c r="GH349" s="336">
        <f t="shared" si="2070"/>
        <v>0</v>
      </c>
      <c r="GI349" s="336">
        <f t="shared" si="2071"/>
        <v>0</v>
      </c>
      <c r="GJ349" s="336">
        <f t="shared" si="2072"/>
        <v>0</v>
      </c>
      <c r="GK349" s="336">
        <f t="shared" si="1988"/>
        <v>0</v>
      </c>
      <c r="GL349" s="336">
        <f t="shared" si="2266"/>
        <v>0</v>
      </c>
      <c r="GM349" s="336">
        <f t="shared" si="2073"/>
        <v>0</v>
      </c>
    </row>
    <row r="350" spans="1:195" ht="25.5">
      <c r="A350" s="337">
        <f t="shared" si="2488"/>
        <v>225</v>
      </c>
      <c r="B350" s="526" t="s">
        <v>612</v>
      </c>
      <c r="C350" s="337" t="str">
        <f>$D$6</f>
        <v>PMCC-1</v>
      </c>
      <c r="D350" s="372" t="s">
        <v>774</v>
      </c>
      <c r="E350" s="500" t="s">
        <v>608</v>
      </c>
      <c r="F350" s="570"/>
      <c r="G350" s="340" t="s">
        <v>337</v>
      </c>
      <c r="H350" s="350">
        <v>343.19366346235347</v>
      </c>
      <c r="I350" s="337" t="s">
        <v>330</v>
      </c>
      <c r="J350" s="337" t="s">
        <v>331</v>
      </c>
      <c r="K350" s="349">
        <v>400</v>
      </c>
      <c r="L350" s="343">
        <v>0.84999999999999987</v>
      </c>
      <c r="M350" s="350">
        <v>0.95099999999999985</v>
      </c>
      <c r="N350" s="342">
        <f>IF(I350="kVA",IF(J350="3Ph",(H350*1000/(1.732*M350*K350)),(H350*1000/(M350*K350))),IF(I350="kW",IF(J350="3Ph",(H350*1000/(1.732*M350*K350*L350)),(H350*1000/(M350*K350*L350)))))</f>
        <v>612.81860095636034</v>
      </c>
      <c r="O350" s="399"/>
      <c r="P350" s="400"/>
      <c r="Q350" s="400"/>
      <c r="R350" s="400"/>
      <c r="S350" s="400"/>
      <c r="T350" s="400"/>
      <c r="U350" s="400"/>
      <c r="V350" s="400"/>
      <c r="W350" s="400"/>
      <c r="X350" s="400"/>
      <c r="Y350" s="400"/>
      <c r="Z350" s="400"/>
      <c r="AA350" s="400"/>
      <c r="AB350" s="400"/>
      <c r="AC350" s="913"/>
      <c r="AD350" s="913"/>
      <c r="AE350" s="913"/>
      <c r="AF350" s="913"/>
      <c r="AG350" s="913"/>
      <c r="AH350" s="400"/>
      <c r="AI350" s="400"/>
      <c r="AJ350" s="400"/>
      <c r="AK350" s="400"/>
      <c r="AL350" s="400"/>
      <c r="AM350" s="400"/>
      <c r="AN350" s="400"/>
      <c r="AO350" s="400"/>
      <c r="AP350" s="400"/>
      <c r="AQ350" s="400"/>
      <c r="AR350" s="400"/>
      <c r="AS350" s="400"/>
      <c r="AT350" s="400"/>
      <c r="AU350" s="400"/>
      <c r="AV350" s="400"/>
      <c r="AW350" s="400"/>
      <c r="AX350" s="400"/>
      <c r="AY350" s="400"/>
      <c r="AZ350" s="400"/>
      <c r="BA350" s="400"/>
      <c r="BB350" s="400"/>
      <c r="BC350" s="912"/>
      <c r="BE350" s="530"/>
      <c r="BF350" s="530"/>
      <c r="BG350" s="530"/>
      <c r="BH350" s="530"/>
      <c r="BI350" s="530"/>
      <c r="BJ350" s="530"/>
      <c r="BK350" s="530"/>
      <c r="BL350" s="530"/>
      <c r="BM350" s="530"/>
      <c r="BN350" s="530"/>
      <c r="BO350" s="530"/>
      <c r="BP350" s="530"/>
      <c r="BQ350" s="530"/>
      <c r="BR350" s="530"/>
      <c r="BS350" s="530"/>
      <c r="BT350" s="530"/>
      <c r="BU350" s="530"/>
      <c r="BV350" s="530"/>
      <c r="BW350" s="530"/>
      <c r="BX350" s="530"/>
      <c r="BY350" s="530"/>
      <c r="BZ350" s="530"/>
      <c r="CA350" s="530"/>
      <c r="CB350" s="530"/>
      <c r="CC350" s="530"/>
      <c r="CD350" s="530"/>
      <c r="CE350" s="530"/>
      <c r="CF350" s="530"/>
      <c r="CG350" s="530"/>
      <c r="CH350" s="530"/>
      <c r="CI350" s="530"/>
      <c r="CJ350" s="530"/>
      <c r="CK350" s="530"/>
      <c r="CL350" s="530"/>
      <c r="CM350" s="530"/>
      <c r="CN350" s="530"/>
      <c r="CO350" s="530"/>
      <c r="CP350" s="530"/>
      <c r="CQ350" s="530"/>
      <c r="CR350" s="530"/>
      <c r="CS350" s="530"/>
      <c r="CT350" s="530"/>
      <c r="CU350" s="530"/>
      <c r="CV350" s="530"/>
      <c r="CW350" s="530"/>
      <c r="CX350" s="530"/>
      <c r="CY350" s="530"/>
      <c r="CZ350" s="530"/>
      <c r="DA350" s="530"/>
      <c r="DB350" s="530"/>
      <c r="DC350" s="530"/>
      <c r="DD350" s="530"/>
      <c r="DE350" s="530"/>
      <c r="DF350" s="530"/>
      <c r="DG350" s="530"/>
      <c r="DH350" s="530"/>
      <c r="DI350" s="530"/>
      <c r="DJ350" s="530"/>
      <c r="DK350" s="530"/>
      <c r="DL350" s="530"/>
      <c r="DM350" s="530"/>
      <c r="DN350" s="530"/>
      <c r="DO350" s="530"/>
      <c r="DP350" s="530"/>
      <c r="DQ350" s="530"/>
      <c r="DR350" s="530"/>
      <c r="DS350" s="530"/>
      <c r="DT350" s="530"/>
      <c r="DU350" s="530"/>
      <c r="DW350" s="336">
        <f t="shared" si="2108"/>
        <v>0</v>
      </c>
      <c r="DX350" s="336">
        <f t="shared" si="2102"/>
        <v>0</v>
      </c>
      <c r="DY350" s="336">
        <f t="shared" si="2103"/>
        <v>0</v>
      </c>
      <c r="DZ350" s="336">
        <f t="shared" si="2104"/>
        <v>0</v>
      </c>
      <c r="EA350" s="336">
        <f t="shared" si="2105"/>
        <v>0</v>
      </c>
      <c r="EB350" s="336">
        <f t="shared" si="2106"/>
        <v>0</v>
      </c>
      <c r="EC350" s="336">
        <f t="shared" si="2107"/>
        <v>0</v>
      </c>
      <c r="ED350" s="336">
        <f t="shared" si="2019"/>
        <v>0</v>
      </c>
      <c r="EE350" s="336">
        <f t="shared" si="2020"/>
        <v>0</v>
      </c>
      <c r="EF350" s="336">
        <f t="shared" si="2021"/>
        <v>0</v>
      </c>
      <c r="EG350" s="336">
        <f t="shared" si="2022"/>
        <v>0</v>
      </c>
      <c r="EH350" s="336">
        <f t="shared" si="2023"/>
        <v>0</v>
      </c>
      <c r="EI350" s="336">
        <f t="shared" si="2024"/>
        <v>0</v>
      </c>
      <c r="EJ350" s="336">
        <f t="shared" si="2025"/>
        <v>0</v>
      </c>
      <c r="EK350" s="336">
        <f t="shared" si="2026"/>
        <v>0</v>
      </c>
      <c r="EL350" s="336">
        <f t="shared" si="2027"/>
        <v>0</v>
      </c>
      <c r="EM350" s="336">
        <f t="shared" si="2028"/>
        <v>0</v>
      </c>
      <c r="EN350" s="336">
        <f t="shared" si="2029"/>
        <v>0</v>
      </c>
      <c r="EO350" s="336">
        <f t="shared" si="2030"/>
        <v>0</v>
      </c>
      <c r="EP350" s="336">
        <f t="shared" si="2031"/>
        <v>0</v>
      </c>
      <c r="EQ350" s="336">
        <f t="shared" si="2032"/>
        <v>0</v>
      </c>
      <c r="ER350" s="336">
        <f t="shared" si="2033"/>
        <v>0</v>
      </c>
      <c r="ES350" s="336">
        <f t="shared" si="2034"/>
        <v>0</v>
      </c>
      <c r="ET350" s="336">
        <f t="shared" si="2034"/>
        <v>0</v>
      </c>
      <c r="EU350" s="336">
        <f t="shared" si="2035"/>
        <v>0</v>
      </c>
      <c r="EV350" s="336">
        <f t="shared" si="2036"/>
        <v>0</v>
      </c>
      <c r="EW350" s="336">
        <f t="shared" si="2037"/>
        <v>0</v>
      </c>
      <c r="EX350" s="336">
        <f t="shared" si="2038"/>
        <v>0</v>
      </c>
      <c r="EY350" s="336">
        <f t="shared" si="2039"/>
        <v>0</v>
      </c>
      <c r="EZ350" s="336">
        <f t="shared" si="2040"/>
        <v>0</v>
      </c>
      <c r="FA350" s="336">
        <f t="shared" si="2041"/>
        <v>0</v>
      </c>
      <c r="FB350" s="336">
        <f t="shared" si="2042"/>
        <v>0</v>
      </c>
      <c r="FC350" s="336">
        <f t="shared" si="2043"/>
        <v>0</v>
      </c>
      <c r="FD350" s="336">
        <f t="shared" si="2044"/>
        <v>0</v>
      </c>
      <c r="FE350" s="336">
        <f t="shared" si="2045"/>
        <v>0</v>
      </c>
      <c r="FF350" s="336">
        <f t="shared" si="2046"/>
        <v>0</v>
      </c>
      <c r="FG350" s="336">
        <f t="shared" si="2047"/>
        <v>0</v>
      </c>
      <c r="FH350" s="336">
        <f t="shared" si="2048"/>
        <v>0</v>
      </c>
      <c r="FI350" s="336">
        <f t="shared" si="2049"/>
        <v>0</v>
      </c>
      <c r="FJ350" s="336">
        <f t="shared" si="2050"/>
        <v>0</v>
      </c>
      <c r="FK350" s="336">
        <f t="shared" si="2051"/>
        <v>0</v>
      </c>
      <c r="FL350" s="336">
        <f t="shared" si="2052"/>
        <v>0</v>
      </c>
      <c r="FM350" s="336">
        <f t="shared" si="2053"/>
        <v>0</v>
      </c>
      <c r="FN350" s="336">
        <f t="shared" si="2054"/>
        <v>0</v>
      </c>
      <c r="FO350" s="336">
        <f t="shared" si="2055"/>
        <v>0</v>
      </c>
      <c r="FP350" s="336">
        <f t="shared" si="2056"/>
        <v>0</v>
      </c>
      <c r="FQ350" s="336">
        <f t="shared" si="2057"/>
        <v>0</v>
      </c>
      <c r="FR350" s="336">
        <f t="shared" si="2058"/>
        <v>0</v>
      </c>
      <c r="FS350" s="336">
        <f t="shared" si="2059"/>
        <v>0</v>
      </c>
      <c r="FT350" s="336">
        <f t="shared" si="2060"/>
        <v>0</v>
      </c>
      <c r="FU350" s="336">
        <f t="shared" si="2262"/>
        <v>0</v>
      </c>
      <c r="FV350" s="336">
        <f t="shared" si="2263"/>
        <v>0</v>
      </c>
      <c r="FW350" s="336">
        <f t="shared" si="2264"/>
        <v>0</v>
      </c>
      <c r="FX350" s="336">
        <f t="shared" si="2265"/>
        <v>0</v>
      </c>
      <c r="FY350" s="336">
        <f t="shared" si="2061"/>
        <v>0</v>
      </c>
      <c r="FZ350" s="336">
        <f t="shared" si="2062"/>
        <v>0</v>
      </c>
      <c r="GA350" s="336">
        <f t="shared" si="2063"/>
        <v>0</v>
      </c>
      <c r="GB350" s="336">
        <f t="shared" si="2064"/>
        <v>0</v>
      </c>
      <c r="GC350" s="336">
        <f t="shared" si="2065"/>
        <v>0</v>
      </c>
      <c r="GD350" s="336">
        <f t="shared" si="2066"/>
        <v>0</v>
      </c>
      <c r="GE350" s="336">
        <f t="shared" si="2067"/>
        <v>0</v>
      </c>
      <c r="GF350" s="336">
        <f t="shared" si="2068"/>
        <v>0</v>
      </c>
      <c r="GG350" s="336">
        <f t="shared" si="2069"/>
        <v>0</v>
      </c>
      <c r="GH350" s="336">
        <f t="shared" si="2070"/>
        <v>0</v>
      </c>
      <c r="GI350" s="336">
        <f t="shared" si="2071"/>
        <v>0</v>
      </c>
      <c r="GJ350" s="336">
        <f t="shared" si="2072"/>
        <v>0</v>
      </c>
      <c r="GK350" s="336">
        <f t="shared" si="1988"/>
        <v>0</v>
      </c>
      <c r="GL350" s="336">
        <f t="shared" si="2266"/>
        <v>0</v>
      </c>
      <c r="GM350" s="336">
        <f t="shared" si="2073"/>
        <v>0</v>
      </c>
    </row>
    <row r="351" spans="1:195" s="76" customFormat="1" ht="26.25" customHeight="1">
      <c r="A351" s="531"/>
      <c r="B351" s="531"/>
      <c r="C351" s="531"/>
      <c r="D351" s="330" t="s">
        <v>775</v>
      </c>
      <c r="E351" s="533"/>
      <c r="F351" s="857"/>
      <c r="G351" s="531"/>
      <c r="H351" s="534"/>
      <c r="I351" s="531"/>
      <c r="J351" s="531"/>
      <c r="K351" s="535"/>
      <c r="L351" s="536"/>
      <c r="M351" s="534"/>
      <c r="N351" s="537"/>
      <c r="O351" s="537"/>
      <c r="P351" s="536"/>
      <c r="Q351" s="534"/>
      <c r="R351" s="534"/>
      <c r="S351" s="534"/>
      <c r="T351" s="536"/>
      <c r="U351" s="534"/>
      <c r="V351" s="536"/>
      <c r="W351" s="536"/>
      <c r="X351" s="536"/>
      <c r="Y351" s="536"/>
      <c r="Z351" s="538"/>
      <c r="AA351" s="539"/>
      <c r="AB351" s="539"/>
      <c r="AC351" s="861"/>
      <c r="AD351" s="861"/>
      <c r="AE351" s="861"/>
      <c r="AF351" s="861"/>
      <c r="AG351" s="861"/>
      <c r="AH351" s="540"/>
      <c r="AI351" s="538"/>
      <c r="AJ351" s="537"/>
      <c r="AK351" s="538"/>
      <c r="AL351" s="538"/>
      <c r="AM351" s="538"/>
      <c r="AN351" s="541"/>
      <c r="AO351" s="534"/>
      <c r="AP351" s="535"/>
      <c r="AQ351" s="534"/>
      <c r="AR351" s="541"/>
      <c r="AS351" s="536"/>
      <c r="AT351" s="541"/>
      <c r="AU351" s="541"/>
      <c r="AV351" s="542"/>
      <c r="AW351" s="542"/>
      <c r="AX351" s="536"/>
      <c r="AY351" s="543"/>
      <c r="AZ351" s="543"/>
      <c r="BA351" s="536"/>
      <c r="BB351" s="536"/>
      <c r="BC351" s="536"/>
      <c r="BE351" s="573"/>
      <c r="BF351" s="573"/>
      <c r="BG351" s="573"/>
      <c r="BH351" s="573"/>
      <c r="BI351" s="573"/>
      <c r="BJ351" s="573"/>
      <c r="BK351" s="573"/>
      <c r="BL351" s="573"/>
      <c r="BM351" s="573"/>
      <c r="BN351" s="573"/>
      <c r="BO351" s="573"/>
      <c r="BP351" s="573"/>
      <c r="BQ351" s="573"/>
      <c r="BR351" s="573"/>
      <c r="BS351" s="573"/>
      <c r="BT351" s="573"/>
      <c r="BU351" s="573"/>
      <c r="BV351" s="573"/>
      <c r="BW351" s="573"/>
      <c r="BX351" s="573"/>
      <c r="BY351" s="573"/>
      <c r="BZ351" s="573"/>
      <c r="CA351" s="573"/>
      <c r="CB351" s="573"/>
      <c r="CC351" s="573"/>
      <c r="CD351" s="573"/>
      <c r="CE351" s="573"/>
      <c r="CF351" s="573"/>
      <c r="CG351" s="573"/>
      <c r="CH351" s="573"/>
      <c r="CI351" s="573"/>
      <c r="CJ351" s="573"/>
      <c r="CK351" s="573"/>
      <c r="CL351" s="573"/>
      <c r="CM351" s="573"/>
      <c r="CN351" s="573"/>
      <c r="CO351" s="573"/>
      <c r="CP351" s="573"/>
      <c r="CQ351" s="573"/>
      <c r="CR351" s="573"/>
      <c r="CS351" s="573"/>
      <c r="CT351" s="573"/>
      <c r="CU351" s="573"/>
      <c r="CV351" s="573"/>
      <c r="CW351" s="573"/>
      <c r="CX351" s="573"/>
      <c r="CY351" s="573"/>
      <c r="CZ351" s="573"/>
      <c r="DA351" s="573"/>
      <c r="DB351" s="573"/>
      <c r="DC351" s="573"/>
      <c r="DD351" s="573"/>
      <c r="DE351" s="573"/>
      <c r="DF351" s="573"/>
      <c r="DG351" s="573"/>
      <c r="DH351" s="573"/>
      <c r="DI351" s="573"/>
      <c r="DJ351" s="573"/>
      <c r="DK351" s="573"/>
      <c r="DL351" s="573"/>
      <c r="DM351" s="573"/>
      <c r="DN351" s="573"/>
      <c r="DO351" s="573"/>
      <c r="DP351" s="573"/>
      <c r="DQ351" s="573"/>
      <c r="DR351" s="573"/>
      <c r="DS351" s="573"/>
      <c r="DT351" s="573"/>
      <c r="DU351" s="573"/>
      <c r="DV351" s="61"/>
      <c r="DW351" s="336">
        <f t="shared" si="2108"/>
        <v>0</v>
      </c>
      <c r="DX351" s="336">
        <f t="shared" si="2102"/>
        <v>0</v>
      </c>
      <c r="DY351" s="336">
        <f t="shared" si="2103"/>
        <v>0</v>
      </c>
      <c r="DZ351" s="336">
        <f t="shared" si="2104"/>
        <v>0</v>
      </c>
      <c r="EA351" s="336">
        <f t="shared" si="2105"/>
        <v>0</v>
      </c>
      <c r="EB351" s="336">
        <f t="shared" si="2106"/>
        <v>0</v>
      </c>
      <c r="EC351" s="336">
        <f t="shared" si="2107"/>
        <v>0</v>
      </c>
      <c r="ED351" s="336">
        <f t="shared" si="2019"/>
        <v>0</v>
      </c>
      <c r="EE351" s="336">
        <f t="shared" si="2020"/>
        <v>0</v>
      </c>
      <c r="EF351" s="336">
        <f t="shared" si="2021"/>
        <v>0</v>
      </c>
      <c r="EG351" s="336">
        <f t="shared" si="2022"/>
        <v>0</v>
      </c>
      <c r="EH351" s="336">
        <f t="shared" si="2023"/>
        <v>0</v>
      </c>
      <c r="EI351" s="336">
        <f t="shared" si="2024"/>
        <v>0</v>
      </c>
      <c r="EJ351" s="336">
        <f t="shared" si="2025"/>
        <v>0</v>
      </c>
      <c r="EK351" s="336">
        <f t="shared" si="2026"/>
        <v>0</v>
      </c>
      <c r="EL351" s="336">
        <f t="shared" si="2027"/>
        <v>0</v>
      </c>
      <c r="EM351" s="336">
        <f t="shared" si="2028"/>
        <v>0</v>
      </c>
      <c r="EN351" s="336">
        <f t="shared" si="2029"/>
        <v>0</v>
      </c>
      <c r="EO351" s="336">
        <f t="shared" si="2030"/>
        <v>0</v>
      </c>
      <c r="EP351" s="336">
        <f t="shared" si="2031"/>
        <v>0</v>
      </c>
      <c r="EQ351" s="336">
        <f t="shared" si="2032"/>
        <v>0</v>
      </c>
      <c r="ER351" s="336">
        <f t="shared" si="2033"/>
        <v>0</v>
      </c>
      <c r="ES351" s="336">
        <f t="shared" si="2034"/>
        <v>0</v>
      </c>
      <c r="ET351" s="336">
        <f t="shared" si="2034"/>
        <v>0</v>
      </c>
      <c r="EU351" s="336">
        <f t="shared" si="2035"/>
        <v>0</v>
      </c>
      <c r="EV351" s="336">
        <f t="shared" si="2036"/>
        <v>0</v>
      </c>
      <c r="EW351" s="336">
        <f t="shared" si="2037"/>
        <v>0</v>
      </c>
      <c r="EX351" s="336">
        <f t="shared" si="2038"/>
        <v>0</v>
      </c>
      <c r="EY351" s="336">
        <f t="shared" si="2039"/>
        <v>0</v>
      </c>
      <c r="EZ351" s="336">
        <f t="shared" si="2040"/>
        <v>0</v>
      </c>
      <c r="FA351" s="336">
        <f t="shared" si="2041"/>
        <v>0</v>
      </c>
      <c r="FB351" s="336">
        <f t="shared" si="2042"/>
        <v>0</v>
      </c>
      <c r="FC351" s="336">
        <f t="shared" si="2043"/>
        <v>0</v>
      </c>
      <c r="FD351" s="336">
        <f t="shared" si="2044"/>
        <v>0</v>
      </c>
      <c r="FE351" s="336">
        <f t="shared" si="2045"/>
        <v>0</v>
      </c>
      <c r="FF351" s="336">
        <f t="shared" si="2046"/>
        <v>0</v>
      </c>
      <c r="FG351" s="336">
        <f t="shared" si="2047"/>
        <v>0</v>
      </c>
      <c r="FH351" s="336">
        <f t="shared" si="2048"/>
        <v>0</v>
      </c>
      <c r="FI351" s="336">
        <f t="shared" si="2049"/>
        <v>0</v>
      </c>
      <c r="FJ351" s="336">
        <f t="shared" si="2050"/>
        <v>0</v>
      </c>
      <c r="FK351" s="336">
        <f t="shared" si="2051"/>
        <v>0</v>
      </c>
      <c r="FL351" s="336">
        <f t="shared" si="2052"/>
        <v>0</v>
      </c>
      <c r="FM351" s="336">
        <f t="shared" si="2053"/>
        <v>0</v>
      </c>
      <c r="FN351" s="336">
        <f t="shared" si="2054"/>
        <v>0</v>
      </c>
      <c r="FO351" s="492">
        <f t="shared" si="2055"/>
        <v>0</v>
      </c>
      <c r="FP351" s="492">
        <f t="shared" si="2056"/>
        <v>0</v>
      </c>
      <c r="FQ351" s="492">
        <f t="shared" si="2057"/>
        <v>0</v>
      </c>
      <c r="FR351" s="492">
        <f t="shared" si="2058"/>
        <v>0</v>
      </c>
      <c r="FS351" s="492">
        <f t="shared" si="2059"/>
        <v>0</v>
      </c>
      <c r="FT351" s="492">
        <f t="shared" si="2060"/>
        <v>0</v>
      </c>
      <c r="FU351" s="336">
        <f t="shared" si="2262"/>
        <v>0</v>
      </c>
      <c r="FV351" s="336">
        <f t="shared" si="2263"/>
        <v>0</v>
      </c>
      <c r="FW351" s="336">
        <f t="shared" si="2264"/>
        <v>0</v>
      </c>
      <c r="FX351" s="336">
        <f t="shared" si="2265"/>
        <v>0</v>
      </c>
      <c r="FY351" s="492">
        <f t="shared" si="2061"/>
        <v>0</v>
      </c>
      <c r="FZ351" s="492">
        <f t="shared" si="2062"/>
        <v>0</v>
      </c>
      <c r="GA351" s="492">
        <f t="shared" si="2063"/>
        <v>0</v>
      </c>
      <c r="GB351" s="492">
        <f t="shared" si="2064"/>
        <v>0</v>
      </c>
      <c r="GC351" s="492">
        <f t="shared" si="2065"/>
        <v>0</v>
      </c>
      <c r="GD351" s="492">
        <f t="shared" si="2066"/>
        <v>0</v>
      </c>
      <c r="GE351" s="492">
        <f t="shared" si="2067"/>
        <v>0</v>
      </c>
      <c r="GF351" s="492">
        <f t="shared" si="2068"/>
        <v>0</v>
      </c>
      <c r="GG351" s="492">
        <f t="shared" si="2069"/>
        <v>0</v>
      </c>
      <c r="GH351" s="492">
        <f t="shared" si="2070"/>
        <v>0</v>
      </c>
      <c r="GI351" s="492">
        <f t="shared" si="2071"/>
        <v>0</v>
      </c>
      <c r="GJ351" s="492">
        <f t="shared" si="2072"/>
        <v>0</v>
      </c>
      <c r="GK351" s="492">
        <f t="shared" si="1988"/>
        <v>0</v>
      </c>
      <c r="GL351" s="336">
        <f t="shared" si="2266"/>
        <v>0</v>
      </c>
      <c r="GM351" s="492">
        <f t="shared" si="2073"/>
        <v>0</v>
      </c>
    </row>
    <row r="352" spans="1:195">
      <c r="A352" s="337">
        <f>1+A350</f>
        <v>226</v>
      </c>
      <c r="B352" s="526" t="s">
        <v>338</v>
      </c>
      <c r="C352" s="337" t="str">
        <f t="shared" ref="C352:C367" si="2489">$D$351</f>
        <v>ACDB-1</v>
      </c>
      <c r="D352" s="372" t="s">
        <v>776</v>
      </c>
      <c r="E352" s="500" t="s">
        <v>608</v>
      </c>
      <c r="F352" s="570"/>
      <c r="G352" s="337" t="s">
        <v>329</v>
      </c>
      <c r="H352" s="350">
        <v>5</v>
      </c>
      <c r="I352" s="337" t="s">
        <v>330</v>
      </c>
      <c r="J352" s="337" t="s">
        <v>331</v>
      </c>
      <c r="K352" s="349">
        <v>400</v>
      </c>
      <c r="L352" s="343">
        <v>0.84999999999999987</v>
      </c>
      <c r="M352" s="350">
        <v>0.95099999999999985</v>
      </c>
      <c r="N352" s="342">
        <f t="shared" ref="N352:N369" si="2490">IF(I352="kVA",IF(J352="3Ph",(H352*1000/(1.732*M352*K352)),(H352*1000/(M352*K352))),IF(I352="kW",IF(J352="3Ph",(H352*1000/(1.732*M352*K352*L352)),(H352*1000/(M352*K352*L352)))))</f>
        <v>8.9281747625212677</v>
      </c>
      <c r="O352" s="342">
        <f t="shared" ref="O352:O367" si="2491">IF(G352="MOTOR",(6*N352),IF(G352="VFD",(1*N352),0))</f>
        <v>0</v>
      </c>
      <c r="P352" s="343" t="str">
        <f t="shared" ref="P352:P367" si="2492">IF(G352="MOTOR",0.2,"0.00")</f>
        <v>0.00</v>
      </c>
      <c r="Q352" s="350">
        <v>50</v>
      </c>
      <c r="R352" s="350">
        <v>0</v>
      </c>
      <c r="S352" s="350">
        <f t="shared" ref="S352:S367" si="2493">(Q352*1000*SQRT(R352)/143)</f>
        <v>0</v>
      </c>
      <c r="T352" s="343" t="s">
        <v>131</v>
      </c>
      <c r="U352" s="350" t="s">
        <v>522</v>
      </c>
      <c r="V352" s="343">
        <v>4</v>
      </c>
      <c r="W352" s="343" t="str">
        <f t="shared" ref="W352:W367" si="2494">CONCATENATE(U352," X ",V352)</f>
        <v>4C X 4</v>
      </c>
      <c r="X352" s="343" t="str">
        <f t="shared" ref="X352:X367" si="2495">(IF(J352="1Ph",W352,IF(J352="3Ph",(IF(G352="MOTOR",(CONCATENATE(W352,"+PE")),W352)))))</f>
        <v>4C X 4</v>
      </c>
      <c r="Y352" s="343" t="s">
        <v>358</v>
      </c>
      <c r="Z352" s="344">
        <f>IF(T352="AIR",VLOOKUP(W352,'Catalogue Aluminium'!$B$9:$G$93,2,FALSE),IF(T352="GROUND",VLOOKUP(W352,'Catalogue Aluminium'!$B$9:$G$93,3,FALSE),IF(T352="DUCT",VLOOKUP(W352,'Catalogue Aluminium'!$B$9:$G$93,4,FALSE),IF(T352="TRENCH",VLOOKUP(W352,'Catalogue Aluminium'!$B$9:$G$93,2,FALSE)))))</f>
        <v>38</v>
      </c>
      <c r="AA352" s="345">
        <f>VLOOKUP(W352,'Catalogue Aluminium'!$B$9:$G$93,5,FALSE)</f>
        <v>5.9</v>
      </c>
      <c r="AB352" s="345">
        <f>VLOOKUP(W352,'Catalogue Aluminium'!$B$9:$G$93,6,FALSE)</f>
        <v>9.4700000000000006E-2</v>
      </c>
      <c r="AC352" s="388">
        <f>30+6</f>
        <v>36</v>
      </c>
      <c r="AD352" s="457">
        <v>0</v>
      </c>
      <c r="AE352" s="401">
        <v>5</v>
      </c>
      <c r="AF352" s="401">
        <v>8</v>
      </c>
      <c r="AG352" s="401">
        <f t="shared" ref="AG352:AG367" si="2496">ROUNDUP((SUM(AC352:AF352)*0.1),0)</f>
        <v>5</v>
      </c>
      <c r="AH352" s="347">
        <f t="shared" ref="AH352:AH367" si="2497">SUM(AC352:AG352)</f>
        <v>54</v>
      </c>
      <c r="AI352" s="344">
        <f>IF(T352="AIR",'Catalogue Aluminium'!$K$9,IF(T352="TRENCH",'Catalogue Aluminium'!$K$12,"NA"))</f>
        <v>0.89</v>
      </c>
      <c r="AJ352" s="342">
        <f>IF(T352="Air",(IF(U352="1C",'Catalogue Aluminium'!$L$9,'Catalogue Aluminium'!$M$9)),IF(T352="DUCT",(IF($U352="1C",'Catalogue Aluminium'!$L$10,'Catalogue Aluminium'!$M$10)),IF(T352="GROUND",(IF($U352="1C",'Catalogue Aluminium'!$L$11,'Catalogue Aluminium'!$M$11)),IF(T352="TRENCH",(IF($U352="1C",'Catalogue Aluminium'!$L$12,'Catalogue Aluminium'!$M$12))))))</f>
        <v>0.66</v>
      </c>
      <c r="AK352" s="344" t="str">
        <f>IF(T352="Air",'Catalogue Aluminium'!$N$9,IF(T352="GROUND",'Catalogue Aluminium'!$N$10,IF(T352="DUCT",'Catalogue Aluminium'!$N$11,IF(T352="TRENCH",'Catalogue Aluminium'!$N$12,"NA"))))</f>
        <v>NA</v>
      </c>
      <c r="AL352" s="344" t="str">
        <f>IF(T352="Air",(IF(U352="1C",'Catalogue Aluminium'!$O$9,'Catalogue Aluminium'!$P$9)),IF(T352="DUCT",(IF($U352="1C",'Catalogue Aluminium'!$O$10,'Catalogue Aluminium'!$P$10)),IF(T352="GROUND",(IF($U352="1C",'Catalogue Aluminium'!$O$11,'Catalogue Aluminium'!$P$11)),IF(T352="TRENCH",(IF($U352="1C",'Catalogue Aluminium'!$O$12,'Catalogue Aluminium'!$P$12))))))</f>
        <v>NA</v>
      </c>
      <c r="AM352" s="344" t="str">
        <f>IF(T352="AIR","NA",IF(T352="TRENCH","NA",IF(T352="DUCT",IF(U352="1C",VLOOKUP(V352,'Catalogue Aluminium'!$Q$9:$S$28,2,FALSE),VLOOKUP(V352,'Catalogue Aluminium'!$Q$9:$S$28,3)),IF(T352="GROUND",IF(U352="1C",VLOOKUP(V352,'Catalogue Aluminium'!$Q$9:$S$28,2,FALSE),VLOOKUP(V352,'Catalogue Aluminium'!$Q$9:$S$28,3))))))</f>
        <v>NA</v>
      </c>
      <c r="AN352" s="351">
        <f t="shared" ref="AN352:AN367" si="2498">IF(T352="AIR",AI352*AJ352,IF(T352="TRENCH",AI352*AJ352,IF(T352="DUCT",AJ352*AK352*AL352*AM352,IF(T352="GROUND",AJ352*AK352*AL352*AM352))))</f>
        <v>0.58740000000000003</v>
      </c>
      <c r="AO352" s="350">
        <f t="shared" ref="AO352:AO367" si="2499">Z352*AN352</f>
        <v>22.321200000000001</v>
      </c>
      <c r="AP352" s="349">
        <f t="shared" ref="AP352:AP367" si="2500">CEILING(((N352)/AO352),1)</f>
        <v>1</v>
      </c>
      <c r="AQ352" s="350" t="str">
        <f t="shared" ref="AQ352:AQ367" si="2501">IF(AO352*AP352&gt;=N352,"YES","NO")</f>
        <v>YES</v>
      </c>
      <c r="AR352" s="351">
        <f t="shared" ref="AR352:AR367" si="2502">SQRT(3)*AH352*N352*((AA352*L352)+(AB352*SIN(ACOS(L352))))*100/(AP352*K352*1000)</f>
        <v>1.0573695043955984</v>
      </c>
      <c r="AS352" s="343" t="str">
        <f t="shared" ref="AS352:AS367" si="2503">IF(G352="INCOMER",(IF(AR352&lt;=2,"YES","NO")),IF(G352="POWER",(IF(AR352&lt;=2.5,"YES","NO")),IF(G352="MOTOR",(IF(AR352&lt;=3,"YES","NO")))))</f>
        <v>YES</v>
      </c>
      <c r="AT352" s="351" t="str">
        <f t="shared" ref="AT352:AT367" si="2504">IF(G352="MOTOR",(SQRT(3)*AH352*O352*((AA352*P352)+(AB352*SIN(ACOS(P352))))*100/(AP352*K352*1000)),"NA")</f>
        <v>NA</v>
      </c>
      <c r="AU352" s="343" t="str">
        <f t="shared" ref="AU352:AU367" si="2505">IF(G352="MOTOR",IF(AT352&lt;=15,"YES","NO"),"NA")</f>
        <v>NA</v>
      </c>
      <c r="AV352" s="354" t="str">
        <f t="shared" ref="AV352:AV367" si="2506">IF(U352="1C",CONCATENATE(AP352,"R x ",Y352,"kV x ",U352," x ",V352," Sqmm/Phase"),CONCATENATE(AP352,"R x ",0.6,"/1kV x ",U352," x ",V352," Sqmm"))</f>
        <v>1R x 0.6/1kV x 4C x 4 Sqmm</v>
      </c>
      <c r="AW352" s="354" t="str">
        <f t="shared" ref="AW352:AW367" si="2507">IF(U352="1C",CONCATENATE(AP352,"R x ",Y352,"kV x ",U352," x ",V352," Sqmm/Phase"),CONCATENATE(AP352,"R x ",0.6,"/1kV x ",U352," x ",V352,(IF(G352="MOTOR","+PE",""))," Sqmm"))</f>
        <v>1R x 0.6/1kV x 4C x 4 Sqmm</v>
      </c>
      <c r="AX352" s="343">
        <f t="shared" ref="AX352:AX367" si="2508">(IF(K352=400,(IF(U352="1C",(4*AH352*AP352),(AH352*AP352))),IF(K352=230,(AH352*AP352))))</f>
        <v>54</v>
      </c>
      <c r="AY352" s="355"/>
      <c r="AZ352" s="355">
        <f t="shared" ref="AZ352:AZ367" si="2509">IF(U352="1C",(3*AP352*2),(AP352*2))</f>
        <v>2</v>
      </c>
      <c r="BA352" s="356" t="str">
        <f t="shared" ref="BA352:BA367" si="2510">CONCATENATE(IF(BE352=1,BE$4,""),IF(BF352=1,BF$4,""),IF(BG352=1,BG$4,""),IF(BH352=1,BH$4,""),IF(BI352=1,BI$4,""),IF(BJ352=1,BJ$4,""),IF(BK352=1,BK$4,""),IF(BL352=1,BL$4,""),IF(BM352=1,BM$4,""),IF(BN352=1,BN$4,""),IF(BO352=1,BO$4,""),IF(BP352=1,BP$4,""),IF(BQ352=1,BQ$4,""),IF(BR352=1,BR$4,""),IF(BS352=1,BS$4,""),IF(BT352=1,BT$4,""),IF(BU352=1,BU$4,""),IF(BV352=1,BV$4,""),IF(BW352=1,BW$4,""),IF(BX352=1,BX$4,""),IF(BY352=1,BY$4,""),IF(BZ352=1,BZ$4,""),IF(CA352=1,CA$4,""),IF(CC352=1,CC$4,""),IF(CD352=1,CD$4,""),IF(CE352=1,CE$4,""),IF(CF352=1,CF$4,""),IF(CG352=1,CG$4,""),IF(CH352=1,CH$4,""),IF(CI352=1,CI$4,""),IF(CJ352=1,CJ$4,""),IF(CK352=1,CK$4,""),IF(CL352=1,CL$4,""),IF(CM352=1,CM$4,""),IF(CN352=1,CN$4,""),IF(CO352=1,CO$4,""),IF(CP352=1,CP$4,""),IF(CQ352=1,CQ$4,""),IF(CR352=1,CR$4,""),IF(CS352=1,CS$4,""),IF(CT352=1,CT$4,""),IF(CU352=1,CU$4,""),IF(CV352=1,CV$4,""),IF(CW352=1,CW$4,""),IF(CX352=1,CX$4,""),IF(CY352=1,CY$4,""),IF(CZ352=1,CZ$4,""),IF(DA352=1,DA$4,""),IF(DB352=1,DB$4,""),IF(DC352=1,DC$4,""),IF(DD352=1,DD$4,""),IF(DE352=1,DE$4,""),IF(DF352=1,DF$4,""),IF(DG352=1,DG$4,""),IF(DH352=1,DH$4,""),IF(DI352=1,DI$4,""),IF(DJ352=1,DJ$4,""),IF(DK352=1,DK$4,""),IF(DL352=1,DL$4,""),IF(DM352=1,DM$4,""),IF(DN352=1,DN$4,""),IF(DO352=1,DO$4,""),IF(DP352=1,DP$4,""),IF(DQ352=1,DQ$4,""),IF(DR352=1,DR$4,""),IF(DS352=1,DS$4,""),IF(DT352=1,DT$4,""),IF(DU352=1,DU$4,""))</f>
        <v/>
      </c>
      <c r="BB352" s="501">
        <f>VLOOKUP(W352,'Catalogue Aluminium'!$B$9:$H$93,7,FALSE)</f>
        <v>16</v>
      </c>
      <c r="BC352" s="328">
        <f t="shared" ref="BC352:BC367" si="2511">AP352*BB352</f>
        <v>16</v>
      </c>
      <c r="BE352" s="336"/>
      <c r="BF352" s="336"/>
      <c r="BG352" s="336"/>
      <c r="BH352" s="336"/>
      <c r="BI352" s="336"/>
      <c r="BJ352" s="336"/>
      <c r="BK352" s="336"/>
      <c r="BL352" s="336"/>
      <c r="BM352" s="336"/>
      <c r="BN352" s="336"/>
      <c r="BO352" s="336"/>
      <c r="BP352" s="336"/>
      <c r="BQ352" s="336"/>
      <c r="BR352" s="336"/>
      <c r="BS352" s="336"/>
      <c r="BT352" s="336"/>
      <c r="BU352" s="336"/>
      <c r="BV352" s="336"/>
      <c r="BW352" s="336"/>
      <c r="BX352" s="336"/>
      <c r="BY352" s="336"/>
      <c r="BZ352" s="336"/>
      <c r="CA352" s="336"/>
      <c r="CB352" s="336"/>
      <c r="CC352" s="336"/>
      <c r="CD352" s="336"/>
      <c r="CE352" s="336"/>
      <c r="CF352" s="336"/>
      <c r="CG352" s="336"/>
      <c r="CH352" s="336"/>
      <c r="CI352" s="336"/>
      <c r="CJ352" s="336"/>
      <c r="CK352" s="336"/>
      <c r="CL352" s="336"/>
      <c r="CM352" s="336"/>
      <c r="CN352" s="336"/>
      <c r="CO352" s="336"/>
      <c r="CP352" s="336"/>
      <c r="CQ352" s="336"/>
      <c r="CR352" s="336"/>
      <c r="CS352" s="336"/>
      <c r="CT352" s="336"/>
      <c r="CU352" s="336"/>
      <c r="CV352" s="336"/>
      <c r="CW352" s="336"/>
      <c r="CX352" s="336"/>
      <c r="CY352" s="336"/>
      <c r="CZ352" s="336"/>
      <c r="DA352" s="336"/>
      <c r="DB352" s="336"/>
      <c r="DC352" s="336"/>
      <c r="DD352" s="336"/>
      <c r="DE352" s="336"/>
      <c r="DF352" s="336"/>
      <c r="DG352" s="336"/>
      <c r="DH352" s="336"/>
      <c r="DI352" s="336"/>
      <c r="DJ352" s="336"/>
      <c r="DK352" s="336"/>
      <c r="DL352" s="336"/>
      <c r="DM352" s="336"/>
      <c r="DN352" s="336"/>
      <c r="DO352" s="336"/>
      <c r="DP352" s="336"/>
      <c r="DQ352" s="336"/>
      <c r="DR352" s="336"/>
      <c r="DS352" s="336"/>
      <c r="DT352" s="336"/>
      <c r="DU352" s="336"/>
      <c r="DW352" s="336">
        <f t="shared" si="2108"/>
        <v>0</v>
      </c>
      <c r="DX352" s="336">
        <f t="shared" si="2102"/>
        <v>0</v>
      </c>
      <c r="DY352" s="336">
        <f t="shared" si="2103"/>
        <v>0</v>
      </c>
      <c r="DZ352" s="336">
        <f t="shared" si="2104"/>
        <v>0</v>
      </c>
      <c r="EA352" s="336">
        <f t="shared" si="2105"/>
        <v>0</v>
      </c>
      <c r="EB352" s="336">
        <f t="shared" si="2106"/>
        <v>0</v>
      </c>
      <c r="EC352" s="336">
        <f t="shared" si="2107"/>
        <v>0</v>
      </c>
      <c r="ED352" s="336">
        <f t="shared" si="2019"/>
        <v>0</v>
      </c>
      <c r="EE352" s="336">
        <f t="shared" si="2020"/>
        <v>0</v>
      </c>
      <c r="EF352" s="336">
        <f t="shared" si="2021"/>
        <v>0</v>
      </c>
      <c r="EG352" s="336">
        <f t="shared" si="2022"/>
        <v>0</v>
      </c>
      <c r="EH352" s="336">
        <f t="shared" si="2023"/>
        <v>0</v>
      </c>
      <c r="EI352" s="336">
        <f t="shared" si="2024"/>
        <v>0</v>
      </c>
      <c r="EJ352" s="336">
        <f t="shared" si="2025"/>
        <v>0</v>
      </c>
      <c r="EK352" s="336">
        <f t="shared" si="2026"/>
        <v>0</v>
      </c>
      <c r="EL352" s="336">
        <f t="shared" si="2027"/>
        <v>0</v>
      </c>
      <c r="EM352" s="336">
        <f t="shared" si="2028"/>
        <v>0</v>
      </c>
      <c r="EN352" s="336">
        <f t="shared" si="2029"/>
        <v>0</v>
      </c>
      <c r="EO352" s="336">
        <f t="shared" si="2030"/>
        <v>0</v>
      </c>
      <c r="EP352" s="336">
        <f t="shared" si="2031"/>
        <v>0</v>
      </c>
      <c r="EQ352" s="336">
        <f t="shared" si="2032"/>
        <v>0</v>
      </c>
      <c r="ER352" s="336">
        <f t="shared" si="2033"/>
        <v>0</v>
      </c>
      <c r="ES352" s="336">
        <f t="shared" si="2034"/>
        <v>0</v>
      </c>
      <c r="ET352" s="336">
        <f t="shared" si="2034"/>
        <v>0</v>
      </c>
      <c r="EU352" s="336">
        <f t="shared" si="2035"/>
        <v>0</v>
      </c>
      <c r="EV352" s="336">
        <f t="shared" si="2036"/>
        <v>0</v>
      </c>
      <c r="EW352" s="336">
        <f t="shared" si="2037"/>
        <v>0</v>
      </c>
      <c r="EX352" s="336">
        <f t="shared" si="2038"/>
        <v>0</v>
      </c>
      <c r="EY352" s="336">
        <f t="shared" si="2039"/>
        <v>0</v>
      </c>
      <c r="EZ352" s="336">
        <f t="shared" si="2040"/>
        <v>0</v>
      </c>
      <c r="FA352" s="336">
        <f t="shared" si="2041"/>
        <v>0</v>
      </c>
      <c r="FB352" s="336">
        <f t="shared" si="2042"/>
        <v>0</v>
      </c>
      <c r="FC352" s="336">
        <f t="shared" si="2043"/>
        <v>0</v>
      </c>
      <c r="FD352" s="336">
        <f t="shared" si="2044"/>
        <v>0</v>
      </c>
      <c r="FE352" s="336">
        <f t="shared" si="2045"/>
        <v>0</v>
      </c>
      <c r="FF352" s="336">
        <f t="shared" si="2046"/>
        <v>0</v>
      </c>
      <c r="FG352" s="336">
        <f t="shared" si="2047"/>
        <v>0</v>
      </c>
      <c r="FH352" s="336">
        <f t="shared" si="2048"/>
        <v>0</v>
      </c>
      <c r="FI352" s="336">
        <f t="shared" si="2049"/>
        <v>0</v>
      </c>
      <c r="FJ352" s="336">
        <f t="shared" si="2050"/>
        <v>0</v>
      </c>
      <c r="FK352" s="336">
        <f t="shared" si="2051"/>
        <v>0</v>
      </c>
      <c r="FL352" s="336">
        <f t="shared" si="2052"/>
        <v>0</v>
      </c>
      <c r="FM352" s="336">
        <f t="shared" si="2053"/>
        <v>0</v>
      </c>
      <c r="FN352" s="336">
        <f t="shared" si="2054"/>
        <v>0</v>
      </c>
      <c r="FO352" s="336">
        <f t="shared" si="2055"/>
        <v>0</v>
      </c>
      <c r="FP352" s="336">
        <f t="shared" si="2056"/>
        <v>0</v>
      </c>
      <c r="FQ352" s="336">
        <f t="shared" si="2057"/>
        <v>0</v>
      </c>
      <c r="FR352" s="336">
        <f t="shared" si="2058"/>
        <v>0</v>
      </c>
      <c r="FS352" s="336">
        <f t="shared" si="2059"/>
        <v>0</v>
      </c>
      <c r="FT352" s="336">
        <f t="shared" si="2060"/>
        <v>0</v>
      </c>
      <c r="FU352" s="336">
        <f t="shared" si="2262"/>
        <v>0</v>
      </c>
      <c r="FV352" s="336">
        <f t="shared" si="2263"/>
        <v>0</v>
      </c>
      <c r="FW352" s="336">
        <f t="shared" si="2264"/>
        <v>0</v>
      </c>
      <c r="FX352" s="336">
        <f t="shared" si="2265"/>
        <v>0</v>
      </c>
      <c r="FY352" s="336">
        <f t="shared" si="2061"/>
        <v>0</v>
      </c>
      <c r="FZ352" s="336">
        <f t="shared" si="2062"/>
        <v>0</v>
      </c>
      <c r="GA352" s="336">
        <f t="shared" si="2063"/>
        <v>0</v>
      </c>
      <c r="GB352" s="336">
        <f t="shared" si="2064"/>
        <v>0</v>
      </c>
      <c r="GC352" s="336">
        <f t="shared" si="2065"/>
        <v>0</v>
      </c>
      <c r="GD352" s="336">
        <f t="shared" si="2066"/>
        <v>0</v>
      </c>
      <c r="GE352" s="336">
        <f t="shared" si="2067"/>
        <v>0</v>
      </c>
      <c r="GF352" s="336">
        <f t="shared" si="2068"/>
        <v>0</v>
      </c>
      <c r="GG352" s="336">
        <f t="shared" si="2069"/>
        <v>0</v>
      </c>
      <c r="GH352" s="336">
        <f t="shared" si="2070"/>
        <v>0</v>
      </c>
      <c r="GI352" s="336">
        <f t="shared" si="2071"/>
        <v>0</v>
      </c>
      <c r="GJ352" s="336">
        <f t="shared" si="2072"/>
        <v>0</v>
      </c>
      <c r="GK352" s="336">
        <f t="shared" si="1988"/>
        <v>0</v>
      </c>
      <c r="GL352" s="336">
        <f t="shared" si="2266"/>
        <v>0</v>
      </c>
      <c r="GM352" s="336">
        <f t="shared" si="2073"/>
        <v>0</v>
      </c>
    </row>
    <row r="353" spans="1:195">
      <c r="A353" s="337">
        <f t="shared" si="2488"/>
        <v>227</v>
      </c>
      <c r="B353" s="526" t="s">
        <v>338</v>
      </c>
      <c r="C353" s="337" t="str">
        <f t="shared" si="2489"/>
        <v>ACDB-1</v>
      </c>
      <c r="D353" s="372" t="s">
        <v>777</v>
      </c>
      <c r="E353" s="500" t="s">
        <v>608</v>
      </c>
      <c r="F353" s="570"/>
      <c r="G353" s="337" t="s">
        <v>329</v>
      </c>
      <c r="H353" s="350">
        <v>5</v>
      </c>
      <c r="I353" s="337" t="s">
        <v>330</v>
      </c>
      <c r="J353" s="337" t="s">
        <v>331</v>
      </c>
      <c r="K353" s="349">
        <v>400</v>
      </c>
      <c r="L353" s="343">
        <v>0.84999999999999987</v>
      </c>
      <c r="M353" s="350">
        <v>0.95099999999999985</v>
      </c>
      <c r="N353" s="342">
        <f t="shared" si="2490"/>
        <v>8.9281747625212677</v>
      </c>
      <c r="O353" s="342">
        <f t="shared" si="2491"/>
        <v>0</v>
      </c>
      <c r="P353" s="343" t="str">
        <f t="shared" si="2492"/>
        <v>0.00</v>
      </c>
      <c r="Q353" s="350">
        <v>50</v>
      </c>
      <c r="R353" s="350">
        <v>0</v>
      </c>
      <c r="S353" s="350">
        <f t="shared" si="2493"/>
        <v>0</v>
      </c>
      <c r="T353" s="343" t="s">
        <v>131</v>
      </c>
      <c r="U353" s="350" t="s">
        <v>522</v>
      </c>
      <c r="V353" s="343">
        <v>4</v>
      </c>
      <c r="W353" s="343" t="str">
        <f t="shared" si="2494"/>
        <v>4C X 4</v>
      </c>
      <c r="X353" s="343" t="str">
        <f t="shared" si="2495"/>
        <v>4C X 4</v>
      </c>
      <c r="Y353" s="343" t="s">
        <v>358</v>
      </c>
      <c r="Z353" s="344">
        <f>IF(T353="AIR",VLOOKUP(W353,'Catalogue Aluminium'!$B$9:$G$93,2,FALSE),IF(T353="GROUND",VLOOKUP(W353,'Catalogue Aluminium'!$B$9:$G$93,3,FALSE),IF(T353="DUCT",VLOOKUP(W353,'Catalogue Aluminium'!$B$9:$G$93,4,FALSE),IF(T353="TRENCH",VLOOKUP(W353,'Catalogue Aluminium'!$B$9:$G$93,2,FALSE)))))</f>
        <v>38</v>
      </c>
      <c r="AA353" s="345">
        <f>VLOOKUP(W353,'Catalogue Aluminium'!$B$9:$G$93,5,FALSE)</f>
        <v>5.9</v>
      </c>
      <c r="AB353" s="345">
        <f>VLOOKUP(W353,'Catalogue Aluminium'!$B$9:$G$93,6,FALSE)</f>
        <v>9.4700000000000006E-2</v>
      </c>
      <c r="AC353" s="388">
        <f t="shared" ref="AC353" si="2512">30+6</f>
        <v>36</v>
      </c>
      <c r="AD353" s="457">
        <v>0</v>
      </c>
      <c r="AE353" s="401">
        <v>5</v>
      </c>
      <c r="AF353" s="401">
        <v>8</v>
      </c>
      <c r="AG353" s="401">
        <f t="shared" si="2496"/>
        <v>5</v>
      </c>
      <c r="AH353" s="347">
        <f t="shared" si="2497"/>
        <v>54</v>
      </c>
      <c r="AI353" s="344">
        <f>IF(T353="AIR",'Catalogue Aluminium'!$K$9,IF(T353="TRENCH",'Catalogue Aluminium'!$K$12,"NA"))</f>
        <v>0.89</v>
      </c>
      <c r="AJ353" s="342">
        <f>IF(T353="Air",(IF(U353="1C",'Catalogue Aluminium'!$L$9,'Catalogue Aluminium'!$M$9)),IF(T353="DUCT",(IF($U353="1C",'Catalogue Aluminium'!$L$10,'Catalogue Aluminium'!$M$10)),IF(T353="GROUND",(IF($U353="1C",'Catalogue Aluminium'!$L$11,'Catalogue Aluminium'!$M$11)),IF(T353="TRENCH",(IF($U353="1C",'Catalogue Aluminium'!$L$12,'Catalogue Aluminium'!$M$12))))))</f>
        <v>0.66</v>
      </c>
      <c r="AK353" s="344" t="str">
        <f>IF(T353="Air",'Catalogue Aluminium'!$N$9,IF(T353="GROUND",'Catalogue Aluminium'!$N$10,IF(T353="DUCT",'Catalogue Aluminium'!$N$11,IF(T353="TRENCH",'Catalogue Aluminium'!$N$12,"NA"))))</f>
        <v>NA</v>
      </c>
      <c r="AL353" s="344" t="str">
        <f>IF(T353="Air",(IF(U353="1C",'Catalogue Aluminium'!$O$9,'Catalogue Aluminium'!$P$9)),IF(T353="DUCT",(IF($U353="1C",'Catalogue Aluminium'!$O$10,'Catalogue Aluminium'!$P$10)),IF(T353="GROUND",(IF($U353="1C",'Catalogue Aluminium'!$O$11,'Catalogue Aluminium'!$P$11)),IF(T353="TRENCH",(IF($U353="1C",'Catalogue Aluminium'!$O$12,'Catalogue Aluminium'!$P$12))))))</f>
        <v>NA</v>
      </c>
      <c r="AM353" s="344" t="str">
        <f>IF(T353="AIR","NA",IF(T353="TRENCH","NA",IF(T353="DUCT",IF(U353="1C",VLOOKUP(V353,'Catalogue Aluminium'!$Q$9:$S$28,2,FALSE),VLOOKUP(V353,'Catalogue Aluminium'!$Q$9:$S$28,3)),IF(T353="GROUND",IF(U353="1C",VLOOKUP(V353,'Catalogue Aluminium'!$Q$9:$S$28,2,FALSE),VLOOKUP(V353,'Catalogue Aluminium'!$Q$9:$S$28,3))))))</f>
        <v>NA</v>
      </c>
      <c r="AN353" s="351">
        <f t="shared" si="2498"/>
        <v>0.58740000000000003</v>
      </c>
      <c r="AO353" s="350">
        <f t="shared" si="2499"/>
        <v>22.321200000000001</v>
      </c>
      <c r="AP353" s="349">
        <f t="shared" si="2500"/>
        <v>1</v>
      </c>
      <c r="AQ353" s="350" t="str">
        <f t="shared" si="2501"/>
        <v>YES</v>
      </c>
      <c r="AR353" s="351">
        <f t="shared" si="2502"/>
        <v>1.0573695043955984</v>
      </c>
      <c r="AS353" s="343" t="str">
        <f t="shared" si="2503"/>
        <v>YES</v>
      </c>
      <c r="AT353" s="351" t="str">
        <f t="shared" si="2504"/>
        <v>NA</v>
      </c>
      <c r="AU353" s="343" t="str">
        <f t="shared" si="2505"/>
        <v>NA</v>
      </c>
      <c r="AV353" s="354" t="str">
        <f t="shared" si="2506"/>
        <v>1R x 0.6/1kV x 4C x 4 Sqmm</v>
      </c>
      <c r="AW353" s="354" t="str">
        <f t="shared" si="2507"/>
        <v>1R x 0.6/1kV x 4C x 4 Sqmm</v>
      </c>
      <c r="AX353" s="343">
        <f t="shared" si="2508"/>
        <v>54</v>
      </c>
      <c r="AY353" s="355"/>
      <c r="AZ353" s="355">
        <f t="shared" si="2509"/>
        <v>2</v>
      </c>
      <c r="BA353" s="356" t="str">
        <f t="shared" si="2510"/>
        <v/>
      </c>
      <c r="BB353" s="501">
        <f>VLOOKUP(W353,'Catalogue Aluminium'!$B$9:$H$93,7,FALSE)</f>
        <v>16</v>
      </c>
      <c r="BC353" s="328">
        <f t="shared" si="2511"/>
        <v>16</v>
      </c>
      <c r="BE353" s="336"/>
      <c r="BF353" s="336"/>
      <c r="BG353" s="336"/>
      <c r="BH353" s="336"/>
      <c r="BI353" s="336"/>
      <c r="BJ353" s="336"/>
      <c r="BK353" s="336"/>
      <c r="BL353" s="336"/>
      <c r="BM353" s="336"/>
      <c r="BN353" s="336"/>
      <c r="BO353" s="336"/>
      <c r="BP353" s="336"/>
      <c r="BQ353" s="336"/>
      <c r="BR353" s="336"/>
      <c r="BS353" s="336"/>
      <c r="BT353" s="336"/>
      <c r="BU353" s="336"/>
      <c r="BV353" s="336"/>
      <c r="BW353" s="336"/>
      <c r="BX353" s="336"/>
      <c r="BY353" s="336"/>
      <c r="BZ353" s="336"/>
      <c r="CA353" s="336"/>
      <c r="CB353" s="336"/>
      <c r="CC353" s="336"/>
      <c r="CD353" s="336"/>
      <c r="CE353" s="336"/>
      <c r="CF353" s="336"/>
      <c r="CG353" s="336"/>
      <c r="CH353" s="336"/>
      <c r="CI353" s="336"/>
      <c r="CJ353" s="336"/>
      <c r="CK353" s="336"/>
      <c r="CL353" s="336"/>
      <c r="CM353" s="336"/>
      <c r="CN353" s="336"/>
      <c r="CO353" s="336"/>
      <c r="CP353" s="336"/>
      <c r="CQ353" s="336"/>
      <c r="CR353" s="336"/>
      <c r="CS353" s="336"/>
      <c r="CT353" s="336"/>
      <c r="CU353" s="336"/>
      <c r="CV353" s="336"/>
      <c r="CW353" s="336"/>
      <c r="CX353" s="336"/>
      <c r="CY353" s="336"/>
      <c r="CZ353" s="336"/>
      <c r="DA353" s="336"/>
      <c r="DB353" s="336"/>
      <c r="DC353" s="336"/>
      <c r="DD353" s="336"/>
      <c r="DE353" s="336"/>
      <c r="DF353" s="336"/>
      <c r="DG353" s="336"/>
      <c r="DH353" s="336"/>
      <c r="DI353" s="336"/>
      <c r="DJ353" s="336"/>
      <c r="DK353" s="336"/>
      <c r="DL353" s="336"/>
      <c r="DM353" s="336"/>
      <c r="DN353" s="336"/>
      <c r="DO353" s="336"/>
      <c r="DP353" s="336"/>
      <c r="DQ353" s="336"/>
      <c r="DR353" s="336"/>
      <c r="DS353" s="336"/>
      <c r="DT353" s="336"/>
      <c r="DU353" s="336"/>
      <c r="DW353" s="336">
        <f t="shared" si="2108"/>
        <v>0</v>
      </c>
      <c r="DX353" s="336">
        <f t="shared" si="2102"/>
        <v>0</v>
      </c>
      <c r="DY353" s="336">
        <f t="shared" si="2103"/>
        <v>0</v>
      </c>
      <c r="DZ353" s="336">
        <f t="shared" si="2104"/>
        <v>0</v>
      </c>
      <c r="EA353" s="336">
        <f t="shared" si="2105"/>
        <v>0</v>
      </c>
      <c r="EB353" s="336">
        <f t="shared" si="2106"/>
        <v>0</v>
      </c>
      <c r="EC353" s="336">
        <f t="shared" si="2107"/>
        <v>0</v>
      </c>
      <c r="ED353" s="336">
        <f t="shared" si="2019"/>
        <v>0</v>
      </c>
      <c r="EE353" s="336">
        <f t="shared" si="2020"/>
        <v>0</v>
      </c>
      <c r="EF353" s="336">
        <f t="shared" si="2021"/>
        <v>0</v>
      </c>
      <c r="EG353" s="336">
        <f t="shared" si="2022"/>
        <v>0</v>
      </c>
      <c r="EH353" s="336">
        <f t="shared" si="2023"/>
        <v>0</v>
      </c>
      <c r="EI353" s="336">
        <f t="shared" si="2024"/>
        <v>0</v>
      </c>
      <c r="EJ353" s="336">
        <f t="shared" si="2025"/>
        <v>0</v>
      </c>
      <c r="EK353" s="336">
        <f t="shared" si="2026"/>
        <v>0</v>
      </c>
      <c r="EL353" s="336">
        <f t="shared" si="2027"/>
        <v>0</v>
      </c>
      <c r="EM353" s="336">
        <f t="shared" si="2028"/>
        <v>0</v>
      </c>
      <c r="EN353" s="336">
        <f t="shared" si="2029"/>
        <v>0</v>
      </c>
      <c r="EO353" s="336">
        <f t="shared" si="2030"/>
        <v>0</v>
      </c>
      <c r="EP353" s="336">
        <f t="shared" si="2031"/>
        <v>0</v>
      </c>
      <c r="EQ353" s="336">
        <f t="shared" si="2032"/>
        <v>0</v>
      </c>
      <c r="ER353" s="336">
        <f t="shared" si="2033"/>
        <v>0</v>
      </c>
      <c r="ES353" s="336">
        <f t="shared" si="2034"/>
        <v>0</v>
      </c>
      <c r="ET353" s="336">
        <f t="shared" si="2034"/>
        <v>0</v>
      </c>
      <c r="EU353" s="336">
        <f t="shared" si="2035"/>
        <v>0</v>
      </c>
      <c r="EV353" s="336">
        <f t="shared" si="2036"/>
        <v>0</v>
      </c>
      <c r="EW353" s="336">
        <f t="shared" si="2037"/>
        <v>0</v>
      </c>
      <c r="EX353" s="336">
        <f t="shared" si="2038"/>
        <v>0</v>
      </c>
      <c r="EY353" s="336">
        <f t="shared" si="2039"/>
        <v>0</v>
      </c>
      <c r="EZ353" s="336">
        <f t="shared" si="2040"/>
        <v>0</v>
      </c>
      <c r="FA353" s="336">
        <f t="shared" si="2041"/>
        <v>0</v>
      </c>
      <c r="FB353" s="336">
        <f t="shared" si="2042"/>
        <v>0</v>
      </c>
      <c r="FC353" s="336">
        <f t="shared" si="2043"/>
        <v>0</v>
      </c>
      <c r="FD353" s="336">
        <f t="shared" si="2044"/>
        <v>0</v>
      </c>
      <c r="FE353" s="336">
        <f t="shared" si="2045"/>
        <v>0</v>
      </c>
      <c r="FF353" s="336">
        <f t="shared" si="2046"/>
        <v>0</v>
      </c>
      <c r="FG353" s="336">
        <f t="shared" si="2047"/>
        <v>0</v>
      </c>
      <c r="FH353" s="336">
        <f t="shared" si="2048"/>
        <v>0</v>
      </c>
      <c r="FI353" s="336">
        <f t="shared" si="2049"/>
        <v>0</v>
      </c>
      <c r="FJ353" s="336">
        <f t="shared" si="2050"/>
        <v>0</v>
      </c>
      <c r="FK353" s="336">
        <f t="shared" si="2051"/>
        <v>0</v>
      </c>
      <c r="FL353" s="336">
        <f t="shared" si="2052"/>
        <v>0</v>
      </c>
      <c r="FM353" s="336">
        <f t="shared" si="2053"/>
        <v>0</v>
      </c>
      <c r="FN353" s="336">
        <f t="shared" si="2054"/>
        <v>0</v>
      </c>
      <c r="FO353" s="336">
        <f t="shared" si="2055"/>
        <v>0</v>
      </c>
      <c r="FP353" s="336">
        <f t="shared" si="2056"/>
        <v>0</v>
      </c>
      <c r="FQ353" s="336">
        <f t="shared" si="2057"/>
        <v>0</v>
      </c>
      <c r="FR353" s="336">
        <f t="shared" si="2058"/>
        <v>0</v>
      </c>
      <c r="FS353" s="336">
        <f t="shared" si="2059"/>
        <v>0</v>
      </c>
      <c r="FT353" s="336">
        <f t="shared" si="2060"/>
        <v>0</v>
      </c>
      <c r="FU353" s="336">
        <f t="shared" si="2262"/>
        <v>0</v>
      </c>
      <c r="FV353" s="336">
        <f t="shared" si="2263"/>
        <v>0</v>
      </c>
      <c r="FW353" s="336">
        <f t="shared" si="2264"/>
        <v>0</v>
      </c>
      <c r="FX353" s="336">
        <f t="shared" si="2265"/>
        <v>0</v>
      </c>
      <c r="FY353" s="336">
        <f t="shared" si="2061"/>
        <v>0</v>
      </c>
      <c r="FZ353" s="336">
        <f t="shared" si="2062"/>
        <v>0</v>
      </c>
      <c r="GA353" s="336">
        <f t="shared" si="2063"/>
        <v>0</v>
      </c>
      <c r="GB353" s="336">
        <f t="shared" si="2064"/>
        <v>0</v>
      </c>
      <c r="GC353" s="336">
        <f t="shared" si="2065"/>
        <v>0</v>
      </c>
      <c r="GD353" s="336">
        <f t="shared" si="2066"/>
        <v>0</v>
      </c>
      <c r="GE353" s="336">
        <f t="shared" si="2067"/>
        <v>0</v>
      </c>
      <c r="GF353" s="336">
        <f t="shared" si="2068"/>
        <v>0</v>
      </c>
      <c r="GG353" s="336">
        <f t="shared" si="2069"/>
        <v>0</v>
      </c>
      <c r="GH353" s="336">
        <f t="shared" si="2070"/>
        <v>0</v>
      </c>
      <c r="GI353" s="336">
        <f t="shared" si="2071"/>
        <v>0</v>
      </c>
      <c r="GJ353" s="336">
        <f t="shared" si="2072"/>
        <v>0</v>
      </c>
      <c r="GK353" s="336">
        <f t="shared" si="1988"/>
        <v>0</v>
      </c>
      <c r="GL353" s="336">
        <f t="shared" si="2266"/>
        <v>0</v>
      </c>
      <c r="GM353" s="336">
        <f t="shared" si="2073"/>
        <v>0</v>
      </c>
    </row>
    <row r="354" spans="1:195">
      <c r="A354" s="337">
        <f t="shared" si="2488"/>
        <v>228</v>
      </c>
      <c r="B354" s="526" t="s">
        <v>778</v>
      </c>
      <c r="C354" s="337" t="str">
        <f t="shared" si="2489"/>
        <v>ACDB-1</v>
      </c>
      <c r="D354" s="372" t="s">
        <v>779</v>
      </c>
      <c r="E354" s="500" t="s">
        <v>608</v>
      </c>
      <c r="F354" s="570"/>
      <c r="G354" s="337" t="s">
        <v>329</v>
      </c>
      <c r="H354" s="350">
        <v>5</v>
      </c>
      <c r="I354" s="337" t="s">
        <v>330</v>
      </c>
      <c r="J354" s="337" t="s">
        <v>331</v>
      </c>
      <c r="K354" s="349">
        <v>400</v>
      </c>
      <c r="L354" s="343">
        <v>0.84999999999999987</v>
      </c>
      <c r="M354" s="350">
        <v>0.95099999999999985</v>
      </c>
      <c r="N354" s="342">
        <f t="shared" si="2490"/>
        <v>8.9281747625212677</v>
      </c>
      <c r="O354" s="342">
        <f t="shared" si="2491"/>
        <v>0</v>
      </c>
      <c r="P354" s="343" t="str">
        <f t="shared" si="2492"/>
        <v>0.00</v>
      </c>
      <c r="Q354" s="350">
        <v>50</v>
      </c>
      <c r="R354" s="350">
        <v>0</v>
      </c>
      <c r="S354" s="350">
        <f t="shared" si="2493"/>
        <v>0</v>
      </c>
      <c r="T354" s="343" t="s">
        <v>131</v>
      </c>
      <c r="U354" s="350" t="s">
        <v>522</v>
      </c>
      <c r="V354" s="343">
        <v>4</v>
      </c>
      <c r="W354" s="343" t="str">
        <f t="shared" si="2494"/>
        <v>4C X 4</v>
      </c>
      <c r="X354" s="343" t="str">
        <f t="shared" si="2495"/>
        <v>4C X 4</v>
      </c>
      <c r="Y354" s="343" t="s">
        <v>358</v>
      </c>
      <c r="Z354" s="344">
        <f>IF(T354="AIR",VLOOKUP(W354,'Catalogue Aluminium'!$B$9:$G$93,2,FALSE),IF(T354="GROUND",VLOOKUP(W354,'Catalogue Aluminium'!$B$9:$G$93,3,FALSE),IF(T354="DUCT",VLOOKUP(W354,'Catalogue Aluminium'!$B$9:$G$93,4,FALSE),IF(T354="TRENCH",VLOOKUP(W354,'Catalogue Aluminium'!$B$9:$G$93,2,FALSE)))))</f>
        <v>38</v>
      </c>
      <c r="AA354" s="345">
        <f>VLOOKUP(W354,'Catalogue Aluminium'!$B$9:$G$93,5,FALSE)</f>
        <v>5.9</v>
      </c>
      <c r="AB354" s="345">
        <f>VLOOKUP(W354,'Catalogue Aluminium'!$B$9:$G$93,6,FALSE)</f>
        <v>9.4700000000000006E-2</v>
      </c>
      <c r="AC354" s="388">
        <f>25</f>
        <v>25</v>
      </c>
      <c r="AD354" s="457">
        <v>0</v>
      </c>
      <c r="AE354" s="401">
        <v>5</v>
      </c>
      <c r="AF354" s="401">
        <v>8</v>
      </c>
      <c r="AG354" s="401">
        <f t="shared" si="2496"/>
        <v>4</v>
      </c>
      <c r="AH354" s="347">
        <f t="shared" si="2497"/>
        <v>42</v>
      </c>
      <c r="AI354" s="344">
        <f>IF(T354="AIR",'Catalogue Aluminium'!$K$9,IF(T354="TRENCH",'Catalogue Aluminium'!$K$12,"NA"))</f>
        <v>0.89</v>
      </c>
      <c r="AJ354" s="342">
        <f>IF(T354="Air",(IF(U354="1C",'Catalogue Aluminium'!$L$9,'Catalogue Aluminium'!$M$9)),IF(T354="DUCT",(IF($U354="1C",'Catalogue Aluminium'!$L$10,'Catalogue Aluminium'!$M$10)),IF(T354="GROUND",(IF($U354="1C",'Catalogue Aluminium'!$L$11,'Catalogue Aluminium'!$M$11)),IF(T354="TRENCH",(IF($U354="1C",'Catalogue Aluminium'!$L$12,'Catalogue Aluminium'!$M$12))))))</f>
        <v>0.66</v>
      </c>
      <c r="AK354" s="344" t="str">
        <f>IF(T354="Air",'Catalogue Aluminium'!$N$9,IF(T354="GROUND",'Catalogue Aluminium'!$N$10,IF(T354="DUCT",'Catalogue Aluminium'!$N$11,IF(T354="TRENCH",'Catalogue Aluminium'!$N$12,"NA"))))</f>
        <v>NA</v>
      </c>
      <c r="AL354" s="344" t="str">
        <f>IF(T354="Air",(IF(U354="1C",'Catalogue Aluminium'!$O$9,'Catalogue Aluminium'!$P$9)),IF(T354="DUCT",(IF($U354="1C",'Catalogue Aluminium'!$O$10,'Catalogue Aluminium'!$P$10)),IF(T354="GROUND",(IF($U354="1C",'Catalogue Aluminium'!$O$11,'Catalogue Aluminium'!$P$11)),IF(T354="TRENCH",(IF($U354="1C",'Catalogue Aluminium'!$O$12,'Catalogue Aluminium'!$P$12))))))</f>
        <v>NA</v>
      </c>
      <c r="AM354" s="344" t="str">
        <f>IF(T354="AIR","NA",IF(T354="TRENCH","NA",IF(T354="DUCT",IF(U354="1C",VLOOKUP(V354,'Catalogue Aluminium'!$Q$9:$S$28,2,FALSE),VLOOKUP(V354,'Catalogue Aluminium'!$Q$9:$S$28,3)),IF(T354="GROUND",IF(U354="1C",VLOOKUP(V354,'Catalogue Aluminium'!$Q$9:$S$28,2,FALSE),VLOOKUP(V354,'Catalogue Aluminium'!$Q$9:$S$28,3))))))</f>
        <v>NA</v>
      </c>
      <c r="AN354" s="351">
        <f t="shared" si="2498"/>
        <v>0.58740000000000003</v>
      </c>
      <c r="AO354" s="350">
        <f t="shared" si="2499"/>
        <v>22.321200000000001</v>
      </c>
      <c r="AP354" s="349">
        <f t="shared" si="2500"/>
        <v>1</v>
      </c>
      <c r="AQ354" s="350" t="str">
        <f t="shared" si="2501"/>
        <v>YES</v>
      </c>
      <c r="AR354" s="351">
        <f t="shared" si="2502"/>
        <v>0.82239850341879905</v>
      </c>
      <c r="AS354" s="343" t="str">
        <f t="shared" si="2503"/>
        <v>YES</v>
      </c>
      <c r="AT354" s="351" t="str">
        <f t="shared" si="2504"/>
        <v>NA</v>
      </c>
      <c r="AU354" s="343" t="str">
        <f t="shared" si="2505"/>
        <v>NA</v>
      </c>
      <c r="AV354" s="354" t="str">
        <f t="shared" si="2506"/>
        <v>1R x 0.6/1kV x 4C x 4 Sqmm</v>
      </c>
      <c r="AW354" s="354" t="str">
        <f t="shared" si="2507"/>
        <v>1R x 0.6/1kV x 4C x 4 Sqmm</v>
      </c>
      <c r="AX354" s="343">
        <f t="shared" si="2508"/>
        <v>42</v>
      </c>
      <c r="AY354" s="355"/>
      <c r="AZ354" s="355">
        <f t="shared" si="2509"/>
        <v>2</v>
      </c>
      <c r="BA354" s="356" t="str">
        <f t="shared" si="2510"/>
        <v/>
      </c>
      <c r="BB354" s="501">
        <f>VLOOKUP(W354,'Catalogue Aluminium'!$B$9:$H$93,7,FALSE)</f>
        <v>16</v>
      </c>
      <c r="BC354" s="328">
        <f t="shared" si="2511"/>
        <v>16</v>
      </c>
      <c r="BE354" s="336"/>
      <c r="BF354" s="336"/>
      <c r="BG354" s="336"/>
      <c r="BH354" s="336"/>
      <c r="BI354" s="336"/>
      <c r="BJ354" s="336"/>
      <c r="BK354" s="336"/>
      <c r="BL354" s="336"/>
      <c r="BM354" s="336"/>
      <c r="BN354" s="336"/>
      <c r="BO354" s="336"/>
      <c r="BP354" s="336"/>
      <c r="BQ354" s="336"/>
      <c r="BR354" s="336"/>
      <c r="BS354" s="336"/>
      <c r="BT354" s="336"/>
      <c r="BU354" s="336"/>
      <c r="BV354" s="336"/>
      <c r="BW354" s="336"/>
      <c r="BX354" s="336"/>
      <c r="BY354" s="336"/>
      <c r="BZ354" s="336"/>
      <c r="CA354" s="336"/>
      <c r="CB354" s="336"/>
      <c r="CC354" s="336"/>
      <c r="CD354" s="336"/>
      <c r="CE354" s="336"/>
      <c r="CF354" s="336"/>
      <c r="CG354" s="336"/>
      <c r="CH354" s="336"/>
      <c r="CI354" s="336"/>
      <c r="CJ354" s="336"/>
      <c r="CK354" s="336"/>
      <c r="CL354" s="336"/>
      <c r="CM354" s="336"/>
      <c r="CN354" s="336"/>
      <c r="CO354" s="336"/>
      <c r="CP354" s="336"/>
      <c r="CQ354" s="336"/>
      <c r="CR354" s="336"/>
      <c r="CS354" s="336"/>
      <c r="CT354" s="336"/>
      <c r="CU354" s="336"/>
      <c r="CV354" s="336"/>
      <c r="CW354" s="336"/>
      <c r="CX354" s="336"/>
      <c r="CY354" s="336"/>
      <c r="CZ354" s="336"/>
      <c r="DA354" s="336"/>
      <c r="DB354" s="336"/>
      <c r="DC354" s="336"/>
      <c r="DD354" s="336"/>
      <c r="DE354" s="336"/>
      <c r="DF354" s="336"/>
      <c r="DG354" s="336"/>
      <c r="DH354" s="336"/>
      <c r="DI354" s="336"/>
      <c r="DJ354" s="336"/>
      <c r="DK354" s="336"/>
      <c r="DL354" s="336"/>
      <c r="DM354" s="336"/>
      <c r="DN354" s="336"/>
      <c r="DO354" s="336"/>
      <c r="DP354" s="336"/>
      <c r="DQ354" s="336"/>
      <c r="DR354" s="336"/>
      <c r="DS354" s="336"/>
      <c r="DT354" s="336"/>
      <c r="DU354" s="336"/>
      <c r="DW354" s="336">
        <f t="shared" si="2108"/>
        <v>0</v>
      </c>
      <c r="DX354" s="336">
        <f t="shared" si="2102"/>
        <v>0</v>
      </c>
      <c r="DY354" s="336">
        <f t="shared" si="2103"/>
        <v>0</v>
      </c>
      <c r="DZ354" s="336">
        <f t="shared" si="2104"/>
        <v>0</v>
      </c>
      <c r="EA354" s="336">
        <f t="shared" si="2105"/>
        <v>0</v>
      </c>
      <c r="EB354" s="336">
        <f t="shared" si="2106"/>
        <v>0</v>
      </c>
      <c r="EC354" s="336">
        <f t="shared" si="2107"/>
        <v>0</v>
      </c>
      <c r="ED354" s="336">
        <f t="shared" si="2019"/>
        <v>0</v>
      </c>
      <c r="EE354" s="336">
        <f t="shared" si="2020"/>
        <v>0</v>
      </c>
      <c r="EF354" s="336">
        <f t="shared" si="2021"/>
        <v>0</v>
      </c>
      <c r="EG354" s="336">
        <f t="shared" si="2022"/>
        <v>0</v>
      </c>
      <c r="EH354" s="336">
        <f t="shared" si="2023"/>
        <v>0</v>
      </c>
      <c r="EI354" s="336">
        <f t="shared" si="2024"/>
        <v>0</v>
      </c>
      <c r="EJ354" s="336">
        <f t="shared" si="2025"/>
        <v>0</v>
      </c>
      <c r="EK354" s="336">
        <f t="shared" si="2026"/>
        <v>0</v>
      </c>
      <c r="EL354" s="336">
        <f t="shared" si="2027"/>
        <v>0</v>
      </c>
      <c r="EM354" s="336">
        <f t="shared" si="2028"/>
        <v>0</v>
      </c>
      <c r="EN354" s="336">
        <f t="shared" si="2029"/>
        <v>0</v>
      </c>
      <c r="EO354" s="336">
        <f t="shared" si="2030"/>
        <v>0</v>
      </c>
      <c r="EP354" s="336">
        <f t="shared" si="2031"/>
        <v>0</v>
      </c>
      <c r="EQ354" s="336">
        <f t="shared" si="2032"/>
        <v>0</v>
      </c>
      <c r="ER354" s="336">
        <f t="shared" si="2033"/>
        <v>0</v>
      </c>
      <c r="ES354" s="336">
        <f t="shared" si="2034"/>
        <v>0</v>
      </c>
      <c r="ET354" s="336">
        <f t="shared" si="2034"/>
        <v>0</v>
      </c>
      <c r="EU354" s="336">
        <f t="shared" si="2035"/>
        <v>0</v>
      </c>
      <c r="EV354" s="336">
        <f t="shared" si="2036"/>
        <v>0</v>
      </c>
      <c r="EW354" s="336">
        <f t="shared" si="2037"/>
        <v>0</v>
      </c>
      <c r="EX354" s="336">
        <f t="shared" si="2038"/>
        <v>0</v>
      </c>
      <c r="EY354" s="336">
        <f t="shared" si="2039"/>
        <v>0</v>
      </c>
      <c r="EZ354" s="336">
        <f t="shared" si="2040"/>
        <v>0</v>
      </c>
      <c r="FA354" s="336">
        <f t="shared" si="2041"/>
        <v>0</v>
      </c>
      <c r="FB354" s="336">
        <f t="shared" si="2042"/>
        <v>0</v>
      </c>
      <c r="FC354" s="336">
        <f t="shared" si="2043"/>
        <v>0</v>
      </c>
      <c r="FD354" s="336">
        <f t="shared" si="2044"/>
        <v>0</v>
      </c>
      <c r="FE354" s="336">
        <f t="shared" si="2045"/>
        <v>0</v>
      </c>
      <c r="FF354" s="336">
        <f t="shared" si="2046"/>
        <v>0</v>
      </c>
      <c r="FG354" s="336">
        <f t="shared" si="2047"/>
        <v>0</v>
      </c>
      <c r="FH354" s="336">
        <f t="shared" si="2048"/>
        <v>0</v>
      </c>
      <c r="FI354" s="336">
        <f t="shared" si="2049"/>
        <v>0</v>
      </c>
      <c r="FJ354" s="336">
        <f t="shared" si="2050"/>
        <v>0</v>
      </c>
      <c r="FK354" s="336">
        <f t="shared" si="2051"/>
        <v>0</v>
      </c>
      <c r="FL354" s="336">
        <f t="shared" si="2052"/>
        <v>0</v>
      </c>
      <c r="FM354" s="336">
        <f t="shared" si="2053"/>
        <v>0</v>
      </c>
      <c r="FN354" s="336">
        <f t="shared" si="2054"/>
        <v>0</v>
      </c>
      <c r="FO354" s="336">
        <f t="shared" si="2055"/>
        <v>0</v>
      </c>
      <c r="FP354" s="336">
        <f t="shared" si="2056"/>
        <v>0</v>
      </c>
      <c r="FQ354" s="336">
        <f t="shared" si="2057"/>
        <v>0</v>
      </c>
      <c r="FR354" s="336">
        <f t="shared" si="2058"/>
        <v>0</v>
      </c>
      <c r="FS354" s="336">
        <f t="shared" si="2059"/>
        <v>0</v>
      </c>
      <c r="FT354" s="336">
        <f t="shared" si="2060"/>
        <v>0</v>
      </c>
      <c r="FU354" s="336">
        <f t="shared" si="2262"/>
        <v>0</v>
      </c>
      <c r="FV354" s="336">
        <f t="shared" si="2263"/>
        <v>0</v>
      </c>
      <c r="FW354" s="336">
        <f t="shared" si="2264"/>
        <v>0</v>
      </c>
      <c r="FX354" s="336">
        <f t="shared" si="2265"/>
        <v>0</v>
      </c>
      <c r="FY354" s="336">
        <f t="shared" si="2061"/>
        <v>0</v>
      </c>
      <c r="FZ354" s="336">
        <f t="shared" si="2062"/>
        <v>0</v>
      </c>
      <c r="GA354" s="336">
        <f t="shared" si="2063"/>
        <v>0</v>
      </c>
      <c r="GB354" s="336">
        <f t="shared" si="2064"/>
        <v>0</v>
      </c>
      <c r="GC354" s="336">
        <f t="shared" si="2065"/>
        <v>0</v>
      </c>
      <c r="GD354" s="336">
        <f t="shared" si="2066"/>
        <v>0</v>
      </c>
      <c r="GE354" s="336">
        <f t="shared" si="2067"/>
        <v>0</v>
      </c>
      <c r="GF354" s="336">
        <f t="shared" si="2068"/>
        <v>0</v>
      </c>
      <c r="GG354" s="336">
        <f t="shared" si="2069"/>
        <v>0</v>
      </c>
      <c r="GH354" s="336">
        <f t="shared" si="2070"/>
        <v>0</v>
      </c>
      <c r="GI354" s="336">
        <f t="shared" si="2071"/>
        <v>0</v>
      </c>
      <c r="GJ354" s="336">
        <f t="shared" si="2072"/>
        <v>0</v>
      </c>
      <c r="GK354" s="336">
        <f t="shared" ref="GK354:GK417" si="2513">IF(DS354=1,($BC354*DS354),0)</f>
        <v>0</v>
      </c>
      <c r="GL354" s="336">
        <f t="shared" si="2266"/>
        <v>0</v>
      </c>
      <c r="GM354" s="336">
        <f t="shared" si="2073"/>
        <v>0</v>
      </c>
    </row>
    <row r="355" spans="1:195">
      <c r="A355" s="337">
        <f t="shared" si="2488"/>
        <v>229</v>
      </c>
      <c r="B355" s="526" t="s">
        <v>778</v>
      </c>
      <c r="C355" s="337" t="str">
        <f t="shared" si="2489"/>
        <v>ACDB-1</v>
      </c>
      <c r="D355" s="372" t="s">
        <v>780</v>
      </c>
      <c r="E355" s="500" t="s">
        <v>608</v>
      </c>
      <c r="F355" s="570"/>
      <c r="G355" s="337" t="s">
        <v>329</v>
      </c>
      <c r="H355" s="350">
        <v>5</v>
      </c>
      <c r="I355" s="337" t="s">
        <v>330</v>
      </c>
      <c r="J355" s="337" t="s">
        <v>331</v>
      </c>
      <c r="K355" s="349">
        <v>400</v>
      </c>
      <c r="L355" s="343">
        <v>0.84999999999999987</v>
      </c>
      <c r="M355" s="350">
        <v>0.95099999999999985</v>
      </c>
      <c r="N355" s="342">
        <f t="shared" si="2490"/>
        <v>8.9281747625212677</v>
      </c>
      <c r="O355" s="342">
        <f t="shared" si="2491"/>
        <v>0</v>
      </c>
      <c r="P355" s="343" t="str">
        <f t="shared" si="2492"/>
        <v>0.00</v>
      </c>
      <c r="Q355" s="350">
        <v>50</v>
      </c>
      <c r="R355" s="350">
        <v>0</v>
      </c>
      <c r="S355" s="350">
        <f t="shared" si="2493"/>
        <v>0</v>
      </c>
      <c r="T355" s="343" t="s">
        <v>131</v>
      </c>
      <c r="U355" s="350" t="s">
        <v>522</v>
      </c>
      <c r="V355" s="343">
        <v>4</v>
      </c>
      <c r="W355" s="343" t="str">
        <f t="shared" si="2494"/>
        <v>4C X 4</v>
      </c>
      <c r="X355" s="343" t="str">
        <f t="shared" si="2495"/>
        <v>4C X 4</v>
      </c>
      <c r="Y355" s="343" t="s">
        <v>358</v>
      </c>
      <c r="Z355" s="344">
        <f>IF(T355="AIR",VLOOKUP(W355,'Catalogue Aluminium'!$B$9:$G$93,2,FALSE),IF(T355="GROUND",VLOOKUP(W355,'Catalogue Aluminium'!$B$9:$G$93,3,FALSE),IF(T355="DUCT",VLOOKUP(W355,'Catalogue Aluminium'!$B$9:$G$93,4,FALSE),IF(T355="TRENCH",VLOOKUP(W355,'Catalogue Aluminium'!$B$9:$G$93,2,FALSE)))))</f>
        <v>38</v>
      </c>
      <c r="AA355" s="345">
        <f>VLOOKUP(W355,'Catalogue Aluminium'!$B$9:$G$93,5,FALSE)</f>
        <v>5.9</v>
      </c>
      <c r="AB355" s="345">
        <f>VLOOKUP(W355,'Catalogue Aluminium'!$B$9:$G$93,6,FALSE)</f>
        <v>9.4700000000000006E-2</v>
      </c>
      <c r="AC355" s="388">
        <v>30</v>
      </c>
      <c r="AD355" s="457">
        <v>0</v>
      </c>
      <c r="AE355" s="401">
        <v>5</v>
      </c>
      <c r="AF355" s="401">
        <v>8</v>
      </c>
      <c r="AG355" s="401">
        <f t="shared" si="2496"/>
        <v>5</v>
      </c>
      <c r="AH355" s="347">
        <f t="shared" si="2497"/>
        <v>48</v>
      </c>
      <c r="AI355" s="344">
        <f>IF(T355="AIR",'Catalogue Aluminium'!$K$9,IF(T355="TRENCH",'Catalogue Aluminium'!$K$12,"NA"))</f>
        <v>0.89</v>
      </c>
      <c r="AJ355" s="342">
        <f>IF(T355="Air",(IF(U355="1C",'Catalogue Aluminium'!$L$9,'Catalogue Aluminium'!$M$9)),IF(T355="DUCT",(IF($U355="1C",'Catalogue Aluminium'!$L$10,'Catalogue Aluminium'!$M$10)),IF(T355="GROUND",(IF($U355="1C",'Catalogue Aluminium'!$L$11,'Catalogue Aluminium'!$M$11)),IF(T355="TRENCH",(IF($U355="1C",'Catalogue Aluminium'!$L$12,'Catalogue Aluminium'!$M$12))))))</f>
        <v>0.66</v>
      </c>
      <c r="AK355" s="344" t="str">
        <f>IF(T355="Air",'Catalogue Aluminium'!$N$9,IF(T355="GROUND",'Catalogue Aluminium'!$N$10,IF(T355="DUCT",'Catalogue Aluminium'!$N$11,IF(T355="TRENCH",'Catalogue Aluminium'!$N$12,"NA"))))</f>
        <v>NA</v>
      </c>
      <c r="AL355" s="344" t="str">
        <f>IF(T355="Air",(IF(U355="1C",'Catalogue Aluminium'!$O$9,'Catalogue Aluminium'!$P$9)),IF(T355="DUCT",(IF($U355="1C",'Catalogue Aluminium'!$O$10,'Catalogue Aluminium'!$P$10)),IF(T355="GROUND",(IF($U355="1C",'Catalogue Aluminium'!$O$11,'Catalogue Aluminium'!$P$11)),IF(T355="TRENCH",(IF($U355="1C",'Catalogue Aluminium'!$O$12,'Catalogue Aluminium'!$P$12))))))</f>
        <v>NA</v>
      </c>
      <c r="AM355" s="344" t="str">
        <f>IF(T355="AIR","NA",IF(T355="TRENCH","NA",IF(T355="DUCT",IF(U355="1C",VLOOKUP(V355,'Catalogue Aluminium'!$Q$9:$S$28,2,FALSE),VLOOKUP(V355,'Catalogue Aluminium'!$Q$9:$S$28,3)),IF(T355="GROUND",IF(U355="1C",VLOOKUP(V355,'Catalogue Aluminium'!$Q$9:$S$28,2,FALSE),VLOOKUP(V355,'Catalogue Aluminium'!$Q$9:$S$28,3))))))</f>
        <v>NA</v>
      </c>
      <c r="AN355" s="351">
        <f t="shared" si="2498"/>
        <v>0.58740000000000003</v>
      </c>
      <c r="AO355" s="350">
        <f t="shared" si="2499"/>
        <v>22.321200000000001</v>
      </c>
      <c r="AP355" s="349">
        <f t="shared" si="2500"/>
        <v>1</v>
      </c>
      <c r="AQ355" s="350" t="str">
        <f t="shared" si="2501"/>
        <v>YES</v>
      </c>
      <c r="AR355" s="351">
        <f t="shared" si="2502"/>
        <v>0.93988400390719884</v>
      </c>
      <c r="AS355" s="343" t="str">
        <f t="shared" si="2503"/>
        <v>YES</v>
      </c>
      <c r="AT355" s="351" t="str">
        <f t="shared" si="2504"/>
        <v>NA</v>
      </c>
      <c r="AU355" s="343" t="str">
        <f t="shared" si="2505"/>
        <v>NA</v>
      </c>
      <c r="AV355" s="354" t="str">
        <f t="shared" si="2506"/>
        <v>1R x 0.6/1kV x 4C x 4 Sqmm</v>
      </c>
      <c r="AW355" s="354" t="str">
        <f t="shared" si="2507"/>
        <v>1R x 0.6/1kV x 4C x 4 Sqmm</v>
      </c>
      <c r="AX355" s="343">
        <f t="shared" si="2508"/>
        <v>48</v>
      </c>
      <c r="AY355" s="355"/>
      <c r="AZ355" s="355">
        <f t="shared" si="2509"/>
        <v>2</v>
      </c>
      <c r="BA355" s="356" t="str">
        <f t="shared" si="2510"/>
        <v/>
      </c>
      <c r="BB355" s="501">
        <f>VLOOKUP(W355,'Catalogue Aluminium'!$B$9:$H$93,7,FALSE)</f>
        <v>16</v>
      </c>
      <c r="BC355" s="328">
        <f t="shared" si="2511"/>
        <v>16</v>
      </c>
      <c r="BE355" s="336"/>
      <c r="BF355" s="336"/>
      <c r="BG355" s="336"/>
      <c r="BH355" s="336"/>
      <c r="BI355" s="336"/>
      <c r="BJ355" s="336"/>
      <c r="BK355" s="336"/>
      <c r="BL355" s="336"/>
      <c r="BM355" s="336"/>
      <c r="BN355" s="336"/>
      <c r="BO355" s="336"/>
      <c r="BP355" s="336"/>
      <c r="BQ355" s="336"/>
      <c r="BR355" s="336"/>
      <c r="BS355" s="336"/>
      <c r="BT355" s="336"/>
      <c r="BU355" s="336"/>
      <c r="BV355" s="336"/>
      <c r="BW355" s="336"/>
      <c r="BX355" s="336"/>
      <c r="BY355" s="336"/>
      <c r="BZ355" s="336"/>
      <c r="CA355" s="336"/>
      <c r="CB355" s="336"/>
      <c r="CC355" s="336"/>
      <c r="CD355" s="336"/>
      <c r="CE355" s="336"/>
      <c r="CF355" s="336"/>
      <c r="CG355" s="336"/>
      <c r="CH355" s="336"/>
      <c r="CI355" s="336"/>
      <c r="CJ355" s="336"/>
      <c r="CK355" s="336"/>
      <c r="CL355" s="336"/>
      <c r="CM355" s="336"/>
      <c r="CN355" s="336"/>
      <c r="CO355" s="336"/>
      <c r="CP355" s="336"/>
      <c r="CQ355" s="336"/>
      <c r="CR355" s="336"/>
      <c r="CS355" s="336"/>
      <c r="CT355" s="336"/>
      <c r="CU355" s="336"/>
      <c r="CV355" s="336"/>
      <c r="CW355" s="336"/>
      <c r="CX355" s="336"/>
      <c r="CY355" s="336"/>
      <c r="CZ355" s="336"/>
      <c r="DA355" s="336"/>
      <c r="DB355" s="336"/>
      <c r="DC355" s="336"/>
      <c r="DD355" s="336"/>
      <c r="DE355" s="336"/>
      <c r="DF355" s="336"/>
      <c r="DG355" s="336"/>
      <c r="DH355" s="336"/>
      <c r="DI355" s="336"/>
      <c r="DJ355" s="336"/>
      <c r="DK355" s="336"/>
      <c r="DL355" s="336"/>
      <c r="DM355" s="336"/>
      <c r="DN355" s="336"/>
      <c r="DO355" s="336"/>
      <c r="DP355" s="336"/>
      <c r="DQ355" s="336"/>
      <c r="DR355" s="336"/>
      <c r="DS355" s="336"/>
      <c r="DT355" s="336"/>
      <c r="DU355" s="336"/>
      <c r="DW355" s="336">
        <f t="shared" si="2108"/>
        <v>0</v>
      </c>
      <c r="DX355" s="336">
        <f t="shared" si="2102"/>
        <v>0</v>
      </c>
      <c r="DY355" s="336">
        <f t="shared" si="2103"/>
        <v>0</v>
      </c>
      <c r="DZ355" s="336">
        <f t="shared" si="2104"/>
        <v>0</v>
      </c>
      <c r="EA355" s="336">
        <f t="shared" si="2105"/>
        <v>0</v>
      </c>
      <c r="EB355" s="336">
        <f t="shared" si="2106"/>
        <v>0</v>
      </c>
      <c r="EC355" s="336">
        <f t="shared" si="2107"/>
        <v>0</v>
      </c>
      <c r="ED355" s="336">
        <f t="shared" si="2019"/>
        <v>0</v>
      </c>
      <c r="EE355" s="336">
        <f t="shared" si="2020"/>
        <v>0</v>
      </c>
      <c r="EF355" s="336">
        <f t="shared" si="2021"/>
        <v>0</v>
      </c>
      <c r="EG355" s="336">
        <f t="shared" si="2022"/>
        <v>0</v>
      </c>
      <c r="EH355" s="336">
        <f t="shared" si="2023"/>
        <v>0</v>
      </c>
      <c r="EI355" s="336">
        <f t="shared" si="2024"/>
        <v>0</v>
      </c>
      <c r="EJ355" s="336">
        <f t="shared" si="2025"/>
        <v>0</v>
      </c>
      <c r="EK355" s="336">
        <f t="shared" si="2026"/>
        <v>0</v>
      </c>
      <c r="EL355" s="336">
        <f t="shared" si="2027"/>
        <v>0</v>
      </c>
      <c r="EM355" s="336">
        <f t="shared" si="2028"/>
        <v>0</v>
      </c>
      <c r="EN355" s="336">
        <f t="shared" si="2029"/>
        <v>0</v>
      </c>
      <c r="EO355" s="336">
        <f t="shared" si="2030"/>
        <v>0</v>
      </c>
      <c r="EP355" s="336">
        <f t="shared" si="2031"/>
        <v>0</v>
      </c>
      <c r="EQ355" s="336">
        <f t="shared" si="2032"/>
        <v>0</v>
      </c>
      <c r="ER355" s="336">
        <f t="shared" si="2033"/>
        <v>0</v>
      </c>
      <c r="ES355" s="336">
        <f t="shared" si="2034"/>
        <v>0</v>
      </c>
      <c r="ET355" s="336">
        <f t="shared" si="2034"/>
        <v>0</v>
      </c>
      <c r="EU355" s="336">
        <f t="shared" si="2035"/>
        <v>0</v>
      </c>
      <c r="EV355" s="336">
        <f t="shared" si="2036"/>
        <v>0</v>
      </c>
      <c r="EW355" s="336">
        <f t="shared" si="2037"/>
        <v>0</v>
      </c>
      <c r="EX355" s="336">
        <f t="shared" si="2038"/>
        <v>0</v>
      </c>
      <c r="EY355" s="336">
        <f t="shared" si="2039"/>
        <v>0</v>
      </c>
      <c r="EZ355" s="336">
        <f t="shared" si="2040"/>
        <v>0</v>
      </c>
      <c r="FA355" s="336">
        <f t="shared" si="2041"/>
        <v>0</v>
      </c>
      <c r="FB355" s="336">
        <f t="shared" si="2042"/>
        <v>0</v>
      </c>
      <c r="FC355" s="336">
        <f t="shared" si="2043"/>
        <v>0</v>
      </c>
      <c r="FD355" s="336">
        <f t="shared" si="2044"/>
        <v>0</v>
      </c>
      <c r="FE355" s="336">
        <f t="shared" si="2045"/>
        <v>0</v>
      </c>
      <c r="FF355" s="336">
        <f t="shared" si="2046"/>
        <v>0</v>
      </c>
      <c r="FG355" s="336">
        <f t="shared" si="2047"/>
        <v>0</v>
      </c>
      <c r="FH355" s="336">
        <f t="shared" si="2048"/>
        <v>0</v>
      </c>
      <c r="FI355" s="336">
        <f t="shared" si="2049"/>
        <v>0</v>
      </c>
      <c r="FJ355" s="336">
        <f t="shared" si="2050"/>
        <v>0</v>
      </c>
      <c r="FK355" s="336">
        <f t="shared" si="2051"/>
        <v>0</v>
      </c>
      <c r="FL355" s="336">
        <f t="shared" si="2052"/>
        <v>0</v>
      </c>
      <c r="FM355" s="336">
        <f t="shared" si="2053"/>
        <v>0</v>
      </c>
      <c r="FN355" s="336">
        <f t="shared" si="2054"/>
        <v>0</v>
      </c>
      <c r="FO355" s="336">
        <f t="shared" si="2055"/>
        <v>0</v>
      </c>
      <c r="FP355" s="336">
        <f t="shared" si="2056"/>
        <v>0</v>
      </c>
      <c r="FQ355" s="336">
        <f t="shared" si="2057"/>
        <v>0</v>
      </c>
      <c r="FR355" s="336">
        <f t="shared" si="2058"/>
        <v>0</v>
      </c>
      <c r="FS355" s="336">
        <f t="shared" si="2059"/>
        <v>0</v>
      </c>
      <c r="FT355" s="336">
        <f t="shared" si="2060"/>
        <v>0</v>
      </c>
      <c r="FU355" s="336">
        <f t="shared" si="2262"/>
        <v>0</v>
      </c>
      <c r="FV355" s="336">
        <f t="shared" si="2263"/>
        <v>0</v>
      </c>
      <c r="FW355" s="336">
        <f t="shared" si="2264"/>
        <v>0</v>
      </c>
      <c r="FX355" s="336">
        <f t="shared" si="2265"/>
        <v>0</v>
      </c>
      <c r="FY355" s="336">
        <f t="shared" si="2061"/>
        <v>0</v>
      </c>
      <c r="FZ355" s="336">
        <f t="shared" si="2062"/>
        <v>0</v>
      </c>
      <c r="GA355" s="336">
        <f t="shared" si="2063"/>
        <v>0</v>
      </c>
      <c r="GB355" s="336">
        <f t="shared" si="2064"/>
        <v>0</v>
      </c>
      <c r="GC355" s="336">
        <f t="shared" si="2065"/>
        <v>0</v>
      </c>
      <c r="GD355" s="336">
        <f t="shared" si="2066"/>
        <v>0</v>
      </c>
      <c r="GE355" s="336">
        <f t="shared" si="2067"/>
        <v>0</v>
      </c>
      <c r="GF355" s="336">
        <f t="shared" si="2068"/>
        <v>0</v>
      </c>
      <c r="GG355" s="336">
        <f t="shared" si="2069"/>
        <v>0</v>
      </c>
      <c r="GH355" s="336">
        <f t="shared" si="2070"/>
        <v>0</v>
      </c>
      <c r="GI355" s="336">
        <f t="shared" si="2071"/>
        <v>0</v>
      </c>
      <c r="GJ355" s="336">
        <f t="shared" si="2072"/>
        <v>0</v>
      </c>
      <c r="GK355" s="336">
        <f t="shared" si="2513"/>
        <v>0</v>
      </c>
      <c r="GL355" s="336">
        <f t="shared" si="2266"/>
        <v>0</v>
      </c>
      <c r="GM355" s="336">
        <f t="shared" si="2073"/>
        <v>0</v>
      </c>
    </row>
    <row r="356" spans="1:195">
      <c r="A356" s="337">
        <f t="shared" si="2488"/>
        <v>230</v>
      </c>
      <c r="B356" s="526" t="s">
        <v>628</v>
      </c>
      <c r="C356" s="337" t="str">
        <f t="shared" si="2489"/>
        <v>ACDB-1</v>
      </c>
      <c r="D356" s="372" t="s">
        <v>781</v>
      </c>
      <c r="E356" s="500" t="s">
        <v>608</v>
      </c>
      <c r="F356" s="570"/>
      <c r="G356" s="337" t="s">
        <v>329</v>
      </c>
      <c r="H356" s="350">
        <v>5</v>
      </c>
      <c r="I356" s="337" t="s">
        <v>330</v>
      </c>
      <c r="J356" s="337" t="s">
        <v>331</v>
      </c>
      <c r="K356" s="349">
        <v>400</v>
      </c>
      <c r="L356" s="343">
        <v>0.84999999999999987</v>
      </c>
      <c r="M356" s="350">
        <v>0.95099999999999985</v>
      </c>
      <c r="N356" s="342">
        <f t="shared" si="2490"/>
        <v>8.9281747625212677</v>
      </c>
      <c r="O356" s="342">
        <f t="shared" si="2491"/>
        <v>0</v>
      </c>
      <c r="P356" s="343" t="str">
        <f t="shared" si="2492"/>
        <v>0.00</v>
      </c>
      <c r="Q356" s="350">
        <v>50</v>
      </c>
      <c r="R356" s="350">
        <v>0</v>
      </c>
      <c r="S356" s="350">
        <f t="shared" si="2493"/>
        <v>0</v>
      </c>
      <c r="T356" s="343" t="s">
        <v>131</v>
      </c>
      <c r="U356" s="350" t="s">
        <v>522</v>
      </c>
      <c r="V356" s="343">
        <v>4</v>
      </c>
      <c r="W356" s="343" t="str">
        <f t="shared" si="2494"/>
        <v>4C X 4</v>
      </c>
      <c r="X356" s="343" t="str">
        <f t="shared" si="2495"/>
        <v>4C X 4</v>
      </c>
      <c r="Y356" s="343" t="s">
        <v>358</v>
      </c>
      <c r="Z356" s="344">
        <f>IF(T356="AIR",VLOOKUP(W356,'Catalogue Aluminium'!$B$9:$G$93,2,FALSE),IF(T356="GROUND",VLOOKUP(W356,'Catalogue Aluminium'!$B$9:$G$93,3,FALSE),IF(T356="DUCT",VLOOKUP(W356,'Catalogue Aluminium'!$B$9:$G$93,4,FALSE),IF(T356="TRENCH",VLOOKUP(W356,'Catalogue Aluminium'!$B$9:$G$93,2,FALSE)))))</f>
        <v>38</v>
      </c>
      <c r="AA356" s="345">
        <f>VLOOKUP(W356,'Catalogue Aluminium'!$B$9:$G$93,5,FALSE)</f>
        <v>5.9</v>
      </c>
      <c r="AB356" s="345">
        <f>VLOOKUP(W356,'Catalogue Aluminium'!$B$9:$G$93,6,FALSE)</f>
        <v>9.4700000000000006E-2</v>
      </c>
      <c r="AC356" s="388">
        <v>15</v>
      </c>
      <c r="AD356" s="457">
        <v>0</v>
      </c>
      <c r="AE356" s="401">
        <v>5</v>
      </c>
      <c r="AF356" s="401">
        <v>8</v>
      </c>
      <c r="AG356" s="401">
        <f t="shared" si="2496"/>
        <v>3</v>
      </c>
      <c r="AH356" s="347">
        <f t="shared" si="2497"/>
        <v>31</v>
      </c>
      <c r="AI356" s="344">
        <f>IF(T356="AIR",'Catalogue Aluminium'!$K$9,IF(T356="TRENCH",'Catalogue Aluminium'!$K$12,"NA"))</f>
        <v>0.89</v>
      </c>
      <c r="AJ356" s="342">
        <f>IF(T356="Air",(IF(U356="1C",'Catalogue Aluminium'!$L$9,'Catalogue Aluminium'!$M$9)),IF(T356="DUCT",(IF($U356="1C",'Catalogue Aluminium'!$L$10,'Catalogue Aluminium'!$M$10)),IF(T356="GROUND",(IF($U356="1C",'Catalogue Aluminium'!$L$11,'Catalogue Aluminium'!$M$11)),IF(T356="TRENCH",(IF($U356="1C",'Catalogue Aluminium'!$L$12,'Catalogue Aluminium'!$M$12))))))</f>
        <v>0.66</v>
      </c>
      <c r="AK356" s="344" t="str">
        <f>IF(T356="Air",'Catalogue Aluminium'!$N$9,IF(T356="GROUND",'Catalogue Aluminium'!$N$10,IF(T356="DUCT",'Catalogue Aluminium'!$N$11,IF(T356="TRENCH",'Catalogue Aluminium'!$N$12,"NA"))))</f>
        <v>NA</v>
      </c>
      <c r="AL356" s="344" t="str">
        <f>IF(T356="Air",(IF(U356="1C",'Catalogue Aluminium'!$O$9,'Catalogue Aluminium'!$P$9)),IF(T356="DUCT",(IF($U356="1C",'Catalogue Aluminium'!$O$10,'Catalogue Aluminium'!$P$10)),IF(T356="GROUND",(IF($U356="1C",'Catalogue Aluminium'!$O$11,'Catalogue Aluminium'!$P$11)),IF(T356="TRENCH",(IF($U356="1C",'Catalogue Aluminium'!$O$12,'Catalogue Aluminium'!$P$12))))))</f>
        <v>NA</v>
      </c>
      <c r="AM356" s="344" t="str">
        <f>IF(T356="AIR","NA",IF(T356="TRENCH","NA",IF(T356="DUCT",IF(U356="1C",VLOOKUP(V356,'Catalogue Aluminium'!$Q$9:$S$28,2,FALSE),VLOOKUP(V356,'Catalogue Aluminium'!$Q$9:$S$28,3)),IF(T356="GROUND",IF(U356="1C",VLOOKUP(V356,'Catalogue Aluminium'!$Q$9:$S$28,2,FALSE),VLOOKUP(V356,'Catalogue Aluminium'!$Q$9:$S$28,3))))))</f>
        <v>NA</v>
      </c>
      <c r="AN356" s="351">
        <f t="shared" si="2498"/>
        <v>0.58740000000000003</v>
      </c>
      <c r="AO356" s="350">
        <f t="shared" si="2499"/>
        <v>22.321200000000001</v>
      </c>
      <c r="AP356" s="349">
        <f t="shared" si="2500"/>
        <v>1</v>
      </c>
      <c r="AQ356" s="350" t="str">
        <f t="shared" si="2501"/>
        <v>YES</v>
      </c>
      <c r="AR356" s="351">
        <f t="shared" si="2502"/>
        <v>0.60700841919006587</v>
      </c>
      <c r="AS356" s="343" t="str">
        <f t="shared" si="2503"/>
        <v>YES</v>
      </c>
      <c r="AT356" s="351" t="str">
        <f t="shared" si="2504"/>
        <v>NA</v>
      </c>
      <c r="AU356" s="343" t="str">
        <f t="shared" si="2505"/>
        <v>NA</v>
      </c>
      <c r="AV356" s="354" t="str">
        <f t="shared" si="2506"/>
        <v>1R x 0.6/1kV x 4C x 4 Sqmm</v>
      </c>
      <c r="AW356" s="354" t="str">
        <f t="shared" si="2507"/>
        <v>1R x 0.6/1kV x 4C x 4 Sqmm</v>
      </c>
      <c r="AX356" s="343">
        <f t="shared" si="2508"/>
        <v>31</v>
      </c>
      <c r="AY356" s="355"/>
      <c r="AZ356" s="355">
        <f t="shared" si="2509"/>
        <v>2</v>
      </c>
      <c r="BA356" s="356" t="str">
        <f t="shared" si="2510"/>
        <v/>
      </c>
      <c r="BB356" s="501">
        <f>VLOOKUP(W356,'Catalogue Aluminium'!$B$9:$H$93,7,FALSE)</f>
        <v>16</v>
      </c>
      <c r="BC356" s="328">
        <f t="shared" si="2511"/>
        <v>16</v>
      </c>
      <c r="BE356" s="336"/>
      <c r="BF356" s="336"/>
      <c r="BG356" s="336"/>
      <c r="BH356" s="336"/>
      <c r="BI356" s="336"/>
      <c r="BJ356" s="336"/>
      <c r="BK356" s="336"/>
      <c r="BL356" s="336"/>
      <c r="BM356" s="336"/>
      <c r="BN356" s="336"/>
      <c r="BO356" s="336"/>
      <c r="BP356" s="336"/>
      <c r="BQ356" s="336"/>
      <c r="BR356" s="336"/>
      <c r="BS356" s="336"/>
      <c r="BT356" s="336"/>
      <c r="BU356" s="336"/>
      <c r="BV356" s="336"/>
      <c r="BW356" s="336"/>
      <c r="BX356" s="336"/>
      <c r="BY356" s="336"/>
      <c r="BZ356" s="336"/>
      <c r="CA356" s="336"/>
      <c r="CB356" s="336"/>
      <c r="CC356" s="336"/>
      <c r="CD356" s="336"/>
      <c r="CE356" s="336"/>
      <c r="CF356" s="336"/>
      <c r="CG356" s="336"/>
      <c r="CH356" s="336"/>
      <c r="CI356" s="336"/>
      <c r="CJ356" s="336"/>
      <c r="CK356" s="336"/>
      <c r="CL356" s="336"/>
      <c r="CM356" s="336"/>
      <c r="CN356" s="336"/>
      <c r="CO356" s="336"/>
      <c r="CP356" s="336"/>
      <c r="CQ356" s="336"/>
      <c r="CR356" s="336"/>
      <c r="CS356" s="336"/>
      <c r="CT356" s="336"/>
      <c r="CU356" s="336"/>
      <c r="CV356" s="336"/>
      <c r="CW356" s="336"/>
      <c r="CX356" s="336"/>
      <c r="CY356" s="336"/>
      <c r="CZ356" s="336"/>
      <c r="DA356" s="336"/>
      <c r="DB356" s="336"/>
      <c r="DC356" s="336"/>
      <c r="DD356" s="336"/>
      <c r="DE356" s="336"/>
      <c r="DF356" s="336"/>
      <c r="DG356" s="336"/>
      <c r="DH356" s="336"/>
      <c r="DI356" s="336"/>
      <c r="DJ356" s="336"/>
      <c r="DK356" s="336"/>
      <c r="DL356" s="336"/>
      <c r="DM356" s="336"/>
      <c r="DN356" s="336"/>
      <c r="DO356" s="336"/>
      <c r="DP356" s="336"/>
      <c r="DQ356" s="336"/>
      <c r="DR356" s="336"/>
      <c r="DS356" s="336"/>
      <c r="DT356" s="336"/>
      <c r="DU356" s="336"/>
      <c r="DW356" s="336">
        <f t="shared" si="2108"/>
        <v>0</v>
      </c>
      <c r="DX356" s="336">
        <f t="shared" si="2102"/>
        <v>0</v>
      </c>
      <c r="DY356" s="336">
        <f t="shared" si="2103"/>
        <v>0</v>
      </c>
      <c r="DZ356" s="336">
        <f t="shared" si="2104"/>
        <v>0</v>
      </c>
      <c r="EA356" s="336">
        <f t="shared" si="2105"/>
        <v>0</v>
      </c>
      <c r="EB356" s="336">
        <f t="shared" si="2106"/>
        <v>0</v>
      </c>
      <c r="EC356" s="336">
        <f t="shared" si="2107"/>
        <v>0</v>
      </c>
      <c r="ED356" s="336">
        <f t="shared" si="2019"/>
        <v>0</v>
      </c>
      <c r="EE356" s="336">
        <f t="shared" si="2020"/>
        <v>0</v>
      </c>
      <c r="EF356" s="336">
        <f t="shared" si="2021"/>
        <v>0</v>
      </c>
      <c r="EG356" s="336">
        <f t="shared" si="2022"/>
        <v>0</v>
      </c>
      <c r="EH356" s="336">
        <f t="shared" si="2023"/>
        <v>0</v>
      </c>
      <c r="EI356" s="336">
        <f t="shared" si="2024"/>
        <v>0</v>
      </c>
      <c r="EJ356" s="336">
        <f t="shared" si="2025"/>
        <v>0</v>
      </c>
      <c r="EK356" s="336">
        <f t="shared" si="2026"/>
        <v>0</v>
      </c>
      <c r="EL356" s="336">
        <f t="shared" si="2027"/>
        <v>0</v>
      </c>
      <c r="EM356" s="336">
        <f t="shared" si="2028"/>
        <v>0</v>
      </c>
      <c r="EN356" s="336">
        <f t="shared" si="2029"/>
        <v>0</v>
      </c>
      <c r="EO356" s="336">
        <f t="shared" si="2030"/>
        <v>0</v>
      </c>
      <c r="EP356" s="336">
        <f t="shared" si="2031"/>
        <v>0</v>
      </c>
      <c r="EQ356" s="336">
        <f t="shared" si="2032"/>
        <v>0</v>
      </c>
      <c r="ER356" s="336">
        <f t="shared" si="2033"/>
        <v>0</v>
      </c>
      <c r="ES356" s="336">
        <f t="shared" si="2034"/>
        <v>0</v>
      </c>
      <c r="ET356" s="336">
        <f t="shared" si="2034"/>
        <v>0</v>
      </c>
      <c r="EU356" s="336">
        <f t="shared" si="2035"/>
        <v>0</v>
      </c>
      <c r="EV356" s="336">
        <f t="shared" si="2036"/>
        <v>0</v>
      </c>
      <c r="EW356" s="336">
        <f t="shared" si="2037"/>
        <v>0</v>
      </c>
      <c r="EX356" s="336">
        <f t="shared" si="2038"/>
        <v>0</v>
      </c>
      <c r="EY356" s="336">
        <f t="shared" si="2039"/>
        <v>0</v>
      </c>
      <c r="EZ356" s="336">
        <f t="shared" si="2040"/>
        <v>0</v>
      </c>
      <c r="FA356" s="336">
        <f t="shared" si="2041"/>
        <v>0</v>
      </c>
      <c r="FB356" s="336">
        <f t="shared" si="2042"/>
        <v>0</v>
      </c>
      <c r="FC356" s="336">
        <f t="shared" si="2043"/>
        <v>0</v>
      </c>
      <c r="FD356" s="336">
        <f t="shared" si="2044"/>
        <v>0</v>
      </c>
      <c r="FE356" s="336">
        <f t="shared" si="2045"/>
        <v>0</v>
      </c>
      <c r="FF356" s="336">
        <f t="shared" si="2046"/>
        <v>0</v>
      </c>
      <c r="FG356" s="336">
        <f t="shared" si="2047"/>
        <v>0</v>
      </c>
      <c r="FH356" s="336">
        <f t="shared" si="2048"/>
        <v>0</v>
      </c>
      <c r="FI356" s="336">
        <f t="shared" si="2049"/>
        <v>0</v>
      </c>
      <c r="FJ356" s="336">
        <f t="shared" si="2050"/>
        <v>0</v>
      </c>
      <c r="FK356" s="336">
        <f t="shared" si="2051"/>
        <v>0</v>
      </c>
      <c r="FL356" s="336">
        <f t="shared" si="2052"/>
        <v>0</v>
      </c>
      <c r="FM356" s="336">
        <f t="shared" si="2053"/>
        <v>0</v>
      </c>
      <c r="FN356" s="336">
        <f t="shared" si="2054"/>
        <v>0</v>
      </c>
      <c r="FO356" s="336">
        <f t="shared" si="2055"/>
        <v>0</v>
      </c>
      <c r="FP356" s="336">
        <f t="shared" si="2056"/>
        <v>0</v>
      </c>
      <c r="FQ356" s="336">
        <f t="shared" si="2057"/>
        <v>0</v>
      </c>
      <c r="FR356" s="336">
        <f t="shared" si="2058"/>
        <v>0</v>
      </c>
      <c r="FS356" s="336">
        <f t="shared" si="2059"/>
        <v>0</v>
      </c>
      <c r="FT356" s="336">
        <f t="shared" si="2060"/>
        <v>0</v>
      </c>
      <c r="FU356" s="336">
        <f t="shared" si="2262"/>
        <v>0</v>
      </c>
      <c r="FV356" s="336">
        <f t="shared" si="2263"/>
        <v>0</v>
      </c>
      <c r="FW356" s="336">
        <f t="shared" si="2264"/>
        <v>0</v>
      </c>
      <c r="FX356" s="336">
        <f t="shared" si="2265"/>
        <v>0</v>
      </c>
      <c r="FY356" s="336">
        <f t="shared" si="2061"/>
        <v>0</v>
      </c>
      <c r="FZ356" s="336">
        <f t="shared" si="2062"/>
        <v>0</v>
      </c>
      <c r="GA356" s="336">
        <f t="shared" si="2063"/>
        <v>0</v>
      </c>
      <c r="GB356" s="336">
        <f t="shared" si="2064"/>
        <v>0</v>
      </c>
      <c r="GC356" s="336">
        <f t="shared" si="2065"/>
        <v>0</v>
      </c>
      <c r="GD356" s="336">
        <f t="shared" si="2066"/>
        <v>0</v>
      </c>
      <c r="GE356" s="336">
        <f t="shared" si="2067"/>
        <v>0</v>
      </c>
      <c r="GF356" s="336">
        <f t="shared" si="2068"/>
        <v>0</v>
      </c>
      <c r="GG356" s="336">
        <f t="shared" si="2069"/>
        <v>0</v>
      </c>
      <c r="GH356" s="336">
        <f t="shared" si="2070"/>
        <v>0</v>
      </c>
      <c r="GI356" s="336">
        <f t="shared" si="2071"/>
        <v>0</v>
      </c>
      <c r="GJ356" s="336">
        <f t="shared" si="2072"/>
        <v>0</v>
      </c>
      <c r="GK356" s="336">
        <f t="shared" si="2513"/>
        <v>0</v>
      </c>
      <c r="GL356" s="336">
        <f t="shared" ref="GL356:GL387" si="2514">IF(DT356=1,($BC356*DT356),0)</f>
        <v>0</v>
      </c>
      <c r="GM356" s="336">
        <f t="shared" si="2073"/>
        <v>0</v>
      </c>
    </row>
    <row r="357" spans="1:195">
      <c r="A357" s="337">
        <f t="shared" si="2488"/>
        <v>231</v>
      </c>
      <c r="B357" s="526" t="s">
        <v>628</v>
      </c>
      <c r="C357" s="337" t="str">
        <f t="shared" si="2489"/>
        <v>ACDB-1</v>
      </c>
      <c r="D357" s="372" t="s">
        <v>782</v>
      </c>
      <c r="E357" s="500" t="s">
        <v>608</v>
      </c>
      <c r="F357" s="570"/>
      <c r="G357" s="337" t="s">
        <v>329</v>
      </c>
      <c r="H357" s="350">
        <v>5</v>
      </c>
      <c r="I357" s="337" t="s">
        <v>330</v>
      </c>
      <c r="J357" s="337" t="s">
        <v>331</v>
      </c>
      <c r="K357" s="349">
        <v>400</v>
      </c>
      <c r="L357" s="343">
        <v>0.84999999999999987</v>
      </c>
      <c r="M357" s="350">
        <v>0.95099999999999985</v>
      </c>
      <c r="N357" s="342">
        <f t="shared" si="2490"/>
        <v>8.9281747625212677</v>
      </c>
      <c r="O357" s="342">
        <f t="shared" si="2491"/>
        <v>0</v>
      </c>
      <c r="P357" s="343" t="str">
        <f t="shared" si="2492"/>
        <v>0.00</v>
      </c>
      <c r="Q357" s="350">
        <v>50</v>
      </c>
      <c r="R357" s="350">
        <v>0</v>
      </c>
      <c r="S357" s="350">
        <f t="shared" si="2493"/>
        <v>0</v>
      </c>
      <c r="T357" s="343" t="s">
        <v>131</v>
      </c>
      <c r="U357" s="350" t="s">
        <v>522</v>
      </c>
      <c r="V357" s="343">
        <v>4</v>
      </c>
      <c r="W357" s="343" t="str">
        <f t="shared" si="2494"/>
        <v>4C X 4</v>
      </c>
      <c r="X357" s="343" t="str">
        <f t="shared" si="2495"/>
        <v>4C X 4</v>
      </c>
      <c r="Y357" s="343" t="s">
        <v>358</v>
      </c>
      <c r="Z357" s="344">
        <f>IF(T357="AIR",VLOOKUP(W357,'Catalogue Aluminium'!$B$9:$G$93,2,FALSE),IF(T357="GROUND",VLOOKUP(W357,'Catalogue Aluminium'!$B$9:$G$93,3,FALSE),IF(T357="DUCT",VLOOKUP(W357,'Catalogue Aluminium'!$B$9:$G$93,4,FALSE),IF(T357="TRENCH",VLOOKUP(W357,'Catalogue Aluminium'!$B$9:$G$93,2,FALSE)))))</f>
        <v>38</v>
      </c>
      <c r="AA357" s="345">
        <f>VLOOKUP(W357,'Catalogue Aluminium'!$B$9:$G$93,5,FALSE)</f>
        <v>5.9</v>
      </c>
      <c r="AB357" s="345">
        <f>VLOOKUP(W357,'Catalogue Aluminium'!$B$9:$G$93,6,FALSE)</f>
        <v>9.4700000000000006E-2</v>
      </c>
      <c r="AC357" s="388">
        <v>15</v>
      </c>
      <c r="AD357" s="457">
        <v>0</v>
      </c>
      <c r="AE357" s="401">
        <v>5</v>
      </c>
      <c r="AF357" s="401">
        <v>8</v>
      </c>
      <c r="AG357" s="401">
        <f t="shared" si="2496"/>
        <v>3</v>
      </c>
      <c r="AH357" s="347">
        <f t="shared" si="2497"/>
        <v>31</v>
      </c>
      <c r="AI357" s="344">
        <f>IF(T357="AIR",'Catalogue Aluminium'!$K$9,IF(T357="TRENCH",'Catalogue Aluminium'!$K$12,"NA"))</f>
        <v>0.89</v>
      </c>
      <c r="AJ357" s="342">
        <f>IF(T357="Air",(IF(U357="1C",'Catalogue Aluminium'!$L$9,'Catalogue Aluminium'!$M$9)),IF(T357="DUCT",(IF($U357="1C",'Catalogue Aluminium'!$L$10,'Catalogue Aluminium'!$M$10)),IF(T357="GROUND",(IF($U357="1C",'Catalogue Aluminium'!$L$11,'Catalogue Aluminium'!$M$11)),IF(T357="TRENCH",(IF($U357="1C",'Catalogue Aluminium'!$L$12,'Catalogue Aluminium'!$M$12))))))</f>
        <v>0.66</v>
      </c>
      <c r="AK357" s="344" t="str">
        <f>IF(T357="Air",'Catalogue Aluminium'!$N$9,IF(T357="GROUND",'Catalogue Aluminium'!$N$10,IF(T357="DUCT",'Catalogue Aluminium'!$N$11,IF(T357="TRENCH",'Catalogue Aluminium'!$N$12,"NA"))))</f>
        <v>NA</v>
      </c>
      <c r="AL357" s="344" t="str">
        <f>IF(T357="Air",(IF(U357="1C",'Catalogue Aluminium'!$O$9,'Catalogue Aluminium'!$P$9)),IF(T357="DUCT",(IF($U357="1C",'Catalogue Aluminium'!$O$10,'Catalogue Aluminium'!$P$10)),IF(T357="GROUND",(IF($U357="1C",'Catalogue Aluminium'!$O$11,'Catalogue Aluminium'!$P$11)),IF(T357="TRENCH",(IF($U357="1C",'Catalogue Aluminium'!$O$12,'Catalogue Aluminium'!$P$12))))))</f>
        <v>NA</v>
      </c>
      <c r="AM357" s="344" t="str">
        <f>IF(T357="AIR","NA",IF(T357="TRENCH","NA",IF(T357="DUCT",IF(U357="1C",VLOOKUP(V357,'Catalogue Aluminium'!$Q$9:$S$28,2,FALSE),VLOOKUP(V357,'Catalogue Aluminium'!$Q$9:$S$28,3)),IF(T357="GROUND",IF(U357="1C",VLOOKUP(V357,'Catalogue Aluminium'!$Q$9:$S$28,2,FALSE),VLOOKUP(V357,'Catalogue Aluminium'!$Q$9:$S$28,3))))))</f>
        <v>NA</v>
      </c>
      <c r="AN357" s="351">
        <f t="shared" si="2498"/>
        <v>0.58740000000000003</v>
      </c>
      <c r="AO357" s="350">
        <f t="shared" si="2499"/>
        <v>22.321200000000001</v>
      </c>
      <c r="AP357" s="349">
        <f t="shared" si="2500"/>
        <v>1</v>
      </c>
      <c r="AQ357" s="350" t="str">
        <f t="shared" si="2501"/>
        <v>YES</v>
      </c>
      <c r="AR357" s="351">
        <f t="shared" si="2502"/>
        <v>0.60700841919006587</v>
      </c>
      <c r="AS357" s="343" t="str">
        <f t="shared" si="2503"/>
        <v>YES</v>
      </c>
      <c r="AT357" s="351" t="str">
        <f t="shared" si="2504"/>
        <v>NA</v>
      </c>
      <c r="AU357" s="343" t="str">
        <f t="shared" si="2505"/>
        <v>NA</v>
      </c>
      <c r="AV357" s="354" t="str">
        <f t="shared" si="2506"/>
        <v>1R x 0.6/1kV x 4C x 4 Sqmm</v>
      </c>
      <c r="AW357" s="354" t="str">
        <f t="shared" si="2507"/>
        <v>1R x 0.6/1kV x 4C x 4 Sqmm</v>
      </c>
      <c r="AX357" s="343">
        <f t="shared" si="2508"/>
        <v>31</v>
      </c>
      <c r="AY357" s="355"/>
      <c r="AZ357" s="355">
        <f t="shared" si="2509"/>
        <v>2</v>
      </c>
      <c r="BA357" s="356" t="str">
        <f t="shared" si="2510"/>
        <v/>
      </c>
      <c r="BB357" s="501">
        <f>VLOOKUP(W357,'Catalogue Aluminium'!$B$9:$H$93,7,FALSE)</f>
        <v>16</v>
      </c>
      <c r="BC357" s="328">
        <f t="shared" si="2511"/>
        <v>16</v>
      </c>
      <c r="BE357" s="336"/>
      <c r="BF357" s="336"/>
      <c r="BG357" s="336"/>
      <c r="BH357" s="336"/>
      <c r="BI357" s="336"/>
      <c r="BJ357" s="336"/>
      <c r="BK357" s="336"/>
      <c r="BL357" s="336"/>
      <c r="BM357" s="336"/>
      <c r="BN357" s="336"/>
      <c r="BO357" s="336"/>
      <c r="BP357" s="336"/>
      <c r="BQ357" s="336"/>
      <c r="BR357" s="336"/>
      <c r="BS357" s="336"/>
      <c r="BT357" s="336"/>
      <c r="BU357" s="336"/>
      <c r="BV357" s="336"/>
      <c r="BW357" s="336"/>
      <c r="BX357" s="336"/>
      <c r="BY357" s="336"/>
      <c r="BZ357" s="336"/>
      <c r="CA357" s="336"/>
      <c r="CB357" s="336"/>
      <c r="CC357" s="336"/>
      <c r="CD357" s="336"/>
      <c r="CE357" s="336"/>
      <c r="CF357" s="336"/>
      <c r="CG357" s="336"/>
      <c r="CH357" s="336"/>
      <c r="CI357" s="336"/>
      <c r="CJ357" s="336"/>
      <c r="CK357" s="336"/>
      <c r="CL357" s="336"/>
      <c r="CM357" s="336"/>
      <c r="CN357" s="336"/>
      <c r="CO357" s="336"/>
      <c r="CP357" s="336"/>
      <c r="CQ357" s="336"/>
      <c r="CR357" s="336"/>
      <c r="CS357" s="336"/>
      <c r="CT357" s="336"/>
      <c r="CU357" s="336"/>
      <c r="CV357" s="336"/>
      <c r="CW357" s="336"/>
      <c r="CX357" s="336"/>
      <c r="CY357" s="336"/>
      <c r="CZ357" s="336"/>
      <c r="DA357" s="336"/>
      <c r="DB357" s="336"/>
      <c r="DC357" s="336"/>
      <c r="DD357" s="336"/>
      <c r="DE357" s="336"/>
      <c r="DF357" s="336"/>
      <c r="DG357" s="336"/>
      <c r="DH357" s="336"/>
      <c r="DI357" s="336"/>
      <c r="DJ357" s="336"/>
      <c r="DK357" s="336"/>
      <c r="DL357" s="336"/>
      <c r="DM357" s="336"/>
      <c r="DN357" s="336"/>
      <c r="DO357" s="336"/>
      <c r="DP357" s="336"/>
      <c r="DQ357" s="336"/>
      <c r="DR357" s="336"/>
      <c r="DS357" s="336"/>
      <c r="DT357" s="336"/>
      <c r="DU357" s="336"/>
      <c r="DW357" s="336">
        <f t="shared" si="2108"/>
        <v>0</v>
      </c>
      <c r="DX357" s="336">
        <f t="shared" si="2102"/>
        <v>0</v>
      </c>
      <c r="DY357" s="336">
        <f t="shared" si="2103"/>
        <v>0</v>
      </c>
      <c r="DZ357" s="336">
        <f t="shared" si="2104"/>
        <v>0</v>
      </c>
      <c r="EA357" s="336">
        <f t="shared" si="2105"/>
        <v>0</v>
      </c>
      <c r="EB357" s="336">
        <f t="shared" si="2106"/>
        <v>0</v>
      </c>
      <c r="EC357" s="336">
        <f t="shared" si="2107"/>
        <v>0</v>
      </c>
      <c r="ED357" s="336">
        <f t="shared" si="2019"/>
        <v>0</v>
      </c>
      <c r="EE357" s="336">
        <f t="shared" si="2020"/>
        <v>0</v>
      </c>
      <c r="EF357" s="336">
        <f t="shared" si="2021"/>
        <v>0</v>
      </c>
      <c r="EG357" s="336">
        <f t="shared" si="2022"/>
        <v>0</v>
      </c>
      <c r="EH357" s="336">
        <f t="shared" si="2023"/>
        <v>0</v>
      </c>
      <c r="EI357" s="336">
        <f t="shared" si="2024"/>
        <v>0</v>
      </c>
      <c r="EJ357" s="336">
        <f t="shared" si="2025"/>
        <v>0</v>
      </c>
      <c r="EK357" s="336">
        <f t="shared" si="2026"/>
        <v>0</v>
      </c>
      <c r="EL357" s="336">
        <f t="shared" si="2027"/>
        <v>0</v>
      </c>
      <c r="EM357" s="336">
        <f t="shared" si="2028"/>
        <v>0</v>
      </c>
      <c r="EN357" s="336">
        <f t="shared" si="2029"/>
        <v>0</v>
      </c>
      <c r="EO357" s="336">
        <f t="shared" si="2030"/>
        <v>0</v>
      </c>
      <c r="EP357" s="336">
        <f t="shared" si="2031"/>
        <v>0</v>
      </c>
      <c r="EQ357" s="336">
        <f t="shared" si="2032"/>
        <v>0</v>
      </c>
      <c r="ER357" s="336">
        <f t="shared" si="2033"/>
        <v>0</v>
      </c>
      <c r="ES357" s="336">
        <f t="shared" si="2034"/>
        <v>0</v>
      </c>
      <c r="ET357" s="336">
        <f t="shared" si="2034"/>
        <v>0</v>
      </c>
      <c r="EU357" s="336">
        <f t="shared" si="2035"/>
        <v>0</v>
      </c>
      <c r="EV357" s="336">
        <f t="shared" si="2036"/>
        <v>0</v>
      </c>
      <c r="EW357" s="336">
        <f t="shared" si="2037"/>
        <v>0</v>
      </c>
      <c r="EX357" s="336">
        <f t="shared" si="2038"/>
        <v>0</v>
      </c>
      <c r="EY357" s="336">
        <f t="shared" si="2039"/>
        <v>0</v>
      </c>
      <c r="EZ357" s="336">
        <f t="shared" si="2040"/>
        <v>0</v>
      </c>
      <c r="FA357" s="336">
        <f t="shared" si="2041"/>
        <v>0</v>
      </c>
      <c r="FB357" s="336">
        <f t="shared" si="2042"/>
        <v>0</v>
      </c>
      <c r="FC357" s="336">
        <f t="shared" si="2043"/>
        <v>0</v>
      </c>
      <c r="FD357" s="336">
        <f t="shared" si="2044"/>
        <v>0</v>
      </c>
      <c r="FE357" s="336">
        <f t="shared" si="2045"/>
        <v>0</v>
      </c>
      <c r="FF357" s="336">
        <f t="shared" si="2046"/>
        <v>0</v>
      </c>
      <c r="FG357" s="336">
        <f t="shared" si="2047"/>
        <v>0</v>
      </c>
      <c r="FH357" s="336">
        <f t="shared" si="2048"/>
        <v>0</v>
      </c>
      <c r="FI357" s="336">
        <f t="shared" si="2049"/>
        <v>0</v>
      </c>
      <c r="FJ357" s="336">
        <f t="shared" si="2050"/>
        <v>0</v>
      </c>
      <c r="FK357" s="336">
        <f t="shared" si="2051"/>
        <v>0</v>
      </c>
      <c r="FL357" s="336">
        <f t="shared" si="2052"/>
        <v>0</v>
      </c>
      <c r="FM357" s="336">
        <f t="shared" si="2053"/>
        <v>0</v>
      </c>
      <c r="FN357" s="336">
        <f t="shared" si="2054"/>
        <v>0</v>
      </c>
      <c r="FO357" s="336">
        <f t="shared" si="2055"/>
        <v>0</v>
      </c>
      <c r="FP357" s="336">
        <f t="shared" si="2056"/>
        <v>0</v>
      </c>
      <c r="FQ357" s="336">
        <f t="shared" si="2057"/>
        <v>0</v>
      </c>
      <c r="FR357" s="336">
        <f t="shared" si="2058"/>
        <v>0</v>
      </c>
      <c r="FS357" s="336">
        <f t="shared" si="2059"/>
        <v>0</v>
      </c>
      <c r="FT357" s="336">
        <f t="shared" si="2060"/>
        <v>0</v>
      </c>
      <c r="FU357" s="336">
        <f t="shared" si="2262"/>
        <v>0</v>
      </c>
      <c r="FV357" s="336">
        <f t="shared" si="2263"/>
        <v>0</v>
      </c>
      <c r="FW357" s="336">
        <f t="shared" si="2264"/>
        <v>0</v>
      </c>
      <c r="FX357" s="336">
        <f t="shared" si="2265"/>
        <v>0</v>
      </c>
      <c r="FY357" s="336">
        <f t="shared" si="2061"/>
        <v>0</v>
      </c>
      <c r="FZ357" s="336">
        <f t="shared" si="2062"/>
        <v>0</v>
      </c>
      <c r="GA357" s="336">
        <f t="shared" si="2063"/>
        <v>0</v>
      </c>
      <c r="GB357" s="336">
        <f t="shared" si="2064"/>
        <v>0</v>
      </c>
      <c r="GC357" s="336">
        <f t="shared" si="2065"/>
        <v>0</v>
      </c>
      <c r="GD357" s="336">
        <f t="shared" si="2066"/>
        <v>0</v>
      </c>
      <c r="GE357" s="336">
        <f t="shared" si="2067"/>
        <v>0</v>
      </c>
      <c r="GF357" s="336">
        <f t="shared" si="2068"/>
        <v>0</v>
      </c>
      <c r="GG357" s="336">
        <f t="shared" si="2069"/>
        <v>0</v>
      </c>
      <c r="GH357" s="336">
        <f t="shared" si="2070"/>
        <v>0</v>
      </c>
      <c r="GI357" s="336">
        <f t="shared" si="2071"/>
        <v>0</v>
      </c>
      <c r="GJ357" s="336">
        <f t="shared" si="2072"/>
        <v>0</v>
      </c>
      <c r="GK357" s="336">
        <f t="shared" si="2513"/>
        <v>0</v>
      </c>
      <c r="GL357" s="336">
        <f t="shared" si="2514"/>
        <v>0</v>
      </c>
      <c r="GM357" s="336">
        <f t="shared" si="2073"/>
        <v>0</v>
      </c>
    </row>
    <row r="358" spans="1:195">
      <c r="A358" s="337">
        <f t="shared" si="2488"/>
        <v>232</v>
      </c>
      <c r="B358" s="526" t="s">
        <v>783</v>
      </c>
      <c r="C358" s="337" t="str">
        <f t="shared" si="2489"/>
        <v>ACDB-1</v>
      </c>
      <c r="D358" s="372" t="s">
        <v>784</v>
      </c>
      <c r="E358" s="500" t="s">
        <v>608</v>
      </c>
      <c r="F358" s="570"/>
      <c r="G358" s="337" t="s">
        <v>329</v>
      </c>
      <c r="H358" s="418">
        <v>10</v>
      </c>
      <c r="I358" s="337" t="s">
        <v>330</v>
      </c>
      <c r="J358" s="337" t="s">
        <v>331</v>
      </c>
      <c r="K358" s="349">
        <v>400</v>
      </c>
      <c r="L358" s="343">
        <v>0.84999999999999987</v>
      </c>
      <c r="M358" s="350">
        <v>0.95099999999999985</v>
      </c>
      <c r="N358" s="342">
        <f t="shared" si="2490"/>
        <v>17.856349525042535</v>
      </c>
      <c r="O358" s="342">
        <f t="shared" si="2491"/>
        <v>0</v>
      </c>
      <c r="P358" s="343" t="str">
        <f t="shared" si="2492"/>
        <v>0.00</v>
      </c>
      <c r="Q358" s="350">
        <v>50</v>
      </c>
      <c r="R358" s="350">
        <v>0</v>
      </c>
      <c r="S358" s="350">
        <f t="shared" si="2493"/>
        <v>0</v>
      </c>
      <c r="T358" s="343" t="s">
        <v>131</v>
      </c>
      <c r="U358" s="350" t="s">
        <v>522</v>
      </c>
      <c r="V358" s="343">
        <v>4</v>
      </c>
      <c r="W358" s="343" t="str">
        <f t="shared" si="2494"/>
        <v>4C X 4</v>
      </c>
      <c r="X358" s="343" t="str">
        <f t="shared" si="2495"/>
        <v>4C X 4</v>
      </c>
      <c r="Y358" s="343" t="s">
        <v>358</v>
      </c>
      <c r="Z358" s="344">
        <f>IF(T358="AIR",VLOOKUP(W358,'Catalogue Aluminium'!$B$9:$G$93,2,FALSE),IF(T358="GROUND",VLOOKUP(W358,'Catalogue Aluminium'!$B$9:$G$93,3,FALSE),IF(T358="DUCT",VLOOKUP(W358,'Catalogue Aluminium'!$B$9:$G$93,4,FALSE),IF(T358="TRENCH",VLOOKUP(W358,'Catalogue Aluminium'!$B$9:$G$93,2,FALSE)))))</f>
        <v>38</v>
      </c>
      <c r="AA358" s="345">
        <f>VLOOKUP(W358,'Catalogue Aluminium'!$B$9:$G$93,5,FALSE)</f>
        <v>5.9</v>
      </c>
      <c r="AB358" s="345">
        <f>VLOOKUP(W358,'Catalogue Aluminium'!$B$9:$G$93,6,FALSE)</f>
        <v>9.4700000000000006E-2</v>
      </c>
      <c r="AC358" s="457">
        <f>4+28</f>
        <v>32</v>
      </c>
      <c r="AD358" s="457">
        <v>0</v>
      </c>
      <c r="AE358" s="401">
        <v>5</v>
      </c>
      <c r="AF358" s="401">
        <v>8</v>
      </c>
      <c r="AG358" s="401">
        <f t="shared" si="2496"/>
        <v>5</v>
      </c>
      <c r="AH358" s="347">
        <f t="shared" si="2497"/>
        <v>50</v>
      </c>
      <c r="AI358" s="344">
        <f>IF(T358="AIR",'Catalogue Aluminium'!$K$9,IF(T358="TRENCH",'Catalogue Aluminium'!$K$12,"NA"))</f>
        <v>0.89</v>
      </c>
      <c r="AJ358" s="342">
        <f>IF(T358="Air",(IF(U358="1C",'Catalogue Aluminium'!$L$9,'Catalogue Aluminium'!$M$9)),IF(T358="DUCT",(IF($U358="1C",'Catalogue Aluminium'!$L$10,'Catalogue Aluminium'!$M$10)),IF(T358="GROUND",(IF($U358="1C",'Catalogue Aluminium'!$L$11,'Catalogue Aluminium'!$M$11)),IF(T358="TRENCH",(IF($U358="1C",'Catalogue Aluminium'!$L$12,'Catalogue Aluminium'!$M$12))))))</f>
        <v>0.66</v>
      </c>
      <c r="AK358" s="344" t="str">
        <f>IF(T358="Air",'Catalogue Aluminium'!$N$9,IF(T358="GROUND",'Catalogue Aluminium'!$N$10,IF(T358="DUCT",'Catalogue Aluminium'!$N$11,IF(T358="TRENCH",'Catalogue Aluminium'!$N$12,"NA"))))</f>
        <v>NA</v>
      </c>
      <c r="AL358" s="344" t="str">
        <f>IF(T358="Air",(IF(U358="1C",'Catalogue Aluminium'!$O$9,'Catalogue Aluminium'!$P$9)),IF(T358="DUCT",(IF($U358="1C",'Catalogue Aluminium'!$O$10,'Catalogue Aluminium'!$P$10)),IF(T358="GROUND",(IF($U358="1C",'Catalogue Aluminium'!$O$11,'Catalogue Aluminium'!$P$11)),IF(T358="TRENCH",(IF($U358="1C",'Catalogue Aluminium'!$O$12,'Catalogue Aluminium'!$P$12))))))</f>
        <v>NA</v>
      </c>
      <c r="AM358" s="344" t="str">
        <f>IF(T358="AIR","NA",IF(T358="TRENCH","NA",IF(T358="DUCT",IF(U358="1C",VLOOKUP(V358,'Catalogue Aluminium'!$Q$9:$S$28,2,FALSE),VLOOKUP(V358,'Catalogue Aluminium'!$Q$9:$S$28,3)),IF(T358="GROUND",IF(U358="1C",VLOOKUP(V358,'Catalogue Aluminium'!$Q$9:$S$28,2,FALSE),VLOOKUP(V358,'Catalogue Aluminium'!$Q$9:$S$28,3))))))</f>
        <v>NA</v>
      </c>
      <c r="AN358" s="351">
        <f t="shared" si="2498"/>
        <v>0.58740000000000003</v>
      </c>
      <c r="AO358" s="350">
        <f t="shared" si="2499"/>
        <v>22.321200000000001</v>
      </c>
      <c r="AP358" s="349">
        <f t="shared" si="2500"/>
        <v>1</v>
      </c>
      <c r="AQ358" s="350" t="str">
        <f t="shared" si="2501"/>
        <v>YES</v>
      </c>
      <c r="AR358" s="351">
        <f t="shared" si="2502"/>
        <v>1.9580916748066639</v>
      </c>
      <c r="AS358" s="343" t="str">
        <f t="shared" si="2503"/>
        <v>YES</v>
      </c>
      <c r="AT358" s="351" t="str">
        <f t="shared" si="2504"/>
        <v>NA</v>
      </c>
      <c r="AU358" s="343" t="str">
        <f t="shared" si="2505"/>
        <v>NA</v>
      </c>
      <c r="AV358" s="354" t="str">
        <f t="shared" si="2506"/>
        <v>1R x 0.6/1kV x 4C x 4 Sqmm</v>
      </c>
      <c r="AW358" s="354" t="str">
        <f t="shared" si="2507"/>
        <v>1R x 0.6/1kV x 4C x 4 Sqmm</v>
      </c>
      <c r="AX358" s="343">
        <f t="shared" si="2508"/>
        <v>50</v>
      </c>
      <c r="AY358" s="355"/>
      <c r="AZ358" s="355">
        <f t="shared" si="2509"/>
        <v>2</v>
      </c>
      <c r="BA358" s="356" t="str">
        <f t="shared" si="2510"/>
        <v/>
      </c>
      <c r="BB358" s="501">
        <f>VLOOKUP(W358,'Catalogue Aluminium'!$B$9:$H$93,7,FALSE)</f>
        <v>16</v>
      </c>
      <c r="BC358" s="328">
        <f t="shared" si="2511"/>
        <v>16</v>
      </c>
      <c r="BE358" s="336"/>
      <c r="BF358" s="336"/>
      <c r="BG358" s="336"/>
      <c r="BH358" s="336"/>
      <c r="BI358" s="336"/>
      <c r="BJ358" s="336"/>
      <c r="BK358" s="336"/>
      <c r="BL358" s="336"/>
      <c r="BM358" s="336"/>
      <c r="BN358" s="336"/>
      <c r="BO358" s="336"/>
      <c r="BP358" s="336"/>
      <c r="BQ358" s="336"/>
      <c r="BR358" s="336"/>
      <c r="BS358" s="336"/>
      <c r="BT358" s="336"/>
      <c r="BU358" s="336"/>
      <c r="BV358" s="336"/>
      <c r="BW358" s="336"/>
      <c r="BX358" s="336"/>
      <c r="BY358" s="336"/>
      <c r="BZ358" s="336"/>
      <c r="CA358" s="336"/>
      <c r="CB358" s="336"/>
      <c r="CC358" s="336"/>
      <c r="CD358" s="336"/>
      <c r="CE358" s="336"/>
      <c r="CF358" s="336"/>
      <c r="CG358" s="336"/>
      <c r="CH358" s="336"/>
      <c r="CI358" s="336"/>
      <c r="CJ358" s="336"/>
      <c r="CK358" s="336"/>
      <c r="CL358" s="336"/>
      <c r="CM358" s="336"/>
      <c r="CN358" s="336"/>
      <c r="CO358" s="336"/>
      <c r="CP358" s="336"/>
      <c r="CQ358" s="336"/>
      <c r="CR358" s="336"/>
      <c r="CS358" s="336"/>
      <c r="CT358" s="336"/>
      <c r="CU358" s="336"/>
      <c r="CV358" s="336"/>
      <c r="CW358" s="336"/>
      <c r="CX358" s="336"/>
      <c r="CY358" s="336"/>
      <c r="CZ358" s="336"/>
      <c r="DA358" s="336"/>
      <c r="DB358" s="336"/>
      <c r="DC358" s="336"/>
      <c r="DD358" s="336"/>
      <c r="DE358" s="336"/>
      <c r="DF358" s="336"/>
      <c r="DG358" s="336"/>
      <c r="DH358" s="336"/>
      <c r="DI358" s="336"/>
      <c r="DJ358" s="336"/>
      <c r="DK358" s="336"/>
      <c r="DL358" s="336"/>
      <c r="DM358" s="336"/>
      <c r="DN358" s="336"/>
      <c r="DO358" s="336"/>
      <c r="DP358" s="336"/>
      <c r="DQ358" s="336"/>
      <c r="DR358" s="336"/>
      <c r="DS358" s="336"/>
      <c r="DT358" s="336"/>
      <c r="DU358" s="336"/>
      <c r="DW358" s="336">
        <f t="shared" si="2108"/>
        <v>0</v>
      </c>
      <c r="DX358" s="336">
        <f t="shared" si="2102"/>
        <v>0</v>
      </c>
      <c r="DY358" s="336">
        <f t="shared" si="2103"/>
        <v>0</v>
      </c>
      <c r="DZ358" s="336">
        <f t="shared" si="2104"/>
        <v>0</v>
      </c>
      <c r="EA358" s="336">
        <f t="shared" si="2105"/>
        <v>0</v>
      </c>
      <c r="EB358" s="336">
        <f t="shared" si="2106"/>
        <v>0</v>
      </c>
      <c r="EC358" s="336">
        <f t="shared" si="2107"/>
        <v>0</v>
      </c>
      <c r="ED358" s="336">
        <f t="shared" si="2019"/>
        <v>0</v>
      </c>
      <c r="EE358" s="336">
        <f t="shared" si="2020"/>
        <v>0</v>
      </c>
      <c r="EF358" s="336">
        <f t="shared" si="2021"/>
        <v>0</v>
      </c>
      <c r="EG358" s="336">
        <f t="shared" si="2022"/>
        <v>0</v>
      </c>
      <c r="EH358" s="336">
        <f t="shared" si="2023"/>
        <v>0</v>
      </c>
      <c r="EI358" s="336">
        <f t="shared" si="2024"/>
        <v>0</v>
      </c>
      <c r="EJ358" s="336">
        <f t="shared" si="2025"/>
        <v>0</v>
      </c>
      <c r="EK358" s="336">
        <f t="shared" si="2026"/>
        <v>0</v>
      </c>
      <c r="EL358" s="336">
        <f t="shared" si="2027"/>
        <v>0</v>
      </c>
      <c r="EM358" s="336">
        <f t="shared" si="2028"/>
        <v>0</v>
      </c>
      <c r="EN358" s="336">
        <f t="shared" si="2029"/>
        <v>0</v>
      </c>
      <c r="EO358" s="336">
        <f t="shared" si="2030"/>
        <v>0</v>
      </c>
      <c r="EP358" s="336">
        <f t="shared" si="2031"/>
        <v>0</v>
      </c>
      <c r="EQ358" s="336">
        <f t="shared" si="2032"/>
        <v>0</v>
      </c>
      <c r="ER358" s="336">
        <f t="shared" si="2033"/>
        <v>0</v>
      </c>
      <c r="ES358" s="336">
        <f t="shared" si="2034"/>
        <v>0</v>
      </c>
      <c r="ET358" s="336">
        <f t="shared" si="2034"/>
        <v>0</v>
      </c>
      <c r="EU358" s="336">
        <f t="shared" si="2035"/>
        <v>0</v>
      </c>
      <c r="EV358" s="336">
        <f t="shared" si="2036"/>
        <v>0</v>
      </c>
      <c r="EW358" s="336">
        <f t="shared" si="2037"/>
        <v>0</v>
      </c>
      <c r="EX358" s="336">
        <f t="shared" si="2038"/>
        <v>0</v>
      </c>
      <c r="EY358" s="336">
        <f t="shared" si="2039"/>
        <v>0</v>
      </c>
      <c r="EZ358" s="336">
        <f t="shared" si="2040"/>
        <v>0</v>
      </c>
      <c r="FA358" s="336">
        <f t="shared" si="2041"/>
        <v>0</v>
      </c>
      <c r="FB358" s="336">
        <f t="shared" si="2042"/>
        <v>0</v>
      </c>
      <c r="FC358" s="336">
        <f t="shared" si="2043"/>
        <v>0</v>
      </c>
      <c r="FD358" s="336">
        <f t="shared" si="2044"/>
        <v>0</v>
      </c>
      <c r="FE358" s="336">
        <f t="shared" si="2045"/>
        <v>0</v>
      </c>
      <c r="FF358" s="336">
        <f t="shared" si="2046"/>
        <v>0</v>
      </c>
      <c r="FG358" s="336">
        <f t="shared" si="2047"/>
        <v>0</v>
      </c>
      <c r="FH358" s="336">
        <f t="shared" si="2048"/>
        <v>0</v>
      </c>
      <c r="FI358" s="336">
        <f t="shared" si="2049"/>
        <v>0</v>
      </c>
      <c r="FJ358" s="336">
        <f t="shared" si="2050"/>
        <v>0</v>
      </c>
      <c r="FK358" s="336">
        <f t="shared" si="2051"/>
        <v>0</v>
      </c>
      <c r="FL358" s="336">
        <f t="shared" si="2052"/>
        <v>0</v>
      </c>
      <c r="FM358" s="336">
        <f t="shared" si="2053"/>
        <v>0</v>
      </c>
      <c r="FN358" s="336">
        <f t="shared" si="2054"/>
        <v>0</v>
      </c>
      <c r="FO358" s="336">
        <f t="shared" si="2055"/>
        <v>0</v>
      </c>
      <c r="FP358" s="336">
        <f t="shared" si="2056"/>
        <v>0</v>
      </c>
      <c r="FQ358" s="336">
        <f t="shared" si="2057"/>
        <v>0</v>
      </c>
      <c r="FR358" s="336">
        <f t="shared" si="2058"/>
        <v>0</v>
      </c>
      <c r="FS358" s="336">
        <f t="shared" si="2059"/>
        <v>0</v>
      </c>
      <c r="FT358" s="336">
        <f t="shared" si="2060"/>
        <v>0</v>
      </c>
      <c r="FU358" s="336">
        <f t="shared" si="2262"/>
        <v>0</v>
      </c>
      <c r="FV358" s="336">
        <f t="shared" si="2263"/>
        <v>0</v>
      </c>
      <c r="FW358" s="336">
        <f t="shared" si="2264"/>
        <v>0</v>
      </c>
      <c r="FX358" s="336">
        <f t="shared" si="2265"/>
        <v>0</v>
      </c>
      <c r="FY358" s="336">
        <f t="shared" si="2061"/>
        <v>0</v>
      </c>
      <c r="FZ358" s="336">
        <f t="shared" si="2062"/>
        <v>0</v>
      </c>
      <c r="GA358" s="336">
        <f t="shared" si="2063"/>
        <v>0</v>
      </c>
      <c r="GB358" s="336">
        <f t="shared" si="2064"/>
        <v>0</v>
      </c>
      <c r="GC358" s="336">
        <f t="shared" si="2065"/>
        <v>0</v>
      </c>
      <c r="GD358" s="336">
        <f t="shared" si="2066"/>
        <v>0</v>
      </c>
      <c r="GE358" s="336">
        <f t="shared" si="2067"/>
        <v>0</v>
      </c>
      <c r="GF358" s="336">
        <f t="shared" si="2068"/>
        <v>0</v>
      </c>
      <c r="GG358" s="336">
        <f t="shared" si="2069"/>
        <v>0</v>
      </c>
      <c r="GH358" s="336">
        <f t="shared" si="2070"/>
        <v>0</v>
      </c>
      <c r="GI358" s="336">
        <f t="shared" si="2071"/>
        <v>0</v>
      </c>
      <c r="GJ358" s="336">
        <f t="shared" si="2072"/>
        <v>0</v>
      </c>
      <c r="GK358" s="336">
        <f t="shared" si="2513"/>
        <v>0</v>
      </c>
      <c r="GL358" s="336">
        <f t="shared" si="2514"/>
        <v>0</v>
      </c>
      <c r="GM358" s="336">
        <f t="shared" si="2073"/>
        <v>0</v>
      </c>
    </row>
    <row r="359" spans="1:195">
      <c r="A359" s="337">
        <f t="shared" si="2488"/>
        <v>233</v>
      </c>
      <c r="B359" s="526" t="s">
        <v>785</v>
      </c>
      <c r="C359" s="337" t="str">
        <f t="shared" si="2489"/>
        <v>ACDB-1</v>
      </c>
      <c r="D359" s="372" t="s">
        <v>786</v>
      </c>
      <c r="E359" s="500" t="s">
        <v>608</v>
      </c>
      <c r="F359" s="570"/>
      <c r="G359" s="337" t="s">
        <v>329</v>
      </c>
      <c r="H359" s="418">
        <v>10</v>
      </c>
      <c r="I359" s="337" t="s">
        <v>330</v>
      </c>
      <c r="J359" s="337" t="s">
        <v>331</v>
      </c>
      <c r="K359" s="349">
        <v>400</v>
      </c>
      <c r="L359" s="343">
        <v>0.84999999999999987</v>
      </c>
      <c r="M359" s="350">
        <v>0.95099999999999985</v>
      </c>
      <c r="N359" s="342">
        <f t="shared" si="2490"/>
        <v>17.856349525042535</v>
      </c>
      <c r="O359" s="342">
        <f t="shared" si="2491"/>
        <v>0</v>
      </c>
      <c r="P359" s="343" t="str">
        <f t="shared" si="2492"/>
        <v>0.00</v>
      </c>
      <c r="Q359" s="350">
        <v>50</v>
      </c>
      <c r="R359" s="350">
        <v>0</v>
      </c>
      <c r="S359" s="350">
        <f t="shared" si="2493"/>
        <v>0</v>
      </c>
      <c r="T359" s="343" t="s">
        <v>131</v>
      </c>
      <c r="U359" s="350" t="s">
        <v>522</v>
      </c>
      <c r="V359" s="343">
        <v>4</v>
      </c>
      <c r="W359" s="343" t="str">
        <f t="shared" si="2494"/>
        <v>4C X 4</v>
      </c>
      <c r="X359" s="343" t="str">
        <f t="shared" si="2495"/>
        <v>4C X 4</v>
      </c>
      <c r="Y359" s="343" t="s">
        <v>358</v>
      </c>
      <c r="Z359" s="344">
        <f>IF(T359="AIR",VLOOKUP(W359,'Catalogue Aluminium'!$B$9:$G$93,2,FALSE),IF(T359="GROUND",VLOOKUP(W359,'Catalogue Aluminium'!$B$9:$G$93,3,FALSE),IF(T359="DUCT",VLOOKUP(W359,'Catalogue Aluminium'!$B$9:$G$93,4,FALSE),IF(T359="TRENCH",VLOOKUP(W359,'Catalogue Aluminium'!$B$9:$G$93,2,FALSE)))))</f>
        <v>38</v>
      </c>
      <c r="AA359" s="345">
        <f>VLOOKUP(W359,'Catalogue Aluminium'!$B$9:$G$93,5,FALSE)</f>
        <v>5.9</v>
      </c>
      <c r="AB359" s="345">
        <f>VLOOKUP(W359,'Catalogue Aluminium'!$B$9:$G$93,6,FALSE)</f>
        <v>9.4700000000000006E-2</v>
      </c>
      <c r="AC359" s="457">
        <f>11+28</f>
        <v>39</v>
      </c>
      <c r="AD359" s="457">
        <v>0</v>
      </c>
      <c r="AE359" s="401">
        <v>5</v>
      </c>
      <c r="AF359" s="401">
        <v>8</v>
      </c>
      <c r="AG359" s="401">
        <f t="shared" si="2496"/>
        <v>6</v>
      </c>
      <c r="AH359" s="347">
        <f t="shared" si="2497"/>
        <v>58</v>
      </c>
      <c r="AI359" s="344">
        <f>IF(T359="AIR",'Catalogue Aluminium'!$K$9,IF(T359="TRENCH",'Catalogue Aluminium'!$K$12,"NA"))</f>
        <v>0.89</v>
      </c>
      <c r="AJ359" s="342">
        <f>IF(T359="Air",(IF(U359="1C",'Catalogue Aluminium'!$L$9,'Catalogue Aluminium'!$M$9)),IF(T359="DUCT",(IF($U359="1C",'Catalogue Aluminium'!$L$10,'Catalogue Aluminium'!$M$10)),IF(T359="GROUND",(IF($U359="1C",'Catalogue Aluminium'!$L$11,'Catalogue Aluminium'!$M$11)),IF(T359="TRENCH",(IF($U359="1C",'Catalogue Aluminium'!$L$12,'Catalogue Aluminium'!$M$12))))))</f>
        <v>0.66</v>
      </c>
      <c r="AK359" s="344" t="str">
        <f>IF(T359="Air",'Catalogue Aluminium'!$N$9,IF(T359="GROUND",'Catalogue Aluminium'!$N$10,IF(T359="DUCT",'Catalogue Aluminium'!$N$11,IF(T359="TRENCH",'Catalogue Aluminium'!$N$12,"NA"))))</f>
        <v>NA</v>
      </c>
      <c r="AL359" s="344" t="str">
        <f>IF(T359="Air",(IF(U359="1C",'Catalogue Aluminium'!$O$9,'Catalogue Aluminium'!$P$9)),IF(T359="DUCT",(IF($U359="1C",'Catalogue Aluminium'!$O$10,'Catalogue Aluminium'!$P$10)),IF(T359="GROUND",(IF($U359="1C",'Catalogue Aluminium'!$O$11,'Catalogue Aluminium'!$P$11)),IF(T359="TRENCH",(IF($U359="1C",'Catalogue Aluminium'!$O$12,'Catalogue Aluminium'!$P$12))))))</f>
        <v>NA</v>
      </c>
      <c r="AM359" s="344" t="str">
        <f>IF(T359="AIR","NA",IF(T359="TRENCH","NA",IF(T359="DUCT",IF(U359="1C",VLOOKUP(V359,'Catalogue Aluminium'!$Q$9:$S$28,2,FALSE),VLOOKUP(V359,'Catalogue Aluminium'!$Q$9:$S$28,3)),IF(T359="GROUND",IF(U359="1C",VLOOKUP(V359,'Catalogue Aluminium'!$Q$9:$S$28,2,FALSE),VLOOKUP(V359,'Catalogue Aluminium'!$Q$9:$S$28,3))))))</f>
        <v>NA</v>
      </c>
      <c r="AN359" s="351">
        <f t="shared" si="2498"/>
        <v>0.58740000000000003</v>
      </c>
      <c r="AO359" s="350">
        <f t="shared" si="2499"/>
        <v>22.321200000000001</v>
      </c>
      <c r="AP359" s="349">
        <f t="shared" si="2500"/>
        <v>1</v>
      </c>
      <c r="AQ359" s="350" t="str">
        <f t="shared" si="2501"/>
        <v>YES</v>
      </c>
      <c r="AR359" s="351">
        <f t="shared" si="2502"/>
        <v>2.2713863427757301</v>
      </c>
      <c r="AS359" s="343" t="str">
        <f t="shared" si="2503"/>
        <v>YES</v>
      </c>
      <c r="AT359" s="351" t="str">
        <f t="shared" si="2504"/>
        <v>NA</v>
      </c>
      <c r="AU359" s="343" t="str">
        <f t="shared" si="2505"/>
        <v>NA</v>
      </c>
      <c r="AV359" s="354" t="str">
        <f t="shared" si="2506"/>
        <v>1R x 0.6/1kV x 4C x 4 Sqmm</v>
      </c>
      <c r="AW359" s="354" t="str">
        <f t="shared" si="2507"/>
        <v>1R x 0.6/1kV x 4C x 4 Sqmm</v>
      </c>
      <c r="AX359" s="343">
        <f t="shared" si="2508"/>
        <v>58</v>
      </c>
      <c r="AY359" s="355"/>
      <c r="AZ359" s="355">
        <f t="shared" si="2509"/>
        <v>2</v>
      </c>
      <c r="BA359" s="356" t="str">
        <f t="shared" si="2510"/>
        <v/>
      </c>
      <c r="BB359" s="501">
        <f>VLOOKUP(W359,'Catalogue Aluminium'!$B$9:$H$93,7,FALSE)</f>
        <v>16</v>
      </c>
      <c r="BC359" s="328">
        <f t="shared" si="2511"/>
        <v>16</v>
      </c>
      <c r="BE359" s="336"/>
      <c r="BF359" s="336"/>
      <c r="BG359" s="336"/>
      <c r="BH359" s="336"/>
      <c r="BI359" s="336"/>
      <c r="BJ359" s="336"/>
      <c r="BK359" s="336"/>
      <c r="BL359" s="336"/>
      <c r="BM359" s="336"/>
      <c r="BN359" s="336"/>
      <c r="BO359" s="336"/>
      <c r="BP359" s="336"/>
      <c r="BQ359" s="336"/>
      <c r="BR359" s="336"/>
      <c r="BS359" s="336"/>
      <c r="BT359" s="336"/>
      <c r="BU359" s="336"/>
      <c r="BV359" s="336"/>
      <c r="BW359" s="336"/>
      <c r="BX359" s="336"/>
      <c r="BY359" s="336"/>
      <c r="BZ359" s="336"/>
      <c r="CA359" s="336"/>
      <c r="CB359" s="336"/>
      <c r="CC359" s="336"/>
      <c r="CD359" s="336"/>
      <c r="CE359" s="336"/>
      <c r="CF359" s="336"/>
      <c r="CG359" s="336"/>
      <c r="CH359" s="336"/>
      <c r="CI359" s="336"/>
      <c r="CJ359" s="336"/>
      <c r="CK359" s="336"/>
      <c r="CL359" s="336"/>
      <c r="CM359" s="336"/>
      <c r="CN359" s="336"/>
      <c r="CO359" s="336"/>
      <c r="CP359" s="336"/>
      <c r="CQ359" s="336"/>
      <c r="CR359" s="336"/>
      <c r="CS359" s="336"/>
      <c r="CT359" s="336"/>
      <c r="CU359" s="336"/>
      <c r="CV359" s="336"/>
      <c r="CW359" s="336"/>
      <c r="CX359" s="336"/>
      <c r="CY359" s="336"/>
      <c r="CZ359" s="336"/>
      <c r="DA359" s="336"/>
      <c r="DB359" s="336"/>
      <c r="DC359" s="336"/>
      <c r="DD359" s="336"/>
      <c r="DE359" s="336"/>
      <c r="DF359" s="336"/>
      <c r="DG359" s="336"/>
      <c r="DH359" s="336"/>
      <c r="DI359" s="336"/>
      <c r="DJ359" s="336"/>
      <c r="DK359" s="336"/>
      <c r="DL359" s="336"/>
      <c r="DM359" s="336"/>
      <c r="DN359" s="336"/>
      <c r="DO359" s="336"/>
      <c r="DP359" s="336"/>
      <c r="DQ359" s="336"/>
      <c r="DR359" s="336"/>
      <c r="DS359" s="336"/>
      <c r="DT359" s="336"/>
      <c r="DU359" s="336"/>
      <c r="DW359" s="336">
        <f t="shared" si="2108"/>
        <v>0</v>
      </c>
      <c r="DX359" s="336">
        <f t="shared" si="2102"/>
        <v>0</v>
      </c>
      <c r="DY359" s="336">
        <f t="shared" si="2103"/>
        <v>0</v>
      </c>
      <c r="DZ359" s="336">
        <f t="shared" si="2104"/>
        <v>0</v>
      </c>
      <c r="EA359" s="336">
        <f t="shared" si="2105"/>
        <v>0</v>
      </c>
      <c r="EB359" s="336">
        <f t="shared" si="2106"/>
        <v>0</v>
      </c>
      <c r="EC359" s="336">
        <f t="shared" si="2107"/>
        <v>0</v>
      </c>
      <c r="ED359" s="336">
        <f t="shared" si="2019"/>
        <v>0</v>
      </c>
      <c r="EE359" s="336">
        <f t="shared" si="2020"/>
        <v>0</v>
      </c>
      <c r="EF359" s="336">
        <f t="shared" si="2021"/>
        <v>0</v>
      </c>
      <c r="EG359" s="336">
        <f t="shared" si="2022"/>
        <v>0</v>
      </c>
      <c r="EH359" s="336">
        <f t="shared" si="2023"/>
        <v>0</v>
      </c>
      <c r="EI359" s="336">
        <f t="shared" si="2024"/>
        <v>0</v>
      </c>
      <c r="EJ359" s="336">
        <f t="shared" si="2025"/>
        <v>0</v>
      </c>
      <c r="EK359" s="336">
        <f t="shared" si="2026"/>
        <v>0</v>
      </c>
      <c r="EL359" s="336">
        <f t="shared" si="2027"/>
        <v>0</v>
      </c>
      <c r="EM359" s="336">
        <f t="shared" si="2028"/>
        <v>0</v>
      </c>
      <c r="EN359" s="336">
        <f t="shared" si="2029"/>
        <v>0</v>
      </c>
      <c r="EO359" s="336">
        <f t="shared" si="2030"/>
        <v>0</v>
      </c>
      <c r="EP359" s="336">
        <f t="shared" si="2031"/>
        <v>0</v>
      </c>
      <c r="EQ359" s="336">
        <f t="shared" si="2032"/>
        <v>0</v>
      </c>
      <c r="ER359" s="336">
        <f t="shared" si="2033"/>
        <v>0</v>
      </c>
      <c r="ES359" s="336">
        <f t="shared" si="2034"/>
        <v>0</v>
      </c>
      <c r="ET359" s="336">
        <f t="shared" si="2034"/>
        <v>0</v>
      </c>
      <c r="EU359" s="336">
        <f t="shared" si="2035"/>
        <v>0</v>
      </c>
      <c r="EV359" s="336">
        <f t="shared" si="2036"/>
        <v>0</v>
      </c>
      <c r="EW359" s="336">
        <f t="shared" si="2037"/>
        <v>0</v>
      </c>
      <c r="EX359" s="336">
        <f t="shared" si="2038"/>
        <v>0</v>
      </c>
      <c r="EY359" s="336">
        <f t="shared" si="2039"/>
        <v>0</v>
      </c>
      <c r="EZ359" s="336">
        <f t="shared" si="2040"/>
        <v>0</v>
      </c>
      <c r="FA359" s="336">
        <f t="shared" si="2041"/>
        <v>0</v>
      </c>
      <c r="FB359" s="336">
        <f t="shared" si="2042"/>
        <v>0</v>
      </c>
      <c r="FC359" s="336">
        <f t="shared" si="2043"/>
        <v>0</v>
      </c>
      <c r="FD359" s="336">
        <f t="shared" si="2044"/>
        <v>0</v>
      </c>
      <c r="FE359" s="336">
        <f t="shared" si="2045"/>
        <v>0</v>
      </c>
      <c r="FF359" s="336">
        <f t="shared" si="2046"/>
        <v>0</v>
      </c>
      <c r="FG359" s="336">
        <f t="shared" si="2047"/>
        <v>0</v>
      </c>
      <c r="FH359" s="336">
        <f t="shared" si="2048"/>
        <v>0</v>
      </c>
      <c r="FI359" s="336">
        <f t="shared" si="2049"/>
        <v>0</v>
      </c>
      <c r="FJ359" s="336">
        <f t="shared" si="2050"/>
        <v>0</v>
      </c>
      <c r="FK359" s="336">
        <f t="shared" si="2051"/>
        <v>0</v>
      </c>
      <c r="FL359" s="336">
        <f t="shared" si="2052"/>
        <v>0</v>
      </c>
      <c r="FM359" s="336">
        <f t="shared" si="2053"/>
        <v>0</v>
      </c>
      <c r="FN359" s="336">
        <f t="shared" si="2054"/>
        <v>0</v>
      </c>
      <c r="FO359" s="336">
        <f t="shared" si="2055"/>
        <v>0</v>
      </c>
      <c r="FP359" s="336">
        <f t="shared" si="2056"/>
        <v>0</v>
      </c>
      <c r="FQ359" s="336">
        <f t="shared" si="2057"/>
        <v>0</v>
      </c>
      <c r="FR359" s="336">
        <f t="shared" si="2058"/>
        <v>0</v>
      </c>
      <c r="FS359" s="336">
        <f t="shared" si="2059"/>
        <v>0</v>
      </c>
      <c r="FT359" s="336">
        <f t="shared" si="2060"/>
        <v>0</v>
      </c>
      <c r="FU359" s="336">
        <f t="shared" si="2262"/>
        <v>0</v>
      </c>
      <c r="FV359" s="336">
        <f t="shared" si="2263"/>
        <v>0</v>
      </c>
      <c r="FW359" s="336">
        <f t="shared" si="2264"/>
        <v>0</v>
      </c>
      <c r="FX359" s="336">
        <f t="shared" si="2265"/>
        <v>0</v>
      </c>
      <c r="FY359" s="336">
        <f t="shared" si="2061"/>
        <v>0</v>
      </c>
      <c r="FZ359" s="336">
        <f t="shared" si="2062"/>
        <v>0</v>
      </c>
      <c r="GA359" s="336">
        <f t="shared" si="2063"/>
        <v>0</v>
      </c>
      <c r="GB359" s="336">
        <f t="shared" si="2064"/>
        <v>0</v>
      </c>
      <c r="GC359" s="336">
        <f t="shared" si="2065"/>
        <v>0</v>
      </c>
      <c r="GD359" s="336">
        <f t="shared" si="2066"/>
        <v>0</v>
      </c>
      <c r="GE359" s="336">
        <f t="shared" si="2067"/>
        <v>0</v>
      </c>
      <c r="GF359" s="336">
        <f t="shared" si="2068"/>
        <v>0</v>
      </c>
      <c r="GG359" s="336">
        <f t="shared" si="2069"/>
        <v>0</v>
      </c>
      <c r="GH359" s="336">
        <f t="shared" si="2070"/>
        <v>0</v>
      </c>
      <c r="GI359" s="336">
        <f t="shared" si="2071"/>
        <v>0</v>
      </c>
      <c r="GJ359" s="336">
        <f t="shared" si="2072"/>
        <v>0</v>
      </c>
      <c r="GK359" s="336">
        <f t="shared" si="2513"/>
        <v>0</v>
      </c>
      <c r="GL359" s="336">
        <f t="shared" si="2514"/>
        <v>0</v>
      </c>
      <c r="GM359" s="336">
        <f t="shared" si="2073"/>
        <v>0</v>
      </c>
    </row>
    <row r="360" spans="1:195" ht="25.5">
      <c r="A360" s="337">
        <f t="shared" si="2488"/>
        <v>234</v>
      </c>
      <c r="B360" s="526" t="s">
        <v>778</v>
      </c>
      <c r="C360" s="337" t="str">
        <f t="shared" si="2489"/>
        <v>ACDB-1</v>
      </c>
      <c r="D360" s="372" t="s">
        <v>787</v>
      </c>
      <c r="E360" s="500" t="s">
        <v>608</v>
      </c>
      <c r="F360" s="570"/>
      <c r="G360" s="337" t="s">
        <v>329</v>
      </c>
      <c r="H360" s="350">
        <v>5</v>
      </c>
      <c r="I360" s="337" t="s">
        <v>330</v>
      </c>
      <c r="J360" s="337" t="s">
        <v>331</v>
      </c>
      <c r="K360" s="349">
        <v>400</v>
      </c>
      <c r="L360" s="343">
        <v>0.84999999999999987</v>
      </c>
      <c r="M360" s="350">
        <v>0.95099999999999985</v>
      </c>
      <c r="N360" s="342">
        <f t="shared" si="2490"/>
        <v>8.9281747625212677</v>
      </c>
      <c r="O360" s="342">
        <f t="shared" si="2491"/>
        <v>0</v>
      </c>
      <c r="P360" s="343" t="str">
        <f t="shared" si="2492"/>
        <v>0.00</v>
      </c>
      <c r="Q360" s="350">
        <v>50</v>
      </c>
      <c r="R360" s="350">
        <v>0</v>
      </c>
      <c r="S360" s="350">
        <f t="shared" si="2493"/>
        <v>0</v>
      </c>
      <c r="T360" s="343" t="s">
        <v>131</v>
      </c>
      <c r="U360" s="350" t="s">
        <v>522</v>
      </c>
      <c r="V360" s="343">
        <v>4</v>
      </c>
      <c r="W360" s="343" t="str">
        <f t="shared" si="2494"/>
        <v>4C X 4</v>
      </c>
      <c r="X360" s="343" t="str">
        <f t="shared" si="2495"/>
        <v>4C X 4</v>
      </c>
      <c r="Y360" s="343" t="s">
        <v>358</v>
      </c>
      <c r="Z360" s="344">
        <f>IF(T360="AIR",VLOOKUP(W360,'Catalogue Aluminium'!$B$9:$G$93,2,FALSE),IF(T360="GROUND",VLOOKUP(W360,'Catalogue Aluminium'!$B$9:$G$93,3,FALSE),IF(T360="DUCT",VLOOKUP(W360,'Catalogue Aluminium'!$B$9:$G$93,4,FALSE),IF(T360="TRENCH",VLOOKUP(W360,'Catalogue Aluminium'!$B$9:$G$93,2,FALSE)))))</f>
        <v>38</v>
      </c>
      <c r="AA360" s="345">
        <f>VLOOKUP(W360,'Catalogue Aluminium'!$B$9:$G$93,5,FALSE)</f>
        <v>5.9</v>
      </c>
      <c r="AB360" s="345">
        <f>VLOOKUP(W360,'Catalogue Aluminium'!$B$9:$G$93,6,FALSE)</f>
        <v>9.4700000000000006E-2</v>
      </c>
      <c r="AC360" s="457">
        <f>4+30</f>
        <v>34</v>
      </c>
      <c r="AD360" s="457">
        <v>0</v>
      </c>
      <c r="AE360" s="401">
        <v>5</v>
      </c>
      <c r="AF360" s="401">
        <v>8</v>
      </c>
      <c r="AG360" s="401">
        <f t="shared" si="2496"/>
        <v>5</v>
      </c>
      <c r="AH360" s="347">
        <f t="shared" si="2497"/>
        <v>52</v>
      </c>
      <c r="AI360" s="344">
        <f>IF(T360="AIR",'Catalogue Aluminium'!$K$9,IF(T360="TRENCH",'Catalogue Aluminium'!$K$12,"NA"))</f>
        <v>0.89</v>
      </c>
      <c r="AJ360" s="342">
        <f>IF(T360="Air",(IF(U360="1C",'Catalogue Aluminium'!$L$9,'Catalogue Aluminium'!$M$9)),IF(T360="DUCT",(IF($U360="1C",'Catalogue Aluminium'!$L$10,'Catalogue Aluminium'!$M$10)),IF(T360="GROUND",(IF($U360="1C",'Catalogue Aluminium'!$L$11,'Catalogue Aluminium'!$M$11)),IF(T360="TRENCH",(IF($U360="1C",'Catalogue Aluminium'!$L$12,'Catalogue Aluminium'!$M$12))))))</f>
        <v>0.66</v>
      </c>
      <c r="AK360" s="344" t="str">
        <f>IF(T360="Air",'Catalogue Aluminium'!$N$9,IF(T360="GROUND",'Catalogue Aluminium'!$N$10,IF(T360="DUCT",'Catalogue Aluminium'!$N$11,IF(T360="TRENCH",'Catalogue Aluminium'!$N$12,"NA"))))</f>
        <v>NA</v>
      </c>
      <c r="AL360" s="344" t="str">
        <f>IF(T360="Air",(IF(U360="1C",'Catalogue Aluminium'!$O$9,'Catalogue Aluminium'!$P$9)),IF(T360="DUCT",(IF($U360="1C",'Catalogue Aluminium'!$O$10,'Catalogue Aluminium'!$P$10)),IF(T360="GROUND",(IF($U360="1C",'Catalogue Aluminium'!$O$11,'Catalogue Aluminium'!$P$11)),IF(T360="TRENCH",(IF($U360="1C",'Catalogue Aluminium'!$O$12,'Catalogue Aluminium'!$P$12))))))</f>
        <v>NA</v>
      </c>
      <c r="AM360" s="344" t="str">
        <f>IF(T360="AIR","NA",IF(T360="TRENCH","NA",IF(T360="DUCT",IF(U360="1C",VLOOKUP(V360,'Catalogue Aluminium'!$Q$9:$S$28,2,FALSE),VLOOKUP(V360,'Catalogue Aluminium'!$Q$9:$S$28,3)),IF(T360="GROUND",IF(U360="1C",VLOOKUP(V360,'Catalogue Aluminium'!$Q$9:$S$28,2,FALSE),VLOOKUP(V360,'Catalogue Aluminium'!$Q$9:$S$28,3))))))</f>
        <v>NA</v>
      </c>
      <c r="AN360" s="351">
        <f t="shared" si="2498"/>
        <v>0.58740000000000003</v>
      </c>
      <c r="AO360" s="350">
        <f t="shared" si="2499"/>
        <v>22.321200000000001</v>
      </c>
      <c r="AP360" s="349">
        <f t="shared" si="2500"/>
        <v>1</v>
      </c>
      <c r="AQ360" s="350" t="str">
        <f t="shared" si="2501"/>
        <v>YES</v>
      </c>
      <c r="AR360" s="351">
        <f t="shared" si="2502"/>
        <v>1.0182076708994654</v>
      </c>
      <c r="AS360" s="343" t="str">
        <f t="shared" si="2503"/>
        <v>YES</v>
      </c>
      <c r="AT360" s="351" t="str">
        <f t="shared" si="2504"/>
        <v>NA</v>
      </c>
      <c r="AU360" s="343" t="str">
        <f t="shared" si="2505"/>
        <v>NA</v>
      </c>
      <c r="AV360" s="354" t="str">
        <f t="shared" si="2506"/>
        <v>1R x 0.6/1kV x 4C x 4 Sqmm</v>
      </c>
      <c r="AW360" s="354" t="str">
        <f t="shared" si="2507"/>
        <v>1R x 0.6/1kV x 4C x 4 Sqmm</v>
      </c>
      <c r="AX360" s="343">
        <f t="shared" si="2508"/>
        <v>52</v>
      </c>
      <c r="AY360" s="355"/>
      <c r="AZ360" s="355">
        <f t="shared" si="2509"/>
        <v>2</v>
      </c>
      <c r="BA360" s="356" t="str">
        <f t="shared" si="2510"/>
        <v/>
      </c>
      <c r="BB360" s="501">
        <f>VLOOKUP(W360,'Catalogue Aluminium'!$B$9:$H$93,7,FALSE)</f>
        <v>16</v>
      </c>
      <c r="BC360" s="328">
        <f t="shared" si="2511"/>
        <v>16</v>
      </c>
      <c r="BE360" s="336"/>
      <c r="BF360" s="336"/>
      <c r="BG360" s="336"/>
      <c r="BH360" s="336"/>
      <c r="BI360" s="336"/>
      <c r="BJ360" s="336"/>
      <c r="BK360" s="336"/>
      <c r="BL360" s="336"/>
      <c r="BM360" s="336"/>
      <c r="BN360" s="336"/>
      <c r="BO360" s="336"/>
      <c r="BP360" s="336"/>
      <c r="BQ360" s="336"/>
      <c r="BR360" s="336"/>
      <c r="BS360" s="336"/>
      <c r="BT360" s="336"/>
      <c r="BU360" s="336"/>
      <c r="BV360" s="336"/>
      <c r="BW360" s="336"/>
      <c r="BX360" s="336"/>
      <c r="BY360" s="336"/>
      <c r="BZ360" s="336"/>
      <c r="CA360" s="336"/>
      <c r="CB360" s="336"/>
      <c r="CC360" s="336"/>
      <c r="CD360" s="336"/>
      <c r="CE360" s="336"/>
      <c r="CF360" s="336"/>
      <c r="CG360" s="336"/>
      <c r="CH360" s="336"/>
      <c r="CI360" s="336"/>
      <c r="CJ360" s="336"/>
      <c r="CK360" s="336"/>
      <c r="CL360" s="336"/>
      <c r="CM360" s="336"/>
      <c r="CN360" s="336"/>
      <c r="CO360" s="336"/>
      <c r="CP360" s="336"/>
      <c r="CQ360" s="336"/>
      <c r="CR360" s="336"/>
      <c r="CS360" s="336"/>
      <c r="CT360" s="336"/>
      <c r="CU360" s="336"/>
      <c r="CV360" s="336"/>
      <c r="CW360" s="336"/>
      <c r="CX360" s="336"/>
      <c r="CY360" s="336"/>
      <c r="CZ360" s="336"/>
      <c r="DA360" s="336"/>
      <c r="DB360" s="336"/>
      <c r="DC360" s="336"/>
      <c r="DD360" s="336"/>
      <c r="DE360" s="336"/>
      <c r="DF360" s="336"/>
      <c r="DG360" s="336"/>
      <c r="DH360" s="336"/>
      <c r="DI360" s="336"/>
      <c r="DJ360" s="336"/>
      <c r="DK360" s="336"/>
      <c r="DL360" s="336"/>
      <c r="DM360" s="336"/>
      <c r="DN360" s="336"/>
      <c r="DO360" s="336"/>
      <c r="DP360" s="336"/>
      <c r="DQ360" s="336"/>
      <c r="DR360" s="336"/>
      <c r="DS360" s="336"/>
      <c r="DT360" s="336"/>
      <c r="DU360" s="336"/>
      <c r="DW360" s="336">
        <f t="shared" si="2108"/>
        <v>0</v>
      </c>
      <c r="DX360" s="336">
        <f t="shared" si="2102"/>
        <v>0</v>
      </c>
      <c r="DY360" s="336">
        <f t="shared" si="2103"/>
        <v>0</v>
      </c>
      <c r="DZ360" s="336">
        <f t="shared" si="2104"/>
        <v>0</v>
      </c>
      <c r="EA360" s="336">
        <f t="shared" si="2105"/>
        <v>0</v>
      </c>
      <c r="EB360" s="336">
        <f t="shared" si="2106"/>
        <v>0</v>
      </c>
      <c r="EC360" s="336">
        <f t="shared" si="2107"/>
        <v>0</v>
      </c>
      <c r="ED360" s="336">
        <f t="shared" si="2019"/>
        <v>0</v>
      </c>
      <c r="EE360" s="336">
        <f t="shared" si="2020"/>
        <v>0</v>
      </c>
      <c r="EF360" s="336">
        <f t="shared" si="2021"/>
        <v>0</v>
      </c>
      <c r="EG360" s="336">
        <f t="shared" si="2022"/>
        <v>0</v>
      </c>
      <c r="EH360" s="336">
        <f t="shared" si="2023"/>
        <v>0</v>
      </c>
      <c r="EI360" s="336">
        <f t="shared" si="2024"/>
        <v>0</v>
      </c>
      <c r="EJ360" s="336">
        <f t="shared" si="2025"/>
        <v>0</v>
      </c>
      <c r="EK360" s="336">
        <f t="shared" si="2026"/>
        <v>0</v>
      </c>
      <c r="EL360" s="336">
        <f t="shared" si="2027"/>
        <v>0</v>
      </c>
      <c r="EM360" s="336">
        <f t="shared" si="2028"/>
        <v>0</v>
      </c>
      <c r="EN360" s="336">
        <f t="shared" si="2029"/>
        <v>0</v>
      </c>
      <c r="EO360" s="336">
        <f t="shared" si="2030"/>
        <v>0</v>
      </c>
      <c r="EP360" s="336">
        <f t="shared" si="2031"/>
        <v>0</v>
      </c>
      <c r="EQ360" s="336">
        <f t="shared" si="2032"/>
        <v>0</v>
      </c>
      <c r="ER360" s="336">
        <f t="shared" si="2033"/>
        <v>0</v>
      </c>
      <c r="ES360" s="336">
        <f t="shared" si="2034"/>
        <v>0</v>
      </c>
      <c r="ET360" s="336">
        <f t="shared" si="2034"/>
        <v>0</v>
      </c>
      <c r="EU360" s="336">
        <f t="shared" si="2035"/>
        <v>0</v>
      </c>
      <c r="EV360" s="336">
        <f t="shared" si="2036"/>
        <v>0</v>
      </c>
      <c r="EW360" s="336">
        <f t="shared" si="2037"/>
        <v>0</v>
      </c>
      <c r="EX360" s="336">
        <f t="shared" si="2038"/>
        <v>0</v>
      </c>
      <c r="EY360" s="336">
        <f t="shared" si="2039"/>
        <v>0</v>
      </c>
      <c r="EZ360" s="336">
        <f t="shared" si="2040"/>
        <v>0</v>
      </c>
      <c r="FA360" s="336">
        <f t="shared" si="2041"/>
        <v>0</v>
      </c>
      <c r="FB360" s="336">
        <f t="shared" si="2042"/>
        <v>0</v>
      </c>
      <c r="FC360" s="336">
        <f t="shared" si="2043"/>
        <v>0</v>
      </c>
      <c r="FD360" s="336">
        <f t="shared" si="2044"/>
        <v>0</v>
      </c>
      <c r="FE360" s="336">
        <f t="shared" si="2045"/>
        <v>0</v>
      </c>
      <c r="FF360" s="336">
        <f t="shared" si="2046"/>
        <v>0</v>
      </c>
      <c r="FG360" s="336">
        <f t="shared" si="2047"/>
        <v>0</v>
      </c>
      <c r="FH360" s="336">
        <f t="shared" si="2048"/>
        <v>0</v>
      </c>
      <c r="FI360" s="336">
        <f t="shared" si="2049"/>
        <v>0</v>
      </c>
      <c r="FJ360" s="336">
        <f t="shared" si="2050"/>
        <v>0</v>
      </c>
      <c r="FK360" s="336">
        <f t="shared" si="2051"/>
        <v>0</v>
      </c>
      <c r="FL360" s="336">
        <f t="shared" si="2052"/>
        <v>0</v>
      </c>
      <c r="FM360" s="336">
        <f t="shared" si="2053"/>
        <v>0</v>
      </c>
      <c r="FN360" s="336">
        <f t="shared" si="2054"/>
        <v>0</v>
      </c>
      <c r="FO360" s="336">
        <f t="shared" si="2055"/>
        <v>0</v>
      </c>
      <c r="FP360" s="336">
        <f t="shared" si="2056"/>
        <v>0</v>
      </c>
      <c r="FQ360" s="336">
        <f t="shared" si="2057"/>
        <v>0</v>
      </c>
      <c r="FR360" s="336">
        <f t="shared" si="2058"/>
        <v>0</v>
      </c>
      <c r="FS360" s="336">
        <f t="shared" si="2059"/>
        <v>0</v>
      </c>
      <c r="FT360" s="336">
        <f t="shared" si="2060"/>
        <v>0</v>
      </c>
      <c r="FU360" s="336">
        <f t="shared" si="2262"/>
        <v>0</v>
      </c>
      <c r="FV360" s="336">
        <f t="shared" si="2263"/>
        <v>0</v>
      </c>
      <c r="FW360" s="336">
        <f t="shared" si="2264"/>
        <v>0</v>
      </c>
      <c r="FX360" s="336">
        <f t="shared" si="2265"/>
        <v>0</v>
      </c>
      <c r="FY360" s="336">
        <f t="shared" si="2061"/>
        <v>0</v>
      </c>
      <c r="FZ360" s="336">
        <f t="shared" si="2062"/>
        <v>0</v>
      </c>
      <c r="GA360" s="336">
        <f t="shared" si="2063"/>
        <v>0</v>
      </c>
      <c r="GB360" s="336">
        <f t="shared" si="2064"/>
        <v>0</v>
      </c>
      <c r="GC360" s="336">
        <f t="shared" si="2065"/>
        <v>0</v>
      </c>
      <c r="GD360" s="336">
        <f t="shared" si="2066"/>
        <v>0</v>
      </c>
      <c r="GE360" s="336">
        <f t="shared" si="2067"/>
        <v>0</v>
      </c>
      <c r="GF360" s="336">
        <f t="shared" si="2068"/>
        <v>0</v>
      </c>
      <c r="GG360" s="336">
        <f t="shared" si="2069"/>
        <v>0</v>
      </c>
      <c r="GH360" s="336">
        <f t="shared" si="2070"/>
        <v>0</v>
      </c>
      <c r="GI360" s="336">
        <f t="shared" si="2071"/>
        <v>0</v>
      </c>
      <c r="GJ360" s="336">
        <f t="shared" si="2072"/>
        <v>0</v>
      </c>
      <c r="GK360" s="336">
        <f t="shared" si="2513"/>
        <v>0</v>
      </c>
      <c r="GL360" s="336">
        <f t="shared" si="2514"/>
        <v>0</v>
      </c>
      <c r="GM360" s="336">
        <f t="shared" si="2073"/>
        <v>0</v>
      </c>
    </row>
    <row r="361" spans="1:195" ht="25.5">
      <c r="A361" s="337">
        <f t="shared" si="2488"/>
        <v>235</v>
      </c>
      <c r="B361" s="526" t="s">
        <v>778</v>
      </c>
      <c r="C361" s="337" t="str">
        <f t="shared" si="2489"/>
        <v>ACDB-1</v>
      </c>
      <c r="D361" s="372" t="s">
        <v>788</v>
      </c>
      <c r="E361" s="500" t="s">
        <v>608</v>
      </c>
      <c r="F361" s="570"/>
      <c r="G361" s="337" t="s">
        <v>329</v>
      </c>
      <c r="H361" s="350">
        <v>5</v>
      </c>
      <c r="I361" s="337" t="s">
        <v>330</v>
      </c>
      <c r="J361" s="337" t="s">
        <v>331</v>
      </c>
      <c r="K361" s="349">
        <v>400</v>
      </c>
      <c r="L361" s="343">
        <v>0.84999999999999987</v>
      </c>
      <c r="M361" s="350">
        <v>0.95099999999999985</v>
      </c>
      <c r="N361" s="342">
        <f t="shared" si="2490"/>
        <v>8.9281747625212677</v>
      </c>
      <c r="O361" s="342">
        <f t="shared" si="2491"/>
        <v>0</v>
      </c>
      <c r="P361" s="343" t="str">
        <f t="shared" si="2492"/>
        <v>0.00</v>
      </c>
      <c r="Q361" s="350">
        <v>50</v>
      </c>
      <c r="R361" s="350">
        <v>0</v>
      </c>
      <c r="S361" s="350">
        <f t="shared" si="2493"/>
        <v>0</v>
      </c>
      <c r="T361" s="343" t="s">
        <v>131</v>
      </c>
      <c r="U361" s="350" t="s">
        <v>522</v>
      </c>
      <c r="V361" s="343">
        <v>4</v>
      </c>
      <c r="W361" s="343" t="str">
        <f t="shared" si="2494"/>
        <v>4C X 4</v>
      </c>
      <c r="X361" s="343" t="str">
        <f t="shared" si="2495"/>
        <v>4C X 4</v>
      </c>
      <c r="Y361" s="343" t="s">
        <v>358</v>
      </c>
      <c r="Z361" s="344">
        <f>IF(T361="AIR",VLOOKUP(W361,'Catalogue Aluminium'!$B$9:$G$93,2,FALSE),IF(T361="GROUND",VLOOKUP(W361,'Catalogue Aluminium'!$B$9:$G$93,3,FALSE),IF(T361="DUCT",VLOOKUP(W361,'Catalogue Aluminium'!$B$9:$G$93,4,FALSE),IF(T361="TRENCH",VLOOKUP(W361,'Catalogue Aluminium'!$B$9:$G$93,2,FALSE)))))</f>
        <v>38</v>
      </c>
      <c r="AA361" s="345">
        <f>VLOOKUP(W361,'Catalogue Aluminium'!$B$9:$G$93,5,FALSE)</f>
        <v>5.9</v>
      </c>
      <c r="AB361" s="345">
        <f>VLOOKUP(W361,'Catalogue Aluminium'!$B$9:$G$93,6,FALSE)</f>
        <v>9.4700000000000006E-2</v>
      </c>
      <c r="AC361" s="457">
        <f>11+30</f>
        <v>41</v>
      </c>
      <c r="AD361" s="457">
        <v>0</v>
      </c>
      <c r="AE361" s="401">
        <v>5</v>
      </c>
      <c r="AF361" s="401">
        <v>8</v>
      </c>
      <c r="AG361" s="401">
        <f t="shared" si="2496"/>
        <v>6</v>
      </c>
      <c r="AH361" s="347">
        <f t="shared" si="2497"/>
        <v>60</v>
      </c>
      <c r="AI361" s="344">
        <f>IF(T361="AIR",'Catalogue Aluminium'!$K$9,IF(T361="TRENCH",'Catalogue Aluminium'!$K$12,"NA"))</f>
        <v>0.89</v>
      </c>
      <c r="AJ361" s="342">
        <f>IF(T361="Air",(IF(U361="1C",'Catalogue Aluminium'!$L$9,'Catalogue Aluminium'!$M$9)),IF(T361="DUCT",(IF($U361="1C",'Catalogue Aluminium'!$L$10,'Catalogue Aluminium'!$M$10)),IF(T361="GROUND",(IF($U361="1C",'Catalogue Aluminium'!$L$11,'Catalogue Aluminium'!$M$11)),IF(T361="TRENCH",(IF($U361="1C",'Catalogue Aluminium'!$L$12,'Catalogue Aluminium'!$M$12))))))</f>
        <v>0.66</v>
      </c>
      <c r="AK361" s="344" t="str">
        <f>IF(T361="Air",'Catalogue Aluminium'!$N$9,IF(T361="GROUND",'Catalogue Aluminium'!$N$10,IF(T361="DUCT",'Catalogue Aluminium'!$N$11,IF(T361="TRENCH",'Catalogue Aluminium'!$N$12,"NA"))))</f>
        <v>NA</v>
      </c>
      <c r="AL361" s="344" t="str">
        <f>IF(T361="Air",(IF(U361="1C",'Catalogue Aluminium'!$O$9,'Catalogue Aluminium'!$P$9)),IF(T361="DUCT",(IF($U361="1C",'Catalogue Aluminium'!$O$10,'Catalogue Aluminium'!$P$10)),IF(T361="GROUND",(IF($U361="1C",'Catalogue Aluminium'!$O$11,'Catalogue Aluminium'!$P$11)),IF(T361="TRENCH",(IF($U361="1C",'Catalogue Aluminium'!$O$12,'Catalogue Aluminium'!$P$12))))))</f>
        <v>NA</v>
      </c>
      <c r="AM361" s="344" t="str">
        <f>IF(T361="AIR","NA",IF(T361="TRENCH","NA",IF(T361="DUCT",IF(U361="1C",VLOOKUP(V361,'Catalogue Aluminium'!$Q$9:$S$28,2,FALSE),VLOOKUP(V361,'Catalogue Aluminium'!$Q$9:$S$28,3)),IF(T361="GROUND",IF(U361="1C",VLOOKUP(V361,'Catalogue Aluminium'!$Q$9:$S$28,2,FALSE),VLOOKUP(V361,'Catalogue Aluminium'!$Q$9:$S$28,3))))))</f>
        <v>NA</v>
      </c>
      <c r="AN361" s="351">
        <f t="shared" si="2498"/>
        <v>0.58740000000000003</v>
      </c>
      <c r="AO361" s="350">
        <f t="shared" si="2499"/>
        <v>22.321200000000001</v>
      </c>
      <c r="AP361" s="349">
        <f t="shared" si="2500"/>
        <v>1</v>
      </c>
      <c r="AQ361" s="350" t="str">
        <f t="shared" si="2501"/>
        <v>YES</v>
      </c>
      <c r="AR361" s="351">
        <f t="shared" si="2502"/>
        <v>1.1748550048839983</v>
      </c>
      <c r="AS361" s="343" t="str">
        <f t="shared" si="2503"/>
        <v>YES</v>
      </c>
      <c r="AT361" s="351" t="str">
        <f t="shared" si="2504"/>
        <v>NA</v>
      </c>
      <c r="AU361" s="343" t="str">
        <f t="shared" si="2505"/>
        <v>NA</v>
      </c>
      <c r="AV361" s="354" t="str">
        <f t="shared" si="2506"/>
        <v>1R x 0.6/1kV x 4C x 4 Sqmm</v>
      </c>
      <c r="AW361" s="354" t="str">
        <f t="shared" si="2507"/>
        <v>1R x 0.6/1kV x 4C x 4 Sqmm</v>
      </c>
      <c r="AX361" s="343">
        <f t="shared" si="2508"/>
        <v>60</v>
      </c>
      <c r="AY361" s="355"/>
      <c r="AZ361" s="355">
        <f t="shared" si="2509"/>
        <v>2</v>
      </c>
      <c r="BA361" s="356" t="str">
        <f t="shared" si="2510"/>
        <v/>
      </c>
      <c r="BB361" s="501">
        <f>VLOOKUP(W361,'Catalogue Aluminium'!$B$9:$H$93,7,FALSE)</f>
        <v>16</v>
      </c>
      <c r="BC361" s="328">
        <f t="shared" si="2511"/>
        <v>16</v>
      </c>
      <c r="BE361" s="336"/>
      <c r="BF361" s="336"/>
      <c r="BG361" s="336"/>
      <c r="BH361" s="336"/>
      <c r="BI361" s="336"/>
      <c r="BJ361" s="336"/>
      <c r="BK361" s="336"/>
      <c r="BL361" s="336"/>
      <c r="BM361" s="336"/>
      <c r="BN361" s="336"/>
      <c r="BO361" s="336"/>
      <c r="BP361" s="336"/>
      <c r="BQ361" s="336"/>
      <c r="BR361" s="336"/>
      <c r="BS361" s="336"/>
      <c r="BT361" s="336"/>
      <c r="BU361" s="336"/>
      <c r="BV361" s="336"/>
      <c r="BW361" s="336"/>
      <c r="BX361" s="336"/>
      <c r="BY361" s="336"/>
      <c r="BZ361" s="336"/>
      <c r="CA361" s="336"/>
      <c r="CB361" s="336"/>
      <c r="CC361" s="336"/>
      <c r="CD361" s="336"/>
      <c r="CE361" s="336"/>
      <c r="CF361" s="336"/>
      <c r="CG361" s="336"/>
      <c r="CH361" s="336"/>
      <c r="CI361" s="336"/>
      <c r="CJ361" s="336"/>
      <c r="CK361" s="336"/>
      <c r="CL361" s="336"/>
      <c r="CM361" s="336"/>
      <c r="CN361" s="336"/>
      <c r="CO361" s="336"/>
      <c r="CP361" s="336"/>
      <c r="CQ361" s="336"/>
      <c r="CR361" s="336"/>
      <c r="CS361" s="336"/>
      <c r="CT361" s="336"/>
      <c r="CU361" s="336"/>
      <c r="CV361" s="336"/>
      <c r="CW361" s="336"/>
      <c r="CX361" s="336"/>
      <c r="CY361" s="336"/>
      <c r="CZ361" s="336"/>
      <c r="DA361" s="336"/>
      <c r="DB361" s="336"/>
      <c r="DC361" s="336"/>
      <c r="DD361" s="336"/>
      <c r="DE361" s="336"/>
      <c r="DF361" s="336"/>
      <c r="DG361" s="336"/>
      <c r="DH361" s="336"/>
      <c r="DI361" s="336"/>
      <c r="DJ361" s="336"/>
      <c r="DK361" s="336"/>
      <c r="DL361" s="336"/>
      <c r="DM361" s="336"/>
      <c r="DN361" s="336"/>
      <c r="DO361" s="336"/>
      <c r="DP361" s="336"/>
      <c r="DQ361" s="336"/>
      <c r="DR361" s="336"/>
      <c r="DS361" s="336"/>
      <c r="DT361" s="336"/>
      <c r="DU361" s="336"/>
      <c r="DW361" s="336">
        <f t="shared" si="2108"/>
        <v>0</v>
      </c>
      <c r="DX361" s="336">
        <f t="shared" si="2102"/>
        <v>0</v>
      </c>
      <c r="DY361" s="336">
        <f t="shared" si="2103"/>
        <v>0</v>
      </c>
      <c r="DZ361" s="336">
        <f t="shared" si="2104"/>
        <v>0</v>
      </c>
      <c r="EA361" s="336">
        <f t="shared" si="2105"/>
        <v>0</v>
      </c>
      <c r="EB361" s="336">
        <f t="shared" si="2106"/>
        <v>0</v>
      </c>
      <c r="EC361" s="336">
        <f t="shared" si="2107"/>
        <v>0</v>
      </c>
      <c r="ED361" s="336">
        <f t="shared" si="2019"/>
        <v>0</v>
      </c>
      <c r="EE361" s="336">
        <f t="shared" si="2020"/>
        <v>0</v>
      </c>
      <c r="EF361" s="336">
        <f t="shared" si="2021"/>
        <v>0</v>
      </c>
      <c r="EG361" s="336">
        <f t="shared" si="2022"/>
        <v>0</v>
      </c>
      <c r="EH361" s="336">
        <f t="shared" si="2023"/>
        <v>0</v>
      </c>
      <c r="EI361" s="336">
        <f t="shared" si="2024"/>
        <v>0</v>
      </c>
      <c r="EJ361" s="336">
        <f t="shared" si="2025"/>
        <v>0</v>
      </c>
      <c r="EK361" s="336">
        <f t="shared" si="2026"/>
        <v>0</v>
      </c>
      <c r="EL361" s="336">
        <f t="shared" si="2027"/>
        <v>0</v>
      </c>
      <c r="EM361" s="336">
        <f t="shared" si="2028"/>
        <v>0</v>
      </c>
      <c r="EN361" s="336">
        <f t="shared" si="2029"/>
        <v>0</v>
      </c>
      <c r="EO361" s="336">
        <f t="shared" si="2030"/>
        <v>0</v>
      </c>
      <c r="EP361" s="336">
        <f t="shared" si="2031"/>
        <v>0</v>
      </c>
      <c r="EQ361" s="336">
        <f t="shared" si="2032"/>
        <v>0</v>
      </c>
      <c r="ER361" s="336">
        <f t="shared" si="2033"/>
        <v>0</v>
      </c>
      <c r="ES361" s="336">
        <f t="shared" si="2034"/>
        <v>0</v>
      </c>
      <c r="ET361" s="336">
        <f t="shared" si="2034"/>
        <v>0</v>
      </c>
      <c r="EU361" s="336">
        <f t="shared" si="2035"/>
        <v>0</v>
      </c>
      <c r="EV361" s="336">
        <f t="shared" si="2036"/>
        <v>0</v>
      </c>
      <c r="EW361" s="336">
        <f t="shared" si="2037"/>
        <v>0</v>
      </c>
      <c r="EX361" s="336">
        <f t="shared" si="2038"/>
        <v>0</v>
      </c>
      <c r="EY361" s="336">
        <f t="shared" si="2039"/>
        <v>0</v>
      </c>
      <c r="EZ361" s="336">
        <f t="shared" si="2040"/>
        <v>0</v>
      </c>
      <c r="FA361" s="336">
        <f t="shared" si="2041"/>
        <v>0</v>
      </c>
      <c r="FB361" s="336">
        <f t="shared" si="2042"/>
        <v>0</v>
      </c>
      <c r="FC361" s="336">
        <f t="shared" si="2043"/>
        <v>0</v>
      </c>
      <c r="FD361" s="336">
        <f t="shared" si="2044"/>
        <v>0</v>
      </c>
      <c r="FE361" s="336">
        <f t="shared" si="2045"/>
        <v>0</v>
      </c>
      <c r="FF361" s="336">
        <f t="shared" si="2046"/>
        <v>0</v>
      </c>
      <c r="FG361" s="336">
        <f t="shared" si="2047"/>
        <v>0</v>
      </c>
      <c r="FH361" s="336">
        <f t="shared" si="2048"/>
        <v>0</v>
      </c>
      <c r="FI361" s="336">
        <f t="shared" si="2049"/>
        <v>0</v>
      </c>
      <c r="FJ361" s="336">
        <f t="shared" si="2050"/>
        <v>0</v>
      </c>
      <c r="FK361" s="336">
        <f t="shared" si="2051"/>
        <v>0</v>
      </c>
      <c r="FL361" s="336">
        <f t="shared" si="2052"/>
        <v>0</v>
      </c>
      <c r="FM361" s="336">
        <f t="shared" si="2053"/>
        <v>0</v>
      </c>
      <c r="FN361" s="336">
        <f t="shared" si="2054"/>
        <v>0</v>
      </c>
      <c r="FO361" s="336">
        <f t="shared" si="2055"/>
        <v>0</v>
      </c>
      <c r="FP361" s="336">
        <f t="shared" si="2056"/>
        <v>0</v>
      </c>
      <c r="FQ361" s="336">
        <f t="shared" si="2057"/>
        <v>0</v>
      </c>
      <c r="FR361" s="336">
        <f t="shared" si="2058"/>
        <v>0</v>
      </c>
      <c r="FS361" s="336">
        <f t="shared" si="2059"/>
        <v>0</v>
      </c>
      <c r="FT361" s="336">
        <f t="shared" si="2060"/>
        <v>0</v>
      </c>
      <c r="FU361" s="336">
        <f t="shared" si="2262"/>
        <v>0</v>
      </c>
      <c r="FV361" s="336">
        <f t="shared" si="2263"/>
        <v>0</v>
      </c>
      <c r="FW361" s="336">
        <f t="shared" si="2264"/>
        <v>0</v>
      </c>
      <c r="FX361" s="336">
        <f t="shared" si="2265"/>
        <v>0</v>
      </c>
      <c r="FY361" s="336">
        <f t="shared" si="2061"/>
        <v>0</v>
      </c>
      <c r="FZ361" s="336">
        <f t="shared" si="2062"/>
        <v>0</v>
      </c>
      <c r="GA361" s="336">
        <f t="shared" si="2063"/>
        <v>0</v>
      </c>
      <c r="GB361" s="336">
        <f t="shared" si="2064"/>
        <v>0</v>
      </c>
      <c r="GC361" s="336">
        <f t="shared" si="2065"/>
        <v>0</v>
      </c>
      <c r="GD361" s="336">
        <f t="shared" si="2066"/>
        <v>0</v>
      </c>
      <c r="GE361" s="336">
        <f t="shared" si="2067"/>
        <v>0</v>
      </c>
      <c r="GF361" s="336">
        <f t="shared" si="2068"/>
        <v>0</v>
      </c>
      <c r="GG361" s="336">
        <f t="shared" si="2069"/>
        <v>0</v>
      </c>
      <c r="GH361" s="336">
        <f t="shared" si="2070"/>
        <v>0</v>
      </c>
      <c r="GI361" s="336">
        <f t="shared" si="2071"/>
        <v>0</v>
      </c>
      <c r="GJ361" s="336">
        <f t="shared" si="2072"/>
        <v>0</v>
      </c>
      <c r="GK361" s="336">
        <f t="shared" si="2513"/>
        <v>0</v>
      </c>
      <c r="GL361" s="336">
        <f t="shared" si="2514"/>
        <v>0</v>
      </c>
      <c r="GM361" s="336">
        <f t="shared" si="2073"/>
        <v>0</v>
      </c>
    </row>
    <row r="362" spans="1:195">
      <c r="A362" s="337">
        <f t="shared" si="2488"/>
        <v>236</v>
      </c>
      <c r="B362" s="526" t="s">
        <v>628</v>
      </c>
      <c r="C362" s="337" t="str">
        <f t="shared" si="2489"/>
        <v>ACDB-1</v>
      </c>
      <c r="D362" s="372" t="s">
        <v>789</v>
      </c>
      <c r="E362" s="500" t="s">
        <v>608</v>
      </c>
      <c r="F362" s="570"/>
      <c r="G362" s="337" t="s">
        <v>329</v>
      </c>
      <c r="H362" s="350">
        <v>5</v>
      </c>
      <c r="I362" s="337" t="s">
        <v>330</v>
      </c>
      <c r="J362" s="337" t="s">
        <v>331</v>
      </c>
      <c r="K362" s="349">
        <v>400</v>
      </c>
      <c r="L362" s="343">
        <v>0.84999999999999987</v>
      </c>
      <c r="M362" s="350">
        <v>0.95099999999999985</v>
      </c>
      <c r="N362" s="342">
        <f t="shared" si="2490"/>
        <v>8.9281747625212677</v>
      </c>
      <c r="O362" s="342">
        <f t="shared" si="2491"/>
        <v>0</v>
      </c>
      <c r="P362" s="343" t="str">
        <f t="shared" si="2492"/>
        <v>0.00</v>
      </c>
      <c r="Q362" s="350">
        <v>50</v>
      </c>
      <c r="R362" s="350">
        <v>0</v>
      </c>
      <c r="S362" s="350">
        <f t="shared" si="2493"/>
        <v>0</v>
      </c>
      <c r="T362" s="343" t="s">
        <v>131</v>
      </c>
      <c r="U362" s="350" t="s">
        <v>522</v>
      </c>
      <c r="V362" s="343">
        <v>4</v>
      </c>
      <c r="W362" s="343" t="str">
        <f t="shared" si="2494"/>
        <v>4C X 4</v>
      </c>
      <c r="X362" s="343" t="str">
        <f t="shared" si="2495"/>
        <v>4C X 4</v>
      </c>
      <c r="Y362" s="343" t="s">
        <v>358</v>
      </c>
      <c r="Z362" s="344">
        <f>IF(T362="AIR",VLOOKUP(W362,'Catalogue Aluminium'!$B$9:$G$93,2,FALSE),IF(T362="GROUND",VLOOKUP(W362,'Catalogue Aluminium'!$B$9:$G$93,3,FALSE),IF(T362="DUCT",VLOOKUP(W362,'Catalogue Aluminium'!$B$9:$G$93,4,FALSE),IF(T362="TRENCH",VLOOKUP(W362,'Catalogue Aluminium'!$B$9:$G$93,2,FALSE)))))</f>
        <v>38</v>
      </c>
      <c r="AA362" s="345">
        <f>VLOOKUP(W362,'Catalogue Aluminium'!$B$9:$G$93,5,FALSE)</f>
        <v>5.9</v>
      </c>
      <c r="AB362" s="345">
        <f>VLOOKUP(W362,'Catalogue Aluminium'!$B$9:$G$93,6,FALSE)</f>
        <v>9.4700000000000006E-2</v>
      </c>
      <c r="AC362" s="457">
        <f>4+5</f>
        <v>9</v>
      </c>
      <c r="AD362" s="457">
        <v>0</v>
      </c>
      <c r="AE362" s="401">
        <v>5</v>
      </c>
      <c r="AF362" s="401">
        <v>8</v>
      </c>
      <c r="AG362" s="401">
        <f t="shared" si="2496"/>
        <v>3</v>
      </c>
      <c r="AH362" s="347">
        <f t="shared" si="2497"/>
        <v>25</v>
      </c>
      <c r="AI362" s="344">
        <f>IF(T362="AIR",'Catalogue Aluminium'!$K$9,IF(T362="TRENCH",'Catalogue Aluminium'!$K$12,"NA"))</f>
        <v>0.89</v>
      </c>
      <c r="AJ362" s="342">
        <f>IF(T362="Air",(IF(U362="1C",'Catalogue Aluminium'!$L$9,'Catalogue Aluminium'!$M$9)),IF(T362="DUCT",(IF($U362="1C",'Catalogue Aluminium'!$L$10,'Catalogue Aluminium'!$M$10)),IF(T362="GROUND",(IF($U362="1C",'Catalogue Aluminium'!$L$11,'Catalogue Aluminium'!$M$11)),IF(T362="TRENCH",(IF($U362="1C",'Catalogue Aluminium'!$L$12,'Catalogue Aluminium'!$M$12))))))</f>
        <v>0.66</v>
      </c>
      <c r="AK362" s="344" t="str">
        <f>IF(T362="Air",'Catalogue Aluminium'!$N$9,IF(T362="GROUND",'Catalogue Aluminium'!$N$10,IF(T362="DUCT",'Catalogue Aluminium'!$N$11,IF(T362="TRENCH",'Catalogue Aluminium'!$N$12,"NA"))))</f>
        <v>NA</v>
      </c>
      <c r="AL362" s="344" t="str">
        <f>IF(T362="Air",(IF(U362="1C",'Catalogue Aluminium'!$O$9,'Catalogue Aluminium'!$P$9)),IF(T362="DUCT",(IF($U362="1C",'Catalogue Aluminium'!$O$10,'Catalogue Aluminium'!$P$10)),IF(T362="GROUND",(IF($U362="1C",'Catalogue Aluminium'!$O$11,'Catalogue Aluminium'!$P$11)),IF(T362="TRENCH",(IF($U362="1C",'Catalogue Aluminium'!$O$12,'Catalogue Aluminium'!$P$12))))))</f>
        <v>NA</v>
      </c>
      <c r="AM362" s="344" t="str">
        <f>IF(T362="AIR","NA",IF(T362="TRENCH","NA",IF(T362="DUCT",IF(U362="1C",VLOOKUP(V362,'Catalogue Aluminium'!$Q$9:$S$28,2,FALSE),VLOOKUP(V362,'Catalogue Aluminium'!$Q$9:$S$28,3)),IF(T362="GROUND",IF(U362="1C",VLOOKUP(V362,'Catalogue Aluminium'!$Q$9:$S$28,2,FALSE),VLOOKUP(V362,'Catalogue Aluminium'!$Q$9:$S$28,3))))))</f>
        <v>NA</v>
      </c>
      <c r="AN362" s="351">
        <f t="shared" si="2498"/>
        <v>0.58740000000000003</v>
      </c>
      <c r="AO362" s="350">
        <f t="shared" si="2499"/>
        <v>22.321200000000001</v>
      </c>
      <c r="AP362" s="349">
        <f t="shared" si="2500"/>
        <v>1</v>
      </c>
      <c r="AQ362" s="350" t="str">
        <f t="shared" si="2501"/>
        <v>YES</v>
      </c>
      <c r="AR362" s="351">
        <f t="shared" si="2502"/>
        <v>0.48952291870166598</v>
      </c>
      <c r="AS362" s="343" t="str">
        <f t="shared" si="2503"/>
        <v>YES</v>
      </c>
      <c r="AT362" s="351" t="str">
        <f t="shared" si="2504"/>
        <v>NA</v>
      </c>
      <c r="AU362" s="343" t="str">
        <f t="shared" si="2505"/>
        <v>NA</v>
      </c>
      <c r="AV362" s="354" t="str">
        <f t="shared" si="2506"/>
        <v>1R x 0.6/1kV x 4C x 4 Sqmm</v>
      </c>
      <c r="AW362" s="354" t="str">
        <f t="shared" si="2507"/>
        <v>1R x 0.6/1kV x 4C x 4 Sqmm</v>
      </c>
      <c r="AX362" s="343">
        <f t="shared" si="2508"/>
        <v>25</v>
      </c>
      <c r="AY362" s="355"/>
      <c r="AZ362" s="355">
        <f t="shared" si="2509"/>
        <v>2</v>
      </c>
      <c r="BA362" s="356" t="str">
        <f t="shared" si="2510"/>
        <v/>
      </c>
      <c r="BB362" s="501">
        <f>VLOOKUP(W362,'Catalogue Aluminium'!$B$9:$H$93,7,FALSE)</f>
        <v>16</v>
      </c>
      <c r="BC362" s="328">
        <f t="shared" si="2511"/>
        <v>16</v>
      </c>
      <c r="BE362" s="336"/>
      <c r="BF362" s="336"/>
      <c r="BG362" s="336"/>
      <c r="BH362" s="336"/>
      <c r="BI362" s="336"/>
      <c r="BJ362" s="336"/>
      <c r="BK362" s="336"/>
      <c r="BL362" s="336"/>
      <c r="BM362" s="336"/>
      <c r="BN362" s="336"/>
      <c r="BO362" s="336"/>
      <c r="BP362" s="336"/>
      <c r="BQ362" s="336"/>
      <c r="BR362" s="336"/>
      <c r="BS362" s="336"/>
      <c r="BT362" s="336"/>
      <c r="BU362" s="336"/>
      <c r="BV362" s="336"/>
      <c r="BW362" s="336"/>
      <c r="BX362" s="336"/>
      <c r="BY362" s="336"/>
      <c r="BZ362" s="336"/>
      <c r="CA362" s="336"/>
      <c r="CB362" s="336"/>
      <c r="CC362" s="336"/>
      <c r="CD362" s="336"/>
      <c r="CE362" s="336"/>
      <c r="CF362" s="336"/>
      <c r="CG362" s="336"/>
      <c r="CH362" s="336"/>
      <c r="CI362" s="336"/>
      <c r="CJ362" s="336"/>
      <c r="CK362" s="336"/>
      <c r="CL362" s="336"/>
      <c r="CM362" s="336"/>
      <c r="CN362" s="336"/>
      <c r="CO362" s="336"/>
      <c r="CP362" s="336"/>
      <c r="CQ362" s="336"/>
      <c r="CR362" s="336"/>
      <c r="CS362" s="336"/>
      <c r="CT362" s="336"/>
      <c r="CU362" s="336"/>
      <c r="CV362" s="336"/>
      <c r="CW362" s="336"/>
      <c r="CX362" s="336"/>
      <c r="CY362" s="336"/>
      <c r="CZ362" s="336"/>
      <c r="DA362" s="336"/>
      <c r="DB362" s="336"/>
      <c r="DC362" s="336"/>
      <c r="DD362" s="336"/>
      <c r="DE362" s="336"/>
      <c r="DF362" s="336"/>
      <c r="DG362" s="336"/>
      <c r="DH362" s="336"/>
      <c r="DI362" s="336"/>
      <c r="DJ362" s="336"/>
      <c r="DK362" s="336"/>
      <c r="DL362" s="336"/>
      <c r="DM362" s="336"/>
      <c r="DN362" s="336"/>
      <c r="DO362" s="336"/>
      <c r="DP362" s="336"/>
      <c r="DQ362" s="336"/>
      <c r="DR362" s="336"/>
      <c r="DS362" s="336"/>
      <c r="DT362" s="336"/>
      <c r="DU362" s="336"/>
      <c r="DW362" s="336">
        <f t="shared" si="2108"/>
        <v>0</v>
      </c>
      <c r="DX362" s="336">
        <f t="shared" si="2102"/>
        <v>0</v>
      </c>
      <c r="DY362" s="336">
        <f t="shared" si="2103"/>
        <v>0</v>
      </c>
      <c r="DZ362" s="336">
        <f t="shared" si="2104"/>
        <v>0</v>
      </c>
      <c r="EA362" s="336">
        <f t="shared" si="2105"/>
        <v>0</v>
      </c>
      <c r="EB362" s="336">
        <f t="shared" si="2106"/>
        <v>0</v>
      </c>
      <c r="EC362" s="336">
        <f t="shared" si="2107"/>
        <v>0</v>
      </c>
      <c r="ED362" s="336">
        <f t="shared" si="2019"/>
        <v>0</v>
      </c>
      <c r="EE362" s="336">
        <f t="shared" si="2020"/>
        <v>0</v>
      </c>
      <c r="EF362" s="336">
        <f t="shared" si="2021"/>
        <v>0</v>
      </c>
      <c r="EG362" s="336">
        <f t="shared" si="2022"/>
        <v>0</v>
      </c>
      <c r="EH362" s="336">
        <f t="shared" si="2023"/>
        <v>0</v>
      </c>
      <c r="EI362" s="336">
        <f t="shared" si="2024"/>
        <v>0</v>
      </c>
      <c r="EJ362" s="336">
        <f t="shared" si="2025"/>
        <v>0</v>
      </c>
      <c r="EK362" s="336">
        <f t="shared" si="2026"/>
        <v>0</v>
      </c>
      <c r="EL362" s="336">
        <f t="shared" si="2027"/>
        <v>0</v>
      </c>
      <c r="EM362" s="336">
        <f t="shared" si="2028"/>
        <v>0</v>
      </c>
      <c r="EN362" s="336">
        <f t="shared" si="2029"/>
        <v>0</v>
      </c>
      <c r="EO362" s="336">
        <f t="shared" si="2030"/>
        <v>0</v>
      </c>
      <c r="EP362" s="336">
        <f t="shared" si="2031"/>
        <v>0</v>
      </c>
      <c r="EQ362" s="336">
        <f t="shared" si="2032"/>
        <v>0</v>
      </c>
      <c r="ER362" s="336">
        <f t="shared" si="2033"/>
        <v>0</v>
      </c>
      <c r="ES362" s="336">
        <f t="shared" si="2034"/>
        <v>0</v>
      </c>
      <c r="ET362" s="336">
        <f t="shared" si="2034"/>
        <v>0</v>
      </c>
      <c r="EU362" s="336">
        <f t="shared" si="2035"/>
        <v>0</v>
      </c>
      <c r="EV362" s="336">
        <f t="shared" si="2036"/>
        <v>0</v>
      </c>
      <c r="EW362" s="336">
        <f t="shared" si="2037"/>
        <v>0</v>
      </c>
      <c r="EX362" s="336">
        <f t="shared" si="2038"/>
        <v>0</v>
      </c>
      <c r="EY362" s="336">
        <f t="shared" si="2039"/>
        <v>0</v>
      </c>
      <c r="EZ362" s="336">
        <f t="shared" si="2040"/>
        <v>0</v>
      </c>
      <c r="FA362" s="336">
        <f t="shared" si="2041"/>
        <v>0</v>
      </c>
      <c r="FB362" s="336">
        <f t="shared" si="2042"/>
        <v>0</v>
      </c>
      <c r="FC362" s="336">
        <f t="shared" si="2043"/>
        <v>0</v>
      </c>
      <c r="FD362" s="336">
        <f t="shared" si="2044"/>
        <v>0</v>
      </c>
      <c r="FE362" s="336">
        <f t="shared" si="2045"/>
        <v>0</v>
      </c>
      <c r="FF362" s="336">
        <f t="shared" si="2046"/>
        <v>0</v>
      </c>
      <c r="FG362" s="336">
        <f t="shared" si="2047"/>
        <v>0</v>
      </c>
      <c r="FH362" s="336">
        <f t="shared" si="2048"/>
        <v>0</v>
      </c>
      <c r="FI362" s="336">
        <f t="shared" si="2049"/>
        <v>0</v>
      </c>
      <c r="FJ362" s="336">
        <f t="shared" si="2050"/>
        <v>0</v>
      </c>
      <c r="FK362" s="336">
        <f t="shared" si="2051"/>
        <v>0</v>
      </c>
      <c r="FL362" s="336">
        <f t="shared" si="2052"/>
        <v>0</v>
      </c>
      <c r="FM362" s="336">
        <f t="shared" si="2053"/>
        <v>0</v>
      </c>
      <c r="FN362" s="336">
        <f t="shared" si="2054"/>
        <v>0</v>
      </c>
      <c r="FO362" s="336">
        <f t="shared" si="2055"/>
        <v>0</v>
      </c>
      <c r="FP362" s="336">
        <f t="shared" si="2056"/>
        <v>0</v>
      </c>
      <c r="FQ362" s="336">
        <f t="shared" si="2057"/>
        <v>0</v>
      </c>
      <c r="FR362" s="336">
        <f t="shared" si="2058"/>
        <v>0</v>
      </c>
      <c r="FS362" s="336">
        <f t="shared" si="2059"/>
        <v>0</v>
      </c>
      <c r="FT362" s="336">
        <f t="shared" si="2060"/>
        <v>0</v>
      </c>
      <c r="FU362" s="336">
        <f t="shared" si="2262"/>
        <v>0</v>
      </c>
      <c r="FV362" s="336">
        <f t="shared" si="2263"/>
        <v>0</v>
      </c>
      <c r="FW362" s="336">
        <f t="shared" si="2264"/>
        <v>0</v>
      </c>
      <c r="FX362" s="336">
        <f t="shared" si="2265"/>
        <v>0</v>
      </c>
      <c r="FY362" s="336">
        <f t="shared" si="2061"/>
        <v>0</v>
      </c>
      <c r="FZ362" s="336">
        <f t="shared" si="2062"/>
        <v>0</v>
      </c>
      <c r="GA362" s="336">
        <f t="shared" si="2063"/>
        <v>0</v>
      </c>
      <c r="GB362" s="336">
        <f t="shared" si="2064"/>
        <v>0</v>
      </c>
      <c r="GC362" s="336">
        <f t="shared" si="2065"/>
        <v>0</v>
      </c>
      <c r="GD362" s="336">
        <f t="shared" si="2066"/>
        <v>0</v>
      </c>
      <c r="GE362" s="336">
        <f t="shared" si="2067"/>
        <v>0</v>
      </c>
      <c r="GF362" s="336">
        <f t="shared" si="2068"/>
        <v>0</v>
      </c>
      <c r="GG362" s="336">
        <f t="shared" si="2069"/>
        <v>0</v>
      </c>
      <c r="GH362" s="336">
        <f t="shared" si="2070"/>
        <v>0</v>
      </c>
      <c r="GI362" s="336">
        <f t="shared" si="2071"/>
        <v>0</v>
      </c>
      <c r="GJ362" s="336">
        <f t="shared" si="2072"/>
        <v>0</v>
      </c>
      <c r="GK362" s="336">
        <f t="shared" si="2513"/>
        <v>0</v>
      </c>
      <c r="GL362" s="336">
        <f t="shared" si="2514"/>
        <v>0</v>
      </c>
      <c r="GM362" s="336">
        <f t="shared" si="2073"/>
        <v>0</v>
      </c>
    </row>
    <row r="363" spans="1:195">
      <c r="A363" s="337">
        <f t="shared" si="2488"/>
        <v>237</v>
      </c>
      <c r="B363" s="526" t="s">
        <v>628</v>
      </c>
      <c r="C363" s="337" t="str">
        <f t="shared" si="2489"/>
        <v>ACDB-1</v>
      </c>
      <c r="D363" s="372" t="s">
        <v>790</v>
      </c>
      <c r="E363" s="500" t="s">
        <v>608</v>
      </c>
      <c r="F363" s="570"/>
      <c r="G363" s="337" t="s">
        <v>329</v>
      </c>
      <c r="H363" s="350">
        <v>5</v>
      </c>
      <c r="I363" s="337" t="s">
        <v>330</v>
      </c>
      <c r="J363" s="337" t="s">
        <v>331</v>
      </c>
      <c r="K363" s="349">
        <v>400</v>
      </c>
      <c r="L363" s="343">
        <v>0.84999999999999987</v>
      </c>
      <c r="M363" s="350">
        <v>0.95099999999999985</v>
      </c>
      <c r="N363" s="342">
        <f t="shared" si="2490"/>
        <v>8.9281747625212677</v>
      </c>
      <c r="O363" s="342">
        <f t="shared" si="2491"/>
        <v>0</v>
      </c>
      <c r="P363" s="343" t="str">
        <f t="shared" si="2492"/>
        <v>0.00</v>
      </c>
      <c r="Q363" s="350">
        <v>50</v>
      </c>
      <c r="R363" s="350">
        <v>0</v>
      </c>
      <c r="S363" s="350">
        <f t="shared" si="2493"/>
        <v>0</v>
      </c>
      <c r="T363" s="343" t="s">
        <v>131</v>
      </c>
      <c r="U363" s="350" t="s">
        <v>522</v>
      </c>
      <c r="V363" s="343">
        <v>4</v>
      </c>
      <c r="W363" s="343" t="str">
        <f t="shared" si="2494"/>
        <v>4C X 4</v>
      </c>
      <c r="X363" s="343" t="str">
        <f t="shared" si="2495"/>
        <v>4C X 4</v>
      </c>
      <c r="Y363" s="343" t="s">
        <v>358</v>
      </c>
      <c r="Z363" s="344">
        <f>IF(T363="AIR",VLOOKUP(W363,'Catalogue Aluminium'!$B$9:$G$93,2,FALSE),IF(T363="GROUND",VLOOKUP(W363,'Catalogue Aluminium'!$B$9:$G$93,3,FALSE),IF(T363="DUCT",VLOOKUP(W363,'Catalogue Aluminium'!$B$9:$G$93,4,FALSE),IF(T363="TRENCH",VLOOKUP(W363,'Catalogue Aluminium'!$B$9:$G$93,2,FALSE)))))</f>
        <v>38</v>
      </c>
      <c r="AA363" s="345">
        <f>VLOOKUP(W363,'Catalogue Aluminium'!$B$9:$G$93,5,FALSE)</f>
        <v>5.9</v>
      </c>
      <c r="AB363" s="345">
        <f>VLOOKUP(W363,'Catalogue Aluminium'!$B$9:$G$93,6,FALSE)</f>
        <v>9.4700000000000006E-2</v>
      </c>
      <c r="AC363" s="457">
        <f>10+5</f>
        <v>15</v>
      </c>
      <c r="AD363" s="457">
        <v>0</v>
      </c>
      <c r="AE363" s="401">
        <v>5</v>
      </c>
      <c r="AF363" s="401">
        <v>8</v>
      </c>
      <c r="AG363" s="401">
        <f t="shared" si="2496"/>
        <v>3</v>
      </c>
      <c r="AH363" s="347">
        <f t="shared" si="2497"/>
        <v>31</v>
      </c>
      <c r="AI363" s="344">
        <f>IF(T363="AIR",'Catalogue Aluminium'!$K$9,IF(T363="TRENCH",'Catalogue Aluminium'!$K$12,"NA"))</f>
        <v>0.89</v>
      </c>
      <c r="AJ363" s="342">
        <f>IF(T363="Air",(IF(U363="1C",'Catalogue Aluminium'!$L$9,'Catalogue Aluminium'!$M$9)),IF(T363="DUCT",(IF($U363="1C",'Catalogue Aluminium'!$L$10,'Catalogue Aluminium'!$M$10)),IF(T363="GROUND",(IF($U363="1C",'Catalogue Aluminium'!$L$11,'Catalogue Aluminium'!$M$11)),IF(T363="TRENCH",(IF($U363="1C",'Catalogue Aluminium'!$L$12,'Catalogue Aluminium'!$M$12))))))</f>
        <v>0.66</v>
      </c>
      <c r="AK363" s="344" t="str">
        <f>IF(T363="Air",'Catalogue Aluminium'!$N$9,IF(T363="GROUND",'Catalogue Aluminium'!$N$10,IF(T363="DUCT",'Catalogue Aluminium'!$N$11,IF(T363="TRENCH",'Catalogue Aluminium'!$N$12,"NA"))))</f>
        <v>NA</v>
      </c>
      <c r="AL363" s="344" t="str">
        <f>IF(T363="Air",(IF(U363="1C",'Catalogue Aluminium'!$O$9,'Catalogue Aluminium'!$P$9)),IF(T363="DUCT",(IF($U363="1C",'Catalogue Aluminium'!$O$10,'Catalogue Aluminium'!$P$10)),IF(T363="GROUND",(IF($U363="1C",'Catalogue Aluminium'!$O$11,'Catalogue Aluminium'!$P$11)),IF(T363="TRENCH",(IF($U363="1C",'Catalogue Aluminium'!$O$12,'Catalogue Aluminium'!$P$12))))))</f>
        <v>NA</v>
      </c>
      <c r="AM363" s="344" t="str">
        <f>IF(T363="AIR","NA",IF(T363="TRENCH","NA",IF(T363="DUCT",IF(U363="1C",VLOOKUP(V363,'Catalogue Aluminium'!$Q$9:$S$28,2,FALSE),VLOOKUP(V363,'Catalogue Aluminium'!$Q$9:$S$28,3)),IF(T363="GROUND",IF(U363="1C",VLOOKUP(V363,'Catalogue Aluminium'!$Q$9:$S$28,2,FALSE),VLOOKUP(V363,'Catalogue Aluminium'!$Q$9:$S$28,3))))))</f>
        <v>NA</v>
      </c>
      <c r="AN363" s="351">
        <f t="shared" si="2498"/>
        <v>0.58740000000000003</v>
      </c>
      <c r="AO363" s="350">
        <f t="shared" si="2499"/>
        <v>22.321200000000001</v>
      </c>
      <c r="AP363" s="349">
        <f t="shared" si="2500"/>
        <v>1</v>
      </c>
      <c r="AQ363" s="350" t="str">
        <f t="shared" si="2501"/>
        <v>YES</v>
      </c>
      <c r="AR363" s="351">
        <f t="shared" si="2502"/>
        <v>0.60700841919006587</v>
      </c>
      <c r="AS363" s="343" t="str">
        <f t="shared" si="2503"/>
        <v>YES</v>
      </c>
      <c r="AT363" s="351" t="str">
        <f t="shared" si="2504"/>
        <v>NA</v>
      </c>
      <c r="AU363" s="343" t="str">
        <f t="shared" si="2505"/>
        <v>NA</v>
      </c>
      <c r="AV363" s="354" t="str">
        <f t="shared" si="2506"/>
        <v>1R x 0.6/1kV x 4C x 4 Sqmm</v>
      </c>
      <c r="AW363" s="354" t="str">
        <f t="shared" si="2507"/>
        <v>1R x 0.6/1kV x 4C x 4 Sqmm</v>
      </c>
      <c r="AX363" s="343">
        <f t="shared" si="2508"/>
        <v>31</v>
      </c>
      <c r="AY363" s="355"/>
      <c r="AZ363" s="355">
        <f t="shared" si="2509"/>
        <v>2</v>
      </c>
      <c r="BA363" s="356" t="str">
        <f t="shared" si="2510"/>
        <v/>
      </c>
      <c r="BB363" s="501">
        <f>VLOOKUP(W363,'Catalogue Aluminium'!$B$9:$H$93,7,FALSE)</f>
        <v>16</v>
      </c>
      <c r="BC363" s="328">
        <f t="shared" si="2511"/>
        <v>16</v>
      </c>
      <c r="BE363" s="336"/>
      <c r="BF363" s="336"/>
      <c r="BG363" s="336"/>
      <c r="BH363" s="336"/>
      <c r="BI363" s="336"/>
      <c r="BJ363" s="336"/>
      <c r="BK363" s="336"/>
      <c r="BL363" s="336"/>
      <c r="BM363" s="336"/>
      <c r="BN363" s="336"/>
      <c r="BO363" s="336"/>
      <c r="BP363" s="336"/>
      <c r="BQ363" s="336"/>
      <c r="BR363" s="336"/>
      <c r="BS363" s="336"/>
      <c r="BT363" s="336"/>
      <c r="BU363" s="336"/>
      <c r="BV363" s="336"/>
      <c r="BW363" s="336"/>
      <c r="BX363" s="336"/>
      <c r="BY363" s="336"/>
      <c r="BZ363" s="336"/>
      <c r="CA363" s="336"/>
      <c r="CB363" s="336"/>
      <c r="CC363" s="336"/>
      <c r="CD363" s="336"/>
      <c r="CE363" s="336"/>
      <c r="CF363" s="336"/>
      <c r="CG363" s="336"/>
      <c r="CH363" s="336"/>
      <c r="CI363" s="336"/>
      <c r="CJ363" s="336"/>
      <c r="CK363" s="336"/>
      <c r="CL363" s="336"/>
      <c r="CM363" s="336"/>
      <c r="CN363" s="336"/>
      <c r="CO363" s="336"/>
      <c r="CP363" s="336"/>
      <c r="CQ363" s="336"/>
      <c r="CR363" s="336"/>
      <c r="CS363" s="336"/>
      <c r="CT363" s="336"/>
      <c r="CU363" s="336"/>
      <c r="CV363" s="336"/>
      <c r="CW363" s="336"/>
      <c r="CX363" s="336"/>
      <c r="CY363" s="336"/>
      <c r="CZ363" s="336"/>
      <c r="DA363" s="336"/>
      <c r="DB363" s="336"/>
      <c r="DC363" s="336"/>
      <c r="DD363" s="336"/>
      <c r="DE363" s="336"/>
      <c r="DF363" s="336"/>
      <c r="DG363" s="336"/>
      <c r="DH363" s="336"/>
      <c r="DI363" s="336"/>
      <c r="DJ363" s="336"/>
      <c r="DK363" s="336"/>
      <c r="DL363" s="336"/>
      <c r="DM363" s="336"/>
      <c r="DN363" s="336"/>
      <c r="DO363" s="336"/>
      <c r="DP363" s="336"/>
      <c r="DQ363" s="336"/>
      <c r="DR363" s="336"/>
      <c r="DS363" s="336"/>
      <c r="DT363" s="336"/>
      <c r="DU363" s="336"/>
      <c r="DW363" s="336">
        <f t="shared" si="2108"/>
        <v>0</v>
      </c>
      <c r="DX363" s="336">
        <f t="shared" si="2102"/>
        <v>0</v>
      </c>
      <c r="DY363" s="336">
        <f t="shared" si="2103"/>
        <v>0</v>
      </c>
      <c r="DZ363" s="336">
        <f t="shared" si="2104"/>
        <v>0</v>
      </c>
      <c r="EA363" s="336">
        <f t="shared" si="2105"/>
        <v>0</v>
      </c>
      <c r="EB363" s="336">
        <f t="shared" si="2106"/>
        <v>0</v>
      </c>
      <c r="EC363" s="336">
        <f t="shared" si="2107"/>
        <v>0</v>
      </c>
      <c r="ED363" s="336">
        <f t="shared" ref="ED363:ED426" si="2515">IF(BL363=1,($BC363*BL363),0)</f>
        <v>0</v>
      </c>
      <c r="EE363" s="336">
        <f t="shared" ref="EE363:EE426" si="2516">IF(BM363=1,($BC363*BM363),0)</f>
        <v>0</v>
      </c>
      <c r="EF363" s="336">
        <f t="shared" ref="EF363:EF426" si="2517">IF(BN363=1,($BC363*BN363),0)</f>
        <v>0</v>
      </c>
      <c r="EG363" s="336">
        <f t="shared" ref="EG363:EG426" si="2518">IF(BO363=1,($BC363*BO363),0)</f>
        <v>0</v>
      </c>
      <c r="EH363" s="336">
        <f t="shared" ref="EH363:EH426" si="2519">IF(BP363=1,($BC363*BP363),0)</f>
        <v>0</v>
      </c>
      <c r="EI363" s="336">
        <f t="shared" ref="EI363:EI426" si="2520">IF(BQ363=1,($BC363*BQ363),0)</f>
        <v>0</v>
      </c>
      <c r="EJ363" s="336">
        <f t="shared" ref="EJ363:EJ426" si="2521">IF(BR363=1,($BC363*BR363),0)</f>
        <v>0</v>
      </c>
      <c r="EK363" s="336">
        <f t="shared" ref="EK363:EK426" si="2522">IF(BS363=1,($BC363*BS363),0)</f>
        <v>0</v>
      </c>
      <c r="EL363" s="336">
        <f t="shared" ref="EL363:EL426" si="2523">IF(BT363=1,($BC363*BT363),0)</f>
        <v>0</v>
      </c>
      <c r="EM363" s="336">
        <f t="shared" ref="EM363:EM426" si="2524">IF(BU363=1,($BC363*BU363),0)</f>
        <v>0</v>
      </c>
      <c r="EN363" s="336">
        <f t="shared" ref="EN363:EN426" si="2525">IF(BV363=1,($BC363*BV363),0)</f>
        <v>0</v>
      </c>
      <c r="EO363" s="336">
        <f t="shared" ref="EO363:EO426" si="2526">IF(BW363=1,($BC363*BW363),0)</f>
        <v>0</v>
      </c>
      <c r="EP363" s="336">
        <f t="shared" ref="EP363:EP426" si="2527">IF(BX363=1,($BC363*BX363),0)</f>
        <v>0</v>
      </c>
      <c r="EQ363" s="336">
        <f t="shared" ref="EQ363:EQ426" si="2528">IF(BY363=1,($BC363*BY363),0)</f>
        <v>0</v>
      </c>
      <c r="ER363" s="336">
        <f t="shared" ref="ER363:ER426" si="2529">IF(BZ363=1,($BC363*BZ363),0)</f>
        <v>0</v>
      </c>
      <c r="ES363" s="336">
        <f t="shared" ref="ES363:ET426" si="2530">IF(CA363=1,($BC363*CA363),0)</f>
        <v>0</v>
      </c>
      <c r="ET363" s="336">
        <f t="shared" si="2530"/>
        <v>0</v>
      </c>
      <c r="EU363" s="336">
        <f t="shared" ref="EU363:EU426" si="2531">IF(CC363=1,($BC363*CC363),0)</f>
        <v>0</v>
      </c>
      <c r="EV363" s="336">
        <f t="shared" ref="EV363:EV426" si="2532">IF(CD363=1,($BC363*CD363),0)</f>
        <v>0</v>
      </c>
      <c r="EW363" s="336">
        <f t="shared" ref="EW363:EW426" si="2533">IF(CE363=1,($BC363*CE363),0)</f>
        <v>0</v>
      </c>
      <c r="EX363" s="336">
        <f t="shared" ref="EX363:EX426" si="2534">IF(CF363=1,($BC363*CF363),0)</f>
        <v>0</v>
      </c>
      <c r="EY363" s="336">
        <f t="shared" ref="EY363:EY426" si="2535">IF(CG363=1,($BC363*CG363),0)</f>
        <v>0</v>
      </c>
      <c r="EZ363" s="336">
        <f t="shared" ref="EZ363:EZ426" si="2536">IF(CH363=1,($BC363*CH363),0)</f>
        <v>0</v>
      </c>
      <c r="FA363" s="336">
        <f t="shared" ref="FA363:FA426" si="2537">IF(CI363=1,($BC363*CI363),0)</f>
        <v>0</v>
      </c>
      <c r="FB363" s="336">
        <f t="shared" ref="FB363:FB426" si="2538">IF(CJ363=1,($BC363*CJ363),0)</f>
        <v>0</v>
      </c>
      <c r="FC363" s="336">
        <f t="shared" ref="FC363:FC426" si="2539">IF(CK363=1,($BC363*CK363),0)</f>
        <v>0</v>
      </c>
      <c r="FD363" s="336">
        <f t="shared" ref="FD363:FD426" si="2540">IF(CL363=1,($BC363*CL363),0)</f>
        <v>0</v>
      </c>
      <c r="FE363" s="336">
        <f t="shared" ref="FE363:FE426" si="2541">IF(CM363=1,($BC363*CM363),0)</f>
        <v>0</v>
      </c>
      <c r="FF363" s="336">
        <f t="shared" ref="FF363:FF426" si="2542">IF(CN363=1,($BC363*CN363),0)</f>
        <v>0</v>
      </c>
      <c r="FG363" s="336">
        <f t="shared" ref="FG363:FG426" si="2543">IF(CO363=1,($BC363*CO363),0)</f>
        <v>0</v>
      </c>
      <c r="FH363" s="336">
        <f t="shared" ref="FH363:FH426" si="2544">IF(CP363=1,($BC363*CP363),0)</f>
        <v>0</v>
      </c>
      <c r="FI363" s="336">
        <f t="shared" ref="FI363:FI426" si="2545">IF(CQ363=1,($BC363*CQ363),0)</f>
        <v>0</v>
      </c>
      <c r="FJ363" s="336">
        <f t="shared" ref="FJ363:FJ426" si="2546">IF(CR363=1,($BC363*CR363),0)</f>
        <v>0</v>
      </c>
      <c r="FK363" s="336">
        <f t="shared" ref="FK363:FK426" si="2547">IF(CS363=1,($BC363*CS363),0)</f>
        <v>0</v>
      </c>
      <c r="FL363" s="336">
        <f t="shared" ref="FL363:FL426" si="2548">IF(CT363=1,($BC363*CT363),0)</f>
        <v>0</v>
      </c>
      <c r="FM363" s="336">
        <f t="shared" ref="FM363:FM426" si="2549">IF(CU363=1,($BC363*CU363),0)</f>
        <v>0</v>
      </c>
      <c r="FN363" s="336">
        <f t="shared" ref="FN363:FN426" si="2550">IF(CV363=1,($BC363*CV363),0)</f>
        <v>0</v>
      </c>
      <c r="FO363" s="336">
        <f t="shared" ref="FO363:FO426" si="2551">IF(CW363=1,($BC363*CW363),0)</f>
        <v>0</v>
      </c>
      <c r="FP363" s="336">
        <f t="shared" ref="FP363:FP426" si="2552">IF(CX363=1,($BC363*CX363),0)</f>
        <v>0</v>
      </c>
      <c r="FQ363" s="336">
        <f t="shared" ref="FQ363:FQ426" si="2553">IF(CY363=1,($BC363*CY363),0)</f>
        <v>0</v>
      </c>
      <c r="FR363" s="336">
        <f t="shared" ref="FR363:FR426" si="2554">IF(CZ363=1,($BC363*CZ363),0)</f>
        <v>0</v>
      </c>
      <c r="FS363" s="336">
        <f t="shared" ref="FS363:FS426" si="2555">IF(DA363=1,($BC363*DA363),0)</f>
        <v>0</v>
      </c>
      <c r="FT363" s="336">
        <f t="shared" ref="FT363:FT426" si="2556">IF(DB363=1,($BC363*DB363),0)</f>
        <v>0</v>
      </c>
      <c r="FU363" s="336">
        <f t="shared" si="2262"/>
        <v>0</v>
      </c>
      <c r="FV363" s="336">
        <f t="shared" si="2263"/>
        <v>0</v>
      </c>
      <c r="FW363" s="336">
        <f t="shared" si="2264"/>
        <v>0</v>
      </c>
      <c r="FX363" s="336">
        <f t="shared" si="2265"/>
        <v>0</v>
      </c>
      <c r="FY363" s="336">
        <f t="shared" ref="FY363:FY426" si="2557">IF(DG363=1,($BC363*DG363),0)</f>
        <v>0</v>
      </c>
      <c r="FZ363" s="336">
        <f t="shared" ref="FZ363:FZ426" si="2558">IF(DH363=1,($BC363*DH363),0)</f>
        <v>0</v>
      </c>
      <c r="GA363" s="336">
        <f t="shared" ref="GA363:GA426" si="2559">IF(DI363=1,($BC363*DI363),0)</f>
        <v>0</v>
      </c>
      <c r="GB363" s="336">
        <f t="shared" ref="GB363:GB426" si="2560">IF(DJ363=1,($BC363*DJ363),0)</f>
        <v>0</v>
      </c>
      <c r="GC363" s="336">
        <f t="shared" ref="GC363:GC426" si="2561">IF(DK363=1,($BC363*DK363),0)</f>
        <v>0</v>
      </c>
      <c r="GD363" s="336">
        <f t="shared" ref="GD363:GD426" si="2562">IF(DL363=1,($BC363*DL363),0)</f>
        <v>0</v>
      </c>
      <c r="GE363" s="336">
        <f t="shared" ref="GE363:GE426" si="2563">IF(DM363=1,($BC363*DM363),0)</f>
        <v>0</v>
      </c>
      <c r="GF363" s="336">
        <f t="shared" ref="GF363:GF426" si="2564">IF(DN363=1,($BC363*DN363),0)</f>
        <v>0</v>
      </c>
      <c r="GG363" s="336">
        <f t="shared" ref="GG363:GG426" si="2565">IF(DO363=1,($BC363*DO363),0)</f>
        <v>0</v>
      </c>
      <c r="GH363" s="336">
        <f t="shared" ref="GH363:GH426" si="2566">IF(DP363=1,($BC363*DP363),0)</f>
        <v>0</v>
      </c>
      <c r="GI363" s="336">
        <f t="shared" ref="GI363:GI426" si="2567">IF(DQ363=1,($BC363*DQ363),0)</f>
        <v>0</v>
      </c>
      <c r="GJ363" s="336">
        <f t="shared" ref="GJ363:GJ426" si="2568">IF(DR363=1,($BC363*DR363),0)</f>
        <v>0</v>
      </c>
      <c r="GK363" s="336">
        <f t="shared" si="2513"/>
        <v>0</v>
      </c>
      <c r="GL363" s="336">
        <f t="shared" si="2514"/>
        <v>0</v>
      </c>
      <c r="GM363" s="336">
        <f t="shared" ref="GM363:GM426" si="2569">IF(DU363=1,($BC363*DU363),0)</f>
        <v>0</v>
      </c>
    </row>
    <row r="364" spans="1:195">
      <c r="A364" s="337">
        <f t="shared" si="2488"/>
        <v>238</v>
      </c>
      <c r="B364" s="526" t="s">
        <v>791</v>
      </c>
      <c r="C364" s="337" t="str">
        <f t="shared" si="2489"/>
        <v>ACDB-1</v>
      </c>
      <c r="D364" s="372" t="s">
        <v>792</v>
      </c>
      <c r="E364" s="500" t="s">
        <v>608</v>
      </c>
      <c r="F364" s="570"/>
      <c r="G364" s="337" t="s">
        <v>329</v>
      </c>
      <c r="H364" s="350">
        <v>3</v>
      </c>
      <c r="I364" s="337" t="s">
        <v>330</v>
      </c>
      <c r="J364" s="337" t="s">
        <v>331</v>
      </c>
      <c r="K364" s="349">
        <v>400</v>
      </c>
      <c r="L364" s="343">
        <v>0.84999999999999987</v>
      </c>
      <c r="M364" s="350">
        <v>0.95099999999999985</v>
      </c>
      <c r="N364" s="342">
        <f t="shared" si="2490"/>
        <v>5.3569048575127605</v>
      </c>
      <c r="O364" s="342">
        <f t="shared" si="2491"/>
        <v>0</v>
      </c>
      <c r="P364" s="343" t="str">
        <f t="shared" si="2492"/>
        <v>0.00</v>
      </c>
      <c r="Q364" s="350">
        <v>50</v>
      </c>
      <c r="R364" s="350">
        <v>0</v>
      </c>
      <c r="S364" s="350">
        <f t="shared" si="2493"/>
        <v>0</v>
      </c>
      <c r="T364" s="343" t="s">
        <v>131</v>
      </c>
      <c r="U364" s="350" t="s">
        <v>522</v>
      </c>
      <c r="V364" s="343">
        <v>4</v>
      </c>
      <c r="W364" s="343" t="str">
        <f t="shared" si="2494"/>
        <v>4C X 4</v>
      </c>
      <c r="X364" s="343" t="str">
        <f t="shared" si="2495"/>
        <v>4C X 4</v>
      </c>
      <c r="Y364" s="343" t="s">
        <v>358</v>
      </c>
      <c r="Z364" s="344">
        <f>IF(T364="AIR",VLOOKUP(W364,'Catalogue Aluminium'!$B$9:$G$93,2,FALSE),IF(T364="GROUND",VLOOKUP(W364,'Catalogue Aluminium'!$B$9:$G$93,3,FALSE),IF(T364="DUCT",VLOOKUP(W364,'Catalogue Aluminium'!$B$9:$G$93,4,FALSE),IF(T364="TRENCH",VLOOKUP(W364,'Catalogue Aluminium'!$B$9:$G$93,2,FALSE)))))</f>
        <v>38</v>
      </c>
      <c r="AA364" s="345">
        <f>VLOOKUP(W364,'Catalogue Aluminium'!$B$9:$G$93,5,FALSE)</f>
        <v>5.9</v>
      </c>
      <c r="AB364" s="345">
        <f>VLOOKUP(W364,'Catalogue Aluminium'!$B$9:$G$93,6,FALSE)</f>
        <v>9.4700000000000006E-2</v>
      </c>
      <c r="AC364" s="457">
        <f>3+12+11+2</f>
        <v>28</v>
      </c>
      <c r="AD364" s="457">
        <v>0</v>
      </c>
      <c r="AE364" s="401">
        <v>5</v>
      </c>
      <c r="AF364" s="401">
        <v>8</v>
      </c>
      <c r="AG364" s="401">
        <f t="shared" si="2496"/>
        <v>5</v>
      </c>
      <c r="AH364" s="347">
        <f t="shared" si="2497"/>
        <v>46</v>
      </c>
      <c r="AI364" s="344">
        <f>IF(T364="AIR",'Catalogue Aluminium'!$K$9,IF(T364="TRENCH",'Catalogue Aluminium'!$K$12,"NA"))</f>
        <v>0.89</v>
      </c>
      <c r="AJ364" s="342">
        <f>IF(T364="Air",(IF(U364="1C",'Catalogue Aluminium'!$L$9,'Catalogue Aluminium'!$M$9)),IF(T364="DUCT",(IF($U364="1C",'Catalogue Aluminium'!$L$10,'Catalogue Aluminium'!$M$10)),IF(T364="GROUND",(IF($U364="1C",'Catalogue Aluminium'!$L$11,'Catalogue Aluminium'!$M$11)),IF(T364="TRENCH",(IF($U364="1C",'Catalogue Aluminium'!$L$12,'Catalogue Aluminium'!$M$12))))))</f>
        <v>0.66</v>
      </c>
      <c r="AK364" s="344" t="str">
        <f>IF(T364="Air",'Catalogue Aluminium'!$N$9,IF(T364="GROUND",'Catalogue Aluminium'!$N$10,IF(T364="DUCT",'Catalogue Aluminium'!$N$11,IF(T364="TRENCH",'Catalogue Aluminium'!$N$12,"NA"))))</f>
        <v>NA</v>
      </c>
      <c r="AL364" s="344" t="str">
        <f>IF(T364="Air",(IF(U364="1C",'Catalogue Aluminium'!$O$9,'Catalogue Aluminium'!$P$9)),IF(T364="DUCT",(IF($U364="1C",'Catalogue Aluminium'!$O$10,'Catalogue Aluminium'!$P$10)),IF(T364="GROUND",(IF($U364="1C",'Catalogue Aluminium'!$O$11,'Catalogue Aluminium'!$P$11)),IF(T364="TRENCH",(IF($U364="1C",'Catalogue Aluminium'!$O$12,'Catalogue Aluminium'!$P$12))))))</f>
        <v>NA</v>
      </c>
      <c r="AM364" s="344" t="str">
        <f>IF(T364="AIR","NA",IF(T364="TRENCH","NA",IF(T364="DUCT",IF(U364="1C",VLOOKUP(V364,'Catalogue Aluminium'!$Q$9:$S$28,2,FALSE),VLOOKUP(V364,'Catalogue Aluminium'!$Q$9:$S$28,3)),IF(T364="GROUND",IF(U364="1C",VLOOKUP(V364,'Catalogue Aluminium'!$Q$9:$S$28,2,FALSE),VLOOKUP(V364,'Catalogue Aluminium'!$Q$9:$S$28,3))))))</f>
        <v>NA</v>
      </c>
      <c r="AN364" s="351">
        <f t="shared" si="2498"/>
        <v>0.58740000000000003</v>
      </c>
      <c r="AO364" s="350">
        <f t="shared" si="2499"/>
        <v>22.321200000000001</v>
      </c>
      <c r="AP364" s="349">
        <f t="shared" si="2500"/>
        <v>1</v>
      </c>
      <c r="AQ364" s="350" t="str">
        <f t="shared" si="2501"/>
        <v>YES</v>
      </c>
      <c r="AR364" s="351">
        <f t="shared" si="2502"/>
        <v>0.54043330224663921</v>
      </c>
      <c r="AS364" s="343" t="str">
        <f t="shared" si="2503"/>
        <v>YES</v>
      </c>
      <c r="AT364" s="351" t="str">
        <f t="shared" si="2504"/>
        <v>NA</v>
      </c>
      <c r="AU364" s="343" t="str">
        <f t="shared" si="2505"/>
        <v>NA</v>
      </c>
      <c r="AV364" s="354" t="str">
        <f t="shared" si="2506"/>
        <v>1R x 0.6/1kV x 4C x 4 Sqmm</v>
      </c>
      <c r="AW364" s="354" t="str">
        <f t="shared" si="2507"/>
        <v>1R x 0.6/1kV x 4C x 4 Sqmm</v>
      </c>
      <c r="AX364" s="343">
        <f t="shared" si="2508"/>
        <v>46</v>
      </c>
      <c r="AY364" s="355"/>
      <c r="AZ364" s="355">
        <f t="shared" si="2509"/>
        <v>2</v>
      </c>
      <c r="BA364" s="356" t="str">
        <f t="shared" si="2510"/>
        <v/>
      </c>
      <c r="BB364" s="501">
        <f>VLOOKUP(W364,'Catalogue Aluminium'!$B$9:$H$93,7,FALSE)</f>
        <v>16</v>
      </c>
      <c r="BC364" s="328">
        <f t="shared" si="2511"/>
        <v>16</v>
      </c>
      <c r="BE364" s="336"/>
      <c r="BF364" s="336"/>
      <c r="BG364" s="336"/>
      <c r="BH364" s="336"/>
      <c r="BI364" s="336"/>
      <c r="BJ364" s="336"/>
      <c r="BK364" s="336"/>
      <c r="BL364" s="336"/>
      <c r="BM364" s="336"/>
      <c r="BN364" s="336"/>
      <c r="BO364" s="336"/>
      <c r="BP364" s="336"/>
      <c r="BQ364" s="336"/>
      <c r="BR364" s="336"/>
      <c r="BS364" s="336"/>
      <c r="BT364" s="336"/>
      <c r="BU364" s="336"/>
      <c r="BV364" s="336"/>
      <c r="BW364" s="336"/>
      <c r="BX364" s="336"/>
      <c r="BY364" s="336"/>
      <c r="BZ364" s="336"/>
      <c r="CA364" s="336"/>
      <c r="CB364" s="336"/>
      <c r="CC364" s="336"/>
      <c r="CD364" s="336"/>
      <c r="CE364" s="336"/>
      <c r="CF364" s="336"/>
      <c r="CG364" s="336"/>
      <c r="CH364" s="336"/>
      <c r="CI364" s="336"/>
      <c r="CJ364" s="336"/>
      <c r="CK364" s="336"/>
      <c r="CL364" s="336"/>
      <c r="CM364" s="336"/>
      <c r="CN364" s="336"/>
      <c r="CO364" s="336"/>
      <c r="CP364" s="336"/>
      <c r="CQ364" s="336"/>
      <c r="CR364" s="336"/>
      <c r="CS364" s="336"/>
      <c r="CT364" s="336"/>
      <c r="CU364" s="336"/>
      <c r="CV364" s="336"/>
      <c r="CW364" s="336"/>
      <c r="CX364" s="336"/>
      <c r="CY364" s="336"/>
      <c r="CZ364" s="336"/>
      <c r="DA364" s="336"/>
      <c r="DB364" s="336"/>
      <c r="DC364" s="336"/>
      <c r="DD364" s="336"/>
      <c r="DE364" s="336"/>
      <c r="DF364" s="336"/>
      <c r="DG364" s="336"/>
      <c r="DH364" s="336"/>
      <c r="DI364" s="336"/>
      <c r="DJ364" s="336"/>
      <c r="DK364" s="336"/>
      <c r="DL364" s="336"/>
      <c r="DM364" s="336"/>
      <c r="DN364" s="336"/>
      <c r="DO364" s="336"/>
      <c r="DP364" s="336"/>
      <c r="DQ364" s="336"/>
      <c r="DR364" s="336"/>
      <c r="DS364" s="336"/>
      <c r="DT364" s="336"/>
      <c r="DU364" s="336"/>
      <c r="DW364" s="336">
        <f t="shared" si="2108"/>
        <v>0</v>
      </c>
      <c r="DX364" s="336">
        <f t="shared" si="2102"/>
        <v>0</v>
      </c>
      <c r="DY364" s="336">
        <f t="shared" si="2103"/>
        <v>0</v>
      </c>
      <c r="DZ364" s="336">
        <f t="shared" si="2104"/>
        <v>0</v>
      </c>
      <c r="EA364" s="336">
        <f t="shared" si="2105"/>
        <v>0</v>
      </c>
      <c r="EB364" s="336">
        <f t="shared" si="2106"/>
        <v>0</v>
      </c>
      <c r="EC364" s="336">
        <f t="shared" si="2107"/>
        <v>0</v>
      </c>
      <c r="ED364" s="336">
        <f t="shared" si="2515"/>
        <v>0</v>
      </c>
      <c r="EE364" s="336">
        <f t="shared" si="2516"/>
        <v>0</v>
      </c>
      <c r="EF364" s="336">
        <f t="shared" si="2517"/>
        <v>0</v>
      </c>
      <c r="EG364" s="336">
        <f t="shared" si="2518"/>
        <v>0</v>
      </c>
      <c r="EH364" s="336">
        <f t="shared" si="2519"/>
        <v>0</v>
      </c>
      <c r="EI364" s="336">
        <f t="shared" si="2520"/>
        <v>0</v>
      </c>
      <c r="EJ364" s="336">
        <f t="shared" si="2521"/>
        <v>0</v>
      </c>
      <c r="EK364" s="336">
        <f t="shared" si="2522"/>
        <v>0</v>
      </c>
      <c r="EL364" s="336">
        <f t="shared" si="2523"/>
        <v>0</v>
      </c>
      <c r="EM364" s="336">
        <f t="shared" si="2524"/>
        <v>0</v>
      </c>
      <c r="EN364" s="336">
        <f t="shared" si="2525"/>
        <v>0</v>
      </c>
      <c r="EO364" s="336">
        <f t="shared" si="2526"/>
        <v>0</v>
      </c>
      <c r="EP364" s="336">
        <f t="shared" si="2527"/>
        <v>0</v>
      </c>
      <c r="EQ364" s="336">
        <f t="shared" si="2528"/>
        <v>0</v>
      </c>
      <c r="ER364" s="336">
        <f t="shared" si="2529"/>
        <v>0</v>
      </c>
      <c r="ES364" s="336">
        <f t="shared" si="2530"/>
        <v>0</v>
      </c>
      <c r="ET364" s="336">
        <f t="shared" si="2530"/>
        <v>0</v>
      </c>
      <c r="EU364" s="336">
        <f t="shared" si="2531"/>
        <v>0</v>
      </c>
      <c r="EV364" s="336">
        <f t="shared" si="2532"/>
        <v>0</v>
      </c>
      <c r="EW364" s="336">
        <f t="shared" si="2533"/>
        <v>0</v>
      </c>
      <c r="EX364" s="336">
        <f t="shared" si="2534"/>
        <v>0</v>
      </c>
      <c r="EY364" s="336">
        <f t="shared" si="2535"/>
        <v>0</v>
      </c>
      <c r="EZ364" s="336">
        <f t="shared" si="2536"/>
        <v>0</v>
      </c>
      <c r="FA364" s="336">
        <f t="shared" si="2537"/>
        <v>0</v>
      </c>
      <c r="FB364" s="336">
        <f t="shared" si="2538"/>
        <v>0</v>
      </c>
      <c r="FC364" s="336">
        <f t="shared" si="2539"/>
        <v>0</v>
      </c>
      <c r="FD364" s="336">
        <f t="shared" si="2540"/>
        <v>0</v>
      </c>
      <c r="FE364" s="336">
        <f t="shared" si="2541"/>
        <v>0</v>
      </c>
      <c r="FF364" s="336">
        <f t="shared" si="2542"/>
        <v>0</v>
      </c>
      <c r="FG364" s="336">
        <f t="shared" si="2543"/>
        <v>0</v>
      </c>
      <c r="FH364" s="336">
        <f t="shared" si="2544"/>
        <v>0</v>
      </c>
      <c r="FI364" s="336">
        <f t="shared" si="2545"/>
        <v>0</v>
      </c>
      <c r="FJ364" s="336">
        <f t="shared" si="2546"/>
        <v>0</v>
      </c>
      <c r="FK364" s="336">
        <f t="shared" si="2547"/>
        <v>0</v>
      </c>
      <c r="FL364" s="336">
        <f t="shared" si="2548"/>
        <v>0</v>
      </c>
      <c r="FM364" s="336">
        <f t="shared" si="2549"/>
        <v>0</v>
      </c>
      <c r="FN364" s="336">
        <f t="shared" si="2550"/>
        <v>0</v>
      </c>
      <c r="FO364" s="336">
        <f t="shared" si="2551"/>
        <v>0</v>
      </c>
      <c r="FP364" s="336">
        <f t="shared" si="2552"/>
        <v>0</v>
      </c>
      <c r="FQ364" s="336">
        <f t="shared" si="2553"/>
        <v>0</v>
      </c>
      <c r="FR364" s="336">
        <f t="shared" si="2554"/>
        <v>0</v>
      </c>
      <c r="FS364" s="336">
        <f t="shared" si="2555"/>
        <v>0</v>
      </c>
      <c r="FT364" s="336">
        <f t="shared" si="2556"/>
        <v>0</v>
      </c>
      <c r="FU364" s="336">
        <f t="shared" si="2262"/>
        <v>0</v>
      </c>
      <c r="FV364" s="336">
        <f t="shared" si="2263"/>
        <v>0</v>
      </c>
      <c r="FW364" s="336">
        <f t="shared" si="2264"/>
        <v>0</v>
      </c>
      <c r="FX364" s="336">
        <f t="shared" si="2265"/>
        <v>0</v>
      </c>
      <c r="FY364" s="336">
        <f t="shared" si="2557"/>
        <v>0</v>
      </c>
      <c r="FZ364" s="336">
        <f t="shared" si="2558"/>
        <v>0</v>
      </c>
      <c r="GA364" s="336">
        <f t="shared" si="2559"/>
        <v>0</v>
      </c>
      <c r="GB364" s="336">
        <f t="shared" si="2560"/>
        <v>0</v>
      </c>
      <c r="GC364" s="336">
        <f t="shared" si="2561"/>
        <v>0</v>
      </c>
      <c r="GD364" s="336">
        <f t="shared" si="2562"/>
        <v>0</v>
      </c>
      <c r="GE364" s="336">
        <f t="shared" si="2563"/>
        <v>0</v>
      </c>
      <c r="GF364" s="336">
        <f t="shared" si="2564"/>
        <v>0</v>
      </c>
      <c r="GG364" s="336">
        <f t="shared" si="2565"/>
        <v>0</v>
      </c>
      <c r="GH364" s="336">
        <f t="shared" si="2566"/>
        <v>0</v>
      </c>
      <c r="GI364" s="336">
        <f t="shared" si="2567"/>
        <v>0</v>
      </c>
      <c r="GJ364" s="336">
        <f t="shared" si="2568"/>
        <v>0</v>
      </c>
      <c r="GK364" s="336">
        <f t="shared" si="2513"/>
        <v>0</v>
      </c>
      <c r="GL364" s="336">
        <f t="shared" si="2514"/>
        <v>0</v>
      </c>
      <c r="GM364" s="336">
        <f t="shared" si="2569"/>
        <v>0</v>
      </c>
    </row>
    <row r="365" spans="1:195">
      <c r="A365" s="337">
        <f t="shared" si="2488"/>
        <v>239</v>
      </c>
      <c r="B365" s="526" t="s">
        <v>793</v>
      </c>
      <c r="C365" s="337" t="str">
        <f t="shared" si="2489"/>
        <v>ACDB-1</v>
      </c>
      <c r="D365" s="372" t="s">
        <v>794</v>
      </c>
      <c r="E365" s="500" t="s">
        <v>608</v>
      </c>
      <c r="F365" s="570"/>
      <c r="G365" s="337" t="s">
        <v>329</v>
      </c>
      <c r="H365" s="350">
        <v>3</v>
      </c>
      <c r="I365" s="337" t="s">
        <v>330</v>
      </c>
      <c r="J365" s="337" t="s">
        <v>331</v>
      </c>
      <c r="K365" s="349">
        <v>400</v>
      </c>
      <c r="L365" s="343">
        <v>0.84999999999999987</v>
      </c>
      <c r="M365" s="350">
        <v>0.95099999999999985</v>
      </c>
      <c r="N365" s="342">
        <f t="shared" si="2490"/>
        <v>5.3569048575127605</v>
      </c>
      <c r="O365" s="342">
        <f t="shared" si="2491"/>
        <v>0</v>
      </c>
      <c r="P365" s="343" t="str">
        <f t="shared" si="2492"/>
        <v>0.00</v>
      </c>
      <c r="Q365" s="350">
        <v>50</v>
      </c>
      <c r="R365" s="350">
        <v>0</v>
      </c>
      <c r="S365" s="350">
        <f t="shared" si="2493"/>
        <v>0</v>
      </c>
      <c r="T365" s="343" t="s">
        <v>131</v>
      </c>
      <c r="U365" s="350" t="s">
        <v>522</v>
      </c>
      <c r="V365" s="343">
        <v>4</v>
      </c>
      <c r="W365" s="343" t="str">
        <f t="shared" si="2494"/>
        <v>4C X 4</v>
      </c>
      <c r="X365" s="343" t="str">
        <f t="shared" si="2495"/>
        <v>4C X 4</v>
      </c>
      <c r="Y365" s="343" t="s">
        <v>358</v>
      </c>
      <c r="Z365" s="344">
        <f>IF(T365="AIR",VLOOKUP(W365,'Catalogue Aluminium'!$B$9:$G$93,2,FALSE),IF(T365="GROUND",VLOOKUP(W365,'Catalogue Aluminium'!$B$9:$G$93,3,FALSE),IF(T365="DUCT",VLOOKUP(W365,'Catalogue Aluminium'!$B$9:$G$93,4,FALSE),IF(T365="TRENCH",VLOOKUP(W365,'Catalogue Aluminium'!$B$9:$G$93,2,FALSE)))))</f>
        <v>38</v>
      </c>
      <c r="AA365" s="345">
        <f>VLOOKUP(W365,'Catalogue Aluminium'!$B$9:$G$93,5,FALSE)</f>
        <v>5.9</v>
      </c>
      <c r="AB365" s="345">
        <f>VLOOKUP(W365,'Catalogue Aluminium'!$B$9:$G$93,6,FALSE)</f>
        <v>9.4700000000000006E-2</v>
      </c>
      <c r="AC365" s="457">
        <f>3+12+4+2</f>
        <v>21</v>
      </c>
      <c r="AD365" s="457">
        <v>0</v>
      </c>
      <c r="AE365" s="401">
        <v>5</v>
      </c>
      <c r="AF365" s="401">
        <v>8</v>
      </c>
      <c r="AG365" s="401">
        <f t="shared" si="2496"/>
        <v>4</v>
      </c>
      <c r="AH365" s="347">
        <f t="shared" si="2497"/>
        <v>38</v>
      </c>
      <c r="AI365" s="344">
        <f>IF(T365="AIR",'Catalogue Aluminium'!$K$9,IF(T365="TRENCH",'Catalogue Aluminium'!$K$12,"NA"))</f>
        <v>0.89</v>
      </c>
      <c r="AJ365" s="342">
        <f>IF(T365="Air",(IF(U365="1C",'Catalogue Aluminium'!$L$9,'Catalogue Aluminium'!$M$9)),IF(T365="DUCT",(IF($U365="1C",'Catalogue Aluminium'!$L$10,'Catalogue Aluminium'!$M$10)),IF(T365="GROUND",(IF($U365="1C",'Catalogue Aluminium'!$L$11,'Catalogue Aluminium'!$M$11)),IF(T365="TRENCH",(IF($U365="1C",'Catalogue Aluminium'!$L$12,'Catalogue Aluminium'!$M$12))))))</f>
        <v>0.66</v>
      </c>
      <c r="AK365" s="344" t="str">
        <f>IF(T365="Air",'Catalogue Aluminium'!$N$9,IF(T365="GROUND",'Catalogue Aluminium'!$N$10,IF(T365="DUCT",'Catalogue Aluminium'!$N$11,IF(T365="TRENCH",'Catalogue Aluminium'!$N$12,"NA"))))</f>
        <v>NA</v>
      </c>
      <c r="AL365" s="344" t="str">
        <f>IF(T365="Air",(IF(U365="1C",'Catalogue Aluminium'!$O$9,'Catalogue Aluminium'!$P$9)),IF(T365="DUCT",(IF($U365="1C",'Catalogue Aluminium'!$O$10,'Catalogue Aluminium'!$P$10)),IF(T365="GROUND",(IF($U365="1C",'Catalogue Aluminium'!$O$11,'Catalogue Aluminium'!$P$11)),IF(T365="TRENCH",(IF($U365="1C",'Catalogue Aluminium'!$O$12,'Catalogue Aluminium'!$P$12))))))</f>
        <v>NA</v>
      </c>
      <c r="AM365" s="344" t="str">
        <f>IF(T365="AIR","NA",IF(T365="TRENCH","NA",IF(T365="DUCT",IF(U365="1C",VLOOKUP(V365,'Catalogue Aluminium'!$Q$9:$S$28,2,FALSE),VLOOKUP(V365,'Catalogue Aluminium'!$Q$9:$S$28,3)),IF(T365="GROUND",IF(U365="1C",VLOOKUP(V365,'Catalogue Aluminium'!$Q$9:$S$28,2,FALSE),VLOOKUP(V365,'Catalogue Aluminium'!$Q$9:$S$28,3))))))</f>
        <v>NA</v>
      </c>
      <c r="AN365" s="351">
        <f t="shared" si="2498"/>
        <v>0.58740000000000003</v>
      </c>
      <c r="AO365" s="350">
        <f t="shared" si="2499"/>
        <v>22.321200000000001</v>
      </c>
      <c r="AP365" s="349">
        <f t="shared" si="2500"/>
        <v>1</v>
      </c>
      <c r="AQ365" s="350" t="str">
        <f t="shared" si="2501"/>
        <v>YES</v>
      </c>
      <c r="AR365" s="351">
        <f t="shared" si="2502"/>
        <v>0.4464449018559194</v>
      </c>
      <c r="AS365" s="343" t="str">
        <f t="shared" si="2503"/>
        <v>YES</v>
      </c>
      <c r="AT365" s="351" t="str">
        <f t="shared" si="2504"/>
        <v>NA</v>
      </c>
      <c r="AU365" s="343" t="str">
        <f t="shared" si="2505"/>
        <v>NA</v>
      </c>
      <c r="AV365" s="354" t="str">
        <f t="shared" si="2506"/>
        <v>1R x 0.6/1kV x 4C x 4 Sqmm</v>
      </c>
      <c r="AW365" s="354" t="str">
        <f t="shared" si="2507"/>
        <v>1R x 0.6/1kV x 4C x 4 Sqmm</v>
      </c>
      <c r="AX365" s="343">
        <f t="shared" si="2508"/>
        <v>38</v>
      </c>
      <c r="AY365" s="355"/>
      <c r="AZ365" s="355">
        <f t="shared" si="2509"/>
        <v>2</v>
      </c>
      <c r="BA365" s="356" t="str">
        <f t="shared" si="2510"/>
        <v/>
      </c>
      <c r="BB365" s="501">
        <f>VLOOKUP(W365,'Catalogue Aluminium'!$B$9:$H$93,7,FALSE)</f>
        <v>16</v>
      </c>
      <c r="BC365" s="328">
        <f t="shared" si="2511"/>
        <v>16</v>
      </c>
      <c r="BE365" s="336"/>
      <c r="BF365" s="336"/>
      <c r="BG365" s="336"/>
      <c r="BH365" s="336"/>
      <c r="BI365" s="336"/>
      <c r="BJ365" s="336"/>
      <c r="BK365" s="336"/>
      <c r="BL365" s="336"/>
      <c r="BM365" s="336"/>
      <c r="BN365" s="336"/>
      <c r="BO365" s="336"/>
      <c r="BP365" s="336"/>
      <c r="BQ365" s="336"/>
      <c r="BR365" s="336"/>
      <c r="BS365" s="336"/>
      <c r="BT365" s="336"/>
      <c r="BU365" s="336"/>
      <c r="BV365" s="336"/>
      <c r="BW365" s="336"/>
      <c r="BX365" s="336"/>
      <c r="BY365" s="336"/>
      <c r="BZ365" s="336"/>
      <c r="CA365" s="336"/>
      <c r="CB365" s="336"/>
      <c r="CC365" s="336"/>
      <c r="CD365" s="336"/>
      <c r="CE365" s="336"/>
      <c r="CF365" s="336"/>
      <c r="CG365" s="336"/>
      <c r="CH365" s="336"/>
      <c r="CI365" s="336"/>
      <c r="CJ365" s="336"/>
      <c r="CK365" s="336"/>
      <c r="CL365" s="336"/>
      <c r="CM365" s="336"/>
      <c r="CN365" s="336"/>
      <c r="CO365" s="336"/>
      <c r="CP365" s="336"/>
      <c r="CQ365" s="336"/>
      <c r="CR365" s="336"/>
      <c r="CS365" s="336"/>
      <c r="CT365" s="336"/>
      <c r="CU365" s="336"/>
      <c r="CV365" s="336"/>
      <c r="CW365" s="336"/>
      <c r="CX365" s="336"/>
      <c r="CY365" s="336"/>
      <c r="CZ365" s="336"/>
      <c r="DA365" s="336"/>
      <c r="DB365" s="336"/>
      <c r="DC365" s="336"/>
      <c r="DD365" s="336"/>
      <c r="DE365" s="336"/>
      <c r="DF365" s="336"/>
      <c r="DG365" s="336"/>
      <c r="DH365" s="336"/>
      <c r="DI365" s="336"/>
      <c r="DJ365" s="336"/>
      <c r="DK365" s="336"/>
      <c r="DL365" s="336"/>
      <c r="DM365" s="336"/>
      <c r="DN365" s="336"/>
      <c r="DO365" s="336"/>
      <c r="DP365" s="336"/>
      <c r="DQ365" s="336"/>
      <c r="DR365" s="336"/>
      <c r="DS365" s="336"/>
      <c r="DT365" s="336"/>
      <c r="DU365" s="336"/>
      <c r="DW365" s="336">
        <f t="shared" si="2108"/>
        <v>0</v>
      </c>
      <c r="DX365" s="336">
        <f t="shared" si="2102"/>
        <v>0</v>
      </c>
      <c r="DY365" s="336">
        <f t="shared" si="2103"/>
        <v>0</v>
      </c>
      <c r="DZ365" s="336">
        <f t="shared" si="2104"/>
        <v>0</v>
      </c>
      <c r="EA365" s="336">
        <f t="shared" si="2105"/>
        <v>0</v>
      </c>
      <c r="EB365" s="336">
        <f t="shared" si="2106"/>
        <v>0</v>
      </c>
      <c r="EC365" s="336">
        <f t="shared" si="2107"/>
        <v>0</v>
      </c>
      <c r="ED365" s="336">
        <f t="shared" si="2515"/>
        <v>0</v>
      </c>
      <c r="EE365" s="336">
        <f t="shared" si="2516"/>
        <v>0</v>
      </c>
      <c r="EF365" s="336">
        <f t="shared" si="2517"/>
        <v>0</v>
      </c>
      <c r="EG365" s="336">
        <f t="shared" si="2518"/>
        <v>0</v>
      </c>
      <c r="EH365" s="336">
        <f t="shared" si="2519"/>
        <v>0</v>
      </c>
      <c r="EI365" s="336">
        <f t="shared" si="2520"/>
        <v>0</v>
      </c>
      <c r="EJ365" s="336">
        <f t="shared" si="2521"/>
        <v>0</v>
      </c>
      <c r="EK365" s="336">
        <f t="shared" si="2522"/>
        <v>0</v>
      </c>
      <c r="EL365" s="336">
        <f t="shared" si="2523"/>
        <v>0</v>
      </c>
      <c r="EM365" s="336">
        <f t="shared" si="2524"/>
        <v>0</v>
      </c>
      <c r="EN365" s="336">
        <f t="shared" si="2525"/>
        <v>0</v>
      </c>
      <c r="EO365" s="336">
        <f t="shared" si="2526"/>
        <v>0</v>
      </c>
      <c r="EP365" s="336">
        <f t="shared" si="2527"/>
        <v>0</v>
      </c>
      <c r="EQ365" s="336">
        <f t="shared" si="2528"/>
        <v>0</v>
      </c>
      <c r="ER365" s="336">
        <f t="shared" si="2529"/>
        <v>0</v>
      </c>
      <c r="ES365" s="336">
        <f t="shared" si="2530"/>
        <v>0</v>
      </c>
      <c r="ET365" s="336">
        <f t="shared" si="2530"/>
        <v>0</v>
      </c>
      <c r="EU365" s="336">
        <f t="shared" si="2531"/>
        <v>0</v>
      </c>
      <c r="EV365" s="336">
        <f t="shared" si="2532"/>
        <v>0</v>
      </c>
      <c r="EW365" s="336">
        <f t="shared" si="2533"/>
        <v>0</v>
      </c>
      <c r="EX365" s="336">
        <f t="shared" si="2534"/>
        <v>0</v>
      </c>
      <c r="EY365" s="336">
        <f t="shared" si="2535"/>
        <v>0</v>
      </c>
      <c r="EZ365" s="336">
        <f t="shared" si="2536"/>
        <v>0</v>
      </c>
      <c r="FA365" s="336">
        <f t="shared" si="2537"/>
        <v>0</v>
      </c>
      <c r="FB365" s="336">
        <f t="shared" si="2538"/>
        <v>0</v>
      </c>
      <c r="FC365" s="336">
        <f t="shared" si="2539"/>
        <v>0</v>
      </c>
      <c r="FD365" s="336">
        <f t="shared" si="2540"/>
        <v>0</v>
      </c>
      <c r="FE365" s="336">
        <f t="shared" si="2541"/>
        <v>0</v>
      </c>
      <c r="FF365" s="336">
        <f t="shared" si="2542"/>
        <v>0</v>
      </c>
      <c r="FG365" s="336">
        <f t="shared" si="2543"/>
        <v>0</v>
      </c>
      <c r="FH365" s="336">
        <f t="shared" si="2544"/>
        <v>0</v>
      </c>
      <c r="FI365" s="336">
        <f t="shared" si="2545"/>
        <v>0</v>
      </c>
      <c r="FJ365" s="336">
        <f t="shared" si="2546"/>
        <v>0</v>
      </c>
      <c r="FK365" s="336">
        <f t="shared" si="2547"/>
        <v>0</v>
      </c>
      <c r="FL365" s="336">
        <f t="shared" si="2548"/>
        <v>0</v>
      </c>
      <c r="FM365" s="336">
        <f t="shared" si="2549"/>
        <v>0</v>
      </c>
      <c r="FN365" s="336">
        <f t="shared" si="2550"/>
        <v>0</v>
      </c>
      <c r="FO365" s="336">
        <f t="shared" si="2551"/>
        <v>0</v>
      </c>
      <c r="FP365" s="336">
        <f t="shared" si="2552"/>
        <v>0</v>
      </c>
      <c r="FQ365" s="336">
        <f t="shared" si="2553"/>
        <v>0</v>
      </c>
      <c r="FR365" s="336">
        <f t="shared" si="2554"/>
        <v>0</v>
      </c>
      <c r="FS365" s="336">
        <f t="shared" si="2555"/>
        <v>0</v>
      </c>
      <c r="FT365" s="336">
        <f t="shared" si="2556"/>
        <v>0</v>
      </c>
      <c r="FU365" s="336">
        <f t="shared" si="2262"/>
        <v>0</v>
      </c>
      <c r="FV365" s="336">
        <f t="shared" si="2263"/>
        <v>0</v>
      </c>
      <c r="FW365" s="336">
        <f t="shared" si="2264"/>
        <v>0</v>
      </c>
      <c r="FX365" s="336">
        <f t="shared" si="2265"/>
        <v>0</v>
      </c>
      <c r="FY365" s="336">
        <f t="shared" si="2557"/>
        <v>0</v>
      </c>
      <c r="FZ365" s="336">
        <f t="shared" si="2558"/>
        <v>0</v>
      </c>
      <c r="GA365" s="336">
        <f t="shared" si="2559"/>
        <v>0</v>
      </c>
      <c r="GB365" s="336">
        <f t="shared" si="2560"/>
        <v>0</v>
      </c>
      <c r="GC365" s="336">
        <f t="shared" si="2561"/>
        <v>0</v>
      </c>
      <c r="GD365" s="336">
        <f t="shared" si="2562"/>
        <v>0</v>
      </c>
      <c r="GE365" s="336">
        <f t="shared" si="2563"/>
        <v>0</v>
      </c>
      <c r="GF365" s="336">
        <f t="shared" si="2564"/>
        <v>0</v>
      </c>
      <c r="GG365" s="336">
        <f t="shared" si="2565"/>
        <v>0</v>
      </c>
      <c r="GH365" s="336">
        <f t="shared" si="2566"/>
        <v>0</v>
      </c>
      <c r="GI365" s="336">
        <f t="shared" si="2567"/>
        <v>0</v>
      </c>
      <c r="GJ365" s="336">
        <f t="shared" si="2568"/>
        <v>0</v>
      </c>
      <c r="GK365" s="336">
        <f t="shared" si="2513"/>
        <v>0</v>
      </c>
      <c r="GL365" s="336">
        <f t="shared" si="2514"/>
        <v>0</v>
      </c>
      <c r="GM365" s="336">
        <f t="shared" si="2569"/>
        <v>0</v>
      </c>
    </row>
    <row r="366" spans="1:195">
      <c r="A366" s="337">
        <f t="shared" si="2488"/>
        <v>240</v>
      </c>
      <c r="B366" s="526" t="s">
        <v>783</v>
      </c>
      <c r="C366" s="337" t="str">
        <f t="shared" si="2489"/>
        <v>ACDB-1</v>
      </c>
      <c r="D366" s="372" t="s">
        <v>795</v>
      </c>
      <c r="E366" s="500" t="s">
        <v>608</v>
      </c>
      <c r="F366" s="570"/>
      <c r="G366" s="337" t="s">
        <v>329</v>
      </c>
      <c r="H366" s="350">
        <v>5</v>
      </c>
      <c r="I366" s="337" t="s">
        <v>330</v>
      </c>
      <c r="J366" s="337" t="s">
        <v>331</v>
      </c>
      <c r="K366" s="349">
        <v>400</v>
      </c>
      <c r="L366" s="343">
        <v>0.84999999999999987</v>
      </c>
      <c r="M366" s="350">
        <v>0.95099999999999985</v>
      </c>
      <c r="N366" s="342">
        <f t="shared" si="2490"/>
        <v>8.9281747625212677</v>
      </c>
      <c r="O366" s="342">
        <f t="shared" si="2491"/>
        <v>0</v>
      </c>
      <c r="P366" s="343" t="str">
        <f t="shared" si="2492"/>
        <v>0.00</v>
      </c>
      <c r="Q366" s="350">
        <v>50</v>
      </c>
      <c r="R366" s="350">
        <v>0</v>
      </c>
      <c r="S366" s="350">
        <f t="shared" si="2493"/>
        <v>0</v>
      </c>
      <c r="T366" s="343" t="s">
        <v>131</v>
      </c>
      <c r="U366" s="350" t="s">
        <v>522</v>
      </c>
      <c r="V366" s="343">
        <v>4</v>
      </c>
      <c r="W366" s="343" t="str">
        <f t="shared" si="2494"/>
        <v>4C X 4</v>
      </c>
      <c r="X366" s="343" t="str">
        <f t="shared" si="2495"/>
        <v>4C X 4</v>
      </c>
      <c r="Y366" s="343" t="s">
        <v>358</v>
      </c>
      <c r="Z366" s="344">
        <f>IF(T366="AIR",VLOOKUP(W366,'Catalogue Aluminium'!$B$9:$G$93,2,FALSE),IF(T366="GROUND",VLOOKUP(W366,'Catalogue Aluminium'!$B$9:$G$93,3,FALSE),IF(T366="DUCT",VLOOKUP(W366,'Catalogue Aluminium'!$B$9:$G$93,4,FALSE),IF(T366="TRENCH",VLOOKUP(W366,'Catalogue Aluminium'!$B$9:$G$93,2,FALSE)))))</f>
        <v>38</v>
      </c>
      <c r="AA366" s="345">
        <f>VLOOKUP(W366,'Catalogue Aluminium'!$B$9:$G$93,5,FALSE)</f>
        <v>5.9</v>
      </c>
      <c r="AB366" s="345">
        <f>VLOOKUP(W366,'Catalogue Aluminium'!$B$9:$G$93,6,FALSE)</f>
        <v>9.4700000000000006E-2</v>
      </c>
      <c r="AC366" s="457">
        <f>21+22</f>
        <v>43</v>
      </c>
      <c r="AD366" s="457">
        <v>0</v>
      </c>
      <c r="AE366" s="401">
        <v>5</v>
      </c>
      <c r="AF366" s="401">
        <v>8</v>
      </c>
      <c r="AG366" s="401">
        <f t="shared" si="2496"/>
        <v>6</v>
      </c>
      <c r="AH366" s="347">
        <f t="shared" si="2497"/>
        <v>62</v>
      </c>
      <c r="AI366" s="344">
        <f>IF(T366="AIR",'Catalogue Aluminium'!$K$9,IF(T366="TRENCH",'Catalogue Aluminium'!$K$12,"NA"))</f>
        <v>0.89</v>
      </c>
      <c r="AJ366" s="342">
        <f>IF(T366="Air",(IF(U366="1C",'Catalogue Aluminium'!$L$9,'Catalogue Aluminium'!$M$9)),IF(T366="DUCT",(IF($U366="1C",'Catalogue Aluminium'!$L$10,'Catalogue Aluminium'!$M$10)),IF(T366="GROUND",(IF($U366="1C",'Catalogue Aluminium'!$L$11,'Catalogue Aluminium'!$M$11)),IF(T366="TRENCH",(IF($U366="1C",'Catalogue Aluminium'!$L$12,'Catalogue Aluminium'!$M$12))))))</f>
        <v>0.66</v>
      </c>
      <c r="AK366" s="344" t="str">
        <f>IF(T366="Air",'Catalogue Aluminium'!$N$9,IF(T366="GROUND",'Catalogue Aluminium'!$N$10,IF(T366="DUCT",'Catalogue Aluminium'!$N$11,IF(T366="TRENCH",'Catalogue Aluminium'!$N$12,"NA"))))</f>
        <v>NA</v>
      </c>
      <c r="AL366" s="344" t="str">
        <f>IF(T366="Air",(IF(U366="1C",'Catalogue Aluminium'!$O$9,'Catalogue Aluminium'!$P$9)),IF(T366="DUCT",(IF($U366="1C",'Catalogue Aluminium'!$O$10,'Catalogue Aluminium'!$P$10)),IF(T366="GROUND",(IF($U366="1C",'Catalogue Aluminium'!$O$11,'Catalogue Aluminium'!$P$11)),IF(T366="TRENCH",(IF($U366="1C",'Catalogue Aluminium'!$O$12,'Catalogue Aluminium'!$P$12))))))</f>
        <v>NA</v>
      </c>
      <c r="AM366" s="344" t="str">
        <f>IF(T366="AIR","NA",IF(T366="TRENCH","NA",IF(T366="DUCT",IF(U366="1C",VLOOKUP(V366,'Catalogue Aluminium'!$Q$9:$S$28,2,FALSE),VLOOKUP(V366,'Catalogue Aluminium'!$Q$9:$S$28,3)),IF(T366="GROUND",IF(U366="1C",VLOOKUP(V366,'Catalogue Aluminium'!$Q$9:$S$28,2,FALSE),VLOOKUP(V366,'Catalogue Aluminium'!$Q$9:$S$28,3))))))</f>
        <v>NA</v>
      </c>
      <c r="AN366" s="351">
        <f t="shared" si="2498"/>
        <v>0.58740000000000003</v>
      </c>
      <c r="AO366" s="350">
        <f t="shared" si="2499"/>
        <v>22.321200000000001</v>
      </c>
      <c r="AP366" s="349">
        <f t="shared" si="2500"/>
        <v>1</v>
      </c>
      <c r="AQ366" s="350" t="str">
        <f t="shared" si="2501"/>
        <v>YES</v>
      </c>
      <c r="AR366" s="351">
        <f t="shared" si="2502"/>
        <v>1.2140168383801317</v>
      </c>
      <c r="AS366" s="343" t="str">
        <f t="shared" si="2503"/>
        <v>YES</v>
      </c>
      <c r="AT366" s="351" t="str">
        <f t="shared" si="2504"/>
        <v>NA</v>
      </c>
      <c r="AU366" s="343" t="str">
        <f t="shared" si="2505"/>
        <v>NA</v>
      </c>
      <c r="AV366" s="354" t="str">
        <f t="shared" si="2506"/>
        <v>1R x 0.6/1kV x 4C x 4 Sqmm</v>
      </c>
      <c r="AW366" s="354" t="str">
        <f t="shared" si="2507"/>
        <v>1R x 0.6/1kV x 4C x 4 Sqmm</v>
      </c>
      <c r="AX366" s="343">
        <f t="shared" si="2508"/>
        <v>62</v>
      </c>
      <c r="AY366" s="355"/>
      <c r="AZ366" s="355">
        <f t="shared" si="2509"/>
        <v>2</v>
      </c>
      <c r="BA366" s="356" t="str">
        <f t="shared" si="2510"/>
        <v/>
      </c>
      <c r="BB366" s="501">
        <f>VLOOKUP(W366,'Catalogue Aluminium'!$B$9:$H$93,7,FALSE)</f>
        <v>16</v>
      </c>
      <c r="BC366" s="328">
        <f t="shared" si="2511"/>
        <v>16</v>
      </c>
      <c r="BE366" s="336"/>
      <c r="BF366" s="336"/>
      <c r="BG366" s="336"/>
      <c r="BH366" s="336"/>
      <c r="BI366" s="336"/>
      <c r="BJ366" s="336"/>
      <c r="BK366" s="336"/>
      <c r="BL366" s="336"/>
      <c r="BM366" s="336"/>
      <c r="BN366" s="336"/>
      <c r="BO366" s="336"/>
      <c r="BP366" s="336"/>
      <c r="BQ366" s="336"/>
      <c r="BR366" s="336"/>
      <c r="BS366" s="336"/>
      <c r="BT366" s="336"/>
      <c r="BU366" s="336"/>
      <c r="BV366" s="336"/>
      <c r="BW366" s="336"/>
      <c r="BX366" s="336"/>
      <c r="BY366" s="336"/>
      <c r="BZ366" s="336"/>
      <c r="CA366" s="336"/>
      <c r="CB366" s="336"/>
      <c r="CC366" s="336"/>
      <c r="CD366" s="336"/>
      <c r="CE366" s="336"/>
      <c r="CF366" s="336"/>
      <c r="CG366" s="336"/>
      <c r="CH366" s="336"/>
      <c r="CI366" s="336"/>
      <c r="CJ366" s="336"/>
      <c r="CK366" s="336"/>
      <c r="CL366" s="336"/>
      <c r="CM366" s="336"/>
      <c r="CN366" s="336"/>
      <c r="CO366" s="336"/>
      <c r="CP366" s="336"/>
      <c r="CQ366" s="336"/>
      <c r="CR366" s="336"/>
      <c r="CS366" s="336"/>
      <c r="CT366" s="336"/>
      <c r="CU366" s="336"/>
      <c r="CV366" s="336"/>
      <c r="CW366" s="336"/>
      <c r="CX366" s="336"/>
      <c r="CY366" s="336"/>
      <c r="CZ366" s="336"/>
      <c r="DA366" s="336"/>
      <c r="DB366" s="336"/>
      <c r="DC366" s="336"/>
      <c r="DD366" s="336"/>
      <c r="DE366" s="336"/>
      <c r="DF366" s="336"/>
      <c r="DG366" s="336"/>
      <c r="DH366" s="336"/>
      <c r="DI366" s="336"/>
      <c r="DJ366" s="336"/>
      <c r="DK366" s="336"/>
      <c r="DL366" s="336"/>
      <c r="DM366" s="336"/>
      <c r="DN366" s="336"/>
      <c r="DO366" s="336"/>
      <c r="DP366" s="336"/>
      <c r="DQ366" s="336"/>
      <c r="DR366" s="336"/>
      <c r="DS366" s="336"/>
      <c r="DT366" s="336"/>
      <c r="DU366" s="336"/>
      <c r="DW366" s="336">
        <f t="shared" si="2108"/>
        <v>0</v>
      </c>
      <c r="DX366" s="336">
        <f t="shared" si="2102"/>
        <v>0</v>
      </c>
      <c r="DY366" s="336">
        <f t="shared" si="2103"/>
        <v>0</v>
      </c>
      <c r="DZ366" s="336">
        <f t="shared" si="2104"/>
        <v>0</v>
      </c>
      <c r="EA366" s="336">
        <f t="shared" si="2105"/>
        <v>0</v>
      </c>
      <c r="EB366" s="336">
        <f t="shared" si="2106"/>
        <v>0</v>
      </c>
      <c r="EC366" s="336">
        <f t="shared" si="2107"/>
        <v>0</v>
      </c>
      <c r="ED366" s="336">
        <f t="shared" si="2515"/>
        <v>0</v>
      </c>
      <c r="EE366" s="336">
        <f t="shared" si="2516"/>
        <v>0</v>
      </c>
      <c r="EF366" s="336">
        <f t="shared" si="2517"/>
        <v>0</v>
      </c>
      <c r="EG366" s="336">
        <f t="shared" si="2518"/>
        <v>0</v>
      </c>
      <c r="EH366" s="336">
        <f t="shared" si="2519"/>
        <v>0</v>
      </c>
      <c r="EI366" s="336">
        <f t="shared" si="2520"/>
        <v>0</v>
      </c>
      <c r="EJ366" s="336">
        <f t="shared" si="2521"/>
        <v>0</v>
      </c>
      <c r="EK366" s="336">
        <f t="shared" si="2522"/>
        <v>0</v>
      </c>
      <c r="EL366" s="336">
        <f t="shared" si="2523"/>
        <v>0</v>
      </c>
      <c r="EM366" s="336">
        <f t="shared" si="2524"/>
        <v>0</v>
      </c>
      <c r="EN366" s="336">
        <f t="shared" si="2525"/>
        <v>0</v>
      </c>
      <c r="EO366" s="336">
        <f t="shared" si="2526"/>
        <v>0</v>
      </c>
      <c r="EP366" s="336">
        <f t="shared" si="2527"/>
        <v>0</v>
      </c>
      <c r="EQ366" s="336">
        <f t="shared" si="2528"/>
        <v>0</v>
      </c>
      <c r="ER366" s="336">
        <f t="shared" si="2529"/>
        <v>0</v>
      </c>
      <c r="ES366" s="336">
        <f t="shared" si="2530"/>
        <v>0</v>
      </c>
      <c r="ET366" s="336">
        <f t="shared" si="2530"/>
        <v>0</v>
      </c>
      <c r="EU366" s="336">
        <f t="shared" si="2531"/>
        <v>0</v>
      </c>
      <c r="EV366" s="336">
        <f t="shared" si="2532"/>
        <v>0</v>
      </c>
      <c r="EW366" s="336">
        <f t="shared" si="2533"/>
        <v>0</v>
      </c>
      <c r="EX366" s="336">
        <f t="shared" si="2534"/>
        <v>0</v>
      </c>
      <c r="EY366" s="336">
        <f t="shared" si="2535"/>
        <v>0</v>
      </c>
      <c r="EZ366" s="336">
        <f t="shared" si="2536"/>
        <v>0</v>
      </c>
      <c r="FA366" s="336">
        <f t="shared" si="2537"/>
        <v>0</v>
      </c>
      <c r="FB366" s="336">
        <f t="shared" si="2538"/>
        <v>0</v>
      </c>
      <c r="FC366" s="336">
        <f t="shared" si="2539"/>
        <v>0</v>
      </c>
      <c r="FD366" s="336">
        <f t="shared" si="2540"/>
        <v>0</v>
      </c>
      <c r="FE366" s="336">
        <f t="shared" si="2541"/>
        <v>0</v>
      </c>
      <c r="FF366" s="336">
        <f t="shared" si="2542"/>
        <v>0</v>
      </c>
      <c r="FG366" s="336">
        <f t="shared" si="2543"/>
        <v>0</v>
      </c>
      <c r="FH366" s="336">
        <f t="shared" si="2544"/>
        <v>0</v>
      </c>
      <c r="FI366" s="336">
        <f t="shared" si="2545"/>
        <v>0</v>
      </c>
      <c r="FJ366" s="336">
        <f t="shared" si="2546"/>
        <v>0</v>
      </c>
      <c r="FK366" s="336">
        <f t="shared" si="2547"/>
        <v>0</v>
      </c>
      <c r="FL366" s="336">
        <f t="shared" si="2548"/>
        <v>0</v>
      </c>
      <c r="FM366" s="336">
        <f t="shared" si="2549"/>
        <v>0</v>
      </c>
      <c r="FN366" s="336">
        <f t="shared" si="2550"/>
        <v>0</v>
      </c>
      <c r="FO366" s="336">
        <f t="shared" si="2551"/>
        <v>0</v>
      </c>
      <c r="FP366" s="336">
        <f t="shared" si="2552"/>
        <v>0</v>
      </c>
      <c r="FQ366" s="336">
        <f t="shared" si="2553"/>
        <v>0</v>
      </c>
      <c r="FR366" s="336">
        <f t="shared" si="2554"/>
        <v>0</v>
      </c>
      <c r="FS366" s="336">
        <f t="shared" si="2555"/>
        <v>0</v>
      </c>
      <c r="FT366" s="336">
        <f t="shared" si="2556"/>
        <v>0</v>
      </c>
      <c r="FU366" s="336">
        <f t="shared" si="2262"/>
        <v>0</v>
      </c>
      <c r="FV366" s="336">
        <f t="shared" si="2263"/>
        <v>0</v>
      </c>
      <c r="FW366" s="336">
        <f t="shared" si="2264"/>
        <v>0</v>
      </c>
      <c r="FX366" s="336">
        <f t="shared" si="2265"/>
        <v>0</v>
      </c>
      <c r="FY366" s="336">
        <f t="shared" si="2557"/>
        <v>0</v>
      </c>
      <c r="FZ366" s="336">
        <f t="shared" si="2558"/>
        <v>0</v>
      </c>
      <c r="GA366" s="336">
        <f t="shared" si="2559"/>
        <v>0</v>
      </c>
      <c r="GB366" s="336">
        <f t="shared" si="2560"/>
        <v>0</v>
      </c>
      <c r="GC366" s="336">
        <f t="shared" si="2561"/>
        <v>0</v>
      </c>
      <c r="GD366" s="336">
        <f t="shared" si="2562"/>
        <v>0</v>
      </c>
      <c r="GE366" s="336">
        <f t="shared" si="2563"/>
        <v>0</v>
      </c>
      <c r="GF366" s="336">
        <f t="shared" si="2564"/>
        <v>0</v>
      </c>
      <c r="GG366" s="336">
        <f t="shared" si="2565"/>
        <v>0</v>
      </c>
      <c r="GH366" s="336">
        <f t="shared" si="2566"/>
        <v>0</v>
      </c>
      <c r="GI366" s="336">
        <f t="shared" si="2567"/>
        <v>0</v>
      </c>
      <c r="GJ366" s="336">
        <f t="shared" si="2568"/>
        <v>0</v>
      </c>
      <c r="GK366" s="336">
        <f t="shared" si="2513"/>
        <v>0</v>
      </c>
      <c r="GL366" s="336">
        <f t="shared" si="2514"/>
        <v>0</v>
      </c>
      <c r="GM366" s="336">
        <f t="shared" si="2569"/>
        <v>0</v>
      </c>
    </row>
    <row r="367" spans="1:195">
      <c r="A367" s="337">
        <f t="shared" si="2488"/>
        <v>241</v>
      </c>
      <c r="B367" s="526" t="s">
        <v>785</v>
      </c>
      <c r="C367" s="337" t="str">
        <f t="shared" si="2489"/>
        <v>ACDB-1</v>
      </c>
      <c r="D367" s="372" t="s">
        <v>796</v>
      </c>
      <c r="E367" s="500" t="s">
        <v>608</v>
      </c>
      <c r="F367" s="570"/>
      <c r="G367" s="337" t="s">
        <v>329</v>
      </c>
      <c r="H367" s="350">
        <v>5</v>
      </c>
      <c r="I367" s="337" t="s">
        <v>330</v>
      </c>
      <c r="J367" s="337" t="s">
        <v>331</v>
      </c>
      <c r="K367" s="349">
        <v>400</v>
      </c>
      <c r="L367" s="343">
        <v>0.84999999999999987</v>
      </c>
      <c r="M367" s="350">
        <v>0.95099999999999985</v>
      </c>
      <c r="N367" s="342">
        <f t="shared" si="2490"/>
        <v>8.9281747625212677</v>
      </c>
      <c r="O367" s="342">
        <f t="shared" si="2491"/>
        <v>0</v>
      </c>
      <c r="P367" s="343" t="str">
        <f t="shared" si="2492"/>
        <v>0.00</v>
      </c>
      <c r="Q367" s="350">
        <v>50</v>
      </c>
      <c r="R367" s="350">
        <v>0</v>
      </c>
      <c r="S367" s="350">
        <f t="shared" si="2493"/>
        <v>0</v>
      </c>
      <c r="T367" s="343" t="s">
        <v>131</v>
      </c>
      <c r="U367" s="350" t="s">
        <v>522</v>
      </c>
      <c r="V367" s="343">
        <v>4</v>
      </c>
      <c r="W367" s="343" t="str">
        <f t="shared" si="2494"/>
        <v>4C X 4</v>
      </c>
      <c r="X367" s="343" t="str">
        <f t="shared" si="2495"/>
        <v>4C X 4</v>
      </c>
      <c r="Y367" s="343" t="s">
        <v>358</v>
      </c>
      <c r="Z367" s="344">
        <f>IF(T367="AIR",VLOOKUP(W367,'Catalogue Aluminium'!$B$9:$G$93,2,FALSE),IF(T367="GROUND",VLOOKUP(W367,'Catalogue Aluminium'!$B$9:$G$93,3,FALSE),IF(T367="DUCT",VLOOKUP(W367,'Catalogue Aluminium'!$B$9:$G$93,4,FALSE),IF(T367="TRENCH",VLOOKUP(W367,'Catalogue Aluminium'!$B$9:$G$93,2,FALSE)))))</f>
        <v>38</v>
      </c>
      <c r="AA367" s="345">
        <f>VLOOKUP(W367,'Catalogue Aluminium'!$B$9:$G$93,5,FALSE)</f>
        <v>5.9</v>
      </c>
      <c r="AB367" s="345">
        <f>VLOOKUP(W367,'Catalogue Aluminium'!$B$9:$G$93,6,FALSE)</f>
        <v>9.4700000000000006E-2</v>
      </c>
      <c r="AC367" s="457">
        <f>21+22</f>
        <v>43</v>
      </c>
      <c r="AD367" s="457">
        <v>0</v>
      </c>
      <c r="AE367" s="401">
        <v>5</v>
      </c>
      <c r="AF367" s="401">
        <v>8</v>
      </c>
      <c r="AG367" s="401">
        <f t="shared" si="2496"/>
        <v>6</v>
      </c>
      <c r="AH367" s="347">
        <f t="shared" si="2497"/>
        <v>62</v>
      </c>
      <c r="AI367" s="344">
        <f>IF(T367="AIR",'Catalogue Aluminium'!$K$9,IF(T367="TRENCH",'Catalogue Aluminium'!$K$12,"NA"))</f>
        <v>0.89</v>
      </c>
      <c r="AJ367" s="342">
        <f>IF(T367="Air",(IF(U367="1C",'Catalogue Aluminium'!$L$9,'Catalogue Aluminium'!$M$9)),IF(T367="DUCT",(IF($U367="1C",'Catalogue Aluminium'!$L$10,'Catalogue Aluminium'!$M$10)),IF(T367="GROUND",(IF($U367="1C",'Catalogue Aluminium'!$L$11,'Catalogue Aluminium'!$M$11)),IF(T367="TRENCH",(IF($U367="1C",'Catalogue Aluminium'!$L$12,'Catalogue Aluminium'!$M$12))))))</f>
        <v>0.66</v>
      </c>
      <c r="AK367" s="344" t="str">
        <f>IF(T367="Air",'Catalogue Aluminium'!$N$9,IF(T367="GROUND",'Catalogue Aluminium'!$N$10,IF(T367="DUCT",'Catalogue Aluminium'!$N$11,IF(T367="TRENCH",'Catalogue Aluminium'!$N$12,"NA"))))</f>
        <v>NA</v>
      </c>
      <c r="AL367" s="344" t="str">
        <f>IF(T367="Air",(IF(U367="1C",'Catalogue Aluminium'!$O$9,'Catalogue Aluminium'!$P$9)),IF(T367="DUCT",(IF($U367="1C",'Catalogue Aluminium'!$O$10,'Catalogue Aluminium'!$P$10)),IF(T367="GROUND",(IF($U367="1C",'Catalogue Aluminium'!$O$11,'Catalogue Aluminium'!$P$11)),IF(T367="TRENCH",(IF($U367="1C",'Catalogue Aluminium'!$O$12,'Catalogue Aluminium'!$P$12))))))</f>
        <v>NA</v>
      </c>
      <c r="AM367" s="344" t="str">
        <f>IF(T367="AIR","NA",IF(T367="TRENCH","NA",IF(T367="DUCT",IF(U367="1C",VLOOKUP(V367,'Catalogue Aluminium'!$Q$9:$S$28,2,FALSE),VLOOKUP(V367,'Catalogue Aluminium'!$Q$9:$S$28,3)),IF(T367="GROUND",IF(U367="1C",VLOOKUP(V367,'Catalogue Aluminium'!$Q$9:$S$28,2,FALSE),VLOOKUP(V367,'Catalogue Aluminium'!$Q$9:$S$28,3))))))</f>
        <v>NA</v>
      </c>
      <c r="AN367" s="351">
        <f t="shared" si="2498"/>
        <v>0.58740000000000003</v>
      </c>
      <c r="AO367" s="350">
        <f t="shared" si="2499"/>
        <v>22.321200000000001</v>
      </c>
      <c r="AP367" s="349">
        <f t="shared" si="2500"/>
        <v>1</v>
      </c>
      <c r="AQ367" s="350" t="str">
        <f t="shared" si="2501"/>
        <v>YES</v>
      </c>
      <c r="AR367" s="351">
        <f t="shared" si="2502"/>
        <v>1.2140168383801317</v>
      </c>
      <c r="AS367" s="343" t="str">
        <f t="shared" si="2503"/>
        <v>YES</v>
      </c>
      <c r="AT367" s="351" t="str">
        <f t="shared" si="2504"/>
        <v>NA</v>
      </c>
      <c r="AU367" s="343" t="str">
        <f t="shared" si="2505"/>
        <v>NA</v>
      </c>
      <c r="AV367" s="354" t="str">
        <f t="shared" si="2506"/>
        <v>1R x 0.6/1kV x 4C x 4 Sqmm</v>
      </c>
      <c r="AW367" s="354" t="str">
        <f t="shared" si="2507"/>
        <v>1R x 0.6/1kV x 4C x 4 Sqmm</v>
      </c>
      <c r="AX367" s="343">
        <f t="shared" si="2508"/>
        <v>62</v>
      </c>
      <c r="AY367" s="355"/>
      <c r="AZ367" s="355">
        <f t="shared" si="2509"/>
        <v>2</v>
      </c>
      <c r="BA367" s="356" t="str">
        <f t="shared" si="2510"/>
        <v/>
      </c>
      <c r="BB367" s="501">
        <f>VLOOKUP(W367,'Catalogue Aluminium'!$B$9:$H$93,7,FALSE)</f>
        <v>16</v>
      </c>
      <c r="BC367" s="328">
        <f t="shared" si="2511"/>
        <v>16</v>
      </c>
      <c r="BE367" s="336"/>
      <c r="BF367" s="336"/>
      <c r="BG367" s="336"/>
      <c r="BH367" s="336"/>
      <c r="BI367" s="336"/>
      <c r="BJ367" s="336"/>
      <c r="BK367" s="336"/>
      <c r="BL367" s="336"/>
      <c r="BM367" s="336"/>
      <c r="BN367" s="336"/>
      <c r="BO367" s="336"/>
      <c r="BP367" s="336"/>
      <c r="BQ367" s="336"/>
      <c r="BR367" s="336"/>
      <c r="BS367" s="336"/>
      <c r="BT367" s="336"/>
      <c r="BU367" s="336"/>
      <c r="BV367" s="336"/>
      <c r="BW367" s="336"/>
      <c r="BX367" s="336"/>
      <c r="BY367" s="336"/>
      <c r="BZ367" s="336"/>
      <c r="CA367" s="336"/>
      <c r="CB367" s="336"/>
      <c r="CC367" s="336"/>
      <c r="CD367" s="336"/>
      <c r="CE367" s="336"/>
      <c r="CF367" s="336"/>
      <c r="CG367" s="336"/>
      <c r="CH367" s="336"/>
      <c r="CI367" s="336"/>
      <c r="CJ367" s="336"/>
      <c r="CK367" s="336"/>
      <c r="CL367" s="336"/>
      <c r="CM367" s="336"/>
      <c r="CN367" s="336"/>
      <c r="CO367" s="336"/>
      <c r="CP367" s="336"/>
      <c r="CQ367" s="336"/>
      <c r="CR367" s="336"/>
      <c r="CS367" s="336"/>
      <c r="CT367" s="336"/>
      <c r="CU367" s="336"/>
      <c r="CV367" s="336"/>
      <c r="CW367" s="336"/>
      <c r="CX367" s="336"/>
      <c r="CY367" s="336"/>
      <c r="CZ367" s="336"/>
      <c r="DA367" s="336"/>
      <c r="DB367" s="336"/>
      <c r="DC367" s="336"/>
      <c r="DD367" s="336"/>
      <c r="DE367" s="336"/>
      <c r="DF367" s="336"/>
      <c r="DG367" s="336"/>
      <c r="DH367" s="336"/>
      <c r="DI367" s="336"/>
      <c r="DJ367" s="336"/>
      <c r="DK367" s="336"/>
      <c r="DL367" s="336"/>
      <c r="DM367" s="336"/>
      <c r="DN367" s="336"/>
      <c r="DO367" s="336"/>
      <c r="DP367" s="336"/>
      <c r="DQ367" s="336"/>
      <c r="DR367" s="336"/>
      <c r="DS367" s="336"/>
      <c r="DT367" s="336"/>
      <c r="DU367" s="336"/>
      <c r="DW367" s="336">
        <f t="shared" si="2108"/>
        <v>0</v>
      </c>
      <c r="DX367" s="336">
        <f t="shared" si="2102"/>
        <v>0</v>
      </c>
      <c r="DY367" s="336">
        <f t="shared" si="2103"/>
        <v>0</v>
      </c>
      <c r="DZ367" s="336">
        <f t="shared" si="2104"/>
        <v>0</v>
      </c>
      <c r="EA367" s="336">
        <f t="shared" si="2105"/>
        <v>0</v>
      </c>
      <c r="EB367" s="336">
        <f t="shared" si="2106"/>
        <v>0</v>
      </c>
      <c r="EC367" s="336">
        <f t="shared" si="2107"/>
        <v>0</v>
      </c>
      <c r="ED367" s="336">
        <f t="shared" si="2515"/>
        <v>0</v>
      </c>
      <c r="EE367" s="336">
        <f t="shared" si="2516"/>
        <v>0</v>
      </c>
      <c r="EF367" s="336">
        <f t="shared" si="2517"/>
        <v>0</v>
      </c>
      <c r="EG367" s="336">
        <f t="shared" si="2518"/>
        <v>0</v>
      </c>
      <c r="EH367" s="336">
        <f t="shared" si="2519"/>
        <v>0</v>
      </c>
      <c r="EI367" s="336">
        <f t="shared" si="2520"/>
        <v>0</v>
      </c>
      <c r="EJ367" s="336">
        <f t="shared" si="2521"/>
        <v>0</v>
      </c>
      <c r="EK367" s="336">
        <f t="shared" si="2522"/>
        <v>0</v>
      </c>
      <c r="EL367" s="336">
        <f t="shared" si="2523"/>
        <v>0</v>
      </c>
      <c r="EM367" s="336">
        <f t="shared" si="2524"/>
        <v>0</v>
      </c>
      <c r="EN367" s="336">
        <f t="shared" si="2525"/>
        <v>0</v>
      </c>
      <c r="EO367" s="336">
        <f t="shared" si="2526"/>
        <v>0</v>
      </c>
      <c r="EP367" s="336">
        <f t="shared" si="2527"/>
        <v>0</v>
      </c>
      <c r="EQ367" s="336">
        <f t="shared" si="2528"/>
        <v>0</v>
      </c>
      <c r="ER367" s="336">
        <f t="shared" si="2529"/>
        <v>0</v>
      </c>
      <c r="ES367" s="336">
        <f t="shared" si="2530"/>
        <v>0</v>
      </c>
      <c r="ET367" s="336">
        <f t="shared" si="2530"/>
        <v>0</v>
      </c>
      <c r="EU367" s="336">
        <f t="shared" si="2531"/>
        <v>0</v>
      </c>
      <c r="EV367" s="336">
        <f t="shared" si="2532"/>
        <v>0</v>
      </c>
      <c r="EW367" s="336">
        <f t="shared" si="2533"/>
        <v>0</v>
      </c>
      <c r="EX367" s="336">
        <f t="shared" si="2534"/>
        <v>0</v>
      </c>
      <c r="EY367" s="336">
        <f t="shared" si="2535"/>
        <v>0</v>
      </c>
      <c r="EZ367" s="336">
        <f t="shared" si="2536"/>
        <v>0</v>
      </c>
      <c r="FA367" s="336">
        <f t="shared" si="2537"/>
        <v>0</v>
      </c>
      <c r="FB367" s="336">
        <f t="shared" si="2538"/>
        <v>0</v>
      </c>
      <c r="FC367" s="336">
        <f t="shared" si="2539"/>
        <v>0</v>
      </c>
      <c r="FD367" s="336">
        <f t="shared" si="2540"/>
        <v>0</v>
      </c>
      <c r="FE367" s="336">
        <f t="shared" si="2541"/>
        <v>0</v>
      </c>
      <c r="FF367" s="336">
        <f t="shared" si="2542"/>
        <v>0</v>
      </c>
      <c r="FG367" s="336">
        <f t="shared" si="2543"/>
        <v>0</v>
      </c>
      <c r="FH367" s="336">
        <f t="shared" si="2544"/>
        <v>0</v>
      </c>
      <c r="FI367" s="336">
        <f t="shared" si="2545"/>
        <v>0</v>
      </c>
      <c r="FJ367" s="336">
        <f t="shared" si="2546"/>
        <v>0</v>
      </c>
      <c r="FK367" s="336">
        <f t="shared" si="2547"/>
        <v>0</v>
      </c>
      <c r="FL367" s="336">
        <f t="shared" si="2548"/>
        <v>0</v>
      </c>
      <c r="FM367" s="336">
        <f t="shared" si="2549"/>
        <v>0</v>
      </c>
      <c r="FN367" s="336">
        <f t="shared" si="2550"/>
        <v>0</v>
      </c>
      <c r="FO367" s="336">
        <f t="shared" si="2551"/>
        <v>0</v>
      </c>
      <c r="FP367" s="336">
        <f t="shared" si="2552"/>
        <v>0</v>
      </c>
      <c r="FQ367" s="336">
        <f t="shared" si="2553"/>
        <v>0</v>
      </c>
      <c r="FR367" s="336">
        <f t="shared" si="2554"/>
        <v>0</v>
      </c>
      <c r="FS367" s="336">
        <f t="shared" si="2555"/>
        <v>0</v>
      </c>
      <c r="FT367" s="336">
        <f t="shared" si="2556"/>
        <v>0</v>
      </c>
      <c r="FU367" s="336">
        <f t="shared" si="2262"/>
        <v>0</v>
      </c>
      <c r="FV367" s="336">
        <f t="shared" si="2263"/>
        <v>0</v>
      </c>
      <c r="FW367" s="336">
        <f t="shared" si="2264"/>
        <v>0</v>
      </c>
      <c r="FX367" s="336">
        <f t="shared" si="2265"/>
        <v>0</v>
      </c>
      <c r="FY367" s="336">
        <f t="shared" si="2557"/>
        <v>0</v>
      </c>
      <c r="FZ367" s="336">
        <f t="shared" si="2558"/>
        <v>0</v>
      </c>
      <c r="GA367" s="336">
        <f t="shared" si="2559"/>
        <v>0</v>
      </c>
      <c r="GB367" s="336">
        <f t="shared" si="2560"/>
        <v>0</v>
      </c>
      <c r="GC367" s="336">
        <f t="shared" si="2561"/>
        <v>0</v>
      </c>
      <c r="GD367" s="336">
        <f t="shared" si="2562"/>
        <v>0</v>
      </c>
      <c r="GE367" s="336">
        <f t="shared" si="2563"/>
        <v>0</v>
      </c>
      <c r="GF367" s="336">
        <f t="shared" si="2564"/>
        <v>0</v>
      </c>
      <c r="GG367" s="336">
        <f t="shared" si="2565"/>
        <v>0</v>
      </c>
      <c r="GH367" s="336">
        <f t="shared" si="2566"/>
        <v>0</v>
      </c>
      <c r="GI367" s="336">
        <f t="shared" si="2567"/>
        <v>0</v>
      </c>
      <c r="GJ367" s="336">
        <f t="shared" si="2568"/>
        <v>0</v>
      </c>
      <c r="GK367" s="336">
        <f t="shared" si="2513"/>
        <v>0</v>
      </c>
      <c r="GL367" s="336">
        <f t="shared" si="2514"/>
        <v>0</v>
      </c>
      <c r="GM367" s="336">
        <f t="shared" si="2569"/>
        <v>0</v>
      </c>
    </row>
    <row r="368" spans="1:195" ht="25.5">
      <c r="A368" s="337">
        <f t="shared" si="2488"/>
        <v>242</v>
      </c>
      <c r="B368" s="526" t="s">
        <v>770</v>
      </c>
      <c r="C368" s="337" t="str">
        <f>$C$347</f>
        <v>PDB-1</v>
      </c>
      <c r="D368" s="372" t="s">
        <v>797</v>
      </c>
      <c r="E368" s="500" t="s">
        <v>608</v>
      </c>
      <c r="F368" s="570"/>
      <c r="G368" s="340" t="s">
        <v>337</v>
      </c>
      <c r="H368" s="350">
        <v>28.231578947368426</v>
      </c>
      <c r="I368" s="337" t="s">
        <v>330</v>
      </c>
      <c r="J368" s="337" t="s">
        <v>331</v>
      </c>
      <c r="K368" s="349">
        <v>400</v>
      </c>
      <c r="L368" s="343">
        <v>0.84999999999999987</v>
      </c>
      <c r="M368" s="350">
        <v>0.95099999999999985</v>
      </c>
      <c r="N368" s="342">
        <f t="shared" si="2490"/>
        <v>50.411294132804308</v>
      </c>
      <c r="O368" s="399"/>
      <c r="P368" s="400"/>
      <c r="Q368" s="400"/>
      <c r="R368" s="400"/>
      <c r="S368" s="400"/>
      <c r="T368" s="400"/>
      <c r="U368" s="400"/>
      <c r="V368" s="400"/>
      <c r="W368" s="400"/>
      <c r="X368" s="400"/>
      <c r="Y368" s="400"/>
      <c r="Z368" s="400"/>
      <c r="AA368" s="400"/>
      <c r="AB368" s="400"/>
      <c r="AC368" s="913"/>
      <c r="AD368" s="913"/>
      <c r="AE368" s="913"/>
      <c r="AF368" s="913"/>
      <c r="AG368" s="913"/>
      <c r="AH368" s="400"/>
      <c r="AI368" s="400"/>
      <c r="AJ368" s="400"/>
      <c r="AK368" s="400"/>
      <c r="AL368" s="400"/>
      <c r="AM368" s="400"/>
      <c r="AN368" s="400"/>
      <c r="AO368" s="400"/>
      <c r="AP368" s="400"/>
      <c r="AQ368" s="400"/>
      <c r="AR368" s="400"/>
      <c r="AS368" s="400"/>
      <c r="AT368" s="400"/>
      <c r="AU368" s="400"/>
      <c r="AV368" s="400"/>
      <c r="AW368" s="400"/>
      <c r="AX368" s="400"/>
      <c r="AY368" s="400"/>
      <c r="AZ368" s="400"/>
      <c r="BA368" s="400"/>
      <c r="BB368" s="400"/>
      <c r="BC368" s="912"/>
      <c r="BE368" s="530"/>
      <c r="BF368" s="530"/>
      <c r="BG368" s="530"/>
      <c r="BH368" s="530"/>
      <c r="BI368" s="530"/>
      <c r="BJ368" s="530"/>
      <c r="BK368" s="530"/>
      <c r="BL368" s="530"/>
      <c r="BM368" s="530"/>
      <c r="BN368" s="530"/>
      <c r="BO368" s="530"/>
      <c r="BP368" s="530"/>
      <c r="BQ368" s="530"/>
      <c r="BR368" s="530"/>
      <c r="BS368" s="530"/>
      <c r="BT368" s="530"/>
      <c r="BU368" s="530"/>
      <c r="BV368" s="530"/>
      <c r="BW368" s="530"/>
      <c r="BX368" s="530"/>
      <c r="BY368" s="530"/>
      <c r="BZ368" s="530"/>
      <c r="CA368" s="530"/>
      <c r="CB368" s="530"/>
      <c r="CC368" s="530"/>
      <c r="CD368" s="530"/>
      <c r="CE368" s="530"/>
      <c r="CF368" s="530"/>
      <c r="CG368" s="530"/>
      <c r="CH368" s="530"/>
      <c r="CI368" s="530"/>
      <c r="CJ368" s="530"/>
      <c r="CK368" s="530"/>
      <c r="CL368" s="530"/>
      <c r="CM368" s="530"/>
      <c r="CN368" s="530"/>
      <c r="CO368" s="530"/>
      <c r="CP368" s="530"/>
      <c r="CQ368" s="530"/>
      <c r="CR368" s="530"/>
      <c r="CS368" s="530"/>
      <c r="CT368" s="530"/>
      <c r="CU368" s="530"/>
      <c r="CV368" s="530"/>
      <c r="CW368" s="530"/>
      <c r="CX368" s="530"/>
      <c r="CY368" s="530"/>
      <c r="CZ368" s="530"/>
      <c r="DA368" s="530"/>
      <c r="DB368" s="530"/>
      <c r="DC368" s="530"/>
      <c r="DD368" s="530"/>
      <c r="DE368" s="530"/>
      <c r="DF368" s="530"/>
      <c r="DG368" s="530"/>
      <c r="DH368" s="530"/>
      <c r="DI368" s="530"/>
      <c r="DJ368" s="530"/>
      <c r="DK368" s="530"/>
      <c r="DL368" s="530"/>
      <c r="DM368" s="530"/>
      <c r="DN368" s="530"/>
      <c r="DO368" s="530"/>
      <c r="DP368" s="530"/>
      <c r="DQ368" s="530"/>
      <c r="DR368" s="530"/>
      <c r="DS368" s="530"/>
      <c r="DT368" s="530"/>
      <c r="DU368" s="530"/>
      <c r="DW368" s="336">
        <f t="shared" si="2108"/>
        <v>0</v>
      </c>
      <c r="DX368" s="336">
        <f t="shared" si="2102"/>
        <v>0</v>
      </c>
      <c r="DY368" s="336">
        <f t="shared" si="2103"/>
        <v>0</v>
      </c>
      <c r="DZ368" s="336">
        <f t="shared" si="2104"/>
        <v>0</v>
      </c>
      <c r="EA368" s="336">
        <f t="shared" si="2105"/>
        <v>0</v>
      </c>
      <c r="EB368" s="336">
        <f t="shared" si="2106"/>
        <v>0</v>
      </c>
      <c r="EC368" s="336">
        <f t="shared" si="2107"/>
        <v>0</v>
      </c>
      <c r="ED368" s="336">
        <f t="shared" si="2515"/>
        <v>0</v>
      </c>
      <c r="EE368" s="336">
        <f t="shared" si="2516"/>
        <v>0</v>
      </c>
      <c r="EF368" s="336">
        <f t="shared" si="2517"/>
        <v>0</v>
      </c>
      <c r="EG368" s="336">
        <f t="shared" si="2518"/>
        <v>0</v>
      </c>
      <c r="EH368" s="336">
        <f t="shared" si="2519"/>
        <v>0</v>
      </c>
      <c r="EI368" s="336">
        <f t="shared" si="2520"/>
        <v>0</v>
      </c>
      <c r="EJ368" s="336">
        <f t="shared" si="2521"/>
        <v>0</v>
      </c>
      <c r="EK368" s="336">
        <f t="shared" si="2522"/>
        <v>0</v>
      </c>
      <c r="EL368" s="336">
        <f t="shared" si="2523"/>
        <v>0</v>
      </c>
      <c r="EM368" s="336">
        <f t="shared" si="2524"/>
        <v>0</v>
      </c>
      <c r="EN368" s="336">
        <f t="shared" si="2525"/>
        <v>0</v>
      </c>
      <c r="EO368" s="336">
        <f t="shared" si="2526"/>
        <v>0</v>
      </c>
      <c r="EP368" s="336">
        <f t="shared" si="2527"/>
        <v>0</v>
      </c>
      <c r="EQ368" s="336">
        <f t="shared" si="2528"/>
        <v>0</v>
      </c>
      <c r="ER368" s="336">
        <f t="shared" si="2529"/>
        <v>0</v>
      </c>
      <c r="ES368" s="336">
        <f t="shared" si="2530"/>
        <v>0</v>
      </c>
      <c r="ET368" s="336">
        <f t="shared" si="2530"/>
        <v>0</v>
      </c>
      <c r="EU368" s="336">
        <f t="shared" si="2531"/>
        <v>0</v>
      </c>
      <c r="EV368" s="336">
        <f t="shared" si="2532"/>
        <v>0</v>
      </c>
      <c r="EW368" s="336">
        <f t="shared" si="2533"/>
        <v>0</v>
      </c>
      <c r="EX368" s="336">
        <f t="shared" si="2534"/>
        <v>0</v>
      </c>
      <c r="EY368" s="336">
        <f t="shared" si="2535"/>
        <v>0</v>
      </c>
      <c r="EZ368" s="336">
        <f t="shared" si="2536"/>
        <v>0</v>
      </c>
      <c r="FA368" s="336">
        <f t="shared" si="2537"/>
        <v>0</v>
      </c>
      <c r="FB368" s="336">
        <f t="shared" si="2538"/>
        <v>0</v>
      </c>
      <c r="FC368" s="336">
        <f t="shared" si="2539"/>
        <v>0</v>
      </c>
      <c r="FD368" s="336">
        <f t="shared" si="2540"/>
        <v>0</v>
      </c>
      <c r="FE368" s="336">
        <f t="shared" si="2541"/>
        <v>0</v>
      </c>
      <c r="FF368" s="336">
        <f t="shared" si="2542"/>
        <v>0</v>
      </c>
      <c r="FG368" s="336">
        <f t="shared" si="2543"/>
        <v>0</v>
      </c>
      <c r="FH368" s="336">
        <f t="shared" si="2544"/>
        <v>0</v>
      </c>
      <c r="FI368" s="336">
        <f t="shared" si="2545"/>
        <v>0</v>
      </c>
      <c r="FJ368" s="336">
        <f t="shared" si="2546"/>
        <v>0</v>
      </c>
      <c r="FK368" s="336">
        <f t="shared" si="2547"/>
        <v>0</v>
      </c>
      <c r="FL368" s="336">
        <f t="shared" si="2548"/>
        <v>0</v>
      </c>
      <c r="FM368" s="336">
        <f t="shared" si="2549"/>
        <v>0</v>
      </c>
      <c r="FN368" s="336">
        <f t="shared" si="2550"/>
        <v>0</v>
      </c>
      <c r="FO368" s="336">
        <f t="shared" si="2551"/>
        <v>0</v>
      </c>
      <c r="FP368" s="336">
        <f t="shared" si="2552"/>
        <v>0</v>
      </c>
      <c r="FQ368" s="336">
        <f t="shared" si="2553"/>
        <v>0</v>
      </c>
      <c r="FR368" s="336">
        <f t="shared" si="2554"/>
        <v>0</v>
      </c>
      <c r="FS368" s="336">
        <f t="shared" si="2555"/>
        <v>0</v>
      </c>
      <c r="FT368" s="336">
        <f t="shared" si="2556"/>
        <v>0</v>
      </c>
      <c r="FU368" s="336">
        <f t="shared" si="2262"/>
        <v>0</v>
      </c>
      <c r="FV368" s="336">
        <f t="shared" si="2263"/>
        <v>0</v>
      </c>
      <c r="FW368" s="336">
        <f t="shared" si="2264"/>
        <v>0</v>
      </c>
      <c r="FX368" s="336">
        <f t="shared" si="2265"/>
        <v>0</v>
      </c>
      <c r="FY368" s="336">
        <f t="shared" si="2557"/>
        <v>0</v>
      </c>
      <c r="FZ368" s="336">
        <f t="shared" si="2558"/>
        <v>0</v>
      </c>
      <c r="GA368" s="336">
        <f t="shared" si="2559"/>
        <v>0</v>
      </c>
      <c r="GB368" s="336">
        <f t="shared" si="2560"/>
        <v>0</v>
      </c>
      <c r="GC368" s="336">
        <f t="shared" si="2561"/>
        <v>0</v>
      </c>
      <c r="GD368" s="336">
        <f t="shared" si="2562"/>
        <v>0</v>
      </c>
      <c r="GE368" s="336">
        <f t="shared" si="2563"/>
        <v>0</v>
      </c>
      <c r="GF368" s="336">
        <f t="shared" si="2564"/>
        <v>0</v>
      </c>
      <c r="GG368" s="336">
        <f t="shared" si="2565"/>
        <v>0</v>
      </c>
      <c r="GH368" s="336">
        <f t="shared" si="2566"/>
        <v>0</v>
      </c>
      <c r="GI368" s="336">
        <f t="shared" si="2567"/>
        <v>0</v>
      </c>
      <c r="GJ368" s="336">
        <f t="shared" si="2568"/>
        <v>0</v>
      </c>
      <c r="GK368" s="336">
        <f t="shared" si="2513"/>
        <v>0</v>
      </c>
      <c r="GL368" s="336">
        <f t="shared" si="2514"/>
        <v>0</v>
      </c>
      <c r="GM368" s="336">
        <f t="shared" si="2569"/>
        <v>0</v>
      </c>
    </row>
    <row r="369" spans="1:195" ht="25.5">
      <c r="A369" s="337">
        <f t="shared" si="2488"/>
        <v>243</v>
      </c>
      <c r="B369" s="526" t="s">
        <v>770</v>
      </c>
      <c r="C369" s="337" t="str">
        <f>$C$347</f>
        <v>PDB-1</v>
      </c>
      <c r="D369" s="372" t="s">
        <v>798</v>
      </c>
      <c r="E369" s="500" t="s">
        <v>608</v>
      </c>
      <c r="F369" s="570"/>
      <c r="G369" s="340" t="s">
        <v>337</v>
      </c>
      <c r="H369" s="350">
        <v>28.231578947368426</v>
      </c>
      <c r="I369" s="337" t="s">
        <v>330</v>
      </c>
      <c r="J369" s="337" t="s">
        <v>331</v>
      </c>
      <c r="K369" s="349">
        <v>400</v>
      </c>
      <c r="L369" s="343">
        <v>0.84999999999999987</v>
      </c>
      <c r="M369" s="350">
        <v>0.95099999999999985</v>
      </c>
      <c r="N369" s="342">
        <f t="shared" si="2490"/>
        <v>50.411294132804308</v>
      </c>
      <c r="O369" s="399"/>
      <c r="P369" s="400"/>
      <c r="Q369" s="400"/>
      <c r="R369" s="400"/>
      <c r="S369" s="400"/>
      <c r="T369" s="400"/>
      <c r="U369" s="400"/>
      <c r="V369" s="400"/>
      <c r="W369" s="400"/>
      <c r="X369" s="400"/>
      <c r="Y369" s="400"/>
      <c r="Z369" s="400"/>
      <c r="AA369" s="400"/>
      <c r="AB369" s="400"/>
      <c r="AC369" s="913"/>
      <c r="AD369" s="913"/>
      <c r="AE369" s="913"/>
      <c r="AF369" s="913"/>
      <c r="AG369" s="913"/>
      <c r="AH369" s="400"/>
      <c r="AI369" s="400"/>
      <c r="AJ369" s="400"/>
      <c r="AK369" s="400"/>
      <c r="AL369" s="400"/>
      <c r="AM369" s="400"/>
      <c r="AN369" s="400"/>
      <c r="AO369" s="400"/>
      <c r="AP369" s="400"/>
      <c r="AQ369" s="400"/>
      <c r="AR369" s="400"/>
      <c r="AS369" s="400"/>
      <c r="AT369" s="400"/>
      <c r="AU369" s="400"/>
      <c r="AV369" s="400"/>
      <c r="AW369" s="400"/>
      <c r="AX369" s="400"/>
      <c r="AY369" s="400"/>
      <c r="AZ369" s="400"/>
      <c r="BA369" s="400"/>
      <c r="BB369" s="400"/>
      <c r="BC369" s="912"/>
      <c r="BE369" s="530"/>
      <c r="BF369" s="530"/>
      <c r="BG369" s="530"/>
      <c r="BH369" s="530"/>
      <c r="BI369" s="530"/>
      <c r="BJ369" s="530"/>
      <c r="BK369" s="530"/>
      <c r="BL369" s="530"/>
      <c r="BM369" s="530"/>
      <c r="BN369" s="530"/>
      <c r="BO369" s="530"/>
      <c r="BP369" s="530"/>
      <c r="BQ369" s="530"/>
      <c r="BR369" s="530"/>
      <c r="BS369" s="530"/>
      <c r="BT369" s="530"/>
      <c r="BU369" s="530"/>
      <c r="BV369" s="530"/>
      <c r="BW369" s="530"/>
      <c r="BX369" s="530"/>
      <c r="BY369" s="530"/>
      <c r="BZ369" s="530"/>
      <c r="CA369" s="530"/>
      <c r="CB369" s="530"/>
      <c r="CC369" s="530"/>
      <c r="CD369" s="530"/>
      <c r="CE369" s="530"/>
      <c r="CF369" s="530"/>
      <c r="CG369" s="530"/>
      <c r="CH369" s="530"/>
      <c r="CI369" s="530"/>
      <c r="CJ369" s="530"/>
      <c r="CK369" s="530"/>
      <c r="CL369" s="530"/>
      <c r="CM369" s="530"/>
      <c r="CN369" s="530"/>
      <c r="CO369" s="530"/>
      <c r="CP369" s="530"/>
      <c r="CQ369" s="530"/>
      <c r="CR369" s="530"/>
      <c r="CS369" s="530"/>
      <c r="CT369" s="530"/>
      <c r="CU369" s="530"/>
      <c r="CV369" s="530"/>
      <c r="CW369" s="530"/>
      <c r="CX369" s="530"/>
      <c r="CY369" s="530"/>
      <c r="CZ369" s="530"/>
      <c r="DA369" s="530"/>
      <c r="DB369" s="530"/>
      <c r="DC369" s="530"/>
      <c r="DD369" s="530"/>
      <c r="DE369" s="530"/>
      <c r="DF369" s="530"/>
      <c r="DG369" s="530"/>
      <c r="DH369" s="530"/>
      <c r="DI369" s="530"/>
      <c r="DJ369" s="530"/>
      <c r="DK369" s="530"/>
      <c r="DL369" s="530"/>
      <c r="DM369" s="530"/>
      <c r="DN369" s="530"/>
      <c r="DO369" s="530"/>
      <c r="DP369" s="530"/>
      <c r="DQ369" s="530"/>
      <c r="DR369" s="530"/>
      <c r="DS369" s="530"/>
      <c r="DT369" s="530"/>
      <c r="DU369" s="530"/>
      <c r="DW369" s="336">
        <f t="shared" si="2108"/>
        <v>0</v>
      </c>
      <c r="DX369" s="336">
        <f t="shared" si="2102"/>
        <v>0</v>
      </c>
      <c r="DY369" s="336">
        <f t="shared" si="2103"/>
        <v>0</v>
      </c>
      <c r="DZ369" s="336">
        <f t="shared" si="2104"/>
        <v>0</v>
      </c>
      <c r="EA369" s="336">
        <f t="shared" si="2105"/>
        <v>0</v>
      </c>
      <c r="EB369" s="336">
        <f t="shared" si="2106"/>
        <v>0</v>
      </c>
      <c r="EC369" s="336">
        <f t="shared" si="2107"/>
        <v>0</v>
      </c>
      <c r="ED369" s="336">
        <f t="shared" si="2515"/>
        <v>0</v>
      </c>
      <c r="EE369" s="336">
        <f t="shared" si="2516"/>
        <v>0</v>
      </c>
      <c r="EF369" s="336">
        <f t="shared" si="2517"/>
        <v>0</v>
      </c>
      <c r="EG369" s="336">
        <f t="shared" si="2518"/>
        <v>0</v>
      </c>
      <c r="EH369" s="336">
        <f t="shared" si="2519"/>
        <v>0</v>
      </c>
      <c r="EI369" s="336">
        <f t="shared" si="2520"/>
        <v>0</v>
      </c>
      <c r="EJ369" s="336">
        <f t="shared" si="2521"/>
        <v>0</v>
      </c>
      <c r="EK369" s="336">
        <f t="shared" si="2522"/>
        <v>0</v>
      </c>
      <c r="EL369" s="336">
        <f t="shared" si="2523"/>
        <v>0</v>
      </c>
      <c r="EM369" s="336">
        <f t="shared" si="2524"/>
        <v>0</v>
      </c>
      <c r="EN369" s="336">
        <f t="shared" si="2525"/>
        <v>0</v>
      </c>
      <c r="EO369" s="336">
        <f t="shared" si="2526"/>
        <v>0</v>
      </c>
      <c r="EP369" s="336">
        <f t="shared" si="2527"/>
        <v>0</v>
      </c>
      <c r="EQ369" s="336">
        <f t="shared" si="2528"/>
        <v>0</v>
      </c>
      <c r="ER369" s="336">
        <f t="shared" si="2529"/>
        <v>0</v>
      </c>
      <c r="ES369" s="336">
        <f t="shared" si="2530"/>
        <v>0</v>
      </c>
      <c r="ET369" s="336">
        <f t="shared" si="2530"/>
        <v>0</v>
      </c>
      <c r="EU369" s="336">
        <f t="shared" si="2531"/>
        <v>0</v>
      </c>
      <c r="EV369" s="336">
        <f t="shared" si="2532"/>
        <v>0</v>
      </c>
      <c r="EW369" s="336">
        <f t="shared" si="2533"/>
        <v>0</v>
      </c>
      <c r="EX369" s="336">
        <f t="shared" si="2534"/>
        <v>0</v>
      </c>
      <c r="EY369" s="336">
        <f t="shared" si="2535"/>
        <v>0</v>
      </c>
      <c r="EZ369" s="336">
        <f t="shared" si="2536"/>
        <v>0</v>
      </c>
      <c r="FA369" s="336">
        <f t="shared" si="2537"/>
        <v>0</v>
      </c>
      <c r="FB369" s="336">
        <f t="shared" si="2538"/>
        <v>0</v>
      </c>
      <c r="FC369" s="336">
        <f t="shared" si="2539"/>
        <v>0</v>
      </c>
      <c r="FD369" s="336">
        <f t="shared" si="2540"/>
        <v>0</v>
      </c>
      <c r="FE369" s="336">
        <f t="shared" si="2541"/>
        <v>0</v>
      </c>
      <c r="FF369" s="336">
        <f t="shared" si="2542"/>
        <v>0</v>
      </c>
      <c r="FG369" s="336">
        <f t="shared" si="2543"/>
        <v>0</v>
      </c>
      <c r="FH369" s="336">
        <f t="shared" si="2544"/>
        <v>0</v>
      </c>
      <c r="FI369" s="336">
        <f t="shared" si="2545"/>
        <v>0</v>
      </c>
      <c r="FJ369" s="336">
        <f t="shared" si="2546"/>
        <v>0</v>
      </c>
      <c r="FK369" s="336">
        <f t="shared" si="2547"/>
        <v>0</v>
      </c>
      <c r="FL369" s="336">
        <f t="shared" si="2548"/>
        <v>0</v>
      </c>
      <c r="FM369" s="336">
        <f t="shared" si="2549"/>
        <v>0</v>
      </c>
      <c r="FN369" s="336">
        <f t="shared" si="2550"/>
        <v>0</v>
      </c>
      <c r="FO369" s="336">
        <f t="shared" si="2551"/>
        <v>0</v>
      </c>
      <c r="FP369" s="336">
        <f t="shared" si="2552"/>
        <v>0</v>
      </c>
      <c r="FQ369" s="336">
        <f t="shared" si="2553"/>
        <v>0</v>
      </c>
      <c r="FR369" s="336">
        <f t="shared" si="2554"/>
        <v>0</v>
      </c>
      <c r="FS369" s="336">
        <f t="shared" si="2555"/>
        <v>0</v>
      </c>
      <c r="FT369" s="336">
        <f t="shared" si="2556"/>
        <v>0</v>
      </c>
      <c r="FU369" s="336">
        <f t="shared" si="2262"/>
        <v>0</v>
      </c>
      <c r="FV369" s="336">
        <f t="shared" si="2263"/>
        <v>0</v>
      </c>
      <c r="FW369" s="336">
        <f t="shared" si="2264"/>
        <v>0</v>
      </c>
      <c r="FX369" s="336">
        <f t="shared" si="2265"/>
        <v>0</v>
      </c>
      <c r="FY369" s="336">
        <f t="shared" si="2557"/>
        <v>0</v>
      </c>
      <c r="FZ369" s="336">
        <f t="shared" si="2558"/>
        <v>0</v>
      </c>
      <c r="GA369" s="336">
        <f t="shared" si="2559"/>
        <v>0</v>
      </c>
      <c r="GB369" s="336">
        <f t="shared" si="2560"/>
        <v>0</v>
      </c>
      <c r="GC369" s="336">
        <f t="shared" si="2561"/>
        <v>0</v>
      </c>
      <c r="GD369" s="336">
        <f t="shared" si="2562"/>
        <v>0</v>
      </c>
      <c r="GE369" s="336">
        <f t="shared" si="2563"/>
        <v>0</v>
      </c>
      <c r="GF369" s="336">
        <f t="shared" si="2564"/>
        <v>0</v>
      </c>
      <c r="GG369" s="336">
        <f t="shared" si="2565"/>
        <v>0</v>
      </c>
      <c r="GH369" s="336">
        <f t="shared" si="2566"/>
        <v>0</v>
      </c>
      <c r="GI369" s="336">
        <f t="shared" si="2567"/>
        <v>0</v>
      </c>
      <c r="GJ369" s="336">
        <f t="shared" si="2568"/>
        <v>0</v>
      </c>
      <c r="GK369" s="336">
        <f t="shared" si="2513"/>
        <v>0</v>
      </c>
      <c r="GL369" s="336">
        <f t="shared" si="2514"/>
        <v>0</v>
      </c>
      <c r="GM369" s="336">
        <f t="shared" si="2569"/>
        <v>0</v>
      </c>
    </row>
    <row r="370" spans="1:195" s="76" customFormat="1" ht="26.25" customHeight="1">
      <c r="A370" s="531"/>
      <c r="B370" s="531"/>
      <c r="C370" s="531"/>
      <c r="D370" s="330" t="s">
        <v>799</v>
      </c>
      <c r="E370" s="533"/>
      <c r="F370" s="857"/>
      <c r="G370" s="531"/>
      <c r="H370" s="534"/>
      <c r="I370" s="531"/>
      <c r="J370" s="531"/>
      <c r="K370" s="535"/>
      <c r="L370" s="536"/>
      <c r="M370" s="534"/>
      <c r="N370" s="537"/>
      <c r="O370" s="537"/>
      <c r="P370" s="536"/>
      <c r="Q370" s="534"/>
      <c r="R370" s="534"/>
      <c r="S370" s="534"/>
      <c r="T370" s="536"/>
      <c r="U370" s="534"/>
      <c r="V370" s="536"/>
      <c r="W370" s="536"/>
      <c r="X370" s="536"/>
      <c r="Y370" s="536"/>
      <c r="Z370" s="538"/>
      <c r="AA370" s="539"/>
      <c r="AB370" s="539"/>
      <c r="AC370" s="861"/>
      <c r="AD370" s="861"/>
      <c r="AE370" s="861"/>
      <c r="AF370" s="861"/>
      <c r="AG370" s="861"/>
      <c r="AH370" s="540"/>
      <c r="AI370" s="538"/>
      <c r="AJ370" s="537"/>
      <c r="AK370" s="538"/>
      <c r="AL370" s="538"/>
      <c r="AM370" s="538"/>
      <c r="AN370" s="541"/>
      <c r="AO370" s="534"/>
      <c r="AP370" s="535"/>
      <c r="AQ370" s="534"/>
      <c r="AR370" s="541"/>
      <c r="AS370" s="536"/>
      <c r="AT370" s="541"/>
      <c r="AU370" s="541"/>
      <c r="AV370" s="542"/>
      <c r="AW370" s="542"/>
      <c r="AX370" s="536"/>
      <c r="AY370" s="543"/>
      <c r="AZ370" s="543"/>
      <c r="BA370" s="536"/>
      <c r="BB370" s="536"/>
      <c r="BC370" s="536"/>
      <c r="BE370" s="573"/>
      <c r="BF370" s="573"/>
      <c r="BG370" s="573"/>
      <c r="BH370" s="573"/>
      <c r="BI370" s="573"/>
      <c r="BJ370" s="573"/>
      <c r="BK370" s="573"/>
      <c r="BL370" s="573"/>
      <c r="BM370" s="573"/>
      <c r="BN370" s="573"/>
      <c r="BO370" s="573"/>
      <c r="BP370" s="573"/>
      <c r="BQ370" s="573"/>
      <c r="BR370" s="573"/>
      <c r="BS370" s="573"/>
      <c r="BT370" s="573"/>
      <c r="BU370" s="573"/>
      <c r="BV370" s="573"/>
      <c r="BW370" s="573"/>
      <c r="BX370" s="573"/>
      <c r="BY370" s="573"/>
      <c r="BZ370" s="573"/>
      <c r="CA370" s="573"/>
      <c r="CB370" s="573"/>
      <c r="CC370" s="573"/>
      <c r="CD370" s="573"/>
      <c r="CE370" s="573"/>
      <c r="CF370" s="573"/>
      <c r="CG370" s="573"/>
      <c r="CH370" s="573"/>
      <c r="CI370" s="573"/>
      <c r="CJ370" s="573"/>
      <c r="CK370" s="573"/>
      <c r="CL370" s="573"/>
      <c r="CM370" s="573"/>
      <c r="CN370" s="573"/>
      <c r="CO370" s="573"/>
      <c r="CP370" s="573"/>
      <c r="CQ370" s="573"/>
      <c r="CR370" s="573"/>
      <c r="CS370" s="573"/>
      <c r="CT370" s="573"/>
      <c r="CU370" s="573"/>
      <c r="CV370" s="573"/>
      <c r="CW370" s="573"/>
      <c r="CX370" s="573"/>
      <c r="CY370" s="573"/>
      <c r="CZ370" s="573"/>
      <c r="DA370" s="573"/>
      <c r="DB370" s="573"/>
      <c r="DC370" s="573"/>
      <c r="DD370" s="573"/>
      <c r="DE370" s="573"/>
      <c r="DF370" s="573"/>
      <c r="DG370" s="573"/>
      <c r="DH370" s="573"/>
      <c r="DI370" s="573"/>
      <c r="DJ370" s="573"/>
      <c r="DK370" s="573"/>
      <c r="DL370" s="573"/>
      <c r="DM370" s="573"/>
      <c r="DN370" s="573"/>
      <c r="DO370" s="573"/>
      <c r="DP370" s="573"/>
      <c r="DQ370" s="573"/>
      <c r="DR370" s="573"/>
      <c r="DS370" s="573"/>
      <c r="DT370" s="573"/>
      <c r="DU370" s="573"/>
      <c r="DV370" s="61"/>
      <c r="DW370" s="336">
        <f t="shared" si="2108"/>
        <v>0</v>
      </c>
      <c r="DX370" s="336">
        <f t="shared" si="2102"/>
        <v>0</v>
      </c>
      <c r="DY370" s="336">
        <f t="shared" si="2103"/>
        <v>0</v>
      </c>
      <c r="DZ370" s="336">
        <f t="shared" si="2104"/>
        <v>0</v>
      </c>
      <c r="EA370" s="336">
        <f t="shared" si="2105"/>
        <v>0</v>
      </c>
      <c r="EB370" s="336">
        <f t="shared" si="2106"/>
        <v>0</v>
      </c>
      <c r="EC370" s="336">
        <f t="shared" si="2107"/>
        <v>0</v>
      </c>
      <c r="ED370" s="336">
        <f t="shared" si="2515"/>
        <v>0</v>
      </c>
      <c r="EE370" s="336">
        <f t="shared" si="2516"/>
        <v>0</v>
      </c>
      <c r="EF370" s="336">
        <f t="shared" si="2517"/>
        <v>0</v>
      </c>
      <c r="EG370" s="336">
        <f t="shared" si="2518"/>
        <v>0</v>
      </c>
      <c r="EH370" s="336">
        <f t="shared" si="2519"/>
        <v>0</v>
      </c>
      <c r="EI370" s="336">
        <f t="shared" si="2520"/>
        <v>0</v>
      </c>
      <c r="EJ370" s="336">
        <f t="shared" si="2521"/>
        <v>0</v>
      </c>
      <c r="EK370" s="336">
        <f t="shared" si="2522"/>
        <v>0</v>
      </c>
      <c r="EL370" s="336">
        <f t="shared" si="2523"/>
        <v>0</v>
      </c>
      <c r="EM370" s="336">
        <f t="shared" si="2524"/>
        <v>0</v>
      </c>
      <c r="EN370" s="336">
        <f t="shared" si="2525"/>
        <v>0</v>
      </c>
      <c r="EO370" s="336">
        <f t="shared" si="2526"/>
        <v>0</v>
      </c>
      <c r="EP370" s="336">
        <f t="shared" si="2527"/>
        <v>0</v>
      </c>
      <c r="EQ370" s="336">
        <f t="shared" si="2528"/>
        <v>0</v>
      </c>
      <c r="ER370" s="336">
        <f t="shared" si="2529"/>
        <v>0</v>
      </c>
      <c r="ES370" s="336">
        <f t="shared" si="2530"/>
        <v>0</v>
      </c>
      <c r="ET370" s="336">
        <f t="shared" si="2530"/>
        <v>0</v>
      </c>
      <c r="EU370" s="336">
        <f t="shared" si="2531"/>
        <v>0</v>
      </c>
      <c r="EV370" s="336">
        <f t="shared" si="2532"/>
        <v>0</v>
      </c>
      <c r="EW370" s="336">
        <f t="shared" si="2533"/>
        <v>0</v>
      </c>
      <c r="EX370" s="336">
        <f t="shared" si="2534"/>
        <v>0</v>
      </c>
      <c r="EY370" s="336">
        <f t="shared" si="2535"/>
        <v>0</v>
      </c>
      <c r="EZ370" s="336">
        <f t="shared" si="2536"/>
        <v>0</v>
      </c>
      <c r="FA370" s="336">
        <f t="shared" si="2537"/>
        <v>0</v>
      </c>
      <c r="FB370" s="336">
        <f t="shared" si="2538"/>
        <v>0</v>
      </c>
      <c r="FC370" s="336">
        <f t="shared" si="2539"/>
        <v>0</v>
      </c>
      <c r="FD370" s="336">
        <f t="shared" si="2540"/>
        <v>0</v>
      </c>
      <c r="FE370" s="336">
        <f t="shared" si="2541"/>
        <v>0</v>
      </c>
      <c r="FF370" s="336">
        <f t="shared" si="2542"/>
        <v>0</v>
      </c>
      <c r="FG370" s="336">
        <f t="shared" si="2543"/>
        <v>0</v>
      </c>
      <c r="FH370" s="336">
        <f t="shared" si="2544"/>
        <v>0</v>
      </c>
      <c r="FI370" s="336">
        <f t="shared" si="2545"/>
        <v>0</v>
      </c>
      <c r="FJ370" s="336">
        <f t="shared" si="2546"/>
        <v>0</v>
      </c>
      <c r="FK370" s="336">
        <f t="shared" si="2547"/>
        <v>0</v>
      </c>
      <c r="FL370" s="336">
        <f t="shared" si="2548"/>
        <v>0</v>
      </c>
      <c r="FM370" s="336">
        <f t="shared" si="2549"/>
        <v>0</v>
      </c>
      <c r="FN370" s="336">
        <f t="shared" si="2550"/>
        <v>0</v>
      </c>
      <c r="FO370" s="492">
        <f t="shared" si="2551"/>
        <v>0</v>
      </c>
      <c r="FP370" s="492">
        <f t="shared" si="2552"/>
        <v>0</v>
      </c>
      <c r="FQ370" s="492">
        <f t="shared" si="2553"/>
        <v>0</v>
      </c>
      <c r="FR370" s="492">
        <f t="shared" si="2554"/>
        <v>0</v>
      </c>
      <c r="FS370" s="492">
        <f t="shared" si="2555"/>
        <v>0</v>
      </c>
      <c r="FT370" s="492">
        <f t="shared" si="2556"/>
        <v>0</v>
      </c>
      <c r="FU370" s="336">
        <f t="shared" si="2262"/>
        <v>0</v>
      </c>
      <c r="FV370" s="336">
        <f t="shared" si="2263"/>
        <v>0</v>
      </c>
      <c r="FW370" s="336">
        <f t="shared" si="2264"/>
        <v>0</v>
      </c>
      <c r="FX370" s="336">
        <f t="shared" si="2265"/>
        <v>0</v>
      </c>
      <c r="FY370" s="492">
        <f t="shared" si="2557"/>
        <v>0</v>
      </c>
      <c r="FZ370" s="492">
        <f t="shared" si="2558"/>
        <v>0</v>
      </c>
      <c r="GA370" s="492">
        <f t="shared" si="2559"/>
        <v>0</v>
      </c>
      <c r="GB370" s="492">
        <f t="shared" si="2560"/>
        <v>0</v>
      </c>
      <c r="GC370" s="492">
        <f t="shared" si="2561"/>
        <v>0</v>
      </c>
      <c r="GD370" s="492">
        <f t="shared" si="2562"/>
        <v>0</v>
      </c>
      <c r="GE370" s="492">
        <f t="shared" si="2563"/>
        <v>0</v>
      </c>
      <c r="GF370" s="492">
        <f t="shared" si="2564"/>
        <v>0</v>
      </c>
      <c r="GG370" s="492">
        <f t="shared" si="2565"/>
        <v>0</v>
      </c>
      <c r="GH370" s="492">
        <f t="shared" si="2566"/>
        <v>0</v>
      </c>
      <c r="GI370" s="492">
        <f t="shared" si="2567"/>
        <v>0</v>
      </c>
      <c r="GJ370" s="492">
        <f t="shared" si="2568"/>
        <v>0</v>
      </c>
      <c r="GK370" s="492">
        <f t="shared" si="2513"/>
        <v>0</v>
      </c>
      <c r="GL370" s="336">
        <f t="shared" si="2514"/>
        <v>0</v>
      </c>
      <c r="GM370" s="492">
        <f t="shared" si="2569"/>
        <v>0</v>
      </c>
    </row>
    <row r="371" spans="1:195">
      <c r="A371" s="337">
        <f>1+A369</f>
        <v>244</v>
      </c>
      <c r="B371" s="388" t="s">
        <v>800</v>
      </c>
      <c r="C371" s="337" t="s">
        <v>801</v>
      </c>
      <c r="D371" s="338" t="s">
        <v>802</v>
      </c>
      <c r="E371" s="502" t="s">
        <v>335</v>
      </c>
      <c r="F371" s="570"/>
      <c r="G371" s="337" t="s">
        <v>329</v>
      </c>
      <c r="H371" s="418">
        <v>10</v>
      </c>
      <c r="I371" s="337" t="s">
        <v>330</v>
      </c>
      <c r="J371" s="337" t="s">
        <v>331</v>
      </c>
      <c r="K371" s="349">
        <v>400</v>
      </c>
      <c r="L371" s="343">
        <v>0.84999999999999987</v>
      </c>
      <c r="M371" s="350">
        <v>0.95099999999999985</v>
      </c>
      <c r="N371" s="342">
        <f t="shared" ref="N371:N375" si="2570">IF(I371="kVA",IF(J371="3Ph",(H371*1000/(1.732*M371*K371)),(H371*1000/(M371*K371))),IF(I371="kW",IF(J371="3Ph",(H371*1000/(1.732*M371*K371*L371)),(H371*1000/(M371*K371*L371)))))</f>
        <v>17.856349525042535</v>
      </c>
      <c r="O371" s="342">
        <f t="shared" ref="O371:O377" si="2571">IF(G371="MOTOR",(6*N371),IF(G371="VFD",(1*N371),0))</f>
        <v>0</v>
      </c>
      <c r="P371" s="343" t="str">
        <f t="shared" ref="P371:P377" si="2572">IF(G371="MOTOR",0.2,"0.00")</f>
        <v>0.00</v>
      </c>
      <c r="Q371" s="350">
        <v>25</v>
      </c>
      <c r="R371" s="350">
        <v>0</v>
      </c>
      <c r="S371" s="350">
        <f t="shared" ref="S371:S377" si="2573">(Q371*1000*SQRT(R371)/143)</f>
        <v>0</v>
      </c>
      <c r="T371" s="343" t="s">
        <v>131</v>
      </c>
      <c r="U371" s="350" t="s">
        <v>535</v>
      </c>
      <c r="V371" s="343">
        <v>35</v>
      </c>
      <c r="W371" s="343" t="str">
        <f t="shared" ref="W371:W377" si="2574">CONCATENATE(U371," X ",V371)</f>
        <v>3.5C X 35</v>
      </c>
      <c r="X371" s="343" t="str">
        <f t="shared" ref="X371:X377" si="2575">(IF(J371="1Ph",W371,IF(J371="3Ph",(IF(G371="MOTOR",(CONCATENATE(W371,"+PE")),W371)))))</f>
        <v>3.5C X 35</v>
      </c>
      <c r="Y371" s="343" t="s">
        <v>358</v>
      </c>
      <c r="Z371" s="344">
        <f>IF(T371="AIR",VLOOKUP(W371,'Catalogue Aluminium'!$B$9:$G$93,2,FALSE),IF(T371="GROUND",VLOOKUP(W371,'Catalogue Aluminium'!$B$9:$G$93,3,FALSE),IF(T371="DUCT",VLOOKUP(W371,'Catalogue Aluminium'!$B$9:$G$93,4,FALSE),IF(T371="TRENCH",VLOOKUP(W371,'Catalogue Aluminium'!$B$9:$G$93,2,FALSE)))))</f>
        <v>117</v>
      </c>
      <c r="AA371" s="345">
        <f>VLOOKUP(W371,'Catalogue Aluminium'!$B$9:$G$93,5,FALSE)</f>
        <v>1.1100000000000001</v>
      </c>
      <c r="AB371" s="345">
        <f>VLOOKUP(W371,'Catalogue Aluminium'!$B$9:$G$93,6,FALSE)</f>
        <v>7.9399999999999998E-2</v>
      </c>
      <c r="AC371" s="388">
        <v>27</v>
      </c>
      <c r="AD371" s="574">
        <v>0</v>
      </c>
      <c r="AE371" s="401">
        <v>5</v>
      </c>
      <c r="AF371" s="401">
        <v>5</v>
      </c>
      <c r="AG371" s="401">
        <f t="shared" ref="AG371:AG382" si="2576">ROUNDUP((SUM(AC371:AF371)*0.1),0)</f>
        <v>4</v>
      </c>
      <c r="AH371" s="347">
        <f t="shared" ref="AH371:AH382" si="2577">SUM(AC371:AG371)</f>
        <v>41</v>
      </c>
      <c r="AI371" s="344">
        <f>IF(T371="AIR",'Catalogue Aluminium'!$K$9,IF(T371="TRENCH",'Catalogue Aluminium'!$K$12,"NA"))</f>
        <v>0.89</v>
      </c>
      <c r="AJ371" s="342">
        <f>IF(T371="Air",(IF(U371="1C",'Catalogue Aluminium'!$L$9,'Catalogue Aluminium'!$M$9)),IF(T371="DUCT",(IF($U371="1C",'Catalogue Aluminium'!$L$10,'Catalogue Aluminium'!$M$10)),IF(T371="GROUND",(IF($U371="1C",'Catalogue Aluminium'!$L$11,'Catalogue Aluminium'!$M$11)),IF(T371="TRENCH",(IF($U371="1C",'Catalogue Aluminium'!$L$12,'Catalogue Aluminium'!$M$12))))))</f>
        <v>0.66</v>
      </c>
      <c r="AK371" s="344" t="str">
        <f>IF(T371="Air",'Catalogue Aluminium'!$N$9,IF(T371="GROUND",'Catalogue Aluminium'!$N$10,IF(T371="DUCT",'Catalogue Aluminium'!$N$11,IF(T371="TRENCH",'Catalogue Aluminium'!$N$12,"NA"))))</f>
        <v>NA</v>
      </c>
      <c r="AL371" s="344" t="str">
        <f>IF(T371="Air",(IF(U371="1C",'Catalogue Aluminium'!$O$9,'Catalogue Aluminium'!$P$9)),IF(T371="DUCT",(IF($U371="1C",'Catalogue Aluminium'!$O$10,'Catalogue Aluminium'!$P$10)),IF(T371="GROUND",(IF($U371="1C",'Catalogue Aluminium'!$O$11,'Catalogue Aluminium'!$P$11)),IF(T371="TRENCH",(IF($U371="1C",'Catalogue Aluminium'!$O$12,'Catalogue Aluminium'!$P$12))))))</f>
        <v>NA</v>
      </c>
      <c r="AM371" s="344" t="str">
        <f>IF(T371="AIR","NA",IF(T371="TRENCH","NA",IF(T371="DUCT",IF(U371="1C",VLOOKUP(V371,'Catalogue Aluminium'!$Q$9:$S$28,2,FALSE),VLOOKUP(V371,'Catalogue Aluminium'!$Q$9:$S$28,3)),IF(T371="GROUND",IF(U371="1C",VLOOKUP(V371,'Catalogue Aluminium'!$Q$9:$S$28,2,FALSE),VLOOKUP(V371,'Catalogue Aluminium'!$Q$9:$S$28,3))))))</f>
        <v>NA</v>
      </c>
      <c r="AN371" s="351">
        <f t="shared" ref="AN371:AN377" si="2578">IF(T371="AIR",AI371*AJ371,IF(T371="TRENCH",AI371*AJ371,IF(T371="DUCT",AJ371*AK371*AL371*AM371,IF(T371="GROUND",AJ371*AK371*AL371*AM371))))</f>
        <v>0.58740000000000003</v>
      </c>
      <c r="AO371" s="350">
        <f t="shared" ref="AO371:AO377" si="2579">Z371*AN371</f>
        <v>68.725800000000007</v>
      </c>
      <c r="AP371" s="349">
        <f t="shared" ref="AP371:AP382" si="2580">CEILING(((N371)/AO371),1)</f>
        <v>1</v>
      </c>
      <c r="AQ371" s="350" t="str">
        <f t="shared" ref="AQ371:AQ377" si="2581">IF(AO371*AP371&gt;=N371,"YES","NO")</f>
        <v>YES</v>
      </c>
      <c r="AR371" s="351">
        <f t="shared" ref="AR371:AR377" si="2582">SQRT(3)*AH371*N371*((AA371*L371)+(AB371*SIN(ACOS(L371))))*100/(AP371*K371*1000)</f>
        <v>0.31236139538015079</v>
      </c>
      <c r="AS371" s="343" t="str">
        <f>IF(G371="INCOMER",(IF(AR371&lt;=2,"YES","NO")),IF(G371="POWER",(IF(AR371&lt;=2.5,"YES","NO")),IF(G371="MOTOR",(IF(AR371&lt;=3,"YES","NO")))))</f>
        <v>YES</v>
      </c>
      <c r="AT371" s="351" t="str">
        <f t="shared" ref="AT371:AT382" si="2583">IF(G371="MOTOR",(SQRT(3)*AH371*O371*((AA371*P371)+(AB371*SIN(ACOS(P371))))*100/(AP371*K371*1000)),"NA")</f>
        <v>NA</v>
      </c>
      <c r="AU371" s="343" t="str">
        <f t="shared" ref="AU371:AU382" si="2584">IF(G371="MOTOR",IF(AT371&lt;=15,"YES","NO"),"NA")</f>
        <v>NA</v>
      </c>
      <c r="AV371" s="354" t="str">
        <f t="shared" ref="AV371:AV382" si="2585">IF(U371="1C",CONCATENATE(AP371,"R x ",Y371,"kV x ",U371," x ",V371," Sqmm/Phase"),CONCATENATE(AP371,"R x ",0.6,"/1kV x ",U371," x ",V371," Sqmm"))</f>
        <v>1R x 0.6/1kV x 3.5C x 35 Sqmm</v>
      </c>
      <c r="AW371" s="354" t="str">
        <f t="shared" ref="AW371:AW382" si="2586">IF(U371="1C",CONCATENATE(AP371,"R x ",Y371,"kV x ",U371," x ",V371," Sqmm/Phase"),CONCATENATE(AP371,"R x ",0.6,"/1kV x ",U371," x ",V371,(IF(G371="MOTOR","+PE",""))," Sqmm"))</f>
        <v>1R x 0.6/1kV x 3.5C x 35 Sqmm</v>
      </c>
      <c r="AX371" s="343">
        <f t="shared" ref="AX371:AX382" si="2587">(IF(K371=400,(IF(U371="1C",(4*AH371*AP371),(AH371*AP371))),IF(K371=230,(AH371*AP371))))</f>
        <v>41</v>
      </c>
      <c r="AY371" s="355"/>
      <c r="AZ371" s="355">
        <f t="shared" ref="AZ371:AZ382" si="2588">IF(U371="1C",(3*AP371*2),(AP371*2))</f>
        <v>2</v>
      </c>
      <c r="BA371" s="356" t="str">
        <f t="shared" ref="BA371:BA382" si="2589">CONCATENATE(IF(BE371=1,BE$4,""),IF(BF371=1,BF$4,""),IF(BG371=1,BG$4,""),IF(BH371=1,BH$4,""),IF(BI371=1,BI$4,""),IF(BJ371=1,BJ$4,""),IF(BK371=1,BK$4,""),IF(BL371=1,BL$4,""),IF(BM371=1,BM$4,""),IF(BN371=1,BN$4,""),IF(BO371=1,BO$4,""),IF(BP371=1,BP$4,""),IF(BQ371=1,BQ$4,""),IF(BR371=1,BR$4,""),IF(BS371=1,BS$4,""),IF(BT371=1,BT$4,""),IF(BU371=1,BU$4,""),IF(BV371=1,BV$4,""),IF(BW371=1,BW$4,""),IF(BX371=1,BX$4,""),IF(BY371=1,BY$4,""),IF(BZ371=1,BZ$4,""),IF(CA371=1,CA$4,""),IF(CC371=1,CC$4,""),IF(CD371=1,CD$4,""),IF(CE371=1,CE$4,""),IF(CF371=1,CF$4,""),IF(CG371=1,CG$4,""),IF(CH371=1,CH$4,""),IF(CI371=1,CI$4,""),IF(CJ371=1,CJ$4,""),IF(CK371=1,CK$4,""),IF(CL371=1,CL$4,""),IF(CM371=1,CM$4,""),IF(CN371=1,CN$4,""),IF(CO371=1,CO$4,""),IF(CP371=1,CP$4,""),IF(CQ371=1,CQ$4,""),IF(CR371=1,CR$4,""),IF(CS371=1,CS$4,""),IF(CT371=1,CT$4,""),IF(CU371=1,CU$4,""),IF(CV371=1,CV$4,""),IF(CW371=1,CW$4,""),IF(CX371=1,CX$4,""),IF(CY371=1,CY$4,""),IF(CZ371=1,CZ$4,""),IF(DA371=1,DA$4,""),IF(DB371=1,DB$4,""),IF(DC371=1,DC$4,""),IF(DD371=1,DD$4,""),IF(DE371=1,DE$4,""),IF(DF371=1,DF$4,""),IF(DG371=1,DG$4,""),IF(DH371=1,DH$4,""),IF(DI371=1,DI$4,""),IF(DJ371=1,DJ$4,""),IF(DK371=1,DK$4,""),IF(DL371=1,DL$4,""),IF(DM371=1,DM$4,""),IF(DN371=1,DN$4,""),IF(DO371=1,DO$4,""),IF(DP371=1,DP$4,""),IF(DQ371=1,DQ$4,""),IF(DR371=1,DR$4,""),IF(DS371=1,DS$4,""),IF(DT371=1,DT$4,""),IF(DU371=1,DU$4,""))</f>
        <v/>
      </c>
      <c r="BB371" s="501">
        <f>VLOOKUP(W371,'Catalogue Aluminium'!$B$9:$H$93,7,FALSE)</f>
        <v>27</v>
      </c>
      <c r="BC371" s="328">
        <f t="shared" ref="BC371:BC382" si="2590">AP371*BB371</f>
        <v>27</v>
      </c>
      <c r="BE371" s="336"/>
      <c r="BF371" s="336"/>
      <c r="BG371" s="336"/>
      <c r="BH371" s="336"/>
      <c r="BI371" s="336"/>
      <c r="BJ371" s="336"/>
      <c r="BK371" s="336"/>
      <c r="BL371" s="336"/>
      <c r="BM371" s="336"/>
      <c r="BN371" s="336"/>
      <c r="BO371" s="336"/>
      <c r="BP371" s="336"/>
      <c r="BQ371" s="336"/>
      <c r="BR371" s="336"/>
      <c r="BS371" s="336"/>
      <c r="BT371" s="336"/>
      <c r="BU371" s="336"/>
      <c r="BV371" s="336"/>
      <c r="BW371" s="336"/>
      <c r="BX371" s="336"/>
      <c r="BY371" s="336"/>
      <c r="BZ371" s="336"/>
      <c r="CA371" s="336"/>
      <c r="CB371" s="336"/>
      <c r="CC371" s="336"/>
      <c r="CD371" s="336"/>
      <c r="CE371" s="336"/>
      <c r="CF371" s="336"/>
      <c r="CG371" s="336"/>
      <c r="CH371" s="336"/>
      <c r="CI371" s="336"/>
      <c r="CJ371" s="336"/>
      <c r="CK371" s="336"/>
      <c r="CL371" s="336"/>
      <c r="CM371" s="336"/>
      <c r="CN371" s="336"/>
      <c r="CO371" s="336"/>
      <c r="CP371" s="336"/>
      <c r="CQ371" s="336"/>
      <c r="CR371" s="336"/>
      <c r="CS371" s="336"/>
      <c r="CT371" s="336"/>
      <c r="CU371" s="336"/>
      <c r="CV371" s="336"/>
      <c r="CW371" s="336"/>
      <c r="CX371" s="336"/>
      <c r="CY371" s="336"/>
      <c r="CZ371" s="336"/>
      <c r="DA371" s="336"/>
      <c r="DB371" s="336"/>
      <c r="DC371" s="336"/>
      <c r="DD371" s="336"/>
      <c r="DE371" s="336"/>
      <c r="DF371" s="336"/>
      <c r="DG371" s="336"/>
      <c r="DH371" s="336"/>
      <c r="DI371" s="336"/>
      <c r="DJ371" s="336"/>
      <c r="DK371" s="336"/>
      <c r="DL371" s="336"/>
      <c r="DM371" s="336"/>
      <c r="DN371" s="336"/>
      <c r="DO371" s="336"/>
      <c r="DP371" s="336"/>
      <c r="DQ371" s="336"/>
      <c r="DR371" s="336"/>
      <c r="DS371" s="336"/>
      <c r="DT371" s="336"/>
      <c r="DU371" s="336"/>
      <c r="DW371" s="336">
        <f t="shared" ref="DW371:DW416" si="2591">IF(BE371=1,($BC371*BE371),0)</f>
        <v>0</v>
      </c>
      <c r="DX371" s="336">
        <f t="shared" ref="DX371:DX416" si="2592">IF(BF371=1,($BC371*BF371),0)</f>
        <v>0</v>
      </c>
      <c r="DY371" s="336">
        <f t="shared" ref="DY371:DY416" si="2593">IF(BG371=1,($BC371*BG371),0)</f>
        <v>0</v>
      </c>
      <c r="DZ371" s="336">
        <f t="shared" ref="DZ371:DZ416" si="2594">IF(BH371=1,($BC371*BH371),0)</f>
        <v>0</v>
      </c>
      <c r="EA371" s="336">
        <f t="shared" ref="EA371:EA416" si="2595">IF(BI371=1,($BC371*BI371),0)</f>
        <v>0</v>
      </c>
      <c r="EB371" s="336">
        <f t="shared" ref="EB371:EB416" si="2596">IF(BJ371=1,($BC371*BJ371),0)</f>
        <v>0</v>
      </c>
      <c r="EC371" s="336">
        <f t="shared" ref="EC371:EC416" si="2597">IF(BK371=1,($BC371*BK371),0)</f>
        <v>0</v>
      </c>
      <c r="ED371" s="336">
        <f t="shared" si="2515"/>
        <v>0</v>
      </c>
      <c r="EE371" s="336">
        <f t="shared" si="2516"/>
        <v>0</v>
      </c>
      <c r="EF371" s="336">
        <f t="shared" si="2517"/>
        <v>0</v>
      </c>
      <c r="EG371" s="336">
        <f t="shared" si="2518"/>
        <v>0</v>
      </c>
      <c r="EH371" s="336">
        <f t="shared" si="2519"/>
        <v>0</v>
      </c>
      <c r="EI371" s="336">
        <f t="shared" si="2520"/>
        <v>0</v>
      </c>
      <c r="EJ371" s="336">
        <f t="shared" si="2521"/>
        <v>0</v>
      </c>
      <c r="EK371" s="336">
        <f t="shared" si="2522"/>
        <v>0</v>
      </c>
      <c r="EL371" s="336">
        <f t="shared" si="2523"/>
        <v>0</v>
      </c>
      <c r="EM371" s="336">
        <f t="shared" si="2524"/>
        <v>0</v>
      </c>
      <c r="EN371" s="336">
        <f t="shared" si="2525"/>
        <v>0</v>
      </c>
      <c r="EO371" s="336">
        <f t="shared" si="2526"/>
        <v>0</v>
      </c>
      <c r="EP371" s="336">
        <f t="shared" si="2527"/>
        <v>0</v>
      </c>
      <c r="EQ371" s="336">
        <f t="shared" si="2528"/>
        <v>0</v>
      </c>
      <c r="ER371" s="336">
        <f t="shared" si="2529"/>
        <v>0</v>
      </c>
      <c r="ES371" s="336">
        <f t="shared" si="2530"/>
        <v>0</v>
      </c>
      <c r="ET371" s="336">
        <f t="shared" si="2530"/>
        <v>0</v>
      </c>
      <c r="EU371" s="336">
        <f t="shared" si="2531"/>
        <v>0</v>
      </c>
      <c r="EV371" s="336">
        <f t="shared" si="2532"/>
        <v>0</v>
      </c>
      <c r="EW371" s="336">
        <f t="shared" si="2533"/>
        <v>0</v>
      </c>
      <c r="EX371" s="336">
        <f t="shared" si="2534"/>
        <v>0</v>
      </c>
      <c r="EY371" s="336">
        <f t="shared" si="2535"/>
        <v>0</v>
      </c>
      <c r="EZ371" s="336">
        <f t="shared" si="2536"/>
        <v>0</v>
      </c>
      <c r="FA371" s="336">
        <f t="shared" si="2537"/>
        <v>0</v>
      </c>
      <c r="FB371" s="336">
        <f t="shared" si="2538"/>
        <v>0</v>
      </c>
      <c r="FC371" s="336">
        <f t="shared" si="2539"/>
        <v>0</v>
      </c>
      <c r="FD371" s="336">
        <f t="shared" si="2540"/>
        <v>0</v>
      </c>
      <c r="FE371" s="336">
        <f t="shared" si="2541"/>
        <v>0</v>
      </c>
      <c r="FF371" s="336">
        <f t="shared" si="2542"/>
        <v>0</v>
      </c>
      <c r="FG371" s="336">
        <f t="shared" si="2543"/>
        <v>0</v>
      </c>
      <c r="FH371" s="336">
        <f t="shared" si="2544"/>
        <v>0</v>
      </c>
      <c r="FI371" s="336">
        <f t="shared" si="2545"/>
        <v>0</v>
      </c>
      <c r="FJ371" s="336">
        <f t="shared" si="2546"/>
        <v>0</v>
      </c>
      <c r="FK371" s="336">
        <f t="shared" si="2547"/>
        <v>0</v>
      </c>
      <c r="FL371" s="336">
        <f t="shared" si="2548"/>
        <v>0</v>
      </c>
      <c r="FM371" s="336">
        <f t="shared" si="2549"/>
        <v>0</v>
      </c>
      <c r="FN371" s="336">
        <f t="shared" si="2550"/>
        <v>0</v>
      </c>
      <c r="FO371" s="336">
        <f t="shared" si="2551"/>
        <v>0</v>
      </c>
      <c r="FP371" s="336">
        <f t="shared" si="2552"/>
        <v>0</v>
      </c>
      <c r="FQ371" s="336">
        <f t="shared" si="2553"/>
        <v>0</v>
      </c>
      <c r="FR371" s="336">
        <f t="shared" si="2554"/>
        <v>0</v>
      </c>
      <c r="FS371" s="336">
        <f t="shared" si="2555"/>
        <v>0</v>
      </c>
      <c r="FT371" s="336">
        <f t="shared" si="2556"/>
        <v>0</v>
      </c>
      <c r="FU371" s="336">
        <f t="shared" si="2262"/>
        <v>0</v>
      </c>
      <c r="FV371" s="336">
        <f t="shared" si="2263"/>
        <v>0</v>
      </c>
      <c r="FW371" s="336">
        <f t="shared" si="2264"/>
        <v>0</v>
      </c>
      <c r="FX371" s="336">
        <f t="shared" si="2265"/>
        <v>0</v>
      </c>
      <c r="FY371" s="336">
        <f t="shared" si="2557"/>
        <v>0</v>
      </c>
      <c r="FZ371" s="336">
        <f t="shared" si="2558"/>
        <v>0</v>
      </c>
      <c r="GA371" s="336">
        <f t="shared" si="2559"/>
        <v>0</v>
      </c>
      <c r="GB371" s="336">
        <f t="shared" si="2560"/>
        <v>0</v>
      </c>
      <c r="GC371" s="336">
        <f t="shared" si="2561"/>
        <v>0</v>
      </c>
      <c r="GD371" s="336">
        <f t="shared" si="2562"/>
        <v>0</v>
      </c>
      <c r="GE371" s="336">
        <f t="shared" si="2563"/>
        <v>0</v>
      </c>
      <c r="GF371" s="336">
        <f t="shared" si="2564"/>
        <v>0</v>
      </c>
      <c r="GG371" s="336">
        <f t="shared" si="2565"/>
        <v>0</v>
      </c>
      <c r="GH371" s="336">
        <f t="shared" si="2566"/>
        <v>0</v>
      </c>
      <c r="GI371" s="336">
        <f t="shared" si="2567"/>
        <v>0</v>
      </c>
      <c r="GJ371" s="336">
        <f t="shared" si="2568"/>
        <v>0</v>
      </c>
      <c r="GK371" s="336">
        <f t="shared" si="2513"/>
        <v>0</v>
      </c>
      <c r="GL371" s="336">
        <f t="shared" si="2514"/>
        <v>0</v>
      </c>
      <c r="GM371" s="336">
        <f t="shared" si="2569"/>
        <v>0</v>
      </c>
    </row>
    <row r="372" spans="1:195">
      <c r="A372" s="337">
        <f t="shared" ref="A372:A384" si="2598">1+A371</f>
        <v>245</v>
      </c>
      <c r="B372" s="388" t="s">
        <v>803</v>
      </c>
      <c r="C372" s="337" t="s">
        <v>801</v>
      </c>
      <c r="D372" s="338" t="s">
        <v>804</v>
      </c>
      <c r="E372" s="454" t="s">
        <v>555</v>
      </c>
      <c r="F372" s="570"/>
      <c r="G372" s="337" t="s">
        <v>329</v>
      </c>
      <c r="H372" s="418">
        <v>5</v>
      </c>
      <c r="I372" s="337" t="s">
        <v>330</v>
      </c>
      <c r="J372" s="337" t="s">
        <v>331</v>
      </c>
      <c r="K372" s="349">
        <v>400</v>
      </c>
      <c r="L372" s="343">
        <v>0.84999999999999987</v>
      </c>
      <c r="M372" s="350">
        <v>0.95099999999999985</v>
      </c>
      <c r="N372" s="342">
        <f t="shared" si="2570"/>
        <v>8.9281747625212677</v>
      </c>
      <c r="O372" s="342">
        <f t="shared" si="2571"/>
        <v>0</v>
      </c>
      <c r="P372" s="343" t="str">
        <f t="shared" si="2572"/>
        <v>0.00</v>
      </c>
      <c r="Q372" s="350">
        <v>25</v>
      </c>
      <c r="R372" s="350">
        <v>0</v>
      </c>
      <c r="S372" s="350">
        <f t="shared" si="2573"/>
        <v>0</v>
      </c>
      <c r="T372" s="343" t="s">
        <v>332</v>
      </c>
      <c r="U372" s="342" t="s">
        <v>535</v>
      </c>
      <c r="V372" s="343">
        <v>35</v>
      </c>
      <c r="W372" s="343" t="str">
        <f t="shared" si="2574"/>
        <v>3.5C X 35</v>
      </c>
      <c r="X372" s="343" t="str">
        <f t="shared" si="2575"/>
        <v>3.5C X 35</v>
      </c>
      <c r="Y372" s="343" t="s">
        <v>358</v>
      </c>
      <c r="Z372" s="344">
        <f>IF(T372="AIR",VLOOKUP(W372,'Catalogue Aluminium'!$B$9:$G$93,2,FALSE),IF(T372="GROUND",VLOOKUP(W372,'Catalogue Aluminium'!$B$9:$G$93,3,FALSE),IF(T372="DUCT",VLOOKUP(W372,'Catalogue Aluminium'!$B$9:$G$93,4,FALSE),IF(T372="TRENCH",VLOOKUP(W372,'Catalogue Aluminium'!$B$9:$G$93,2,FALSE)))))</f>
        <v>117</v>
      </c>
      <c r="AA372" s="345">
        <f>VLOOKUP(W372,'Catalogue Aluminium'!$B$9:$G$93,5,FALSE)</f>
        <v>1.1100000000000001</v>
      </c>
      <c r="AB372" s="345">
        <f>VLOOKUP(W372,'Catalogue Aluminium'!$B$9:$G$93,6,FALSE)</f>
        <v>7.9399999999999998E-2</v>
      </c>
      <c r="AC372" s="388">
        <v>20</v>
      </c>
      <c r="AD372" s="574">
        <v>27</v>
      </c>
      <c r="AE372" s="401">
        <v>10</v>
      </c>
      <c r="AF372" s="401">
        <v>5</v>
      </c>
      <c r="AG372" s="401">
        <f t="shared" si="2576"/>
        <v>7</v>
      </c>
      <c r="AH372" s="347">
        <f t="shared" si="2577"/>
        <v>69</v>
      </c>
      <c r="AI372" s="344">
        <f>IF(T372="AIR",'Catalogue Aluminium'!$K$9,IF(T372="TRENCH",'Catalogue Aluminium'!$K$12,"NA"))</f>
        <v>0.89</v>
      </c>
      <c r="AJ372" s="342">
        <f>IF(T372="Air",(IF(U372="1C",'Catalogue Aluminium'!$L$9,'Catalogue Aluminium'!$M$9)),IF(T372="DUCT",(IF($U372="1C",'Catalogue Aluminium'!$L$10,'Catalogue Aluminium'!$M$10)),IF(T372="GROUND",(IF($U372="1C",'Catalogue Aluminium'!$L$11,'Catalogue Aluminium'!$M$11)),IF(T372="TRENCH",(IF($U372="1C",'Catalogue Aluminium'!$L$12,'Catalogue Aluminium'!$M$12))))))</f>
        <v>0.66</v>
      </c>
      <c r="AK372" s="344" t="str">
        <f>IF(T372="Air",'Catalogue Aluminium'!$N$9,IF(T372="GROUND",'Catalogue Aluminium'!$N$10,IF(T372="DUCT",'Catalogue Aluminium'!$N$11,IF(T372="TRENCH",'Catalogue Aluminium'!$N$12,"NA"))))</f>
        <v>NA</v>
      </c>
      <c r="AL372" s="344" t="str">
        <f>IF(T372="Air",(IF(U372="1C",'Catalogue Aluminium'!$O$9,'Catalogue Aluminium'!$P$9)),IF(T372="DUCT",(IF($U372="1C",'Catalogue Aluminium'!$O$10,'Catalogue Aluminium'!$P$10)),IF(T372="GROUND",(IF($U372="1C",'Catalogue Aluminium'!$O$11,'Catalogue Aluminium'!$P$11)),IF(T372="TRENCH",(IF($U372="1C",'Catalogue Aluminium'!$O$12,'Catalogue Aluminium'!$P$12))))))</f>
        <v>NA</v>
      </c>
      <c r="AM372" s="344" t="str">
        <f>IF(T372="AIR","NA",IF(T372="TRENCH","NA",IF(T372="DUCT",IF(U372="1C",VLOOKUP(V372,'Catalogue Aluminium'!$Q$9:$S$28,2,FALSE),VLOOKUP(V372,'Catalogue Aluminium'!$Q$9:$S$28,3)),IF(T372="GROUND",IF(U372="1C",VLOOKUP(V372,'Catalogue Aluminium'!$Q$9:$S$28,2,FALSE),VLOOKUP(V372,'Catalogue Aluminium'!$Q$9:$S$28,3))))))</f>
        <v>NA</v>
      </c>
      <c r="AN372" s="351">
        <f t="shared" si="2578"/>
        <v>0.58740000000000003</v>
      </c>
      <c r="AO372" s="350">
        <f t="shared" si="2579"/>
        <v>68.725800000000007</v>
      </c>
      <c r="AP372" s="349">
        <f t="shared" si="2580"/>
        <v>1</v>
      </c>
      <c r="AQ372" s="350" t="str">
        <f t="shared" si="2581"/>
        <v>YES</v>
      </c>
      <c r="AR372" s="351">
        <f t="shared" si="2582"/>
        <v>0.26284068635646834</v>
      </c>
      <c r="AS372" s="343" t="str">
        <f t="shared" ref="AS372:AS382" si="2599">IF(G372="INCOMER",(IF(AR372&lt;=2,"YES","NO")),IF(G372="POWER",(IF(AR372&lt;=2.5,"YES","NO")),IF(G372="MOTOR",(IF(AR372&lt;=3,"YES","NO")))))</f>
        <v>YES</v>
      </c>
      <c r="AT372" s="351" t="str">
        <f t="shared" si="2583"/>
        <v>NA</v>
      </c>
      <c r="AU372" s="343" t="str">
        <f t="shared" si="2584"/>
        <v>NA</v>
      </c>
      <c r="AV372" s="354" t="str">
        <f t="shared" si="2585"/>
        <v>1R x 0.6/1kV x 3.5C x 35 Sqmm</v>
      </c>
      <c r="AW372" s="354" t="str">
        <f t="shared" si="2586"/>
        <v>1R x 0.6/1kV x 3.5C x 35 Sqmm</v>
      </c>
      <c r="AX372" s="343">
        <f t="shared" si="2587"/>
        <v>69</v>
      </c>
      <c r="AY372" s="355"/>
      <c r="AZ372" s="355">
        <f t="shared" si="2588"/>
        <v>2</v>
      </c>
      <c r="BA372" s="356" t="str">
        <f t="shared" ref="BA372:BA381" si="2600">CONCATENATE(IF(BE372=1,BE$4,""),IF(BF372=1,BF$4,""),IF(BG372=1,BG$4,""),IF(BH372=1,BH$4,""),IF(BI372=1,BI$4,""),IF(BJ372=1,BJ$4,""),IF(BK372=1,BK$4,""),IF(BL372=1,BL$4,""),IF(BM372=1,BM$4,""),IF(BN372=1,BN$4,""),IF(BO372=1,BO$4,""),IF(BP372=1,BP$4,""),IF(BQ372=1,BQ$4,""),IF(BR372=1,BR$4,""),IF(BS372=1,BS$4,""),IF(BT372=1,BT$4,""),IF(BU372=1,BU$4,""),IF(BV372=1,BV$4,""),IF(BW372=1,BW$4,""),IF(BX372=1,BX$4,""),IF(BY372=1,BY$4,""),IF(BZ372=1,BZ$4,""),IF(CA372=1,CA$4,""),IF(CB372=1,CB$4,""),IF(CC372=1,CC$4,""),IF(CD372=1,CD$4,""),IF(CE372=1,CE$4,""),IF(CF372=1,CF$4,""),IF(CG372=1,CG$4,""),IF(CH372=1,CH$4,""),IF(CI372=1,CI$4,""),IF(CJ372=1,CJ$4,""),IF(CK372=1,CK$4,""),IF(CL372=1,CL$4,""),IF(CM372=1,CM$4,""),IF(CN372=1,CN$4,""),IF(CO372=1,CO$4,""),IF(CP372=1,CP$4,""),IF(CQ372=1,CQ$4,""),IF(CR372=1,CR$4,""),IF(CS372=1,CS$4,""),IF(CT372=1,CT$4,""),IF(CU372=1,CU$4,""),IF(CV372=1,CV$4,""),IF(CW372=1,CW$4,""),IF(CX372=1,CX$4,""),IF(CY372=1,CY$4,""),IF(CZ372=1,CZ$4,""),IF(DA372=1,DA$4,""),IF(DB372=1,DB$4,""),IF(DC372=1,DC$4,""),IF(DD372=1,DD$4,""),IF(DE372=1,DE$4,""),IF(DF372=1,DF$4,""),IF(DG372=1,DG$4,""),IF(DH372=1,DH$4,""),IF(DI372=1,DI$4,""),IF(DJ372=1,DJ$4,""),IF(DK372=1,DK$4,""),IF(DL372=1,DL$4,""),IF(DM372=1,DM$4,""),IF(DN372=1,DN$4,""),IF(DO372=1,DO$4,""),IF(DP372=1,DP$4,""),IF(DQ372=1,DQ$4,""),IF(DR372=1,DR$4,""),IF(DS372=1,DS$4,""),IF(DT372=1,DT$4,""),IF(DU372=1,DU$4,""))</f>
        <v>A1</v>
      </c>
      <c r="BB372" s="501">
        <f>VLOOKUP(W372,'Catalogue Aluminium'!$B$9:$H$93,7,FALSE)</f>
        <v>27</v>
      </c>
      <c r="BC372" s="328">
        <f t="shared" si="2590"/>
        <v>27</v>
      </c>
      <c r="BE372" s="336">
        <v>1</v>
      </c>
      <c r="BF372" s="336"/>
      <c r="BG372" s="336"/>
      <c r="BH372" s="336"/>
      <c r="BI372" s="336"/>
      <c r="BJ372" s="336"/>
      <c r="BK372" s="336"/>
      <c r="BL372" s="336"/>
      <c r="BM372" s="336"/>
      <c r="BN372" s="336"/>
      <c r="BO372" s="336"/>
      <c r="BP372" s="336"/>
      <c r="BQ372" s="336"/>
      <c r="BR372" s="336"/>
      <c r="BS372" s="336"/>
      <c r="BT372" s="336"/>
      <c r="BU372" s="336"/>
      <c r="BV372" s="336"/>
      <c r="BW372" s="336"/>
      <c r="BX372" s="336"/>
      <c r="BY372" s="336"/>
      <c r="BZ372" s="336"/>
      <c r="CA372" s="336"/>
      <c r="CB372" s="336"/>
      <c r="CC372" s="336"/>
      <c r="CD372" s="336"/>
      <c r="CE372" s="336"/>
      <c r="CF372" s="336"/>
      <c r="CG372" s="336"/>
      <c r="CH372" s="336"/>
      <c r="CI372" s="336"/>
      <c r="CJ372" s="336"/>
      <c r="CK372" s="336"/>
      <c r="CL372" s="336"/>
      <c r="CM372" s="336"/>
      <c r="CN372" s="336"/>
      <c r="CO372" s="336"/>
      <c r="CP372" s="336"/>
      <c r="CQ372" s="336"/>
      <c r="CR372" s="336"/>
      <c r="CS372" s="336"/>
      <c r="CT372" s="336"/>
      <c r="CU372" s="336"/>
      <c r="CV372" s="336"/>
      <c r="CW372" s="336"/>
      <c r="CX372" s="336"/>
      <c r="CY372" s="336"/>
      <c r="CZ372" s="336"/>
      <c r="DA372" s="336"/>
      <c r="DB372" s="336"/>
      <c r="DC372" s="336"/>
      <c r="DD372" s="336"/>
      <c r="DE372" s="336"/>
      <c r="DF372" s="336"/>
      <c r="DG372" s="336"/>
      <c r="DH372" s="336"/>
      <c r="DI372" s="336"/>
      <c r="DJ372" s="336"/>
      <c r="DK372" s="336"/>
      <c r="DL372" s="336"/>
      <c r="DM372" s="336"/>
      <c r="DN372" s="336"/>
      <c r="DO372" s="336"/>
      <c r="DP372" s="336"/>
      <c r="DQ372" s="336"/>
      <c r="DR372" s="336"/>
      <c r="DS372" s="336"/>
      <c r="DT372" s="336"/>
      <c r="DU372" s="336"/>
      <c r="DW372" s="336">
        <f t="shared" si="2591"/>
        <v>27</v>
      </c>
      <c r="DX372" s="336">
        <f t="shared" si="2592"/>
        <v>0</v>
      </c>
      <c r="DY372" s="336">
        <f t="shared" si="2593"/>
        <v>0</v>
      </c>
      <c r="DZ372" s="336">
        <f t="shared" si="2594"/>
        <v>0</v>
      </c>
      <c r="EA372" s="336">
        <f t="shared" si="2595"/>
        <v>0</v>
      </c>
      <c r="EB372" s="336">
        <f t="shared" si="2596"/>
        <v>0</v>
      </c>
      <c r="EC372" s="336">
        <f t="shared" si="2597"/>
        <v>0</v>
      </c>
      <c r="ED372" s="336">
        <f t="shared" si="2515"/>
        <v>0</v>
      </c>
      <c r="EE372" s="336">
        <f t="shared" si="2516"/>
        <v>0</v>
      </c>
      <c r="EF372" s="336">
        <f t="shared" si="2517"/>
        <v>0</v>
      </c>
      <c r="EG372" s="336">
        <f t="shared" si="2518"/>
        <v>0</v>
      </c>
      <c r="EH372" s="336">
        <f t="shared" si="2519"/>
        <v>0</v>
      </c>
      <c r="EI372" s="336">
        <f t="shared" si="2520"/>
        <v>0</v>
      </c>
      <c r="EJ372" s="336">
        <f t="shared" si="2521"/>
        <v>0</v>
      </c>
      <c r="EK372" s="336">
        <f t="shared" si="2522"/>
        <v>0</v>
      </c>
      <c r="EL372" s="336">
        <f t="shared" si="2523"/>
        <v>0</v>
      </c>
      <c r="EM372" s="336">
        <f t="shared" si="2524"/>
        <v>0</v>
      </c>
      <c r="EN372" s="336">
        <f t="shared" si="2525"/>
        <v>0</v>
      </c>
      <c r="EO372" s="336">
        <f t="shared" si="2526"/>
        <v>0</v>
      </c>
      <c r="EP372" s="336">
        <f t="shared" si="2527"/>
        <v>0</v>
      </c>
      <c r="EQ372" s="336">
        <f t="shared" si="2528"/>
        <v>0</v>
      </c>
      <c r="ER372" s="336">
        <f t="shared" si="2529"/>
        <v>0</v>
      </c>
      <c r="ES372" s="336">
        <f t="shared" si="2530"/>
        <v>0</v>
      </c>
      <c r="ET372" s="336">
        <f t="shared" si="2530"/>
        <v>0</v>
      </c>
      <c r="EU372" s="336">
        <f t="shared" si="2531"/>
        <v>0</v>
      </c>
      <c r="EV372" s="336">
        <f t="shared" si="2532"/>
        <v>0</v>
      </c>
      <c r="EW372" s="336">
        <f t="shared" si="2533"/>
        <v>0</v>
      </c>
      <c r="EX372" s="336">
        <f t="shared" si="2534"/>
        <v>0</v>
      </c>
      <c r="EY372" s="336">
        <f t="shared" si="2535"/>
        <v>0</v>
      </c>
      <c r="EZ372" s="336">
        <f t="shared" si="2536"/>
        <v>0</v>
      </c>
      <c r="FA372" s="336">
        <f t="shared" si="2537"/>
        <v>0</v>
      </c>
      <c r="FB372" s="336">
        <f t="shared" si="2538"/>
        <v>0</v>
      </c>
      <c r="FC372" s="336">
        <f t="shared" si="2539"/>
        <v>0</v>
      </c>
      <c r="FD372" s="336">
        <f t="shared" si="2540"/>
        <v>0</v>
      </c>
      <c r="FE372" s="336">
        <f t="shared" si="2541"/>
        <v>0</v>
      </c>
      <c r="FF372" s="336">
        <f t="shared" si="2542"/>
        <v>0</v>
      </c>
      <c r="FG372" s="336">
        <f t="shared" si="2543"/>
        <v>0</v>
      </c>
      <c r="FH372" s="336">
        <f t="shared" si="2544"/>
        <v>0</v>
      </c>
      <c r="FI372" s="336">
        <f t="shared" si="2545"/>
        <v>0</v>
      </c>
      <c r="FJ372" s="336">
        <f t="shared" si="2546"/>
        <v>0</v>
      </c>
      <c r="FK372" s="336">
        <f t="shared" si="2547"/>
        <v>0</v>
      </c>
      <c r="FL372" s="336">
        <f t="shared" si="2548"/>
        <v>0</v>
      </c>
      <c r="FM372" s="336">
        <f t="shared" si="2549"/>
        <v>0</v>
      </c>
      <c r="FN372" s="336">
        <f t="shared" si="2550"/>
        <v>0</v>
      </c>
      <c r="FO372" s="336">
        <f t="shared" si="2551"/>
        <v>0</v>
      </c>
      <c r="FP372" s="336">
        <f t="shared" si="2552"/>
        <v>0</v>
      </c>
      <c r="FQ372" s="336">
        <f t="shared" si="2553"/>
        <v>0</v>
      </c>
      <c r="FR372" s="336">
        <f t="shared" si="2554"/>
        <v>0</v>
      </c>
      <c r="FS372" s="336">
        <f t="shared" si="2555"/>
        <v>0</v>
      </c>
      <c r="FT372" s="336">
        <f t="shared" si="2556"/>
        <v>0</v>
      </c>
      <c r="FU372" s="336">
        <f t="shared" si="2262"/>
        <v>0</v>
      </c>
      <c r="FV372" s="336">
        <f t="shared" si="2263"/>
        <v>0</v>
      </c>
      <c r="FW372" s="336">
        <f t="shared" si="2264"/>
        <v>0</v>
      </c>
      <c r="FX372" s="336">
        <f t="shared" si="2265"/>
        <v>0</v>
      </c>
      <c r="FY372" s="336">
        <f t="shared" si="2557"/>
        <v>0</v>
      </c>
      <c r="FZ372" s="336">
        <f t="shared" si="2558"/>
        <v>0</v>
      </c>
      <c r="GA372" s="336">
        <f t="shared" si="2559"/>
        <v>0</v>
      </c>
      <c r="GB372" s="336">
        <f t="shared" si="2560"/>
        <v>0</v>
      </c>
      <c r="GC372" s="336">
        <f t="shared" si="2561"/>
        <v>0</v>
      </c>
      <c r="GD372" s="336">
        <f t="shared" si="2562"/>
        <v>0</v>
      </c>
      <c r="GE372" s="336">
        <f t="shared" si="2563"/>
        <v>0</v>
      </c>
      <c r="GF372" s="336">
        <f t="shared" si="2564"/>
        <v>0</v>
      </c>
      <c r="GG372" s="336">
        <f t="shared" si="2565"/>
        <v>0</v>
      </c>
      <c r="GH372" s="336">
        <f t="shared" si="2566"/>
        <v>0</v>
      </c>
      <c r="GI372" s="336">
        <f t="shared" si="2567"/>
        <v>0</v>
      </c>
      <c r="GJ372" s="336">
        <f t="shared" si="2568"/>
        <v>0</v>
      </c>
      <c r="GK372" s="336">
        <f t="shared" si="2513"/>
        <v>0</v>
      </c>
      <c r="GL372" s="336">
        <f t="shared" si="2514"/>
        <v>0</v>
      </c>
      <c r="GM372" s="336">
        <f t="shared" si="2569"/>
        <v>0</v>
      </c>
    </row>
    <row r="373" spans="1:195">
      <c r="A373" s="337">
        <f t="shared" si="2598"/>
        <v>246</v>
      </c>
      <c r="B373" s="388" t="s">
        <v>805</v>
      </c>
      <c r="C373" s="337" t="s">
        <v>801</v>
      </c>
      <c r="D373" s="338" t="s">
        <v>806</v>
      </c>
      <c r="E373" s="502" t="s">
        <v>807</v>
      </c>
      <c r="F373" s="756"/>
      <c r="G373" s="337" t="s">
        <v>329</v>
      </c>
      <c r="H373" s="418">
        <v>5</v>
      </c>
      <c r="I373" s="337" t="s">
        <v>330</v>
      </c>
      <c r="J373" s="337" t="s">
        <v>331</v>
      </c>
      <c r="K373" s="349">
        <v>400</v>
      </c>
      <c r="L373" s="343">
        <v>0.84999999999999987</v>
      </c>
      <c r="M373" s="350">
        <v>0.95099999999999985</v>
      </c>
      <c r="N373" s="342">
        <f t="shared" si="2570"/>
        <v>8.9281747625212677</v>
      </c>
      <c r="O373" s="342">
        <f t="shared" si="2571"/>
        <v>0</v>
      </c>
      <c r="P373" s="343" t="str">
        <f t="shared" si="2572"/>
        <v>0.00</v>
      </c>
      <c r="Q373" s="350">
        <v>25</v>
      </c>
      <c r="R373" s="350">
        <v>0</v>
      </c>
      <c r="S373" s="350">
        <f t="shared" si="2573"/>
        <v>0</v>
      </c>
      <c r="T373" s="343" t="s">
        <v>131</v>
      </c>
      <c r="U373" s="342" t="s">
        <v>535</v>
      </c>
      <c r="V373" s="343">
        <v>35</v>
      </c>
      <c r="W373" s="343" t="str">
        <f t="shared" si="2574"/>
        <v>3.5C X 35</v>
      </c>
      <c r="X373" s="343" t="str">
        <f t="shared" si="2575"/>
        <v>3.5C X 35</v>
      </c>
      <c r="Y373" s="343" t="s">
        <v>358</v>
      </c>
      <c r="Z373" s="344">
        <f>IF(T373="AIR",VLOOKUP(W373,'Catalogue Aluminium'!$B$9:$G$93,2,FALSE),IF(T373="GROUND",VLOOKUP(W373,'Catalogue Aluminium'!$B$9:$G$93,3,FALSE),IF(T373="DUCT",VLOOKUP(W373,'Catalogue Aluminium'!$B$9:$G$93,4,FALSE),IF(T373="TRENCH",VLOOKUP(W373,'Catalogue Aluminium'!$B$9:$G$93,2,FALSE)))))</f>
        <v>117</v>
      </c>
      <c r="AA373" s="345">
        <f>VLOOKUP(W373,'Catalogue Aluminium'!$B$9:$G$93,5,FALSE)</f>
        <v>1.1100000000000001</v>
      </c>
      <c r="AB373" s="345">
        <f>VLOOKUP(W373,'Catalogue Aluminium'!$B$9:$G$93,6,FALSE)</f>
        <v>7.9399999999999998E-2</v>
      </c>
      <c r="AC373" s="401">
        <v>25</v>
      </c>
      <c r="AD373" s="401">
        <v>95</v>
      </c>
      <c r="AE373" s="401">
        <f>11+8+3</f>
        <v>22</v>
      </c>
      <c r="AF373" s="401">
        <f t="shared" ref="AF373:AF374" si="2601">5+5</f>
        <v>10</v>
      </c>
      <c r="AG373" s="401">
        <f t="shared" si="2576"/>
        <v>16</v>
      </c>
      <c r="AH373" s="347">
        <f t="shared" si="2577"/>
        <v>168</v>
      </c>
      <c r="AI373" s="344">
        <f>IF(T373="AIR",'Catalogue Aluminium'!$K$9,IF(T373="TRENCH",'Catalogue Aluminium'!$K$12,"NA"))</f>
        <v>0.89</v>
      </c>
      <c r="AJ373" s="342">
        <f>IF(T373="Air",(IF(U373="1C",'Catalogue Aluminium'!$L$9,'Catalogue Aluminium'!$M$9)),IF(T373="DUCT",(IF($U373="1C",'Catalogue Aluminium'!$L$10,'Catalogue Aluminium'!$M$10)),IF(T373="GROUND",(IF($U373="1C",'Catalogue Aluminium'!$L$11,'Catalogue Aluminium'!$M$11)),IF(T373="TRENCH",(IF($U373="1C",'Catalogue Aluminium'!$L$12,'Catalogue Aluminium'!$M$12))))))</f>
        <v>0.66</v>
      </c>
      <c r="AK373" s="344" t="str">
        <f>IF(T373="Air",'Catalogue Aluminium'!$N$9,IF(T373="GROUND",'Catalogue Aluminium'!$N$10,IF(T373="DUCT",'Catalogue Aluminium'!$N$11,IF(T373="TRENCH",'Catalogue Aluminium'!$N$12,"NA"))))</f>
        <v>NA</v>
      </c>
      <c r="AL373" s="344" t="str">
        <f>IF(T373="Air",(IF(U373="1C",'Catalogue Aluminium'!$O$9,'Catalogue Aluminium'!$P$9)),IF(T373="DUCT",(IF($U373="1C",'Catalogue Aluminium'!$O$10,'Catalogue Aluminium'!$P$10)),IF(T373="GROUND",(IF($U373="1C",'Catalogue Aluminium'!$O$11,'Catalogue Aluminium'!$P$11)),IF(T373="TRENCH",(IF($U373="1C",'Catalogue Aluminium'!$O$12,'Catalogue Aluminium'!$P$12))))))</f>
        <v>NA</v>
      </c>
      <c r="AM373" s="344" t="str">
        <f>IF(T373="AIR","NA",IF(T373="TRENCH","NA",IF(T373="DUCT",IF(U373="1C",VLOOKUP(V373,'Catalogue Aluminium'!$Q$9:$S$28,2,FALSE),VLOOKUP(V373,'Catalogue Aluminium'!$Q$9:$S$28,3)),IF(T373="GROUND",IF(U373="1C",VLOOKUP(V373,'Catalogue Aluminium'!$Q$9:$S$28,2,FALSE),VLOOKUP(V373,'Catalogue Aluminium'!$Q$9:$S$28,3))))))</f>
        <v>NA</v>
      </c>
      <c r="AN373" s="351">
        <f t="shared" si="2578"/>
        <v>0.58740000000000003</v>
      </c>
      <c r="AO373" s="350">
        <f t="shared" si="2579"/>
        <v>68.725800000000007</v>
      </c>
      <c r="AP373" s="349">
        <f t="shared" si="2580"/>
        <v>1</v>
      </c>
      <c r="AQ373" s="350" t="str">
        <f t="shared" si="2581"/>
        <v>YES</v>
      </c>
      <c r="AR373" s="351">
        <f t="shared" si="2582"/>
        <v>0.63995993199835777</v>
      </c>
      <c r="AS373" s="343" t="str">
        <f t="shared" si="2599"/>
        <v>YES</v>
      </c>
      <c r="AT373" s="351" t="str">
        <f t="shared" si="2583"/>
        <v>NA</v>
      </c>
      <c r="AU373" s="343" t="str">
        <f t="shared" si="2584"/>
        <v>NA</v>
      </c>
      <c r="AV373" s="354" t="str">
        <f t="shared" si="2585"/>
        <v>1R x 0.6/1kV x 3.5C x 35 Sqmm</v>
      </c>
      <c r="AW373" s="354" t="str">
        <f t="shared" si="2586"/>
        <v>1R x 0.6/1kV x 3.5C x 35 Sqmm</v>
      </c>
      <c r="AX373" s="343">
        <f t="shared" si="2587"/>
        <v>168</v>
      </c>
      <c r="AY373" s="355"/>
      <c r="AZ373" s="355">
        <f t="shared" si="2588"/>
        <v>2</v>
      </c>
      <c r="BA373" s="356" t="str">
        <f t="shared" si="2600"/>
        <v>ACDD1</v>
      </c>
      <c r="BB373" s="501">
        <f>VLOOKUP(W373,'Catalogue Aluminium'!$B$9:$H$93,7,FALSE)</f>
        <v>27</v>
      </c>
      <c r="BC373" s="328">
        <f t="shared" si="2590"/>
        <v>27</v>
      </c>
      <c r="BE373" s="336"/>
      <c r="BF373" s="336">
        <v>1</v>
      </c>
      <c r="BG373" s="336"/>
      <c r="BH373" s="336"/>
      <c r="BI373" s="336">
        <v>1</v>
      </c>
      <c r="BJ373" s="336">
        <v>1</v>
      </c>
      <c r="BK373" s="336">
        <v>1</v>
      </c>
      <c r="BL373" s="336"/>
      <c r="BM373" s="336"/>
      <c r="BN373" s="336"/>
      <c r="BO373" s="336"/>
      <c r="BP373" s="336"/>
      <c r="BQ373" s="336"/>
      <c r="BR373" s="336"/>
      <c r="BS373" s="336"/>
      <c r="BT373" s="336"/>
      <c r="BU373" s="336"/>
      <c r="BV373" s="336"/>
      <c r="BW373" s="336"/>
      <c r="BX373" s="336"/>
      <c r="BY373" s="336"/>
      <c r="BZ373" s="336"/>
      <c r="CA373" s="336"/>
      <c r="CB373" s="336"/>
      <c r="CC373" s="336"/>
      <c r="CD373" s="336"/>
      <c r="CE373" s="336"/>
      <c r="CF373" s="336"/>
      <c r="CG373" s="336"/>
      <c r="CH373" s="336"/>
      <c r="CI373" s="336"/>
      <c r="CJ373" s="336"/>
      <c r="CK373" s="336"/>
      <c r="CL373" s="336"/>
      <c r="CM373" s="336"/>
      <c r="CN373" s="336"/>
      <c r="CO373" s="336"/>
      <c r="CP373" s="336"/>
      <c r="CQ373" s="336"/>
      <c r="CR373" s="336"/>
      <c r="CS373" s="336"/>
      <c r="CT373" s="336"/>
      <c r="CU373" s="336"/>
      <c r="CV373" s="336"/>
      <c r="CW373" s="336"/>
      <c r="CX373" s="336"/>
      <c r="CY373" s="336"/>
      <c r="CZ373" s="336"/>
      <c r="DA373" s="336"/>
      <c r="DB373" s="336"/>
      <c r="DC373" s="336"/>
      <c r="DD373" s="336"/>
      <c r="DE373" s="336"/>
      <c r="DF373" s="336"/>
      <c r="DG373" s="336"/>
      <c r="DH373" s="336"/>
      <c r="DI373" s="336"/>
      <c r="DJ373" s="336"/>
      <c r="DK373" s="336"/>
      <c r="DL373" s="336"/>
      <c r="DM373" s="336"/>
      <c r="DN373" s="336"/>
      <c r="DO373" s="336"/>
      <c r="DP373" s="336"/>
      <c r="DQ373" s="336"/>
      <c r="DR373" s="336"/>
      <c r="DS373" s="336"/>
      <c r="DT373" s="336"/>
      <c r="DU373" s="336"/>
      <c r="DW373" s="336">
        <f t="shared" si="2591"/>
        <v>0</v>
      </c>
      <c r="DX373" s="336">
        <f t="shared" si="2592"/>
        <v>27</v>
      </c>
      <c r="DY373" s="336">
        <f t="shared" si="2593"/>
        <v>0</v>
      </c>
      <c r="DZ373" s="336">
        <f t="shared" si="2594"/>
        <v>0</v>
      </c>
      <c r="EA373" s="336">
        <f t="shared" si="2595"/>
        <v>27</v>
      </c>
      <c r="EB373" s="336">
        <f t="shared" si="2596"/>
        <v>27</v>
      </c>
      <c r="EC373" s="336">
        <f t="shared" si="2597"/>
        <v>27</v>
      </c>
      <c r="ED373" s="336">
        <f t="shared" si="2515"/>
        <v>0</v>
      </c>
      <c r="EE373" s="336">
        <f t="shared" si="2516"/>
        <v>0</v>
      </c>
      <c r="EF373" s="336">
        <f t="shared" si="2517"/>
        <v>0</v>
      </c>
      <c r="EG373" s="336">
        <f t="shared" si="2518"/>
        <v>0</v>
      </c>
      <c r="EH373" s="336">
        <f t="shared" si="2519"/>
        <v>0</v>
      </c>
      <c r="EI373" s="336">
        <f t="shared" si="2520"/>
        <v>0</v>
      </c>
      <c r="EJ373" s="336">
        <f t="shared" si="2521"/>
        <v>0</v>
      </c>
      <c r="EK373" s="336">
        <f t="shared" si="2522"/>
        <v>0</v>
      </c>
      <c r="EL373" s="336">
        <f t="shared" si="2523"/>
        <v>0</v>
      </c>
      <c r="EM373" s="336">
        <f t="shared" si="2524"/>
        <v>0</v>
      </c>
      <c r="EN373" s="336">
        <f t="shared" si="2525"/>
        <v>0</v>
      </c>
      <c r="EO373" s="336">
        <f t="shared" si="2526"/>
        <v>0</v>
      </c>
      <c r="EP373" s="336">
        <f t="shared" si="2527"/>
        <v>0</v>
      </c>
      <c r="EQ373" s="336">
        <f t="shared" si="2528"/>
        <v>0</v>
      </c>
      <c r="ER373" s="336">
        <f t="shared" si="2529"/>
        <v>0</v>
      </c>
      <c r="ES373" s="336">
        <f t="shared" si="2530"/>
        <v>0</v>
      </c>
      <c r="ET373" s="336">
        <f t="shared" si="2530"/>
        <v>0</v>
      </c>
      <c r="EU373" s="336">
        <f t="shared" si="2531"/>
        <v>0</v>
      </c>
      <c r="EV373" s="336">
        <f t="shared" si="2532"/>
        <v>0</v>
      </c>
      <c r="EW373" s="336">
        <f t="shared" si="2533"/>
        <v>0</v>
      </c>
      <c r="EX373" s="336">
        <f t="shared" si="2534"/>
        <v>0</v>
      </c>
      <c r="EY373" s="336">
        <f t="shared" si="2535"/>
        <v>0</v>
      </c>
      <c r="EZ373" s="336">
        <f t="shared" si="2536"/>
        <v>0</v>
      </c>
      <c r="FA373" s="336">
        <f t="shared" si="2537"/>
        <v>0</v>
      </c>
      <c r="FB373" s="336">
        <f t="shared" si="2538"/>
        <v>0</v>
      </c>
      <c r="FC373" s="336">
        <f t="shared" si="2539"/>
        <v>0</v>
      </c>
      <c r="FD373" s="336">
        <f t="shared" si="2540"/>
        <v>0</v>
      </c>
      <c r="FE373" s="336">
        <f t="shared" si="2541"/>
        <v>0</v>
      </c>
      <c r="FF373" s="336">
        <f t="shared" si="2542"/>
        <v>0</v>
      </c>
      <c r="FG373" s="336">
        <f t="shared" si="2543"/>
        <v>0</v>
      </c>
      <c r="FH373" s="336">
        <f t="shared" si="2544"/>
        <v>0</v>
      </c>
      <c r="FI373" s="336">
        <f t="shared" si="2545"/>
        <v>0</v>
      </c>
      <c r="FJ373" s="336">
        <f t="shared" si="2546"/>
        <v>0</v>
      </c>
      <c r="FK373" s="336">
        <f t="shared" si="2547"/>
        <v>0</v>
      </c>
      <c r="FL373" s="336">
        <f t="shared" si="2548"/>
        <v>0</v>
      </c>
      <c r="FM373" s="336">
        <f t="shared" si="2549"/>
        <v>0</v>
      </c>
      <c r="FN373" s="336">
        <f t="shared" si="2550"/>
        <v>0</v>
      </c>
      <c r="FO373" s="336">
        <f t="shared" si="2551"/>
        <v>0</v>
      </c>
      <c r="FP373" s="336">
        <f t="shared" si="2552"/>
        <v>0</v>
      </c>
      <c r="FQ373" s="336">
        <f t="shared" si="2553"/>
        <v>0</v>
      </c>
      <c r="FR373" s="336">
        <f t="shared" si="2554"/>
        <v>0</v>
      </c>
      <c r="FS373" s="336">
        <f t="shared" si="2555"/>
        <v>0</v>
      </c>
      <c r="FT373" s="336">
        <f t="shared" si="2556"/>
        <v>0</v>
      </c>
      <c r="FU373" s="336">
        <f t="shared" si="2262"/>
        <v>0</v>
      </c>
      <c r="FV373" s="336">
        <f t="shared" si="2263"/>
        <v>0</v>
      </c>
      <c r="FW373" s="336">
        <f t="shared" si="2264"/>
        <v>0</v>
      </c>
      <c r="FX373" s="336">
        <f t="shared" si="2265"/>
        <v>0</v>
      </c>
      <c r="FY373" s="336">
        <f t="shared" si="2557"/>
        <v>0</v>
      </c>
      <c r="FZ373" s="336">
        <f t="shared" si="2558"/>
        <v>0</v>
      </c>
      <c r="GA373" s="336">
        <f t="shared" si="2559"/>
        <v>0</v>
      </c>
      <c r="GB373" s="336">
        <f t="shared" si="2560"/>
        <v>0</v>
      </c>
      <c r="GC373" s="336">
        <f t="shared" si="2561"/>
        <v>0</v>
      </c>
      <c r="GD373" s="336">
        <f t="shared" si="2562"/>
        <v>0</v>
      </c>
      <c r="GE373" s="336">
        <f t="shared" si="2563"/>
        <v>0</v>
      </c>
      <c r="GF373" s="336">
        <f t="shared" si="2564"/>
        <v>0</v>
      </c>
      <c r="GG373" s="336">
        <f t="shared" si="2565"/>
        <v>0</v>
      </c>
      <c r="GH373" s="336">
        <f t="shared" si="2566"/>
        <v>0</v>
      </c>
      <c r="GI373" s="336">
        <f t="shared" si="2567"/>
        <v>0</v>
      </c>
      <c r="GJ373" s="336">
        <f t="shared" si="2568"/>
        <v>0</v>
      </c>
      <c r="GK373" s="336">
        <f t="shared" si="2513"/>
        <v>0</v>
      </c>
      <c r="GL373" s="336">
        <f t="shared" si="2514"/>
        <v>0</v>
      </c>
      <c r="GM373" s="336">
        <f t="shared" si="2569"/>
        <v>0</v>
      </c>
    </row>
    <row r="374" spans="1:195">
      <c r="A374" s="337">
        <f t="shared" si="2598"/>
        <v>247</v>
      </c>
      <c r="B374" s="388" t="s">
        <v>808</v>
      </c>
      <c r="C374" s="337" t="s">
        <v>801</v>
      </c>
      <c r="D374" s="338" t="s">
        <v>809</v>
      </c>
      <c r="E374" s="454" t="s">
        <v>345</v>
      </c>
      <c r="F374" s="756"/>
      <c r="G374" s="337" t="s">
        <v>329</v>
      </c>
      <c r="H374" s="418">
        <v>15</v>
      </c>
      <c r="I374" s="337" t="s">
        <v>330</v>
      </c>
      <c r="J374" s="337" t="s">
        <v>331</v>
      </c>
      <c r="K374" s="349">
        <v>400</v>
      </c>
      <c r="L374" s="343">
        <v>0.84999999999999987</v>
      </c>
      <c r="M374" s="350">
        <v>0.95099999999999985</v>
      </c>
      <c r="N374" s="342">
        <f t="shared" si="2570"/>
        <v>26.784524287563805</v>
      </c>
      <c r="O374" s="342">
        <f t="shared" si="2571"/>
        <v>0</v>
      </c>
      <c r="P374" s="343" t="str">
        <f t="shared" si="2572"/>
        <v>0.00</v>
      </c>
      <c r="Q374" s="350">
        <v>25</v>
      </c>
      <c r="R374" s="350">
        <v>0</v>
      </c>
      <c r="S374" s="350">
        <f t="shared" si="2573"/>
        <v>0</v>
      </c>
      <c r="T374" s="343" t="s">
        <v>131</v>
      </c>
      <c r="U374" s="342" t="s">
        <v>535</v>
      </c>
      <c r="V374" s="343">
        <v>70</v>
      </c>
      <c r="W374" s="343" t="str">
        <f t="shared" si="2574"/>
        <v>3.5C X 70</v>
      </c>
      <c r="X374" s="343" t="str">
        <f t="shared" si="2575"/>
        <v>3.5C X 70</v>
      </c>
      <c r="Y374" s="343" t="s">
        <v>358</v>
      </c>
      <c r="Z374" s="344">
        <f>IF(T374="AIR",VLOOKUP(W374,'Catalogue Aluminium'!$B$9:$G$93,2,FALSE),IF(T374="GROUND",VLOOKUP(W374,'Catalogue Aluminium'!$B$9:$G$93,3,FALSE),IF(T374="DUCT",VLOOKUP(W374,'Catalogue Aluminium'!$B$9:$G$93,4,FALSE),IF(T374="TRENCH",VLOOKUP(W374,'Catalogue Aluminium'!$B$9:$G$93,2,FALSE)))))</f>
        <v>177</v>
      </c>
      <c r="AA374" s="345">
        <f>VLOOKUP(W374,'Catalogue Aluminium'!$B$9:$G$93,5,FALSE)</f>
        <v>0.56699999999999995</v>
      </c>
      <c r="AB374" s="345">
        <f>VLOOKUP(W374,'Catalogue Aluminium'!$B$9:$G$93,6,FALSE)</f>
        <v>7.5200000000000003E-2</v>
      </c>
      <c r="AC374" s="401">
        <v>25</v>
      </c>
      <c r="AD374" s="401">
        <f>205</f>
        <v>205</v>
      </c>
      <c r="AE374" s="401">
        <f t="shared" ref="AE374" si="2602">11+8+8+11</f>
        <v>38</v>
      </c>
      <c r="AF374" s="401">
        <f t="shared" si="2601"/>
        <v>10</v>
      </c>
      <c r="AG374" s="401">
        <f t="shared" si="2576"/>
        <v>28</v>
      </c>
      <c r="AH374" s="347">
        <f t="shared" si="2577"/>
        <v>306</v>
      </c>
      <c r="AI374" s="344">
        <f>IF(T374="AIR",'Catalogue Aluminium'!$K$9,IF(T374="TRENCH",'Catalogue Aluminium'!$K$12,"NA"))</f>
        <v>0.89</v>
      </c>
      <c r="AJ374" s="342">
        <f>IF(T374="Air",(IF(U374="1C",'Catalogue Aluminium'!$L$9,'Catalogue Aluminium'!$M$9)),IF(T374="DUCT",(IF($U374="1C",'Catalogue Aluminium'!$L$10,'Catalogue Aluminium'!$M$10)),IF(T374="GROUND",(IF($U374="1C",'Catalogue Aluminium'!$L$11,'Catalogue Aluminium'!$M$11)),IF(T374="TRENCH",(IF($U374="1C",'Catalogue Aluminium'!$L$12,'Catalogue Aluminium'!$M$12))))))</f>
        <v>0.66</v>
      </c>
      <c r="AK374" s="344" t="str">
        <f>IF(T374="Air",'Catalogue Aluminium'!$N$9,IF(T374="GROUND",'Catalogue Aluminium'!$N$10,IF(T374="DUCT",'Catalogue Aluminium'!$N$11,IF(T374="TRENCH",'Catalogue Aluminium'!$N$12,"NA"))))</f>
        <v>NA</v>
      </c>
      <c r="AL374" s="344" t="str">
        <f>IF(T374="Air",(IF(U374="1C",'Catalogue Aluminium'!$O$9,'Catalogue Aluminium'!$P$9)),IF(T374="DUCT",(IF($U374="1C",'Catalogue Aluminium'!$O$10,'Catalogue Aluminium'!$P$10)),IF(T374="GROUND",(IF($U374="1C",'Catalogue Aluminium'!$O$11,'Catalogue Aluminium'!$P$11)),IF(T374="TRENCH",(IF($U374="1C",'Catalogue Aluminium'!$O$12,'Catalogue Aluminium'!$P$12))))))</f>
        <v>NA</v>
      </c>
      <c r="AM374" s="344" t="str">
        <f>IF(T374="AIR","NA",IF(T374="TRENCH","NA",IF(T374="DUCT",IF(U374="1C",VLOOKUP(V374,'Catalogue Aluminium'!$Q$9:$S$28,2,FALSE),VLOOKUP(V374,'Catalogue Aluminium'!$Q$9:$S$28,3)),IF(T374="GROUND",IF(U374="1C",VLOOKUP(V374,'Catalogue Aluminium'!$Q$9:$S$28,2,FALSE),VLOOKUP(V374,'Catalogue Aluminium'!$Q$9:$S$28,3))))))</f>
        <v>NA</v>
      </c>
      <c r="AN374" s="351">
        <f t="shared" si="2578"/>
        <v>0.58740000000000003</v>
      </c>
      <c r="AO374" s="350">
        <f t="shared" si="2579"/>
        <v>103.96980000000001</v>
      </c>
      <c r="AP374" s="349">
        <f t="shared" si="2580"/>
        <v>1</v>
      </c>
      <c r="AQ374" s="350" t="str">
        <f t="shared" si="2581"/>
        <v>YES</v>
      </c>
      <c r="AR374" s="351">
        <f t="shared" si="2582"/>
        <v>1.8510308446240784</v>
      </c>
      <c r="AS374" s="343" t="str">
        <f t="shared" si="2599"/>
        <v>YES</v>
      </c>
      <c r="AT374" s="351" t="str">
        <f t="shared" si="2583"/>
        <v>NA</v>
      </c>
      <c r="AU374" s="343" t="str">
        <f t="shared" si="2584"/>
        <v>NA</v>
      </c>
      <c r="AV374" s="354" t="str">
        <f t="shared" si="2585"/>
        <v>1R x 0.6/1kV x 3.5C x 70 Sqmm</v>
      </c>
      <c r="AW374" s="354" t="str">
        <f t="shared" si="2586"/>
        <v>1R x 0.6/1kV x 3.5C x 70 Sqmm</v>
      </c>
      <c r="AX374" s="343">
        <f t="shared" si="2587"/>
        <v>306</v>
      </c>
      <c r="AY374" s="355"/>
      <c r="AZ374" s="355">
        <f t="shared" si="2588"/>
        <v>2</v>
      </c>
      <c r="BA374" s="356" t="str">
        <f t="shared" si="2600"/>
        <v>ACDEE1</v>
      </c>
      <c r="BB374" s="501">
        <f>VLOOKUP(W374,'Catalogue Aluminium'!$B$9:$H$93,7,FALSE)</f>
        <v>36</v>
      </c>
      <c r="BC374" s="328">
        <f t="shared" si="2590"/>
        <v>36</v>
      </c>
      <c r="BE374" s="336"/>
      <c r="BF374" s="336">
        <v>1</v>
      </c>
      <c r="BG374" s="336"/>
      <c r="BH374" s="336"/>
      <c r="BI374" s="336">
        <v>1</v>
      </c>
      <c r="BJ374" s="336">
        <v>1</v>
      </c>
      <c r="BK374" s="336"/>
      <c r="BL374" s="336"/>
      <c r="BM374" s="336"/>
      <c r="BN374" s="336">
        <v>1</v>
      </c>
      <c r="BO374" s="336"/>
      <c r="BP374" s="336">
        <v>1</v>
      </c>
      <c r="BQ374" s="336"/>
      <c r="BR374" s="336"/>
      <c r="BS374" s="336"/>
      <c r="BT374" s="336"/>
      <c r="BU374" s="336"/>
      <c r="BV374" s="336"/>
      <c r="BW374" s="336"/>
      <c r="BX374" s="336"/>
      <c r="BY374" s="336"/>
      <c r="BZ374" s="336"/>
      <c r="CA374" s="336"/>
      <c r="CB374" s="336"/>
      <c r="CC374" s="336"/>
      <c r="CD374" s="336"/>
      <c r="CE374" s="336"/>
      <c r="CF374" s="336"/>
      <c r="CG374" s="336"/>
      <c r="CH374" s="336"/>
      <c r="CI374" s="336"/>
      <c r="CJ374" s="336"/>
      <c r="CK374" s="336"/>
      <c r="CL374" s="336"/>
      <c r="CM374" s="336"/>
      <c r="CN374" s="336"/>
      <c r="CO374" s="336"/>
      <c r="CP374" s="336"/>
      <c r="CQ374" s="336"/>
      <c r="CR374" s="336"/>
      <c r="CS374" s="336"/>
      <c r="CT374" s="336"/>
      <c r="CU374" s="336"/>
      <c r="CV374" s="336"/>
      <c r="CW374" s="336"/>
      <c r="CX374" s="336"/>
      <c r="CY374" s="336"/>
      <c r="CZ374" s="336"/>
      <c r="DA374" s="336"/>
      <c r="DB374" s="336"/>
      <c r="DC374" s="336"/>
      <c r="DD374" s="336"/>
      <c r="DE374" s="336"/>
      <c r="DF374" s="336"/>
      <c r="DG374" s="336"/>
      <c r="DH374" s="336"/>
      <c r="DI374" s="336"/>
      <c r="DJ374" s="336"/>
      <c r="DK374" s="336"/>
      <c r="DL374" s="336"/>
      <c r="DM374" s="336"/>
      <c r="DN374" s="336"/>
      <c r="DO374" s="336"/>
      <c r="DP374" s="336"/>
      <c r="DQ374" s="336"/>
      <c r="DR374" s="336"/>
      <c r="DS374" s="336"/>
      <c r="DT374" s="336"/>
      <c r="DU374" s="336"/>
      <c r="DW374" s="336">
        <f t="shared" si="2591"/>
        <v>0</v>
      </c>
      <c r="DX374" s="336">
        <f t="shared" si="2592"/>
        <v>36</v>
      </c>
      <c r="DY374" s="336">
        <f t="shared" si="2593"/>
        <v>0</v>
      </c>
      <c r="DZ374" s="336">
        <f t="shared" si="2594"/>
        <v>0</v>
      </c>
      <c r="EA374" s="336">
        <f t="shared" si="2595"/>
        <v>36</v>
      </c>
      <c r="EB374" s="336">
        <f t="shared" si="2596"/>
        <v>36</v>
      </c>
      <c r="EC374" s="336">
        <f t="shared" si="2597"/>
        <v>0</v>
      </c>
      <c r="ED374" s="336">
        <f t="shared" si="2515"/>
        <v>0</v>
      </c>
      <c r="EE374" s="336">
        <f t="shared" si="2516"/>
        <v>0</v>
      </c>
      <c r="EF374" s="336">
        <f t="shared" si="2517"/>
        <v>36</v>
      </c>
      <c r="EG374" s="336">
        <f t="shared" si="2518"/>
        <v>0</v>
      </c>
      <c r="EH374" s="336">
        <f t="shared" si="2519"/>
        <v>36</v>
      </c>
      <c r="EI374" s="336">
        <f t="shared" si="2520"/>
        <v>0</v>
      </c>
      <c r="EJ374" s="336">
        <f t="shared" si="2521"/>
        <v>0</v>
      </c>
      <c r="EK374" s="336">
        <f t="shared" si="2522"/>
        <v>0</v>
      </c>
      <c r="EL374" s="336">
        <f t="shared" si="2523"/>
        <v>0</v>
      </c>
      <c r="EM374" s="336">
        <f t="shared" si="2524"/>
        <v>0</v>
      </c>
      <c r="EN374" s="336">
        <f t="shared" si="2525"/>
        <v>0</v>
      </c>
      <c r="EO374" s="336">
        <f t="shared" si="2526"/>
        <v>0</v>
      </c>
      <c r="EP374" s="336">
        <f t="shared" si="2527"/>
        <v>0</v>
      </c>
      <c r="EQ374" s="336">
        <f t="shared" si="2528"/>
        <v>0</v>
      </c>
      <c r="ER374" s="336">
        <f t="shared" si="2529"/>
        <v>0</v>
      </c>
      <c r="ES374" s="336">
        <f t="shared" si="2530"/>
        <v>0</v>
      </c>
      <c r="ET374" s="336">
        <f t="shared" si="2530"/>
        <v>0</v>
      </c>
      <c r="EU374" s="336">
        <f t="shared" si="2531"/>
        <v>0</v>
      </c>
      <c r="EV374" s="336">
        <f t="shared" si="2532"/>
        <v>0</v>
      </c>
      <c r="EW374" s="336">
        <f t="shared" si="2533"/>
        <v>0</v>
      </c>
      <c r="EX374" s="336">
        <f t="shared" si="2534"/>
        <v>0</v>
      </c>
      <c r="EY374" s="336">
        <f t="shared" si="2535"/>
        <v>0</v>
      </c>
      <c r="EZ374" s="336">
        <f t="shared" si="2536"/>
        <v>0</v>
      </c>
      <c r="FA374" s="336">
        <f t="shared" si="2537"/>
        <v>0</v>
      </c>
      <c r="FB374" s="336">
        <f t="shared" si="2538"/>
        <v>0</v>
      </c>
      <c r="FC374" s="336">
        <f t="shared" si="2539"/>
        <v>0</v>
      </c>
      <c r="FD374" s="336">
        <f t="shared" si="2540"/>
        <v>0</v>
      </c>
      <c r="FE374" s="336">
        <f t="shared" si="2541"/>
        <v>0</v>
      </c>
      <c r="FF374" s="336">
        <f t="shared" si="2542"/>
        <v>0</v>
      </c>
      <c r="FG374" s="336">
        <f t="shared" si="2543"/>
        <v>0</v>
      </c>
      <c r="FH374" s="336">
        <f t="shared" si="2544"/>
        <v>0</v>
      </c>
      <c r="FI374" s="336">
        <f t="shared" si="2545"/>
        <v>0</v>
      </c>
      <c r="FJ374" s="336">
        <f t="shared" si="2546"/>
        <v>0</v>
      </c>
      <c r="FK374" s="336">
        <f t="shared" si="2547"/>
        <v>0</v>
      </c>
      <c r="FL374" s="336">
        <f t="shared" si="2548"/>
        <v>0</v>
      </c>
      <c r="FM374" s="336">
        <f t="shared" si="2549"/>
        <v>0</v>
      </c>
      <c r="FN374" s="336">
        <f t="shared" si="2550"/>
        <v>0</v>
      </c>
      <c r="FO374" s="336">
        <f t="shared" si="2551"/>
        <v>0</v>
      </c>
      <c r="FP374" s="336">
        <f t="shared" si="2552"/>
        <v>0</v>
      </c>
      <c r="FQ374" s="336">
        <f t="shared" si="2553"/>
        <v>0</v>
      </c>
      <c r="FR374" s="336">
        <f t="shared" si="2554"/>
        <v>0</v>
      </c>
      <c r="FS374" s="336">
        <f t="shared" si="2555"/>
        <v>0</v>
      </c>
      <c r="FT374" s="336">
        <f t="shared" si="2556"/>
        <v>0</v>
      </c>
      <c r="FU374" s="336">
        <f t="shared" si="2262"/>
        <v>0</v>
      </c>
      <c r="FV374" s="336">
        <f t="shared" si="2263"/>
        <v>0</v>
      </c>
      <c r="FW374" s="336">
        <f t="shared" si="2264"/>
        <v>0</v>
      </c>
      <c r="FX374" s="336">
        <f t="shared" si="2265"/>
        <v>0</v>
      </c>
      <c r="FY374" s="336">
        <f t="shared" si="2557"/>
        <v>0</v>
      </c>
      <c r="FZ374" s="336">
        <f t="shared" si="2558"/>
        <v>0</v>
      </c>
      <c r="GA374" s="336">
        <f t="shared" si="2559"/>
        <v>0</v>
      </c>
      <c r="GB374" s="336">
        <f t="shared" si="2560"/>
        <v>0</v>
      </c>
      <c r="GC374" s="336">
        <f t="shared" si="2561"/>
        <v>0</v>
      </c>
      <c r="GD374" s="336">
        <f t="shared" si="2562"/>
        <v>0</v>
      </c>
      <c r="GE374" s="336">
        <f t="shared" si="2563"/>
        <v>0</v>
      </c>
      <c r="GF374" s="336">
        <f t="shared" si="2564"/>
        <v>0</v>
      </c>
      <c r="GG374" s="336">
        <f t="shared" si="2565"/>
        <v>0</v>
      </c>
      <c r="GH374" s="336">
        <f t="shared" si="2566"/>
        <v>0</v>
      </c>
      <c r="GI374" s="336">
        <f t="shared" si="2567"/>
        <v>0</v>
      </c>
      <c r="GJ374" s="336">
        <f t="shared" si="2568"/>
        <v>0</v>
      </c>
      <c r="GK374" s="336">
        <f t="shared" si="2513"/>
        <v>0</v>
      </c>
      <c r="GL374" s="336">
        <f t="shared" si="2514"/>
        <v>0</v>
      </c>
      <c r="GM374" s="336">
        <f t="shared" si="2569"/>
        <v>0</v>
      </c>
    </row>
    <row r="375" spans="1:195" ht="25.5">
      <c r="A375" s="337">
        <f t="shared" si="2598"/>
        <v>248</v>
      </c>
      <c r="B375" s="388" t="s">
        <v>810</v>
      </c>
      <c r="C375" s="337" t="s">
        <v>801</v>
      </c>
      <c r="D375" s="338" t="s">
        <v>811</v>
      </c>
      <c r="E375" s="502" t="s">
        <v>812</v>
      </c>
      <c r="F375" s="756"/>
      <c r="G375" s="337" t="s">
        <v>329</v>
      </c>
      <c r="H375" s="418">
        <v>5</v>
      </c>
      <c r="I375" s="337" t="s">
        <v>330</v>
      </c>
      <c r="J375" s="337" t="s">
        <v>331</v>
      </c>
      <c r="K375" s="349">
        <v>400</v>
      </c>
      <c r="L375" s="343">
        <v>0.84999999999999987</v>
      </c>
      <c r="M375" s="350">
        <v>0.95099999999999985</v>
      </c>
      <c r="N375" s="342">
        <f t="shared" si="2570"/>
        <v>8.9281747625212677</v>
      </c>
      <c r="O375" s="342">
        <f t="shared" si="2571"/>
        <v>0</v>
      </c>
      <c r="P375" s="343" t="str">
        <f t="shared" si="2572"/>
        <v>0.00</v>
      </c>
      <c r="Q375" s="350">
        <v>25</v>
      </c>
      <c r="R375" s="350">
        <v>0</v>
      </c>
      <c r="S375" s="350">
        <f t="shared" si="2573"/>
        <v>0</v>
      </c>
      <c r="T375" s="343" t="s">
        <v>131</v>
      </c>
      <c r="U375" s="342" t="s">
        <v>535</v>
      </c>
      <c r="V375" s="343">
        <v>35</v>
      </c>
      <c r="W375" s="343" t="str">
        <f t="shared" si="2574"/>
        <v>3.5C X 35</v>
      </c>
      <c r="X375" s="343" t="str">
        <f t="shared" si="2575"/>
        <v>3.5C X 35</v>
      </c>
      <c r="Y375" s="343" t="s">
        <v>358</v>
      </c>
      <c r="Z375" s="344">
        <f>IF(T375="AIR",VLOOKUP(W375,'Catalogue Aluminium'!$B$9:$G$93,2,FALSE),IF(T375="GROUND",VLOOKUP(W375,'Catalogue Aluminium'!$B$9:$G$93,3,FALSE),IF(T375="DUCT",VLOOKUP(W375,'Catalogue Aluminium'!$B$9:$G$93,4,FALSE),IF(T375="TRENCH",VLOOKUP(W375,'Catalogue Aluminium'!$B$9:$G$93,2,FALSE)))))</f>
        <v>117</v>
      </c>
      <c r="AA375" s="345">
        <f>VLOOKUP(W375,'Catalogue Aluminium'!$B$9:$G$93,5,FALSE)</f>
        <v>1.1100000000000001</v>
      </c>
      <c r="AB375" s="345">
        <f>VLOOKUP(W375,'Catalogue Aluminium'!$B$9:$G$93,6,FALSE)</f>
        <v>7.9399999999999998E-2</v>
      </c>
      <c r="AC375" s="401">
        <v>25</v>
      </c>
      <c r="AD375" s="574">
        <f>68+22+53+33</f>
        <v>176</v>
      </c>
      <c r="AE375" s="401">
        <f>8+7</f>
        <v>15</v>
      </c>
      <c r="AF375" s="401">
        <v>5</v>
      </c>
      <c r="AG375" s="401">
        <f t="shared" si="2576"/>
        <v>23</v>
      </c>
      <c r="AH375" s="347">
        <f t="shared" si="2577"/>
        <v>244</v>
      </c>
      <c r="AI375" s="344">
        <f>IF(T375="AIR",'Catalogue Aluminium'!$K$9,IF(T375="TRENCH",'Catalogue Aluminium'!$K$12,"NA"))</f>
        <v>0.89</v>
      </c>
      <c r="AJ375" s="342">
        <f>IF(T375="Air",(IF(U375="1C",'Catalogue Aluminium'!$L$9,'Catalogue Aluminium'!$M$9)),IF(T375="DUCT",(IF($U375="1C",'Catalogue Aluminium'!$L$10,'Catalogue Aluminium'!$M$10)),IF(T375="GROUND",(IF($U375="1C",'Catalogue Aluminium'!$L$11,'Catalogue Aluminium'!$M$11)),IF(T375="TRENCH",(IF($U375="1C",'Catalogue Aluminium'!$L$12,'Catalogue Aluminium'!$M$12))))))</f>
        <v>0.66</v>
      </c>
      <c r="AK375" s="344" t="str">
        <f>IF(T375="Air",'Catalogue Aluminium'!$N$9,IF(T375="GROUND",'Catalogue Aluminium'!$N$10,IF(T375="DUCT",'Catalogue Aluminium'!$N$11,IF(T375="TRENCH",'Catalogue Aluminium'!$N$12,"NA"))))</f>
        <v>NA</v>
      </c>
      <c r="AL375" s="344" t="str">
        <f>IF(T375="Air",(IF(U375="1C",'Catalogue Aluminium'!$O$9,'Catalogue Aluminium'!$P$9)),IF(T375="DUCT",(IF($U375="1C",'Catalogue Aluminium'!$O$10,'Catalogue Aluminium'!$P$10)),IF(T375="GROUND",(IF($U375="1C",'Catalogue Aluminium'!$O$11,'Catalogue Aluminium'!$P$11)),IF(T375="TRENCH",(IF($U375="1C",'Catalogue Aluminium'!$O$12,'Catalogue Aluminium'!$P$12))))))</f>
        <v>NA</v>
      </c>
      <c r="AM375" s="344" t="str">
        <f>IF(T375="AIR","NA",IF(T375="TRENCH","NA",IF(T375="DUCT",IF(U375="1C",VLOOKUP(V375,'Catalogue Aluminium'!$Q$9:$S$28,2,FALSE),VLOOKUP(V375,'Catalogue Aluminium'!$Q$9:$S$28,3)),IF(T375="GROUND",IF(U375="1C",VLOOKUP(V375,'Catalogue Aluminium'!$Q$9:$S$28,2,FALSE),VLOOKUP(V375,'Catalogue Aluminium'!$Q$9:$S$28,3))))))</f>
        <v>NA</v>
      </c>
      <c r="AN375" s="351">
        <f t="shared" si="2578"/>
        <v>0.58740000000000003</v>
      </c>
      <c r="AO375" s="350">
        <f t="shared" si="2579"/>
        <v>68.725800000000007</v>
      </c>
      <c r="AP375" s="349">
        <f t="shared" si="2580"/>
        <v>1</v>
      </c>
      <c r="AQ375" s="350" t="str">
        <f t="shared" si="2581"/>
        <v>YES</v>
      </c>
      <c r="AR375" s="351">
        <f t="shared" si="2582"/>
        <v>0.92946561552142437</v>
      </c>
      <c r="AS375" s="343" t="str">
        <f t="shared" si="2599"/>
        <v>YES</v>
      </c>
      <c r="AT375" s="351" t="str">
        <f t="shared" si="2583"/>
        <v>NA</v>
      </c>
      <c r="AU375" s="343" t="str">
        <f t="shared" si="2584"/>
        <v>NA</v>
      </c>
      <c r="AV375" s="351" t="str">
        <f t="shared" si="2585"/>
        <v>1R x 0.6/1kV x 3.5C x 35 Sqmm</v>
      </c>
      <c r="AW375" s="351" t="str">
        <f t="shared" si="2586"/>
        <v>1R x 0.6/1kV x 3.5C x 35 Sqmm</v>
      </c>
      <c r="AX375" s="343">
        <f t="shared" si="2587"/>
        <v>244</v>
      </c>
      <c r="AY375" s="343"/>
      <c r="AZ375" s="343">
        <f t="shared" si="2588"/>
        <v>2</v>
      </c>
      <c r="BA375" s="356" t="str">
        <f t="shared" si="2600"/>
        <v>D3LMM1</v>
      </c>
      <c r="BB375" s="328">
        <f>VLOOKUP(W375,'Catalogue Aluminium'!$B$9:$H$93,7,FALSE)</f>
        <v>27</v>
      </c>
      <c r="BC375" s="328">
        <f t="shared" si="2590"/>
        <v>27</v>
      </c>
      <c r="BE375" s="336"/>
      <c r="BF375" s="336"/>
      <c r="BG375" s="336"/>
      <c r="BH375" s="336"/>
      <c r="BI375" s="336"/>
      <c r="BJ375" s="336"/>
      <c r="BK375" s="336"/>
      <c r="BL375" s="336"/>
      <c r="BM375" s="336">
        <v>1</v>
      </c>
      <c r="BN375" s="336"/>
      <c r="BO375" s="336"/>
      <c r="BP375" s="336"/>
      <c r="BQ375" s="336"/>
      <c r="BR375" s="336"/>
      <c r="BS375" s="336"/>
      <c r="BT375" s="336"/>
      <c r="BU375" s="336"/>
      <c r="BV375" s="336"/>
      <c r="BW375" s="336"/>
      <c r="BX375" s="336"/>
      <c r="BY375" s="336"/>
      <c r="BZ375" s="336"/>
      <c r="CA375" s="336"/>
      <c r="CB375" s="336"/>
      <c r="CC375" s="336"/>
      <c r="CD375" s="336"/>
      <c r="CE375" s="336"/>
      <c r="CF375" s="336">
        <v>1</v>
      </c>
      <c r="CG375" s="336"/>
      <c r="CH375" s="336"/>
      <c r="CI375" s="336"/>
      <c r="CJ375" s="336"/>
      <c r="CK375" s="336"/>
      <c r="CL375" s="336"/>
      <c r="CM375" s="336"/>
      <c r="CN375" s="336"/>
      <c r="CO375" s="336"/>
      <c r="CP375" s="336">
        <v>1</v>
      </c>
      <c r="CQ375" s="336">
        <v>1</v>
      </c>
      <c r="CR375" s="336"/>
      <c r="CS375" s="336"/>
      <c r="CT375" s="336"/>
      <c r="CU375" s="336"/>
      <c r="CV375" s="336"/>
      <c r="CW375" s="336"/>
      <c r="CX375" s="336"/>
      <c r="CY375" s="336"/>
      <c r="CZ375" s="336"/>
      <c r="DA375" s="336"/>
      <c r="DB375" s="336"/>
      <c r="DC375" s="336"/>
      <c r="DD375" s="336"/>
      <c r="DE375" s="336"/>
      <c r="DF375" s="336"/>
      <c r="DG375" s="336"/>
      <c r="DH375" s="336"/>
      <c r="DI375" s="336"/>
      <c r="DJ375" s="336"/>
      <c r="DK375" s="336"/>
      <c r="DL375" s="336"/>
      <c r="DM375" s="336"/>
      <c r="DN375" s="336"/>
      <c r="DO375" s="336"/>
      <c r="DP375" s="336"/>
      <c r="DQ375" s="336"/>
      <c r="DR375" s="336"/>
      <c r="DS375" s="336"/>
      <c r="DT375" s="336"/>
      <c r="DU375" s="336"/>
      <c r="DW375" s="336">
        <f t="shared" si="2591"/>
        <v>0</v>
      </c>
      <c r="DX375" s="336">
        <f t="shared" si="2592"/>
        <v>0</v>
      </c>
      <c r="DY375" s="336">
        <f t="shared" si="2593"/>
        <v>0</v>
      </c>
      <c r="DZ375" s="336">
        <f t="shared" si="2594"/>
        <v>0</v>
      </c>
      <c r="EA375" s="336">
        <f t="shared" si="2595"/>
        <v>0</v>
      </c>
      <c r="EB375" s="336">
        <f t="shared" si="2596"/>
        <v>0</v>
      </c>
      <c r="EC375" s="336">
        <f t="shared" si="2597"/>
        <v>0</v>
      </c>
      <c r="ED375" s="336">
        <f t="shared" si="2515"/>
        <v>0</v>
      </c>
      <c r="EE375" s="336">
        <f t="shared" si="2516"/>
        <v>27</v>
      </c>
      <c r="EF375" s="336">
        <f t="shared" si="2517"/>
        <v>0</v>
      </c>
      <c r="EG375" s="336">
        <f t="shared" si="2518"/>
        <v>0</v>
      </c>
      <c r="EH375" s="336">
        <f t="shared" si="2519"/>
        <v>0</v>
      </c>
      <c r="EI375" s="336">
        <f t="shared" si="2520"/>
        <v>0</v>
      </c>
      <c r="EJ375" s="336">
        <f t="shared" si="2521"/>
        <v>0</v>
      </c>
      <c r="EK375" s="336">
        <f t="shared" si="2522"/>
        <v>0</v>
      </c>
      <c r="EL375" s="336">
        <f t="shared" si="2523"/>
        <v>0</v>
      </c>
      <c r="EM375" s="336">
        <f t="shared" si="2524"/>
        <v>0</v>
      </c>
      <c r="EN375" s="336">
        <f t="shared" si="2525"/>
        <v>0</v>
      </c>
      <c r="EO375" s="336">
        <f t="shared" si="2526"/>
        <v>0</v>
      </c>
      <c r="EP375" s="336">
        <f t="shared" si="2527"/>
        <v>0</v>
      </c>
      <c r="EQ375" s="336">
        <f t="shared" si="2528"/>
        <v>0</v>
      </c>
      <c r="ER375" s="336">
        <f t="shared" si="2529"/>
        <v>0</v>
      </c>
      <c r="ES375" s="336">
        <f t="shared" si="2530"/>
        <v>0</v>
      </c>
      <c r="ET375" s="336">
        <f t="shared" si="2530"/>
        <v>0</v>
      </c>
      <c r="EU375" s="336">
        <f t="shared" si="2531"/>
        <v>0</v>
      </c>
      <c r="EV375" s="336">
        <f t="shared" si="2532"/>
        <v>0</v>
      </c>
      <c r="EW375" s="336">
        <f t="shared" si="2533"/>
        <v>0</v>
      </c>
      <c r="EX375" s="336">
        <f t="shared" si="2534"/>
        <v>27</v>
      </c>
      <c r="EY375" s="336">
        <f t="shared" si="2535"/>
        <v>0</v>
      </c>
      <c r="EZ375" s="336">
        <f t="shared" si="2536"/>
        <v>0</v>
      </c>
      <c r="FA375" s="336">
        <f t="shared" si="2537"/>
        <v>0</v>
      </c>
      <c r="FB375" s="336">
        <f t="shared" si="2538"/>
        <v>0</v>
      </c>
      <c r="FC375" s="336">
        <f t="shared" si="2539"/>
        <v>0</v>
      </c>
      <c r="FD375" s="336">
        <f t="shared" si="2540"/>
        <v>0</v>
      </c>
      <c r="FE375" s="336">
        <f t="shared" si="2541"/>
        <v>0</v>
      </c>
      <c r="FF375" s="336">
        <f t="shared" si="2542"/>
        <v>0</v>
      </c>
      <c r="FG375" s="336">
        <f t="shared" si="2543"/>
        <v>0</v>
      </c>
      <c r="FH375" s="336">
        <f t="shared" si="2544"/>
        <v>27</v>
      </c>
      <c r="FI375" s="336">
        <f t="shared" si="2545"/>
        <v>27</v>
      </c>
      <c r="FJ375" s="336">
        <f t="shared" si="2546"/>
        <v>0</v>
      </c>
      <c r="FK375" s="336">
        <f t="shared" si="2547"/>
        <v>0</v>
      </c>
      <c r="FL375" s="336">
        <f t="shared" si="2548"/>
        <v>0</v>
      </c>
      <c r="FM375" s="336">
        <f t="shared" si="2549"/>
        <v>0</v>
      </c>
      <c r="FN375" s="336">
        <f t="shared" si="2550"/>
        <v>0</v>
      </c>
      <c r="FO375" s="336">
        <f t="shared" si="2551"/>
        <v>0</v>
      </c>
      <c r="FP375" s="336">
        <f t="shared" si="2552"/>
        <v>0</v>
      </c>
      <c r="FQ375" s="336">
        <f t="shared" si="2553"/>
        <v>0</v>
      </c>
      <c r="FR375" s="336">
        <f t="shared" si="2554"/>
        <v>0</v>
      </c>
      <c r="FS375" s="336">
        <f t="shared" si="2555"/>
        <v>0</v>
      </c>
      <c r="FT375" s="336">
        <f t="shared" si="2556"/>
        <v>0</v>
      </c>
      <c r="FU375" s="336">
        <f t="shared" si="2262"/>
        <v>0</v>
      </c>
      <c r="FV375" s="336">
        <f t="shared" si="2263"/>
        <v>0</v>
      </c>
      <c r="FW375" s="336">
        <f t="shared" si="2264"/>
        <v>0</v>
      </c>
      <c r="FX375" s="336">
        <f t="shared" si="2265"/>
        <v>0</v>
      </c>
      <c r="FY375" s="336">
        <f t="shared" si="2557"/>
        <v>0</v>
      </c>
      <c r="FZ375" s="336">
        <f t="shared" si="2558"/>
        <v>0</v>
      </c>
      <c r="GA375" s="336">
        <f t="shared" si="2559"/>
        <v>0</v>
      </c>
      <c r="GB375" s="336">
        <f t="shared" si="2560"/>
        <v>0</v>
      </c>
      <c r="GC375" s="336">
        <f t="shared" si="2561"/>
        <v>0</v>
      </c>
      <c r="GD375" s="336">
        <f t="shared" si="2562"/>
        <v>0</v>
      </c>
      <c r="GE375" s="336">
        <f t="shared" si="2563"/>
        <v>0</v>
      </c>
      <c r="GF375" s="336">
        <f t="shared" si="2564"/>
        <v>0</v>
      </c>
      <c r="GG375" s="336">
        <f t="shared" si="2565"/>
        <v>0</v>
      </c>
      <c r="GH375" s="336">
        <f t="shared" si="2566"/>
        <v>0</v>
      </c>
      <c r="GI375" s="336">
        <f t="shared" si="2567"/>
        <v>0</v>
      </c>
      <c r="GJ375" s="336">
        <f t="shared" si="2568"/>
        <v>0</v>
      </c>
      <c r="GK375" s="336">
        <f t="shared" si="2513"/>
        <v>0</v>
      </c>
      <c r="GL375" s="336">
        <f t="shared" si="2514"/>
        <v>0</v>
      </c>
      <c r="GM375" s="336">
        <f t="shared" si="2569"/>
        <v>0</v>
      </c>
    </row>
    <row r="376" spans="1:195">
      <c r="A376" s="337">
        <f t="shared" si="2598"/>
        <v>249</v>
      </c>
      <c r="B376" s="388" t="s">
        <v>813</v>
      </c>
      <c r="C376" s="337" t="s">
        <v>801</v>
      </c>
      <c r="D376" s="338" t="s">
        <v>814</v>
      </c>
      <c r="E376" s="502" t="s">
        <v>815</v>
      </c>
      <c r="F376" s="756"/>
      <c r="G376" s="337" t="s">
        <v>329</v>
      </c>
      <c r="H376" s="418">
        <v>10</v>
      </c>
      <c r="I376" s="337" t="s">
        <v>330</v>
      </c>
      <c r="J376" s="337" t="s">
        <v>331</v>
      </c>
      <c r="K376" s="349">
        <v>400</v>
      </c>
      <c r="L376" s="343">
        <v>0.84999999999999987</v>
      </c>
      <c r="M376" s="350">
        <v>0.95099999999999985</v>
      </c>
      <c r="N376" s="342">
        <f>IF(I376="kVA",IF(J376="3Ph",(H376*1000/(1.732*M376*K376)),(H376*1000/(M376*K376))),IF(I376="kW",IF(J376="3Ph",(H376*1000/(1.732*M376*K376*L376)),(H376*1000/(M376*K376*L376)))))</f>
        <v>17.856349525042535</v>
      </c>
      <c r="O376" s="342">
        <f t="shared" si="2571"/>
        <v>0</v>
      </c>
      <c r="P376" s="343" t="str">
        <f t="shared" si="2572"/>
        <v>0.00</v>
      </c>
      <c r="Q376" s="350">
        <v>25</v>
      </c>
      <c r="R376" s="350">
        <v>0</v>
      </c>
      <c r="S376" s="350">
        <f t="shared" si="2573"/>
        <v>0</v>
      </c>
      <c r="T376" s="343" t="s">
        <v>131</v>
      </c>
      <c r="U376" s="342" t="s">
        <v>535</v>
      </c>
      <c r="V376" s="343">
        <v>70</v>
      </c>
      <c r="W376" s="343" t="str">
        <f t="shared" si="2574"/>
        <v>3.5C X 70</v>
      </c>
      <c r="X376" s="343" t="str">
        <f t="shared" si="2575"/>
        <v>3.5C X 70</v>
      </c>
      <c r="Y376" s="343" t="s">
        <v>358</v>
      </c>
      <c r="Z376" s="344">
        <f>IF(T376="AIR",VLOOKUP(W376,'Catalogue Aluminium'!$B$9:$G$93,2,FALSE),IF(T376="GROUND",VLOOKUP(W376,'Catalogue Aluminium'!$B$9:$G$93,3,FALSE),IF(T376="DUCT",VLOOKUP(W376,'Catalogue Aluminium'!$B$9:$G$93,4,FALSE),IF(T376="TRENCH",VLOOKUP(W376,'Catalogue Aluminium'!$B$9:$G$93,2,FALSE)))))</f>
        <v>177</v>
      </c>
      <c r="AA376" s="345">
        <f>VLOOKUP(W376,'Catalogue Aluminium'!$B$9:$G$93,5,FALSE)</f>
        <v>0.56699999999999995</v>
      </c>
      <c r="AB376" s="345">
        <f>VLOOKUP(W376,'Catalogue Aluminium'!$B$9:$G$93,6,FALSE)</f>
        <v>7.5200000000000003E-2</v>
      </c>
      <c r="AC376" s="401">
        <v>25</v>
      </c>
      <c r="AD376" s="574">
        <v>370</v>
      </c>
      <c r="AE376" s="401">
        <f>8+7+8+8+5+7</f>
        <v>43</v>
      </c>
      <c r="AF376" s="401">
        <v>5</v>
      </c>
      <c r="AG376" s="401">
        <f t="shared" si="2576"/>
        <v>45</v>
      </c>
      <c r="AH376" s="347">
        <f t="shared" si="2577"/>
        <v>488</v>
      </c>
      <c r="AI376" s="344">
        <f>IF(T376="AIR",'Catalogue Aluminium'!$K$9,IF(T376="TRENCH",'Catalogue Aluminium'!$K$12,"NA"))</f>
        <v>0.89</v>
      </c>
      <c r="AJ376" s="342">
        <f>IF(T376="Air",(IF(U376="1C",'Catalogue Aluminium'!$L$9,'Catalogue Aluminium'!$M$9)),IF(T376="DUCT",(IF($U376="1C",'Catalogue Aluminium'!$L$10,'Catalogue Aluminium'!$M$10)),IF(T376="GROUND",(IF($U376="1C",'Catalogue Aluminium'!$L$11,'Catalogue Aluminium'!$M$11)),IF(T376="TRENCH",(IF($U376="1C",'Catalogue Aluminium'!$L$12,'Catalogue Aluminium'!$M$12))))))</f>
        <v>0.66</v>
      </c>
      <c r="AK376" s="344" t="str">
        <f>IF(T376="Air",'Catalogue Aluminium'!$N$9,IF(T376="GROUND",'Catalogue Aluminium'!$N$10,IF(T376="DUCT",'Catalogue Aluminium'!$N$11,IF(T376="TRENCH",'Catalogue Aluminium'!$N$12,"NA"))))</f>
        <v>NA</v>
      </c>
      <c r="AL376" s="344" t="str">
        <f>IF(T376="Air",(IF(U376="1C",'Catalogue Aluminium'!$O$9,'Catalogue Aluminium'!$P$9)),IF(T376="DUCT",(IF($U376="1C",'Catalogue Aluminium'!$O$10,'Catalogue Aluminium'!$P$10)),IF(T376="GROUND",(IF($U376="1C",'Catalogue Aluminium'!$O$11,'Catalogue Aluminium'!$P$11)),IF(T376="TRENCH",(IF($U376="1C",'Catalogue Aluminium'!$O$12,'Catalogue Aluminium'!$P$12))))))</f>
        <v>NA</v>
      </c>
      <c r="AM376" s="344" t="str">
        <f>IF(T376="AIR","NA",IF(T376="TRENCH","NA",IF(T376="DUCT",IF(U376="1C",VLOOKUP(V376,'Catalogue Aluminium'!$Q$9:$S$28,2,FALSE),VLOOKUP(V376,'Catalogue Aluminium'!$Q$9:$S$28,3)),IF(T376="GROUND",IF(U376="1C",VLOOKUP(V376,'Catalogue Aluminium'!$Q$9:$S$28,2,FALSE),VLOOKUP(V376,'Catalogue Aluminium'!$Q$9:$S$28,3))))))</f>
        <v>NA</v>
      </c>
      <c r="AN376" s="351">
        <f t="shared" si="2578"/>
        <v>0.58740000000000003</v>
      </c>
      <c r="AO376" s="350">
        <f t="shared" si="2579"/>
        <v>103.96980000000001</v>
      </c>
      <c r="AP376" s="349">
        <f t="shared" si="2580"/>
        <v>1</v>
      </c>
      <c r="AQ376" s="350" t="str">
        <f t="shared" si="2581"/>
        <v>YES</v>
      </c>
      <c r="AR376" s="351">
        <f t="shared" si="2582"/>
        <v>1.9679805058312638</v>
      </c>
      <c r="AS376" s="343" t="str">
        <f t="shared" si="2599"/>
        <v>YES</v>
      </c>
      <c r="AT376" s="351" t="str">
        <f t="shared" si="2583"/>
        <v>NA</v>
      </c>
      <c r="AU376" s="343" t="str">
        <f t="shared" si="2584"/>
        <v>NA</v>
      </c>
      <c r="AV376" s="354" t="str">
        <f t="shared" si="2585"/>
        <v>1R x 0.6/1kV x 3.5C x 70 Sqmm</v>
      </c>
      <c r="AW376" s="354" t="str">
        <f t="shared" si="2586"/>
        <v>1R x 0.6/1kV x 3.5C x 70 Sqmm</v>
      </c>
      <c r="AX376" s="343">
        <f t="shared" si="2587"/>
        <v>488</v>
      </c>
      <c r="AY376" s="355"/>
      <c r="AZ376" s="355">
        <f t="shared" si="2588"/>
        <v>2</v>
      </c>
      <c r="BA376" s="356" t="str">
        <f t="shared" si="2600"/>
        <v>LMM1NOO1</v>
      </c>
      <c r="BB376" s="501">
        <f>VLOOKUP(W376,'Catalogue Aluminium'!$B$9:$H$93,7,FALSE)</f>
        <v>36</v>
      </c>
      <c r="BC376" s="328">
        <f t="shared" si="2590"/>
        <v>36</v>
      </c>
      <c r="BE376" s="336"/>
      <c r="BF376" s="336"/>
      <c r="BG376" s="336"/>
      <c r="BH376" s="336"/>
      <c r="BI376" s="336"/>
      <c r="BJ376" s="336"/>
      <c r="BK376" s="336"/>
      <c r="BL376" s="336"/>
      <c r="BM376" s="336"/>
      <c r="BN376" s="336"/>
      <c r="BO376" s="336"/>
      <c r="BP376" s="336"/>
      <c r="BQ376" s="336"/>
      <c r="BR376" s="336"/>
      <c r="BS376" s="336"/>
      <c r="BT376" s="336"/>
      <c r="BU376" s="336"/>
      <c r="BV376" s="336"/>
      <c r="BW376" s="336"/>
      <c r="BX376" s="336"/>
      <c r="BY376" s="336"/>
      <c r="BZ376" s="336"/>
      <c r="CA376" s="336"/>
      <c r="CB376" s="336"/>
      <c r="CC376" s="336"/>
      <c r="CD376" s="336"/>
      <c r="CE376" s="336"/>
      <c r="CF376" s="336">
        <v>1</v>
      </c>
      <c r="CG376" s="336"/>
      <c r="CH376" s="336"/>
      <c r="CI376" s="336"/>
      <c r="CJ376" s="336"/>
      <c r="CK376" s="336"/>
      <c r="CL376" s="336"/>
      <c r="CM376" s="336"/>
      <c r="CN376" s="336"/>
      <c r="CO376" s="336"/>
      <c r="CP376" s="336">
        <v>1</v>
      </c>
      <c r="CQ376" s="336">
        <v>1</v>
      </c>
      <c r="CR376" s="336">
        <v>1</v>
      </c>
      <c r="CS376" s="336"/>
      <c r="CT376" s="336"/>
      <c r="CU376" s="336">
        <v>1</v>
      </c>
      <c r="CV376" s="336">
        <v>1</v>
      </c>
      <c r="CW376" s="336"/>
      <c r="CX376" s="336"/>
      <c r="CY376" s="336"/>
      <c r="CZ376" s="336"/>
      <c r="DA376" s="336"/>
      <c r="DB376" s="336"/>
      <c r="DC376" s="336"/>
      <c r="DD376" s="336"/>
      <c r="DE376" s="336"/>
      <c r="DF376" s="336"/>
      <c r="DG376" s="336"/>
      <c r="DH376" s="336"/>
      <c r="DI376" s="336"/>
      <c r="DJ376" s="336"/>
      <c r="DK376" s="336"/>
      <c r="DL376" s="336"/>
      <c r="DM376" s="336"/>
      <c r="DN376" s="336"/>
      <c r="DO376" s="336"/>
      <c r="DP376" s="336"/>
      <c r="DQ376" s="336"/>
      <c r="DR376" s="336"/>
      <c r="DS376" s="336"/>
      <c r="DT376" s="336"/>
      <c r="DU376" s="336"/>
      <c r="DW376" s="336">
        <f t="shared" si="2591"/>
        <v>0</v>
      </c>
      <c r="DX376" s="336">
        <f t="shared" si="2592"/>
        <v>0</v>
      </c>
      <c r="DY376" s="336">
        <f t="shared" si="2593"/>
        <v>0</v>
      </c>
      <c r="DZ376" s="336">
        <f t="shared" si="2594"/>
        <v>0</v>
      </c>
      <c r="EA376" s="336">
        <f t="shared" si="2595"/>
        <v>0</v>
      </c>
      <c r="EB376" s="336">
        <f t="shared" si="2596"/>
        <v>0</v>
      </c>
      <c r="EC376" s="336">
        <f t="shared" si="2597"/>
        <v>0</v>
      </c>
      <c r="ED376" s="336">
        <f t="shared" si="2515"/>
        <v>0</v>
      </c>
      <c r="EE376" s="336">
        <f t="shared" si="2516"/>
        <v>0</v>
      </c>
      <c r="EF376" s="336">
        <f t="shared" si="2517"/>
        <v>0</v>
      </c>
      <c r="EG376" s="336">
        <f t="shared" si="2518"/>
        <v>0</v>
      </c>
      <c r="EH376" s="336">
        <f t="shared" si="2519"/>
        <v>0</v>
      </c>
      <c r="EI376" s="336">
        <f t="shared" si="2520"/>
        <v>0</v>
      </c>
      <c r="EJ376" s="336">
        <f t="shared" si="2521"/>
        <v>0</v>
      </c>
      <c r="EK376" s="336">
        <f t="shared" si="2522"/>
        <v>0</v>
      </c>
      <c r="EL376" s="336">
        <f t="shared" si="2523"/>
        <v>0</v>
      </c>
      <c r="EM376" s="336">
        <f t="shared" si="2524"/>
        <v>0</v>
      </c>
      <c r="EN376" s="336">
        <f t="shared" si="2525"/>
        <v>0</v>
      </c>
      <c r="EO376" s="336">
        <f t="shared" si="2526"/>
        <v>0</v>
      </c>
      <c r="EP376" s="336">
        <f t="shared" si="2527"/>
        <v>0</v>
      </c>
      <c r="EQ376" s="336">
        <f t="shared" si="2528"/>
        <v>0</v>
      </c>
      <c r="ER376" s="336">
        <f t="shared" si="2529"/>
        <v>0</v>
      </c>
      <c r="ES376" s="336">
        <f t="shared" si="2530"/>
        <v>0</v>
      </c>
      <c r="ET376" s="336">
        <f t="shared" si="2530"/>
        <v>0</v>
      </c>
      <c r="EU376" s="336">
        <f t="shared" si="2531"/>
        <v>0</v>
      </c>
      <c r="EV376" s="336">
        <f t="shared" si="2532"/>
        <v>0</v>
      </c>
      <c r="EW376" s="336">
        <f t="shared" si="2533"/>
        <v>0</v>
      </c>
      <c r="EX376" s="336">
        <f t="shared" si="2534"/>
        <v>36</v>
      </c>
      <c r="EY376" s="336">
        <f t="shared" si="2535"/>
        <v>0</v>
      </c>
      <c r="EZ376" s="336">
        <f t="shared" si="2536"/>
        <v>0</v>
      </c>
      <c r="FA376" s="336">
        <f t="shared" si="2537"/>
        <v>0</v>
      </c>
      <c r="FB376" s="336">
        <f t="shared" si="2538"/>
        <v>0</v>
      </c>
      <c r="FC376" s="336">
        <f t="shared" si="2539"/>
        <v>0</v>
      </c>
      <c r="FD376" s="336">
        <f t="shared" si="2540"/>
        <v>0</v>
      </c>
      <c r="FE376" s="336">
        <f t="shared" si="2541"/>
        <v>0</v>
      </c>
      <c r="FF376" s="336">
        <f t="shared" si="2542"/>
        <v>0</v>
      </c>
      <c r="FG376" s="336">
        <f t="shared" si="2543"/>
        <v>0</v>
      </c>
      <c r="FH376" s="336">
        <f t="shared" si="2544"/>
        <v>36</v>
      </c>
      <c r="FI376" s="336">
        <f t="shared" si="2545"/>
        <v>36</v>
      </c>
      <c r="FJ376" s="336">
        <f t="shared" si="2546"/>
        <v>36</v>
      </c>
      <c r="FK376" s="336">
        <f t="shared" si="2547"/>
        <v>0</v>
      </c>
      <c r="FL376" s="336">
        <f t="shared" si="2548"/>
        <v>0</v>
      </c>
      <c r="FM376" s="336">
        <f t="shared" si="2549"/>
        <v>36</v>
      </c>
      <c r="FN376" s="336">
        <f t="shared" si="2550"/>
        <v>36</v>
      </c>
      <c r="FO376" s="336">
        <f t="shared" si="2551"/>
        <v>0</v>
      </c>
      <c r="FP376" s="336">
        <f t="shared" si="2552"/>
        <v>0</v>
      </c>
      <c r="FQ376" s="336">
        <f t="shared" si="2553"/>
        <v>0</v>
      </c>
      <c r="FR376" s="336">
        <f t="shared" si="2554"/>
        <v>0</v>
      </c>
      <c r="FS376" s="336">
        <f t="shared" si="2555"/>
        <v>0</v>
      </c>
      <c r="FT376" s="336">
        <f t="shared" si="2556"/>
        <v>0</v>
      </c>
      <c r="FU376" s="336">
        <f t="shared" si="2262"/>
        <v>0</v>
      </c>
      <c r="FV376" s="336">
        <f t="shared" si="2263"/>
        <v>0</v>
      </c>
      <c r="FW376" s="336">
        <f t="shared" si="2264"/>
        <v>0</v>
      </c>
      <c r="FX376" s="336">
        <f t="shared" si="2265"/>
        <v>0</v>
      </c>
      <c r="FY376" s="336">
        <f t="shared" si="2557"/>
        <v>0</v>
      </c>
      <c r="FZ376" s="336">
        <f t="shared" si="2558"/>
        <v>0</v>
      </c>
      <c r="GA376" s="336">
        <f t="shared" si="2559"/>
        <v>0</v>
      </c>
      <c r="GB376" s="336">
        <f t="shared" si="2560"/>
        <v>0</v>
      </c>
      <c r="GC376" s="336">
        <f t="shared" si="2561"/>
        <v>0</v>
      </c>
      <c r="GD376" s="336">
        <f t="shared" si="2562"/>
        <v>0</v>
      </c>
      <c r="GE376" s="336">
        <f t="shared" si="2563"/>
        <v>0</v>
      </c>
      <c r="GF376" s="336">
        <f t="shared" si="2564"/>
        <v>0</v>
      </c>
      <c r="GG376" s="336">
        <f t="shared" si="2565"/>
        <v>0</v>
      </c>
      <c r="GH376" s="336">
        <f t="shared" si="2566"/>
        <v>0</v>
      </c>
      <c r="GI376" s="336">
        <f t="shared" si="2567"/>
        <v>0</v>
      </c>
      <c r="GJ376" s="336">
        <f t="shared" si="2568"/>
        <v>0</v>
      </c>
      <c r="GK376" s="336">
        <f t="shared" si="2513"/>
        <v>0</v>
      </c>
      <c r="GL376" s="336">
        <f t="shared" si="2514"/>
        <v>0</v>
      </c>
      <c r="GM376" s="336">
        <f t="shared" si="2569"/>
        <v>0</v>
      </c>
    </row>
    <row r="377" spans="1:195">
      <c r="A377" s="337">
        <f t="shared" si="2598"/>
        <v>250</v>
      </c>
      <c r="B377" s="388" t="s">
        <v>816</v>
      </c>
      <c r="C377" s="337" t="s">
        <v>801</v>
      </c>
      <c r="D377" s="338" t="s">
        <v>817</v>
      </c>
      <c r="E377" s="502" t="s">
        <v>335</v>
      </c>
      <c r="F377" s="570"/>
      <c r="G377" s="337" t="s">
        <v>329</v>
      </c>
      <c r="H377" s="418">
        <v>15</v>
      </c>
      <c r="I377" s="337" t="s">
        <v>330</v>
      </c>
      <c r="J377" s="337" t="s">
        <v>331</v>
      </c>
      <c r="K377" s="349">
        <v>400</v>
      </c>
      <c r="L377" s="343">
        <v>0.84999999999999987</v>
      </c>
      <c r="M377" s="350">
        <v>0.95099999999999985</v>
      </c>
      <c r="N377" s="342">
        <f t="shared" ref="N377:N382" si="2603">IF(I377="kVA",IF(J377="3Ph",(H377*1000/(1.732*M377*K377)),(H377*1000/(M377*K377))),IF(I377="kW",IF(J377="3Ph",(H377*1000/(1.732*M377*K377*L377)),(H377*1000/(M377*K377*L377)))))</f>
        <v>26.784524287563805</v>
      </c>
      <c r="O377" s="342">
        <f t="shared" si="2571"/>
        <v>0</v>
      </c>
      <c r="P377" s="343" t="str">
        <f t="shared" si="2572"/>
        <v>0.00</v>
      </c>
      <c r="Q377" s="350">
        <v>25</v>
      </c>
      <c r="R377" s="350">
        <v>0</v>
      </c>
      <c r="S377" s="350">
        <f t="shared" si="2573"/>
        <v>0</v>
      </c>
      <c r="T377" s="343" t="s">
        <v>131</v>
      </c>
      <c r="U377" s="342" t="s">
        <v>535</v>
      </c>
      <c r="V377" s="343">
        <v>35</v>
      </c>
      <c r="W377" s="343" t="str">
        <f t="shared" si="2574"/>
        <v>3.5C X 35</v>
      </c>
      <c r="X377" s="343" t="str">
        <f t="shared" si="2575"/>
        <v>3.5C X 35</v>
      </c>
      <c r="Y377" s="343" t="s">
        <v>358</v>
      </c>
      <c r="Z377" s="344">
        <f>IF(T377="AIR",VLOOKUP(W377,'Catalogue Aluminium'!$B$9:$G$93,2,FALSE),IF(T377="GROUND",VLOOKUP(W377,'Catalogue Aluminium'!$B$9:$G$93,3,FALSE),IF(T377="DUCT",VLOOKUP(W377,'Catalogue Aluminium'!$B$9:$G$93,4,FALSE),IF(T377="TRENCH",VLOOKUP(W377,'Catalogue Aluminium'!$B$9:$G$93,2,FALSE)))))</f>
        <v>117</v>
      </c>
      <c r="AA377" s="345">
        <f>VLOOKUP(W377,'Catalogue Aluminium'!$B$9:$G$93,5,FALSE)</f>
        <v>1.1100000000000001</v>
      </c>
      <c r="AB377" s="345">
        <f>VLOOKUP(W377,'Catalogue Aluminium'!$B$9:$G$93,6,FALSE)</f>
        <v>7.9399999999999998E-2</v>
      </c>
      <c r="AC377" s="401">
        <v>29</v>
      </c>
      <c r="AD377" s="574">
        <v>0</v>
      </c>
      <c r="AE377" s="401">
        <v>10</v>
      </c>
      <c r="AF377" s="401">
        <v>5</v>
      </c>
      <c r="AG377" s="401">
        <f t="shared" si="2576"/>
        <v>5</v>
      </c>
      <c r="AH377" s="347">
        <f t="shared" si="2577"/>
        <v>49</v>
      </c>
      <c r="AI377" s="344">
        <f>IF(T377="AIR",'Catalogue Aluminium'!$K$9,IF(T377="TRENCH",'Catalogue Aluminium'!$K$12,"NA"))</f>
        <v>0.89</v>
      </c>
      <c r="AJ377" s="342">
        <f>IF(T377="Air",(IF(U377="1C",'Catalogue Aluminium'!$L$9,'Catalogue Aluminium'!$M$9)),IF(T377="DUCT",(IF($U377="1C",'Catalogue Aluminium'!$L$10,'Catalogue Aluminium'!$M$10)),IF(T377="GROUND",(IF($U377="1C",'Catalogue Aluminium'!$L$11,'Catalogue Aluminium'!$M$11)),IF(T377="TRENCH",(IF($U377="1C",'Catalogue Aluminium'!$L$12,'Catalogue Aluminium'!$M$12))))))</f>
        <v>0.66</v>
      </c>
      <c r="AK377" s="344" t="str">
        <f>IF(T377="Air",'Catalogue Aluminium'!$N$9,IF(T377="GROUND",'Catalogue Aluminium'!$N$10,IF(T377="DUCT",'Catalogue Aluminium'!$N$11,IF(T377="TRENCH",'Catalogue Aluminium'!$N$12,"NA"))))</f>
        <v>NA</v>
      </c>
      <c r="AL377" s="344" t="str">
        <f>IF(T377="Air",(IF(U377="1C",'Catalogue Aluminium'!$O$9,'Catalogue Aluminium'!$P$9)),IF(T377="DUCT",(IF($U377="1C",'Catalogue Aluminium'!$O$10,'Catalogue Aluminium'!$P$10)),IF(T377="GROUND",(IF($U377="1C",'Catalogue Aluminium'!$O$11,'Catalogue Aluminium'!$P$11)),IF(T377="TRENCH",(IF($U377="1C",'Catalogue Aluminium'!$O$12,'Catalogue Aluminium'!$P$12))))))</f>
        <v>NA</v>
      </c>
      <c r="AM377" s="344" t="str">
        <f>IF(T377="AIR","NA",IF(T377="TRENCH","NA",IF(T377="DUCT",IF(U377="1C",VLOOKUP(V377,'Catalogue Aluminium'!$Q$9:$S$28,2,FALSE),VLOOKUP(V377,'Catalogue Aluminium'!$Q$9:$S$28,3)),IF(T377="GROUND",IF(U377="1C",VLOOKUP(V377,'Catalogue Aluminium'!$Q$9:$S$28,2,FALSE),VLOOKUP(V377,'Catalogue Aluminium'!$Q$9:$S$28,3))))))</f>
        <v>NA</v>
      </c>
      <c r="AN377" s="351">
        <f t="shared" si="2578"/>
        <v>0.58740000000000003</v>
      </c>
      <c r="AO377" s="350">
        <f t="shared" si="2579"/>
        <v>68.725800000000007</v>
      </c>
      <c r="AP377" s="349">
        <f t="shared" si="2580"/>
        <v>1</v>
      </c>
      <c r="AQ377" s="350" t="str">
        <f t="shared" si="2581"/>
        <v>YES</v>
      </c>
      <c r="AR377" s="351">
        <f t="shared" si="2582"/>
        <v>0.55996494049856282</v>
      </c>
      <c r="AS377" s="343" t="str">
        <f t="shared" si="2599"/>
        <v>YES</v>
      </c>
      <c r="AT377" s="351" t="str">
        <f t="shared" si="2583"/>
        <v>NA</v>
      </c>
      <c r="AU377" s="343" t="str">
        <f t="shared" si="2584"/>
        <v>NA</v>
      </c>
      <c r="AV377" s="354" t="str">
        <f t="shared" si="2585"/>
        <v>1R x 0.6/1kV x 3.5C x 35 Sqmm</v>
      </c>
      <c r="AW377" s="354" t="str">
        <f t="shared" si="2586"/>
        <v>1R x 0.6/1kV x 3.5C x 35 Sqmm</v>
      </c>
      <c r="AX377" s="343">
        <f t="shared" si="2587"/>
        <v>49</v>
      </c>
      <c r="AY377" s="355"/>
      <c r="AZ377" s="355">
        <f t="shared" si="2588"/>
        <v>2</v>
      </c>
      <c r="BA377" s="356" t="str">
        <f t="shared" si="2600"/>
        <v/>
      </c>
      <c r="BB377" s="501">
        <f>VLOOKUP(W377,'Catalogue Aluminium'!$B$9:$H$93,7,FALSE)</f>
        <v>27</v>
      </c>
      <c r="BC377" s="328">
        <f t="shared" si="2590"/>
        <v>27</v>
      </c>
      <c r="BE377" s="336"/>
      <c r="BF377" s="336"/>
      <c r="BG377" s="336"/>
      <c r="BH377" s="336"/>
      <c r="BI377" s="336"/>
      <c r="BJ377" s="336"/>
      <c r="BK377" s="336"/>
      <c r="BL377" s="336"/>
      <c r="BM377" s="336"/>
      <c r="BN377" s="336"/>
      <c r="BO377" s="336"/>
      <c r="BP377" s="336"/>
      <c r="BQ377" s="336"/>
      <c r="BR377" s="336"/>
      <c r="BS377" s="336"/>
      <c r="BT377" s="336"/>
      <c r="BU377" s="336"/>
      <c r="BV377" s="336"/>
      <c r="BW377" s="336"/>
      <c r="BX377" s="336"/>
      <c r="BY377" s="336"/>
      <c r="BZ377" s="336"/>
      <c r="CA377" s="336"/>
      <c r="CB377" s="336"/>
      <c r="CC377" s="336"/>
      <c r="CD377" s="336"/>
      <c r="CE377" s="336"/>
      <c r="CF377" s="336"/>
      <c r="CG377" s="336"/>
      <c r="CH377" s="336"/>
      <c r="CI377" s="336"/>
      <c r="CJ377" s="336"/>
      <c r="CK377" s="336"/>
      <c r="CL377" s="336"/>
      <c r="CM377" s="336"/>
      <c r="CN377" s="336"/>
      <c r="CO377" s="336"/>
      <c r="CP377" s="336"/>
      <c r="CQ377" s="336"/>
      <c r="CR377" s="336"/>
      <c r="CS377" s="336"/>
      <c r="CT377" s="336"/>
      <c r="CU377" s="336"/>
      <c r="CV377" s="336"/>
      <c r="CW377" s="336"/>
      <c r="CX377" s="336"/>
      <c r="CY377" s="336"/>
      <c r="CZ377" s="336"/>
      <c r="DA377" s="336"/>
      <c r="DB377" s="336"/>
      <c r="DC377" s="336"/>
      <c r="DD377" s="336"/>
      <c r="DE377" s="336"/>
      <c r="DF377" s="336"/>
      <c r="DG377" s="336"/>
      <c r="DH377" s="336"/>
      <c r="DI377" s="336"/>
      <c r="DJ377" s="336"/>
      <c r="DK377" s="336"/>
      <c r="DL377" s="336"/>
      <c r="DM377" s="336"/>
      <c r="DN377" s="336"/>
      <c r="DO377" s="336"/>
      <c r="DP377" s="336"/>
      <c r="DQ377" s="336"/>
      <c r="DR377" s="336"/>
      <c r="DS377" s="336"/>
      <c r="DT377" s="336"/>
      <c r="DU377" s="336"/>
      <c r="DW377" s="336">
        <f t="shared" si="2591"/>
        <v>0</v>
      </c>
      <c r="DX377" s="336">
        <f t="shared" si="2592"/>
        <v>0</v>
      </c>
      <c r="DY377" s="336">
        <f t="shared" si="2593"/>
        <v>0</v>
      </c>
      <c r="DZ377" s="336">
        <f t="shared" si="2594"/>
        <v>0</v>
      </c>
      <c r="EA377" s="336">
        <f t="shared" si="2595"/>
        <v>0</v>
      </c>
      <c r="EB377" s="336">
        <f t="shared" si="2596"/>
        <v>0</v>
      </c>
      <c r="EC377" s="336">
        <f t="shared" si="2597"/>
        <v>0</v>
      </c>
      <c r="ED377" s="336">
        <f t="shared" si="2515"/>
        <v>0</v>
      </c>
      <c r="EE377" s="336">
        <f t="shared" si="2516"/>
        <v>0</v>
      </c>
      <c r="EF377" s="336">
        <f t="shared" si="2517"/>
        <v>0</v>
      </c>
      <c r="EG377" s="336">
        <f t="shared" si="2518"/>
        <v>0</v>
      </c>
      <c r="EH377" s="336">
        <f t="shared" si="2519"/>
        <v>0</v>
      </c>
      <c r="EI377" s="336">
        <f t="shared" si="2520"/>
        <v>0</v>
      </c>
      <c r="EJ377" s="336">
        <f t="shared" si="2521"/>
        <v>0</v>
      </c>
      <c r="EK377" s="336">
        <f t="shared" si="2522"/>
        <v>0</v>
      </c>
      <c r="EL377" s="336">
        <f t="shared" si="2523"/>
        <v>0</v>
      </c>
      <c r="EM377" s="336">
        <f t="shared" si="2524"/>
        <v>0</v>
      </c>
      <c r="EN377" s="336">
        <f t="shared" si="2525"/>
        <v>0</v>
      </c>
      <c r="EO377" s="336">
        <f t="shared" si="2526"/>
        <v>0</v>
      </c>
      <c r="EP377" s="336">
        <f t="shared" si="2527"/>
        <v>0</v>
      </c>
      <c r="EQ377" s="336">
        <f t="shared" si="2528"/>
        <v>0</v>
      </c>
      <c r="ER377" s="336">
        <f t="shared" si="2529"/>
        <v>0</v>
      </c>
      <c r="ES377" s="336">
        <f t="shared" si="2530"/>
        <v>0</v>
      </c>
      <c r="ET377" s="336">
        <f t="shared" si="2530"/>
        <v>0</v>
      </c>
      <c r="EU377" s="336">
        <f t="shared" si="2531"/>
        <v>0</v>
      </c>
      <c r="EV377" s="336">
        <f t="shared" si="2532"/>
        <v>0</v>
      </c>
      <c r="EW377" s="336">
        <f t="shared" si="2533"/>
        <v>0</v>
      </c>
      <c r="EX377" s="336">
        <f t="shared" si="2534"/>
        <v>0</v>
      </c>
      <c r="EY377" s="336">
        <f t="shared" si="2535"/>
        <v>0</v>
      </c>
      <c r="EZ377" s="336">
        <f t="shared" si="2536"/>
        <v>0</v>
      </c>
      <c r="FA377" s="336">
        <f t="shared" si="2537"/>
        <v>0</v>
      </c>
      <c r="FB377" s="336">
        <f t="shared" si="2538"/>
        <v>0</v>
      </c>
      <c r="FC377" s="336">
        <f t="shared" si="2539"/>
        <v>0</v>
      </c>
      <c r="FD377" s="336">
        <f t="shared" si="2540"/>
        <v>0</v>
      </c>
      <c r="FE377" s="336">
        <f t="shared" si="2541"/>
        <v>0</v>
      </c>
      <c r="FF377" s="336">
        <f t="shared" si="2542"/>
        <v>0</v>
      </c>
      <c r="FG377" s="336">
        <f t="shared" si="2543"/>
        <v>0</v>
      </c>
      <c r="FH377" s="336">
        <f t="shared" si="2544"/>
        <v>0</v>
      </c>
      <c r="FI377" s="336">
        <f t="shared" si="2545"/>
        <v>0</v>
      </c>
      <c r="FJ377" s="336">
        <f t="shared" si="2546"/>
        <v>0</v>
      </c>
      <c r="FK377" s="336">
        <f t="shared" si="2547"/>
        <v>0</v>
      </c>
      <c r="FL377" s="336">
        <f t="shared" si="2548"/>
        <v>0</v>
      </c>
      <c r="FM377" s="336">
        <f t="shared" si="2549"/>
        <v>0</v>
      </c>
      <c r="FN377" s="336">
        <f t="shared" si="2550"/>
        <v>0</v>
      </c>
      <c r="FO377" s="336">
        <f t="shared" si="2551"/>
        <v>0</v>
      </c>
      <c r="FP377" s="336">
        <f t="shared" si="2552"/>
        <v>0</v>
      </c>
      <c r="FQ377" s="336">
        <f t="shared" si="2553"/>
        <v>0</v>
      </c>
      <c r="FR377" s="336">
        <f t="shared" si="2554"/>
        <v>0</v>
      </c>
      <c r="FS377" s="336">
        <f t="shared" si="2555"/>
        <v>0</v>
      </c>
      <c r="FT377" s="336">
        <f t="shared" si="2556"/>
        <v>0</v>
      </c>
      <c r="FU377" s="336">
        <f t="shared" si="2262"/>
        <v>0</v>
      </c>
      <c r="FV377" s="336">
        <f t="shared" si="2263"/>
        <v>0</v>
      </c>
      <c r="FW377" s="336">
        <f t="shared" si="2264"/>
        <v>0</v>
      </c>
      <c r="FX377" s="336">
        <f t="shared" si="2265"/>
        <v>0</v>
      </c>
      <c r="FY377" s="336">
        <f t="shared" si="2557"/>
        <v>0</v>
      </c>
      <c r="FZ377" s="336">
        <f t="shared" si="2558"/>
        <v>0</v>
      </c>
      <c r="GA377" s="336">
        <f t="shared" si="2559"/>
        <v>0</v>
      </c>
      <c r="GB377" s="336">
        <f t="shared" si="2560"/>
        <v>0</v>
      </c>
      <c r="GC377" s="336">
        <f t="shared" si="2561"/>
        <v>0</v>
      </c>
      <c r="GD377" s="336">
        <f t="shared" si="2562"/>
        <v>0</v>
      </c>
      <c r="GE377" s="336">
        <f t="shared" si="2563"/>
        <v>0</v>
      </c>
      <c r="GF377" s="336">
        <f t="shared" si="2564"/>
        <v>0</v>
      </c>
      <c r="GG377" s="336">
        <f t="shared" si="2565"/>
        <v>0</v>
      </c>
      <c r="GH377" s="336">
        <f t="shared" si="2566"/>
        <v>0</v>
      </c>
      <c r="GI377" s="336">
        <f t="shared" si="2567"/>
        <v>0</v>
      </c>
      <c r="GJ377" s="336">
        <f t="shared" si="2568"/>
        <v>0</v>
      </c>
      <c r="GK377" s="336">
        <f t="shared" si="2513"/>
        <v>0</v>
      </c>
      <c r="GL377" s="336">
        <f t="shared" si="2514"/>
        <v>0</v>
      </c>
      <c r="GM377" s="336">
        <f t="shared" si="2569"/>
        <v>0</v>
      </c>
    </row>
    <row r="378" spans="1:195">
      <c r="A378" s="337">
        <f t="shared" si="2598"/>
        <v>251</v>
      </c>
      <c r="B378" s="388" t="s">
        <v>818</v>
      </c>
      <c r="C378" s="337" t="s">
        <v>801</v>
      </c>
      <c r="D378" s="338" t="s">
        <v>819</v>
      </c>
      <c r="E378" s="502" t="s">
        <v>820</v>
      </c>
      <c r="F378" s="756"/>
      <c r="G378" s="337" t="s">
        <v>329</v>
      </c>
      <c r="H378" s="418">
        <v>3.2</v>
      </c>
      <c r="I378" s="337" t="s">
        <v>330</v>
      </c>
      <c r="J378" s="337" t="s">
        <v>331</v>
      </c>
      <c r="K378" s="349">
        <v>400</v>
      </c>
      <c r="L378" s="343">
        <v>0.84999999999999987</v>
      </c>
      <c r="M378" s="350">
        <v>0.95099999999999985</v>
      </c>
      <c r="N378" s="342">
        <f t="shared" si="2603"/>
        <v>5.7140318480136116</v>
      </c>
      <c r="O378" s="342">
        <f t="shared" ref="O378:O382" si="2604">IF(G378="MOTOR",(6*N378),IF(G378="VFD",(1*N378),0))</f>
        <v>0</v>
      </c>
      <c r="P378" s="343" t="str">
        <f t="shared" ref="P378:P382" si="2605">IF(G378="MOTOR",0.2,"0.00")</f>
        <v>0.00</v>
      </c>
      <c r="Q378" s="350">
        <v>25</v>
      </c>
      <c r="R378" s="350">
        <v>0</v>
      </c>
      <c r="S378" s="350">
        <f t="shared" ref="S378:S382" si="2606">(Q378*1000*SQRT(R378)/143)</f>
        <v>0</v>
      </c>
      <c r="T378" s="343" t="s">
        <v>131</v>
      </c>
      <c r="U378" s="350" t="s">
        <v>535</v>
      </c>
      <c r="V378" s="343">
        <v>35</v>
      </c>
      <c r="W378" s="343" t="str">
        <f t="shared" ref="W378:W382" si="2607">CONCATENATE(U378," X ",V378)</f>
        <v>3.5C X 35</v>
      </c>
      <c r="X378" s="343" t="str">
        <f t="shared" ref="X378:X382" si="2608">(IF(J378="1Ph",W378,IF(J378="3Ph",(IF(G378="MOTOR",(CONCATENATE(W378,"+PE")),W378)))))</f>
        <v>3.5C X 35</v>
      </c>
      <c r="Y378" s="343" t="s">
        <v>358</v>
      </c>
      <c r="Z378" s="344">
        <f>IF(T378="AIR",VLOOKUP(W378,'Catalogue Aluminium'!$B$9:$G$93,2,FALSE),IF(T378="GROUND",VLOOKUP(W378,'Catalogue Aluminium'!$B$9:$G$93,3,FALSE),IF(T378="DUCT",VLOOKUP(W378,'Catalogue Aluminium'!$B$9:$G$93,4,FALSE),IF(T378="TRENCH",VLOOKUP(W378,'Catalogue Aluminium'!$B$9:$G$93,2,FALSE)))))</f>
        <v>117</v>
      </c>
      <c r="AA378" s="345">
        <f>VLOOKUP(W378,'Catalogue Aluminium'!$B$9:$G$93,5,FALSE)</f>
        <v>1.1100000000000001</v>
      </c>
      <c r="AB378" s="345">
        <f>VLOOKUP(W378,'Catalogue Aluminium'!$B$9:$G$93,6,FALSE)</f>
        <v>7.9399999999999998E-2</v>
      </c>
      <c r="AC378" s="388">
        <v>48</v>
      </c>
      <c r="AD378" s="574">
        <f>42+22+53+70+98+120</f>
        <v>405</v>
      </c>
      <c r="AE378" s="401">
        <v>10</v>
      </c>
      <c r="AF378" s="401">
        <v>5</v>
      </c>
      <c r="AG378" s="401">
        <f>ROUNDUP((SUM(AC378:AF378)*0.1),0)</f>
        <v>47</v>
      </c>
      <c r="AH378" s="347">
        <f t="shared" si="2577"/>
        <v>515</v>
      </c>
      <c r="AI378" s="344">
        <f>IF(T378="AIR",'Catalogue Aluminium'!$K$9,IF(T378="TRENCH",'Catalogue Aluminium'!$K$12,"NA"))</f>
        <v>0.89</v>
      </c>
      <c r="AJ378" s="342">
        <f>IF(T378="Air",(IF(U378="1C",'Catalogue Aluminium'!$L$9,'Catalogue Aluminium'!$M$9)),IF(T378="DUCT",(IF($U378="1C",'Catalogue Aluminium'!$L$10,'Catalogue Aluminium'!$M$10)),IF(T378="GROUND",(IF($U378="1C",'Catalogue Aluminium'!$L$11,'Catalogue Aluminium'!$M$11)),IF(T378="TRENCH",(IF($U378="1C",'Catalogue Aluminium'!$L$12,'Catalogue Aluminium'!$M$12))))))</f>
        <v>0.66</v>
      </c>
      <c r="AK378" s="344" t="str">
        <f>IF(T378="Air",'Catalogue Aluminium'!$N$9,IF(T378="GROUND",'Catalogue Aluminium'!$N$10,IF(T378="DUCT",'Catalogue Aluminium'!$N$11,IF(T378="TRENCH",'Catalogue Aluminium'!$N$12,"NA"))))</f>
        <v>NA</v>
      </c>
      <c r="AL378" s="344" t="str">
        <f>IF(T378="Air",(IF(U378="1C",'Catalogue Aluminium'!$O$9,'Catalogue Aluminium'!$P$9)),IF(T378="DUCT",(IF($U378="1C",'Catalogue Aluminium'!$O$10,'Catalogue Aluminium'!$P$10)),IF(T378="GROUND",(IF($U378="1C",'Catalogue Aluminium'!$O$11,'Catalogue Aluminium'!$P$11)),IF(T378="TRENCH",(IF($U378="1C",'Catalogue Aluminium'!$O$12,'Catalogue Aluminium'!$P$12))))))</f>
        <v>NA</v>
      </c>
      <c r="AM378" s="344" t="str">
        <f>IF(T378="AIR","NA",IF(T378="TRENCH","NA",IF(T378="DUCT",IF(U378="1C",VLOOKUP(V378,'Catalogue Aluminium'!$Q$9:$S$28,2,FALSE),VLOOKUP(V378,'Catalogue Aluminium'!$Q$9:$S$28,3)),IF(T378="GROUND",IF(U378="1C",VLOOKUP(V378,'Catalogue Aluminium'!$Q$9:$S$28,2,FALSE),VLOOKUP(V378,'Catalogue Aluminium'!$Q$9:$S$28,3))))))</f>
        <v>NA</v>
      </c>
      <c r="AN378" s="351">
        <f t="shared" ref="AN378:AN382" si="2609">IF(T378="AIR",AI378*AJ378,IF(T378="TRENCH",AI378*AJ378,IF(T378="DUCT",AJ378*AK378*AL378*AM378,IF(T378="GROUND",AJ378*AK378*AL378*AM378))))</f>
        <v>0.58740000000000003</v>
      </c>
      <c r="AO378" s="350">
        <f t="shared" ref="AO378:AO382" si="2610">Z378*AN378</f>
        <v>68.725800000000007</v>
      </c>
      <c r="AP378" s="349">
        <f t="shared" si="2580"/>
        <v>1</v>
      </c>
      <c r="AQ378" s="350" t="str">
        <f t="shared" ref="AQ378:AQ382" si="2611">IF(AO378*AP378&gt;=N378,"YES","NO")</f>
        <v>YES</v>
      </c>
      <c r="AR378" s="351">
        <f t="shared" ref="AR378:AR382" si="2612">SQRT(3)*AH378*N378*((AA378*L378)+(AB378*SIN(ACOS(L378))))*100/(AP378*K378*1000)</f>
        <v>1.2555404380158257</v>
      </c>
      <c r="AS378" s="343" t="str">
        <f t="shared" si="2599"/>
        <v>YES</v>
      </c>
      <c r="AT378" s="351" t="str">
        <f t="shared" si="2583"/>
        <v>NA</v>
      </c>
      <c r="AU378" s="343" t="str">
        <f t="shared" si="2584"/>
        <v>NA</v>
      </c>
      <c r="AV378" s="351" t="str">
        <f t="shared" si="2585"/>
        <v>1R x 0.6/1kV x 3.5C x 35 Sqmm</v>
      </c>
      <c r="AW378" s="351" t="str">
        <f t="shared" si="2586"/>
        <v>1R x 0.6/1kV x 3.5C x 35 Sqmm</v>
      </c>
      <c r="AX378" s="343">
        <f t="shared" si="2587"/>
        <v>515</v>
      </c>
      <c r="AY378" s="343"/>
      <c r="AZ378" s="343">
        <f t="shared" si="2588"/>
        <v>2</v>
      </c>
      <c r="BA378" s="356" t="str">
        <f t="shared" si="2600"/>
        <v>LMM1NOO1</v>
      </c>
      <c r="BB378" s="328">
        <f>VLOOKUP(W378,'Catalogue Aluminium'!$B$9:$H$93,7,FALSE)</f>
        <v>27</v>
      </c>
      <c r="BC378" s="328">
        <f t="shared" si="2590"/>
        <v>27</v>
      </c>
      <c r="BE378" s="336"/>
      <c r="BF378" s="336"/>
      <c r="BG378" s="336"/>
      <c r="BH378" s="336"/>
      <c r="BI378" s="336"/>
      <c r="BJ378" s="336"/>
      <c r="BK378" s="336"/>
      <c r="BL378" s="336"/>
      <c r="BM378" s="336"/>
      <c r="BN378" s="336"/>
      <c r="BO378" s="336"/>
      <c r="BP378" s="336"/>
      <c r="BQ378" s="336"/>
      <c r="BR378" s="336"/>
      <c r="BS378" s="336"/>
      <c r="BT378" s="336"/>
      <c r="BU378" s="336"/>
      <c r="BV378" s="336"/>
      <c r="BW378" s="336"/>
      <c r="BX378" s="336"/>
      <c r="BY378" s="336"/>
      <c r="BZ378" s="336"/>
      <c r="CA378" s="336"/>
      <c r="CB378" s="336"/>
      <c r="CC378" s="336"/>
      <c r="CD378" s="336"/>
      <c r="CE378" s="336"/>
      <c r="CF378" s="336">
        <v>1</v>
      </c>
      <c r="CG378" s="336"/>
      <c r="CH378" s="336"/>
      <c r="CI378" s="336"/>
      <c r="CJ378" s="336"/>
      <c r="CK378" s="336"/>
      <c r="CL378" s="336"/>
      <c r="CM378" s="336"/>
      <c r="CN378" s="336"/>
      <c r="CO378" s="336"/>
      <c r="CP378" s="336">
        <v>1</v>
      </c>
      <c r="CQ378" s="336">
        <v>1</v>
      </c>
      <c r="CR378" s="336">
        <v>1</v>
      </c>
      <c r="CS378" s="336"/>
      <c r="CT378" s="336"/>
      <c r="CU378" s="336">
        <v>1</v>
      </c>
      <c r="CV378" s="336">
        <v>1</v>
      </c>
      <c r="CW378" s="336"/>
      <c r="CX378" s="336"/>
      <c r="CY378" s="336"/>
      <c r="CZ378" s="336"/>
      <c r="DA378" s="336"/>
      <c r="DB378" s="336"/>
      <c r="DC378" s="336"/>
      <c r="DD378" s="336"/>
      <c r="DE378" s="336"/>
      <c r="DF378" s="336"/>
      <c r="DG378" s="336"/>
      <c r="DH378" s="336"/>
      <c r="DI378" s="336"/>
      <c r="DJ378" s="336"/>
      <c r="DK378" s="336"/>
      <c r="DL378" s="336"/>
      <c r="DM378" s="336"/>
      <c r="DN378" s="336"/>
      <c r="DO378" s="336"/>
      <c r="DP378" s="336"/>
      <c r="DQ378" s="336"/>
      <c r="DR378" s="336"/>
      <c r="DS378" s="336"/>
      <c r="DT378" s="336"/>
      <c r="DU378" s="336"/>
      <c r="DW378" s="336">
        <f t="shared" si="2591"/>
        <v>0</v>
      </c>
      <c r="DX378" s="336">
        <f t="shared" si="2592"/>
        <v>0</v>
      </c>
      <c r="DY378" s="336">
        <f t="shared" si="2593"/>
        <v>0</v>
      </c>
      <c r="DZ378" s="336">
        <f t="shared" si="2594"/>
        <v>0</v>
      </c>
      <c r="EA378" s="336">
        <f t="shared" si="2595"/>
        <v>0</v>
      </c>
      <c r="EB378" s="336">
        <f t="shared" si="2596"/>
        <v>0</v>
      </c>
      <c r="EC378" s="336">
        <f t="shared" si="2597"/>
        <v>0</v>
      </c>
      <c r="ED378" s="336">
        <f t="shared" si="2515"/>
        <v>0</v>
      </c>
      <c r="EE378" s="336">
        <f t="shared" si="2516"/>
        <v>0</v>
      </c>
      <c r="EF378" s="336">
        <f t="shared" si="2517"/>
        <v>0</v>
      </c>
      <c r="EG378" s="336">
        <f t="shared" si="2518"/>
        <v>0</v>
      </c>
      <c r="EH378" s="336">
        <f t="shared" si="2519"/>
        <v>0</v>
      </c>
      <c r="EI378" s="336">
        <f t="shared" si="2520"/>
        <v>0</v>
      </c>
      <c r="EJ378" s="336">
        <f t="shared" si="2521"/>
        <v>0</v>
      </c>
      <c r="EK378" s="336">
        <f t="shared" si="2522"/>
        <v>0</v>
      </c>
      <c r="EL378" s="336">
        <f t="shared" si="2523"/>
        <v>0</v>
      </c>
      <c r="EM378" s="336">
        <f t="shared" si="2524"/>
        <v>0</v>
      </c>
      <c r="EN378" s="336">
        <f t="shared" si="2525"/>
        <v>0</v>
      </c>
      <c r="EO378" s="336">
        <f t="shared" si="2526"/>
        <v>0</v>
      </c>
      <c r="EP378" s="336">
        <f t="shared" si="2527"/>
        <v>0</v>
      </c>
      <c r="EQ378" s="336">
        <f t="shared" si="2528"/>
        <v>0</v>
      </c>
      <c r="ER378" s="336">
        <f t="shared" si="2529"/>
        <v>0</v>
      </c>
      <c r="ES378" s="336">
        <f t="shared" si="2530"/>
        <v>0</v>
      </c>
      <c r="ET378" s="336">
        <f t="shared" si="2530"/>
        <v>0</v>
      </c>
      <c r="EU378" s="336">
        <f t="shared" si="2531"/>
        <v>0</v>
      </c>
      <c r="EV378" s="336">
        <f t="shared" si="2532"/>
        <v>0</v>
      </c>
      <c r="EW378" s="336">
        <f t="shared" si="2533"/>
        <v>0</v>
      </c>
      <c r="EX378" s="336">
        <f t="shared" si="2534"/>
        <v>27</v>
      </c>
      <c r="EY378" s="336">
        <f t="shared" si="2535"/>
        <v>0</v>
      </c>
      <c r="EZ378" s="336">
        <f t="shared" si="2536"/>
        <v>0</v>
      </c>
      <c r="FA378" s="336">
        <f t="shared" si="2537"/>
        <v>0</v>
      </c>
      <c r="FB378" s="336">
        <f t="shared" si="2538"/>
        <v>0</v>
      </c>
      <c r="FC378" s="336">
        <f t="shared" si="2539"/>
        <v>0</v>
      </c>
      <c r="FD378" s="336">
        <f t="shared" si="2540"/>
        <v>0</v>
      </c>
      <c r="FE378" s="336">
        <f t="shared" si="2541"/>
        <v>0</v>
      </c>
      <c r="FF378" s="336">
        <f t="shared" si="2542"/>
        <v>0</v>
      </c>
      <c r="FG378" s="336">
        <f t="shared" si="2543"/>
        <v>0</v>
      </c>
      <c r="FH378" s="336">
        <f t="shared" si="2544"/>
        <v>27</v>
      </c>
      <c r="FI378" s="336">
        <f t="shared" si="2545"/>
        <v>27</v>
      </c>
      <c r="FJ378" s="336">
        <f t="shared" si="2546"/>
        <v>27</v>
      </c>
      <c r="FK378" s="336">
        <f t="shared" si="2547"/>
        <v>0</v>
      </c>
      <c r="FL378" s="336">
        <f t="shared" si="2548"/>
        <v>0</v>
      </c>
      <c r="FM378" s="336">
        <f t="shared" si="2549"/>
        <v>27</v>
      </c>
      <c r="FN378" s="336">
        <f t="shared" si="2550"/>
        <v>27</v>
      </c>
      <c r="FO378" s="336">
        <f t="shared" si="2551"/>
        <v>0</v>
      </c>
      <c r="FP378" s="336">
        <f t="shared" si="2552"/>
        <v>0</v>
      </c>
      <c r="FQ378" s="336">
        <f t="shared" si="2553"/>
        <v>0</v>
      </c>
      <c r="FR378" s="336">
        <f t="shared" si="2554"/>
        <v>0</v>
      </c>
      <c r="FS378" s="336">
        <f t="shared" si="2555"/>
        <v>0</v>
      </c>
      <c r="FT378" s="336">
        <f t="shared" si="2556"/>
        <v>0</v>
      </c>
      <c r="FU378" s="336">
        <f t="shared" si="2262"/>
        <v>0</v>
      </c>
      <c r="FV378" s="336">
        <f t="shared" si="2263"/>
        <v>0</v>
      </c>
      <c r="FW378" s="336">
        <f t="shared" si="2264"/>
        <v>0</v>
      </c>
      <c r="FX378" s="336">
        <f t="shared" si="2265"/>
        <v>0</v>
      </c>
      <c r="FY378" s="336">
        <f t="shared" si="2557"/>
        <v>0</v>
      </c>
      <c r="FZ378" s="336">
        <f t="shared" si="2558"/>
        <v>0</v>
      </c>
      <c r="GA378" s="336">
        <f t="shared" si="2559"/>
        <v>0</v>
      </c>
      <c r="GB378" s="336">
        <f t="shared" si="2560"/>
        <v>0</v>
      </c>
      <c r="GC378" s="336">
        <f t="shared" si="2561"/>
        <v>0</v>
      </c>
      <c r="GD378" s="336">
        <f t="shared" si="2562"/>
        <v>0</v>
      </c>
      <c r="GE378" s="336">
        <f t="shared" si="2563"/>
        <v>0</v>
      </c>
      <c r="GF378" s="336">
        <f t="shared" si="2564"/>
        <v>0</v>
      </c>
      <c r="GG378" s="336">
        <f t="shared" si="2565"/>
        <v>0</v>
      </c>
      <c r="GH378" s="336">
        <f t="shared" si="2566"/>
        <v>0</v>
      </c>
      <c r="GI378" s="336">
        <f t="shared" si="2567"/>
        <v>0</v>
      </c>
      <c r="GJ378" s="336">
        <f t="shared" si="2568"/>
        <v>0</v>
      </c>
      <c r="GK378" s="336">
        <f t="shared" si="2513"/>
        <v>0</v>
      </c>
      <c r="GL378" s="336">
        <f t="shared" si="2514"/>
        <v>0</v>
      </c>
      <c r="GM378" s="336">
        <f t="shared" si="2569"/>
        <v>0</v>
      </c>
    </row>
    <row r="379" spans="1:195">
      <c r="A379" s="337">
        <f t="shared" si="2598"/>
        <v>252</v>
      </c>
      <c r="B379" s="388" t="s">
        <v>821</v>
      </c>
      <c r="C379" s="337" t="s">
        <v>801</v>
      </c>
      <c r="D379" s="338" t="s">
        <v>822</v>
      </c>
      <c r="E379" s="502" t="s">
        <v>820</v>
      </c>
      <c r="F379" s="756"/>
      <c r="G379" s="337" t="s">
        <v>329</v>
      </c>
      <c r="H379" s="418">
        <v>3.2</v>
      </c>
      <c r="I379" s="337" t="s">
        <v>330</v>
      </c>
      <c r="J379" s="337" t="s">
        <v>331</v>
      </c>
      <c r="K379" s="349">
        <v>400</v>
      </c>
      <c r="L379" s="343">
        <v>0.84999999999999987</v>
      </c>
      <c r="M379" s="350">
        <v>0.95099999999999985</v>
      </c>
      <c r="N379" s="342">
        <f t="shared" si="2603"/>
        <v>5.7140318480136116</v>
      </c>
      <c r="O379" s="342">
        <f t="shared" si="2604"/>
        <v>0</v>
      </c>
      <c r="P379" s="343" t="str">
        <f t="shared" si="2605"/>
        <v>0.00</v>
      </c>
      <c r="Q379" s="350">
        <v>25</v>
      </c>
      <c r="R379" s="350">
        <v>0</v>
      </c>
      <c r="S379" s="350">
        <f t="shared" si="2606"/>
        <v>0</v>
      </c>
      <c r="T379" s="343" t="s">
        <v>131</v>
      </c>
      <c r="U379" s="350" t="s">
        <v>535</v>
      </c>
      <c r="V379" s="343">
        <v>35</v>
      </c>
      <c r="W379" s="343" t="str">
        <f t="shared" si="2607"/>
        <v>3.5C X 35</v>
      </c>
      <c r="X379" s="343" t="str">
        <f t="shared" si="2608"/>
        <v>3.5C X 35</v>
      </c>
      <c r="Y379" s="343" t="s">
        <v>358</v>
      </c>
      <c r="Z379" s="344">
        <f>IF(T379="AIR",VLOOKUP(W379,'Catalogue Aluminium'!$B$9:$G$93,2,FALSE),IF(T379="GROUND",VLOOKUP(W379,'Catalogue Aluminium'!$B$9:$G$93,3,FALSE),IF(T379="DUCT",VLOOKUP(W379,'Catalogue Aluminium'!$B$9:$G$93,4,FALSE),IF(T379="TRENCH",VLOOKUP(W379,'Catalogue Aluminium'!$B$9:$G$93,2,FALSE)))))</f>
        <v>117</v>
      </c>
      <c r="AA379" s="345">
        <f>VLOOKUP(W379,'Catalogue Aluminium'!$B$9:$G$93,5,FALSE)</f>
        <v>1.1100000000000001</v>
      </c>
      <c r="AB379" s="345">
        <f>VLOOKUP(W379,'Catalogue Aluminium'!$B$9:$G$93,6,FALSE)</f>
        <v>7.9399999999999998E-2</v>
      </c>
      <c r="AC379" s="388">
        <v>48</v>
      </c>
      <c r="AD379" s="574">
        <f>42+22+53+70+98+240</f>
        <v>525</v>
      </c>
      <c r="AE379" s="401">
        <v>10</v>
      </c>
      <c r="AF379" s="401">
        <v>5</v>
      </c>
      <c r="AG379" s="401">
        <f t="shared" si="2576"/>
        <v>59</v>
      </c>
      <c r="AH379" s="347">
        <f t="shared" si="2577"/>
        <v>647</v>
      </c>
      <c r="AI379" s="344">
        <f>IF(T379="AIR",'Catalogue Aluminium'!$K$9,IF(T379="TRENCH",'Catalogue Aluminium'!$K$12,"NA"))</f>
        <v>0.89</v>
      </c>
      <c r="AJ379" s="342">
        <f>IF(T379="Air",(IF(U379="1C",'Catalogue Aluminium'!$L$9,'Catalogue Aluminium'!$M$9)),IF(T379="DUCT",(IF($U379="1C",'Catalogue Aluminium'!$L$10,'Catalogue Aluminium'!$M$10)),IF(T379="GROUND",(IF($U379="1C",'Catalogue Aluminium'!$L$11,'Catalogue Aluminium'!$M$11)),IF(T379="TRENCH",(IF($U379="1C",'Catalogue Aluminium'!$L$12,'Catalogue Aluminium'!$M$12))))))</f>
        <v>0.66</v>
      </c>
      <c r="AK379" s="344" t="str">
        <f>IF(T379="Air",'Catalogue Aluminium'!$N$9,IF(T379="GROUND",'Catalogue Aluminium'!$N$10,IF(T379="DUCT",'Catalogue Aluminium'!$N$11,IF(T379="TRENCH",'Catalogue Aluminium'!$N$12,"NA"))))</f>
        <v>NA</v>
      </c>
      <c r="AL379" s="344" t="str">
        <f>IF(T379="Air",(IF(U379="1C",'Catalogue Aluminium'!$O$9,'Catalogue Aluminium'!$P$9)),IF(T379="DUCT",(IF($U379="1C",'Catalogue Aluminium'!$O$10,'Catalogue Aluminium'!$P$10)),IF(T379="GROUND",(IF($U379="1C",'Catalogue Aluminium'!$O$11,'Catalogue Aluminium'!$P$11)),IF(T379="TRENCH",(IF($U379="1C",'Catalogue Aluminium'!$O$12,'Catalogue Aluminium'!$P$12))))))</f>
        <v>NA</v>
      </c>
      <c r="AM379" s="344" t="str">
        <f>IF(T379="AIR","NA",IF(T379="TRENCH","NA",IF(T379="DUCT",IF(U379="1C",VLOOKUP(V379,'Catalogue Aluminium'!$Q$9:$S$28,2,FALSE),VLOOKUP(V379,'Catalogue Aluminium'!$Q$9:$S$28,3)),IF(T379="GROUND",IF(U379="1C",VLOOKUP(V379,'Catalogue Aluminium'!$Q$9:$S$28,2,FALSE),VLOOKUP(V379,'Catalogue Aluminium'!$Q$9:$S$28,3))))))</f>
        <v>NA</v>
      </c>
      <c r="AN379" s="351">
        <f t="shared" si="2609"/>
        <v>0.58740000000000003</v>
      </c>
      <c r="AO379" s="350">
        <f t="shared" si="2610"/>
        <v>68.725800000000007</v>
      </c>
      <c r="AP379" s="349">
        <f t="shared" si="2580"/>
        <v>1</v>
      </c>
      <c r="AQ379" s="350" t="str">
        <f t="shared" si="2611"/>
        <v>YES</v>
      </c>
      <c r="AR379" s="351">
        <f t="shared" si="2612"/>
        <v>1.5773488609635711</v>
      </c>
      <c r="AS379" s="343" t="str">
        <f t="shared" si="2599"/>
        <v>YES</v>
      </c>
      <c r="AT379" s="351" t="str">
        <f t="shared" si="2583"/>
        <v>NA</v>
      </c>
      <c r="AU379" s="343" t="str">
        <f t="shared" si="2584"/>
        <v>NA</v>
      </c>
      <c r="AV379" s="351" t="str">
        <f t="shared" si="2585"/>
        <v>1R x 0.6/1kV x 3.5C x 35 Sqmm</v>
      </c>
      <c r="AW379" s="351" t="str">
        <f t="shared" si="2586"/>
        <v>1R x 0.6/1kV x 3.5C x 35 Sqmm</v>
      </c>
      <c r="AX379" s="343">
        <f t="shared" si="2587"/>
        <v>647</v>
      </c>
      <c r="AY379" s="343"/>
      <c r="AZ379" s="343">
        <f t="shared" si="2588"/>
        <v>2</v>
      </c>
      <c r="BA379" s="356" t="str">
        <f t="shared" si="2600"/>
        <v>LMM1NOO1</v>
      </c>
      <c r="BB379" s="328">
        <f>VLOOKUP(W379,'Catalogue Aluminium'!$B$9:$H$93,7,FALSE)</f>
        <v>27</v>
      </c>
      <c r="BC379" s="328">
        <f t="shared" si="2590"/>
        <v>27</v>
      </c>
      <c r="BE379" s="336"/>
      <c r="BF379" s="336"/>
      <c r="BG379" s="336"/>
      <c r="BH379" s="336"/>
      <c r="BI379" s="336"/>
      <c r="BJ379" s="336"/>
      <c r="BK379" s="336"/>
      <c r="BL379" s="336"/>
      <c r="BM379" s="336"/>
      <c r="BN379" s="336"/>
      <c r="BO379" s="336"/>
      <c r="BP379" s="336"/>
      <c r="BQ379" s="336"/>
      <c r="BR379" s="336"/>
      <c r="BS379" s="336"/>
      <c r="BT379" s="336"/>
      <c r="BU379" s="336"/>
      <c r="BV379" s="336"/>
      <c r="BW379" s="336"/>
      <c r="BX379" s="336"/>
      <c r="BY379" s="336"/>
      <c r="BZ379" s="336"/>
      <c r="CA379" s="336"/>
      <c r="CB379" s="336"/>
      <c r="CC379" s="336"/>
      <c r="CD379" s="336"/>
      <c r="CE379" s="336"/>
      <c r="CF379" s="336">
        <v>1</v>
      </c>
      <c r="CG379" s="336"/>
      <c r="CH379" s="336"/>
      <c r="CI379" s="336"/>
      <c r="CJ379" s="336"/>
      <c r="CK379" s="336"/>
      <c r="CL379" s="336"/>
      <c r="CM379" s="336"/>
      <c r="CN379" s="336"/>
      <c r="CO379" s="336"/>
      <c r="CP379" s="336">
        <v>1</v>
      </c>
      <c r="CQ379" s="336">
        <v>1</v>
      </c>
      <c r="CR379" s="336">
        <v>1</v>
      </c>
      <c r="CS379" s="336"/>
      <c r="CT379" s="336"/>
      <c r="CU379" s="336">
        <v>1</v>
      </c>
      <c r="CV379" s="336">
        <v>1</v>
      </c>
      <c r="CW379" s="336"/>
      <c r="CX379" s="336"/>
      <c r="CY379" s="336"/>
      <c r="CZ379" s="336"/>
      <c r="DA379" s="336"/>
      <c r="DB379" s="336"/>
      <c r="DC379" s="336"/>
      <c r="DD379" s="336"/>
      <c r="DE379" s="336"/>
      <c r="DF379" s="336"/>
      <c r="DG379" s="336"/>
      <c r="DH379" s="336"/>
      <c r="DI379" s="336"/>
      <c r="DJ379" s="336"/>
      <c r="DK379" s="336"/>
      <c r="DL379" s="336"/>
      <c r="DM379" s="336"/>
      <c r="DN379" s="336"/>
      <c r="DO379" s="336"/>
      <c r="DP379" s="336"/>
      <c r="DQ379" s="336"/>
      <c r="DR379" s="336"/>
      <c r="DS379" s="336"/>
      <c r="DT379" s="336"/>
      <c r="DU379" s="336"/>
      <c r="DW379" s="336">
        <f t="shared" si="2591"/>
        <v>0</v>
      </c>
      <c r="DX379" s="336">
        <f t="shared" si="2592"/>
        <v>0</v>
      </c>
      <c r="DY379" s="336">
        <f t="shared" si="2593"/>
        <v>0</v>
      </c>
      <c r="DZ379" s="336">
        <f t="shared" si="2594"/>
        <v>0</v>
      </c>
      <c r="EA379" s="336">
        <f t="shared" si="2595"/>
        <v>0</v>
      </c>
      <c r="EB379" s="336">
        <f t="shared" si="2596"/>
        <v>0</v>
      </c>
      <c r="EC379" s="336">
        <f t="shared" si="2597"/>
        <v>0</v>
      </c>
      <c r="ED379" s="336">
        <f t="shared" si="2515"/>
        <v>0</v>
      </c>
      <c r="EE379" s="336">
        <f t="shared" si="2516"/>
        <v>0</v>
      </c>
      <c r="EF379" s="336">
        <f t="shared" si="2517"/>
        <v>0</v>
      </c>
      <c r="EG379" s="336">
        <f t="shared" si="2518"/>
        <v>0</v>
      </c>
      <c r="EH379" s="336">
        <f t="shared" si="2519"/>
        <v>0</v>
      </c>
      <c r="EI379" s="336">
        <f t="shared" si="2520"/>
        <v>0</v>
      </c>
      <c r="EJ379" s="336">
        <f t="shared" si="2521"/>
        <v>0</v>
      </c>
      <c r="EK379" s="336">
        <f t="shared" si="2522"/>
        <v>0</v>
      </c>
      <c r="EL379" s="336">
        <f t="shared" si="2523"/>
        <v>0</v>
      </c>
      <c r="EM379" s="336">
        <f t="shared" si="2524"/>
        <v>0</v>
      </c>
      <c r="EN379" s="336">
        <f t="shared" si="2525"/>
        <v>0</v>
      </c>
      <c r="EO379" s="336">
        <f t="shared" si="2526"/>
        <v>0</v>
      </c>
      <c r="EP379" s="336">
        <f t="shared" si="2527"/>
        <v>0</v>
      </c>
      <c r="EQ379" s="336">
        <f t="shared" si="2528"/>
        <v>0</v>
      </c>
      <c r="ER379" s="336">
        <f t="shared" si="2529"/>
        <v>0</v>
      </c>
      <c r="ES379" s="336">
        <f t="shared" si="2530"/>
        <v>0</v>
      </c>
      <c r="ET379" s="336">
        <f t="shared" si="2530"/>
        <v>0</v>
      </c>
      <c r="EU379" s="336">
        <f t="shared" si="2531"/>
        <v>0</v>
      </c>
      <c r="EV379" s="336">
        <f t="shared" si="2532"/>
        <v>0</v>
      </c>
      <c r="EW379" s="336">
        <f t="shared" si="2533"/>
        <v>0</v>
      </c>
      <c r="EX379" s="336">
        <f t="shared" si="2534"/>
        <v>27</v>
      </c>
      <c r="EY379" s="336">
        <f t="shared" si="2535"/>
        <v>0</v>
      </c>
      <c r="EZ379" s="336">
        <f t="shared" si="2536"/>
        <v>0</v>
      </c>
      <c r="FA379" s="336">
        <f t="shared" si="2537"/>
        <v>0</v>
      </c>
      <c r="FB379" s="336">
        <f t="shared" si="2538"/>
        <v>0</v>
      </c>
      <c r="FC379" s="336">
        <f t="shared" si="2539"/>
        <v>0</v>
      </c>
      <c r="FD379" s="336">
        <f t="shared" si="2540"/>
        <v>0</v>
      </c>
      <c r="FE379" s="336">
        <f t="shared" si="2541"/>
        <v>0</v>
      </c>
      <c r="FF379" s="336">
        <f t="shared" si="2542"/>
        <v>0</v>
      </c>
      <c r="FG379" s="336">
        <f t="shared" si="2543"/>
        <v>0</v>
      </c>
      <c r="FH379" s="336">
        <f t="shared" si="2544"/>
        <v>27</v>
      </c>
      <c r="FI379" s="336">
        <f t="shared" si="2545"/>
        <v>27</v>
      </c>
      <c r="FJ379" s="336">
        <f t="shared" si="2546"/>
        <v>27</v>
      </c>
      <c r="FK379" s="336">
        <f t="shared" si="2547"/>
        <v>0</v>
      </c>
      <c r="FL379" s="336">
        <f t="shared" si="2548"/>
        <v>0</v>
      </c>
      <c r="FM379" s="336">
        <f t="shared" si="2549"/>
        <v>27</v>
      </c>
      <c r="FN379" s="336">
        <f t="shared" si="2550"/>
        <v>27</v>
      </c>
      <c r="FO379" s="336">
        <f t="shared" si="2551"/>
        <v>0</v>
      </c>
      <c r="FP379" s="336">
        <f t="shared" si="2552"/>
        <v>0</v>
      </c>
      <c r="FQ379" s="336">
        <f t="shared" si="2553"/>
        <v>0</v>
      </c>
      <c r="FR379" s="336">
        <f t="shared" si="2554"/>
        <v>0</v>
      </c>
      <c r="FS379" s="336">
        <f t="shared" si="2555"/>
        <v>0</v>
      </c>
      <c r="FT379" s="336">
        <f t="shared" si="2556"/>
        <v>0</v>
      </c>
      <c r="FU379" s="336">
        <f t="shared" si="2262"/>
        <v>0</v>
      </c>
      <c r="FV379" s="336">
        <f t="shared" si="2263"/>
        <v>0</v>
      </c>
      <c r="FW379" s="336">
        <f t="shared" si="2264"/>
        <v>0</v>
      </c>
      <c r="FX379" s="336">
        <f t="shared" si="2265"/>
        <v>0</v>
      </c>
      <c r="FY379" s="336">
        <f t="shared" si="2557"/>
        <v>0</v>
      </c>
      <c r="FZ379" s="336">
        <f t="shared" si="2558"/>
        <v>0</v>
      </c>
      <c r="GA379" s="336">
        <f t="shared" si="2559"/>
        <v>0</v>
      </c>
      <c r="GB379" s="336">
        <f t="shared" si="2560"/>
        <v>0</v>
      </c>
      <c r="GC379" s="336">
        <f t="shared" si="2561"/>
        <v>0</v>
      </c>
      <c r="GD379" s="336">
        <f t="shared" si="2562"/>
        <v>0</v>
      </c>
      <c r="GE379" s="336">
        <f t="shared" si="2563"/>
        <v>0</v>
      </c>
      <c r="GF379" s="336">
        <f t="shared" si="2564"/>
        <v>0</v>
      </c>
      <c r="GG379" s="336">
        <f t="shared" si="2565"/>
        <v>0</v>
      </c>
      <c r="GH379" s="336">
        <f t="shared" si="2566"/>
        <v>0</v>
      </c>
      <c r="GI379" s="336">
        <f t="shared" si="2567"/>
        <v>0</v>
      </c>
      <c r="GJ379" s="336">
        <f t="shared" si="2568"/>
        <v>0</v>
      </c>
      <c r="GK379" s="336">
        <f t="shared" si="2513"/>
        <v>0</v>
      </c>
      <c r="GL379" s="336">
        <f t="shared" si="2514"/>
        <v>0</v>
      </c>
      <c r="GM379" s="336">
        <f t="shared" si="2569"/>
        <v>0</v>
      </c>
    </row>
    <row r="380" spans="1:195">
      <c r="A380" s="337">
        <f t="shared" si="2598"/>
        <v>253</v>
      </c>
      <c r="B380" s="388" t="s">
        <v>823</v>
      </c>
      <c r="C380" s="337" t="s">
        <v>801</v>
      </c>
      <c r="D380" s="338" t="s">
        <v>824</v>
      </c>
      <c r="E380" s="502" t="s">
        <v>820</v>
      </c>
      <c r="F380" s="756"/>
      <c r="G380" s="337" t="s">
        <v>329</v>
      </c>
      <c r="H380" s="418">
        <v>3.2</v>
      </c>
      <c r="I380" s="337" t="s">
        <v>330</v>
      </c>
      <c r="J380" s="337" t="s">
        <v>331</v>
      </c>
      <c r="K380" s="349">
        <v>400</v>
      </c>
      <c r="L380" s="343">
        <v>0.84999999999999987</v>
      </c>
      <c r="M380" s="350">
        <v>0.95099999999999985</v>
      </c>
      <c r="N380" s="342">
        <f t="shared" si="2603"/>
        <v>5.7140318480136116</v>
      </c>
      <c r="O380" s="342">
        <f t="shared" si="2604"/>
        <v>0</v>
      </c>
      <c r="P380" s="343" t="str">
        <f t="shared" si="2605"/>
        <v>0.00</v>
      </c>
      <c r="Q380" s="350">
        <v>25</v>
      </c>
      <c r="R380" s="350">
        <v>0</v>
      </c>
      <c r="S380" s="350">
        <f t="shared" si="2606"/>
        <v>0</v>
      </c>
      <c r="T380" s="343" t="s">
        <v>131</v>
      </c>
      <c r="U380" s="350" t="s">
        <v>535</v>
      </c>
      <c r="V380" s="343">
        <v>35</v>
      </c>
      <c r="W380" s="343" t="str">
        <f t="shared" si="2607"/>
        <v>3.5C X 35</v>
      </c>
      <c r="X380" s="343" t="str">
        <f t="shared" si="2608"/>
        <v>3.5C X 35</v>
      </c>
      <c r="Y380" s="343" t="s">
        <v>358</v>
      </c>
      <c r="Z380" s="344">
        <f>IF(T380="AIR",VLOOKUP(W380,'Catalogue Aluminium'!$B$9:$G$93,2,FALSE),IF(T380="GROUND",VLOOKUP(W380,'Catalogue Aluminium'!$B$9:$G$93,3,FALSE),IF(T380="DUCT",VLOOKUP(W380,'Catalogue Aluminium'!$B$9:$G$93,4,FALSE),IF(T380="TRENCH",VLOOKUP(W380,'Catalogue Aluminium'!$B$9:$G$93,2,FALSE)))))</f>
        <v>117</v>
      </c>
      <c r="AA380" s="345">
        <f>VLOOKUP(W380,'Catalogue Aluminium'!$B$9:$G$93,5,FALSE)</f>
        <v>1.1100000000000001</v>
      </c>
      <c r="AB380" s="345">
        <f>VLOOKUP(W380,'Catalogue Aluminium'!$B$9:$G$93,6,FALSE)</f>
        <v>7.9399999999999998E-2</v>
      </c>
      <c r="AC380" s="388">
        <v>48</v>
      </c>
      <c r="AD380" s="574">
        <f>42+22+53+70+98+120</f>
        <v>405</v>
      </c>
      <c r="AE380" s="401">
        <v>10</v>
      </c>
      <c r="AF380" s="401">
        <v>5</v>
      </c>
      <c r="AG380" s="401">
        <f t="shared" si="2576"/>
        <v>47</v>
      </c>
      <c r="AH380" s="347">
        <f t="shared" si="2577"/>
        <v>515</v>
      </c>
      <c r="AI380" s="344">
        <f>IF(T380="AIR",'Catalogue Aluminium'!$K$9,IF(T380="TRENCH",'Catalogue Aluminium'!$K$12,"NA"))</f>
        <v>0.89</v>
      </c>
      <c r="AJ380" s="342">
        <f>IF(T380="Air",(IF(U380="1C",'Catalogue Aluminium'!$L$9,'Catalogue Aluminium'!$M$9)),IF(T380="DUCT",(IF($U380="1C",'Catalogue Aluminium'!$L$10,'Catalogue Aluminium'!$M$10)),IF(T380="GROUND",(IF($U380="1C",'Catalogue Aluminium'!$L$11,'Catalogue Aluminium'!$M$11)),IF(T380="TRENCH",(IF($U380="1C",'Catalogue Aluminium'!$L$12,'Catalogue Aluminium'!$M$12))))))</f>
        <v>0.66</v>
      </c>
      <c r="AK380" s="344" t="str">
        <f>IF(T380="Air",'Catalogue Aluminium'!$N$9,IF(T380="GROUND",'Catalogue Aluminium'!$N$10,IF(T380="DUCT",'Catalogue Aluminium'!$N$11,IF(T380="TRENCH",'Catalogue Aluminium'!$N$12,"NA"))))</f>
        <v>NA</v>
      </c>
      <c r="AL380" s="344" t="str">
        <f>IF(T380="Air",(IF(U380="1C",'Catalogue Aluminium'!$O$9,'Catalogue Aluminium'!$P$9)),IF(T380="DUCT",(IF($U380="1C",'Catalogue Aluminium'!$O$10,'Catalogue Aluminium'!$P$10)),IF(T380="GROUND",(IF($U380="1C",'Catalogue Aluminium'!$O$11,'Catalogue Aluminium'!$P$11)),IF(T380="TRENCH",(IF($U380="1C",'Catalogue Aluminium'!$O$12,'Catalogue Aluminium'!$P$12))))))</f>
        <v>NA</v>
      </c>
      <c r="AM380" s="344" t="str">
        <f>IF(T380="AIR","NA",IF(T380="TRENCH","NA",IF(T380="DUCT",IF(U380="1C",VLOOKUP(V380,'Catalogue Aluminium'!$Q$9:$S$28,2,FALSE),VLOOKUP(V380,'Catalogue Aluminium'!$Q$9:$S$28,3)),IF(T380="GROUND",IF(U380="1C",VLOOKUP(V380,'Catalogue Aluminium'!$Q$9:$S$28,2,FALSE),VLOOKUP(V380,'Catalogue Aluminium'!$Q$9:$S$28,3))))))</f>
        <v>NA</v>
      </c>
      <c r="AN380" s="351">
        <f t="shared" si="2609"/>
        <v>0.58740000000000003</v>
      </c>
      <c r="AO380" s="350">
        <f t="shared" si="2610"/>
        <v>68.725800000000007</v>
      </c>
      <c r="AP380" s="349">
        <f t="shared" si="2580"/>
        <v>1</v>
      </c>
      <c r="AQ380" s="350" t="str">
        <f t="shared" si="2611"/>
        <v>YES</v>
      </c>
      <c r="AR380" s="351">
        <f t="shared" si="2612"/>
        <v>1.2555404380158257</v>
      </c>
      <c r="AS380" s="343" t="str">
        <f t="shared" si="2599"/>
        <v>YES</v>
      </c>
      <c r="AT380" s="351" t="str">
        <f t="shared" si="2583"/>
        <v>NA</v>
      </c>
      <c r="AU380" s="343" t="str">
        <f t="shared" si="2584"/>
        <v>NA</v>
      </c>
      <c r="AV380" s="351" t="str">
        <f t="shared" si="2585"/>
        <v>1R x 0.6/1kV x 3.5C x 35 Sqmm</v>
      </c>
      <c r="AW380" s="351" t="str">
        <f t="shared" si="2586"/>
        <v>1R x 0.6/1kV x 3.5C x 35 Sqmm</v>
      </c>
      <c r="AX380" s="343">
        <f t="shared" si="2587"/>
        <v>515</v>
      </c>
      <c r="AY380" s="343"/>
      <c r="AZ380" s="343">
        <f t="shared" si="2588"/>
        <v>2</v>
      </c>
      <c r="BA380" s="356" t="str">
        <f t="shared" si="2600"/>
        <v>LMM1NOO1</v>
      </c>
      <c r="BB380" s="328">
        <f>VLOOKUP(W380,'Catalogue Aluminium'!$B$9:$H$93,7,FALSE)</f>
        <v>27</v>
      </c>
      <c r="BC380" s="328">
        <f t="shared" si="2590"/>
        <v>27</v>
      </c>
      <c r="BE380" s="336"/>
      <c r="BF380" s="336"/>
      <c r="BG380" s="336"/>
      <c r="BH380" s="336"/>
      <c r="BI380" s="336"/>
      <c r="BJ380" s="336"/>
      <c r="BK380" s="336"/>
      <c r="BL380" s="336"/>
      <c r="BM380" s="336"/>
      <c r="BN380" s="336"/>
      <c r="BO380" s="336"/>
      <c r="BP380" s="336"/>
      <c r="BQ380" s="336"/>
      <c r="BR380" s="336"/>
      <c r="BS380" s="336"/>
      <c r="BT380" s="336"/>
      <c r="BU380" s="336"/>
      <c r="BV380" s="336"/>
      <c r="BW380" s="336"/>
      <c r="BX380" s="336"/>
      <c r="BY380" s="336"/>
      <c r="BZ380" s="336"/>
      <c r="CA380" s="336"/>
      <c r="CB380" s="336"/>
      <c r="CC380" s="336"/>
      <c r="CD380" s="336"/>
      <c r="CE380" s="336"/>
      <c r="CF380" s="336">
        <v>1</v>
      </c>
      <c r="CG380" s="336"/>
      <c r="CH380" s="336"/>
      <c r="CI380" s="336"/>
      <c r="CJ380" s="336"/>
      <c r="CK380" s="336"/>
      <c r="CL380" s="336"/>
      <c r="CM380" s="336"/>
      <c r="CN380" s="336"/>
      <c r="CO380" s="336"/>
      <c r="CP380" s="336">
        <v>1</v>
      </c>
      <c r="CQ380" s="336">
        <v>1</v>
      </c>
      <c r="CR380" s="336">
        <v>1</v>
      </c>
      <c r="CS380" s="336"/>
      <c r="CT380" s="336"/>
      <c r="CU380" s="336">
        <v>1</v>
      </c>
      <c r="CV380" s="336">
        <v>1</v>
      </c>
      <c r="CW380" s="336"/>
      <c r="CX380" s="336"/>
      <c r="CY380" s="336"/>
      <c r="CZ380" s="336"/>
      <c r="DA380" s="336"/>
      <c r="DB380" s="336"/>
      <c r="DC380" s="336"/>
      <c r="DD380" s="336"/>
      <c r="DE380" s="336"/>
      <c r="DF380" s="336"/>
      <c r="DG380" s="336"/>
      <c r="DH380" s="336"/>
      <c r="DI380" s="336"/>
      <c r="DJ380" s="336"/>
      <c r="DK380" s="336"/>
      <c r="DL380" s="336"/>
      <c r="DM380" s="336"/>
      <c r="DN380" s="336"/>
      <c r="DO380" s="336"/>
      <c r="DP380" s="336"/>
      <c r="DQ380" s="336"/>
      <c r="DR380" s="336"/>
      <c r="DS380" s="336"/>
      <c r="DT380" s="336"/>
      <c r="DU380" s="336"/>
      <c r="DW380" s="336">
        <f t="shared" si="2591"/>
        <v>0</v>
      </c>
      <c r="DX380" s="336">
        <f t="shared" si="2592"/>
        <v>0</v>
      </c>
      <c r="DY380" s="336">
        <f t="shared" si="2593"/>
        <v>0</v>
      </c>
      <c r="DZ380" s="336">
        <f t="shared" si="2594"/>
        <v>0</v>
      </c>
      <c r="EA380" s="336">
        <f t="shared" si="2595"/>
        <v>0</v>
      </c>
      <c r="EB380" s="336">
        <f t="shared" si="2596"/>
        <v>0</v>
      </c>
      <c r="EC380" s="336">
        <f t="shared" si="2597"/>
        <v>0</v>
      </c>
      <c r="ED380" s="336">
        <f t="shared" si="2515"/>
        <v>0</v>
      </c>
      <c r="EE380" s="336">
        <f t="shared" si="2516"/>
        <v>0</v>
      </c>
      <c r="EF380" s="336">
        <f t="shared" si="2517"/>
        <v>0</v>
      </c>
      <c r="EG380" s="336">
        <f t="shared" si="2518"/>
        <v>0</v>
      </c>
      <c r="EH380" s="336">
        <f t="shared" si="2519"/>
        <v>0</v>
      </c>
      <c r="EI380" s="336">
        <f t="shared" si="2520"/>
        <v>0</v>
      </c>
      <c r="EJ380" s="336">
        <f t="shared" si="2521"/>
        <v>0</v>
      </c>
      <c r="EK380" s="336">
        <f t="shared" si="2522"/>
        <v>0</v>
      </c>
      <c r="EL380" s="336">
        <f t="shared" si="2523"/>
        <v>0</v>
      </c>
      <c r="EM380" s="336">
        <f t="shared" si="2524"/>
        <v>0</v>
      </c>
      <c r="EN380" s="336">
        <f t="shared" si="2525"/>
        <v>0</v>
      </c>
      <c r="EO380" s="336">
        <f t="shared" si="2526"/>
        <v>0</v>
      </c>
      <c r="EP380" s="336">
        <f t="shared" si="2527"/>
        <v>0</v>
      </c>
      <c r="EQ380" s="336">
        <f t="shared" si="2528"/>
        <v>0</v>
      </c>
      <c r="ER380" s="336">
        <f t="shared" si="2529"/>
        <v>0</v>
      </c>
      <c r="ES380" s="336">
        <f t="shared" si="2530"/>
        <v>0</v>
      </c>
      <c r="ET380" s="336">
        <f t="shared" si="2530"/>
        <v>0</v>
      </c>
      <c r="EU380" s="336">
        <f t="shared" si="2531"/>
        <v>0</v>
      </c>
      <c r="EV380" s="336">
        <f t="shared" si="2532"/>
        <v>0</v>
      </c>
      <c r="EW380" s="336">
        <f t="shared" si="2533"/>
        <v>0</v>
      </c>
      <c r="EX380" s="336">
        <f t="shared" si="2534"/>
        <v>27</v>
      </c>
      <c r="EY380" s="336">
        <f t="shared" si="2535"/>
        <v>0</v>
      </c>
      <c r="EZ380" s="336">
        <f t="shared" si="2536"/>
        <v>0</v>
      </c>
      <c r="FA380" s="336">
        <f t="shared" si="2537"/>
        <v>0</v>
      </c>
      <c r="FB380" s="336">
        <f t="shared" si="2538"/>
        <v>0</v>
      </c>
      <c r="FC380" s="336">
        <f t="shared" si="2539"/>
        <v>0</v>
      </c>
      <c r="FD380" s="336">
        <f t="shared" si="2540"/>
        <v>0</v>
      </c>
      <c r="FE380" s="336">
        <f t="shared" si="2541"/>
        <v>0</v>
      </c>
      <c r="FF380" s="336">
        <f t="shared" si="2542"/>
        <v>0</v>
      </c>
      <c r="FG380" s="336">
        <f t="shared" si="2543"/>
        <v>0</v>
      </c>
      <c r="FH380" s="336">
        <f t="shared" si="2544"/>
        <v>27</v>
      </c>
      <c r="FI380" s="336">
        <f t="shared" si="2545"/>
        <v>27</v>
      </c>
      <c r="FJ380" s="336">
        <f t="shared" si="2546"/>
        <v>27</v>
      </c>
      <c r="FK380" s="336">
        <f t="shared" si="2547"/>
        <v>0</v>
      </c>
      <c r="FL380" s="336">
        <f t="shared" si="2548"/>
        <v>0</v>
      </c>
      <c r="FM380" s="336">
        <f t="shared" si="2549"/>
        <v>27</v>
      </c>
      <c r="FN380" s="336">
        <f t="shared" si="2550"/>
        <v>27</v>
      </c>
      <c r="FO380" s="336">
        <f t="shared" si="2551"/>
        <v>0</v>
      </c>
      <c r="FP380" s="336">
        <f t="shared" si="2552"/>
        <v>0</v>
      </c>
      <c r="FQ380" s="336">
        <f t="shared" si="2553"/>
        <v>0</v>
      </c>
      <c r="FR380" s="336">
        <f t="shared" si="2554"/>
        <v>0</v>
      </c>
      <c r="FS380" s="336">
        <f t="shared" si="2555"/>
        <v>0</v>
      </c>
      <c r="FT380" s="336">
        <f t="shared" si="2556"/>
        <v>0</v>
      </c>
      <c r="FU380" s="336">
        <f t="shared" si="2262"/>
        <v>0</v>
      </c>
      <c r="FV380" s="336">
        <f t="shared" si="2263"/>
        <v>0</v>
      </c>
      <c r="FW380" s="336">
        <f t="shared" si="2264"/>
        <v>0</v>
      </c>
      <c r="FX380" s="336">
        <f t="shared" si="2265"/>
        <v>0</v>
      </c>
      <c r="FY380" s="336">
        <f t="shared" si="2557"/>
        <v>0</v>
      </c>
      <c r="FZ380" s="336">
        <f t="shared" si="2558"/>
        <v>0</v>
      </c>
      <c r="GA380" s="336">
        <f t="shared" si="2559"/>
        <v>0</v>
      </c>
      <c r="GB380" s="336">
        <f t="shared" si="2560"/>
        <v>0</v>
      </c>
      <c r="GC380" s="336">
        <f t="shared" si="2561"/>
        <v>0</v>
      </c>
      <c r="GD380" s="336">
        <f t="shared" si="2562"/>
        <v>0</v>
      </c>
      <c r="GE380" s="336">
        <f t="shared" si="2563"/>
        <v>0</v>
      </c>
      <c r="GF380" s="336">
        <f t="shared" si="2564"/>
        <v>0</v>
      </c>
      <c r="GG380" s="336">
        <f t="shared" si="2565"/>
        <v>0</v>
      </c>
      <c r="GH380" s="336">
        <f t="shared" si="2566"/>
        <v>0</v>
      </c>
      <c r="GI380" s="336">
        <f t="shared" si="2567"/>
        <v>0</v>
      </c>
      <c r="GJ380" s="336">
        <f t="shared" si="2568"/>
        <v>0</v>
      </c>
      <c r="GK380" s="336">
        <f t="shared" si="2513"/>
        <v>0</v>
      </c>
      <c r="GL380" s="336">
        <f t="shared" si="2514"/>
        <v>0</v>
      </c>
      <c r="GM380" s="336">
        <f t="shared" si="2569"/>
        <v>0</v>
      </c>
    </row>
    <row r="381" spans="1:195">
      <c r="A381" s="337">
        <f t="shared" si="2598"/>
        <v>254</v>
      </c>
      <c r="B381" s="388" t="s">
        <v>825</v>
      </c>
      <c r="C381" s="337" t="s">
        <v>801</v>
      </c>
      <c r="D381" s="338" t="s">
        <v>826</v>
      </c>
      <c r="E381" s="502" t="s">
        <v>820</v>
      </c>
      <c r="F381" s="756"/>
      <c r="G381" s="337" t="s">
        <v>329</v>
      </c>
      <c r="H381" s="418">
        <v>3.2</v>
      </c>
      <c r="I381" s="337" t="s">
        <v>330</v>
      </c>
      <c r="J381" s="337" t="s">
        <v>331</v>
      </c>
      <c r="K381" s="349">
        <v>400</v>
      </c>
      <c r="L381" s="343">
        <v>0.84999999999999987</v>
      </c>
      <c r="M381" s="350">
        <v>0.95099999999999985</v>
      </c>
      <c r="N381" s="342">
        <f t="shared" si="2603"/>
        <v>5.7140318480136116</v>
      </c>
      <c r="O381" s="342">
        <f t="shared" si="2604"/>
        <v>0</v>
      </c>
      <c r="P381" s="343" t="str">
        <f t="shared" si="2605"/>
        <v>0.00</v>
      </c>
      <c r="Q381" s="350">
        <v>25</v>
      </c>
      <c r="R381" s="350">
        <v>0</v>
      </c>
      <c r="S381" s="350">
        <f t="shared" si="2606"/>
        <v>0</v>
      </c>
      <c r="T381" s="343" t="s">
        <v>131</v>
      </c>
      <c r="U381" s="350" t="s">
        <v>535</v>
      </c>
      <c r="V381" s="343">
        <v>35</v>
      </c>
      <c r="W381" s="343" t="str">
        <f t="shared" si="2607"/>
        <v>3.5C X 35</v>
      </c>
      <c r="X381" s="343" t="str">
        <f t="shared" si="2608"/>
        <v>3.5C X 35</v>
      </c>
      <c r="Y381" s="343" t="s">
        <v>358</v>
      </c>
      <c r="Z381" s="344">
        <f>IF(T381="AIR",VLOOKUP(W381,'Catalogue Aluminium'!$B$9:$G$93,2,FALSE),IF(T381="GROUND",VLOOKUP(W381,'Catalogue Aluminium'!$B$9:$G$93,3,FALSE),IF(T381="DUCT",VLOOKUP(W381,'Catalogue Aluminium'!$B$9:$G$93,4,FALSE),IF(T381="TRENCH",VLOOKUP(W381,'Catalogue Aluminium'!$B$9:$G$93,2,FALSE)))))</f>
        <v>117</v>
      </c>
      <c r="AA381" s="345">
        <f>VLOOKUP(W381,'Catalogue Aluminium'!$B$9:$G$93,5,FALSE)</f>
        <v>1.1100000000000001</v>
      </c>
      <c r="AB381" s="345">
        <f>VLOOKUP(W381,'Catalogue Aluminium'!$B$9:$G$93,6,FALSE)</f>
        <v>7.9399999999999998E-2</v>
      </c>
      <c r="AC381" s="388">
        <v>48</v>
      </c>
      <c r="AD381" s="574">
        <f>42+22+53+70+98+240</f>
        <v>525</v>
      </c>
      <c r="AE381" s="401">
        <v>10</v>
      </c>
      <c r="AF381" s="401">
        <v>5</v>
      </c>
      <c r="AG381" s="401">
        <f t="shared" si="2576"/>
        <v>59</v>
      </c>
      <c r="AH381" s="347">
        <f t="shared" si="2577"/>
        <v>647</v>
      </c>
      <c r="AI381" s="344">
        <f>IF(T381="AIR",'Catalogue Aluminium'!$K$9,IF(T381="TRENCH",'Catalogue Aluminium'!$K$12,"NA"))</f>
        <v>0.89</v>
      </c>
      <c r="AJ381" s="342">
        <f>IF(T381="Air",(IF(U381="1C",'Catalogue Aluminium'!$L$9,'Catalogue Aluminium'!$M$9)),IF(T381="DUCT",(IF($U381="1C",'Catalogue Aluminium'!$L$10,'Catalogue Aluminium'!$M$10)),IF(T381="GROUND",(IF($U381="1C",'Catalogue Aluminium'!$L$11,'Catalogue Aluminium'!$M$11)),IF(T381="TRENCH",(IF($U381="1C",'Catalogue Aluminium'!$L$12,'Catalogue Aluminium'!$M$12))))))</f>
        <v>0.66</v>
      </c>
      <c r="AK381" s="344" t="str">
        <f>IF(T381="Air",'Catalogue Aluminium'!$N$9,IF(T381="GROUND",'Catalogue Aluminium'!$N$10,IF(T381="DUCT",'Catalogue Aluminium'!$N$11,IF(T381="TRENCH",'Catalogue Aluminium'!$N$12,"NA"))))</f>
        <v>NA</v>
      </c>
      <c r="AL381" s="344" t="str">
        <f>IF(T381="Air",(IF(U381="1C",'Catalogue Aluminium'!$O$9,'Catalogue Aluminium'!$P$9)),IF(T381="DUCT",(IF($U381="1C",'Catalogue Aluminium'!$O$10,'Catalogue Aluminium'!$P$10)),IF(T381="GROUND",(IF($U381="1C",'Catalogue Aluminium'!$O$11,'Catalogue Aluminium'!$P$11)),IF(T381="TRENCH",(IF($U381="1C",'Catalogue Aluminium'!$O$12,'Catalogue Aluminium'!$P$12))))))</f>
        <v>NA</v>
      </c>
      <c r="AM381" s="344" t="str">
        <f>IF(T381="AIR","NA",IF(T381="TRENCH","NA",IF(T381="DUCT",IF(U381="1C",VLOOKUP(V381,'Catalogue Aluminium'!$Q$9:$S$28,2,FALSE),VLOOKUP(V381,'Catalogue Aluminium'!$Q$9:$S$28,3)),IF(T381="GROUND",IF(U381="1C",VLOOKUP(V381,'Catalogue Aluminium'!$Q$9:$S$28,2,FALSE),VLOOKUP(V381,'Catalogue Aluminium'!$Q$9:$S$28,3))))))</f>
        <v>NA</v>
      </c>
      <c r="AN381" s="351">
        <f t="shared" si="2609"/>
        <v>0.58740000000000003</v>
      </c>
      <c r="AO381" s="350">
        <f t="shared" si="2610"/>
        <v>68.725800000000007</v>
      </c>
      <c r="AP381" s="349">
        <f t="shared" si="2580"/>
        <v>1</v>
      </c>
      <c r="AQ381" s="350" t="str">
        <f t="shared" si="2611"/>
        <v>YES</v>
      </c>
      <c r="AR381" s="351">
        <f t="shared" si="2612"/>
        <v>1.5773488609635711</v>
      </c>
      <c r="AS381" s="343" t="str">
        <f t="shared" si="2599"/>
        <v>YES</v>
      </c>
      <c r="AT381" s="351" t="str">
        <f t="shared" si="2583"/>
        <v>NA</v>
      </c>
      <c r="AU381" s="343" t="str">
        <f t="shared" si="2584"/>
        <v>NA</v>
      </c>
      <c r="AV381" s="351" t="str">
        <f t="shared" si="2585"/>
        <v>1R x 0.6/1kV x 3.5C x 35 Sqmm</v>
      </c>
      <c r="AW381" s="351" t="str">
        <f t="shared" si="2586"/>
        <v>1R x 0.6/1kV x 3.5C x 35 Sqmm</v>
      </c>
      <c r="AX381" s="343">
        <f t="shared" si="2587"/>
        <v>647</v>
      </c>
      <c r="AY381" s="343"/>
      <c r="AZ381" s="343">
        <f t="shared" si="2588"/>
        <v>2</v>
      </c>
      <c r="BA381" s="356" t="str">
        <f t="shared" si="2600"/>
        <v>LMM1NOO1</v>
      </c>
      <c r="BB381" s="328">
        <f>VLOOKUP(W381,'Catalogue Aluminium'!$B$9:$H$93,7,FALSE)</f>
        <v>27</v>
      </c>
      <c r="BC381" s="328">
        <f t="shared" si="2590"/>
        <v>27</v>
      </c>
      <c r="BE381" s="336"/>
      <c r="BF381" s="336"/>
      <c r="BG381" s="336"/>
      <c r="BH381" s="336"/>
      <c r="BI381" s="336"/>
      <c r="BJ381" s="336"/>
      <c r="BK381" s="336"/>
      <c r="BL381" s="336"/>
      <c r="BM381" s="336"/>
      <c r="BN381" s="336"/>
      <c r="BO381" s="336"/>
      <c r="BP381" s="336"/>
      <c r="BQ381" s="336"/>
      <c r="BR381" s="336"/>
      <c r="BS381" s="336"/>
      <c r="BT381" s="336"/>
      <c r="BU381" s="336"/>
      <c r="BV381" s="336"/>
      <c r="BW381" s="336"/>
      <c r="BX381" s="336"/>
      <c r="BY381" s="336"/>
      <c r="BZ381" s="336"/>
      <c r="CA381" s="336"/>
      <c r="CB381" s="336"/>
      <c r="CC381" s="336"/>
      <c r="CD381" s="336"/>
      <c r="CE381" s="336"/>
      <c r="CF381" s="336">
        <v>1</v>
      </c>
      <c r="CG381" s="336"/>
      <c r="CH381" s="336"/>
      <c r="CI381" s="336"/>
      <c r="CJ381" s="336"/>
      <c r="CK381" s="336"/>
      <c r="CL381" s="336"/>
      <c r="CM381" s="336"/>
      <c r="CN381" s="336"/>
      <c r="CO381" s="336"/>
      <c r="CP381" s="336">
        <v>1</v>
      </c>
      <c r="CQ381" s="336">
        <v>1</v>
      </c>
      <c r="CR381" s="336">
        <v>1</v>
      </c>
      <c r="CS381" s="336"/>
      <c r="CT381" s="336"/>
      <c r="CU381" s="336">
        <v>1</v>
      </c>
      <c r="CV381" s="336">
        <v>1</v>
      </c>
      <c r="CW381" s="336"/>
      <c r="CX381" s="336"/>
      <c r="CY381" s="336"/>
      <c r="CZ381" s="336"/>
      <c r="DA381" s="336"/>
      <c r="DB381" s="336"/>
      <c r="DC381" s="336"/>
      <c r="DD381" s="336"/>
      <c r="DE381" s="336"/>
      <c r="DF381" s="336"/>
      <c r="DG381" s="336"/>
      <c r="DH381" s="336"/>
      <c r="DI381" s="336"/>
      <c r="DJ381" s="336"/>
      <c r="DK381" s="336"/>
      <c r="DL381" s="336"/>
      <c r="DM381" s="336"/>
      <c r="DN381" s="336"/>
      <c r="DO381" s="336"/>
      <c r="DP381" s="336"/>
      <c r="DQ381" s="336"/>
      <c r="DR381" s="336"/>
      <c r="DS381" s="336"/>
      <c r="DT381" s="336"/>
      <c r="DU381" s="336"/>
      <c r="DW381" s="336">
        <f t="shared" si="2591"/>
        <v>0</v>
      </c>
      <c r="DX381" s="336">
        <f t="shared" si="2592"/>
        <v>0</v>
      </c>
      <c r="DY381" s="336">
        <f t="shared" si="2593"/>
        <v>0</v>
      </c>
      <c r="DZ381" s="336">
        <f t="shared" si="2594"/>
        <v>0</v>
      </c>
      <c r="EA381" s="336">
        <f t="shared" si="2595"/>
        <v>0</v>
      </c>
      <c r="EB381" s="336">
        <f t="shared" si="2596"/>
        <v>0</v>
      </c>
      <c r="EC381" s="336">
        <f t="shared" si="2597"/>
        <v>0</v>
      </c>
      <c r="ED381" s="336">
        <f t="shared" si="2515"/>
        <v>0</v>
      </c>
      <c r="EE381" s="336">
        <f t="shared" si="2516"/>
        <v>0</v>
      </c>
      <c r="EF381" s="336">
        <f t="shared" si="2517"/>
        <v>0</v>
      </c>
      <c r="EG381" s="336">
        <f t="shared" si="2518"/>
        <v>0</v>
      </c>
      <c r="EH381" s="336">
        <f t="shared" si="2519"/>
        <v>0</v>
      </c>
      <c r="EI381" s="336">
        <f t="shared" si="2520"/>
        <v>0</v>
      </c>
      <c r="EJ381" s="336">
        <f t="shared" si="2521"/>
        <v>0</v>
      </c>
      <c r="EK381" s="336">
        <f t="shared" si="2522"/>
        <v>0</v>
      </c>
      <c r="EL381" s="336">
        <f t="shared" si="2523"/>
        <v>0</v>
      </c>
      <c r="EM381" s="336">
        <f t="shared" si="2524"/>
        <v>0</v>
      </c>
      <c r="EN381" s="336">
        <f t="shared" si="2525"/>
        <v>0</v>
      </c>
      <c r="EO381" s="336">
        <f t="shared" si="2526"/>
        <v>0</v>
      </c>
      <c r="EP381" s="336">
        <f t="shared" si="2527"/>
        <v>0</v>
      </c>
      <c r="EQ381" s="336">
        <f t="shared" si="2528"/>
        <v>0</v>
      </c>
      <c r="ER381" s="336">
        <f t="shared" si="2529"/>
        <v>0</v>
      </c>
      <c r="ES381" s="336">
        <f t="shared" si="2530"/>
        <v>0</v>
      </c>
      <c r="ET381" s="336">
        <f t="shared" si="2530"/>
        <v>0</v>
      </c>
      <c r="EU381" s="336">
        <f t="shared" si="2531"/>
        <v>0</v>
      </c>
      <c r="EV381" s="336">
        <f t="shared" si="2532"/>
        <v>0</v>
      </c>
      <c r="EW381" s="336">
        <f t="shared" si="2533"/>
        <v>0</v>
      </c>
      <c r="EX381" s="336">
        <f t="shared" si="2534"/>
        <v>27</v>
      </c>
      <c r="EY381" s="336">
        <f t="shared" si="2535"/>
        <v>0</v>
      </c>
      <c r="EZ381" s="336">
        <f t="shared" si="2536"/>
        <v>0</v>
      </c>
      <c r="FA381" s="336">
        <f t="shared" si="2537"/>
        <v>0</v>
      </c>
      <c r="FB381" s="336">
        <f t="shared" si="2538"/>
        <v>0</v>
      </c>
      <c r="FC381" s="336">
        <f t="shared" si="2539"/>
        <v>0</v>
      </c>
      <c r="FD381" s="336">
        <f t="shared" si="2540"/>
        <v>0</v>
      </c>
      <c r="FE381" s="336">
        <f t="shared" si="2541"/>
        <v>0</v>
      </c>
      <c r="FF381" s="336">
        <f t="shared" si="2542"/>
        <v>0</v>
      </c>
      <c r="FG381" s="336">
        <f t="shared" si="2543"/>
        <v>0</v>
      </c>
      <c r="FH381" s="336">
        <f t="shared" si="2544"/>
        <v>27</v>
      </c>
      <c r="FI381" s="336">
        <f t="shared" si="2545"/>
        <v>27</v>
      </c>
      <c r="FJ381" s="336">
        <f t="shared" si="2546"/>
        <v>27</v>
      </c>
      <c r="FK381" s="336">
        <f t="shared" si="2547"/>
        <v>0</v>
      </c>
      <c r="FL381" s="336">
        <f t="shared" si="2548"/>
        <v>0</v>
      </c>
      <c r="FM381" s="336">
        <f t="shared" si="2549"/>
        <v>27</v>
      </c>
      <c r="FN381" s="336">
        <f t="shared" si="2550"/>
        <v>27</v>
      </c>
      <c r="FO381" s="336">
        <f t="shared" si="2551"/>
        <v>0</v>
      </c>
      <c r="FP381" s="336">
        <f t="shared" si="2552"/>
        <v>0</v>
      </c>
      <c r="FQ381" s="336">
        <f t="shared" si="2553"/>
        <v>0</v>
      </c>
      <c r="FR381" s="336">
        <f t="shared" si="2554"/>
        <v>0</v>
      </c>
      <c r="FS381" s="336">
        <f t="shared" si="2555"/>
        <v>0</v>
      </c>
      <c r="FT381" s="336">
        <f t="shared" si="2556"/>
        <v>0</v>
      </c>
      <c r="FU381" s="336">
        <f t="shared" si="2262"/>
        <v>0</v>
      </c>
      <c r="FV381" s="336">
        <f t="shared" si="2263"/>
        <v>0</v>
      </c>
      <c r="FW381" s="336">
        <f t="shared" si="2264"/>
        <v>0</v>
      </c>
      <c r="FX381" s="336">
        <f t="shared" si="2265"/>
        <v>0</v>
      </c>
      <c r="FY381" s="336">
        <f t="shared" si="2557"/>
        <v>0</v>
      </c>
      <c r="FZ381" s="336">
        <f t="shared" si="2558"/>
        <v>0</v>
      </c>
      <c r="GA381" s="336">
        <f t="shared" si="2559"/>
        <v>0</v>
      </c>
      <c r="GB381" s="336">
        <f t="shared" si="2560"/>
        <v>0</v>
      </c>
      <c r="GC381" s="336">
        <f t="shared" si="2561"/>
        <v>0</v>
      </c>
      <c r="GD381" s="336">
        <f t="shared" si="2562"/>
        <v>0</v>
      </c>
      <c r="GE381" s="336">
        <f t="shared" si="2563"/>
        <v>0</v>
      </c>
      <c r="GF381" s="336">
        <f t="shared" si="2564"/>
        <v>0</v>
      </c>
      <c r="GG381" s="336">
        <f t="shared" si="2565"/>
        <v>0</v>
      </c>
      <c r="GH381" s="336">
        <f t="shared" si="2566"/>
        <v>0</v>
      </c>
      <c r="GI381" s="336">
        <f t="shared" si="2567"/>
        <v>0</v>
      </c>
      <c r="GJ381" s="336">
        <f t="shared" si="2568"/>
        <v>0</v>
      </c>
      <c r="GK381" s="336">
        <f t="shared" si="2513"/>
        <v>0</v>
      </c>
      <c r="GL381" s="336">
        <f t="shared" si="2514"/>
        <v>0</v>
      </c>
      <c r="GM381" s="336">
        <f t="shared" si="2569"/>
        <v>0</v>
      </c>
    </row>
    <row r="382" spans="1:195" ht="25.5">
      <c r="A382" s="337">
        <f t="shared" si="2598"/>
        <v>255</v>
      </c>
      <c r="B382" s="388" t="s">
        <v>827</v>
      </c>
      <c r="C382" s="337" t="s">
        <v>801</v>
      </c>
      <c r="D382" s="338" t="s">
        <v>828</v>
      </c>
      <c r="E382" s="502" t="s">
        <v>829</v>
      </c>
      <c r="F382" s="756"/>
      <c r="G382" s="337" t="s">
        <v>329</v>
      </c>
      <c r="H382" s="418">
        <v>3.2</v>
      </c>
      <c r="I382" s="337" t="s">
        <v>330</v>
      </c>
      <c r="J382" s="337" t="s">
        <v>331</v>
      </c>
      <c r="K382" s="349">
        <v>400</v>
      </c>
      <c r="L382" s="343">
        <v>0.84999999999999987</v>
      </c>
      <c r="M382" s="350">
        <v>0.95099999999999985</v>
      </c>
      <c r="N382" s="342">
        <f t="shared" si="2603"/>
        <v>5.7140318480136116</v>
      </c>
      <c r="O382" s="342">
        <f t="shared" si="2604"/>
        <v>0</v>
      </c>
      <c r="P382" s="343" t="str">
        <f t="shared" si="2605"/>
        <v>0.00</v>
      </c>
      <c r="Q382" s="350">
        <v>25</v>
      </c>
      <c r="R382" s="350">
        <v>0</v>
      </c>
      <c r="S382" s="350">
        <f t="shared" si="2606"/>
        <v>0</v>
      </c>
      <c r="T382" s="343" t="s">
        <v>131</v>
      </c>
      <c r="U382" s="350" t="s">
        <v>535</v>
      </c>
      <c r="V382" s="343">
        <v>35</v>
      </c>
      <c r="W382" s="343" t="str">
        <f t="shared" si="2607"/>
        <v>3.5C X 35</v>
      </c>
      <c r="X382" s="343" t="str">
        <f t="shared" si="2608"/>
        <v>3.5C X 35</v>
      </c>
      <c r="Y382" s="343" t="s">
        <v>358</v>
      </c>
      <c r="Z382" s="344">
        <f>IF(T382="AIR",VLOOKUP(W382,'Catalogue Aluminium'!$B$9:$G$93,2,FALSE),IF(T382="GROUND",VLOOKUP(W382,'Catalogue Aluminium'!$B$9:$G$93,3,FALSE),IF(T382="DUCT",VLOOKUP(W382,'Catalogue Aluminium'!$B$9:$G$93,4,FALSE),IF(T382="TRENCH",VLOOKUP(W382,'Catalogue Aluminium'!$B$9:$G$93,2,FALSE)))))</f>
        <v>117</v>
      </c>
      <c r="AA382" s="345">
        <f>VLOOKUP(W382,'Catalogue Aluminium'!$B$9:$G$93,5,FALSE)</f>
        <v>1.1100000000000001</v>
      </c>
      <c r="AB382" s="345">
        <f>VLOOKUP(W382,'Catalogue Aluminium'!$B$9:$G$93,6,FALSE)</f>
        <v>7.9399999999999998E-2</v>
      </c>
      <c r="AC382" s="388">
        <v>48</v>
      </c>
      <c r="AD382" s="574">
        <v>50</v>
      </c>
      <c r="AE382" s="401">
        <v>10</v>
      </c>
      <c r="AF382" s="401">
        <v>5</v>
      </c>
      <c r="AG382" s="401">
        <f t="shared" si="2576"/>
        <v>12</v>
      </c>
      <c r="AH382" s="347">
        <f t="shared" si="2577"/>
        <v>125</v>
      </c>
      <c r="AI382" s="344">
        <f>IF(T382="AIR",'Catalogue Aluminium'!$K$9,IF(T382="TRENCH",'Catalogue Aluminium'!$K$12,"NA"))</f>
        <v>0.89</v>
      </c>
      <c r="AJ382" s="342">
        <f>IF(T382="Air",(IF(U382="1C",'Catalogue Aluminium'!$L$9,'Catalogue Aluminium'!$M$9)),IF(T382="DUCT",(IF($U382="1C",'Catalogue Aluminium'!$L$10,'Catalogue Aluminium'!$M$10)),IF(T382="GROUND",(IF($U382="1C",'Catalogue Aluminium'!$L$11,'Catalogue Aluminium'!$M$11)),IF(T382="TRENCH",(IF($U382="1C",'Catalogue Aluminium'!$L$12,'Catalogue Aluminium'!$M$12))))))</f>
        <v>0.66</v>
      </c>
      <c r="AK382" s="344" t="str">
        <f>IF(T382="Air",'Catalogue Aluminium'!$N$9,IF(T382="GROUND",'Catalogue Aluminium'!$N$10,IF(T382="DUCT",'Catalogue Aluminium'!$N$11,IF(T382="TRENCH",'Catalogue Aluminium'!$N$12,"NA"))))</f>
        <v>NA</v>
      </c>
      <c r="AL382" s="344" t="str">
        <f>IF(T382="Air",(IF(U382="1C",'Catalogue Aluminium'!$O$9,'Catalogue Aluminium'!$P$9)),IF(T382="DUCT",(IF($U382="1C",'Catalogue Aluminium'!$O$10,'Catalogue Aluminium'!$P$10)),IF(T382="GROUND",(IF($U382="1C",'Catalogue Aluminium'!$O$11,'Catalogue Aluminium'!$P$11)),IF(T382="TRENCH",(IF($U382="1C",'Catalogue Aluminium'!$O$12,'Catalogue Aluminium'!$P$12))))))</f>
        <v>NA</v>
      </c>
      <c r="AM382" s="344" t="str">
        <f>IF(T382="AIR","NA",IF(T382="TRENCH","NA",IF(T382="DUCT",IF(U382="1C",VLOOKUP(V382,'Catalogue Aluminium'!$Q$9:$S$28,2,FALSE),VLOOKUP(V382,'Catalogue Aluminium'!$Q$9:$S$28,3)),IF(T382="GROUND",IF(U382="1C",VLOOKUP(V382,'Catalogue Aluminium'!$Q$9:$S$28,2,FALSE),VLOOKUP(V382,'Catalogue Aluminium'!$Q$9:$S$28,3))))))</f>
        <v>NA</v>
      </c>
      <c r="AN382" s="351">
        <f t="shared" si="2609"/>
        <v>0.58740000000000003</v>
      </c>
      <c r="AO382" s="350">
        <f t="shared" si="2610"/>
        <v>68.725800000000007</v>
      </c>
      <c r="AP382" s="349">
        <f t="shared" si="2580"/>
        <v>1</v>
      </c>
      <c r="AQ382" s="350" t="str">
        <f t="shared" si="2611"/>
        <v>YES</v>
      </c>
      <c r="AR382" s="351">
        <f t="shared" si="2612"/>
        <v>0.30474282476112269</v>
      </c>
      <c r="AS382" s="343" t="str">
        <f t="shared" si="2599"/>
        <v>YES</v>
      </c>
      <c r="AT382" s="351" t="str">
        <f t="shared" si="2583"/>
        <v>NA</v>
      </c>
      <c r="AU382" s="343" t="str">
        <f t="shared" si="2584"/>
        <v>NA</v>
      </c>
      <c r="AV382" s="351" t="str">
        <f t="shared" si="2585"/>
        <v>1R x 0.6/1kV x 3.5C x 35 Sqmm</v>
      </c>
      <c r="AW382" s="351" t="str">
        <f t="shared" si="2586"/>
        <v>1R x 0.6/1kV x 3.5C x 35 Sqmm</v>
      </c>
      <c r="AX382" s="343">
        <f t="shared" si="2587"/>
        <v>125</v>
      </c>
      <c r="AY382" s="343"/>
      <c r="AZ382" s="343">
        <f t="shared" si="2588"/>
        <v>2</v>
      </c>
      <c r="BA382" s="356" t="str">
        <f t="shared" si="2589"/>
        <v>L</v>
      </c>
      <c r="BB382" s="328">
        <f>VLOOKUP(W382,'Catalogue Aluminium'!$B$9:$H$93,7,FALSE)</f>
        <v>27</v>
      </c>
      <c r="BC382" s="328">
        <f t="shared" si="2590"/>
        <v>27</v>
      </c>
      <c r="BE382" s="336"/>
      <c r="BF382" s="336"/>
      <c r="BG382" s="336"/>
      <c r="BH382" s="336"/>
      <c r="BI382" s="336"/>
      <c r="BJ382" s="336"/>
      <c r="BK382" s="336"/>
      <c r="BL382" s="336"/>
      <c r="BM382" s="336"/>
      <c r="BN382" s="336"/>
      <c r="BO382" s="336"/>
      <c r="BP382" s="336"/>
      <c r="BQ382" s="336"/>
      <c r="BR382" s="336"/>
      <c r="BS382" s="336"/>
      <c r="BT382" s="336"/>
      <c r="BU382" s="336"/>
      <c r="BV382" s="336"/>
      <c r="BW382" s="336"/>
      <c r="BX382" s="336"/>
      <c r="BY382" s="336"/>
      <c r="BZ382" s="336"/>
      <c r="CA382" s="336"/>
      <c r="CB382" s="336"/>
      <c r="CC382" s="336"/>
      <c r="CD382" s="336"/>
      <c r="CE382" s="336"/>
      <c r="CF382" s="336">
        <v>1</v>
      </c>
      <c r="CG382" s="336"/>
      <c r="CH382" s="336"/>
      <c r="CI382" s="336"/>
      <c r="CJ382" s="336"/>
      <c r="CK382" s="336"/>
      <c r="CL382" s="336"/>
      <c r="CM382" s="336"/>
      <c r="CN382" s="336"/>
      <c r="CO382" s="336"/>
      <c r="CP382" s="336"/>
      <c r="CQ382" s="336"/>
      <c r="CR382" s="336"/>
      <c r="CS382" s="336"/>
      <c r="CT382" s="336"/>
      <c r="CU382" s="336"/>
      <c r="CV382" s="336"/>
      <c r="CW382" s="336"/>
      <c r="CX382" s="336"/>
      <c r="CY382" s="336"/>
      <c r="CZ382" s="336"/>
      <c r="DA382" s="336"/>
      <c r="DB382" s="336"/>
      <c r="DC382" s="336"/>
      <c r="DD382" s="336"/>
      <c r="DE382" s="336"/>
      <c r="DF382" s="336"/>
      <c r="DG382" s="336"/>
      <c r="DH382" s="336"/>
      <c r="DI382" s="336"/>
      <c r="DJ382" s="336"/>
      <c r="DK382" s="336"/>
      <c r="DL382" s="336"/>
      <c r="DM382" s="336"/>
      <c r="DN382" s="336"/>
      <c r="DO382" s="336"/>
      <c r="DP382" s="336"/>
      <c r="DQ382" s="336"/>
      <c r="DR382" s="336"/>
      <c r="DS382" s="336"/>
      <c r="DT382" s="336"/>
      <c r="DU382" s="336"/>
      <c r="DW382" s="336">
        <f t="shared" si="2591"/>
        <v>0</v>
      </c>
      <c r="DX382" s="336">
        <f t="shared" si="2592"/>
        <v>0</v>
      </c>
      <c r="DY382" s="336">
        <f t="shared" si="2593"/>
        <v>0</v>
      </c>
      <c r="DZ382" s="336">
        <f t="shared" si="2594"/>
        <v>0</v>
      </c>
      <c r="EA382" s="336">
        <f t="shared" si="2595"/>
        <v>0</v>
      </c>
      <c r="EB382" s="336">
        <f t="shared" si="2596"/>
        <v>0</v>
      </c>
      <c r="EC382" s="336">
        <f t="shared" si="2597"/>
        <v>0</v>
      </c>
      <c r="ED382" s="336">
        <f t="shared" si="2515"/>
        <v>0</v>
      </c>
      <c r="EE382" s="336">
        <f t="shared" si="2516"/>
        <v>0</v>
      </c>
      <c r="EF382" s="336">
        <f t="shared" si="2517"/>
        <v>0</v>
      </c>
      <c r="EG382" s="336">
        <f t="shared" si="2518"/>
        <v>0</v>
      </c>
      <c r="EH382" s="336">
        <f t="shared" si="2519"/>
        <v>0</v>
      </c>
      <c r="EI382" s="336">
        <f t="shared" si="2520"/>
        <v>0</v>
      </c>
      <c r="EJ382" s="336">
        <f t="shared" si="2521"/>
        <v>0</v>
      </c>
      <c r="EK382" s="336">
        <f t="shared" si="2522"/>
        <v>0</v>
      </c>
      <c r="EL382" s="336">
        <f t="shared" si="2523"/>
        <v>0</v>
      </c>
      <c r="EM382" s="336">
        <f t="shared" si="2524"/>
        <v>0</v>
      </c>
      <c r="EN382" s="336">
        <f t="shared" si="2525"/>
        <v>0</v>
      </c>
      <c r="EO382" s="336">
        <f t="shared" si="2526"/>
        <v>0</v>
      </c>
      <c r="EP382" s="336">
        <f t="shared" si="2527"/>
        <v>0</v>
      </c>
      <c r="EQ382" s="336">
        <f t="shared" si="2528"/>
        <v>0</v>
      </c>
      <c r="ER382" s="336">
        <f t="shared" si="2529"/>
        <v>0</v>
      </c>
      <c r="ES382" s="336">
        <f t="shared" si="2530"/>
        <v>0</v>
      </c>
      <c r="ET382" s="336">
        <f t="shared" si="2530"/>
        <v>0</v>
      </c>
      <c r="EU382" s="336">
        <f t="shared" si="2531"/>
        <v>0</v>
      </c>
      <c r="EV382" s="336">
        <f t="shared" si="2532"/>
        <v>0</v>
      </c>
      <c r="EW382" s="336">
        <f t="shared" si="2533"/>
        <v>0</v>
      </c>
      <c r="EX382" s="336">
        <f t="shared" si="2534"/>
        <v>27</v>
      </c>
      <c r="EY382" s="336">
        <f t="shared" si="2535"/>
        <v>0</v>
      </c>
      <c r="EZ382" s="336">
        <f t="shared" si="2536"/>
        <v>0</v>
      </c>
      <c r="FA382" s="336">
        <f t="shared" si="2537"/>
        <v>0</v>
      </c>
      <c r="FB382" s="336">
        <f t="shared" si="2538"/>
        <v>0</v>
      </c>
      <c r="FC382" s="336">
        <f t="shared" si="2539"/>
        <v>0</v>
      </c>
      <c r="FD382" s="336">
        <f t="shared" si="2540"/>
        <v>0</v>
      </c>
      <c r="FE382" s="336">
        <f t="shared" si="2541"/>
        <v>0</v>
      </c>
      <c r="FF382" s="336">
        <f t="shared" si="2542"/>
        <v>0</v>
      </c>
      <c r="FG382" s="336">
        <f t="shared" si="2543"/>
        <v>0</v>
      </c>
      <c r="FH382" s="336">
        <f t="shared" si="2544"/>
        <v>0</v>
      </c>
      <c r="FI382" s="336">
        <f t="shared" si="2545"/>
        <v>0</v>
      </c>
      <c r="FJ382" s="336">
        <f t="shared" si="2546"/>
        <v>0</v>
      </c>
      <c r="FK382" s="336">
        <f t="shared" si="2547"/>
        <v>0</v>
      </c>
      <c r="FL382" s="336">
        <f t="shared" si="2548"/>
        <v>0</v>
      </c>
      <c r="FM382" s="336">
        <f t="shared" si="2549"/>
        <v>0</v>
      </c>
      <c r="FN382" s="336">
        <f t="shared" si="2550"/>
        <v>0</v>
      </c>
      <c r="FO382" s="336">
        <f t="shared" si="2551"/>
        <v>0</v>
      </c>
      <c r="FP382" s="336">
        <f t="shared" si="2552"/>
        <v>0</v>
      </c>
      <c r="FQ382" s="336">
        <f t="shared" si="2553"/>
        <v>0</v>
      </c>
      <c r="FR382" s="336">
        <f t="shared" si="2554"/>
        <v>0</v>
      </c>
      <c r="FS382" s="336">
        <f t="shared" si="2555"/>
        <v>0</v>
      </c>
      <c r="FT382" s="336">
        <f t="shared" si="2556"/>
        <v>0</v>
      </c>
      <c r="FU382" s="336">
        <f t="shared" si="2262"/>
        <v>0</v>
      </c>
      <c r="FV382" s="336">
        <f t="shared" si="2263"/>
        <v>0</v>
      </c>
      <c r="FW382" s="336">
        <f t="shared" si="2264"/>
        <v>0</v>
      </c>
      <c r="FX382" s="336">
        <f t="shared" si="2265"/>
        <v>0</v>
      </c>
      <c r="FY382" s="336">
        <f t="shared" si="2557"/>
        <v>0</v>
      </c>
      <c r="FZ382" s="336">
        <f t="shared" si="2558"/>
        <v>0</v>
      </c>
      <c r="GA382" s="336">
        <f t="shared" si="2559"/>
        <v>0</v>
      </c>
      <c r="GB382" s="336">
        <f t="shared" si="2560"/>
        <v>0</v>
      </c>
      <c r="GC382" s="336">
        <f t="shared" si="2561"/>
        <v>0</v>
      </c>
      <c r="GD382" s="336">
        <f t="shared" si="2562"/>
        <v>0</v>
      </c>
      <c r="GE382" s="336">
        <f t="shared" si="2563"/>
        <v>0</v>
      </c>
      <c r="GF382" s="336">
        <f t="shared" si="2564"/>
        <v>0</v>
      </c>
      <c r="GG382" s="336">
        <f t="shared" si="2565"/>
        <v>0</v>
      </c>
      <c r="GH382" s="336">
        <f t="shared" si="2566"/>
        <v>0</v>
      </c>
      <c r="GI382" s="336">
        <f t="shared" si="2567"/>
        <v>0</v>
      </c>
      <c r="GJ382" s="336">
        <f t="shared" si="2568"/>
        <v>0</v>
      </c>
      <c r="GK382" s="336">
        <f t="shared" si="2513"/>
        <v>0</v>
      </c>
      <c r="GL382" s="336">
        <f t="shared" si="2514"/>
        <v>0</v>
      </c>
      <c r="GM382" s="336">
        <f t="shared" si="2569"/>
        <v>0</v>
      </c>
    </row>
    <row r="383" spans="1:195">
      <c r="A383" s="337">
        <f t="shared" si="2598"/>
        <v>256</v>
      </c>
      <c r="B383" s="337" t="s">
        <v>606</v>
      </c>
      <c r="C383" s="337" t="str">
        <f>$D$6</f>
        <v>PMCC-1</v>
      </c>
      <c r="D383" s="372" t="s">
        <v>830</v>
      </c>
      <c r="E383" s="500" t="s">
        <v>335</v>
      </c>
      <c r="F383" s="570"/>
      <c r="G383" s="340" t="s">
        <v>337</v>
      </c>
      <c r="H383" s="418">
        <v>127.5</v>
      </c>
      <c r="I383" s="337" t="s">
        <v>330</v>
      </c>
      <c r="J383" s="337" t="s">
        <v>331</v>
      </c>
      <c r="K383" s="349">
        <v>400</v>
      </c>
      <c r="L383" s="343">
        <v>0.84999999999999987</v>
      </c>
      <c r="M383" s="350">
        <v>0.95099999999999985</v>
      </c>
      <c r="N383" s="342">
        <v>320</v>
      </c>
      <c r="O383" s="399"/>
      <c r="P383" s="400"/>
      <c r="Q383" s="400"/>
      <c r="R383" s="400"/>
      <c r="S383" s="400"/>
      <c r="T383" s="400"/>
      <c r="U383" s="400"/>
      <c r="V383" s="400"/>
      <c r="W383" s="400"/>
      <c r="X383" s="400"/>
      <c r="Y383" s="400"/>
      <c r="Z383" s="400"/>
      <c r="AA383" s="400"/>
      <c r="AB383" s="400"/>
      <c r="AC383" s="913"/>
      <c r="AD383" s="913"/>
      <c r="AE383" s="913"/>
      <c r="AF383" s="913"/>
      <c r="AG383" s="913"/>
      <c r="AH383" s="400"/>
      <c r="AI383" s="400"/>
      <c r="AJ383" s="400"/>
      <c r="AK383" s="400"/>
      <c r="AL383" s="400"/>
      <c r="AM383" s="400"/>
      <c r="AN383" s="400"/>
      <c r="AO383" s="400"/>
      <c r="AP383" s="400"/>
      <c r="AQ383" s="400"/>
      <c r="AR383" s="400"/>
      <c r="AS383" s="400"/>
      <c r="AT383" s="400"/>
      <c r="AU383" s="400"/>
      <c r="AV383" s="400"/>
      <c r="AW383" s="400"/>
      <c r="AX383" s="400"/>
      <c r="AY383" s="400"/>
      <c r="AZ383" s="400"/>
      <c r="BA383" s="400"/>
      <c r="BB383" s="400"/>
      <c r="BC383" s="912"/>
      <c r="BE383" s="530"/>
      <c r="BF383" s="530"/>
      <c r="BG383" s="530"/>
      <c r="BH383" s="530"/>
      <c r="BI383" s="530"/>
      <c r="BJ383" s="530"/>
      <c r="BK383" s="530"/>
      <c r="BL383" s="530"/>
      <c r="BM383" s="530"/>
      <c r="BN383" s="530"/>
      <c r="BO383" s="530"/>
      <c r="BP383" s="530"/>
      <c r="BQ383" s="530"/>
      <c r="BR383" s="530"/>
      <c r="BS383" s="530"/>
      <c r="BT383" s="530"/>
      <c r="BU383" s="530"/>
      <c r="BV383" s="530"/>
      <c r="BW383" s="530"/>
      <c r="BX383" s="530"/>
      <c r="BY383" s="530"/>
      <c r="BZ383" s="530"/>
      <c r="CA383" s="530"/>
      <c r="CB383" s="530"/>
      <c r="CC383" s="530"/>
      <c r="CD383" s="530"/>
      <c r="CE383" s="530"/>
      <c r="CF383" s="530"/>
      <c r="CG383" s="530"/>
      <c r="CH383" s="530"/>
      <c r="CI383" s="530"/>
      <c r="CJ383" s="530"/>
      <c r="CK383" s="530"/>
      <c r="CL383" s="530"/>
      <c r="CM383" s="530"/>
      <c r="CN383" s="530"/>
      <c r="CO383" s="530"/>
      <c r="CP383" s="530"/>
      <c r="CQ383" s="530"/>
      <c r="CR383" s="530"/>
      <c r="CS383" s="530"/>
      <c r="CT383" s="530"/>
      <c r="CU383" s="530"/>
      <c r="CV383" s="530"/>
      <c r="CW383" s="530"/>
      <c r="CX383" s="530"/>
      <c r="CY383" s="530"/>
      <c r="CZ383" s="530"/>
      <c r="DA383" s="530"/>
      <c r="DB383" s="530"/>
      <c r="DC383" s="530"/>
      <c r="DD383" s="530"/>
      <c r="DE383" s="530"/>
      <c r="DF383" s="530"/>
      <c r="DG383" s="530"/>
      <c r="DH383" s="530"/>
      <c r="DI383" s="530"/>
      <c r="DJ383" s="530"/>
      <c r="DK383" s="530"/>
      <c r="DL383" s="530"/>
      <c r="DM383" s="530"/>
      <c r="DN383" s="530"/>
      <c r="DO383" s="530"/>
      <c r="DP383" s="530"/>
      <c r="DQ383" s="530"/>
      <c r="DR383" s="530"/>
      <c r="DS383" s="530"/>
      <c r="DT383" s="530"/>
      <c r="DU383" s="530"/>
      <c r="DW383" s="336">
        <f t="shared" si="2591"/>
        <v>0</v>
      </c>
      <c r="DX383" s="336">
        <f t="shared" si="2592"/>
        <v>0</v>
      </c>
      <c r="DY383" s="336">
        <f t="shared" si="2593"/>
        <v>0</v>
      </c>
      <c r="DZ383" s="336">
        <f t="shared" si="2594"/>
        <v>0</v>
      </c>
      <c r="EA383" s="336">
        <f t="shared" si="2595"/>
        <v>0</v>
      </c>
      <c r="EB383" s="336">
        <f t="shared" si="2596"/>
        <v>0</v>
      </c>
      <c r="EC383" s="336">
        <f t="shared" si="2597"/>
        <v>0</v>
      </c>
      <c r="ED383" s="336">
        <f t="shared" si="2515"/>
        <v>0</v>
      </c>
      <c r="EE383" s="336">
        <f t="shared" si="2516"/>
        <v>0</v>
      </c>
      <c r="EF383" s="336">
        <f t="shared" si="2517"/>
        <v>0</v>
      </c>
      <c r="EG383" s="336">
        <f t="shared" si="2518"/>
        <v>0</v>
      </c>
      <c r="EH383" s="336">
        <f t="shared" si="2519"/>
        <v>0</v>
      </c>
      <c r="EI383" s="336">
        <f t="shared" si="2520"/>
        <v>0</v>
      </c>
      <c r="EJ383" s="336">
        <f t="shared" si="2521"/>
        <v>0</v>
      </c>
      <c r="EK383" s="336">
        <f t="shared" si="2522"/>
        <v>0</v>
      </c>
      <c r="EL383" s="336">
        <f t="shared" si="2523"/>
        <v>0</v>
      </c>
      <c r="EM383" s="336">
        <f t="shared" si="2524"/>
        <v>0</v>
      </c>
      <c r="EN383" s="336">
        <f t="shared" si="2525"/>
        <v>0</v>
      </c>
      <c r="EO383" s="336">
        <f t="shared" si="2526"/>
        <v>0</v>
      </c>
      <c r="EP383" s="336">
        <f t="shared" si="2527"/>
        <v>0</v>
      </c>
      <c r="EQ383" s="336">
        <f t="shared" si="2528"/>
        <v>0</v>
      </c>
      <c r="ER383" s="336">
        <f t="shared" si="2529"/>
        <v>0</v>
      </c>
      <c r="ES383" s="336">
        <f t="shared" si="2530"/>
        <v>0</v>
      </c>
      <c r="ET383" s="336">
        <f t="shared" si="2530"/>
        <v>0</v>
      </c>
      <c r="EU383" s="336">
        <f t="shared" si="2531"/>
        <v>0</v>
      </c>
      <c r="EV383" s="336">
        <f t="shared" si="2532"/>
        <v>0</v>
      </c>
      <c r="EW383" s="336">
        <f t="shared" si="2533"/>
        <v>0</v>
      </c>
      <c r="EX383" s="336">
        <f t="shared" si="2534"/>
        <v>0</v>
      </c>
      <c r="EY383" s="336">
        <f t="shared" si="2535"/>
        <v>0</v>
      </c>
      <c r="EZ383" s="336">
        <f t="shared" si="2536"/>
        <v>0</v>
      </c>
      <c r="FA383" s="336">
        <f t="shared" si="2537"/>
        <v>0</v>
      </c>
      <c r="FB383" s="336">
        <f t="shared" si="2538"/>
        <v>0</v>
      </c>
      <c r="FC383" s="336">
        <f t="shared" si="2539"/>
        <v>0</v>
      </c>
      <c r="FD383" s="336">
        <f t="shared" si="2540"/>
        <v>0</v>
      </c>
      <c r="FE383" s="336">
        <f t="shared" si="2541"/>
        <v>0</v>
      </c>
      <c r="FF383" s="336">
        <f t="shared" si="2542"/>
        <v>0</v>
      </c>
      <c r="FG383" s="336">
        <f t="shared" si="2543"/>
        <v>0</v>
      </c>
      <c r="FH383" s="336">
        <f t="shared" si="2544"/>
        <v>0</v>
      </c>
      <c r="FI383" s="336">
        <f t="shared" si="2545"/>
        <v>0</v>
      </c>
      <c r="FJ383" s="336">
        <f t="shared" si="2546"/>
        <v>0</v>
      </c>
      <c r="FK383" s="336">
        <f t="shared" si="2547"/>
        <v>0</v>
      </c>
      <c r="FL383" s="336">
        <f t="shared" si="2548"/>
        <v>0</v>
      </c>
      <c r="FM383" s="336">
        <f t="shared" si="2549"/>
        <v>0</v>
      </c>
      <c r="FN383" s="336">
        <f t="shared" si="2550"/>
        <v>0</v>
      </c>
      <c r="FO383" s="336">
        <f t="shared" si="2551"/>
        <v>0</v>
      </c>
      <c r="FP383" s="336">
        <f t="shared" si="2552"/>
        <v>0</v>
      </c>
      <c r="FQ383" s="336">
        <f t="shared" si="2553"/>
        <v>0</v>
      </c>
      <c r="FR383" s="336">
        <f t="shared" si="2554"/>
        <v>0</v>
      </c>
      <c r="FS383" s="336">
        <f t="shared" si="2555"/>
        <v>0</v>
      </c>
      <c r="FT383" s="336">
        <f t="shared" si="2556"/>
        <v>0</v>
      </c>
      <c r="FU383" s="336">
        <f t="shared" si="2262"/>
        <v>0</v>
      </c>
      <c r="FV383" s="336">
        <f t="shared" si="2263"/>
        <v>0</v>
      </c>
      <c r="FW383" s="336">
        <f t="shared" si="2264"/>
        <v>0</v>
      </c>
      <c r="FX383" s="336">
        <f t="shared" si="2265"/>
        <v>0</v>
      </c>
      <c r="FY383" s="336">
        <f t="shared" si="2557"/>
        <v>0</v>
      </c>
      <c r="FZ383" s="336">
        <f t="shared" si="2558"/>
        <v>0</v>
      </c>
      <c r="GA383" s="336">
        <f t="shared" si="2559"/>
        <v>0</v>
      </c>
      <c r="GB383" s="336">
        <f t="shared" si="2560"/>
        <v>0</v>
      </c>
      <c r="GC383" s="336">
        <f t="shared" si="2561"/>
        <v>0</v>
      </c>
      <c r="GD383" s="336">
        <f t="shared" si="2562"/>
        <v>0</v>
      </c>
      <c r="GE383" s="336">
        <f t="shared" si="2563"/>
        <v>0</v>
      </c>
      <c r="GF383" s="336">
        <f t="shared" si="2564"/>
        <v>0</v>
      </c>
      <c r="GG383" s="336">
        <f t="shared" si="2565"/>
        <v>0</v>
      </c>
      <c r="GH383" s="336">
        <f t="shared" si="2566"/>
        <v>0</v>
      </c>
      <c r="GI383" s="336">
        <f t="shared" si="2567"/>
        <v>0</v>
      </c>
      <c r="GJ383" s="336">
        <f t="shared" si="2568"/>
        <v>0</v>
      </c>
      <c r="GK383" s="336">
        <f t="shared" si="2513"/>
        <v>0</v>
      </c>
      <c r="GL383" s="336">
        <f t="shared" si="2514"/>
        <v>0</v>
      </c>
      <c r="GM383" s="336">
        <f t="shared" si="2569"/>
        <v>0</v>
      </c>
    </row>
    <row r="384" spans="1:195">
      <c r="A384" s="337">
        <f t="shared" si="2598"/>
        <v>257</v>
      </c>
      <c r="B384" s="337" t="s">
        <v>606</v>
      </c>
      <c r="C384" s="337" t="str">
        <f>$D$6</f>
        <v>PMCC-1</v>
      </c>
      <c r="D384" s="372" t="s">
        <v>831</v>
      </c>
      <c r="E384" s="500" t="s">
        <v>335</v>
      </c>
      <c r="F384" s="570"/>
      <c r="G384" s="340" t="s">
        <v>337</v>
      </c>
      <c r="H384" s="418">
        <v>127.5</v>
      </c>
      <c r="I384" s="337" t="s">
        <v>330</v>
      </c>
      <c r="J384" s="337" t="s">
        <v>331</v>
      </c>
      <c r="K384" s="349">
        <v>400</v>
      </c>
      <c r="L384" s="343">
        <v>0.84999999999999987</v>
      </c>
      <c r="M384" s="350">
        <v>0.95099999999999985</v>
      </c>
      <c r="N384" s="342">
        <v>320</v>
      </c>
      <c r="O384" s="399"/>
      <c r="P384" s="400"/>
      <c r="Q384" s="400"/>
      <c r="R384" s="400"/>
      <c r="S384" s="400"/>
      <c r="T384" s="400"/>
      <c r="U384" s="400"/>
      <c r="V384" s="400"/>
      <c r="W384" s="400"/>
      <c r="X384" s="400"/>
      <c r="Y384" s="400"/>
      <c r="Z384" s="400"/>
      <c r="AA384" s="400"/>
      <c r="AB384" s="400"/>
      <c r="AC384" s="913"/>
      <c r="AD384" s="913"/>
      <c r="AE384" s="913"/>
      <c r="AF384" s="913"/>
      <c r="AG384" s="913"/>
      <c r="AH384" s="400"/>
      <c r="AI384" s="400"/>
      <c r="AJ384" s="400"/>
      <c r="AK384" s="400"/>
      <c r="AL384" s="400"/>
      <c r="AM384" s="400"/>
      <c r="AN384" s="400"/>
      <c r="AO384" s="400"/>
      <c r="AP384" s="400"/>
      <c r="AQ384" s="400"/>
      <c r="AR384" s="400"/>
      <c r="AS384" s="400"/>
      <c r="AT384" s="400"/>
      <c r="AU384" s="400"/>
      <c r="AV384" s="400"/>
      <c r="AW384" s="400"/>
      <c r="AX384" s="400"/>
      <c r="AY384" s="400"/>
      <c r="AZ384" s="400"/>
      <c r="BA384" s="400"/>
      <c r="BB384" s="400"/>
      <c r="BC384" s="912"/>
      <c r="BE384" s="530"/>
      <c r="BF384" s="530"/>
      <c r="BG384" s="530"/>
      <c r="BH384" s="530"/>
      <c r="BI384" s="530"/>
      <c r="BJ384" s="530"/>
      <c r="BK384" s="530"/>
      <c r="BL384" s="530"/>
      <c r="BM384" s="530"/>
      <c r="BN384" s="530"/>
      <c r="BO384" s="530"/>
      <c r="BP384" s="530"/>
      <c r="BQ384" s="530"/>
      <c r="BR384" s="530"/>
      <c r="BS384" s="530"/>
      <c r="BT384" s="530"/>
      <c r="BU384" s="530"/>
      <c r="BV384" s="530"/>
      <c r="BW384" s="530"/>
      <c r="BX384" s="530"/>
      <c r="BY384" s="530"/>
      <c r="BZ384" s="530"/>
      <c r="CA384" s="530"/>
      <c r="CB384" s="530"/>
      <c r="CC384" s="530"/>
      <c r="CD384" s="530"/>
      <c r="CE384" s="530"/>
      <c r="CF384" s="530"/>
      <c r="CG384" s="530"/>
      <c r="CH384" s="530"/>
      <c r="CI384" s="530"/>
      <c r="CJ384" s="530"/>
      <c r="CK384" s="530"/>
      <c r="CL384" s="530"/>
      <c r="CM384" s="530"/>
      <c r="CN384" s="530"/>
      <c r="CO384" s="530"/>
      <c r="CP384" s="530"/>
      <c r="CQ384" s="530"/>
      <c r="CR384" s="530"/>
      <c r="CS384" s="530"/>
      <c r="CT384" s="530"/>
      <c r="CU384" s="530"/>
      <c r="CV384" s="530"/>
      <c r="CW384" s="530"/>
      <c r="CX384" s="530"/>
      <c r="CY384" s="530"/>
      <c r="CZ384" s="530"/>
      <c r="DA384" s="530"/>
      <c r="DB384" s="530"/>
      <c r="DC384" s="530"/>
      <c r="DD384" s="530"/>
      <c r="DE384" s="530"/>
      <c r="DF384" s="530"/>
      <c r="DG384" s="530"/>
      <c r="DH384" s="530"/>
      <c r="DI384" s="530"/>
      <c r="DJ384" s="530"/>
      <c r="DK384" s="530"/>
      <c r="DL384" s="530"/>
      <c r="DM384" s="530"/>
      <c r="DN384" s="530"/>
      <c r="DO384" s="530"/>
      <c r="DP384" s="530"/>
      <c r="DQ384" s="530"/>
      <c r="DR384" s="530"/>
      <c r="DS384" s="530"/>
      <c r="DT384" s="530"/>
      <c r="DU384" s="530"/>
      <c r="DW384" s="336">
        <f t="shared" si="2591"/>
        <v>0</v>
      </c>
      <c r="DX384" s="336">
        <f t="shared" si="2592"/>
        <v>0</v>
      </c>
      <c r="DY384" s="336">
        <f t="shared" si="2593"/>
        <v>0</v>
      </c>
      <c r="DZ384" s="336">
        <f t="shared" si="2594"/>
        <v>0</v>
      </c>
      <c r="EA384" s="336">
        <f t="shared" si="2595"/>
        <v>0</v>
      </c>
      <c r="EB384" s="336">
        <f t="shared" si="2596"/>
        <v>0</v>
      </c>
      <c r="EC384" s="336">
        <f t="shared" si="2597"/>
        <v>0</v>
      </c>
      <c r="ED384" s="336">
        <f t="shared" si="2515"/>
        <v>0</v>
      </c>
      <c r="EE384" s="336">
        <f t="shared" si="2516"/>
        <v>0</v>
      </c>
      <c r="EF384" s="336">
        <f t="shared" si="2517"/>
        <v>0</v>
      </c>
      <c r="EG384" s="336">
        <f t="shared" si="2518"/>
        <v>0</v>
      </c>
      <c r="EH384" s="336">
        <f t="shared" si="2519"/>
        <v>0</v>
      </c>
      <c r="EI384" s="336">
        <f t="shared" si="2520"/>
        <v>0</v>
      </c>
      <c r="EJ384" s="336">
        <f t="shared" si="2521"/>
        <v>0</v>
      </c>
      <c r="EK384" s="336">
        <f t="shared" si="2522"/>
        <v>0</v>
      </c>
      <c r="EL384" s="336">
        <f t="shared" si="2523"/>
        <v>0</v>
      </c>
      <c r="EM384" s="336">
        <f t="shared" si="2524"/>
        <v>0</v>
      </c>
      <c r="EN384" s="336">
        <f t="shared" si="2525"/>
        <v>0</v>
      </c>
      <c r="EO384" s="336">
        <f t="shared" si="2526"/>
        <v>0</v>
      </c>
      <c r="EP384" s="336">
        <f t="shared" si="2527"/>
        <v>0</v>
      </c>
      <c r="EQ384" s="336">
        <f t="shared" si="2528"/>
        <v>0</v>
      </c>
      <c r="ER384" s="336">
        <f t="shared" si="2529"/>
        <v>0</v>
      </c>
      <c r="ES384" s="336">
        <f t="shared" si="2530"/>
        <v>0</v>
      </c>
      <c r="ET384" s="336">
        <f t="shared" si="2530"/>
        <v>0</v>
      </c>
      <c r="EU384" s="336">
        <f t="shared" si="2531"/>
        <v>0</v>
      </c>
      <c r="EV384" s="336">
        <f t="shared" si="2532"/>
        <v>0</v>
      </c>
      <c r="EW384" s="336">
        <f t="shared" si="2533"/>
        <v>0</v>
      </c>
      <c r="EX384" s="336">
        <f t="shared" si="2534"/>
        <v>0</v>
      </c>
      <c r="EY384" s="336">
        <f t="shared" si="2535"/>
        <v>0</v>
      </c>
      <c r="EZ384" s="336">
        <f t="shared" si="2536"/>
        <v>0</v>
      </c>
      <c r="FA384" s="336">
        <f t="shared" si="2537"/>
        <v>0</v>
      </c>
      <c r="FB384" s="336">
        <f t="shared" si="2538"/>
        <v>0</v>
      </c>
      <c r="FC384" s="336">
        <f t="shared" si="2539"/>
        <v>0</v>
      </c>
      <c r="FD384" s="336">
        <f t="shared" si="2540"/>
        <v>0</v>
      </c>
      <c r="FE384" s="336">
        <f t="shared" si="2541"/>
        <v>0</v>
      </c>
      <c r="FF384" s="336">
        <f t="shared" si="2542"/>
        <v>0</v>
      </c>
      <c r="FG384" s="336">
        <f t="shared" si="2543"/>
        <v>0</v>
      </c>
      <c r="FH384" s="336">
        <f t="shared" si="2544"/>
        <v>0</v>
      </c>
      <c r="FI384" s="336">
        <f t="shared" si="2545"/>
        <v>0</v>
      </c>
      <c r="FJ384" s="336">
        <f t="shared" si="2546"/>
        <v>0</v>
      </c>
      <c r="FK384" s="336">
        <f t="shared" si="2547"/>
        <v>0</v>
      </c>
      <c r="FL384" s="336">
        <f t="shared" si="2548"/>
        <v>0</v>
      </c>
      <c r="FM384" s="336">
        <f t="shared" si="2549"/>
        <v>0</v>
      </c>
      <c r="FN384" s="336">
        <f t="shared" si="2550"/>
        <v>0</v>
      </c>
      <c r="FO384" s="336">
        <f t="shared" si="2551"/>
        <v>0</v>
      </c>
      <c r="FP384" s="336">
        <f t="shared" si="2552"/>
        <v>0</v>
      </c>
      <c r="FQ384" s="336">
        <f t="shared" si="2553"/>
        <v>0</v>
      </c>
      <c r="FR384" s="336">
        <f t="shared" si="2554"/>
        <v>0</v>
      </c>
      <c r="FS384" s="336">
        <f t="shared" si="2555"/>
        <v>0</v>
      </c>
      <c r="FT384" s="336">
        <f t="shared" si="2556"/>
        <v>0</v>
      </c>
      <c r="FU384" s="336">
        <f t="shared" si="2262"/>
        <v>0</v>
      </c>
      <c r="FV384" s="336">
        <f t="shared" si="2263"/>
        <v>0</v>
      </c>
      <c r="FW384" s="336">
        <f t="shared" si="2264"/>
        <v>0</v>
      </c>
      <c r="FX384" s="336">
        <f t="shared" si="2265"/>
        <v>0</v>
      </c>
      <c r="FY384" s="336">
        <f t="shared" si="2557"/>
        <v>0</v>
      </c>
      <c r="FZ384" s="336">
        <f t="shared" si="2558"/>
        <v>0</v>
      </c>
      <c r="GA384" s="336">
        <f t="shared" si="2559"/>
        <v>0</v>
      </c>
      <c r="GB384" s="336">
        <f t="shared" si="2560"/>
        <v>0</v>
      </c>
      <c r="GC384" s="336">
        <f t="shared" si="2561"/>
        <v>0</v>
      </c>
      <c r="GD384" s="336">
        <f t="shared" si="2562"/>
        <v>0</v>
      </c>
      <c r="GE384" s="336">
        <f t="shared" si="2563"/>
        <v>0</v>
      </c>
      <c r="GF384" s="336">
        <f t="shared" si="2564"/>
        <v>0</v>
      </c>
      <c r="GG384" s="336">
        <f t="shared" si="2565"/>
        <v>0</v>
      </c>
      <c r="GH384" s="336">
        <f t="shared" si="2566"/>
        <v>0</v>
      </c>
      <c r="GI384" s="336">
        <f t="shared" si="2567"/>
        <v>0</v>
      </c>
      <c r="GJ384" s="336">
        <f t="shared" si="2568"/>
        <v>0</v>
      </c>
      <c r="GK384" s="336">
        <f t="shared" si="2513"/>
        <v>0</v>
      </c>
      <c r="GL384" s="336">
        <f t="shared" si="2514"/>
        <v>0</v>
      </c>
      <c r="GM384" s="336">
        <f t="shared" si="2569"/>
        <v>0</v>
      </c>
    </row>
    <row r="385" spans="1:195" s="76" customFormat="1" ht="26.25" customHeight="1">
      <c r="A385" s="531"/>
      <c r="B385" s="531"/>
      <c r="C385" s="531"/>
      <c r="D385" s="330" t="s">
        <v>832</v>
      </c>
      <c r="E385" s="533"/>
      <c r="F385" s="857"/>
      <c r="G385" s="531"/>
      <c r="H385" s="534"/>
      <c r="I385" s="531"/>
      <c r="J385" s="531"/>
      <c r="K385" s="535"/>
      <c r="L385" s="536"/>
      <c r="M385" s="534"/>
      <c r="N385" s="537"/>
      <c r="O385" s="537"/>
      <c r="P385" s="536"/>
      <c r="Q385" s="534"/>
      <c r="R385" s="534"/>
      <c r="S385" s="534"/>
      <c r="T385" s="536"/>
      <c r="U385" s="534"/>
      <c r="V385" s="536"/>
      <c r="W385" s="536"/>
      <c r="X385" s="536"/>
      <c r="Y385" s="536"/>
      <c r="Z385" s="538"/>
      <c r="AA385" s="539"/>
      <c r="AB385" s="539"/>
      <c r="AC385" s="861"/>
      <c r="AD385" s="861"/>
      <c r="AE385" s="861"/>
      <c r="AF385" s="861"/>
      <c r="AG385" s="861"/>
      <c r="AH385" s="540"/>
      <c r="AI385" s="538"/>
      <c r="AJ385" s="537"/>
      <c r="AK385" s="538"/>
      <c r="AL385" s="538"/>
      <c r="AM385" s="538"/>
      <c r="AN385" s="541"/>
      <c r="AO385" s="534"/>
      <c r="AP385" s="535"/>
      <c r="AQ385" s="534"/>
      <c r="AR385" s="541"/>
      <c r="AS385" s="536"/>
      <c r="AT385" s="541"/>
      <c r="AU385" s="541"/>
      <c r="AV385" s="542"/>
      <c r="AW385" s="542"/>
      <c r="AX385" s="536"/>
      <c r="AY385" s="543"/>
      <c r="AZ385" s="543"/>
      <c r="BA385" s="536"/>
      <c r="BB385" s="536"/>
      <c r="BC385" s="536"/>
      <c r="BE385" s="573"/>
      <c r="BF385" s="573"/>
      <c r="BG385" s="573"/>
      <c r="BH385" s="573"/>
      <c r="BI385" s="573"/>
      <c r="BJ385" s="573"/>
      <c r="BK385" s="573"/>
      <c r="BL385" s="573"/>
      <c r="BM385" s="573"/>
      <c r="BN385" s="573"/>
      <c r="BO385" s="573"/>
      <c r="BP385" s="573"/>
      <c r="BQ385" s="573"/>
      <c r="BR385" s="573"/>
      <c r="BS385" s="573"/>
      <c r="BT385" s="573"/>
      <c r="BU385" s="573"/>
      <c r="BV385" s="573"/>
      <c r="BW385" s="573"/>
      <c r="BX385" s="573"/>
      <c r="BY385" s="573"/>
      <c r="BZ385" s="573"/>
      <c r="CA385" s="573"/>
      <c r="CB385" s="573"/>
      <c r="CC385" s="573"/>
      <c r="CD385" s="573"/>
      <c r="CE385" s="573"/>
      <c r="CF385" s="573"/>
      <c r="CG385" s="573"/>
      <c r="CH385" s="573"/>
      <c r="CI385" s="573"/>
      <c r="CJ385" s="573"/>
      <c r="CK385" s="573"/>
      <c r="CL385" s="573"/>
      <c r="CM385" s="573"/>
      <c r="CN385" s="573"/>
      <c r="CO385" s="573"/>
      <c r="CP385" s="573"/>
      <c r="CQ385" s="573"/>
      <c r="CR385" s="573"/>
      <c r="CS385" s="573"/>
      <c r="CT385" s="573"/>
      <c r="CU385" s="573"/>
      <c r="CV385" s="573"/>
      <c r="CW385" s="573"/>
      <c r="CX385" s="573"/>
      <c r="CY385" s="573"/>
      <c r="CZ385" s="573"/>
      <c r="DA385" s="573"/>
      <c r="DB385" s="573"/>
      <c r="DC385" s="573"/>
      <c r="DD385" s="573"/>
      <c r="DE385" s="573"/>
      <c r="DF385" s="573"/>
      <c r="DG385" s="573"/>
      <c r="DH385" s="573"/>
      <c r="DI385" s="573"/>
      <c r="DJ385" s="573"/>
      <c r="DK385" s="573"/>
      <c r="DL385" s="573"/>
      <c r="DM385" s="573"/>
      <c r="DN385" s="573"/>
      <c r="DO385" s="573"/>
      <c r="DP385" s="573"/>
      <c r="DQ385" s="573"/>
      <c r="DR385" s="573"/>
      <c r="DS385" s="573"/>
      <c r="DT385" s="573"/>
      <c r="DU385" s="573"/>
      <c r="DV385" s="61"/>
      <c r="DW385" s="336">
        <f t="shared" si="2591"/>
        <v>0</v>
      </c>
      <c r="DX385" s="336">
        <f t="shared" si="2592"/>
        <v>0</v>
      </c>
      <c r="DY385" s="336">
        <f t="shared" si="2593"/>
        <v>0</v>
      </c>
      <c r="DZ385" s="336">
        <f t="shared" si="2594"/>
        <v>0</v>
      </c>
      <c r="EA385" s="336">
        <f t="shared" si="2595"/>
        <v>0</v>
      </c>
      <c r="EB385" s="336">
        <f t="shared" si="2596"/>
        <v>0</v>
      </c>
      <c r="EC385" s="336">
        <f t="shared" si="2597"/>
        <v>0</v>
      </c>
      <c r="ED385" s="336">
        <f t="shared" si="2515"/>
        <v>0</v>
      </c>
      <c r="EE385" s="336">
        <f t="shared" si="2516"/>
        <v>0</v>
      </c>
      <c r="EF385" s="336">
        <f t="shared" si="2517"/>
        <v>0</v>
      </c>
      <c r="EG385" s="336">
        <f t="shared" si="2518"/>
        <v>0</v>
      </c>
      <c r="EH385" s="336">
        <f t="shared" si="2519"/>
        <v>0</v>
      </c>
      <c r="EI385" s="336">
        <f t="shared" si="2520"/>
        <v>0</v>
      </c>
      <c r="EJ385" s="336">
        <f t="shared" si="2521"/>
        <v>0</v>
      </c>
      <c r="EK385" s="336">
        <f t="shared" si="2522"/>
        <v>0</v>
      </c>
      <c r="EL385" s="336">
        <f t="shared" si="2523"/>
        <v>0</v>
      </c>
      <c r="EM385" s="336">
        <f t="shared" si="2524"/>
        <v>0</v>
      </c>
      <c r="EN385" s="336">
        <f t="shared" si="2525"/>
        <v>0</v>
      </c>
      <c r="EO385" s="336">
        <f t="shared" si="2526"/>
        <v>0</v>
      </c>
      <c r="EP385" s="336">
        <f t="shared" si="2527"/>
        <v>0</v>
      </c>
      <c r="EQ385" s="336">
        <f t="shared" si="2528"/>
        <v>0</v>
      </c>
      <c r="ER385" s="336">
        <f t="shared" si="2529"/>
        <v>0</v>
      </c>
      <c r="ES385" s="336">
        <f t="shared" si="2530"/>
        <v>0</v>
      </c>
      <c r="ET385" s="336">
        <f t="shared" si="2530"/>
        <v>0</v>
      </c>
      <c r="EU385" s="336">
        <f t="shared" si="2531"/>
        <v>0</v>
      </c>
      <c r="EV385" s="336">
        <f t="shared" si="2532"/>
        <v>0</v>
      </c>
      <c r="EW385" s="336">
        <f t="shared" si="2533"/>
        <v>0</v>
      </c>
      <c r="EX385" s="336">
        <f t="shared" si="2534"/>
        <v>0</v>
      </c>
      <c r="EY385" s="336">
        <f t="shared" si="2535"/>
        <v>0</v>
      </c>
      <c r="EZ385" s="336">
        <f t="shared" si="2536"/>
        <v>0</v>
      </c>
      <c r="FA385" s="336">
        <f t="shared" si="2537"/>
        <v>0</v>
      </c>
      <c r="FB385" s="336">
        <f t="shared" si="2538"/>
        <v>0</v>
      </c>
      <c r="FC385" s="336">
        <f t="shared" si="2539"/>
        <v>0</v>
      </c>
      <c r="FD385" s="336">
        <f t="shared" si="2540"/>
        <v>0</v>
      </c>
      <c r="FE385" s="336">
        <f t="shared" si="2541"/>
        <v>0</v>
      </c>
      <c r="FF385" s="336">
        <f t="shared" si="2542"/>
        <v>0</v>
      </c>
      <c r="FG385" s="336">
        <f t="shared" si="2543"/>
        <v>0</v>
      </c>
      <c r="FH385" s="336">
        <f t="shared" si="2544"/>
        <v>0</v>
      </c>
      <c r="FI385" s="336">
        <f t="shared" si="2545"/>
        <v>0</v>
      </c>
      <c r="FJ385" s="336">
        <f t="shared" si="2546"/>
        <v>0</v>
      </c>
      <c r="FK385" s="336">
        <f t="shared" si="2547"/>
        <v>0</v>
      </c>
      <c r="FL385" s="336">
        <f t="shared" si="2548"/>
        <v>0</v>
      </c>
      <c r="FM385" s="336">
        <f t="shared" si="2549"/>
        <v>0</v>
      </c>
      <c r="FN385" s="336">
        <f t="shared" si="2550"/>
        <v>0</v>
      </c>
      <c r="FO385" s="492">
        <f t="shared" si="2551"/>
        <v>0</v>
      </c>
      <c r="FP385" s="492">
        <f t="shared" si="2552"/>
        <v>0</v>
      </c>
      <c r="FQ385" s="492">
        <f t="shared" si="2553"/>
        <v>0</v>
      </c>
      <c r="FR385" s="492">
        <f t="shared" si="2554"/>
        <v>0</v>
      </c>
      <c r="FS385" s="492">
        <f t="shared" si="2555"/>
        <v>0</v>
      </c>
      <c r="FT385" s="492">
        <f t="shared" si="2556"/>
        <v>0</v>
      </c>
      <c r="FU385" s="336">
        <f t="shared" si="2262"/>
        <v>0</v>
      </c>
      <c r="FV385" s="336">
        <f t="shared" si="2263"/>
        <v>0</v>
      </c>
      <c r="FW385" s="336">
        <f t="shared" si="2264"/>
        <v>0</v>
      </c>
      <c r="FX385" s="336">
        <f t="shared" si="2265"/>
        <v>0</v>
      </c>
      <c r="FY385" s="492">
        <f t="shared" si="2557"/>
        <v>0</v>
      </c>
      <c r="FZ385" s="492">
        <f t="shared" si="2558"/>
        <v>0</v>
      </c>
      <c r="GA385" s="492">
        <f t="shared" si="2559"/>
        <v>0</v>
      </c>
      <c r="GB385" s="492">
        <f t="shared" si="2560"/>
        <v>0</v>
      </c>
      <c r="GC385" s="492">
        <f t="shared" si="2561"/>
        <v>0</v>
      </c>
      <c r="GD385" s="492">
        <f t="shared" si="2562"/>
        <v>0</v>
      </c>
      <c r="GE385" s="492">
        <f t="shared" si="2563"/>
        <v>0</v>
      </c>
      <c r="GF385" s="492">
        <f t="shared" si="2564"/>
        <v>0</v>
      </c>
      <c r="GG385" s="492">
        <f t="shared" si="2565"/>
        <v>0</v>
      </c>
      <c r="GH385" s="492">
        <f t="shared" si="2566"/>
        <v>0</v>
      </c>
      <c r="GI385" s="492">
        <f t="shared" si="2567"/>
        <v>0</v>
      </c>
      <c r="GJ385" s="492">
        <f t="shared" si="2568"/>
        <v>0</v>
      </c>
      <c r="GK385" s="492">
        <f t="shared" si="2513"/>
        <v>0</v>
      </c>
      <c r="GL385" s="336">
        <f t="shared" si="2514"/>
        <v>0</v>
      </c>
      <c r="GM385" s="492">
        <f t="shared" si="2569"/>
        <v>0</v>
      </c>
    </row>
    <row r="386" spans="1:195">
      <c r="A386" s="337">
        <f>1+A384</f>
        <v>258</v>
      </c>
      <c r="B386" s="388" t="s">
        <v>833</v>
      </c>
      <c r="C386" s="337" t="s">
        <v>832</v>
      </c>
      <c r="D386" s="338" t="s">
        <v>834</v>
      </c>
      <c r="E386" s="502" t="s">
        <v>335</v>
      </c>
      <c r="F386" s="570"/>
      <c r="G386" s="337" t="s">
        <v>329</v>
      </c>
      <c r="H386" s="418">
        <v>5</v>
      </c>
      <c r="I386" s="337" t="s">
        <v>330</v>
      </c>
      <c r="J386" s="337" t="s">
        <v>331</v>
      </c>
      <c r="K386" s="349">
        <v>400</v>
      </c>
      <c r="L386" s="343">
        <v>0.84999999999999987</v>
      </c>
      <c r="M386" s="350">
        <v>0.95099999999999985</v>
      </c>
      <c r="N386" s="342">
        <f t="shared" ref="N386:N392" si="2613">IF(I386="kVA",IF(J386="3Ph",(H386*1000/(1.732*M386*K386)),(H386*1000/(M386*K386))),IF(I386="kW",IF(J386="3Ph",(H386*1000/(1.732*M386*K386*L386)),(H386*1000/(M386*K386*L386)))))</f>
        <v>8.9281747625212677</v>
      </c>
      <c r="O386" s="342">
        <f t="shared" ref="O386:O391" si="2614">IF(G386="MOTOR",(6*N386),IF(G386="VFD",(1*N386),0))</f>
        <v>0</v>
      </c>
      <c r="P386" s="343" t="str">
        <f t="shared" ref="P386:P391" si="2615">IF(G386="MOTOR",0.2,"0.00")</f>
        <v>0.00</v>
      </c>
      <c r="Q386" s="350">
        <v>25</v>
      </c>
      <c r="R386" s="350">
        <v>0</v>
      </c>
      <c r="S386" s="350">
        <f t="shared" ref="S386:S391" si="2616">(Q386*1000*SQRT(R386)/143)</f>
        <v>0</v>
      </c>
      <c r="T386" s="343" t="s">
        <v>131</v>
      </c>
      <c r="U386" s="350" t="s">
        <v>522</v>
      </c>
      <c r="V386" s="343">
        <v>10</v>
      </c>
      <c r="W386" s="343" t="str">
        <f t="shared" ref="W386:W391" si="2617">CONCATENATE(U386," X ",V386)</f>
        <v>4C X 10</v>
      </c>
      <c r="X386" s="343" t="str">
        <f t="shared" ref="X386:X391" si="2618">(IF(J386="1Ph",W386,IF(J386="3Ph",(IF(G386="MOTOR",(CONCATENATE(W386,"+PE")),W386)))))</f>
        <v>4C X 10</v>
      </c>
      <c r="Y386" s="343" t="s">
        <v>358</v>
      </c>
      <c r="Z386" s="344">
        <f>IF(T386="AIR",VLOOKUP(W386,'Catalogue Aluminium'!$B$9:$G$93,2,FALSE),IF(T386="GROUND",VLOOKUP(W386,'Catalogue Aluminium'!$B$9:$G$93,3,FALSE),IF(T386="DUCT",VLOOKUP(W386,'Catalogue Aluminium'!$B$9:$G$93,4,FALSE),IF(T386="TRENCH",VLOOKUP(W386,'Catalogue Aluminium'!$B$9:$G$93,2,FALSE)))))</f>
        <v>60</v>
      </c>
      <c r="AA386" s="345">
        <f>VLOOKUP(W386,'Catalogue Aluminium'!$B$9:$G$93,5,FALSE)</f>
        <v>3.94</v>
      </c>
      <c r="AB386" s="345">
        <f>VLOOKUP(W386,'Catalogue Aluminium'!$B$9:$G$93,6,FALSE)</f>
        <v>8.5199999999999998E-2</v>
      </c>
      <c r="AC386" s="388">
        <v>12</v>
      </c>
      <c r="AD386" s="401">
        <v>0</v>
      </c>
      <c r="AE386" s="401">
        <v>5</v>
      </c>
      <c r="AF386" s="401">
        <v>5</v>
      </c>
      <c r="AG386" s="401">
        <f t="shared" ref="AG386:AG391" si="2619">ROUNDUP((SUM(AC386:AF386)*0.1),0)</f>
        <v>3</v>
      </c>
      <c r="AH386" s="347">
        <f t="shared" ref="AH386:AH391" si="2620">SUM(AC386:AG386)</f>
        <v>25</v>
      </c>
      <c r="AI386" s="344">
        <f>IF(T386="AIR",'Catalogue Aluminium'!$K$9,IF(T386="TRENCH",'Catalogue Aluminium'!$K$12,"NA"))</f>
        <v>0.89</v>
      </c>
      <c r="AJ386" s="342">
        <f>IF(T386="Air",(IF(U386="1C",'Catalogue Aluminium'!$L$9,'Catalogue Aluminium'!$M$9)),IF(T386="DUCT",(IF($U386="1C",'Catalogue Aluminium'!$L$10,'Catalogue Aluminium'!$M$10)),IF(T386="GROUND",(IF($U386="1C",'Catalogue Aluminium'!$L$11,'Catalogue Aluminium'!$M$11)),IF(T386="TRENCH",(IF($U386="1C",'Catalogue Aluminium'!$L$12,'Catalogue Aluminium'!$M$12))))))</f>
        <v>0.66</v>
      </c>
      <c r="AK386" s="344" t="str">
        <f>IF(T386="Air",'Catalogue Aluminium'!$N$9,IF(T386="GROUND",'Catalogue Aluminium'!$N$10,IF(T386="DUCT",'Catalogue Aluminium'!$N$11,IF(T386="TRENCH",'Catalogue Aluminium'!$N$12,"NA"))))</f>
        <v>NA</v>
      </c>
      <c r="AL386" s="344" t="str">
        <f>IF(T386="Air",(IF(U386="1C",'Catalogue Aluminium'!$O$9,'Catalogue Aluminium'!$P$9)),IF(T386="DUCT",(IF($U386="1C",'Catalogue Aluminium'!$O$10,'Catalogue Aluminium'!$P$10)),IF(T386="GROUND",(IF($U386="1C",'Catalogue Aluminium'!$O$11,'Catalogue Aluminium'!$P$11)),IF(T386="TRENCH",(IF($U386="1C",'Catalogue Aluminium'!$O$12,'Catalogue Aluminium'!$P$12))))))</f>
        <v>NA</v>
      </c>
      <c r="AM386" s="344" t="str">
        <f>IF(T386="AIR","NA",IF(T386="TRENCH","NA",IF(T386="DUCT",IF(U386="1C",VLOOKUP(V386,'Catalogue Aluminium'!$Q$9:$S$28,2,FALSE),VLOOKUP(V386,'Catalogue Aluminium'!$Q$9:$S$28,3)),IF(T386="GROUND",IF(U386="1C",VLOOKUP(V386,'Catalogue Aluminium'!$Q$9:$S$28,2,FALSE),VLOOKUP(V386,'Catalogue Aluminium'!$Q$9:$S$28,3))))))</f>
        <v>NA</v>
      </c>
      <c r="AN386" s="351">
        <f t="shared" ref="AN386:AN391" si="2621">IF(T386="AIR",AI386*AJ386,IF(T386="TRENCH",AI386*AJ386,IF(T386="DUCT",AJ386*AK386*AL386*AM386,IF(T386="GROUND",AJ386*AK386*AL386*AM386))))</f>
        <v>0.58740000000000003</v>
      </c>
      <c r="AO386" s="350">
        <f t="shared" ref="AO386:AO391" si="2622">Z386*AN386</f>
        <v>35.244</v>
      </c>
      <c r="AP386" s="349">
        <f t="shared" ref="AP386:AP392" si="2623">CEILING(((N386)/AO386),1)</f>
        <v>1</v>
      </c>
      <c r="AQ386" s="350" t="str">
        <f t="shared" ref="AQ386:AQ391" si="2624">IF(AO386*AP386&gt;=N386,"YES","NO")</f>
        <v>YES</v>
      </c>
      <c r="AR386" s="351">
        <f t="shared" ref="AR386:AR391" si="2625">SQRT(3)*AH386*N386*((AA386*L386)+(AB386*SIN(ACOS(L386))))*100/(AP386*K386*1000)</f>
        <v>0.328019793719108</v>
      </c>
      <c r="AS386" s="343" t="str">
        <f t="shared" ref="AS386:AS392" si="2626">IF(G386="INCOMER",(IF(AR386&lt;=2,"YES","NO")),IF(G386="POWER",(IF(AR386&lt;=2.5,"YES","NO")),IF(G386="MOTOR",(IF(AR386&lt;=3,"YES","NO")))))</f>
        <v>YES</v>
      </c>
      <c r="AT386" s="351" t="str">
        <f t="shared" ref="AT386:AT392" si="2627">IF(G386="MOTOR",(SQRT(3)*AH386*O386*((AA386*P386)+(AB386*SIN(ACOS(P386))))*100/(AP386*K386*1000)),"NA")</f>
        <v>NA</v>
      </c>
      <c r="AU386" s="343" t="str">
        <f t="shared" ref="AU386:AU392" si="2628">IF(G386="MOTOR",IF(AT386&lt;=15,"YES","NO"),"NA")</f>
        <v>NA</v>
      </c>
      <c r="AV386" s="351" t="str">
        <f t="shared" ref="AV386:AV392" si="2629">IF(U386="1C",CONCATENATE(AP386,"R x ",Y386,"kV x ",U386," x ",V386," Sqmm/Phase"),CONCATENATE(AP386,"R x ",0.6,"/1kV x ",U386," x ",V386," Sqmm"))</f>
        <v>1R x 0.6/1kV x 4C x 10 Sqmm</v>
      </c>
      <c r="AW386" s="351" t="str">
        <f t="shared" ref="AW386:AW392" si="2630">IF(U386="1C",CONCATENATE(AP386,"R x ",Y386,"kV x ",U386," x ",V386," Sqmm/Phase"),CONCATENATE(AP386,"R x ",0.6,"/1kV x ",U386," x ",V386,(IF(G386="MOTOR","+PE",""))," Sqmm"))</f>
        <v>1R x 0.6/1kV x 4C x 10 Sqmm</v>
      </c>
      <c r="AX386" s="343">
        <f t="shared" ref="AX386:AX392" si="2631">(IF(K386=400,(IF(U386="1C",(4*AH386*AP386),(AH386*AP386))),IF(K386=230,(AH386*AP386))))</f>
        <v>25</v>
      </c>
      <c r="AY386" s="343"/>
      <c r="AZ386" s="343">
        <f t="shared" ref="AZ386:AZ392" si="2632">IF(U386="1C",(3*AP386*2),(AP386*2))</f>
        <v>2</v>
      </c>
      <c r="BA386" s="356" t="str">
        <f t="shared" ref="BA386:BA392" si="2633">CONCATENATE(IF(BE386=1,BE$4,""),IF(BF386=1,BF$4,""),IF(BG386=1,BG$4,""),IF(BH386=1,BH$4,""),IF(BI386=1,BI$4,""),IF(BJ386=1,BJ$4,""),IF(BK386=1,BK$4,""),IF(BL386=1,BL$4,""),IF(BM386=1,BM$4,""),IF(BN386=1,BN$4,""),IF(BO386=1,BO$4,""),IF(BP386=1,BP$4,""),IF(BQ386=1,BQ$4,""),IF(BR386=1,BR$4,""),IF(BS386=1,BS$4,""),IF(BT386=1,BT$4,""),IF(BU386=1,BU$4,""),IF(BV386=1,BV$4,""),IF(BW386=1,BW$4,""),IF(BX386=1,BX$4,""),IF(BY386=1,BY$4,""),IF(BZ386=1,BZ$4,""),IF(CA386=1,CA$4,""),IF(CC386=1,CC$4,""),IF(CD386=1,CD$4,""),IF(CE386=1,CE$4,""),IF(CF386=1,CF$4,""),IF(CG386=1,CG$4,""),IF(CH386=1,CH$4,""),IF(CI386=1,CI$4,""),IF(CJ386=1,CJ$4,""),IF(CK386=1,CK$4,""),IF(CL386=1,CL$4,""),IF(CM386=1,CM$4,""),IF(CN386=1,CN$4,""),IF(CO386=1,CO$4,""),IF(CP386=1,CP$4,""),IF(CQ386=1,CQ$4,""),IF(CR386=1,CR$4,""),IF(CS386=1,CS$4,""),IF(CT386=1,CT$4,""),IF(CU386=1,CU$4,""),IF(CV386=1,CV$4,""),IF(CW386=1,CW$4,""),IF(CX386=1,CX$4,""),IF(CY386=1,CY$4,""),IF(CZ386=1,CZ$4,""),IF(DA386=1,DA$4,""),IF(DB386=1,DB$4,""),IF(DC386=1,DC$4,""),IF(DD386=1,DD$4,""),IF(DE386=1,DE$4,""),IF(DF386=1,DF$4,""),IF(DG386=1,DG$4,""),IF(DH386=1,DH$4,""),IF(DI386=1,DI$4,""),IF(DJ386=1,DJ$4,""),IF(DK386=1,DK$4,""),IF(DL386=1,DL$4,""),IF(DM386=1,DM$4,""),IF(DN386=1,DN$4,""),IF(DO386=1,DO$4,""),IF(DP386=1,DP$4,""),IF(DQ386=1,DQ$4,""),IF(DR386=1,DR$4,""),IF(DS386=1,DS$4,""),IF(DT386=1,DT$4,""),IF(DU386=1,DU$4,""))</f>
        <v/>
      </c>
      <c r="BB386" s="328">
        <f>VLOOKUP(W386,'Catalogue Aluminium'!$B$9:$H$93,7,FALSE)</f>
        <v>20</v>
      </c>
      <c r="BC386" s="328">
        <f t="shared" ref="BC386:BC392" si="2634">AP386*BB386</f>
        <v>20</v>
      </c>
      <c r="BE386" s="336"/>
      <c r="BF386" s="336"/>
      <c r="BG386" s="336"/>
      <c r="BH386" s="336"/>
      <c r="BI386" s="336"/>
      <c r="BJ386" s="336"/>
      <c r="BK386" s="336"/>
      <c r="BL386" s="336"/>
      <c r="BM386" s="336"/>
      <c r="BN386" s="336"/>
      <c r="BO386" s="336"/>
      <c r="BP386" s="336"/>
      <c r="BQ386" s="336"/>
      <c r="BR386" s="336"/>
      <c r="BS386" s="336"/>
      <c r="BT386" s="336"/>
      <c r="BU386" s="336"/>
      <c r="BV386" s="336"/>
      <c r="BW386" s="336"/>
      <c r="BX386" s="336"/>
      <c r="BY386" s="336"/>
      <c r="BZ386" s="336"/>
      <c r="CA386" s="336"/>
      <c r="CB386" s="336"/>
      <c r="CC386" s="336"/>
      <c r="CD386" s="336"/>
      <c r="CE386" s="336"/>
      <c r="CF386" s="336"/>
      <c r="CG386" s="336"/>
      <c r="CH386" s="336"/>
      <c r="CI386" s="336"/>
      <c r="CJ386" s="336"/>
      <c r="CK386" s="336"/>
      <c r="CL386" s="336"/>
      <c r="CM386" s="336"/>
      <c r="CN386" s="336"/>
      <c r="CO386" s="336"/>
      <c r="CP386" s="336"/>
      <c r="CQ386" s="336"/>
      <c r="CR386" s="336"/>
      <c r="CS386" s="336"/>
      <c r="CT386" s="336"/>
      <c r="CU386" s="336"/>
      <c r="CV386" s="336"/>
      <c r="CW386" s="336"/>
      <c r="CX386" s="336"/>
      <c r="CY386" s="336"/>
      <c r="CZ386" s="336"/>
      <c r="DA386" s="336"/>
      <c r="DB386" s="336"/>
      <c r="DC386" s="336"/>
      <c r="DD386" s="336"/>
      <c r="DE386" s="336"/>
      <c r="DF386" s="336"/>
      <c r="DG386" s="336"/>
      <c r="DH386" s="336"/>
      <c r="DI386" s="336"/>
      <c r="DJ386" s="336"/>
      <c r="DK386" s="336"/>
      <c r="DL386" s="336"/>
      <c r="DM386" s="336"/>
      <c r="DN386" s="336"/>
      <c r="DO386" s="336"/>
      <c r="DP386" s="336"/>
      <c r="DQ386" s="336"/>
      <c r="DR386" s="336"/>
      <c r="DS386" s="336"/>
      <c r="DT386" s="336"/>
      <c r="DU386" s="336"/>
      <c r="DW386" s="336">
        <f t="shared" si="2591"/>
        <v>0</v>
      </c>
      <c r="DX386" s="336">
        <f t="shared" si="2592"/>
        <v>0</v>
      </c>
      <c r="DY386" s="336">
        <f t="shared" si="2593"/>
        <v>0</v>
      </c>
      <c r="DZ386" s="336">
        <f t="shared" si="2594"/>
        <v>0</v>
      </c>
      <c r="EA386" s="336">
        <f t="shared" si="2595"/>
        <v>0</v>
      </c>
      <c r="EB386" s="336">
        <f t="shared" si="2596"/>
        <v>0</v>
      </c>
      <c r="EC386" s="336">
        <f t="shared" si="2597"/>
        <v>0</v>
      </c>
      <c r="ED386" s="336">
        <f t="shared" si="2515"/>
        <v>0</v>
      </c>
      <c r="EE386" s="336">
        <f t="shared" si="2516"/>
        <v>0</v>
      </c>
      <c r="EF386" s="336">
        <f t="shared" si="2517"/>
        <v>0</v>
      </c>
      <c r="EG386" s="336">
        <f t="shared" si="2518"/>
        <v>0</v>
      </c>
      <c r="EH386" s="336">
        <f t="shared" si="2519"/>
        <v>0</v>
      </c>
      <c r="EI386" s="336">
        <f t="shared" si="2520"/>
        <v>0</v>
      </c>
      <c r="EJ386" s="336">
        <f t="shared" si="2521"/>
        <v>0</v>
      </c>
      <c r="EK386" s="336">
        <f t="shared" si="2522"/>
        <v>0</v>
      </c>
      <c r="EL386" s="336">
        <f t="shared" si="2523"/>
        <v>0</v>
      </c>
      <c r="EM386" s="336">
        <f t="shared" si="2524"/>
        <v>0</v>
      </c>
      <c r="EN386" s="336">
        <f t="shared" si="2525"/>
        <v>0</v>
      </c>
      <c r="EO386" s="336">
        <f t="shared" si="2526"/>
        <v>0</v>
      </c>
      <c r="EP386" s="336">
        <f t="shared" si="2527"/>
        <v>0</v>
      </c>
      <c r="EQ386" s="336">
        <f t="shared" si="2528"/>
        <v>0</v>
      </c>
      <c r="ER386" s="336">
        <f t="shared" si="2529"/>
        <v>0</v>
      </c>
      <c r="ES386" s="336">
        <f t="shared" si="2530"/>
        <v>0</v>
      </c>
      <c r="ET386" s="336">
        <f t="shared" si="2530"/>
        <v>0</v>
      </c>
      <c r="EU386" s="336">
        <f t="shared" si="2531"/>
        <v>0</v>
      </c>
      <c r="EV386" s="336">
        <f t="shared" si="2532"/>
        <v>0</v>
      </c>
      <c r="EW386" s="336">
        <f t="shared" si="2533"/>
        <v>0</v>
      </c>
      <c r="EX386" s="336">
        <f t="shared" si="2534"/>
        <v>0</v>
      </c>
      <c r="EY386" s="336">
        <f t="shared" si="2535"/>
        <v>0</v>
      </c>
      <c r="EZ386" s="336">
        <f t="shared" si="2536"/>
        <v>0</v>
      </c>
      <c r="FA386" s="336">
        <f t="shared" si="2537"/>
        <v>0</v>
      </c>
      <c r="FB386" s="336">
        <f t="shared" si="2538"/>
        <v>0</v>
      </c>
      <c r="FC386" s="336">
        <f t="shared" si="2539"/>
        <v>0</v>
      </c>
      <c r="FD386" s="336">
        <f t="shared" si="2540"/>
        <v>0</v>
      </c>
      <c r="FE386" s="336">
        <f t="shared" si="2541"/>
        <v>0</v>
      </c>
      <c r="FF386" s="336">
        <f t="shared" si="2542"/>
        <v>0</v>
      </c>
      <c r="FG386" s="336">
        <f t="shared" si="2543"/>
        <v>0</v>
      </c>
      <c r="FH386" s="336">
        <f t="shared" si="2544"/>
        <v>0</v>
      </c>
      <c r="FI386" s="336">
        <f t="shared" si="2545"/>
        <v>0</v>
      </c>
      <c r="FJ386" s="336">
        <f t="shared" si="2546"/>
        <v>0</v>
      </c>
      <c r="FK386" s="336">
        <f t="shared" si="2547"/>
        <v>0</v>
      </c>
      <c r="FL386" s="336">
        <f t="shared" si="2548"/>
        <v>0</v>
      </c>
      <c r="FM386" s="336">
        <f t="shared" si="2549"/>
        <v>0</v>
      </c>
      <c r="FN386" s="336">
        <f t="shared" si="2550"/>
        <v>0</v>
      </c>
      <c r="FO386" s="336">
        <f t="shared" si="2551"/>
        <v>0</v>
      </c>
      <c r="FP386" s="336">
        <f t="shared" si="2552"/>
        <v>0</v>
      </c>
      <c r="FQ386" s="336">
        <f t="shared" si="2553"/>
        <v>0</v>
      </c>
      <c r="FR386" s="336">
        <f t="shared" si="2554"/>
        <v>0</v>
      </c>
      <c r="FS386" s="336">
        <f t="shared" si="2555"/>
        <v>0</v>
      </c>
      <c r="FT386" s="336">
        <f t="shared" si="2556"/>
        <v>0</v>
      </c>
      <c r="FU386" s="336">
        <f t="shared" si="2262"/>
        <v>0</v>
      </c>
      <c r="FV386" s="336">
        <f t="shared" si="2263"/>
        <v>0</v>
      </c>
      <c r="FW386" s="336">
        <f t="shared" si="2264"/>
        <v>0</v>
      </c>
      <c r="FX386" s="336">
        <f t="shared" si="2265"/>
        <v>0</v>
      </c>
      <c r="FY386" s="336">
        <f t="shared" si="2557"/>
        <v>0</v>
      </c>
      <c r="FZ386" s="336">
        <f t="shared" si="2558"/>
        <v>0</v>
      </c>
      <c r="GA386" s="336">
        <f t="shared" si="2559"/>
        <v>0</v>
      </c>
      <c r="GB386" s="336">
        <f t="shared" si="2560"/>
        <v>0</v>
      </c>
      <c r="GC386" s="336">
        <f t="shared" si="2561"/>
        <v>0</v>
      </c>
      <c r="GD386" s="336">
        <f t="shared" si="2562"/>
        <v>0</v>
      </c>
      <c r="GE386" s="336">
        <f t="shared" si="2563"/>
        <v>0</v>
      </c>
      <c r="GF386" s="336">
        <f t="shared" si="2564"/>
        <v>0</v>
      </c>
      <c r="GG386" s="336">
        <f t="shared" si="2565"/>
        <v>0</v>
      </c>
      <c r="GH386" s="336">
        <f t="shared" si="2566"/>
        <v>0</v>
      </c>
      <c r="GI386" s="336">
        <f t="shared" si="2567"/>
        <v>0</v>
      </c>
      <c r="GJ386" s="336">
        <f t="shared" si="2568"/>
        <v>0</v>
      </c>
      <c r="GK386" s="336">
        <f t="shared" si="2513"/>
        <v>0</v>
      </c>
      <c r="GL386" s="336">
        <f t="shared" si="2514"/>
        <v>0</v>
      </c>
      <c r="GM386" s="336">
        <f t="shared" si="2569"/>
        <v>0</v>
      </c>
    </row>
    <row r="387" spans="1:195">
      <c r="A387" s="337">
        <f t="shared" ref="A387:A393" si="2635">1+A386</f>
        <v>259</v>
      </c>
      <c r="B387" s="388" t="s">
        <v>835</v>
      </c>
      <c r="C387" s="337" t="s">
        <v>832</v>
      </c>
      <c r="D387" s="338" t="s">
        <v>836</v>
      </c>
      <c r="E387" s="454" t="s">
        <v>555</v>
      </c>
      <c r="F387" s="570"/>
      <c r="G387" s="337" t="s">
        <v>329</v>
      </c>
      <c r="H387" s="418">
        <v>5</v>
      </c>
      <c r="I387" s="337" t="s">
        <v>330</v>
      </c>
      <c r="J387" s="337" t="s">
        <v>331</v>
      </c>
      <c r="K387" s="349">
        <v>400</v>
      </c>
      <c r="L387" s="343">
        <v>0.84999999999999987</v>
      </c>
      <c r="M387" s="350">
        <v>0.95099999999999985</v>
      </c>
      <c r="N387" s="342">
        <f t="shared" si="2613"/>
        <v>8.9281747625212677</v>
      </c>
      <c r="O387" s="342">
        <f t="shared" si="2614"/>
        <v>0</v>
      </c>
      <c r="P387" s="343" t="str">
        <f t="shared" si="2615"/>
        <v>0.00</v>
      </c>
      <c r="Q387" s="350">
        <v>25</v>
      </c>
      <c r="R387" s="350">
        <v>0</v>
      </c>
      <c r="S387" s="350">
        <f t="shared" si="2616"/>
        <v>0</v>
      </c>
      <c r="T387" s="343" t="s">
        <v>332</v>
      </c>
      <c r="U387" s="350" t="s">
        <v>522</v>
      </c>
      <c r="V387" s="343">
        <v>10</v>
      </c>
      <c r="W387" s="343" t="str">
        <f t="shared" si="2617"/>
        <v>4C X 10</v>
      </c>
      <c r="X387" s="343" t="str">
        <f t="shared" si="2618"/>
        <v>4C X 10</v>
      </c>
      <c r="Y387" s="343" t="s">
        <v>358</v>
      </c>
      <c r="Z387" s="344">
        <f>IF(T387="AIR",VLOOKUP(W387,'Catalogue Aluminium'!$B$9:$G$93,2,FALSE),IF(T387="GROUND",VLOOKUP(W387,'Catalogue Aluminium'!$B$9:$G$93,3,FALSE),IF(T387="DUCT",VLOOKUP(W387,'Catalogue Aluminium'!$B$9:$G$93,4,FALSE),IF(T387="TRENCH",VLOOKUP(W387,'Catalogue Aluminium'!$B$9:$G$93,2,FALSE)))))</f>
        <v>60</v>
      </c>
      <c r="AA387" s="345">
        <f>VLOOKUP(W387,'Catalogue Aluminium'!$B$9:$G$93,5,FALSE)</f>
        <v>3.94</v>
      </c>
      <c r="AB387" s="345">
        <f>VLOOKUP(W387,'Catalogue Aluminium'!$B$9:$G$93,6,FALSE)</f>
        <v>8.5199999999999998E-2</v>
      </c>
      <c r="AC387" s="388">
        <v>30</v>
      </c>
      <c r="AD387" s="574">
        <v>26</v>
      </c>
      <c r="AE387" s="401">
        <v>10</v>
      </c>
      <c r="AF387" s="401">
        <v>5</v>
      </c>
      <c r="AG387" s="401">
        <f t="shared" si="2619"/>
        <v>8</v>
      </c>
      <c r="AH387" s="347">
        <f t="shared" si="2620"/>
        <v>79</v>
      </c>
      <c r="AI387" s="344">
        <f>IF(T387="AIR",'Catalogue Aluminium'!$K$9,IF(T387="TRENCH",'Catalogue Aluminium'!$K$12,"NA"))</f>
        <v>0.89</v>
      </c>
      <c r="AJ387" s="342">
        <f>IF(T387="Air",(IF(U387="1C",'Catalogue Aluminium'!$L$9,'Catalogue Aluminium'!$M$9)),IF(T387="DUCT",(IF($U387="1C",'Catalogue Aluminium'!$L$10,'Catalogue Aluminium'!$M$10)),IF(T387="GROUND",(IF($U387="1C",'Catalogue Aluminium'!$L$11,'Catalogue Aluminium'!$M$11)),IF(T387="TRENCH",(IF($U387="1C",'Catalogue Aluminium'!$L$12,'Catalogue Aluminium'!$M$12))))))</f>
        <v>0.66</v>
      </c>
      <c r="AK387" s="344" t="str">
        <f>IF(T387="Air",'Catalogue Aluminium'!$N$9,IF(T387="GROUND",'Catalogue Aluminium'!$N$10,IF(T387="DUCT",'Catalogue Aluminium'!$N$11,IF(T387="TRENCH",'Catalogue Aluminium'!$N$12,"NA"))))</f>
        <v>NA</v>
      </c>
      <c r="AL387" s="344" t="str">
        <f>IF(T387="Air",(IF(U387="1C",'Catalogue Aluminium'!$O$9,'Catalogue Aluminium'!$P$9)),IF(T387="DUCT",(IF($U387="1C",'Catalogue Aluminium'!$O$10,'Catalogue Aluminium'!$P$10)),IF(T387="GROUND",(IF($U387="1C",'Catalogue Aluminium'!$O$11,'Catalogue Aluminium'!$P$11)),IF(T387="TRENCH",(IF($U387="1C",'Catalogue Aluminium'!$O$12,'Catalogue Aluminium'!$P$12))))))</f>
        <v>NA</v>
      </c>
      <c r="AM387" s="344" t="str">
        <f>IF(T387="AIR","NA",IF(T387="TRENCH","NA",IF(T387="DUCT",IF(U387="1C",VLOOKUP(V387,'Catalogue Aluminium'!$Q$9:$S$28,2,FALSE),VLOOKUP(V387,'Catalogue Aluminium'!$Q$9:$S$28,3)),IF(T387="GROUND",IF(U387="1C",VLOOKUP(V387,'Catalogue Aluminium'!$Q$9:$S$28,2,FALSE),VLOOKUP(V387,'Catalogue Aluminium'!$Q$9:$S$28,3))))))</f>
        <v>NA</v>
      </c>
      <c r="AN387" s="351">
        <f t="shared" si="2621"/>
        <v>0.58740000000000003</v>
      </c>
      <c r="AO387" s="350">
        <f t="shared" si="2622"/>
        <v>35.244</v>
      </c>
      <c r="AP387" s="349">
        <f t="shared" si="2623"/>
        <v>1</v>
      </c>
      <c r="AQ387" s="350" t="str">
        <f t="shared" si="2624"/>
        <v>YES</v>
      </c>
      <c r="AR387" s="351">
        <f t="shared" si="2625"/>
        <v>1.0365425481523811</v>
      </c>
      <c r="AS387" s="343" t="str">
        <f t="shared" si="2626"/>
        <v>YES</v>
      </c>
      <c r="AT387" s="351" t="str">
        <f t="shared" si="2627"/>
        <v>NA</v>
      </c>
      <c r="AU387" s="343" t="str">
        <f t="shared" si="2628"/>
        <v>NA</v>
      </c>
      <c r="AV387" s="351" t="str">
        <f t="shared" si="2629"/>
        <v>1R x 0.6/1kV x 4C x 10 Sqmm</v>
      </c>
      <c r="AW387" s="351" t="str">
        <f t="shared" si="2630"/>
        <v>1R x 0.6/1kV x 4C x 10 Sqmm</v>
      </c>
      <c r="AX387" s="343">
        <f t="shared" si="2631"/>
        <v>79</v>
      </c>
      <c r="AY387" s="343"/>
      <c r="AZ387" s="343">
        <f t="shared" si="2632"/>
        <v>2</v>
      </c>
      <c r="BA387" s="356" t="str">
        <f t="shared" ref="BA387:BA391" si="2636">CONCATENATE(IF(BE387=1,BE$4,""),IF(BF387=1,BF$4,""),IF(BG387=1,BG$4,""),IF(BH387=1,BH$4,""),IF(BI387=1,BI$4,""),IF(BJ387=1,BJ$4,""),IF(BK387=1,BK$4,""),IF(BL387=1,BL$4,""),IF(BM387=1,BM$4,""),IF(BN387=1,BN$4,""),IF(BO387=1,BO$4,""),IF(BP387=1,BP$4,""),IF(BQ387=1,BQ$4,""),IF(BR387=1,BR$4,""),IF(BS387=1,BS$4,""),IF(BT387=1,BT$4,""),IF(BU387=1,BU$4,""),IF(BV387=1,BV$4,""),IF(BW387=1,BW$4,""),IF(BX387=1,BX$4,""),IF(BY387=1,BY$4,""),IF(BZ387=1,BZ$4,""),IF(CA387=1,CA$4,""),IF(CB387=1,CB$4,""),IF(CC387=1,CC$4,""),IF(CD387=1,CD$4,""),IF(CE387=1,CE$4,""),IF(CF387=1,CF$4,""),IF(CG387=1,CG$4,""),IF(CH387=1,CH$4,""),IF(CI387=1,CI$4,""),IF(CJ387=1,CJ$4,""),IF(CK387=1,CK$4,""),IF(CL387=1,CL$4,""),IF(CM387=1,CM$4,""),IF(CN387=1,CN$4,""),IF(CO387=1,CO$4,""),IF(CP387=1,CP$4,""),IF(CQ387=1,CQ$4,""),IF(CR387=1,CR$4,""),IF(CS387=1,CS$4,""),IF(CT387=1,CT$4,""),IF(CU387=1,CU$4,""),IF(CV387=1,CV$4,""),IF(CW387=1,CW$4,""),IF(CX387=1,CX$4,""),IF(CY387=1,CY$4,""),IF(CZ387=1,CZ$4,""),IF(DA387=1,DA$4,""),IF(DB387=1,DB$4,""),IF(DC387=1,DC$4,""),IF(DD387=1,DD$4,""),IF(DE387=1,DE$4,""),IF(DF387=1,DF$4,""),IF(DG387=1,DG$4,""),IF(DH387=1,DH$4,""),IF(DI387=1,DI$4,""),IF(DJ387=1,DJ$4,""),IF(DK387=1,DK$4,""),IF(DL387=1,DL$4,""),IF(DM387=1,DM$4,""),IF(DN387=1,DN$4,""),IF(DO387=1,DO$4,""),IF(DP387=1,DP$4,""),IF(DQ387=1,DQ$4,""),IF(DR387=1,DR$4,""),IF(DS387=1,DS$4,""),IF(DT387=1,DT$4,""),IF(DU387=1,DU$4,""))</f>
        <v>A1</v>
      </c>
      <c r="BB387" s="328">
        <f>VLOOKUP(W387,'Catalogue Aluminium'!$B$9:$H$93,7,FALSE)</f>
        <v>20</v>
      </c>
      <c r="BC387" s="328">
        <f t="shared" si="2634"/>
        <v>20</v>
      </c>
      <c r="BE387" s="336">
        <v>1</v>
      </c>
      <c r="BF387" s="336"/>
      <c r="BG387" s="336"/>
      <c r="BH387" s="336"/>
      <c r="BI387" s="336"/>
      <c r="BJ387" s="336"/>
      <c r="BK387" s="336"/>
      <c r="BL387" s="336"/>
      <c r="BM387" s="336"/>
      <c r="BN387" s="336"/>
      <c r="BO387" s="336"/>
      <c r="BP387" s="336"/>
      <c r="BQ387" s="336"/>
      <c r="BR387" s="336"/>
      <c r="BS387" s="336"/>
      <c r="BT387" s="336"/>
      <c r="BU387" s="336"/>
      <c r="BV387" s="336"/>
      <c r="BW387" s="336"/>
      <c r="BX387" s="336"/>
      <c r="BY387" s="336"/>
      <c r="BZ387" s="336"/>
      <c r="CA387" s="336"/>
      <c r="CB387" s="336"/>
      <c r="CC387" s="336"/>
      <c r="CD387" s="336"/>
      <c r="CE387" s="336"/>
      <c r="CF387" s="336"/>
      <c r="CG387" s="336"/>
      <c r="CH387" s="336"/>
      <c r="CI387" s="336"/>
      <c r="CJ387" s="336"/>
      <c r="CK387" s="336"/>
      <c r="CL387" s="336"/>
      <c r="CM387" s="336"/>
      <c r="CN387" s="336"/>
      <c r="CO387" s="336"/>
      <c r="CP387" s="336"/>
      <c r="CQ387" s="336"/>
      <c r="CR387" s="336"/>
      <c r="CS387" s="336"/>
      <c r="CT387" s="336"/>
      <c r="CU387" s="336"/>
      <c r="CV387" s="336"/>
      <c r="CW387" s="336"/>
      <c r="CX387" s="336"/>
      <c r="CY387" s="336"/>
      <c r="CZ387" s="336"/>
      <c r="DA387" s="336"/>
      <c r="DB387" s="336"/>
      <c r="DC387" s="336"/>
      <c r="DD387" s="336"/>
      <c r="DE387" s="336"/>
      <c r="DF387" s="336"/>
      <c r="DG387" s="336"/>
      <c r="DH387" s="336"/>
      <c r="DI387" s="336"/>
      <c r="DJ387" s="336"/>
      <c r="DK387" s="336"/>
      <c r="DL387" s="336"/>
      <c r="DM387" s="336"/>
      <c r="DN387" s="336"/>
      <c r="DO387" s="336"/>
      <c r="DP387" s="336"/>
      <c r="DQ387" s="336"/>
      <c r="DR387" s="336"/>
      <c r="DS387" s="336"/>
      <c r="DT387" s="336"/>
      <c r="DU387" s="336"/>
      <c r="DW387" s="336">
        <f t="shared" si="2591"/>
        <v>20</v>
      </c>
      <c r="DX387" s="336">
        <f t="shared" si="2592"/>
        <v>0</v>
      </c>
      <c r="DY387" s="336">
        <f t="shared" si="2593"/>
        <v>0</v>
      </c>
      <c r="DZ387" s="336">
        <f t="shared" si="2594"/>
        <v>0</v>
      </c>
      <c r="EA387" s="336">
        <f t="shared" si="2595"/>
        <v>0</v>
      </c>
      <c r="EB387" s="336">
        <f t="shared" si="2596"/>
        <v>0</v>
      </c>
      <c r="EC387" s="336">
        <f t="shared" si="2597"/>
        <v>0</v>
      </c>
      <c r="ED387" s="336">
        <f t="shared" si="2515"/>
        <v>0</v>
      </c>
      <c r="EE387" s="336">
        <f t="shared" si="2516"/>
        <v>0</v>
      </c>
      <c r="EF387" s="336">
        <f t="shared" si="2517"/>
        <v>0</v>
      </c>
      <c r="EG387" s="336">
        <f t="shared" si="2518"/>
        <v>0</v>
      </c>
      <c r="EH387" s="336">
        <f t="shared" si="2519"/>
        <v>0</v>
      </c>
      <c r="EI387" s="336">
        <f t="shared" si="2520"/>
        <v>0</v>
      </c>
      <c r="EJ387" s="336">
        <f t="shared" si="2521"/>
        <v>0</v>
      </c>
      <c r="EK387" s="336">
        <f t="shared" si="2522"/>
        <v>0</v>
      </c>
      <c r="EL387" s="336">
        <f t="shared" si="2523"/>
        <v>0</v>
      </c>
      <c r="EM387" s="336">
        <f t="shared" si="2524"/>
        <v>0</v>
      </c>
      <c r="EN387" s="336">
        <f t="shared" si="2525"/>
        <v>0</v>
      </c>
      <c r="EO387" s="336">
        <f t="shared" si="2526"/>
        <v>0</v>
      </c>
      <c r="EP387" s="336">
        <f t="shared" si="2527"/>
        <v>0</v>
      </c>
      <c r="EQ387" s="336">
        <f t="shared" si="2528"/>
        <v>0</v>
      </c>
      <c r="ER387" s="336">
        <f t="shared" si="2529"/>
        <v>0</v>
      </c>
      <c r="ES387" s="336">
        <f t="shared" si="2530"/>
        <v>0</v>
      </c>
      <c r="ET387" s="336">
        <f t="shared" si="2530"/>
        <v>0</v>
      </c>
      <c r="EU387" s="336">
        <f t="shared" si="2531"/>
        <v>0</v>
      </c>
      <c r="EV387" s="336">
        <f t="shared" si="2532"/>
        <v>0</v>
      </c>
      <c r="EW387" s="336">
        <f t="shared" si="2533"/>
        <v>0</v>
      </c>
      <c r="EX387" s="336">
        <f t="shared" si="2534"/>
        <v>0</v>
      </c>
      <c r="EY387" s="336">
        <f t="shared" si="2535"/>
        <v>0</v>
      </c>
      <c r="EZ387" s="336">
        <f t="shared" si="2536"/>
        <v>0</v>
      </c>
      <c r="FA387" s="336">
        <f t="shared" si="2537"/>
        <v>0</v>
      </c>
      <c r="FB387" s="336">
        <f t="shared" si="2538"/>
        <v>0</v>
      </c>
      <c r="FC387" s="336">
        <f t="shared" si="2539"/>
        <v>0</v>
      </c>
      <c r="FD387" s="336">
        <f t="shared" si="2540"/>
        <v>0</v>
      </c>
      <c r="FE387" s="336">
        <f t="shared" si="2541"/>
        <v>0</v>
      </c>
      <c r="FF387" s="336">
        <f t="shared" si="2542"/>
        <v>0</v>
      </c>
      <c r="FG387" s="336">
        <f t="shared" si="2543"/>
        <v>0</v>
      </c>
      <c r="FH387" s="336">
        <f t="shared" si="2544"/>
        <v>0</v>
      </c>
      <c r="FI387" s="336">
        <f t="shared" si="2545"/>
        <v>0</v>
      </c>
      <c r="FJ387" s="336">
        <f t="shared" si="2546"/>
        <v>0</v>
      </c>
      <c r="FK387" s="336">
        <f t="shared" si="2547"/>
        <v>0</v>
      </c>
      <c r="FL387" s="336">
        <f t="shared" si="2548"/>
        <v>0</v>
      </c>
      <c r="FM387" s="336">
        <f t="shared" si="2549"/>
        <v>0</v>
      </c>
      <c r="FN387" s="336">
        <f t="shared" si="2550"/>
        <v>0</v>
      </c>
      <c r="FO387" s="336">
        <f t="shared" si="2551"/>
        <v>0</v>
      </c>
      <c r="FP387" s="336">
        <f t="shared" si="2552"/>
        <v>0</v>
      </c>
      <c r="FQ387" s="336">
        <f t="shared" si="2553"/>
        <v>0</v>
      </c>
      <c r="FR387" s="336">
        <f t="shared" si="2554"/>
        <v>0</v>
      </c>
      <c r="FS387" s="336">
        <f t="shared" si="2555"/>
        <v>0</v>
      </c>
      <c r="FT387" s="336">
        <f t="shared" si="2556"/>
        <v>0</v>
      </c>
      <c r="FU387" s="336">
        <f t="shared" si="2262"/>
        <v>0</v>
      </c>
      <c r="FV387" s="336">
        <f t="shared" si="2263"/>
        <v>0</v>
      </c>
      <c r="FW387" s="336">
        <f t="shared" si="2264"/>
        <v>0</v>
      </c>
      <c r="FX387" s="336">
        <f t="shared" si="2265"/>
        <v>0</v>
      </c>
      <c r="FY387" s="336">
        <f t="shared" si="2557"/>
        <v>0</v>
      </c>
      <c r="FZ387" s="336">
        <f t="shared" si="2558"/>
        <v>0</v>
      </c>
      <c r="GA387" s="336">
        <f t="shared" si="2559"/>
        <v>0</v>
      </c>
      <c r="GB387" s="336">
        <f t="shared" si="2560"/>
        <v>0</v>
      </c>
      <c r="GC387" s="336">
        <f t="shared" si="2561"/>
        <v>0</v>
      </c>
      <c r="GD387" s="336">
        <f t="shared" si="2562"/>
        <v>0</v>
      </c>
      <c r="GE387" s="336">
        <f t="shared" si="2563"/>
        <v>0</v>
      </c>
      <c r="GF387" s="336">
        <f t="shared" si="2564"/>
        <v>0</v>
      </c>
      <c r="GG387" s="336">
        <f t="shared" si="2565"/>
        <v>0</v>
      </c>
      <c r="GH387" s="336">
        <f t="shared" si="2566"/>
        <v>0</v>
      </c>
      <c r="GI387" s="336">
        <f t="shared" si="2567"/>
        <v>0</v>
      </c>
      <c r="GJ387" s="336">
        <f t="shared" si="2568"/>
        <v>0</v>
      </c>
      <c r="GK387" s="336">
        <f t="shared" si="2513"/>
        <v>0</v>
      </c>
      <c r="GL387" s="336">
        <f t="shared" si="2514"/>
        <v>0</v>
      </c>
      <c r="GM387" s="336">
        <f t="shared" si="2569"/>
        <v>0</v>
      </c>
    </row>
    <row r="388" spans="1:195">
      <c r="A388" s="337">
        <f t="shared" si="2635"/>
        <v>260</v>
      </c>
      <c r="B388" s="388" t="s">
        <v>837</v>
      </c>
      <c r="C388" s="337" t="s">
        <v>838</v>
      </c>
      <c r="D388" s="338" t="s">
        <v>839</v>
      </c>
      <c r="E388" s="502" t="s">
        <v>807</v>
      </c>
      <c r="F388" s="756"/>
      <c r="G388" s="337" t="s">
        <v>329</v>
      </c>
      <c r="H388" s="418">
        <v>5</v>
      </c>
      <c r="I388" s="337" t="s">
        <v>330</v>
      </c>
      <c r="J388" s="337" t="s">
        <v>331</v>
      </c>
      <c r="K388" s="349">
        <v>400</v>
      </c>
      <c r="L388" s="343">
        <v>0.84999999999999987</v>
      </c>
      <c r="M388" s="350">
        <v>0.95099999999999985</v>
      </c>
      <c r="N388" s="342">
        <f t="shared" si="2613"/>
        <v>8.9281747625212677</v>
      </c>
      <c r="O388" s="342">
        <f t="shared" si="2614"/>
        <v>0</v>
      </c>
      <c r="P388" s="343" t="str">
        <f t="shared" si="2615"/>
        <v>0.00</v>
      </c>
      <c r="Q388" s="350">
        <v>25</v>
      </c>
      <c r="R388" s="350">
        <v>0</v>
      </c>
      <c r="S388" s="350">
        <f t="shared" si="2616"/>
        <v>0</v>
      </c>
      <c r="T388" s="343" t="s">
        <v>131</v>
      </c>
      <c r="U388" s="350" t="s">
        <v>522</v>
      </c>
      <c r="V388" s="343">
        <v>10</v>
      </c>
      <c r="W388" s="343" t="str">
        <f t="shared" si="2617"/>
        <v>4C X 10</v>
      </c>
      <c r="X388" s="343" t="str">
        <f t="shared" si="2618"/>
        <v>4C X 10</v>
      </c>
      <c r="Y388" s="343" t="s">
        <v>358</v>
      </c>
      <c r="Z388" s="344">
        <f>IF(T388="AIR",VLOOKUP(W388,'Catalogue Aluminium'!$B$9:$G$93,2,FALSE),IF(T388="GROUND",VLOOKUP(W388,'Catalogue Aluminium'!$B$9:$G$93,3,FALSE),IF(T388="DUCT",VLOOKUP(W388,'Catalogue Aluminium'!$B$9:$G$93,4,FALSE),IF(T388="TRENCH",VLOOKUP(W388,'Catalogue Aluminium'!$B$9:$G$93,2,FALSE)))))</f>
        <v>60</v>
      </c>
      <c r="AA388" s="345">
        <f>VLOOKUP(W388,'Catalogue Aluminium'!$B$9:$G$93,5,FALSE)</f>
        <v>3.94</v>
      </c>
      <c r="AB388" s="345">
        <f>VLOOKUP(W388,'Catalogue Aluminium'!$B$9:$G$93,6,FALSE)</f>
        <v>8.5199999999999998E-2</v>
      </c>
      <c r="AC388" s="388">
        <v>36</v>
      </c>
      <c r="AD388" s="401">
        <v>96</v>
      </c>
      <c r="AE388" s="401">
        <f>11+8+3</f>
        <v>22</v>
      </c>
      <c r="AF388" s="401">
        <f t="shared" ref="AF388:AF389" si="2637">5+5</f>
        <v>10</v>
      </c>
      <c r="AG388" s="401">
        <f t="shared" si="2619"/>
        <v>17</v>
      </c>
      <c r="AH388" s="347">
        <f t="shared" si="2620"/>
        <v>181</v>
      </c>
      <c r="AI388" s="344">
        <f>IF(T388="AIR",'Catalogue Aluminium'!$K$9,IF(T388="TRENCH",'Catalogue Aluminium'!$K$12,"NA"))</f>
        <v>0.89</v>
      </c>
      <c r="AJ388" s="342">
        <f>IF(T388="Air",(IF(U388="1C",'Catalogue Aluminium'!$L$9,'Catalogue Aluminium'!$M$9)),IF(T388="DUCT",(IF($U388="1C",'Catalogue Aluminium'!$L$10,'Catalogue Aluminium'!$M$10)),IF(T388="GROUND",(IF($U388="1C",'Catalogue Aluminium'!$L$11,'Catalogue Aluminium'!$M$11)),IF(T388="TRENCH",(IF($U388="1C",'Catalogue Aluminium'!$L$12,'Catalogue Aluminium'!$M$12))))))</f>
        <v>0.66</v>
      </c>
      <c r="AK388" s="344" t="str">
        <f>IF(T388="Air",'Catalogue Aluminium'!$N$9,IF(T388="GROUND",'Catalogue Aluminium'!$N$10,IF(T388="DUCT",'Catalogue Aluminium'!$N$11,IF(T388="TRENCH",'Catalogue Aluminium'!$N$12,"NA"))))</f>
        <v>NA</v>
      </c>
      <c r="AL388" s="344" t="str">
        <f>IF(T388="Air",(IF(U388="1C",'Catalogue Aluminium'!$O$9,'Catalogue Aluminium'!$P$9)),IF(T388="DUCT",(IF($U388="1C",'Catalogue Aluminium'!$O$10,'Catalogue Aluminium'!$P$10)),IF(T388="GROUND",(IF($U388="1C",'Catalogue Aluminium'!$O$11,'Catalogue Aluminium'!$P$11)),IF(T388="TRENCH",(IF($U388="1C",'Catalogue Aluminium'!$O$12,'Catalogue Aluminium'!$P$12))))))</f>
        <v>NA</v>
      </c>
      <c r="AM388" s="344" t="str">
        <f>IF(T388="AIR","NA",IF(T388="TRENCH","NA",IF(T388="DUCT",IF(U388="1C",VLOOKUP(V388,'Catalogue Aluminium'!$Q$9:$S$28,2,FALSE),VLOOKUP(V388,'Catalogue Aluminium'!$Q$9:$S$28,3)),IF(T388="GROUND",IF(U388="1C",VLOOKUP(V388,'Catalogue Aluminium'!$Q$9:$S$28,2,FALSE),VLOOKUP(V388,'Catalogue Aluminium'!$Q$9:$S$28,3))))))</f>
        <v>NA</v>
      </c>
      <c r="AN388" s="351">
        <f t="shared" si="2621"/>
        <v>0.58740000000000003</v>
      </c>
      <c r="AO388" s="350">
        <f t="shared" si="2622"/>
        <v>35.244</v>
      </c>
      <c r="AP388" s="349">
        <f t="shared" si="2623"/>
        <v>1</v>
      </c>
      <c r="AQ388" s="350" t="str">
        <f t="shared" si="2624"/>
        <v>YES</v>
      </c>
      <c r="AR388" s="351">
        <f t="shared" si="2625"/>
        <v>2.3748633065263411</v>
      </c>
      <c r="AS388" s="343" t="str">
        <f t="shared" si="2626"/>
        <v>YES</v>
      </c>
      <c r="AT388" s="351" t="str">
        <f t="shared" si="2627"/>
        <v>NA</v>
      </c>
      <c r="AU388" s="343" t="str">
        <f t="shared" si="2628"/>
        <v>NA</v>
      </c>
      <c r="AV388" s="351" t="str">
        <f t="shared" si="2629"/>
        <v>1R x 0.6/1kV x 4C x 10 Sqmm</v>
      </c>
      <c r="AW388" s="351" t="str">
        <f t="shared" si="2630"/>
        <v>1R x 0.6/1kV x 4C x 10 Sqmm</v>
      </c>
      <c r="AX388" s="343">
        <f t="shared" si="2631"/>
        <v>181</v>
      </c>
      <c r="AY388" s="343"/>
      <c r="AZ388" s="343">
        <f t="shared" si="2632"/>
        <v>2</v>
      </c>
      <c r="BA388" s="356" t="str">
        <f t="shared" si="2636"/>
        <v>ACDD1</v>
      </c>
      <c r="BB388" s="328">
        <f>VLOOKUP(W388,'Catalogue Aluminium'!$B$9:$H$93,7,FALSE)</f>
        <v>20</v>
      </c>
      <c r="BC388" s="328">
        <f t="shared" si="2634"/>
        <v>20</v>
      </c>
      <c r="BE388" s="336"/>
      <c r="BF388" s="336">
        <v>1</v>
      </c>
      <c r="BG388" s="336"/>
      <c r="BH388" s="336"/>
      <c r="BI388" s="336">
        <v>1</v>
      </c>
      <c r="BJ388" s="336">
        <v>1</v>
      </c>
      <c r="BK388" s="336">
        <v>1</v>
      </c>
      <c r="BL388" s="336"/>
      <c r="BM388" s="336"/>
      <c r="BN388" s="336"/>
      <c r="BO388" s="336"/>
      <c r="BP388" s="336"/>
      <c r="BQ388" s="336"/>
      <c r="BR388" s="336"/>
      <c r="BS388" s="336"/>
      <c r="BT388" s="336"/>
      <c r="BU388" s="336"/>
      <c r="BV388" s="336"/>
      <c r="BW388" s="336"/>
      <c r="BX388" s="336"/>
      <c r="BY388" s="336"/>
      <c r="BZ388" s="336"/>
      <c r="CA388" s="336"/>
      <c r="CB388" s="336"/>
      <c r="CC388" s="336"/>
      <c r="CD388" s="336"/>
      <c r="CE388" s="336"/>
      <c r="CF388" s="336"/>
      <c r="CG388" s="336"/>
      <c r="CH388" s="336"/>
      <c r="CI388" s="336"/>
      <c r="CJ388" s="336"/>
      <c r="CK388" s="336"/>
      <c r="CL388" s="336"/>
      <c r="CM388" s="336"/>
      <c r="CN388" s="336"/>
      <c r="CO388" s="336"/>
      <c r="CP388" s="336"/>
      <c r="CQ388" s="336"/>
      <c r="CR388" s="336"/>
      <c r="CS388" s="336"/>
      <c r="CT388" s="336"/>
      <c r="CU388" s="336"/>
      <c r="CV388" s="336"/>
      <c r="CW388" s="336"/>
      <c r="CX388" s="336"/>
      <c r="CY388" s="336"/>
      <c r="CZ388" s="336"/>
      <c r="DA388" s="336"/>
      <c r="DB388" s="336"/>
      <c r="DC388" s="336"/>
      <c r="DD388" s="336"/>
      <c r="DE388" s="336"/>
      <c r="DF388" s="336"/>
      <c r="DG388" s="336"/>
      <c r="DH388" s="336"/>
      <c r="DI388" s="336"/>
      <c r="DJ388" s="336"/>
      <c r="DK388" s="336"/>
      <c r="DL388" s="336"/>
      <c r="DM388" s="336"/>
      <c r="DN388" s="336"/>
      <c r="DO388" s="336"/>
      <c r="DP388" s="336"/>
      <c r="DQ388" s="336"/>
      <c r="DR388" s="336"/>
      <c r="DS388" s="336"/>
      <c r="DT388" s="336"/>
      <c r="DU388" s="336"/>
      <c r="DW388" s="336">
        <f t="shared" si="2591"/>
        <v>0</v>
      </c>
      <c r="DX388" s="336">
        <f t="shared" si="2592"/>
        <v>20</v>
      </c>
      <c r="DY388" s="336">
        <f t="shared" si="2593"/>
        <v>0</v>
      </c>
      <c r="DZ388" s="336">
        <f t="shared" si="2594"/>
        <v>0</v>
      </c>
      <c r="EA388" s="336">
        <f t="shared" si="2595"/>
        <v>20</v>
      </c>
      <c r="EB388" s="336">
        <f t="shared" si="2596"/>
        <v>20</v>
      </c>
      <c r="EC388" s="336">
        <f t="shared" si="2597"/>
        <v>20</v>
      </c>
      <c r="ED388" s="336">
        <f t="shared" si="2515"/>
        <v>0</v>
      </c>
      <c r="EE388" s="336">
        <f t="shared" si="2516"/>
        <v>0</v>
      </c>
      <c r="EF388" s="336">
        <f t="shared" si="2517"/>
        <v>0</v>
      </c>
      <c r="EG388" s="336">
        <f t="shared" si="2518"/>
        <v>0</v>
      </c>
      <c r="EH388" s="336">
        <f t="shared" si="2519"/>
        <v>0</v>
      </c>
      <c r="EI388" s="336">
        <f t="shared" si="2520"/>
        <v>0</v>
      </c>
      <c r="EJ388" s="336">
        <f t="shared" si="2521"/>
        <v>0</v>
      </c>
      <c r="EK388" s="336">
        <f t="shared" si="2522"/>
        <v>0</v>
      </c>
      <c r="EL388" s="336">
        <f t="shared" si="2523"/>
        <v>0</v>
      </c>
      <c r="EM388" s="336">
        <f t="shared" si="2524"/>
        <v>0</v>
      </c>
      <c r="EN388" s="336">
        <f t="shared" si="2525"/>
        <v>0</v>
      </c>
      <c r="EO388" s="336">
        <f t="shared" si="2526"/>
        <v>0</v>
      </c>
      <c r="EP388" s="336">
        <f t="shared" si="2527"/>
        <v>0</v>
      </c>
      <c r="EQ388" s="336">
        <f t="shared" si="2528"/>
        <v>0</v>
      </c>
      <c r="ER388" s="336">
        <f t="shared" si="2529"/>
        <v>0</v>
      </c>
      <c r="ES388" s="336">
        <f t="shared" si="2530"/>
        <v>0</v>
      </c>
      <c r="ET388" s="336">
        <f t="shared" si="2530"/>
        <v>0</v>
      </c>
      <c r="EU388" s="336">
        <f t="shared" si="2531"/>
        <v>0</v>
      </c>
      <c r="EV388" s="336">
        <f t="shared" si="2532"/>
        <v>0</v>
      </c>
      <c r="EW388" s="336">
        <f t="shared" si="2533"/>
        <v>0</v>
      </c>
      <c r="EX388" s="336">
        <f t="shared" si="2534"/>
        <v>0</v>
      </c>
      <c r="EY388" s="336">
        <f t="shared" si="2535"/>
        <v>0</v>
      </c>
      <c r="EZ388" s="336">
        <f t="shared" si="2536"/>
        <v>0</v>
      </c>
      <c r="FA388" s="336">
        <f t="shared" si="2537"/>
        <v>0</v>
      </c>
      <c r="FB388" s="336">
        <f t="shared" si="2538"/>
        <v>0</v>
      </c>
      <c r="FC388" s="336">
        <f t="shared" si="2539"/>
        <v>0</v>
      </c>
      <c r="FD388" s="336">
        <f t="shared" si="2540"/>
        <v>0</v>
      </c>
      <c r="FE388" s="336">
        <f t="shared" si="2541"/>
        <v>0</v>
      </c>
      <c r="FF388" s="336">
        <f t="shared" si="2542"/>
        <v>0</v>
      </c>
      <c r="FG388" s="336">
        <f t="shared" si="2543"/>
        <v>0</v>
      </c>
      <c r="FH388" s="336">
        <f t="shared" si="2544"/>
        <v>0</v>
      </c>
      <c r="FI388" s="336">
        <f t="shared" si="2545"/>
        <v>0</v>
      </c>
      <c r="FJ388" s="336">
        <f t="shared" si="2546"/>
        <v>0</v>
      </c>
      <c r="FK388" s="336">
        <f t="shared" si="2547"/>
        <v>0</v>
      </c>
      <c r="FL388" s="336">
        <f t="shared" si="2548"/>
        <v>0</v>
      </c>
      <c r="FM388" s="336">
        <f t="shared" si="2549"/>
        <v>0</v>
      </c>
      <c r="FN388" s="336">
        <f t="shared" si="2550"/>
        <v>0</v>
      </c>
      <c r="FO388" s="336">
        <f t="shared" si="2551"/>
        <v>0</v>
      </c>
      <c r="FP388" s="336">
        <f t="shared" si="2552"/>
        <v>0</v>
      </c>
      <c r="FQ388" s="336">
        <f t="shared" si="2553"/>
        <v>0</v>
      </c>
      <c r="FR388" s="336">
        <f t="shared" si="2554"/>
        <v>0</v>
      </c>
      <c r="FS388" s="336">
        <f t="shared" si="2555"/>
        <v>0</v>
      </c>
      <c r="FT388" s="336">
        <f t="shared" si="2556"/>
        <v>0</v>
      </c>
      <c r="FU388" s="336">
        <f t="shared" ref="FU388:FU436" si="2638">IF(DC388=1,($BC388*DC388),0)</f>
        <v>0</v>
      </c>
      <c r="FV388" s="336">
        <f t="shared" ref="FV388:FV436" si="2639">IF(DD388=1,($BC388*DD388),0)</f>
        <v>0</v>
      </c>
      <c r="FW388" s="336">
        <f t="shared" ref="FW388:FW436" si="2640">IF(DE388=1,($BC388*DE388),0)</f>
        <v>0</v>
      </c>
      <c r="FX388" s="336">
        <f t="shared" ref="FX388:FX436" si="2641">IF(DF388=1,($BC388*DF388),0)</f>
        <v>0</v>
      </c>
      <c r="FY388" s="336">
        <f t="shared" si="2557"/>
        <v>0</v>
      </c>
      <c r="FZ388" s="336">
        <f t="shared" si="2558"/>
        <v>0</v>
      </c>
      <c r="GA388" s="336">
        <f t="shared" si="2559"/>
        <v>0</v>
      </c>
      <c r="GB388" s="336">
        <f t="shared" si="2560"/>
        <v>0</v>
      </c>
      <c r="GC388" s="336">
        <f t="shared" si="2561"/>
        <v>0</v>
      </c>
      <c r="GD388" s="336">
        <f t="shared" si="2562"/>
        <v>0</v>
      </c>
      <c r="GE388" s="336">
        <f t="shared" si="2563"/>
        <v>0</v>
      </c>
      <c r="GF388" s="336">
        <f t="shared" si="2564"/>
        <v>0</v>
      </c>
      <c r="GG388" s="336">
        <f t="shared" si="2565"/>
        <v>0</v>
      </c>
      <c r="GH388" s="336">
        <f t="shared" si="2566"/>
        <v>0</v>
      </c>
      <c r="GI388" s="336">
        <f t="shared" si="2567"/>
        <v>0</v>
      </c>
      <c r="GJ388" s="336">
        <f t="shared" si="2568"/>
        <v>0</v>
      </c>
      <c r="GK388" s="336">
        <f t="shared" si="2513"/>
        <v>0</v>
      </c>
      <c r="GL388" s="336">
        <f t="shared" ref="GL388:GL419" si="2642">IF(DT388=1,($BC388*DT388),0)</f>
        <v>0</v>
      </c>
      <c r="GM388" s="336">
        <f t="shared" si="2569"/>
        <v>0</v>
      </c>
    </row>
    <row r="389" spans="1:195">
      <c r="A389" s="337">
        <f t="shared" si="2635"/>
        <v>261</v>
      </c>
      <c r="B389" s="388" t="s">
        <v>840</v>
      </c>
      <c r="C389" s="337" t="s">
        <v>838</v>
      </c>
      <c r="D389" s="338" t="s">
        <v>841</v>
      </c>
      <c r="E389" s="454" t="s">
        <v>345</v>
      </c>
      <c r="F389" s="756"/>
      <c r="G389" s="337" t="s">
        <v>329</v>
      </c>
      <c r="H389" s="418">
        <v>10</v>
      </c>
      <c r="I389" s="337" t="s">
        <v>330</v>
      </c>
      <c r="J389" s="337" t="s">
        <v>331</v>
      </c>
      <c r="K389" s="349">
        <v>400</v>
      </c>
      <c r="L389" s="343">
        <v>0.84999999999999987</v>
      </c>
      <c r="M389" s="350">
        <v>0.95099999999999985</v>
      </c>
      <c r="N389" s="342">
        <f t="shared" si="2613"/>
        <v>17.856349525042535</v>
      </c>
      <c r="O389" s="342">
        <f t="shared" si="2614"/>
        <v>0</v>
      </c>
      <c r="P389" s="343" t="str">
        <f t="shared" si="2615"/>
        <v>0.00</v>
      </c>
      <c r="Q389" s="350">
        <v>25</v>
      </c>
      <c r="R389" s="350">
        <v>0</v>
      </c>
      <c r="S389" s="350">
        <f t="shared" si="2616"/>
        <v>0</v>
      </c>
      <c r="T389" s="343" t="s">
        <v>131</v>
      </c>
      <c r="U389" s="350" t="s">
        <v>535</v>
      </c>
      <c r="V389" s="343">
        <v>35</v>
      </c>
      <c r="W389" s="343" t="str">
        <f t="shared" si="2617"/>
        <v>3.5C X 35</v>
      </c>
      <c r="X389" s="343" t="str">
        <f t="shared" si="2618"/>
        <v>3.5C X 35</v>
      </c>
      <c r="Y389" s="343" t="s">
        <v>358</v>
      </c>
      <c r="Z389" s="344">
        <f>IF(T389="AIR",VLOOKUP(W389,'Catalogue Aluminium'!$B$9:$G$93,2,FALSE),IF(T389="GROUND",VLOOKUP(W389,'Catalogue Aluminium'!$B$9:$G$93,3,FALSE),IF(T389="DUCT",VLOOKUP(W389,'Catalogue Aluminium'!$B$9:$G$93,4,FALSE),IF(T389="TRENCH",VLOOKUP(W389,'Catalogue Aluminium'!$B$9:$G$93,2,FALSE)))))</f>
        <v>117</v>
      </c>
      <c r="AA389" s="345">
        <f>VLOOKUP(W389,'Catalogue Aluminium'!$B$9:$G$93,5,FALSE)</f>
        <v>1.1100000000000001</v>
      </c>
      <c r="AB389" s="345">
        <f>VLOOKUP(W389,'Catalogue Aluminium'!$B$9:$G$93,6,FALSE)</f>
        <v>7.9399999999999998E-2</v>
      </c>
      <c r="AC389" s="388">
        <v>36</v>
      </c>
      <c r="AD389" s="401">
        <f>206</f>
        <v>206</v>
      </c>
      <c r="AE389" s="401">
        <f t="shared" ref="AE389" si="2643">11+8+8+11</f>
        <v>38</v>
      </c>
      <c r="AF389" s="401">
        <f t="shared" si="2637"/>
        <v>10</v>
      </c>
      <c r="AG389" s="401">
        <f t="shared" si="2619"/>
        <v>29</v>
      </c>
      <c r="AH389" s="347">
        <f t="shared" si="2620"/>
        <v>319</v>
      </c>
      <c r="AI389" s="344">
        <f>IF(T389="AIR",'Catalogue Aluminium'!$K$9,IF(T389="TRENCH",'Catalogue Aluminium'!$K$12,"NA"))</f>
        <v>0.89</v>
      </c>
      <c r="AJ389" s="342">
        <f>IF(T389="Air",(IF(U389="1C",'Catalogue Aluminium'!$L$9,'Catalogue Aluminium'!$M$9)),IF(T389="DUCT",(IF($U389="1C",'Catalogue Aluminium'!$L$10,'Catalogue Aluminium'!$M$10)),IF(T389="GROUND",(IF($U389="1C",'Catalogue Aluminium'!$L$11,'Catalogue Aluminium'!$M$11)),IF(T389="TRENCH",(IF($U389="1C",'Catalogue Aluminium'!$L$12,'Catalogue Aluminium'!$M$12))))))</f>
        <v>0.66</v>
      </c>
      <c r="AK389" s="344" t="str">
        <f>IF(T389="Air",'Catalogue Aluminium'!$N$9,IF(T389="GROUND",'Catalogue Aluminium'!$N$10,IF(T389="DUCT",'Catalogue Aluminium'!$N$11,IF(T389="TRENCH",'Catalogue Aluminium'!$N$12,"NA"))))</f>
        <v>NA</v>
      </c>
      <c r="AL389" s="344" t="str">
        <f>IF(T389="Air",(IF(U389="1C",'Catalogue Aluminium'!$O$9,'Catalogue Aluminium'!$P$9)),IF(T389="DUCT",(IF($U389="1C",'Catalogue Aluminium'!$O$10,'Catalogue Aluminium'!$P$10)),IF(T389="GROUND",(IF($U389="1C",'Catalogue Aluminium'!$O$11,'Catalogue Aluminium'!$P$11)),IF(T389="TRENCH",(IF($U389="1C",'Catalogue Aluminium'!$O$12,'Catalogue Aluminium'!$P$12))))))</f>
        <v>NA</v>
      </c>
      <c r="AM389" s="344" t="str">
        <f>IF(T389="AIR","NA",IF(T389="TRENCH","NA",IF(T389="DUCT",IF(U389="1C",VLOOKUP(V389,'Catalogue Aluminium'!$Q$9:$S$28,2,FALSE),VLOOKUP(V389,'Catalogue Aluminium'!$Q$9:$S$28,3)),IF(T389="GROUND",IF(U389="1C",VLOOKUP(V389,'Catalogue Aluminium'!$Q$9:$S$28,2,FALSE),VLOOKUP(V389,'Catalogue Aluminium'!$Q$9:$S$28,3))))))</f>
        <v>NA</v>
      </c>
      <c r="AN389" s="351">
        <f t="shared" si="2621"/>
        <v>0.58740000000000003</v>
      </c>
      <c r="AO389" s="350">
        <f t="shared" si="2622"/>
        <v>68.725800000000007</v>
      </c>
      <c r="AP389" s="349">
        <f t="shared" si="2623"/>
        <v>1</v>
      </c>
      <c r="AQ389" s="350" t="str">
        <f t="shared" si="2624"/>
        <v>YES</v>
      </c>
      <c r="AR389" s="351">
        <f t="shared" si="2625"/>
        <v>2.4303240274699531</v>
      </c>
      <c r="AS389" s="343" t="str">
        <f t="shared" si="2626"/>
        <v>YES</v>
      </c>
      <c r="AT389" s="351" t="str">
        <f t="shared" si="2627"/>
        <v>NA</v>
      </c>
      <c r="AU389" s="343" t="str">
        <f t="shared" si="2628"/>
        <v>NA</v>
      </c>
      <c r="AV389" s="351" t="str">
        <f t="shared" si="2629"/>
        <v>1R x 0.6/1kV x 3.5C x 35 Sqmm</v>
      </c>
      <c r="AW389" s="351" t="str">
        <f t="shared" si="2630"/>
        <v>1R x 0.6/1kV x 3.5C x 35 Sqmm</v>
      </c>
      <c r="AX389" s="343">
        <f t="shared" si="2631"/>
        <v>319</v>
      </c>
      <c r="AY389" s="343"/>
      <c r="AZ389" s="343">
        <f t="shared" si="2632"/>
        <v>2</v>
      </c>
      <c r="BA389" s="356" t="str">
        <f t="shared" si="2636"/>
        <v>ACDEE1</v>
      </c>
      <c r="BB389" s="328">
        <f>VLOOKUP(W389,'Catalogue Aluminium'!$B$9:$H$93,7,FALSE)</f>
        <v>27</v>
      </c>
      <c r="BC389" s="328">
        <f t="shared" si="2634"/>
        <v>27</v>
      </c>
      <c r="BE389" s="336"/>
      <c r="BF389" s="336">
        <v>1</v>
      </c>
      <c r="BG389" s="336"/>
      <c r="BH389" s="336"/>
      <c r="BI389" s="336">
        <v>1</v>
      </c>
      <c r="BJ389" s="336">
        <v>1</v>
      </c>
      <c r="BK389" s="336"/>
      <c r="BL389" s="336"/>
      <c r="BM389" s="336"/>
      <c r="BN389" s="336">
        <v>1</v>
      </c>
      <c r="BO389" s="336"/>
      <c r="BP389" s="336">
        <v>1</v>
      </c>
      <c r="BQ389" s="336"/>
      <c r="BR389" s="336"/>
      <c r="BS389" s="336"/>
      <c r="BT389" s="336"/>
      <c r="BU389" s="336"/>
      <c r="BV389" s="336"/>
      <c r="BW389" s="336"/>
      <c r="BX389" s="336"/>
      <c r="BY389" s="336"/>
      <c r="BZ389" s="336"/>
      <c r="CA389" s="336"/>
      <c r="CB389" s="336"/>
      <c r="CC389" s="336"/>
      <c r="CD389" s="336"/>
      <c r="CE389" s="336"/>
      <c r="CF389" s="336"/>
      <c r="CG389" s="336"/>
      <c r="CH389" s="336"/>
      <c r="CI389" s="336"/>
      <c r="CJ389" s="336"/>
      <c r="CK389" s="336"/>
      <c r="CL389" s="336"/>
      <c r="CM389" s="336"/>
      <c r="CN389" s="336"/>
      <c r="CO389" s="336"/>
      <c r="CP389" s="336"/>
      <c r="CQ389" s="336"/>
      <c r="CR389" s="336"/>
      <c r="CS389" s="336"/>
      <c r="CT389" s="336"/>
      <c r="CU389" s="336"/>
      <c r="CV389" s="336"/>
      <c r="CW389" s="336"/>
      <c r="CX389" s="336"/>
      <c r="CY389" s="336"/>
      <c r="CZ389" s="336"/>
      <c r="DA389" s="336"/>
      <c r="DB389" s="336"/>
      <c r="DC389" s="336"/>
      <c r="DD389" s="336"/>
      <c r="DE389" s="336"/>
      <c r="DF389" s="336"/>
      <c r="DG389" s="336"/>
      <c r="DH389" s="336"/>
      <c r="DI389" s="336"/>
      <c r="DJ389" s="336"/>
      <c r="DK389" s="336"/>
      <c r="DL389" s="336"/>
      <c r="DM389" s="336"/>
      <c r="DN389" s="336"/>
      <c r="DO389" s="336"/>
      <c r="DP389" s="336"/>
      <c r="DQ389" s="336"/>
      <c r="DR389" s="336"/>
      <c r="DS389" s="336"/>
      <c r="DT389" s="336"/>
      <c r="DU389" s="336"/>
      <c r="DW389" s="336">
        <f t="shared" si="2591"/>
        <v>0</v>
      </c>
      <c r="DX389" s="336">
        <f t="shared" si="2592"/>
        <v>27</v>
      </c>
      <c r="DY389" s="336">
        <f t="shared" si="2593"/>
        <v>0</v>
      </c>
      <c r="DZ389" s="336">
        <f t="shared" si="2594"/>
        <v>0</v>
      </c>
      <c r="EA389" s="336">
        <f t="shared" si="2595"/>
        <v>27</v>
      </c>
      <c r="EB389" s="336">
        <f t="shared" si="2596"/>
        <v>27</v>
      </c>
      <c r="EC389" s="336">
        <f t="shared" si="2597"/>
        <v>0</v>
      </c>
      <c r="ED389" s="336">
        <f t="shared" si="2515"/>
        <v>0</v>
      </c>
      <c r="EE389" s="336">
        <f t="shared" si="2516"/>
        <v>0</v>
      </c>
      <c r="EF389" s="336">
        <f t="shared" si="2517"/>
        <v>27</v>
      </c>
      <c r="EG389" s="336">
        <f t="shared" si="2518"/>
        <v>0</v>
      </c>
      <c r="EH389" s="336">
        <f t="shared" si="2519"/>
        <v>27</v>
      </c>
      <c r="EI389" s="336">
        <f t="shared" si="2520"/>
        <v>0</v>
      </c>
      <c r="EJ389" s="336">
        <f t="shared" si="2521"/>
        <v>0</v>
      </c>
      <c r="EK389" s="336">
        <f t="shared" si="2522"/>
        <v>0</v>
      </c>
      <c r="EL389" s="336">
        <f t="shared" si="2523"/>
        <v>0</v>
      </c>
      <c r="EM389" s="336">
        <f t="shared" si="2524"/>
        <v>0</v>
      </c>
      <c r="EN389" s="336">
        <f t="shared" si="2525"/>
        <v>0</v>
      </c>
      <c r="EO389" s="336">
        <f t="shared" si="2526"/>
        <v>0</v>
      </c>
      <c r="EP389" s="336">
        <f t="shared" si="2527"/>
        <v>0</v>
      </c>
      <c r="EQ389" s="336">
        <f t="shared" si="2528"/>
        <v>0</v>
      </c>
      <c r="ER389" s="336">
        <f t="shared" si="2529"/>
        <v>0</v>
      </c>
      <c r="ES389" s="336">
        <f t="shared" si="2530"/>
        <v>0</v>
      </c>
      <c r="ET389" s="336">
        <f t="shared" si="2530"/>
        <v>0</v>
      </c>
      <c r="EU389" s="336">
        <f t="shared" si="2531"/>
        <v>0</v>
      </c>
      <c r="EV389" s="336">
        <f t="shared" si="2532"/>
        <v>0</v>
      </c>
      <c r="EW389" s="336">
        <f t="shared" si="2533"/>
        <v>0</v>
      </c>
      <c r="EX389" s="336">
        <f t="shared" si="2534"/>
        <v>0</v>
      </c>
      <c r="EY389" s="336">
        <f t="shared" si="2535"/>
        <v>0</v>
      </c>
      <c r="EZ389" s="336">
        <f t="shared" si="2536"/>
        <v>0</v>
      </c>
      <c r="FA389" s="336">
        <f t="shared" si="2537"/>
        <v>0</v>
      </c>
      <c r="FB389" s="336">
        <f t="shared" si="2538"/>
        <v>0</v>
      </c>
      <c r="FC389" s="336">
        <f t="shared" si="2539"/>
        <v>0</v>
      </c>
      <c r="FD389" s="336">
        <f t="shared" si="2540"/>
        <v>0</v>
      </c>
      <c r="FE389" s="336">
        <f t="shared" si="2541"/>
        <v>0</v>
      </c>
      <c r="FF389" s="336">
        <f t="shared" si="2542"/>
        <v>0</v>
      </c>
      <c r="FG389" s="336">
        <f t="shared" si="2543"/>
        <v>0</v>
      </c>
      <c r="FH389" s="336">
        <f t="shared" si="2544"/>
        <v>0</v>
      </c>
      <c r="FI389" s="336">
        <f t="shared" si="2545"/>
        <v>0</v>
      </c>
      <c r="FJ389" s="336">
        <f t="shared" si="2546"/>
        <v>0</v>
      </c>
      <c r="FK389" s="336">
        <f t="shared" si="2547"/>
        <v>0</v>
      </c>
      <c r="FL389" s="336">
        <f t="shared" si="2548"/>
        <v>0</v>
      </c>
      <c r="FM389" s="336">
        <f t="shared" si="2549"/>
        <v>0</v>
      </c>
      <c r="FN389" s="336">
        <f t="shared" si="2550"/>
        <v>0</v>
      </c>
      <c r="FO389" s="336">
        <f t="shared" si="2551"/>
        <v>0</v>
      </c>
      <c r="FP389" s="336">
        <f t="shared" si="2552"/>
        <v>0</v>
      </c>
      <c r="FQ389" s="336">
        <f t="shared" si="2553"/>
        <v>0</v>
      </c>
      <c r="FR389" s="336">
        <f t="shared" si="2554"/>
        <v>0</v>
      </c>
      <c r="FS389" s="336">
        <f t="shared" si="2555"/>
        <v>0</v>
      </c>
      <c r="FT389" s="336">
        <f t="shared" si="2556"/>
        <v>0</v>
      </c>
      <c r="FU389" s="336">
        <f t="shared" si="2638"/>
        <v>0</v>
      </c>
      <c r="FV389" s="336">
        <f t="shared" si="2639"/>
        <v>0</v>
      </c>
      <c r="FW389" s="336">
        <f t="shared" si="2640"/>
        <v>0</v>
      </c>
      <c r="FX389" s="336">
        <f t="shared" si="2641"/>
        <v>0</v>
      </c>
      <c r="FY389" s="336">
        <f t="shared" si="2557"/>
        <v>0</v>
      </c>
      <c r="FZ389" s="336">
        <f t="shared" si="2558"/>
        <v>0</v>
      </c>
      <c r="GA389" s="336">
        <f t="shared" si="2559"/>
        <v>0</v>
      </c>
      <c r="GB389" s="336">
        <f t="shared" si="2560"/>
        <v>0</v>
      </c>
      <c r="GC389" s="336">
        <f t="shared" si="2561"/>
        <v>0</v>
      </c>
      <c r="GD389" s="336">
        <f t="shared" si="2562"/>
        <v>0</v>
      </c>
      <c r="GE389" s="336">
        <f t="shared" si="2563"/>
        <v>0</v>
      </c>
      <c r="GF389" s="336">
        <f t="shared" si="2564"/>
        <v>0</v>
      </c>
      <c r="GG389" s="336">
        <f t="shared" si="2565"/>
        <v>0</v>
      </c>
      <c r="GH389" s="336">
        <f t="shared" si="2566"/>
        <v>0</v>
      </c>
      <c r="GI389" s="336">
        <f t="shared" si="2567"/>
        <v>0</v>
      </c>
      <c r="GJ389" s="336">
        <f t="shared" si="2568"/>
        <v>0</v>
      </c>
      <c r="GK389" s="336">
        <f t="shared" si="2513"/>
        <v>0</v>
      </c>
      <c r="GL389" s="336">
        <f t="shared" si="2642"/>
        <v>0</v>
      </c>
      <c r="GM389" s="336">
        <f t="shared" si="2569"/>
        <v>0</v>
      </c>
    </row>
    <row r="390" spans="1:195" ht="28.5" customHeight="1">
      <c r="A390" s="337">
        <f t="shared" si="2635"/>
        <v>262</v>
      </c>
      <c r="B390" s="388" t="s">
        <v>842</v>
      </c>
      <c r="C390" s="337" t="s">
        <v>838</v>
      </c>
      <c r="D390" s="338" t="s">
        <v>843</v>
      </c>
      <c r="E390" s="502" t="s">
        <v>812</v>
      </c>
      <c r="F390" s="756"/>
      <c r="G390" s="337" t="s">
        <v>329</v>
      </c>
      <c r="H390" s="418">
        <v>5</v>
      </c>
      <c r="I390" s="337" t="s">
        <v>330</v>
      </c>
      <c r="J390" s="337" t="s">
        <v>331</v>
      </c>
      <c r="K390" s="349">
        <v>400</v>
      </c>
      <c r="L390" s="343">
        <v>0.84999999999999987</v>
      </c>
      <c r="M390" s="350">
        <v>0.95099999999999985</v>
      </c>
      <c r="N390" s="342">
        <f t="shared" si="2613"/>
        <v>8.9281747625212677</v>
      </c>
      <c r="O390" s="342">
        <f t="shared" si="2614"/>
        <v>0</v>
      </c>
      <c r="P390" s="343" t="str">
        <f t="shared" si="2615"/>
        <v>0.00</v>
      </c>
      <c r="Q390" s="350">
        <v>25</v>
      </c>
      <c r="R390" s="350">
        <v>0</v>
      </c>
      <c r="S390" s="350">
        <f t="shared" si="2616"/>
        <v>0</v>
      </c>
      <c r="T390" s="343" t="s">
        <v>131</v>
      </c>
      <c r="U390" s="350" t="s">
        <v>522</v>
      </c>
      <c r="V390" s="343">
        <v>16</v>
      </c>
      <c r="W390" s="343" t="str">
        <f t="shared" si="2617"/>
        <v>4C X 16</v>
      </c>
      <c r="X390" s="343" t="str">
        <f t="shared" si="2618"/>
        <v>4C X 16</v>
      </c>
      <c r="Y390" s="343" t="s">
        <v>358</v>
      </c>
      <c r="Z390" s="344">
        <f>IF(T390="AIR",VLOOKUP(W390,'Catalogue Aluminium'!$B$9:$G$93,2,FALSE),IF(T390="GROUND",VLOOKUP(W390,'Catalogue Aluminium'!$B$9:$G$93,3,FALSE),IF(T390="DUCT",VLOOKUP(W390,'Catalogue Aluminium'!$B$9:$G$93,4,FALSE),IF(T390="TRENCH",VLOOKUP(W390,'Catalogue Aluminium'!$B$9:$G$93,2,FALSE)))))</f>
        <v>70</v>
      </c>
      <c r="AA390" s="345">
        <f>VLOOKUP(W390,'Catalogue Aluminium'!$B$9:$G$93,5,FALSE)</f>
        <v>2.44</v>
      </c>
      <c r="AB390" s="345">
        <f>VLOOKUP(W390,'Catalogue Aluminium'!$B$9:$G$93,6,FALSE)</f>
        <v>8.1500000000000003E-2</v>
      </c>
      <c r="AC390" s="388">
        <v>36</v>
      </c>
      <c r="AD390" s="574">
        <f>68+22+53+34</f>
        <v>177</v>
      </c>
      <c r="AE390" s="401">
        <f>8+7</f>
        <v>15</v>
      </c>
      <c r="AF390" s="401">
        <v>5</v>
      </c>
      <c r="AG390" s="401">
        <f t="shared" si="2619"/>
        <v>24</v>
      </c>
      <c r="AH390" s="347">
        <f t="shared" si="2620"/>
        <v>257</v>
      </c>
      <c r="AI390" s="344">
        <f>IF(T390="AIR",'Catalogue Aluminium'!$K$9,IF(T390="TRENCH",'Catalogue Aluminium'!$K$12,"NA"))</f>
        <v>0.89</v>
      </c>
      <c r="AJ390" s="342">
        <f>IF(T390="Air",(IF(U390="1C",'Catalogue Aluminium'!$L$9,'Catalogue Aluminium'!$M$9)),IF(T390="DUCT",(IF($U390="1C",'Catalogue Aluminium'!$L$10,'Catalogue Aluminium'!$M$10)),IF(T390="GROUND",(IF($U390="1C",'Catalogue Aluminium'!$L$11,'Catalogue Aluminium'!$M$11)),IF(T390="TRENCH",(IF($U390="1C",'Catalogue Aluminium'!$L$12,'Catalogue Aluminium'!$M$12))))))</f>
        <v>0.66</v>
      </c>
      <c r="AK390" s="344" t="str">
        <f>IF(T390="Air",'Catalogue Aluminium'!$N$9,IF(T390="GROUND",'Catalogue Aluminium'!$N$10,IF(T390="DUCT",'Catalogue Aluminium'!$N$11,IF(T390="TRENCH",'Catalogue Aluminium'!$N$12,"NA"))))</f>
        <v>NA</v>
      </c>
      <c r="AL390" s="344" t="str">
        <f>IF(T390="Air",(IF(U390="1C",'Catalogue Aluminium'!$O$9,'Catalogue Aluminium'!$P$9)),IF(T390="DUCT",(IF($U390="1C",'Catalogue Aluminium'!$O$10,'Catalogue Aluminium'!$P$10)),IF(T390="GROUND",(IF($U390="1C",'Catalogue Aluminium'!$O$11,'Catalogue Aluminium'!$P$11)),IF(T390="TRENCH",(IF($U390="1C",'Catalogue Aluminium'!$O$12,'Catalogue Aluminium'!$P$12))))))</f>
        <v>NA</v>
      </c>
      <c r="AM390" s="344" t="str">
        <f>IF(T390="AIR","NA",IF(T390="TRENCH","NA",IF(T390="DUCT",IF(U390="1C",VLOOKUP(V390,'Catalogue Aluminium'!$Q$9:$S$28,2,FALSE),VLOOKUP(V390,'Catalogue Aluminium'!$Q$9:$S$28,3)),IF(T390="GROUND",IF(U390="1C",VLOOKUP(V390,'Catalogue Aluminium'!$Q$9:$S$28,2,FALSE),VLOOKUP(V390,'Catalogue Aluminium'!$Q$9:$S$28,3))))))</f>
        <v>NA</v>
      </c>
      <c r="AN390" s="351">
        <f t="shared" si="2621"/>
        <v>0.58740000000000003</v>
      </c>
      <c r="AO390" s="350">
        <f t="shared" si="2622"/>
        <v>41.118000000000002</v>
      </c>
      <c r="AP390" s="349">
        <f t="shared" si="2623"/>
        <v>1</v>
      </c>
      <c r="AQ390" s="350" t="str">
        <f t="shared" si="2624"/>
        <v>YES</v>
      </c>
      <c r="AR390" s="351">
        <f t="shared" si="2625"/>
        <v>2.1033110902490217</v>
      </c>
      <c r="AS390" s="343" t="str">
        <f t="shared" si="2626"/>
        <v>YES</v>
      </c>
      <c r="AT390" s="351" t="str">
        <f t="shared" si="2627"/>
        <v>NA</v>
      </c>
      <c r="AU390" s="343" t="str">
        <f t="shared" si="2628"/>
        <v>NA</v>
      </c>
      <c r="AV390" s="351" t="str">
        <f t="shared" si="2629"/>
        <v>1R x 0.6/1kV x 4C x 16 Sqmm</v>
      </c>
      <c r="AW390" s="351" t="str">
        <f t="shared" si="2630"/>
        <v>1R x 0.6/1kV x 4C x 16 Sqmm</v>
      </c>
      <c r="AX390" s="343">
        <f t="shared" si="2631"/>
        <v>257</v>
      </c>
      <c r="AY390" s="343"/>
      <c r="AZ390" s="343">
        <f t="shared" si="2632"/>
        <v>2</v>
      </c>
      <c r="BA390" s="356" t="str">
        <f t="shared" si="2636"/>
        <v>D3LMM1</v>
      </c>
      <c r="BB390" s="328">
        <f>VLOOKUP(W390,'Catalogue Aluminium'!$B$9:$H$93,7,FALSE)</f>
        <v>21</v>
      </c>
      <c r="BC390" s="328">
        <f t="shared" si="2634"/>
        <v>21</v>
      </c>
      <c r="BE390" s="336"/>
      <c r="BF390" s="336"/>
      <c r="BG390" s="336"/>
      <c r="BH390" s="336"/>
      <c r="BI390" s="336"/>
      <c r="BJ390" s="336"/>
      <c r="BK390" s="336"/>
      <c r="BL390" s="336"/>
      <c r="BM390" s="336">
        <v>1</v>
      </c>
      <c r="BN390" s="336"/>
      <c r="BO390" s="336"/>
      <c r="BP390" s="336"/>
      <c r="BQ390" s="336"/>
      <c r="BR390" s="336"/>
      <c r="BS390" s="336"/>
      <c r="BT390" s="336"/>
      <c r="BU390" s="336"/>
      <c r="BV390" s="336"/>
      <c r="BW390" s="336"/>
      <c r="BX390" s="336"/>
      <c r="BY390" s="336"/>
      <c r="BZ390" s="336"/>
      <c r="CA390" s="336"/>
      <c r="CB390" s="336"/>
      <c r="CC390" s="336"/>
      <c r="CD390" s="336"/>
      <c r="CE390" s="336"/>
      <c r="CF390" s="336">
        <v>1</v>
      </c>
      <c r="CG390" s="336"/>
      <c r="CH390" s="336"/>
      <c r="CI390" s="336"/>
      <c r="CJ390" s="336"/>
      <c r="CK390" s="336"/>
      <c r="CL390" s="336"/>
      <c r="CM390" s="336"/>
      <c r="CN390" s="336"/>
      <c r="CO390" s="336"/>
      <c r="CP390" s="336">
        <v>1</v>
      </c>
      <c r="CQ390" s="336">
        <v>1</v>
      </c>
      <c r="CR390" s="336"/>
      <c r="CS390" s="336"/>
      <c r="CT390" s="336"/>
      <c r="CU390" s="336"/>
      <c r="CV390" s="336"/>
      <c r="CW390" s="336"/>
      <c r="CX390" s="336"/>
      <c r="CY390" s="336"/>
      <c r="CZ390" s="336"/>
      <c r="DA390" s="336"/>
      <c r="DB390" s="336"/>
      <c r="DC390" s="336"/>
      <c r="DD390" s="336"/>
      <c r="DE390" s="336"/>
      <c r="DF390" s="336"/>
      <c r="DG390" s="336"/>
      <c r="DH390" s="336"/>
      <c r="DI390" s="336"/>
      <c r="DJ390" s="336"/>
      <c r="DK390" s="336"/>
      <c r="DL390" s="336"/>
      <c r="DM390" s="336"/>
      <c r="DN390" s="336"/>
      <c r="DO390" s="336"/>
      <c r="DP390" s="336"/>
      <c r="DQ390" s="336"/>
      <c r="DR390" s="336"/>
      <c r="DS390" s="336"/>
      <c r="DT390" s="336"/>
      <c r="DU390" s="336"/>
      <c r="DW390" s="336">
        <f t="shared" si="2591"/>
        <v>0</v>
      </c>
      <c r="DX390" s="336">
        <f t="shared" si="2592"/>
        <v>0</v>
      </c>
      <c r="DY390" s="336">
        <f t="shared" si="2593"/>
        <v>0</v>
      </c>
      <c r="DZ390" s="336">
        <f t="shared" si="2594"/>
        <v>0</v>
      </c>
      <c r="EA390" s="336">
        <f t="shared" si="2595"/>
        <v>0</v>
      </c>
      <c r="EB390" s="336">
        <f t="shared" si="2596"/>
        <v>0</v>
      </c>
      <c r="EC390" s="336">
        <f t="shared" si="2597"/>
        <v>0</v>
      </c>
      <c r="ED390" s="336">
        <f t="shared" si="2515"/>
        <v>0</v>
      </c>
      <c r="EE390" s="336">
        <f t="shared" si="2516"/>
        <v>21</v>
      </c>
      <c r="EF390" s="336">
        <f t="shared" si="2517"/>
        <v>0</v>
      </c>
      <c r="EG390" s="336">
        <f t="shared" si="2518"/>
        <v>0</v>
      </c>
      <c r="EH390" s="336">
        <f t="shared" si="2519"/>
        <v>0</v>
      </c>
      <c r="EI390" s="336">
        <f t="shared" si="2520"/>
        <v>0</v>
      </c>
      <c r="EJ390" s="336">
        <f t="shared" si="2521"/>
        <v>0</v>
      </c>
      <c r="EK390" s="336">
        <f t="shared" si="2522"/>
        <v>0</v>
      </c>
      <c r="EL390" s="336">
        <f t="shared" si="2523"/>
        <v>0</v>
      </c>
      <c r="EM390" s="336">
        <f t="shared" si="2524"/>
        <v>0</v>
      </c>
      <c r="EN390" s="336">
        <f t="shared" si="2525"/>
        <v>0</v>
      </c>
      <c r="EO390" s="336">
        <f t="shared" si="2526"/>
        <v>0</v>
      </c>
      <c r="EP390" s="336">
        <f t="shared" si="2527"/>
        <v>0</v>
      </c>
      <c r="EQ390" s="336">
        <f t="shared" si="2528"/>
        <v>0</v>
      </c>
      <c r="ER390" s="336">
        <f t="shared" si="2529"/>
        <v>0</v>
      </c>
      <c r="ES390" s="336">
        <f t="shared" si="2530"/>
        <v>0</v>
      </c>
      <c r="ET390" s="336">
        <f t="shared" si="2530"/>
        <v>0</v>
      </c>
      <c r="EU390" s="336">
        <f t="shared" si="2531"/>
        <v>0</v>
      </c>
      <c r="EV390" s="336">
        <f t="shared" si="2532"/>
        <v>0</v>
      </c>
      <c r="EW390" s="336">
        <f t="shared" si="2533"/>
        <v>0</v>
      </c>
      <c r="EX390" s="336">
        <f t="shared" si="2534"/>
        <v>21</v>
      </c>
      <c r="EY390" s="336">
        <f t="shared" si="2535"/>
        <v>0</v>
      </c>
      <c r="EZ390" s="336">
        <f t="shared" si="2536"/>
        <v>0</v>
      </c>
      <c r="FA390" s="336">
        <f t="shared" si="2537"/>
        <v>0</v>
      </c>
      <c r="FB390" s="336">
        <f t="shared" si="2538"/>
        <v>0</v>
      </c>
      <c r="FC390" s="336">
        <f t="shared" si="2539"/>
        <v>0</v>
      </c>
      <c r="FD390" s="336">
        <f t="shared" si="2540"/>
        <v>0</v>
      </c>
      <c r="FE390" s="336">
        <f t="shared" si="2541"/>
        <v>0</v>
      </c>
      <c r="FF390" s="336">
        <f t="shared" si="2542"/>
        <v>0</v>
      </c>
      <c r="FG390" s="336">
        <f t="shared" si="2543"/>
        <v>0</v>
      </c>
      <c r="FH390" s="336">
        <f t="shared" si="2544"/>
        <v>21</v>
      </c>
      <c r="FI390" s="336">
        <f t="shared" si="2545"/>
        <v>21</v>
      </c>
      <c r="FJ390" s="336">
        <f t="shared" si="2546"/>
        <v>0</v>
      </c>
      <c r="FK390" s="336">
        <f t="shared" si="2547"/>
        <v>0</v>
      </c>
      <c r="FL390" s="336">
        <f t="shared" si="2548"/>
        <v>0</v>
      </c>
      <c r="FM390" s="336">
        <f t="shared" si="2549"/>
        <v>0</v>
      </c>
      <c r="FN390" s="336">
        <f t="shared" si="2550"/>
        <v>0</v>
      </c>
      <c r="FO390" s="336">
        <f t="shared" si="2551"/>
        <v>0</v>
      </c>
      <c r="FP390" s="336">
        <f t="shared" si="2552"/>
        <v>0</v>
      </c>
      <c r="FQ390" s="336">
        <f t="shared" si="2553"/>
        <v>0</v>
      </c>
      <c r="FR390" s="336">
        <f t="shared" si="2554"/>
        <v>0</v>
      </c>
      <c r="FS390" s="336">
        <f t="shared" si="2555"/>
        <v>0</v>
      </c>
      <c r="FT390" s="336">
        <f t="shared" si="2556"/>
        <v>0</v>
      </c>
      <c r="FU390" s="336">
        <f t="shared" si="2638"/>
        <v>0</v>
      </c>
      <c r="FV390" s="336">
        <f t="shared" si="2639"/>
        <v>0</v>
      </c>
      <c r="FW390" s="336">
        <f t="shared" si="2640"/>
        <v>0</v>
      </c>
      <c r="FX390" s="336">
        <f t="shared" si="2641"/>
        <v>0</v>
      </c>
      <c r="FY390" s="336">
        <f t="shared" si="2557"/>
        <v>0</v>
      </c>
      <c r="FZ390" s="336">
        <f t="shared" si="2558"/>
        <v>0</v>
      </c>
      <c r="GA390" s="336">
        <f t="shared" si="2559"/>
        <v>0</v>
      </c>
      <c r="GB390" s="336">
        <f t="shared" si="2560"/>
        <v>0</v>
      </c>
      <c r="GC390" s="336">
        <f t="shared" si="2561"/>
        <v>0</v>
      </c>
      <c r="GD390" s="336">
        <f t="shared" si="2562"/>
        <v>0</v>
      </c>
      <c r="GE390" s="336">
        <f t="shared" si="2563"/>
        <v>0</v>
      </c>
      <c r="GF390" s="336">
        <f t="shared" si="2564"/>
        <v>0</v>
      </c>
      <c r="GG390" s="336">
        <f t="shared" si="2565"/>
        <v>0</v>
      </c>
      <c r="GH390" s="336">
        <f t="shared" si="2566"/>
        <v>0</v>
      </c>
      <c r="GI390" s="336">
        <f t="shared" si="2567"/>
        <v>0</v>
      </c>
      <c r="GJ390" s="336">
        <f t="shared" si="2568"/>
        <v>0</v>
      </c>
      <c r="GK390" s="336">
        <f t="shared" si="2513"/>
        <v>0</v>
      </c>
      <c r="GL390" s="336">
        <f t="shared" si="2642"/>
        <v>0</v>
      </c>
      <c r="GM390" s="336">
        <f t="shared" si="2569"/>
        <v>0</v>
      </c>
    </row>
    <row r="391" spans="1:195">
      <c r="A391" s="337">
        <f t="shared" si="2635"/>
        <v>263</v>
      </c>
      <c r="B391" s="388" t="s">
        <v>844</v>
      </c>
      <c r="C391" s="337" t="s">
        <v>838</v>
      </c>
      <c r="D391" s="338" t="s">
        <v>845</v>
      </c>
      <c r="E391" s="502" t="s">
        <v>815</v>
      </c>
      <c r="F391" s="756"/>
      <c r="G391" s="337" t="s">
        <v>329</v>
      </c>
      <c r="H391" s="418">
        <v>5</v>
      </c>
      <c r="I391" s="337" t="s">
        <v>330</v>
      </c>
      <c r="J391" s="337" t="s">
        <v>331</v>
      </c>
      <c r="K391" s="349">
        <v>400</v>
      </c>
      <c r="L391" s="343">
        <v>0.84999999999999987</v>
      </c>
      <c r="M391" s="350">
        <v>0.95099999999999985</v>
      </c>
      <c r="N391" s="342">
        <f t="shared" si="2613"/>
        <v>8.9281747625212677</v>
      </c>
      <c r="O391" s="342">
        <f t="shared" si="2614"/>
        <v>0</v>
      </c>
      <c r="P391" s="343" t="str">
        <f t="shared" si="2615"/>
        <v>0.00</v>
      </c>
      <c r="Q391" s="350">
        <v>25</v>
      </c>
      <c r="R391" s="350">
        <v>0</v>
      </c>
      <c r="S391" s="350">
        <f t="shared" si="2616"/>
        <v>0</v>
      </c>
      <c r="T391" s="343" t="s">
        <v>131</v>
      </c>
      <c r="U391" s="350" t="s">
        <v>535</v>
      </c>
      <c r="V391" s="343">
        <v>25</v>
      </c>
      <c r="W391" s="343" t="str">
        <f t="shared" si="2617"/>
        <v>3.5C X 25</v>
      </c>
      <c r="X391" s="343" t="str">
        <f t="shared" si="2618"/>
        <v>3.5C X 25</v>
      </c>
      <c r="Y391" s="343" t="s">
        <v>358</v>
      </c>
      <c r="Z391" s="344">
        <f>IF(T391="AIR",VLOOKUP(W391,'Catalogue Aluminium'!$B$9:$G$93,2,FALSE),IF(T391="GROUND",VLOOKUP(W391,'Catalogue Aluminium'!$B$9:$G$93,3,FALSE),IF(T391="DUCT",VLOOKUP(W391,'Catalogue Aluminium'!$B$9:$G$93,4,FALSE),IF(T391="TRENCH",VLOOKUP(W391,'Catalogue Aluminium'!$B$9:$G$93,2,FALSE)))))</f>
        <v>95</v>
      </c>
      <c r="AA391" s="345">
        <f>VLOOKUP(W391,'Catalogue Aluminium'!$B$9:$G$93,5,FALSE)</f>
        <v>1.54</v>
      </c>
      <c r="AB391" s="345">
        <f>VLOOKUP(W391,'Catalogue Aluminium'!$B$9:$G$93,6,FALSE)</f>
        <v>8.1600000000000006E-2</v>
      </c>
      <c r="AC391" s="388"/>
      <c r="AD391" s="574">
        <v>371</v>
      </c>
      <c r="AE391" s="401">
        <f>8+7+8+8+5+7</f>
        <v>43</v>
      </c>
      <c r="AF391" s="401">
        <v>5</v>
      </c>
      <c r="AG391" s="401">
        <f t="shared" si="2619"/>
        <v>42</v>
      </c>
      <c r="AH391" s="347">
        <f t="shared" si="2620"/>
        <v>461</v>
      </c>
      <c r="AI391" s="344">
        <f>IF(T391="AIR",'Catalogue Aluminium'!$K$9,IF(T391="TRENCH",'Catalogue Aluminium'!$K$12,"NA"))</f>
        <v>0.89</v>
      </c>
      <c r="AJ391" s="342">
        <f>IF(T391="Air",(IF(U391="1C",'Catalogue Aluminium'!$L$9,'Catalogue Aluminium'!$M$9)),IF(T391="DUCT",(IF($U391="1C",'Catalogue Aluminium'!$L$10,'Catalogue Aluminium'!$M$10)),IF(T391="GROUND",(IF($U391="1C",'Catalogue Aluminium'!$L$11,'Catalogue Aluminium'!$M$11)),IF(T391="TRENCH",(IF($U391="1C",'Catalogue Aluminium'!$L$12,'Catalogue Aluminium'!$M$12))))))</f>
        <v>0.66</v>
      </c>
      <c r="AK391" s="344" t="str">
        <f>IF(T391="Air",'Catalogue Aluminium'!$N$9,IF(T391="GROUND",'Catalogue Aluminium'!$N$10,IF(T391="DUCT",'Catalogue Aluminium'!$N$11,IF(T391="TRENCH",'Catalogue Aluminium'!$N$12,"NA"))))</f>
        <v>NA</v>
      </c>
      <c r="AL391" s="344" t="str">
        <f>IF(T391="Air",(IF(U391="1C",'Catalogue Aluminium'!$O$9,'Catalogue Aluminium'!$P$9)),IF(T391="DUCT",(IF($U391="1C",'Catalogue Aluminium'!$O$10,'Catalogue Aluminium'!$P$10)),IF(T391="GROUND",(IF($U391="1C",'Catalogue Aluminium'!$O$11,'Catalogue Aluminium'!$P$11)),IF(T391="TRENCH",(IF($U391="1C",'Catalogue Aluminium'!$O$12,'Catalogue Aluminium'!$P$12))))))</f>
        <v>NA</v>
      </c>
      <c r="AM391" s="344" t="str">
        <f>IF(T391="AIR","NA",IF(T391="TRENCH","NA",IF(T391="DUCT",IF(U391="1C",VLOOKUP(V391,'Catalogue Aluminium'!$Q$9:$S$28,2,FALSE),VLOOKUP(V391,'Catalogue Aluminium'!$Q$9:$S$28,3)),IF(T391="GROUND",IF(U391="1C",VLOOKUP(V391,'Catalogue Aluminium'!$Q$9:$S$28,2,FALSE),VLOOKUP(V391,'Catalogue Aluminium'!$Q$9:$S$28,3))))))</f>
        <v>NA</v>
      </c>
      <c r="AN391" s="351">
        <f t="shared" si="2621"/>
        <v>0.58740000000000003</v>
      </c>
      <c r="AO391" s="350">
        <f t="shared" si="2622"/>
        <v>55.803000000000004</v>
      </c>
      <c r="AP391" s="349">
        <f t="shared" si="2623"/>
        <v>1</v>
      </c>
      <c r="AQ391" s="350" t="str">
        <f t="shared" si="2624"/>
        <v>YES</v>
      </c>
      <c r="AR391" s="351">
        <f t="shared" si="2625"/>
        <v>2.4095518018337718</v>
      </c>
      <c r="AS391" s="343" t="str">
        <f t="shared" si="2626"/>
        <v>YES</v>
      </c>
      <c r="AT391" s="351" t="str">
        <f t="shared" si="2627"/>
        <v>NA</v>
      </c>
      <c r="AU391" s="343" t="str">
        <f t="shared" si="2628"/>
        <v>NA</v>
      </c>
      <c r="AV391" s="351" t="str">
        <f t="shared" si="2629"/>
        <v>1R x 0.6/1kV x 3.5C x 25 Sqmm</v>
      </c>
      <c r="AW391" s="351" t="str">
        <f t="shared" si="2630"/>
        <v>1R x 0.6/1kV x 3.5C x 25 Sqmm</v>
      </c>
      <c r="AX391" s="343">
        <f t="shared" si="2631"/>
        <v>461</v>
      </c>
      <c r="AY391" s="343"/>
      <c r="AZ391" s="343">
        <f t="shared" si="2632"/>
        <v>2</v>
      </c>
      <c r="BA391" s="356" t="str">
        <f t="shared" si="2636"/>
        <v>LMM1NOO1</v>
      </c>
      <c r="BB391" s="328">
        <f>VLOOKUP(W391,'Catalogue Aluminium'!$B$9:$H$93,7,FALSE)</f>
        <v>25</v>
      </c>
      <c r="BC391" s="328">
        <f t="shared" si="2634"/>
        <v>25</v>
      </c>
      <c r="BE391" s="336"/>
      <c r="BF391" s="336"/>
      <c r="BG391" s="336"/>
      <c r="BH391" s="336"/>
      <c r="BI391" s="336"/>
      <c r="BJ391" s="336"/>
      <c r="BK391" s="336"/>
      <c r="BL391" s="336"/>
      <c r="BM391" s="336"/>
      <c r="BN391" s="336"/>
      <c r="BO391" s="336"/>
      <c r="BP391" s="336"/>
      <c r="BQ391" s="336"/>
      <c r="BR391" s="336"/>
      <c r="BS391" s="336"/>
      <c r="BT391" s="336"/>
      <c r="BU391" s="336"/>
      <c r="BV391" s="336"/>
      <c r="BW391" s="336"/>
      <c r="BX391" s="336"/>
      <c r="BY391" s="336"/>
      <c r="BZ391" s="336"/>
      <c r="CA391" s="336"/>
      <c r="CB391" s="336"/>
      <c r="CC391" s="336"/>
      <c r="CD391" s="336"/>
      <c r="CE391" s="336"/>
      <c r="CF391" s="336">
        <v>1</v>
      </c>
      <c r="CG391" s="336"/>
      <c r="CH391" s="336"/>
      <c r="CI391" s="336"/>
      <c r="CJ391" s="336"/>
      <c r="CK391" s="336"/>
      <c r="CL391" s="336"/>
      <c r="CM391" s="336"/>
      <c r="CN391" s="336"/>
      <c r="CO391" s="336"/>
      <c r="CP391" s="336">
        <v>1</v>
      </c>
      <c r="CQ391" s="336">
        <v>1</v>
      </c>
      <c r="CR391" s="336">
        <v>1</v>
      </c>
      <c r="CS391" s="336"/>
      <c r="CT391" s="336"/>
      <c r="CU391" s="336">
        <v>1</v>
      </c>
      <c r="CV391" s="336">
        <v>1</v>
      </c>
      <c r="CW391" s="336"/>
      <c r="CX391" s="336"/>
      <c r="CY391" s="336"/>
      <c r="CZ391" s="336"/>
      <c r="DA391" s="336"/>
      <c r="DB391" s="336"/>
      <c r="DC391" s="336"/>
      <c r="DD391" s="336"/>
      <c r="DE391" s="336"/>
      <c r="DF391" s="336"/>
      <c r="DG391" s="336"/>
      <c r="DH391" s="336"/>
      <c r="DI391" s="336"/>
      <c r="DJ391" s="336"/>
      <c r="DK391" s="336"/>
      <c r="DL391" s="336"/>
      <c r="DM391" s="336"/>
      <c r="DN391" s="336"/>
      <c r="DO391" s="336"/>
      <c r="DP391" s="336"/>
      <c r="DQ391" s="336"/>
      <c r="DR391" s="336"/>
      <c r="DS391" s="336"/>
      <c r="DT391" s="336"/>
      <c r="DU391" s="336"/>
      <c r="DW391" s="336">
        <f t="shared" si="2591"/>
        <v>0</v>
      </c>
      <c r="DX391" s="336">
        <f t="shared" si="2592"/>
        <v>0</v>
      </c>
      <c r="DY391" s="336">
        <f t="shared" si="2593"/>
        <v>0</v>
      </c>
      <c r="DZ391" s="336">
        <f t="shared" si="2594"/>
        <v>0</v>
      </c>
      <c r="EA391" s="336">
        <f t="shared" si="2595"/>
        <v>0</v>
      </c>
      <c r="EB391" s="336">
        <f t="shared" si="2596"/>
        <v>0</v>
      </c>
      <c r="EC391" s="336">
        <f t="shared" si="2597"/>
        <v>0</v>
      </c>
      <c r="ED391" s="336">
        <f t="shared" si="2515"/>
        <v>0</v>
      </c>
      <c r="EE391" s="336">
        <f t="shared" si="2516"/>
        <v>0</v>
      </c>
      <c r="EF391" s="336">
        <f t="shared" si="2517"/>
        <v>0</v>
      </c>
      <c r="EG391" s="336">
        <f t="shared" si="2518"/>
        <v>0</v>
      </c>
      <c r="EH391" s="336">
        <f t="shared" si="2519"/>
        <v>0</v>
      </c>
      <c r="EI391" s="336">
        <f t="shared" si="2520"/>
        <v>0</v>
      </c>
      <c r="EJ391" s="336">
        <f t="shared" si="2521"/>
        <v>0</v>
      </c>
      <c r="EK391" s="336">
        <f t="shared" si="2522"/>
        <v>0</v>
      </c>
      <c r="EL391" s="336">
        <f t="shared" si="2523"/>
        <v>0</v>
      </c>
      <c r="EM391" s="336">
        <f t="shared" si="2524"/>
        <v>0</v>
      </c>
      <c r="EN391" s="336">
        <f t="shared" si="2525"/>
        <v>0</v>
      </c>
      <c r="EO391" s="336">
        <f t="shared" si="2526"/>
        <v>0</v>
      </c>
      <c r="EP391" s="336">
        <f t="shared" si="2527"/>
        <v>0</v>
      </c>
      <c r="EQ391" s="336">
        <f t="shared" si="2528"/>
        <v>0</v>
      </c>
      <c r="ER391" s="336">
        <f t="shared" si="2529"/>
        <v>0</v>
      </c>
      <c r="ES391" s="336">
        <f t="shared" si="2530"/>
        <v>0</v>
      </c>
      <c r="ET391" s="336">
        <f t="shared" si="2530"/>
        <v>0</v>
      </c>
      <c r="EU391" s="336">
        <f t="shared" si="2531"/>
        <v>0</v>
      </c>
      <c r="EV391" s="336">
        <f t="shared" si="2532"/>
        <v>0</v>
      </c>
      <c r="EW391" s="336">
        <f t="shared" si="2533"/>
        <v>0</v>
      </c>
      <c r="EX391" s="336">
        <f t="shared" si="2534"/>
        <v>25</v>
      </c>
      <c r="EY391" s="336">
        <f t="shared" si="2535"/>
        <v>0</v>
      </c>
      <c r="EZ391" s="336">
        <f t="shared" si="2536"/>
        <v>0</v>
      </c>
      <c r="FA391" s="336">
        <f t="shared" si="2537"/>
        <v>0</v>
      </c>
      <c r="FB391" s="336">
        <f t="shared" si="2538"/>
        <v>0</v>
      </c>
      <c r="FC391" s="336">
        <f t="shared" si="2539"/>
        <v>0</v>
      </c>
      <c r="FD391" s="336">
        <f t="shared" si="2540"/>
        <v>0</v>
      </c>
      <c r="FE391" s="336">
        <f t="shared" si="2541"/>
        <v>0</v>
      </c>
      <c r="FF391" s="336">
        <f t="shared" si="2542"/>
        <v>0</v>
      </c>
      <c r="FG391" s="336">
        <f t="shared" si="2543"/>
        <v>0</v>
      </c>
      <c r="FH391" s="336">
        <f t="shared" si="2544"/>
        <v>25</v>
      </c>
      <c r="FI391" s="336">
        <f t="shared" si="2545"/>
        <v>25</v>
      </c>
      <c r="FJ391" s="336">
        <f t="shared" si="2546"/>
        <v>25</v>
      </c>
      <c r="FK391" s="336">
        <f t="shared" si="2547"/>
        <v>0</v>
      </c>
      <c r="FL391" s="336">
        <f t="shared" si="2548"/>
        <v>0</v>
      </c>
      <c r="FM391" s="336">
        <f t="shared" si="2549"/>
        <v>25</v>
      </c>
      <c r="FN391" s="336">
        <f t="shared" si="2550"/>
        <v>25</v>
      </c>
      <c r="FO391" s="336">
        <f t="shared" si="2551"/>
        <v>0</v>
      </c>
      <c r="FP391" s="336">
        <f t="shared" si="2552"/>
        <v>0</v>
      </c>
      <c r="FQ391" s="336">
        <f t="shared" si="2553"/>
        <v>0</v>
      </c>
      <c r="FR391" s="336">
        <f t="shared" si="2554"/>
        <v>0</v>
      </c>
      <c r="FS391" s="336">
        <f t="shared" si="2555"/>
        <v>0</v>
      </c>
      <c r="FT391" s="336">
        <f t="shared" si="2556"/>
        <v>0</v>
      </c>
      <c r="FU391" s="336">
        <f t="shared" si="2638"/>
        <v>0</v>
      </c>
      <c r="FV391" s="336">
        <f t="shared" si="2639"/>
        <v>0</v>
      </c>
      <c r="FW391" s="336">
        <f t="shared" si="2640"/>
        <v>0</v>
      </c>
      <c r="FX391" s="336">
        <f t="shared" si="2641"/>
        <v>0</v>
      </c>
      <c r="FY391" s="336">
        <f t="shared" si="2557"/>
        <v>0</v>
      </c>
      <c r="FZ391" s="336">
        <f t="shared" si="2558"/>
        <v>0</v>
      </c>
      <c r="GA391" s="336">
        <f t="shared" si="2559"/>
        <v>0</v>
      </c>
      <c r="GB391" s="336">
        <f t="shared" si="2560"/>
        <v>0</v>
      </c>
      <c r="GC391" s="336">
        <f t="shared" si="2561"/>
        <v>0</v>
      </c>
      <c r="GD391" s="336">
        <f t="shared" si="2562"/>
        <v>0</v>
      </c>
      <c r="GE391" s="336">
        <f t="shared" si="2563"/>
        <v>0</v>
      </c>
      <c r="GF391" s="336">
        <f t="shared" si="2564"/>
        <v>0</v>
      </c>
      <c r="GG391" s="336">
        <f t="shared" si="2565"/>
        <v>0</v>
      </c>
      <c r="GH391" s="336">
        <f t="shared" si="2566"/>
        <v>0</v>
      </c>
      <c r="GI391" s="336">
        <f t="shared" si="2567"/>
        <v>0</v>
      </c>
      <c r="GJ391" s="336">
        <f t="shared" si="2568"/>
        <v>0</v>
      </c>
      <c r="GK391" s="336">
        <f t="shared" si="2513"/>
        <v>0</v>
      </c>
      <c r="GL391" s="336">
        <f t="shared" si="2642"/>
        <v>0</v>
      </c>
      <c r="GM391" s="336">
        <f t="shared" si="2569"/>
        <v>0</v>
      </c>
    </row>
    <row r="392" spans="1:195">
      <c r="A392" s="337">
        <f t="shared" si="2635"/>
        <v>264</v>
      </c>
      <c r="B392" s="388" t="s">
        <v>846</v>
      </c>
      <c r="C392" s="337" t="s">
        <v>838</v>
      </c>
      <c r="D392" s="338" t="s">
        <v>847</v>
      </c>
      <c r="E392" s="500" t="s">
        <v>335</v>
      </c>
      <c r="F392" s="570"/>
      <c r="G392" s="337" t="s">
        <v>329</v>
      </c>
      <c r="H392" s="418">
        <v>5</v>
      </c>
      <c r="I392" s="337" t="s">
        <v>330</v>
      </c>
      <c r="J392" s="337" t="s">
        <v>331</v>
      </c>
      <c r="K392" s="349">
        <v>400</v>
      </c>
      <c r="L392" s="343">
        <v>0.84999999999999987</v>
      </c>
      <c r="M392" s="350">
        <v>0.95099999999999985</v>
      </c>
      <c r="N392" s="342">
        <f t="shared" si="2613"/>
        <v>8.9281747625212677</v>
      </c>
      <c r="O392" s="342">
        <f t="shared" ref="O392" si="2644">IF(G392="MOTOR",(6*N392),IF(G392="VFD",(1*N392),0))</f>
        <v>0</v>
      </c>
      <c r="P392" s="343" t="str">
        <f t="shared" ref="P392" si="2645">IF(G392="MOTOR",0.2,"0.00")</f>
        <v>0.00</v>
      </c>
      <c r="Q392" s="350">
        <v>25</v>
      </c>
      <c r="R392" s="350">
        <v>0</v>
      </c>
      <c r="S392" s="350">
        <f t="shared" ref="S392" si="2646">(Q392*1000*SQRT(R392)/143)</f>
        <v>0</v>
      </c>
      <c r="T392" s="343" t="s">
        <v>131</v>
      </c>
      <c r="U392" s="350" t="s">
        <v>522</v>
      </c>
      <c r="V392" s="343">
        <v>10</v>
      </c>
      <c r="W392" s="343" t="str">
        <f t="shared" ref="W392" si="2647">CONCATENATE(U392," X ",V392)</f>
        <v>4C X 10</v>
      </c>
      <c r="X392" s="343" t="str">
        <f t="shared" ref="X392" si="2648">(IF(J392="1Ph",W392,IF(J392="3Ph",(IF(G392="MOTOR",(CONCATENATE(W392,"+PE")),W392)))))</f>
        <v>4C X 10</v>
      </c>
      <c r="Y392" s="343" t="s">
        <v>358</v>
      </c>
      <c r="Z392" s="344">
        <f>IF(T392="AIR",VLOOKUP(W392,'Catalogue Aluminium'!$B$9:$G$93,2,FALSE),IF(T392="GROUND",VLOOKUP(W392,'Catalogue Aluminium'!$B$9:$G$93,3,FALSE),IF(T392="DUCT",VLOOKUP(W392,'Catalogue Aluminium'!$B$9:$G$93,4,FALSE),IF(T392="TRENCH",VLOOKUP(W392,'Catalogue Aluminium'!$B$9:$G$93,2,FALSE)))))</f>
        <v>60</v>
      </c>
      <c r="AA392" s="345">
        <f>VLOOKUP(W392,'Catalogue Aluminium'!$B$9:$G$93,5,FALSE)</f>
        <v>3.94</v>
      </c>
      <c r="AB392" s="345">
        <f>VLOOKUP(W392,'Catalogue Aluminium'!$B$9:$G$93,6,FALSE)</f>
        <v>8.5199999999999998E-2</v>
      </c>
      <c r="AC392" s="388">
        <v>29</v>
      </c>
      <c r="AD392" s="574">
        <v>0</v>
      </c>
      <c r="AE392" s="401">
        <v>10</v>
      </c>
      <c r="AF392" s="401">
        <v>5</v>
      </c>
      <c r="AG392" s="401">
        <f t="shared" ref="AG392" si="2649">ROUNDUP((SUM(AC392:AF392)*0.1),0)</f>
        <v>5</v>
      </c>
      <c r="AH392" s="347">
        <f t="shared" ref="AH392" si="2650">SUM(AC392:AG392)</f>
        <v>49</v>
      </c>
      <c r="AI392" s="344">
        <f>IF(T392="AIR",'Catalogue Aluminium'!$K$9,IF(T392="TRENCH",'Catalogue Aluminium'!$K$12,"NA"))</f>
        <v>0.89</v>
      </c>
      <c r="AJ392" s="342">
        <f>IF(T392="Air",(IF(U392="1C",'Catalogue Aluminium'!$L$9,'Catalogue Aluminium'!$M$9)),IF(T392="DUCT",(IF($U392="1C",'Catalogue Aluminium'!$L$10,'Catalogue Aluminium'!$M$10)),IF(T392="GROUND",(IF($U392="1C",'Catalogue Aluminium'!$L$11,'Catalogue Aluminium'!$M$11)),IF(T392="TRENCH",(IF($U392="1C",'Catalogue Aluminium'!$L$12,'Catalogue Aluminium'!$M$12))))))</f>
        <v>0.66</v>
      </c>
      <c r="AK392" s="344" t="str">
        <f>IF(T392="Air",'Catalogue Aluminium'!$N$9,IF(T392="GROUND",'Catalogue Aluminium'!$N$10,IF(T392="DUCT",'Catalogue Aluminium'!$N$11,IF(T392="TRENCH",'Catalogue Aluminium'!$N$12,"NA"))))</f>
        <v>NA</v>
      </c>
      <c r="AL392" s="344" t="str">
        <f>IF(T392="Air",(IF(U392="1C",'Catalogue Aluminium'!$O$9,'Catalogue Aluminium'!$P$9)),IF(T392="DUCT",(IF($U392="1C",'Catalogue Aluminium'!$O$10,'Catalogue Aluminium'!$P$10)),IF(T392="GROUND",(IF($U392="1C",'Catalogue Aluminium'!$O$11,'Catalogue Aluminium'!$P$11)),IF(T392="TRENCH",(IF($U392="1C",'Catalogue Aluminium'!$O$12,'Catalogue Aluminium'!$P$12))))))</f>
        <v>NA</v>
      </c>
      <c r="AM392" s="344" t="str">
        <f>IF(T392="AIR","NA",IF(T392="TRENCH","NA",IF(T392="DUCT",IF(U392="1C",VLOOKUP(V392,'Catalogue Aluminium'!$Q$9:$S$28,2,FALSE),VLOOKUP(V392,'Catalogue Aluminium'!$Q$9:$S$28,3)),IF(T392="GROUND",IF(U392="1C",VLOOKUP(V392,'Catalogue Aluminium'!$Q$9:$S$28,2,FALSE),VLOOKUP(V392,'Catalogue Aluminium'!$Q$9:$S$28,3))))))</f>
        <v>NA</v>
      </c>
      <c r="AN392" s="351">
        <f t="shared" ref="AN392" si="2651">IF(T392="AIR",AI392*AJ392,IF(T392="TRENCH",AI392*AJ392,IF(T392="DUCT",AJ392*AK392*AL392*AM392,IF(T392="GROUND",AJ392*AK392*AL392*AM392))))</f>
        <v>0.58740000000000003</v>
      </c>
      <c r="AO392" s="350">
        <f t="shared" ref="AO392" si="2652">Z392*AN392</f>
        <v>35.244</v>
      </c>
      <c r="AP392" s="349">
        <f t="shared" si="2623"/>
        <v>1</v>
      </c>
      <c r="AQ392" s="350" t="str">
        <f t="shared" ref="AQ392" si="2653">IF(AO392*AP392&gt;=N392,"YES","NO")</f>
        <v>YES</v>
      </c>
      <c r="AR392" s="351">
        <f t="shared" ref="AR392" si="2654">SQRT(3)*AH392*N392*((AA392*L392)+(AB392*SIN(ACOS(L392))))*100/(AP392*K392*1000)</f>
        <v>0.64291879568945154</v>
      </c>
      <c r="AS392" s="343" t="str">
        <f t="shared" si="2626"/>
        <v>YES</v>
      </c>
      <c r="AT392" s="351" t="str">
        <f t="shared" si="2627"/>
        <v>NA</v>
      </c>
      <c r="AU392" s="343" t="str">
        <f t="shared" si="2628"/>
        <v>NA</v>
      </c>
      <c r="AV392" s="351" t="str">
        <f t="shared" si="2629"/>
        <v>1R x 0.6/1kV x 4C x 10 Sqmm</v>
      </c>
      <c r="AW392" s="351" t="str">
        <f t="shared" si="2630"/>
        <v>1R x 0.6/1kV x 4C x 10 Sqmm</v>
      </c>
      <c r="AX392" s="343">
        <f t="shared" si="2631"/>
        <v>49</v>
      </c>
      <c r="AY392" s="343"/>
      <c r="AZ392" s="343">
        <f t="shared" si="2632"/>
        <v>2</v>
      </c>
      <c r="BA392" s="356" t="str">
        <f t="shared" si="2633"/>
        <v/>
      </c>
      <c r="BB392" s="328">
        <f>VLOOKUP(W392,'Catalogue Aluminium'!$B$9:$H$93,7,FALSE)</f>
        <v>20</v>
      </c>
      <c r="BC392" s="328">
        <f t="shared" si="2634"/>
        <v>20</v>
      </c>
      <c r="BE392" s="336"/>
      <c r="BF392" s="336"/>
      <c r="BG392" s="336"/>
      <c r="BH392" s="336"/>
      <c r="BI392" s="336"/>
      <c r="BJ392" s="336"/>
      <c r="BK392" s="336"/>
      <c r="BL392" s="336"/>
      <c r="BM392" s="336"/>
      <c r="BN392" s="336"/>
      <c r="BO392" s="336"/>
      <c r="BP392" s="336"/>
      <c r="BQ392" s="336"/>
      <c r="BR392" s="336"/>
      <c r="BS392" s="336"/>
      <c r="BT392" s="336"/>
      <c r="BU392" s="336"/>
      <c r="BV392" s="336"/>
      <c r="BW392" s="336"/>
      <c r="BX392" s="336"/>
      <c r="BY392" s="336"/>
      <c r="BZ392" s="336"/>
      <c r="CA392" s="336"/>
      <c r="CB392" s="336"/>
      <c r="CC392" s="336"/>
      <c r="CD392" s="336"/>
      <c r="CE392" s="336"/>
      <c r="CF392" s="336"/>
      <c r="CG392" s="336"/>
      <c r="CH392" s="336"/>
      <c r="CI392" s="336"/>
      <c r="CJ392" s="336"/>
      <c r="CK392" s="336"/>
      <c r="CL392" s="336"/>
      <c r="CM392" s="336"/>
      <c r="CN392" s="336"/>
      <c r="CO392" s="336"/>
      <c r="CP392" s="336"/>
      <c r="CQ392" s="336"/>
      <c r="CR392" s="336"/>
      <c r="CS392" s="336"/>
      <c r="CT392" s="336"/>
      <c r="CU392" s="336"/>
      <c r="CV392" s="336"/>
      <c r="CW392" s="336"/>
      <c r="CX392" s="336"/>
      <c r="CY392" s="336"/>
      <c r="CZ392" s="336"/>
      <c r="DA392" s="336"/>
      <c r="DB392" s="336"/>
      <c r="DC392" s="336"/>
      <c r="DD392" s="336"/>
      <c r="DE392" s="336"/>
      <c r="DF392" s="336"/>
      <c r="DG392" s="336"/>
      <c r="DH392" s="336"/>
      <c r="DI392" s="336"/>
      <c r="DJ392" s="336"/>
      <c r="DK392" s="336"/>
      <c r="DL392" s="336"/>
      <c r="DM392" s="336"/>
      <c r="DN392" s="336"/>
      <c r="DO392" s="336"/>
      <c r="DP392" s="336"/>
      <c r="DQ392" s="336"/>
      <c r="DR392" s="336"/>
      <c r="DS392" s="336"/>
      <c r="DT392" s="336"/>
      <c r="DU392" s="336"/>
      <c r="DW392" s="336">
        <f t="shared" si="2591"/>
        <v>0</v>
      </c>
      <c r="DX392" s="336">
        <f t="shared" si="2592"/>
        <v>0</v>
      </c>
      <c r="DY392" s="336">
        <f t="shared" si="2593"/>
        <v>0</v>
      </c>
      <c r="DZ392" s="336">
        <f t="shared" si="2594"/>
        <v>0</v>
      </c>
      <c r="EA392" s="336">
        <f t="shared" si="2595"/>
        <v>0</v>
      </c>
      <c r="EB392" s="336">
        <f t="shared" si="2596"/>
        <v>0</v>
      </c>
      <c r="EC392" s="336">
        <f t="shared" si="2597"/>
        <v>0</v>
      </c>
      <c r="ED392" s="336">
        <f t="shared" si="2515"/>
        <v>0</v>
      </c>
      <c r="EE392" s="336">
        <f t="shared" si="2516"/>
        <v>0</v>
      </c>
      <c r="EF392" s="336">
        <f t="shared" si="2517"/>
        <v>0</v>
      </c>
      <c r="EG392" s="336">
        <f t="shared" si="2518"/>
        <v>0</v>
      </c>
      <c r="EH392" s="336">
        <f t="shared" si="2519"/>
        <v>0</v>
      </c>
      <c r="EI392" s="336">
        <f t="shared" si="2520"/>
        <v>0</v>
      </c>
      <c r="EJ392" s="336">
        <f t="shared" si="2521"/>
        <v>0</v>
      </c>
      <c r="EK392" s="336">
        <f t="shared" si="2522"/>
        <v>0</v>
      </c>
      <c r="EL392" s="336">
        <f t="shared" si="2523"/>
        <v>0</v>
      </c>
      <c r="EM392" s="336">
        <f t="shared" si="2524"/>
        <v>0</v>
      </c>
      <c r="EN392" s="336">
        <f t="shared" si="2525"/>
        <v>0</v>
      </c>
      <c r="EO392" s="336">
        <f t="shared" si="2526"/>
        <v>0</v>
      </c>
      <c r="EP392" s="336">
        <f t="shared" si="2527"/>
        <v>0</v>
      </c>
      <c r="EQ392" s="336">
        <f t="shared" si="2528"/>
        <v>0</v>
      </c>
      <c r="ER392" s="336">
        <f t="shared" si="2529"/>
        <v>0</v>
      </c>
      <c r="ES392" s="336">
        <f t="shared" si="2530"/>
        <v>0</v>
      </c>
      <c r="ET392" s="336">
        <f t="shared" si="2530"/>
        <v>0</v>
      </c>
      <c r="EU392" s="336">
        <f t="shared" si="2531"/>
        <v>0</v>
      </c>
      <c r="EV392" s="336">
        <f t="shared" si="2532"/>
        <v>0</v>
      </c>
      <c r="EW392" s="336">
        <f t="shared" si="2533"/>
        <v>0</v>
      </c>
      <c r="EX392" s="336">
        <f t="shared" si="2534"/>
        <v>0</v>
      </c>
      <c r="EY392" s="336">
        <f t="shared" si="2535"/>
        <v>0</v>
      </c>
      <c r="EZ392" s="336">
        <f t="shared" si="2536"/>
        <v>0</v>
      </c>
      <c r="FA392" s="336">
        <f t="shared" si="2537"/>
        <v>0</v>
      </c>
      <c r="FB392" s="336">
        <f t="shared" si="2538"/>
        <v>0</v>
      </c>
      <c r="FC392" s="336">
        <f t="shared" si="2539"/>
        <v>0</v>
      </c>
      <c r="FD392" s="336">
        <f t="shared" si="2540"/>
        <v>0</v>
      </c>
      <c r="FE392" s="336">
        <f t="shared" si="2541"/>
        <v>0</v>
      </c>
      <c r="FF392" s="336">
        <f t="shared" si="2542"/>
        <v>0</v>
      </c>
      <c r="FG392" s="336">
        <f t="shared" si="2543"/>
        <v>0</v>
      </c>
      <c r="FH392" s="336">
        <f t="shared" si="2544"/>
        <v>0</v>
      </c>
      <c r="FI392" s="336">
        <f t="shared" si="2545"/>
        <v>0</v>
      </c>
      <c r="FJ392" s="336">
        <f t="shared" si="2546"/>
        <v>0</v>
      </c>
      <c r="FK392" s="336">
        <f t="shared" si="2547"/>
        <v>0</v>
      </c>
      <c r="FL392" s="336">
        <f t="shared" si="2548"/>
        <v>0</v>
      </c>
      <c r="FM392" s="336">
        <f t="shared" si="2549"/>
        <v>0</v>
      </c>
      <c r="FN392" s="336">
        <f t="shared" si="2550"/>
        <v>0</v>
      </c>
      <c r="FO392" s="336">
        <f t="shared" si="2551"/>
        <v>0</v>
      </c>
      <c r="FP392" s="336">
        <f t="shared" si="2552"/>
        <v>0</v>
      </c>
      <c r="FQ392" s="336">
        <f t="shared" si="2553"/>
        <v>0</v>
      </c>
      <c r="FR392" s="336">
        <f t="shared" si="2554"/>
        <v>0</v>
      </c>
      <c r="FS392" s="336">
        <f t="shared" si="2555"/>
        <v>0</v>
      </c>
      <c r="FT392" s="336">
        <f t="shared" si="2556"/>
        <v>0</v>
      </c>
      <c r="FU392" s="336">
        <f t="shared" si="2638"/>
        <v>0</v>
      </c>
      <c r="FV392" s="336">
        <f t="shared" si="2639"/>
        <v>0</v>
      </c>
      <c r="FW392" s="336">
        <f t="shared" si="2640"/>
        <v>0</v>
      </c>
      <c r="FX392" s="336">
        <f t="shared" si="2641"/>
        <v>0</v>
      </c>
      <c r="FY392" s="336">
        <f t="shared" si="2557"/>
        <v>0</v>
      </c>
      <c r="FZ392" s="336">
        <f t="shared" si="2558"/>
        <v>0</v>
      </c>
      <c r="GA392" s="336">
        <f t="shared" si="2559"/>
        <v>0</v>
      </c>
      <c r="GB392" s="336">
        <f t="shared" si="2560"/>
        <v>0</v>
      </c>
      <c r="GC392" s="336">
        <f t="shared" si="2561"/>
        <v>0</v>
      </c>
      <c r="GD392" s="336">
        <f t="shared" si="2562"/>
        <v>0</v>
      </c>
      <c r="GE392" s="336">
        <f t="shared" si="2563"/>
        <v>0</v>
      </c>
      <c r="GF392" s="336">
        <f t="shared" si="2564"/>
        <v>0</v>
      </c>
      <c r="GG392" s="336">
        <f t="shared" si="2565"/>
        <v>0</v>
      </c>
      <c r="GH392" s="336">
        <f t="shared" si="2566"/>
        <v>0</v>
      </c>
      <c r="GI392" s="336">
        <f t="shared" si="2567"/>
        <v>0</v>
      </c>
      <c r="GJ392" s="336">
        <f t="shared" si="2568"/>
        <v>0</v>
      </c>
      <c r="GK392" s="336">
        <f t="shared" si="2513"/>
        <v>0</v>
      </c>
      <c r="GL392" s="336">
        <f t="shared" si="2642"/>
        <v>0</v>
      </c>
      <c r="GM392" s="336">
        <f t="shared" si="2569"/>
        <v>0</v>
      </c>
    </row>
    <row r="393" spans="1:195">
      <c r="A393" s="337">
        <f t="shared" si="2635"/>
        <v>265</v>
      </c>
      <c r="B393" s="526" t="s">
        <v>726</v>
      </c>
      <c r="C393" s="337" t="str">
        <f t="shared" ref="C393" si="2655">$D$385</f>
        <v>EMLDB-1</v>
      </c>
      <c r="D393" s="500" t="s">
        <v>848</v>
      </c>
      <c r="E393" s="500" t="s">
        <v>335</v>
      </c>
      <c r="F393" s="570"/>
      <c r="G393" s="340" t="s">
        <v>337</v>
      </c>
      <c r="H393" s="418">
        <v>30</v>
      </c>
      <c r="I393" s="337" t="s">
        <v>330</v>
      </c>
      <c r="J393" s="337" t="s">
        <v>331</v>
      </c>
      <c r="K393" s="349">
        <v>400</v>
      </c>
      <c r="L393" s="343">
        <v>0.84999999999999987</v>
      </c>
      <c r="M393" s="350">
        <v>0.95099999999999985</v>
      </c>
      <c r="N393" s="342">
        <v>63</v>
      </c>
      <c r="O393" s="399"/>
      <c r="P393" s="400"/>
      <c r="Q393" s="400"/>
      <c r="R393" s="400"/>
      <c r="S393" s="400"/>
      <c r="T393" s="400"/>
      <c r="U393" s="400"/>
      <c r="V393" s="400"/>
      <c r="W393" s="400"/>
      <c r="X393" s="400"/>
      <c r="Y393" s="400"/>
      <c r="Z393" s="400"/>
      <c r="AA393" s="400"/>
      <c r="AB393" s="400"/>
      <c r="AC393" s="913"/>
      <c r="AD393" s="913"/>
      <c r="AE393" s="913"/>
      <c r="AF393" s="913"/>
      <c r="AG393" s="913"/>
      <c r="AH393" s="400"/>
      <c r="AI393" s="400"/>
      <c r="AJ393" s="400"/>
      <c r="AK393" s="400"/>
      <c r="AL393" s="400"/>
      <c r="AM393" s="400"/>
      <c r="AN393" s="400"/>
      <c r="AO393" s="400"/>
      <c r="AP393" s="400"/>
      <c r="AQ393" s="400"/>
      <c r="AR393" s="400"/>
      <c r="AS393" s="400"/>
      <c r="AT393" s="400"/>
      <c r="AU393" s="400"/>
      <c r="AV393" s="400"/>
      <c r="AW393" s="400"/>
      <c r="AX393" s="400"/>
      <c r="AY393" s="400"/>
      <c r="AZ393" s="400"/>
      <c r="BA393" s="400"/>
      <c r="BB393" s="400"/>
      <c r="BC393" s="912"/>
      <c r="BE393" s="530"/>
      <c r="BF393" s="530"/>
      <c r="BG393" s="530"/>
      <c r="BH393" s="530"/>
      <c r="BI393" s="530"/>
      <c r="BJ393" s="530"/>
      <c r="BK393" s="530"/>
      <c r="BL393" s="530"/>
      <c r="BM393" s="530"/>
      <c r="BN393" s="530"/>
      <c r="BO393" s="530"/>
      <c r="BP393" s="530"/>
      <c r="BQ393" s="530"/>
      <c r="BR393" s="530"/>
      <c r="BS393" s="530"/>
      <c r="BT393" s="530"/>
      <c r="BU393" s="530"/>
      <c r="BV393" s="530"/>
      <c r="BW393" s="530"/>
      <c r="BX393" s="530"/>
      <c r="BY393" s="530"/>
      <c r="BZ393" s="530"/>
      <c r="CA393" s="530"/>
      <c r="CB393" s="530"/>
      <c r="CC393" s="530"/>
      <c r="CD393" s="530"/>
      <c r="CE393" s="530"/>
      <c r="CF393" s="530"/>
      <c r="CG393" s="530"/>
      <c r="CH393" s="530"/>
      <c r="CI393" s="530"/>
      <c r="CJ393" s="530"/>
      <c r="CK393" s="530"/>
      <c r="CL393" s="530"/>
      <c r="CM393" s="530"/>
      <c r="CN393" s="530"/>
      <c r="CO393" s="530"/>
      <c r="CP393" s="530"/>
      <c r="CQ393" s="530"/>
      <c r="CR393" s="530"/>
      <c r="CS393" s="530"/>
      <c r="CT393" s="530"/>
      <c r="CU393" s="530"/>
      <c r="CV393" s="530"/>
      <c r="CW393" s="530"/>
      <c r="CX393" s="530"/>
      <c r="CY393" s="530"/>
      <c r="CZ393" s="530"/>
      <c r="DA393" s="530"/>
      <c r="DB393" s="530"/>
      <c r="DC393" s="530"/>
      <c r="DD393" s="530"/>
      <c r="DE393" s="530"/>
      <c r="DF393" s="530"/>
      <c r="DG393" s="530"/>
      <c r="DH393" s="530"/>
      <c r="DI393" s="530"/>
      <c r="DJ393" s="530"/>
      <c r="DK393" s="530"/>
      <c r="DL393" s="530"/>
      <c r="DM393" s="530"/>
      <c r="DN393" s="530"/>
      <c r="DO393" s="530"/>
      <c r="DP393" s="530"/>
      <c r="DQ393" s="530"/>
      <c r="DR393" s="530"/>
      <c r="DS393" s="530"/>
      <c r="DT393" s="530"/>
      <c r="DU393" s="530"/>
      <c r="DW393" s="336">
        <f t="shared" si="2591"/>
        <v>0</v>
      </c>
      <c r="DX393" s="336">
        <f t="shared" si="2592"/>
        <v>0</v>
      </c>
      <c r="DY393" s="336">
        <f t="shared" si="2593"/>
        <v>0</v>
      </c>
      <c r="DZ393" s="336">
        <f t="shared" si="2594"/>
        <v>0</v>
      </c>
      <c r="EA393" s="336">
        <f t="shared" si="2595"/>
        <v>0</v>
      </c>
      <c r="EB393" s="336">
        <f t="shared" si="2596"/>
        <v>0</v>
      </c>
      <c r="EC393" s="336">
        <f t="shared" si="2597"/>
        <v>0</v>
      </c>
      <c r="ED393" s="336">
        <f t="shared" si="2515"/>
        <v>0</v>
      </c>
      <c r="EE393" s="336">
        <f t="shared" si="2516"/>
        <v>0</v>
      </c>
      <c r="EF393" s="336">
        <f t="shared" si="2517"/>
        <v>0</v>
      </c>
      <c r="EG393" s="336">
        <f t="shared" si="2518"/>
        <v>0</v>
      </c>
      <c r="EH393" s="336">
        <f t="shared" si="2519"/>
        <v>0</v>
      </c>
      <c r="EI393" s="336">
        <f t="shared" si="2520"/>
        <v>0</v>
      </c>
      <c r="EJ393" s="336">
        <f t="shared" si="2521"/>
        <v>0</v>
      </c>
      <c r="EK393" s="336">
        <f t="shared" si="2522"/>
        <v>0</v>
      </c>
      <c r="EL393" s="336">
        <f t="shared" si="2523"/>
        <v>0</v>
      </c>
      <c r="EM393" s="336">
        <f t="shared" si="2524"/>
        <v>0</v>
      </c>
      <c r="EN393" s="336">
        <f t="shared" si="2525"/>
        <v>0</v>
      </c>
      <c r="EO393" s="336">
        <f t="shared" si="2526"/>
        <v>0</v>
      </c>
      <c r="EP393" s="336">
        <f t="shared" si="2527"/>
        <v>0</v>
      </c>
      <c r="EQ393" s="336">
        <f t="shared" si="2528"/>
        <v>0</v>
      </c>
      <c r="ER393" s="336">
        <f t="shared" si="2529"/>
        <v>0</v>
      </c>
      <c r="ES393" s="336">
        <f t="shared" si="2530"/>
        <v>0</v>
      </c>
      <c r="ET393" s="336">
        <f t="shared" si="2530"/>
        <v>0</v>
      </c>
      <c r="EU393" s="336">
        <f t="shared" si="2531"/>
        <v>0</v>
      </c>
      <c r="EV393" s="336">
        <f t="shared" si="2532"/>
        <v>0</v>
      </c>
      <c r="EW393" s="336">
        <f t="shared" si="2533"/>
        <v>0</v>
      </c>
      <c r="EX393" s="336">
        <f t="shared" si="2534"/>
        <v>0</v>
      </c>
      <c r="EY393" s="336">
        <f t="shared" si="2535"/>
        <v>0</v>
      </c>
      <c r="EZ393" s="336">
        <f t="shared" si="2536"/>
        <v>0</v>
      </c>
      <c r="FA393" s="336">
        <f t="shared" si="2537"/>
        <v>0</v>
      </c>
      <c r="FB393" s="336">
        <f t="shared" si="2538"/>
        <v>0</v>
      </c>
      <c r="FC393" s="336">
        <f t="shared" si="2539"/>
        <v>0</v>
      </c>
      <c r="FD393" s="336">
        <f t="shared" si="2540"/>
        <v>0</v>
      </c>
      <c r="FE393" s="336">
        <f t="shared" si="2541"/>
        <v>0</v>
      </c>
      <c r="FF393" s="336">
        <f t="shared" si="2542"/>
        <v>0</v>
      </c>
      <c r="FG393" s="336">
        <f t="shared" si="2543"/>
        <v>0</v>
      </c>
      <c r="FH393" s="336">
        <f t="shared" si="2544"/>
        <v>0</v>
      </c>
      <c r="FI393" s="336">
        <f t="shared" si="2545"/>
        <v>0</v>
      </c>
      <c r="FJ393" s="336">
        <f t="shared" si="2546"/>
        <v>0</v>
      </c>
      <c r="FK393" s="336">
        <f t="shared" si="2547"/>
        <v>0</v>
      </c>
      <c r="FL393" s="336">
        <f t="shared" si="2548"/>
        <v>0</v>
      </c>
      <c r="FM393" s="336">
        <f t="shared" si="2549"/>
        <v>0</v>
      </c>
      <c r="FN393" s="336">
        <f t="shared" si="2550"/>
        <v>0</v>
      </c>
      <c r="FO393" s="336">
        <f t="shared" si="2551"/>
        <v>0</v>
      </c>
      <c r="FP393" s="336">
        <f t="shared" si="2552"/>
        <v>0</v>
      </c>
      <c r="FQ393" s="336">
        <f t="shared" si="2553"/>
        <v>0</v>
      </c>
      <c r="FR393" s="336">
        <f t="shared" si="2554"/>
        <v>0</v>
      </c>
      <c r="FS393" s="336">
        <f t="shared" si="2555"/>
        <v>0</v>
      </c>
      <c r="FT393" s="336">
        <f t="shared" si="2556"/>
        <v>0</v>
      </c>
      <c r="FU393" s="336">
        <f t="shared" si="2638"/>
        <v>0</v>
      </c>
      <c r="FV393" s="336">
        <f t="shared" si="2639"/>
        <v>0</v>
      </c>
      <c r="FW393" s="336">
        <f t="shared" si="2640"/>
        <v>0</v>
      </c>
      <c r="FX393" s="336">
        <f t="shared" si="2641"/>
        <v>0</v>
      </c>
      <c r="FY393" s="336">
        <f t="shared" si="2557"/>
        <v>0</v>
      </c>
      <c r="FZ393" s="336">
        <f t="shared" si="2558"/>
        <v>0</v>
      </c>
      <c r="GA393" s="336">
        <f t="shared" si="2559"/>
        <v>0</v>
      </c>
      <c r="GB393" s="336">
        <f t="shared" si="2560"/>
        <v>0</v>
      </c>
      <c r="GC393" s="336">
        <f t="shared" si="2561"/>
        <v>0</v>
      </c>
      <c r="GD393" s="336">
        <f t="shared" si="2562"/>
        <v>0</v>
      </c>
      <c r="GE393" s="336">
        <f t="shared" si="2563"/>
        <v>0</v>
      </c>
      <c r="GF393" s="336">
        <f t="shared" si="2564"/>
        <v>0</v>
      </c>
      <c r="GG393" s="336">
        <f t="shared" si="2565"/>
        <v>0</v>
      </c>
      <c r="GH393" s="336">
        <f t="shared" si="2566"/>
        <v>0</v>
      </c>
      <c r="GI393" s="336">
        <f t="shared" si="2567"/>
        <v>0</v>
      </c>
      <c r="GJ393" s="336">
        <f t="shared" si="2568"/>
        <v>0</v>
      </c>
      <c r="GK393" s="336">
        <f t="shared" si="2513"/>
        <v>0</v>
      </c>
      <c r="GL393" s="336">
        <f t="shared" si="2642"/>
        <v>0</v>
      </c>
      <c r="GM393" s="336">
        <f t="shared" si="2569"/>
        <v>0</v>
      </c>
    </row>
    <row r="394" spans="1:195" s="76" customFormat="1" ht="26.25" customHeight="1">
      <c r="A394" s="531"/>
      <c r="B394" s="531"/>
      <c r="C394" s="531"/>
      <c r="D394" s="330" t="s">
        <v>849</v>
      </c>
      <c r="E394" s="533"/>
      <c r="F394" s="857"/>
      <c r="G394" s="531"/>
      <c r="H394" s="534"/>
      <c r="I394" s="531"/>
      <c r="J394" s="531"/>
      <c r="K394" s="535"/>
      <c r="L394" s="536"/>
      <c r="M394" s="534"/>
      <c r="N394" s="537"/>
      <c r="O394" s="537"/>
      <c r="P394" s="536"/>
      <c r="Q394" s="534"/>
      <c r="R394" s="534"/>
      <c r="S394" s="534"/>
      <c r="T394" s="536"/>
      <c r="U394" s="534"/>
      <c r="V394" s="536"/>
      <c r="W394" s="536"/>
      <c r="X394" s="536"/>
      <c r="Y394" s="536"/>
      <c r="Z394" s="538"/>
      <c r="AA394" s="539"/>
      <c r="AB394" s="539"/>
      <c r="AC394" s="861"/>
      <c r="AD394" s="861"/>
      <c r="AE394" s="861"/>
      <c r="AF394" s="861"/>
      <c r="AG394" s="861"/>
      <c r="AH394" s="540"/>
      <c r="AI394" s="538"/>
      <c r="AJ394" s="537"/>
      <c r="AK394" s="538"/>
      <c r="AL394" s="538"/>
      <c r="AM394" s="538"/>
      <c r="AN394" s="541"/>
      <c r="AO394" s="534"/>
      <c r="AP394" s="535"/>
      <c r="AQ394" s="534"/>
      <c r="AR394" s="541"/>
      <c r="AS394" s="536"/>
      <c r="AT394" s="541"/>
      <c r="AU394" s="541"/>
      <c r="AV394" s="542"/>
      <c r="AW394" s="542"/>
      <c r="AX394" s="536"/>
      <c r="AY394" s="543"/>
      <c r="AZ394" s="543"/>
      <c r="BA394" s="536"/>
      <c r="BB394" s="536"/>
      <c r="BC394" s="536"/>
      <c r="BE394" s="536"/>
      <c r="BF394" s="536"/>
      <c r="BG394" s="536"/>
      <c r="BH394" s="536"/>
      <c r="BI394" s="536"/>
      <c r="BJ394" s="536"/>
      <c r="BK394" s="536"/>
      <c r="BL394" s="536"/>
      <c r="BM394" s="536"/>
      <c r="BN394" s="536"/>
      <c r="BO394" s="536"/>
      <c r="BP394" s="536"/>
      <c r="BQ394" s="536"/>
      <c r="BR394" s="536"/>
      <c r="BS394" s="536"/>
      <c r="BT394" s="536"/>
      <c r="BU394" s="536"/>
      <c r="BV394" s="536"/>
      <c r="BW394" s="536"/>
      <c r="BX394" s="536"/>
      <c r="BY394" s="536"/>
      <c r="BZ394" s="536"/>
      <c r="CA394" s="536"/>
      <c r="CB394" s="536"/>
      <c r="CC394" s="536"/>
      <c r="CD394" s="536"/>
      <c r="CE394" s="536"/>
      <c r="CF394" s="536"/>
      <c r="CG394" s="536"/>
      <c r="CH394" s="536"/>
      <c r="CI394" s="536"/>
      <c r="CJ394" s="536"/>
      <c r="CK394" s="536"/>
      <c r="CL394" s="536"/>
      <c r="CM394" s="536"/>
      <c r="CN394" s="536"/>
      <c r="CO394" s="536"/>
      <c r="CP394" s="536"/>
      <c r="CQ394" s="536"/>
      <c r="CR394" s="536"/>
      <c r="CS394" s="536"/>
      <c r="CT394" s="536"/>
      <c r="CU394" s="536"/>
      <c r="CV394" s="536"/>
      <c r="CW394" s="536"/>
      <c r="CX394" s="536"/>
      <c r="CY394" s="536"/>
      <c r="CZ394" s="536"/>
      <c r="DA394" s="536"/>
      <c r="DB394" s="536"/>
      <c r="DC394" s="536"/>
      <c r="DD394" s="536"/>
      <c r="DE394" s="536"/>
      <c r="DF394" s="536"/>
      <c r="DG394" s="536"/>
      <c r="DH394" s="536"/>
      <c r="DI394" s="536"/>
      <c r="DJ394" s="536"/>
      <c r="DK394" s="536"/>
      <c r="DL394" s="536"/>
      <c r="DM394" s="536"/>
      <c r="DN394" s="536"/>
      <c r="DO394" s="536"/>
      <c r="DP394" s="536"/>
      <c r="DQ394" s="536"/>
      <c r="DR394" s="536"/>
      <c r="DS394" s="536"/>
      <c r="DT394" s="536"/>
      <c r="DU394" s="536"/>
      <c r="DV394" s="61"/>
      <c r="DW394" s="336">
        <f t="shared" si="2591"/>
        <v>0</v>
      </c>
      <c r="DX394" s="336">
        <f t="shared" si="2592"/>
        <v>0</v>
      </c>
      <c r="DY394" s="336">
        <f t="shared" si="2593"/>
        <v>0</v>
      </c>
      <c r="DZ394" s="336">
        <f t="shared" si="2594"/>
        <v>0</v>
      </c>
      <c r="EA394" s="336">
        <f t="shared" si="2595"/>
        <v>0</v>
      </c>
      <c r="EB394" s="336">
        <f t="shared" si="2596"/>
        <v>0</v>
      </c>
      <c r="EC394" s="336">
        <f t="shared" si="2597"/>
        <v>0</v>
      </c>
      <c r="ED394" s="336">
        <f t="shared" si="2515"/>
        <v>0</v>
      </c>
      <c r="EE394" s="336">
        <f t="shared" si="2516"/>
        <v>0</v>
      </c>
      <c r="EF394" s="336">
        <f t="shared" si="2517"/>
        <v>0</v>
      </c>
      <c r="EG394" s="336">
        <f t="shared" si="2518"/>
        <v>0</v>
      </c>
      <c r="EH394" s="336">
        <f t="shared" si="2519"/>
        <v>0</v>
      </c>
      <c r="EI394" s="336">
        <f t="shared" si="2520"/>
        <v>0</v>
      </c>
      <c r="EJ394" s="336">
        <f t="shared" si="2521"/>
        <v>0</v>
      </c>
      <c r="EK394" s="336">
        <f t="shared" si="2522"/>
        <v>0</v>
      </c>
      <c r="EL394" s="336">
        <f t="shared" si="2523"/>
        <v>0</v>
      </c>
      <c r="EM394" s="336">
        <f t="shared" si="2524"/>
        <v>0</v>
      </c>
      <c r="EN394" s="336">
        <f t="shared" si="2525"/>
        <v>0</v>
      </c>
      <c r="EO394" s="336">
        <f t="shared" si="2526"/>
        <v>0</v>
      </c>
      <c r="EP394" s="336">
        <f t="shared" si="2527"/>
        <v>0</v>
      </c>
      <c r="EQ394" s="336">
        <f t="shared" si="2528"/>
        <v>0</v>
      </c>
      <c r="ER394" s="336">
        <f t="shared" si="2529"/>
        <v>0</v>
      </c>
      <c r="ES394" s="336">
        <f t="shared" si="2530"/>
        <v>0</v>
      </c>
      <c r="ET394" s="336">
        <f t="shared" si="2530"/>
        <v>0</v>
      </c>
      <c r="EU394" s="336">
        <f t="shared" si="2531"/>
        <v>0</v>
      </c>
      <c r="EV394" s="336">
        <f t="shared" si="2532"/>
        <v>0</v>
      </c>
      <c r="EW394" s="336">
        <f t="shared" si="2533"/>
        <v>0</v>
      </c>
      <c r="EX394" s="336">
        <f t="shared" si="2534"/>
        <v>0</v>
      </c>
      <c r="EY394" s="336">
        <f t="shared" si="2535"/>
        <v>0</v>
      </c>
      <c r="EZ394" s="336">
        <f t="shared" si="2536"/>
        <v>0</v>
      </c>
      <c r="FA394" s="336">
        <f t="shared" si="2537"/>
        <v>0</v>
      </c>
      <c r="FB394" s="336">
        <f t="shared" si="2538"/>
        <v>0</v>
      </c>
      <c r="FC394" s="336">
        <f t="shared" si="2539"/>
        <v>0</v>
      </c>
      <c r="FD394" s="336">
        <f t="shared" si="2540"/>
        <v>0</v>
      </c>
      <c r="FE394" s="336">
        <f t="shared" si="2541"/>
        <v>0</v>
      </c>
      <c r="FF394" s="336">
        <f t="shared" si="2542"/>
        <v>0</v>
      </c>
      <c r="FG394" s="336">
        <f t="shared" si="2543"/>
        <v>0</v>
      </c>
      <c r="FH394" s="336">
        <f t="shared" si="2544"/>
        <v>0</v>
      </c>
      <c r="FI394" s="336">
        <f t="shared" si="2545"/>
        <v>0</v>
      </c>
      <c r="FJ394" s="336">
        <f t="shared" si="2546"/>
        <v>0</v>
      </c>
      <c r="FK394" s="336">
        <f t="shared" si="2547"/>
        <v>0</v>
      </c>
      <c r="FL394" s="336">
        <f t="shared" si="2548"/>
        <v>0</v>
      </c>
      <c r="FM394" s="336">
        <f t="shared" si="2549"/>
        <v>0</v>
      </c>
      <c r="FN394" s="336">
        <f t="shared" si="2550"/>
        <v>0</v>
      </c>
      <c r="FO394" s="492">
        <f t="shared" si="2551"/>
        <v>0</v>
      </c>
      <c r="FP394" s="492">
        <f t="shared" si="2552"/>
        <v>0</v>
      </c>
      <c r="FQ394" s="492">
        <f t="shared" si="2553"/>
        <v>0</v>
      </c>
      <c r="FR394" s="492">
        <f t="shared" si="2554"/>
        <v>0</v>
      </c>
      <c r="FS394" s="492">
        <f t="shared" si="2555"/>
        <v>0</v>
      </c>
      <c r="FT394" s="492">
        <f t="shared" si="2556"/>
        <v>0</v>
      </c>
      <c r="FU394" s="336">
        <f t="shared" si="2638"/>
        <v>0</v>
      </c>
      <c r="FV394" s="336">
        <f t="shared" si="2639"/>
        <v>0</v>
      </c>
      <c r="FW394" s="336">
        <f t="shared" si="2640"/>
        <v>0</v>
      </c>
      <c r="FX394" s="336">
        <f t="shared" si="2641"/>
        <v>0</v>
      </c>
      <c r="FY394" s="492">
        <f t="shared" si="2557"/>
        <v>0</v>
      </c>
      <c r="FZ394" s="492">
        <f t="shared" si="2558"/>
        <v>0</v>
      </c>
      <c r="GA394" s="492">
        <f t="shared" si="2559"/>
        <v>0</v>
      </c>
      <c r="GB394" s="492">
        <f t="shared" si="2560"/>
        <v>0</v>
      </c>
      <c r="GC394" s="492">
        <f t="shared" si="2561"/>
        <v>0</v>
      </c>
      <c r="GD394" s="492">
        <f t="shared" si="2562"/>
        <v>0</v>
      </c>
      <c r="GE394" s="492">
        <f t="shared" si="2563"/>
        <v>0</v>
      </c>
      <c r="GF394" s="492">
        <f t="shared" si="2564"/>
        <v>0</v>
      </c>
      <c r="GG394" s="492">
        <f t="shared" si="2565"/>
        <v>0</v>
      </c>
      <c r="GH394" s="492">
        <f t="shared" si="2566"/>
        <v>0</v>
      </c>
      <c r="GI394" s="492">
        <f t="shared" si="2567"/>
        <v>0</v>
      </c>
      <c r="GJ394" s="492">
        <f t="shared" si="2568"/>
        <v>0</v>
      </c>
      <c r="GK394" s="492">
        <f t="shared" si="2513"/>
        <v>0</v>
      </c>
      <c r="GL394" s="336">
        <f t="shared" si="2642"/>
        <v>0</v>
      </c>
      <c r="GM394" s="492">
        <f t="shared" si="2569"/>
        <v>0</v>
      </c>
    </row>
    <row r="395" spans="1:195">
      <c r="A395" s="337">
        <f>1+A393</f>
        <v>266</v>
      </c>
      <c r="B395" s="388" t="s">
        <v>850</v>
      </c>
      <c r="C395" s="337" t="s">
        <v>851</v>
      </c>
      <c r="D395" s="338" t="s">
        <v>852</v>
      </c>
      <c r="E395" s="502" t="s">
        <v>335</v>
      </c>
      <c r="F395" s="570"/>
      <c r="G395" s="337" t="s">
        <v>329</v>
      </c>
      <c r="H395" s="418">
        <v>5</v>
      </c>
      <c r="I395" s="337" t="s">
        <v>330</v>
      </c>
      <c r="J395" s="337" t="s">
        <v>331</v>
      </c>
      <c r="K395" s="349">
        <v>400</v>
      </c>
      <c r="L395" s="343">
        <v>0.84999999999999987</v>
      </c>
      <c r="M395" s="350">
        <v>0.95099999999999985</v>
      </c>
      <c r="N395" s="342">
        <f t="shared" ref="N395:N404" si="2656">IF(I395="kVA",IF(J395="3Ph",(H395*1000/(1.732*M395*K395)),(H395*1000/(M395*K395))),IF(I395="kW",IF(J395="3Ph",(H395*1000/(1.732*M395*K395*L395)),(H395*1000/(M395*K395*L395)))))</f>
        <v>8.9281747625212677</v>
      </c>
      <c r="O395" s="342">
        <f t="shared" ref="O395:O400" si="2657">IF(G395="MOTOR",(6*N395),IF(G395="VFD",(1*N395),0))</f>
        <v>0</v>
      </c>
      <c r="P395" s="343" t="str">
        <f t="shared" ref="P395:P400" si="2658">IF(G395="MOTOR",0.2,"0.00")</f>
        <v>0.00</v>
      </c>
      <c r="Q395" s="350">
        <v>25</v>
      </c>
      <c r="R395" s="350">
        <v>0</v>
      </c>
      <c r="S395" s="350">
        <f t="shared" ref="S395:S400" si="2659">(Q395*1000*SQRT(R395)/143)</f>
        <v>0</v>
      </c>
      <c r="T395" s="343" t="s">
        <v>131</v>
      </c>
      <c r="U395" s="350" t="s">
        <v>535</v>
      </c>
      <c r="V395" s="343">
        <v>35</v>
      </c>
      <c r="W395" s="343" t="str">
        <f t="shared" ref="W395:W400" si="2660">CONCATENATE(U395," X ",V395)</f>
        <v>3.5C X 35</v>
      </c>
      <c r="X395" s="343" t="str">
        <f t="shared" ref="X395:X400" si="2661">(IF(J395="1Ph",W395,IF(J395="3Ph",(IF(G395="MOTOR",(CONCATENATE(W395,"+PE")),W395)))))</f>
        <v>3.5C X 35</v>
      </c>
      <c r="Y395" s="343" t="s">
        <v>358</v>
      </c>
      <c r="Z395" s="344">
        <f>IF(T395="AIR",VLOOKUP(W395,'Catalogue Aluminium'!$B$9:$G$93,2,FALSE),IF(T395="GROUND",VLOOKUP(W395,'Catalogue Aluminium'!$B$9:$G$93,3,FALSE),IF(T395="DUCT",VLOOKUP(W395,'Catalogue Aluminium'!$B$9:$G$93,4,FALSE),IF(T395="TRENCH",VLOOKUP(W395,'Catalogue Aluminium'!$B$9:$G$93,2,FALSE)))))</f>
        <v>117</v>
      </c>
      <c r="AA395" s="345">
        <f>VLOOKUP(W395,'Catalogue Aluminium'!$B$9:$G$93,5,FALSE)</f>
        <v>1.1100000000000001</v>
      </c>
      <c r="AB395" s="345">
        <f>VLOOKUP(W395,'Catalogue Aluminium'!$B$9:$G$93,6,FALSE)</f>
        <v>7.9399999999999998E-2</v>
      </c>
      <c r="AC395" s="388">
        <v>13</v>
      </c>
      <c r="AD395" s="574">
        <v>0</v>
      </c>
      <c r="AE395" s="401">
        <v>5</v>
      </c>
      <c r="AF395" s="401">
        <v>5</v>
      </c>
      <c r="AG395" s="401">
        <f t="shared" ref="AG395:AG403" si="2662">ROUNDUP((SUM(AC395:AF395)*0.1),0)</f>
        <v>3</v>
      </c>
      <c r="AH395" s="347">
        <f t="shared" ref="AH395:AH403" si="2663">SUM(AC395:AG395)</f>
        <v>26</v>
      </c>
      <c r="AI395" s="344">
        <f>IF(T395="AIR",'Catalogue Aluminium'!$K$9,IF(T395="TRENCH",'Catalogue Aluminium'!$K$12,"NA"))</f>
        <v>0.89</v>
      </c>
      <c r="AJ395" s="342">
        <f>IF(T395="Air",(IF(U395="1C",'Catalogue Aluminium'!$L$9,'Catalogue Aluminium'!$M$9)),IF(T395="DUCT",(IF($U395="1C",'Catalogue Aluminium'!$L$10,'Catalogue Aluminium'!$M$10)),IF(T395="GROUND",(IF($U395="1C",'Catalogue Aluminium'!$L$11,'Catalogue Aluminium'!$M$11)),IF(T395="TRENCH",(IF($U395="1C",'Catalogue Aluminium'!$L$12,'Catalogue Aluminium'!$M$12))))))</f>
        <v>0.66</v>
      </c>
      <c r="AK395" s="344" t="str">
        <f>IF(T395="Air",'Catalogue Aluminium'!$N$9,IF(T395="GROUND",'Catalogue Aluminium'!$N$10,IF(T395="DUCT",'Catalogue Aluminium'!$N$11,IF(T395="TRENCH",'Catalogue Aluminium'!$N$12,"NA"))))</f>
        <v>NA</v>
      </c>
      <c r="AL395" s="344" t="str">
        <f>IF(T395="Air",(IF(U395="1C",'Catalogue Aluminium'!$O$9,'Catalogue Aluminium'!$P$9)),IF(T395="DUCT",(IF($U395="1C",'Catalogue Aluminium'!$O$10,'Catalogue Aluminium'!$P$10)),IF(T395="GROUND",(IF($U395="1C",'Catalogue Aluminium'!$O$11,'Catalogue Aluminium'!$P$11)),IF(T395="TRENCH",(IF($U395="1C",'Catalogue Aluminium'!$O$12,'Catalogue Aluminium'!$P$12))))))</f>
        <v>NA</v>
      </c>
      <c r="AM395" s="344" t="str">
        <f>IF(T395="AIR","NA",IF(T395="TRENCH","NA",IF(T395="DUCT",IF(U395="1C",VLOOKUP(V395,'Catalogue Aluminium'!$Q$9:$S$28,2,FALSE),VLOOKUP(V395,'Catalogue Aluminium'!$Q$9:$S$28,3)),IF(T395="GROUND",IF(U395="1C",VLOOKUP(V395,'Catalogue Aluminium'!$Q$9:$S$28,2,FALSE),VLOOKUP(V395,'Catalogue Aluminium'!$Q$9:$S$28,3))))))</f>
        <v>NA</v>
      </c>
      <c r="AN395" s="351">
        <f t="shared" ref="AN395:AN400" si="2664">IF(T395="AIR",AI395*AJ395,IF(T395="TRENCH",AI395*AJ395,IF(T395="DUCT",AJ395*AK395*AL395*AM395,IF(T395="GROUND",AJ395*AK395*AL395*AM395))))</f>
        <v>0.58740000000000003</v>
      </c>
      <c r="AO395" s="350">
        <f t="shared" ref="AO395:AO400" si="2665">Z395*AN395</f>
        <v>68.725800000000007</v>
      </c>
      <c r="AP395" s="349">
        <f t="shared" ref="AP395:AP404" si="2666">CEILING(((N395)/AO395),1)</f>
        <v>1</v>
      </c>
      <c r="AQ395" s="350" t="str">
        <f t="shared" ref="AQ395:AQ400" si="2667">IF(AO395*AP395&gt;=N395,"YES","NO")</f>
        <v>YES</v>
      </c>
      <c r="AR395" s="351">
        <f t="shared" ref="AR395:AR400" si="2668">SQRT(3)*AH395*N395*((AA395*L395)+(AB395*SIN(ACOS(L395))))*100/(AP395*K395*1000)</f>
        <v>9.9041418047364882E-2</v>
      </c>
      <c r="AS395" s="343" t="str">
        <f>IF(G395="INCOMER",(IF(AR395&lt;=2,"YES","NO")),IF(G395="POWER",(IF(AR395&lt;=2.5,"YES","NO")),IF(G395="MOTOR",(IF(AR395&lt;=3,"YES","NO")))))</f>
        <v>YES</v>
      </c>
      <c r="AT395" s="351" t="str">
        <f t="shared" ref="AT395:AT404" si="2669">IF(G395="MOTOR",(SQRT(3)*AH395*O395*((AA395*P395)+(AB395*SIN(ACOS(P395))))*100/(AP395*K395*1000)),"NA")</f>
        <v>NA</v>
      </c>
      <c r="AU395" s="343" t="str">
        <f t="shared" ref="AU395:AU404" si="2670">IF(G395="MOTOR",IF(AT395&lt;=15,"YES","NO"),"NA")</f>
        <v>NA</v>
      </c>
      <c r="AV395" s="351" t="str">
        <f t="shared" ref="AV395:AV404" si="2671">IF(U395="1C",CONCATENATE(AP395,"R x ",Y395,"kV x ",U395," x ",V395," Sqmm/Phase"),CONCATENATE(AP395,"R x ",0.6,"/1kV x ",U395," x ",V395," Sqmm"))</f>
        <v>1R x 0.6/1kV x 3.5C x 35 Sqmm</v>
      </c>
      <c r="AW395" s="351" t="str">
        <f t="shared" ref="AW395:AW404" si="2672">IF(U395="1C",CONCATENATE(AP395,"R x ",Y395,"kV x ",U395," x ",V395," Sqmm/Phase"),CONCATENATE(AP395,"R x ",0.6,"/1kV x ",U395," x ",V395,(IF(G395="MOTOR","+PE",""))," Sqmm"))</f>
        <v>1R x 0.6/1kV x 3.5C x 35 Sqmm</v>
      </c>
      <c r="AX395" s="343">
        <f t="shared" ref="AX395:AX404" si="2673">(IF(K395=400,(IF(U395="1C",(4*AH395*AP395),(AH395*AP395))),IF(K395=230,(AH395*AP395))))</f>
        <v>26</v>
      </c>
      <c r="AY395" s="343"/>
      <c r="AZ395" s="343">
        <f t="shared" ref="AZ395:AZ404" si="2674">IF(U395="1C",(3*AP395*2),(AP395*2))</f>
        <v>2</v>
      </c>
      <c r="BA395" s="356" t="str">
        <f t="shared" ref="BA395" si="2675">CONCATENATE(IF(BE395=1,BE$4,""),IF(BF395=1,BF$4,""),IF(BG395=1,BG$4,""),IF(BH395=1,BH$4,""),IF(BI395=1,BI$4,""),IF(BJ395=1,BJ$4,""),IF(BK395=1,BK$4,""),IF(BL395=1,BL$4,""),IF(BM395=1,BM$4,""),IF(BN395=1,BN$4,""),IF(BO395=1,BO$4,""),IF(BP395=1,BP$4,""),IF(BQ395=1,BQ$4,""),IF(BR395=1,BR$4,""),IF(BS395=1,BS$4,""),IF(BT395=1,BT$4,""),IF(BU395=1,BU$4,""),IF(BV395=1,BV$4,""),IF(BW395=1,BW$4,""),IF(BX395=1,BX$4,""),IF(BY395=1,BY$4,""),IF(BZ395=1,BZ$4,""),IF(CA395=1,CA$4,""),IF(CC395=1,CC$4,""),IF(CD395=1,CD$4,""),IF(CE395=1,CE$4,""),IF(CF395=1,CF$4,""),IF(CG395=1,CG$4,""),IF(CH395=1,CH$4,""),IF(CI395=1,CI$4,""),IF(CJ395=1,CJ$4,""),IF(CK395=1,CK$4,""),IF(CL395=1,CL$4,""),IF(CM395=1,CM$4,""),IF(CN395=1,CN$4,""),IF(CO395=1,CO$4,""),IF(CP395=1,CP$4,""),IF(CQ395=1,CQ$4,""),IF(CR395=1,CR$4,""),IF(CS395=1,CS$4,""),IF(CT395=1,CT$4,""),IF(CU395=1,CU$4,""),IF(CV395=1,CV$4,""),IF(CW395=1,CW$4,""),IF(CX395=1,CX$4,""),IF(CY395=1,CY$4,""),IF(CZ395=1,CZ$4,""),IF(DA395=1,DA$4,""),IF(DB395=1,DB$4,""),IF(DC395=1,DC$4,""),IF(DD395=1,DD$4,""),IF(DE395=1,DE$4,""),IF(DF395=1,DF$4,""),IF(DG395=1,DG$4,""),IF(DH395=1,DH$4,""),IF(DI395=1,DI$4,""),IF(DJ395=1,DJ$4,""),IF(DK395=1,DK$4,""),IF(DL395=1,DL$4,""),IF(DM395=1,DM$4,""),IF(DN395=1,DN$4,""),IF(DO395=1,DO$4,""),IF(DP395=1,DP$4,""),IF(DQ395=1,DQ$4,""),IF(DR395=1,DR$4,""),IF(DS395=1,DS$4,""),IF(DT395=1,DT$4,""),IF(DU395=1,DU$4,""))</f>
        <v/>
      </c>
      <c r="BB395" s="328">
        <f>VLOOKUP(W395,'Catalogue Aluminium'!$B$9:$H$93,7,FALSE)</f>
        <v>27</v>
      </c>
      <c r="BC395" s="328">
        <f t="shared" ref="BC395:BC404" si="2676">AP395*BB395</f>
        <v>27</v>
      </c>
      <c r="BE395" s="336"/>
      <c r="BF395" s="336"/>
      <c r="BG395" s="336"/>
      <c r="BH395" s="336"/>
      <c r="BI395" s="336"/>
      <c r="BJ395" s="336"/>
      <c r="BK395" s="336"/>
      <c r="BL395" s="336"/>
      <c r="BM395" s="336"/>
      <c r="BN395" s="336"/>
      <c r="BO395" s="336"/>
      <c r="BP395" s="336"/>
      <c r="BQ395" s="336"/>
      <c r="BR395" s="336"/>
      <c r="BS395" s="336"/>
      <c r="BT395" s="336"/>
      <c r="BU395" s="336"/>
      <c r="BV395" s="336"/>
      <c r="BW395" s="336"/>
      <c r="BX395" s="336"/>
      <c r="BY395" s="336"/>
      <c r="BZ395" s="336"/>
      <c r="CA395" s="336"/>
      <c r="CB395" s="336"/>
      <c r="CC395" s="336"/>
      <c r="CD395" s="336"/>
      <c r="CE395" s="336"/>
      <c r="CF395" s="336"/>
      <c r="CG395" s="336"/>
      <c r="CH395" s="336"/>
      <c r="CI395" s="336"/>
      <c r="CJ395" s="336"/>
      <c r="CK395" s="336"/>
      <c r="CL395" s="336"/>
      <c r="CM395" s="336"/>
      <c r="CN395" s="336"/>
      <c r="CO395" s="336"/>
      <c r="CP395" s="336"/>
      <c r="CQ395" s="336"/>
      <c r="CR395" s="336"/>
      <c r="CS395" s="336"/>
      <c r="CT395" s="336"/>
      <c r="CU395" s="336"/>
      <c r="CV395" s="336"/>
      <c r="CW395" s="336"/>
      <c r="CX395" s="336"/>
      <c r="CY395" s="336"/>
      <c r="CZ395" s="336"/>
      <c r="DA395" s="336"/>
      <c r="DB395" s="336"/>
      <c r="DC395" s="336"/>
      <c r="DD395" s="336"/>
      <c r="DE395" s="336"/>
      <c r="DF395" s="336"/>
      <c r="DG395" s="336"/>
      <c r="DH395" s="336"/>
      <c r="DI395" s="336"/>
      <c r="DJ395" s="336"/>
      <c r="DK395" s="336"/>
      <c r="DL395" s="336"/>
      <c r="DM395" s="336"/>
      <c r="DN395" s="336"/>
      <c r="DO395" s="336"/>
      <c r="DP395" s="336"/>
      <c r="DQ395" s="336"/>
      <c r="DR395" s="336"/>
      <c r="DS395" s="336"/>
      <c r="DT395" s="336"/>
      <c r="DU395" s="336"/>
      <c r="DW395" s="336">
        <f t="shared" si="2591"/>
        <v>0</v>
      </c>
      <c r="DX395" s="336">
        <f t="shared" si="2592"/>
        <v>0</v>
      </c>
      <c r="DY395" s="336">
        <f t="shared" si="2593"/>
        <v>0</v>
      </c>
      <c r="DZ395" s="336">
        <f t="shared" si="2594"/>
        <v>0</v>
      </c>
      <c r="EA395" s="336">
        <f t="shared" si="2595"/>
        <v>0</v>
      </c>
      <c r="EB395" s="336">
        <f t="shared" si="2596"/>
        <v>0</v>
      </c>
      <c r="EC395" s="336">
        <f t="shared" si="2597"/>
        <v>0</v>
      </c>
      <c r="ED395" s="336">
        <f t="shared" si="2515"/>
        <v>0</v>
      </c>
      <c r="EE395" s="336">
        <f t="shared" si="2516"/>
        <v>0</v>
      </c>
      <c r="EF395" s="336">
        <f t="shared" si="2517"/>
        <v>0</v>
      </c>
      <c r="EG395" s="336">
        <f t="shared" si="2518"/>
        <v>0</v>
      </c>
      <c r="EH395" s="336">
        <f t="shared" si="2519"/>
        <v>0</v>
      </c>
      <c r="EI395" s="336">
        <f t="shared" si="2520"/>
        <v>0</v>
      </c>
      <c r="EJ395" s="336">
        <f t="shared" si="2521"/>
        <v>0</v>
      </c>
      <c r="EK395" s="336">
        <f t="shared" si="2522"/>
        <v>0</v>
      </c>
      <c r="EL395" s="336">
        <f t="shared" si="2523"/>
        <v>0</v>
      </c>
      <c r="EM395" s="336">
        <f t="shared" si="2524"/>
        <v>0</v>
      </c>
      <c r="EN395" s="336">
        <f t="shared" si="2525"/>
        <v>0</v>
      </c>
      <c r="EO395" s="336">
        <f t="shared" si="2526"/>
        <v>0</v>
      </c>
      <c r="EP395" s="336">
        <f t="shared" si="2527"/>
        <v>0</v>
      </c>
      <c r="EQ395" s="336">
        <f t="shared" si="2528"/>
        <v>0</v>
      </c>
      <c r="ER395" s="336">
        <f t="shared" si="2529"/>
        <v>0</v>
      </c>
      <c r="ES395" s="336">
        <f t="shared" si="2530"/>
        <v>0</v>
      </c>
      <c r="ET395" s="336">
        <f t="shared" si="2530"/>
        <v>0</v>
      </c>
      <c r="EU395" s="336">
        <f t="shared" si="2531"/>
        <v>0</v>
      </c>
      <c r="EV395" s="336">
        <f t="shared" si="2532"/>
        <v>0</v>
      </c>
      <c r="EW395" s="336">
        <f t="shared" si="2533"/>
        <v>0</v>
      </c>
      <c r="EX395" s="336">
        <f t="shared" si="2534"/>
        <v>0</v>
      </c>
      <c r="EY395" s="336">
        <f t="shared" si="2535"/>
        <v>0</v>
      </c>
      <c r="EZ395" s="336">
        <f t="shared" si="2536"/>
        <v>0</v>
      </c>
      <c r="FA395" s="336">
        <f t="shared" si="2537"/>
        <v>0</v>
      </c>
      <c r="FB395" s="336">
        <f t="shared" si="2538"/>
        <v>0</v>
      </c>
      <c r="FC395" s="336">
        <f t="shared" si="2539"/>
        <v>0</v>
      </c>
      <c r="FD395" s="336">
        <f t="shared" si="2540"/>
        <v>0</v>
      </c>
      <c r="FE395" s="336">
        <f t="shared" si="2541"/>
        <v>0</v>
      </c>
      <c r="FF395" s="336">
        <f t="shared" si="2542"/>
        <v>0</v>
      </c>
      <c r="FG395" s="336">
        <f t="shared" si="2543"/>
        <v>0</v>
      </c>
      <c r="FH395" s="336">
        <f t="shared" si="2544"/>
        <v>0</v>
      </c>
      <c r="FI395" s="336">
        <f t="shared" si="2545"/>
        <v>0</v>
      </c>
      <c r="FJ395" s="336">
        <f t="shared" si="2546"/>
        <v>0</v>
      </c>
      <c r="FK395" s="336">
        <f t="shared" si="2547"/>
        <v>0</v>
      </c>
      <c r="FL395" s="336">
        <f t="shared" si="2548"/>
        <v>0</v>
      </c>
      <c r="FM395" s="336">
        <f t="shared" si="2549"/>
        <v>0</v>
      </c>
      <c r="FN395" s="336">
        <f t="shared" si="2550"/>
        <v>0</v>
      </c>
      <c r="FO395" s="336">
        <f t="shared" si="2551"/>
        <v>0</v>
      </c>
      <c r="FP395" s="336">
        <f t="shared" si="2552"/>
        <v>0</v>
      </c>
      <c r="FQ395" s="336">
        <f t="shared" si="2553"/>
        <v>0</v>
      </c>
      <c r="FR395" s="336">
        <f t="shared" si="2554"/>
        <v>0</v>
      </c>
      <c r="FS395" s="336">
        <f t="shared" si="2555"/>
        <v>0</v>
      </c>
      <c r="FT395" s="336">
        <f t="shared" si="2556"/>
        <v>0</v>
      </c>
      <c r="FU395" s="336">
        <f t="shared" si="2638"/>
        <v>0</v>
      </c>
      <c r="FV395" s="336">
        <f t="shared" si="2639"/>
        <v>0</v>
      </c>
      <c r="FW395" s="336">
        <f t="shared" si="2640"/>
        <v>0</v>
      </c>
      <c r="FX395" s="336">
        <f t="shared" si="2641"/>
        <v>0</v>
      </c>
      <c r="FY395" s="336">
        <f t="shared" si="2557"/>
        <v>0</v>
      </c>
      <c r="FZ395" s="336">
        <f t="shared" si="2558"/>
        <v>0</v>
      </c>
      <c r="GA395" s="336">
        <f t="shared" si="2559"/>
        <v>0</v>
      </c>
      <c r="GB395" s="336">
        <f t="shared" si="2560"/>
        <v>0</v>
      </c>
      <c r="GC395" s="336">
        <f t="shared" si="2561"/>
        <v>0</v>
      </c>
      <c r="GD395" s="336">
        <f t="shared" si="2562"/>
        <v>0</v>
      </c>
      <c r="GE395" s="336">
        <f t="shared" si="2563"/>
        <v>0</v>
      </c>
      <c r="GF395" s="336">
        <f t="shared" si="2564"/>
        <v>0</v>
      </c>
      <c r="GG395" s="336">
        <f t="shared" si="2565"/>
        <v>0</v>
      </c>
      <c r="GH395" s="336">
        <f t="shared" si="2566"/>
        <v>0</v>
      </c>
      <c r="GI395" s="336">
        <f t="shared" si="2567"/>
        <v>0</v>
      </c>
      <c r="GJ395" s="336">
        <f t="shared" si="2568"/>
        <v>0</v>
      </c>
      <c r="GK395" s="336">
        <f t="shared" si="2513"/>
        <v>0</v>
      </c>
      <c r="GL395" s="336">
        <f t="shared" si="2642"/>
        <v>0</v>
      </c>
      <c r="GM395" s="336">
        <f t="shared" si="2569"/>
        <v>0</v>
      </c>
    </row>
    <row r="396" spans="1:195">
      <c r="A396" s="337">
        <f t="shared" ref="A396:A405" si="2677">1+A395</f>
        <v>267</v>
      </c>
      <c r="B396" s="388" t="s">
        <v>853</v>
      </c>
      <c r="C396" s="337" t="s">
        <v>851</v>
      </c>
      <c r="D396" s="338" t="s">
        <v>854</v>
      </c>
      <c r="E396" s="454" t="s">
        <v>555</v>
      </c>
      <c r="F396" s="570"/>
      <c r="G396" s="337" t="s">
        <v>329</v>
      </c>
      <c r="H396" s="418">
        <v>5</v>
      </c>
      <c r="I396" s="337" t="s">
        <v>330</v>
      </c>
      <c r="J396" s="337" t="s">
        <v>331</v>
      </c>
      <c r="K396" s="349">
        <v>400</v>
      </c>
      <c r="L396" s="343">
        <v>0.84999999999999987</v>
      </c>
      <c r="M396" s="350">
        <v>0.95099999999999985</v>
      </c>
      <c r="N396" s="342">
        <f t="shared" si="2656"/>
        <v>8.9281747625212677</v>
      </c>
      <c r="O396" s="342">
        <f t="shared" si="2657"/>
        <v>0</v>
      </c>
      <c r="P396" s="343" t="str">
        <f t="shared" si="2658"/>
        <v>0.00</v>
      </c>
      <c r="Q396" s="350">
        <v>25</v>
      </c>
      <c r="R396" s="350">
        <v>0</v>
      </c>
      <c r="S396" s="350">
        <f t="shared" si="2659"/>
        <v>0</v>
      </c>
      <c r="T396" s="343" t="s">
        <v>332</v>
      </c>
      <c r="U396" s="350" t="s">
        <v>535</v>
      </c>
      <c r="V396" s="343">
        <v>35</v>
      </c>
      <c r="W396" s="343" t="str">
        <f t="shared" si="2660"/>
        <v>3.5C X 35</v>
      </c>
      <c r="X396" s="343" t="str">
        <f t="shared" si="2661"/>
        <v>3.5C X 35</v>
      </c>
      <c r="Y396" s="343" t="s">
        <v>358</v>
      </c>
      <c r="Z396" s="344">
        <f>IF(T396="AIR",VLOOKUP(W396,'Catalogue Aluminium'!$B$9:$G$93,2,FALSE),IF(T396="GROUND",VLOOKUP(W396,'Catalogue Aluminium'!$B$9:$G$93,3,FALSE),IF(T396="DUCT",VLOOKUP(W396,'Catalogue Aluminium'!$B$9:$G$93,4,FALSE),IF(T396="TRENCH",VLOOKUP(W396,'Catalogue Aluminium'!$B$9:$G$93,2,FALSE)))))</f>
        <v>117</v>
      </c>
      <c r="AA396" s="345">
        <f>VLOOKUP(W396,'Catalogue Aluminium'!$B$9:$G$93,5,FALSE)</f>
        <v>1.1100000000000001</v>
      </c>
      <c r="AB396" s="345">
        <f>VLOOKUP(W396,'Catalogue Aluminium'!$B$9:$G$93,6,FALSE)</f>
        <v>7.9399999999999998E-2</v>
      </c>
      <c r="AC396" s="388">
        <v>28</v>
      </c>
      <c r="AD396" s="574">
        <v>25</v>
      </c>
      <c r="AE396" s="401">
        <v>10</v>
      </c>
      <c r="AF396" s="401">
        <v>5</v>
      </c>
      <c r="AG396" s="401">
        <f t="shared" si="2662"/>
        <v>7</v>
      </c>
      <c r="AH396" s="347">
        <f t="shared" si="2663"/>
        <v>75</v>
      </c>
      <c r="AI396" s="344">
        <f>IF(T396="AIR",'Catalogue Aluminium'!$K$9,IF(T396="TRENCH",'Catalogue Aluminium'!$K$12,"NA"))</f>
        <v>0.89</v>
      </c>
      <c r="AJ396" s="342">
        <f>IF(T396="Air",(IF(U396="1C",'Catalogue Aluminium'!$L$9,'Catalogue Aluminium'!$M$9)),IF(T396="DUCT",(IF($U396="1C",'Catalogue Aluminium'!$L$10,'Catalogue Aluminium'!$M$10)),IF(T396="GROUND",(IF($U396="1C",'Catalogue Aluminium'!$L$11,'Catalogue Aluminium'!$M$11)),IF(T396="TRENCH",(IF($U396="1C",'Catalogue Aluminium'!$L$12,'Catalogue Aluminium'!$M$12))))))</f>
        <v>0.66</v>
      </c>
      <c r="AK396" s="344" t="str">
        <f>IF(T396="Air",'Catalogue Aluminium'!$N$9,IF(T396="GROUND",'Catalogue Aluminium'!$N$10,IF(T396="DUCT",'Catalogue Aluminium'!$N$11,IF(T396="TRENCH",'Catalogue Aluminium'!$N$12,"NA"))))</f>
        <v>NA</v>
      </c>
      <c r="AL396" s="344" t="str">
        <f>IF(T396="Air",(IF(U396="1C",'Catalogue Aluminium'!$O$9,'Catalogue Aluminium'!$P$9)),IF(T396="DUCT",(IF($U396="1C",'Catalogue Aluminium'!$O$10,'Catalogue Aluminium'!$P$10)),IF(T396="GROUND",(IF($U396="1C",'Catalogue Aluminium'!$O$11,'Catalogue Aluminium'!$P$11)),IF(T396="TRENCH",(IF($U396="1C",'Catalogue Aluminium'!$O$12,'Catalogue Aluminium'!$P$12))))))</f>
        <v>NA</v>
      </c>
      <c r="AM396" s="344" t="str">
        <f>IF(T396="AIR","NA",IF(T396="TRENCH","NA",IF(T396="DUCT",IF(U396="1C",VLOOKUP(V396,'Catalogue Aluminium'!$Q$9:$S$28,2,FALSE),VLOOKUP(V396,'Catalogue Aluminium'!$Q$9:$S$28,3)),IF(T396="GROUND",IF(U396="1C",VLOOKUP(V396,'Catalogue Aluminium'!$Q$9:$S$28,2,FALSE),VLOOKUP(V396,'Catalogue Aluminium'!$Q$9:$S$28,3))))))</f>
        <v>NA</v>
      </c>
      <c r="AN396" s="351">
        <f t="shared" si="2664"/>
        <v>0.58740000000000003</v>
      </c>
      <c r="AO396" s="350">
        <f t="shared" si="2665"/>
        <v>68.725800000000007</v>
      </c>
      <c r="AP396" s="349">
        <f t="shared" si="2666"/>
        <v>1</v>
      </c>
      <c r="AQ396" s="350" t="str">
        <f t="shared" si="2667"/>
        <v>YES</v>
      </c>
      <c r="AR396" s="351">
        <f t="shared" si="2668"/>
        <v>0.28569639821355258</v>
      </c>
      <c r="AS396" s="343" t="str">
        <f t="shared" ref="AS396:AS400" si="2678">IF(G396="INCOMER",(IF(AR396&lt;=2,"YES","NO")),IF(G396="POWER",(IF(AR396&lt;=2.5,"YES","NO")),IF(G396="MOTOR",(IF(AR396&lt;=3,"YES","NO")))))</f>
        <v>YES</v>
      </c>
      <c r="AT396" s="351" t="str">
        <f t="shared" si="2669"/>
        <v>NA</v>
      </c>
      <c r="AU396" s="343" t="str">
        <f t="shared" si="2670"/>
        <v>NA</v>
      </c>
      <c r="AV396" s="351" t="str">
        <f t="shared" si="2671"/>
        <v>1R x 0.6/1kV x 3.5C x 35 Sqmm</v>
      </c>
      <c r="AW396" s="351" t="str">
        <f t="shared" si="2672"/>
        <v>1R x 0.6/1kV x 3.5C x 35 Sqmm</v>
      </c>
      <c r="AX396" s="343">
        <f t="shared" si="2673"/>
        <v>75</v>
      </c>
      <c r="AY396" s="343"/>
      <c r="AZ396" s="343">
        <f t="shared" si="2674"/>
        <v>2</v>
      </c>
      <c r="BA396" s="356" t="str">
        <f t="shared" ref="BA396:BA404" si="2679">CONCATENATE(IF(BE396=1,BE$4,""),IF(BF396=1,BF$4,""),IF(BG396=1,BG$4,""),IF(BH396=1,BH$4,""),IF(BI396=1,BI$4,""),IF(BJ396=1,BJ$4,""),IF(BK396=1,BK$4,""),IF(BL396=1,BL$4,""),IF(BM396=1,BM$4,""),IF(BN396=1,BN$4,""),IF(BO396=1,BO$4,""),IF(BP396=1,BP$4,""),IF(BQ396=1,BQ$4,""),IF(BR396=1,BR$4,""),IF(BS396=1,BS$4,""),IF(BT396=1,BT$4,""),IF(BU396=1,BU$4,""),IF(BV396=1,BV$4,""),IF(BW396=1,BW$4,""),IF(BX396=1,BX$4,""),IF(BY396=1,BY$4,""),IF(BZ396=1,BZ$4,""),IF(CA396=1,CA$4,""),IF(CB396=1,CB$4,""),IF(CC396=1,CC$4,""),IF(CD396=1,CD$4,""),IF(CE396=1,CE$4,""),IF(CF396=1,CF$4,""),IF(CG396=1,CG$4,""),IF(CH396=1,CH$4,""),IF(CI396=1,CI$4,""),IF(CJ396=1,CJ$4,""),IF(CK396=1,CK$4,""),IF(CL396=1,CL$4,""),IF(CM396=1,CM$4,""),IF(CN396=1,CN$4,""),IF(CO396=1,CO$4,""),IF(CP396=1,CP$4,""),IF(CQ396=1,CQ$4,""),IF(CR396=1,CR$4,""),IF(CS396=1,CS$4,""),IF(CT396=1,CT$4,""),IF(CU396=1,CU$4,""),IF(CV396=1,CV$4,""),IF(CW396=1,CW$4,""),IF(CX396=1,CX$4,""),IF(CY396=1,CY$4,""),IF(CZ396=1,CZ$4,""),IF(DA396=1,DA$4,""),IF(DB396=1,DB$4,""),IF(DC396=1,DC$4,""),IF(DD396=1,DD$4,""),IF(DE396=1,DE$4,""),IF(DF396=1,DF$4,""),IF(DG396=1,DG$4,""),IF(DH396=1,DH$4,""),IF(DI396=1,DI$4,""),IF(DJ396=1,DJ$4,""),IF(DK396=1,DK$4,""),IF(DL396=1,DL$4,""),IF(DM396=1,DM$4,""),IF(DN396=1,DN$4,""),IF(DO396=1,DO$4,""),IF(DP396=1,DP$4,""),IF(DQ396=1,DQ$4,""),IF(DR396=1,DR$4,""),IF(DS396=1,DS$4,""),IF(DT396=1,DT$4,""),IF(DU396=1,DU$4,""))</f>
        <v>A1</v>
      </c>
      <c r="BB396" s="328">
        <f>VLOOKUP(W396,'Catalogue Aluminium'!$B$9:$H$93,7,FALSE)</f>
        <v>27</v>
      </c>
      <c r="BC396" s="328">
        <f t="shared" si="2676"/>
        <v>27</v>
      </c>
      <c r="BE396" s="336">
        <v>1</v>
      </c>
      <c r="BF396" s="336"/>
      <c r="BG396" s="336"/>
      <c r="BH396" s="336"/>
      <c r="BI396" s="336"/>
      <c r="BJ396" s="336"/>
      <c r="BK396" s="336"/>
      <c r="BL396" s="336"/>
      <c r="BM396" s="336"/>
      <c r="BN396" s="336"/>
      <c r="BO396" s="336"/>
      <c r="BP396" s="336"/>
      <c r="BQ396" s="336"/>
      <c r="BR396" s="336"/>
      <c r="BS396" s="336"/>
      <c r="BT396" s="336"/>
      <c r="BU396" s="336"/>
      <c r="BV396" s="336"/>
      <c r="BW396" s="336"/>
      <c r="BX396" s="336"/>
      <c r="BY396" s="336"/>
      <c r="BZ396" s="336"/>
      <c r="CA396" s="336"/>
      <c r="CB396" s="336"/>
      <c r="CC396" s="336"/>
      <c r="CD396" s="336"/>
      <c r="CE396" s="336"/>
      <c r="CF396" s="336"/>
      <c r="CG396" s="336"/>
      <c r="CH396" s="336"/>
      <c r="CI396" s="336"/>
      <c r="CJ396" s="336"/>
      <c r="CK396" s="336"/>
      <c r="CL396" s="336"/>
      <c r="CM396" s="336"/>
      <c r="CN396" s="336"/>
      <c r="CO396" s="336"/>
      <c r="CP396" s="336"/>
      <c r="CQ396" s="336"/>
      <c r="CR396" s="336"/>
      <c r="CS396" s="336"/>
      <c r="CT396" s="336"/>
      <c r="CU396" s="336"/>
      <c r="CV396" s="336"/>
      <c r="CW396" s="336"/>
      <c r="CX396" s="336"/>
      <c r="CY396" s="336"/>
      <c r="CZ396" s="336"/>
      <c r="DA396" s="336"/>
      <c r="DB396" s="336"/>
      <c r="DC396" s="336"/>
      <c r="DD396" s="336"/>
      <c r="DE396" s="336"/>
      <c r="DF396" s="336"/>
      <c r="DG396" s="336"/>
      <c r="DH396" s="336"/>
      <c r="DI396" s="336"/>
      <c r="DJ396" s="336"/>
      <c r="DK396" s="336"/>
      <c r="DL396" s="336"/>
      <c r="DM396" s="336"/>
      <c r="DN396" s="336"/>
      <c r="DO396" s="336"/>
      <c r="DP396" s="336"/>
      <c r="DQ396" s="336"/>
      <c r="DR396" s="336"/>
      <c r="DS396" s="336"/>
      <c r="DT396" s="336"/>
      <c r="DU396" s="336"/>
      <c r="DW396" s="336">
        <f t="shared" si="2591"/>
        <v>27</v>
      </c>
      <c r="DX396" s="336">
        <f t="shared" si="2592"/>
        <v>0</v>
      </c>
      <c r="DY396" s="336">
        <f t="shared" si="2593"/>
        <v>0</v>
      </c>
      <c r="DZ396" s="336">
        <f t="shared" si="2594"/>
        <v>0</v>
      </c>
      <c r="EA396" s="336">
        <f t="shared" si="2595"/>
        <v>0</v>
      </c>
      <c r="EB396" s="336">
        <f t="shared" si="2596"/>
        <v>0</v>
      </c>
      <c r="EC396" s="336">
        <f t="shared" si="2597"/>
        <v>0</v>
      </c>
      <c r="ED396" s="336">
        <f t="shared" si="2515"/>
        <v>0</v>
      </c>
      <c r="EE396" s="336">
        <f t="shared" si="2516"/>
        <v>0</v>
      </c>
      <c r="EF396" s="336">
        <f t="shared" si="2517"/>
        <v>0</v>
      </c>
      <c r="EG396" s="336">
        <f t="shared" si="2518"/>
        <v>0</v>
      </c>
      <c r="EH396" s="336">
        <f t="shared" si="2519"/>
        <v>0</v>
      </c>
      <c r="EI396" s="336">
        <f t="shared" si="2520"/>
        <v>0</v>
      </c>
      <c r="EJ396" s="336">
        <f t="shared" si="2521"/>
        <v>0</v>
      </c>
      <c r="EK396" s="336">
        <f t="shared" si="2522"/>
        <v>0</v>
      </c>
      <c r="EL396" s="336">
        <f t="shared" si="2523"/>
        <v>0</v>
      </c>
      <c r="EM396" s="336">
        <f t="shared" si="2524"/>
        <v>0</v>
      </c>
      <c r="EN396" s="336">
        <f t="shared" si="2525"/>
        <v>0</v>
      </c>
      <c r="EO396" s="336">
        <f t="shared" si="2526"/>
        <v>0</v>
      </c>
      <c r="EP396" s="336">
        <f t="shared" si="2527"/>
        <v>0</v>
      </c>
      <c r="EQ396" s="336">
        <f t="shared" si="2528"/>
        <v>0</v>
      </c>
      <c r="ER396" s="336">
        <f t="shared" si="2529"/>
        <v>0</v>
      </c>
      <c r="ES396" s="336">
        <f t="shared" si="2530"/>
        <v>0</v>
      </c>
      <c r="ET396" s="336">
        <f t="shared" si="2530"/>
        <v>0</v>
      </c>
      <c r="EU396" s="336">
        <f t="shared" si="2531"/>
        <v>0</v>
      </c>
      <c r="EV396" s="336">
        <f t="shared" si="2532"/>
        <v>0</v>
      </c>
      <c r="EW396" s="336">
        <f t="shared" si="2533"/>
        <v>0</v>
      </c>
      <c r="EX396" s="336">
        <f t="shared" si="2534"/>
        <v>0</v>
      </c>
      <c r="EY396" s="336">
        <f t="shared" si="2535"/>
        <v>0</v>
      </c>
      <c r="EZ396" s="336">
        <f t="shared" si="2536"/>
        <v>0</v>
      </c>
      <c r="FA396" s="336">
        <f t="shared" si="2537"/>
        <v>0</v>
      </c>
      <c r="FB396" s="336">
        <f t="shared" si="2538"/>
        <v>0</v>
      </c>
      <c r="FC396" s="336">
        <f t="shared" si="2539"/>
        <v>0</v>
      </c>
      <c r="FD396" s="336">
        <f t="shared" si="2540"/>
        <v>0</v>
      </c>
      <c r="FE396" s="336">
        <f t="shared" si="2541"/>
        <v>0</v>
      </c>
      <c r="FF396" s="336">
        <f t="shared" si="2542"/>
        <v>0</v>
      </c>
      <c r="FG396" s="336">
        <f t="shared" si="2543"/>
        <v>0</v>
      </c>
      <c r="FH396" s="336">
        <f t="shared" si="2544"/>
        <v>0</v>
      </c>
      <c r="FI396" s="336">
        <f t="shared" si="2545"/>
        <v>0</v>
      </c>
      <c r="FJ396" s="336">
        <f t="shared" si="2546"/>
        <v>0</v>
      </c>
      <c r="FK396" s="336">
        <f t="shared" si="2547"/>
        <v>0</v>
      </c>
      <c r="FL396" s="336">
        <f t="shared" si="2548"/>
        <v>0</v>
      </c>
      <c r="FM396" s="336">
        <f t="shared" si="2549"/>
        <v>0</v>
      </c>
      <c r="FN396" s="336">
        <f t="shared" si="2550"/>
        <v>0</v>
      </c>
      <c r="FO396" s="336">
        <f t="shared" si="2551"/>
        <v>0</v>
      </c>
      <c r="FP396" s="336">
        <f t="shared" si="2552"/>
        <v>0</v>
      </c>
      <c r="FQ396" s="336">
        <f t="shared" si="2553"/>
        <v>0</v>
      </c>
      <c r="FR396" s="336">
        <f t="shared" si="2554"/>
        <v>0</v>
      </c>
      <c r="FS396" s="336">
        <f t="shared" si="2555"/>
        <v>0</v>
      </c>
      <c r="FT396" s="336">
        <f t="shared" si="2556"/>
        <v>0</v>
      </c>
      <c r="FU396" s="336">
        <f t="shared" si="2638"/>
        <v>0</v>
      </c>
      <c r="FV396" s="336">
        <f t="shared" si="2639"/>
        <v>0</v>
      </c>
      <c r="FW396" s="336">
        <f t="shared" si="2640"/>
        <v>0</v>
      </c>
      <c r="FX396" s="336">
        <f t="shared" si="2641"/>
        <v>0</v>
      </c>
      <c r="FY396" s="336">
        <f t="shared" si="2557"/>
        <v>0</v>
      </c>
      <c r="FZ396" s="336">
        <f t="shared" si="2558"/>
        <v>0</v>
      </c>
      <c r="GA396" s="336">
        <f t="shared" si="2559"/>
        <v>0</v>
      </c>
      <c r="GB396" s="336">
        <f t="shared" si="2560"/>
        <v>0</v>
      </c>
      <c r="GC396" s="336">
        <f t="shared" si="2561"/>
        <v>0</v>
      </c>
      <c r="GD396" s="336">
        <f t="shared" si="2562"/>
        <v>0</v>
      </c>
      <c r="GE396" s="336">
        <f t="shared" si="2563"/>
        <v>0</v>
      </c>
      <c r="GF396" s="336">
        <f t="shared" si="2564"/>
        <v>0</v>
      </c>
      <c r="GG396" s="336">
        <f t="shared" si="2565"/>
        <v>0</v>
      </c>
      <c r="GH396" s="336">
        <f t="shared" si="2566"/>
        <v>0</v>
      </c>
      <c r="GI396" s="336">
        <f t="shared" si="2567"/>
        <v>0</v>
      </c>
      <c r="GJ396" s="336">
        <f t="shared" si="2568"/>
        <v>0</v>
      </c>
      <c r="GK396" s="336">
        <f t="shared" si="2513"/>
        <v>0</v>
      </c>
      <c r="GL396" s="336">
        <f t="shared" si="2642"/>
        <v>0</v>
      </c>
      <c r="GM396" s="336">
        <f t="shared" si="2569"/>
        <v>0</v>
      </c>
    </row>
    <row r="397" spans="1:195">
      <c r="A397" s="337">
        <f t="shared" si="2677"/>
        <v>268</v>
      </c>
      <c r="B397" s="388" t="s">
        <v>855</v>
      </c>
      <c r="C397" s="337" t="s">
        <v>851</v>
      </c>
      <c r="D397" s="338" t="s">
        <v>856</v>
      </c>
      <c r="E397" s="502" t="s">
        <v>807</v>
      </c>
      <c r="F397" s="756"/>
      <c r="G397" s="337" t="s">
        <v>329</v>
      </c>
      <c r="H397" s="418">
        <v>5</v>
      </c>
      <c r="I397" s="337" t="s">
        <v>330</v>
      </c>
      <c r="J397" s="337" t="s">
        <v>331</v>
      </c>
      <c r="K397" s="349">
        <v>400</v>
      </c>
      <c r="L397" s="343">
        <v>0.84999999999999987</v>
      </c>
      <c r="M397" s="350">
        <v>0.95099999999999985</v>
      </c>
      <c r="N397" s="342">
        <f t="shared" si="2656"/>
        <v>8.9281747625212677</v>
      </c>
      <c r="O397" s="342">
        <f t="shared" si="2657"/>
        <v>0</v>
      </c>
      <c r="P397" s="343" t="str">
        <f t="shared" si="2658"/>
        <v>0.00</v>
      </c>
      <c r="Q397" s="350">
        <v>25</v>
      </c>
      <c r="R397" s="350">
        <v>0</v>
      </c>
      <c r="S397" s="350">
        <f t="shared" si="2659"/>
        <v>0</v>
      </c>
      <c r="T397" s="343" t="s">
        <v>131</v>
      </c>
      <c r="U397" s="350" t="s">
        <v>535</v>
      </c>
      <c r="V397" s="343">
        <v>35</v>
      </c>
      <c r="W397" s="343" t="str">
        <f t="shared" si="2660"/>
        <v>3.5C X 35</v>
      </c>
      <c r="X397" s="343" t="str">
        <f t="shared" si="2661"/>
        <v>3.5C X 35</v>
      </c>
      <c r="Y397" s="343" t="s">
        <v>358</v>
      </c>
      <c r="Z397" s="344">
        <f>IF(T397="AIR",VLOOKUP(W397,'Catalogue Aluminium'!$B$9:$G$93,2,FALSE),IF(T397="GROUND",VLOOKUP(W397,'Catalogue Aluminium'!$B$9:$G$93,3,FALSE),IF(T397="DUCT",VLOOKUP(W397,'Catalogue Aluminium'!$B$9:$G$93,4,FALSE),IF(T397="TRENCH",VLOOKUP(W397,'Catalogue Aluminium'!$B$9:$G$93,2,FALSE)))))</f>
        <v>117</v>
      </c>
      <c r="AA397" s="345">
        <f>VLOOKUP(W397,'Catalogue Aluminium'!$B$9:$G$93,5,FALSE)</f>
        <v>1.1100000000000001</v>
      </c>
      <c r="AB397" s="345">
        <f>VLOOKUP(W397,'Catalogue Aluminium'!$B$9:$G$93,6,FALSE)</f>
        <v>7.9399999999999998E-2</v>
      </c>
      <c r="AC397" s="388">
        <v>35</v>
      </c>
      <c r="AD397" s="401">
        <v>97</v>
      </c>
      <c r="AE397" s="401">
        <f>11+8+3</f>
        <v>22</v>
      </c>
      <c r="AF397" s="401">
        <f t="shared" ref="AF397:AF398" si="2680">5+5</f>
        <v>10</v>
      </c>
      <c r="AG397" s="401">
        <f t="shared" si="2662"/>
        <v>17</v>
      </c>
      <c r="AH397" s="347">
        <f t="shared" si="2663"/>
        <v>181</v>
      </c>
      <c r="AI397" s="344">
        <f>IF(T397="AIR",'Catalogue Aluminium'!$K$9,IF(T397="TRENCH",'Catalogue Aluminium'!$K$12,"NA"))</f>
        <v>0.89</v>
      </c>
      <c r="AJ397" s="342">
        <f>IF(T397="Air",(IF(U397="1C",'Catalogue Aluminium'!$L$9,'Catalogue Aluminium'!$M$9)),IF(T397="DUCT",(IF($U397="1C",'Catalogue Aluminium'!$L$10,'Catalogue Aluminium'!$M$10)),IF(T397="GROUND",(IF($U397="1C",'Catalogue Aluminium'!$L$11,'Catalogue Aluminium'!$M$11)),IF(T397="TRENCH",(IF($U397="1C",'Catalogue Aluminium'!$L$12,'Catalogue Aluminium'!$M$12))))))</f>
        <v>0.66</v>
      </c>
      <c r="AK397" s="344" t="str">
        <f>IF(T397="Air",'Catalogue Aluminium'!$N$9,IF(T397="GROUND",'Catalogue Aluminium'!$N$10,IF(T397="DUCT",'Catalogue Aluminium'!$N$11,IF(T397="TRENCH",'Catalogue Aluminium'!$N$12,"NA"))))</f>
        <v>NA</v>
      </c>
      <c r="AL397" s="344" t="str">
        <f>IF(T397="Air",(IF(U397="1C",'Catalogue Aluminium'!$O$9,'Catalogue Aluminium'!$P$9)),IF(T397="DUCT",(IF($U397="1C",'Catalogue Aluminium'!$O$10,'Catalogue Aluminium'!$P$10)),IF(T397="GROUND",(IF($U397="1C",'Catalogue Aluminium'!$O$11,'Catalogue Aluminium'!$P$11)),IF(T397="TRENCH",(IF($U397="1C",'Catalogue Aluminium'!$O$12,'Catalogue Aluminium'!$P$12))))))</f>
        <v>NA</v>
      </c>
      <c r="AM397" s="344" t="str">
        <f>IF(T397="AIR","NA",IF(T397="TRENCH","NA",IF(T397="DUCT",IF(U397="1C",VLOOKUP(V397,'Catalogue Aluminium'!$Q$9:$S$28,2,FALSE),VLOOKUP(V397,'Catalogue Aluminium'!$Q$9:$S$28,3)),IF(T397="GROUND",IF(U397="1C",VLOOKUP(V397,'Catalogue Aluminium'!$Q$9:$S$28,2,FALSE),VLOOKUP(V397,'Catalogue Aluminium'!$Q$9:$S$28,3))))))</f>
        <v>NA</v>
      </c>
      <c r="AN397" s="351">
        <f t="shared" si="2664"/>
        <v>0.58740000000000003</v>
      </c>
      <c r="AO397" s="350">
        <f t="shared" si="2665"/>
        <v>68.725800000000007</v>
      </c>
      <c r="AP397" s="349">
        <f t="shared" si="2666"/>
        <v>1</v>
      </c>
      <c r="AQ397" s="350" t="str">
        <f t="shared" si="2667"/>
        <v>YES</v>
      </c>
      <c r="AR397" s="351">
        <f t="shared" si="2668"/>
        <v>0.6894806410220401</v>
      </c>
      <c r="AS397" s="343" t="str">
        <f t="shared" si="2678"/>
        <v>YES</v>
      </c>
      <c r="AT397" s="351" t="str">
        <f t="shared" si="2669"/>
        <v>NA</v>
      </c>
      <c r="AU397" s="343" t="str">
        <f t="shared" si="2670"/>
        <v>NA</v>
      </c>
      <c r="AV397" s="351" t="str">
        <f t="shared" si="2671"/>
        <v>1R x 0.6/1kV x 3.5C x 35 Sqmm</v>
      </c>
      <c r="AW397" s="351" t="str">
        <f t="shared" si="2672"/>
        <v>1R x 0.6/1kV x 3.5C x 35 Sqmm</v>
      </c>
      <c r="AX397" s="343">
        <f t="shared" si="2673"/>
        <v>181</v>
      </c>
      <c r="AY397" s="343"/>
      <c r="AZ397" s="343">
        <f t="shared" si="2674"/>
        <v>2</v>
      </c>
      <c r="BA397" s="356" t="str">
        <f t="shared" si="2679"/>
        <v>ACDD1</v>
      </c>
      <c r="BB397" s="328">
        <f>VLOOKUP(W397,'Catalogue Aluminium'!$B$9:$H$93,7,FALSE)</f>
        <v>27</v>
      </c>
      <c r="BC397" s="328">
        <f t="shared" si="2676"/>
        <v>27</v>
      </c>
      <c r="BE397" s="336"/>
      <c r="BF397" s="336">
        <v>1</v>
      </c>
      <c r="BG397" s="336"/>
      <c r="BH397" s="336"/>
      <c r="BI397" s="336">
        <v>1</v>
      </c>
      <c r="BJ397" s="336">
        <v>1</v>
      </c>
      <c r="BK397" s="336">
        <v>1</v>
      </c>
      <c r="BL397" s="336"/>
      <c r="BM397" s="336"/>
      <c r="BN397" s="336"/>
      <c r="BO397" s="336"/>
      <c r="BP397" s="336"/>
      <c r="BQ397" s="336"/>
      <c r="BR397" s="336"/>
      <c r="BS397" s="336"/>
      <c r="BT397" s="336"/>
      <c r="BU397" s="336"/>
      <c r="BV397" s="336"/>
      <c r="BW397" s="336"/>
      <c r="BX397" s="336"/>
      <c r="BY397" s="336"/>
      <c r="BZ397" s="336"/>
      <c r="CA397" s="336"/>
      <c r="CB397" s="336"/>
      <c r="CC397" s="336"/>
      <c r="CD397" s="336"/>
      <c r="CE397" s="336"/>
      <c r="CF397" s="336"/>
      <c r="CG397" s="336"/>
      <c r="CH397" s="336"/>
      <c r="CI397" s="336"/>
      <c r="CJ397" s="336"/>
      <c r="CK397" s="336"/>
      <c r="CL397" s="336"/>
      <c r="CM397" s="336"/>
      <c r="CN397" s="336"/>
      <c r="CO397" s="336"/>
      <c r="CP397" s="336"/>
      <c r="CQ397" s="336"/>
      <c r="CR397" s="336"/>
      <c r="CS397" s="336"/>
      <c r="CT397" s="336"/>
      <c r="CU397" s="336"/>
      <c r="CV397" s="336"/>
      <c r="CW397" s="336"/>
      <c r="CX397" s="336"/>
      <c r="CY397" s="336"/>
      <c r="CZ397" s="336"/>
      <c r="DA397" s="336"/>
      <c r="DB397" s="336"/>
      <c r="DC397" s="336"/>
      <c r="DD397" s="336"/>
      <c r="DE397" s="336"/>
      <c r="DF397" s="336"/>
      <c r="DG397" s="336"/>
      <c r="DH397" s="336"/>
      <c r="DI397" s="336"/>
      <c r="DJ397" s="336"/>
      <c r="DK397" s="336"/>
      <c r="DL397" s="336"/>
      <c r="DM397" s="336"/>
      <c r="DN397" s="336"/>
      <c r="DO397" s="336"/>
      <c r="DP397" s="336"/>
      <c r="DQ397" s="336"/>
      <c r="DR397" s="336"/>
      <c r="DS397" s="336"/>
      <c r="DT397" s="336"/>
      <c r="DU397" s="336"/>
      <c r="DW397" s="336">
        <f t="shared" si="2591"/>
        <v>0</v>
      </c>
      <c r="DX397" s="336">
        <f t="shared" si="2592"/>
        <v>27</v>
      </c>
      <c r="DY397" s="336">
        <f t="shared" si="2593"/>
        <v>0</v>
      </c>
      <c r="DZ397" s="336">
        <f t="shared" si="2594"/>
        <v>0</v>
      </c>
      <c r="EA397" s="336">
        <f t="shared" si="2595"/>
        <v>27</v>
      </c>
      <c r="EB397" s="336">
        <f t="shared" si="2596"/>
        <v>27</v>
      </c>
      <c r="EC397" s="336">
        <f t="shared" si="2597"/>
        <v>27</v>
      </c>
      <c r="ED397" s="336">
        <f t="shared" si="2515"/>
        <v>0</v>
      </c>
      <c r="EE397" s="336">
        <f t="shared" si="2516"/>
        <v>0</v>
      </c>
      <c r="EF397" s="336">
        <f t="shared" si="2517"/>
        <v>0</v>
      </c>
      <c r="EG397" s="336">
        <f t="shared" si="2518"/>
        <v>0</v>
      </c>
      <c r="EH397" s="336">
        <f t="shared" si="2519"/>
        <v>0</v>
      </c>
      <c r="EI397" s="336">
        <f t="shared" si="2520"/>
        <v>0</v>
      </c>
      <c r="EJ397" s="336">
        <f t="shared" si="2521"/>
        <v>0</v>
      </c>
      <c r="EK397" s="336">
        <f t="shared" si="2522"/>
        <v>0</v>
      </c>
      <c r="EL397" s="336">
        <f t="shared" si="2523"/>
        <v>0</v>
      </c>
      <c r="EM397" s="336">
        <f t="shared" si="2524"/>
        <v>0</v>
      </c>
      <c r="EN397" s="336">
        <f t="shared" si="2525"/>
        <v>0</v>
      </c>
      <c r="EO397" s="336">
        <f t="shared" si="2526"/>
        <v>0</v>
      </c>
      <c r="EP397" s="336">
        <f t="shared" si="2527"/>
        <v>0</v>
      </c>
      <c r="EQ397" s="336">
        <f t="shared" si="2528"/>
        <v>0</v>
      </c>
      <c r="ER397" s="336">
        <f t="shared" si="2529"/>
        <v>0</v>
      </c>
      <c r="ES397" s="336">
        <f t="shared" si="2530"/>
        <v>0</v>
      </c>
      <c r="ET397" s="336">
        <f t="shared" si="2530"/>
        <v>0</v>
      </c>
      <c r="EU397" s="336">
        <f t="shared" si="2531"/>
        <v>0</v>
      </c>
      <c r="EV397" s="336">
        <f t="shared" si="2532"/>
        <v>0</v>
      </c>
      <c r="EW397" s="336">
        <f t="shared" si="2533"/>
        <v>0</v>
      </c>
      <c r="EX397" s="336">
        <f t="shared" si="2534"/>
        <v>0</v>
      </c>
      <c r="EY397" s="336">
        <f t="shared" si="2535"/>
        <v>0</v>
      </c>
      <c r="EZ397" s="336">
        <f t="shared" si="2536"/>
        <v>0</v>
      </c>
      <c r="FA397" s="336">
        <f t="shared" si="2537"/>
        <v>0</v>
      </c>
      <c r="FB397" s="336">
        <f t="shared" si="2538"/>
        <v>0</v>
      </c>
      <c r="FC397" s="336">
        <f t="shared" si="2539"/>
        <v>0</v>
      </c>
      <c r="FD397" s="336">
        <f t="shared" si="2540"/>
        <v>0</v>
      </c>
      <c r="FE397" s="336">
        <f t="shared" si="2541"/>
        <v>0</v>
      </c>
      <c r="FF397" s="336">
        <f t="shared" si="2542"/>
        <v>0</v>
      </c>
      <c r="FG397" s="336">
        <f t="shared" si="2543"/>
        <v>0</v>
      </c>
      <c r="FH397" s="336">
        <f t="shared" si="2544"/>
        <v>0</v>
      </c>
      <c r="FI397" s="336">
        <f t="shared" si="2545"/>
        <v>0</v>
      </c>
      <c r="FJ397" s="336">
        <f t="shared" si="2546"/>
        <v>0</v>
      </c>
      <c r="FK397" s="336">
        <f t="shared" si="2547"/>
        <v>0</v>
      </c>
      <c r="FL397" s="336">
        <f t="shared" si="2548"/>
        <v>0</v>
      </c>
      <c r="FM397" s="336">
        <f t="shared" si="2549"/>
        <v>0</v>
      </c>
      <c r="FN397" s="336">
        <f t="shared" si="2550"/>
        <v>0</v>
      </c>
      <c r="FO397" s="336">
        <f t="shared" si="2551"/>
        <v>0</v>
      </c>
      <c r="FP397" s="336">
        <f t="shared" si="2552"/>
        <v>0</v>
      </c>
      <c r="FQ397" s="336">
        <f t="shared" si="2553"/>
        <v>0</v>
      </c>
      <c r="FR397" s="336">
        <f t="shared" si="2554"/>
        <v>0</v>
      </c>
      <c r="FS397" s="336">
        <f t="shared" si="2555"/>
        <v>0</v>
      </c>
      <c r="FT397" s="336">
        <f t="shared" si="2556"/>
        <v>0</v>
      </c>
      <c r="FU397" s="336">
        <f t="shared" si="2638"/>
        <v>0</v>
      </c>
      <c r="FV397" s="336">
        <f t="shared" si="2639"/>
        <v>0</v>
      </c>
      <c r="FW397" s="336">
        <f t="shared" si="2640"/>
        <v>0</v>
      </c>
      <c r="FX397" s="336">
        <f t="shared" si="2641"/>
        <v>0</v>
      </c>
      <c r="FY397" s="336">
        <f t="shared" si="2557"/>
        <v>0</v>
      </c>
      <c r="FZ397" s="336">
        <f t="shared" si="2558"/>
        <v>0</v>
      </c>
      <c r="GA397" s="336">
        <f t="shared" si="2559"/>
        <v>0</v>
      </c>
      <c r="GB397" s="336">
        <f t="shared" si="2560"/>
        <v>0</v>
      </c>
      <c r="GC397" s="336">
        <f t="shared" si="2561"/>
        <v>0</v>
      </c>
      <c r="GD397" s="336">
        <f t="shared" si="2562"/>
        <v>0</v>
      </c>
      <c r="GE397" s="336">
        <f t="shared" si="2563"/>
        <v>0</v>
      </c>
      <c r="GF397" s="336">
        <f t="shared" si="2564"/>
        <v>0</v>
      </c>
      <c r="GG397" s="336">
        <f t="shared" si="2565"/>
        <v>0</v>
      </c>
      <c r="GH397" s="336">
        <f t="shared" si="2566"/>
        <v>0</v>
      </c>
      <c r="GI397" s="336">
        <f t="shared" si="2567"/>
        <v>0</v>
      </c>
      <c r="GJ397" s="336">
        <f t="shared" si="2568"/>
        <v>0</v>
      </c>
      <c r="GK397" s="336">
        <f t="shared" si="2513"/>
        <v>0</v>
      </c>
      <c r="GL397" s="336">
        <f t="shared" si="2642"/>
        <v>0</v>
      </c>
      <c r="GM397" s="336">
        <f t="shared" si="2569"/>
        <v>0</v>
      </c>
    </row>
    <row r="398" spans="1:195">
      <c r="A398" s="337">
        <f t="shared" si="2677"/>
        <v>269</v>
      </c>
      <c r="B398" s="388" t="s">
        <v>857</v>
      </c>
      <c r="C398" s="337" t="s">
        <v>851</v>
      </c>
      <c r="D398" s="338" t="s">
        <v>858</v>
      </c>
      <c r="E398" s="454" t="s">
        <v>345</v>
      </c>
      <c r="F398" s="756"/>
      <c r="G398" s="337" t="s">
        <v>329</v>
      </c>
      <c r="H398" s="418">
        <v>5</v>
      </c>
      <c r="I398" s="337" t="s">
        <v>330</v>
      </c>
      <c r="J398" s="337" t="s">
        <v>331</v>
      </c>
      <c r="K398" s="349">
        <v>400</v>
      </c>
      <c r="L398" s="343">
        <v>0.84999999999999987</v>
      </c>
      <c r="M398" s="350">
        <v>0.95099999999999985</v>
      </c>
      <c r="N398" s="342">
        <f t="shared" si="2656"/>
        <v>8.9281747625212677</v>
      </c>
      <c r="O398" s="342">
        <f t="shared" si="2657"/>
        <v>0</v>
      </c>
      <c r="P398" s="343" t="str">
        <f t="shared" si="2658"/>
        <v>0.00</v>
      </c>
      <c r="Q398" s="350">
        <v>25</v>
      </c>
      <c r="R398" s="350">
        <v>0</v>
      </c>
      <c r="S398" s="350">
        <f t="shared" si="2659"/>
        <v>0</v>
      </c>
      <c r="T398" s="343" t="s">
        <v>131</v>
      </c>
      <c r="U398" s="350" t="s">
        <v>535</v>
      </c>
      <c r="V398" s="343">
        <v>35</v>
      </c>
      <c r="W398" s="343" t="str">
        <f t="shared" si="2660"/>
        <v>3.5C X 35</v>
      </c>
      <c r="X398" s="343" t="str">
        <f t="shared" si="2661"/>
        <v>3.5C X 35</v>
      </c>
      <c r="Y398" s="343" t="s">
        <v>358</v>
      </c>
      <c r="Z398" s="344">
        <f>IF(T398="AIR",VLOOKUP(W398,'Catalogue Aluminium'!$B$9:$G$93,2,FALSE),IF(T398="GROUND",VLOOKUP(W398,'Catalogue Aluminium'!$B$9:$G$93,3,FALSE),IF(T398="DUCT",VLOOKUP(W398,'Catalogue Aluminium'!$B$9:$G$93,4,FALSE),IF(T398="TRENCH",VLOOKUP(W398,'Catalogue Aluminium'!$B$9:$G$93,2,FALSE)))))</f>
        <v>117</v>
      </c>
      <c r="AA398" s="345">
        <f>VLOOKUP(W398,'Catalogue Aluminium'!$B$9:$G$93,5,FALSE)</f>
        <v>1.1100000000000001</v>
      </c>
      <c r="AB398" s="345">
        <f>VLOOKUP(W398,'Catalogue Aluminium'!$B$9:$G$93,6,FALSE)</f>
        <v>7.9399999999999998E-2</v>
      </c>
      <c r="AC398" s="388">
        <v>35</v>
      </c>
      <c r="AD398" s="401">
        <f>207</f>
        <v>207</v>
      </c>
      <c r="AE398" s="401">
        <f t="shared" ref="AE398" si="2681">11+8+8+11</f>
        <v>38</v>
      </c>
      <c r="AF398" s="401">
        <f t="shared" si="2680"/>
        <v>10</v>
      </c>
      <c r="AG398" s="401">
        <f t="shared" si="2662"/>
        <v>29</v>
      </c>
      <c r="AH398" s="347">
        <f t="shared" si="2663"/>
        <v>319</v>
      </c>
      <c r="AI398" s="344">
        <f>IF(T398="AIR",'Catalogue Aluminium'!$K$9,IF(T398="TRENCH",'Catalogue Aluminium'!$K$12,"NA"))</f>
        <v>0.89</v>
      </c>
      <c r="AJ398" s="342">
        <f>IF(T398="Air",(IF(U398="1C",'Catalogue Aluminium'!$L$9,'Catalogue Aluminium'!$M$9)),IF(T398="DUCT",(IF($U398="1C",'Catalogue Aluminium'!$L$10,'Catalogue Aluminium'!$M$10)),IF(T398="GROUND",(IF($U398="1C",'Catalogue Aluminium'!$L$11,'Catalogue Aluminium'!$M$11)),IF(T398="TRENCH",(IF($U398="1C",'Catalogue Aluminium'!$L$12,'Catalogue Aluminium'!$M$12))))))</f>
        <v>0.66</v>
      </c>
      <c r="AK398" s="344" t="str">
        <f>IF(T398="Air",'Catalogue Aluminium'!$N$9,IF(T398="GROUND",'Catalogue Aluminium'!$N$10,IF(T398="DUCT",'Catalogue Aluminium'!$N$11,IF(T398="TRENCH",'Catalogue Aluminium'!$N$12,"NA"))))</f>
        <v>NA</v>
      </c>
      <c r="AL398" s="344" t="str">
        <f>IF(T398="Air",(IF(U398="1C",'Catalogue Aluminium'!$O$9,'Catalogue Aluminium'!$P$9)),IF(T398="DUCT",(IF($U398="1C",'Catalogue Aluminium'!$O$10,'Catalogue Aluminium'!$P$10)),IF(T398="GROUND",(IF($U398="1C",'Catalogue Aluminium'!$O$11,'Catalogue Aluminium'!$P$11)),IF(T398="TRENCH",(IF($U398="1C",'Catalogue Aluminium'!$O$12,'Catalogue Aluminium'!$P$12))))))</f>
        <v>NA</v>
      </c>
      <c r="AM398" s="344" t="str">
        <f>IF(T398="AIR","NA",IF(T398="TRENCH","NA",IF(T398="DUCT",IF(U398="1C",VLOOKUP(V398,'Catalogue Aluminium'!$Q$9:$S$28,2,FALSE),VLOOKUP(V398,'Catalogue Aluminium'!$Q$9:$S$28,3)),IF(T398="GROUND",IF(U398="1C",VLOOKUP(V398,'Catalogue Aluminium'!$Q$9:$S$28,2,FALSE),VLOOKUP(V398,'Catalogue Aluminium'!$Q$9:$S$28,3))))))</f>
        <v>NA</v>
      </c>
      <c r="AN398" s="351">
        <f t="shared" si="2664"/>
        <v>0.58740000000000003</v>
      </c>
      <c r="AO398" s="350">
        <f t="shared" si="2665"/>
        <v>68.725800000000007</v>
      </c>
      <c r="AP398" s="349">
        <f t="shared" si="2666"/>
        <v>1</v>
      </c>
      <c r="AQ398" s="350" t="str">
        <f t="shared" si="2667"/>
        <v>YES</v>
      </c>
      <c r="AR398" s="351">
        <f t="shared" si="2668"/>
        <v>1.2151620137349766</v>
      </c>
      <c r="AS398" s="343" t="str">
        <f>IF(G398="INCOMER",(IF(AR398&lt;=2,"YES","NO")),IF(G398="POWER",(IF(AR398&lt;=5,"YES","NO")),IF(G398="MOTOR",(IF(AR398&lt;=3,"YES","NO")))))</f>
        <v>YES</v>
      </c>
      <c r="AT398" s="351" t="str">
        <f t="shared" si="2669"/>
        <v>NA</v>
      </c>
      <c r="AU398" s="343" t="str">
        <f t="shared" si="2670"/>
        <v>NA</v>
      </c>
      <c r="AV398" s="351" t="str">
        <f t="shared" si="2671"/>
        <v>1R x 0.6/1kV x 3.5C x 35 Sqmm</v>
      </c>
      <c r="AW398" s="351" t="str">
        <f t="shared" si="2672"/>
        <v>1R x 0.6/1kV x 3.5C x 35 Sqmm</v>
      </c>
      <c r="AX398" s="343">
        <f t="shared" si="2673"/>
        <v>319</v>
      </c>
      <c r="AY398" s="343"/>
      <c r="AZ398" s="343">
        <f t="shared" si="2674"/>
        <v>2</v>
      </c>
      <c r="BA398" s="356" t="str">
        <f t="shared" si="2679"/>
        <v>ACDEE1</v>
      </c>
      <c r="BB398" s="328">
        <f>VLOOKUP(W398,'Catalogue Aluminium'!$B$9:$H$93,7,FALSE)</f>
        <v>27</v>
      </c>
      <c r="BC398" s="328">
        <f t="shared" si="2676"/>
        <v>27</v>
      </c>
      <c r="BE398" s="336"/>
      <c r="BF398" s="336">
        <v>1</v>
      </c>
      <c r="BG398" s="336"/>
      <c r="BH398" s="336"/>
      <c r="BI398" s="336">
        <v>1</v>
      </c>
      <c r="BJ398" s="336">
        <v>1</v>
      </c>
      <c r="BK398" s="336"/>
      <c r="BL398" s="336"/>
      <c r="BM398" s="336"/>
      <c r="BN398" s="336">
        <v>1</v>
      </c>
      <c r="BO398" s="336"/>
      <c r="BP398" s="336">
        <v>1</v>
      </c>
      <c r="BQ398" s="336"/>
      <c r="BR398" s="336"/>
      <c r="BS398" s="336"/>
      <c r="BT398" s="336"/>
      <c r="BU398" s="336"/>
      <c r="BV398" s="336"/>
      <c r="BW398" s="336"/>
      <c r="BX398" s="336"/>
      <c r="BY398" s="336"/>
      <c r="BZ398" s="336"/>
      <c r="CA398" s="336"/>
      <c r="CB398" s="336"/>
      <c r="CC398" s="336"/>
      <c r="CD398" s="336"/>
      <c r="CE398" s="336"/>
      <c r="CF398" s="336"/>
      <c r="CG398" s="336"/>
      <c r="CH398" s="336"/>
      <c r="CI398" s="336"/>
      <c r="CJ398" s="336"/>
      <c r="CK398" s="336"/>
      <c r="CL398" s="336"/>
      <c r="CM398" s="336"/>
      <c r="CN398" s="336"/>
      <c r="CO398" s="336"/>
      <c r="CP398" s="336"/>
      <c r="CQ398" s="336"/>
      <c r="CR398" s="336"/>
      <c r="CS398" s="336"/>
      <c r="CT398" s="336"/>
      <c r="CU398" s="336"/>
      <c r="CV398" s="336"/>
      <c r="CW398" s="336"/>
      <c r="CX398" s="336"/>
      <c r="CY398" s="336"/>
      <c r="CZ398" s="336"/>
      <c r="DA398" s="336"/>
      <c r="DB398" s="336"/>
      <c r="DC398" s="336"/>
      <c r="DD398" s="336"/>
      <c r="DE398" s="336"/>
      <c r="DF398" s="336"/>
      <c r="DG398" s="336"/>
      <c r="DH398" s="336"/>
      <c r="DI398" s="336"/>
      <c r="DJ398" s="336"/>
      <c r="DK398" s="336"/>
      <c r="DL398" s="336"/>
      <c r="DM398" s="336"/>
      <c r="DN398" s="336"/>
      <c r="DO398" s="336"/>
      <c r="DP398" s="336"/>
      <c r="DQ398" s="336"/>
      <c r="DR398" s="336"/>
      <c r="DS398" s="336"/>
      <c r="DT398" s="336"/>
      <c r="DU398" s="336"/>
      <c r="DW398" s="336">
        <f t="shared" si="2591"/>
        <v>0</v>
      </c>
      <c r="DX398" s="336">
        <f t="shared" si="2592"/>
        <v>27</v>
      </c>
      <c r="DY398" s="336">
        <f t="shared" si="2593"/>
        <v>0</v>
      </c>
      <c r="DZ398" s="336">
        <f t="shared" si="2594"/>
        <v>0</v>
      </c>
      <c r="EA398" s="336">
        <f t="shared" si="2595"/>
        <v>27</v>
      </c>
      <c r="EB398" s="336">
        <f t="shared" si="2596"/>
        <v>27</v>
      </c>
      <c r="EC398" s="336">
        <f t="shared" si="2597"/>
        <v>0</v>
      </c>
      <c r="ED398" s="336">
        <f t="shared" si="2515"/>
        <v>0</v>
      </c>
      <c r="EE398" s="336">
        <f t="shared" si="2516"/>
        <v>0</v>
      </c>
      <c r="EF398" s="336">
        <f t="shared" si="2517"/>
        <v>27</v>
      </c>
      <c r="EG398" s="336">
        <f t="shared" si="2518"/>
        <v>0</v>
      </c>
      <c r="EH398" s="336">
        <f t="shared" si="2519"/>
        <v>27</v>
      </c>
      <c r="EI398" s="336">
        <f t="shared" si="2520"/>
        <v>0</v>
      </c>
      <c r="EJ398" s="336">
        <f t="shared" si="2521"/>
        <v>0</v>
      </c>
      <c r="EK398" s="336">
        <f t="shared" si="2522"/>
        <v>0</v>
      </c>
      <c r="EL398" s="336">
        <f t="shared" si="2523"/>
        <v>0</v>
      </c>
      <c r="EM398" s="336">
        <f t="shared" si="2524"/>
        <v>0</v>
      </c>
      <c r="EN398" s="336">
        <f t="shared" si="2525"/>
        <v>0</v>
      </c>
      <c r="EO398" s="336">
        <f t="shared" si="2526"/>
        <v>0</v>
      </c>
      <c r="EP398" s="336">
        <f t="shared" si="2527"/>
        <v>0</v>
      </c>
      <c r="EQ398" s="336">
        <f t="shared" si="2528"/>
        <v>0</v>
      </c>
      <c r="ER398" s="336">
        <f t="shared" si="2529"/>
        <v>0</v>
      </c>
      <c r="ES398" s="336">
        <f t="shared" si="2530"/>
        <v>0</v>
      </c>
      <c r="ET398" s="336">
        <f t="shared" si="2530"/>
        <v>0</v>
      </c>
      <c r="EU398" s="336">
        <f t="shared" si="2531"/>
        <v>0</v>
      </c>
      <c r="EV398" s="336">
        <f t="shared" si="2532"/>
        <v>0</v>
      </c>
      <c r="EW398" s="336">
        <f t="shared" si="2533"/>
        <v>0</v>
      </c>
      <c r="EX398" s="336">
        <f t="shared" si="2534"/>
        <v>0</v>
      </c>
      <c r="EY398" s="336">
        <f t="shared" si="2535"/>
        <v>0</v>
      </c>
      <c r="EZ398" s="336">
        <f t="shared" si="2536"/>
        <v>0</v>
      </c>
      <c r="FA398" s="336">
        <f t="shared" si="2537"/>
        <v>0</v>
      </c>
      <c r="FB398" s="336">
        <f t="shared" si="2538"/>
        <v>0</v>
      </c>
      <c r="FC398" s="336">
        <f t="shared" si="2539"/>
        <v>0</v>
      </c>
      <c r="FD398" s="336">
        <f t="shared" si="2540"/>
        <v>0</v>
      </c>
      <c r="FE398" s="336">
        <f t="shared" si="2541"/>
        <v>0</v>
      </c>
      <c r="FF398" s="336">
        <f t="shared" si="2542"/>
        <v>0</v>
      </c>
      <c r="FG398" s="336">
        <f t="shared" si="2543"/>
        <v>0</v>
      </c>
      <c r="FH398" s="336">
        <f t="shared" si="2544"/>
        <v>0</v>
      </c>
      <c r="FI398" s="336">
        <f t="shared" si="2545"/>
        <v>0</v>
      </c>
      <c r="FJ398" s="336">
        <f t="shared" si="2546"/>
        <v>0</v>
      </c>
      <c r="FK398" s="336">
        <f t="shared" si="2547"/>
        <v>0</v>
      </c>
      <c r="FL398" s="336">
        <f t="shared" si="2548"/>
        <v>0</v>
      </c>
      <c r="FM398" s="336">
        <f t="shared" si="2549"/>
        <v>0</v>
      </c>
      <c r="FN398" s="336">
        <f t="shared" si="2550"/>
        <v>0</v>
      </c>
      <c r="FO398" s="336">
        <f t="shared" si="2551"/>
        <v>0</v>
      </c>
      <c r="FP398" s="336">
        <f t="shared" si="2552"/>
        <v>0</v>
      </c>
      <c r="FQ398" s="336">
        <f t="shared" si="2553"/>
        <v>0</v>
      </c>
      <c r="FR398" s="336">
        <f t="shared" si="2554"/>
        <v>0</v>
      </c>
      <c r="FS398" s="336">
        <f t="shared" si="2555"/>
        <v>0</v>
      </c>
      <c r="FT398" s="336">
        <f t="shared" si="2556"/>
        <v>0</v>
      </c>
      <c r="FU398" s="336">
        <f t="shared" si="2638"/>
        <v>0</v>
      </c>
      <c r="FV398" s="336">
        <f t="shared" si="2639"/>
        <v>0</v>
      </c>
      <c r="FW398" s="336">
        <f t="shared" si="2640"/>
        <v>0</v>
      </c>
      <c r="FX398" s="336">
        <f t="shared" si="2641"/>
        <v>0</v>
      </c>
      <c r="FY398" s="336">
        <f t="shared" si="2557"/>
        <v>0</v>
      </c>
      <c r="FZ398" s="336">
        <f t="shared" si="2558"/>
        <v>0</v>
      </c>
      <c r="GA398" s="336">
        <f t="shared" si="2559"/>
        <v>0</v>
      </c>
      <c r="GB398" s="336">
        <f t="shared" si="2560"/>
        <v>0</v>
      </c>
      <c r="GC398" s="336">
        <f t="shared" si="2561"/>
        <v>0</v>
      </c>
      <c r="GD398" s="336">
        <f t="shared" si="2562"/>
        <v>0</v>
      </c>
      <c r="GE398" s="336">
        <f t="shared" si="2563"/>
        <v>0</v>
      </c>
      <c r="GF398" s="336">
        <f t="shared" si="2564"/>
        <v>0</v>
      </c>
      <c r="GG398" s="336">
        <f t="shared" si="2565"/>
        <v>0</v>
      </c>
      <c r="GH398" s="336">
        <f t="shared" si="2566"/>
        <v>0</v>
      </c>
      <c r="GI398" s="336">
        <f t="shared" si="2567"/>
        <v>0</v>
      </c>
      <c r="GJ398" s="336">
        <f t="shared" si="2568"/>
        <v>0</v>
      </c>
      <c r="GK398" s="336">
        <f t="shared" si="2513"/>
        <v>0</v>
      </c>
      <c r="GL398" s="336">
        <f t="shared" si="2642"/>
        <v>0</v>
      </c>
      <c r="GM398" s="336">
        <f t="shared" si="2569"/>
        <v>0</v>
      </c>
    </row>
    <row r="399" spans="1:195" ht="29.25" customHeight="1">
      <c r="A399" s="337">
        <f t="shared" si="2677"/>
        <v>270</v>
      </c>
      <c r="B399" s="388" t="s">
        <v>859</v>
      </c>
      <c r="C399" s="337" t="s">
        <v>851</v>
      </c>
      <c r="D399" s="338" t="s">
        <v>860</v>
      </c>
      <c r="E399" s="502" t="s">
        <v>861</v>
      </c>
      <c r="F399" s="756"/>
      <c r="G399" s="337" t="s">
        <v>329</v>
      </c>
      <c r="H399" s="418">
        <v>5</v>
      </c>
      <c r="I399" s="337" t="s">
        <v>330</v>
      </c>
      <c r="J399" s="337" t="s">
        <v>331</v>
      </c>
      <c r="K399" s="349">
        <v>400</v>
      </c>
      <c r="L399" s="343">
        <v>0.84999999999999987</v>
      </c>
      <c r="M399" s="350">
        <v>0.95099999999999985</v>
      </c>
      <c r="N399" s="342">
        <f t="shared" si="2656"/>
        <v>8.9281747625212677</v>
      </c>
      <c r="O399" s="342">
        <f t="shared" si="2657"/>
        <v>0</v>
      </c>
      <c r="P399" s="343" t="str">
        <f t="shared" si="2658"/>
        <v>0.00</v>
      </c>
      <c r="Q399" s="350">
        <v>25</v>
      </c>
      <c r="R399" s="350">
        <v>0</v>
      </c>
      <c r="S399" s="350">
        <f t="shared" si="2659"/>
        <v>0</v>
      </c>
      <c r="T399" s="343" t="s">
        <v>131</v>
      </c>
      <c r="U399" s="350" t="s">
        <v>535</v>
      </c>
      <c r="V399" s="343">
        <v>35</v>
      </c>
      <c r="W399" s="343" t="str">
        <f t="shared" si="2660"/>
        <v>3.5C X 35</v>
      </c>
      <c r="X399" s="343" t="str">
        <f t="shared" si="2661"/>
        <v>3.5C X 35</v>
      </c>
      <c r="Y399" s="343" t="s">
        <v>358</v>
      </c>
      <c r="Z399" s="344">
        <f>IF(T399="AIR",VLOOKUP(W399,'Catalogue Aluminium'!$B$9:$G$93,2,FALSE),IF(T399="GROUND",VLOOKUP(W399,'Catalogue Aluminium'!$B$9:$G$93,3,FALSE),IF(T399="DUCT",VLOOKUP(W399,'Catalogue Aluminium'!$B$9:$G$93,4,FALSE),IF(T399="TRENCH",VLOOKUP(W399,'Catalogue Aluminium'!$B$9:$G$93,2,FALSE)))))</f>
        <v>117</v>
      </c>
      <c r="AA399" s="345">
        <f>VLOOKUP(W399,'Catalogue Aluminium'!$B$9:$G$93,5,FALSE)</f>
        <v>1.1100000000000001</v>
      </c>
      <c r="AB399" s="345">
        <f>VLOOKUP(W399,'Catalogue Aluminium'!$B$9:$G$93,6,FALSE)</f>
        <v>7.9399999999999998E-2</v>
      </c>
      <c r="AC399" s="388">
        <v>35</v>
      </c>
      <c r="AD399" s="574">
        <f>68+22+53+35</f>
        <v>178</v>
      </c>
      <c r="AE399" s="401">
        <f>8+7</f>
        <v>15</v>
      </c>
      <c r="AF399" s="401">
        <v>5</v>
      </c>
      <c r="AG399" s="401">
        <f t="shared" si="2662"/>
        <v>24</v>
      </c>
      <c r="AH399" s="347">
        <f t="shared" si="2663"/>
        <v>257</v>
      </c>
      <c r="AI399" s="344">
        <f>IF(T399="AIR",'Catalogue Aluminium'!$K$9,IF(T399="TRENCH",'Catalogue Aluminium'!$K$12,"NA"))</f>
        <v>0.89</v>
      </c>
      <c r="AJ399" s="342">
        <f>IF(T399="Air",(IF(U399="1C",'Catalogue Aluminium'!$L$9,'Catalogue Aluminium'!$M$9)),IF(T399="DUCT",(IF($U399="1C",'Catalogue Aluminium'!$L$10,'Catalogue Aluminium'!$M$10)),IF(T399="GROUND",(IF($U399="1C",'Catalogue Aluminium'!$L$11,'Catalogue Aluminium'!$M$11)),IF(T399="TRENCH",(IF($U399="1C",'Catalogue Aluminium'!$L$12,'Catalogue Aluminium'!$M$12))))))</f>
        <v>0.66</v>
      </c>
      <c r="AK399" s="344" t="str">
        <f>IF(T399="Air",'Catalogue Aluminium'!$N$9,IF(T399="GROUND",'Catalogue Aluminium'!$N$10,IF(T399="DUCT",'Catalogue Aluminium'!$N$11,IF(T399="TRENCH",'Catalogue Aluminium'!$N$12,"NA"))))</f>
        <v>NA</v>
      </c>
      <c r="AL399" s="344" t="str">
        <f>IF(T399="Air",(IF(U399="1C",'Catalogue Aluminium'!$O$9,'Catalogue Aluminium'!$P$9)),IF(T399="DUCT",(IF($U399="1C",'Catalogue Aluminium'!$O$10,'Catalogue Aluminium'!$P$10)),IF(T399="GROUND",(IF($U399="1C",'Catalogue Aluminium'!$O$11,'Catalogue Aluminium'!$P$11)),IF(T399="TRENCH",(IF($U399="1C",'Catalogue Aluminium'!$O$12,'Catalogue Aluminium'!$P$12))))))</f>
        <v>NA</v>
      </c>
      <c r="AM399" s="344" t="str">
        <f>IF(T399="AIR","NA",IF(T399="TRENCH","NA",IF(T399="DUCT",IF(U399="1C",VLOOKUP(V399,'Catalogue Aluminium'!$Q$9:$S$28,2,FALSE),VLOOKUP(V399,'Catalogue Aluminium'!$Q$9:$S$28,3)),IF(T399="GROUND",IF(U399="1C",VLOOKUP(V399,'Catalogue Aluminium'!$Q$9:$S$28,2,FALSE),VLOOKUP(V399,'Catalogue Aluminium'!$Q$9:$S$28,3))))))</f>
        <v>NA</v>
      </c>
      <c r="AN399" s="351">
        <f t="shared" si="2664"/>
        <v>0.58740000000000003</v>
      </c>
      <c r="AO399" s="350">
        <f t="shared" si="2665"/>
        <v>68.725800000000007</v>
      </c>
      <c r="AP399" s="349">
        <f t="shared" si="2666"/>
        <v>1</v>
      </c>
      <c r="AQ399" s="350" t="str">
        <f t="shared" si="2667"/>
        <v>YES</v>
      </c>
      <c r="AR399" s="351">
        <f t="shared" si="2668"/>
        <v>0.97898632454510681</v>
      </c>
      <c r="AS399" s="343" t="str">
        <f t="shared" si="2678"/>
        <v>YES</v>
      </c>
      <c r="AT399" s="351" t="str">
        <f t="shared" si="2669"/>
        <v>NA</v>
      </c>
      <c r="AU399" s="343" t="str">
        <f t="shared" si="2670"/>
        <v>NA</v>
      </c>
      <c r="AV399" s="351" t="str">
        <f t="shared" si="2671"/>
        <v>1R x 0.6/1kV x 3.5C x 35 Sqmm</v>
      </c>
      <c r="AW399" s="351" t="str">
        <f t="shared" si="2672"/>
        <v>1R x 0.6/1kV x 3.5C x 35 Sqmm</v>
      </c>
      <c r="AX399" s="343">
        <f t="shared" si="2673"/>
        <v>257</v>
      </c>
      <c r="AY399" s="343"/>
      <c r="AZ399" s="343">
        <f t="shared" si="2674"/>
        <v>2</v>
      </c>
      <c r="BA399" s="356" t="str">
        <f t="shared" si="2679"/>
        <v>D3LMM1</v>
      </c>
      <c r="BB399" s="328">
        <f>VLOOKUP(W399,'Catalogue Aluminium'!$B$9:$H$93,7,FALSE)</f>
        <v>27</v>
      </c>
      <c r="BC399" s="328">
        <f t="shared" si="2676"/>
        <v>27</v>
      </c>
      <c r="BE399" s="336"/>
      <c r="BF399" s="336"/>
      <c r="BG399" s="336"/>
      <c r="BH399" s="336"/>
      <c r="BI399" s="336"/>
      <c r="BJ399" s="336"/>
      <c r="BK399" s="336"/>
      <c r="BL399" s="336"/>
      <c r="BM399" s="336">
        <v>1</v>
      </c>
      <c r="BN399" s="336"/>
      <c r="BO399" s="336"/>
      <c r="BP399" s="336"/>
      <c r="BQ399" s="336"/>
      <c r="BR399" s="336"/>
      <c r="BS399" s="336"/>
      <c r="BT399" s="336"/>
      <c r="BU399" s="336"/>
      <c r="BV399" s="336"/>
      <c r="BW399" s="336"/>
      <c r="BX399" s="336"/>
      <c r="BY399" s="336"/>
      <c r="BZ399" s="336"/>
      <c r="CA399" s="336"/>
      <c r="CB399" s="336"/>
      <c r="CC399" s="336"/>
      <c r="CD399" s="336"/>
      <c r="CE399" s="336"/>
      <c r="CF399" s="336">
        <v>1</v>
      </c>
      <c r="CG399" s="336"/>
      <c r="CH399" s="336"/>
      <c r="CI399" s="336"/>
      <c r="CJ399" s="336"/>
      <c r="CK399" s="336"/>
      <c r="CL399" s="336"/>
      <c r="CM399" s="336"/>
      <c r="CN399" s="336"/>
      <c r="CO399" s="336"/>
      <c r="CP399" s="336">
        <v>1</v>
      </c>
      <c r="CQ399" s="336">
        <v>1</v>
      </c>
      <c r="CR399" s="336"/>
      <c r="CS399" s="336"/>
      <c r="CT399" s="336"/>
      <c r="CU399" s="336"/>
      <c r="CV399" s="336"/>
      <c r="CW399" s="336"/>
      <c r="CX399" s="336"/>
      <c r="CY399" s="336"/>
      <c r="CZ399" s="336"/>
      <c r="DA399" s="336"/>
      <c r="DB399" s="336"/>
      <c r="DC399" s="336"/>
      <c r="DD399" s="336"/>
      <c r="DE399" s="336"/>
      <c r="DF399" s="336"/>
      <c r="DG399" s="336"/>
      <c r="DH399" s="336"/>
      <c r="DI399" s="336"/>
      <c r="DJ399" s="336"/>
      <c r="DK399" s="336"/>
      <c r="DL399" s="336"/>
      <c r="DM399" s="336"/>
      <c r="DN399" s="336"/>
      <c r="DO399" s="336"/>
      <c r="DP399" s="336"/>
      <c r="DQ399" s="336"/>
      <c r="DR399" s="336"/>
      <c r="DS399" s="336"/>
      <c r="DT399" s="336"/>
      <c r="DU399" s="336"/>
      <c r="DW399" s="336">
        <f t="shared" si="2591"/>
        <v>0</v>
      </c>
      <c r="DX399" s="336">
        <f t="shared" si="2592"/>
        <v>0</v>
      </c>
      <c r="DY399" s="336">
        <f t="shared" si="2593"/>
        <v>0</v>
      </c>
      <c r="DZ399" s="336">
        <f t="shared" si="2594"/>
        <v>0</v>
      </c>
      <c r="EA399" s="336">
        <f t="shared" si="2595"/>
        <v>0</v>
      </c>
      <c r="EB399" s="336">
        <f t="shared" si="2596"/>
        <v>0</v>
      </c>
      <c r="EC399" s="336">
        <f t="shared" si="2597"/>
        <v>0</v>
      </c>
      <c r="ED399" s="336">
        <f t="shared" si="2515"/>
        <v>0</v>
      </c>
      <c r="EE399" s="336">
        <f t="shared" si="2516"/>
        <v>27</v>
      </c>
      <c r="EF399" s="336">
        <f t="shared" si="2517"/>
        <v>0</v>
      </c>
      <c r="EG399" s="336">
        <f t="shared" si="2518"/>
        <v>0</v>
      </c>
      <c r="EH399" s="336">
        <f t="shared" si="2519"/>
        <v>0</v>
      </c>
      <c r="EI399" s="336">
        <f t="shared" si="2520"/>
        <v>0</v>
      </c>
      <c r="EJ399" s="336">
        <f t="shared" si="2521"/>
        <v>0</v>
      </c>
      <c r="EK399" s="336">
        <f t="shared" si="2522"/>
        <v>0</v>
      </c>
      <c r="EL399" s="336">
        <f t="shared" si="2523"/>
        <v>0</v>
      </c>
      <c r="EM399" s="336">
        <f t="shared" si="2524"/>
        <v>0</v>
      </c>
      <c r="EN399" s="336">
        <f t="shared" si="2525"/>
        <v>0</v>
      </c>
      <c r="EO399" s="336">
        <f t="shared" si="2526"/>
        <v>0</v>
      </c>
      <c r="EP399" s="336">
        <f t="shared" si="2527"/>
        <v>0</v>
      </c>
      <c r="EQ399" s="336">
        <f t="shared" si="2528"/>
        <v>0</v>
      </c>
      <c r="ER399" s="336">
        <f t="shared" si="2529"/>
        <v>0</v>
      </c>
      <c r="ES399" s="336">
        <f t="shared" si="2530"/>
        <v>0</v>
      </c>
      <c r="ET399" s="336">
        <f t="shared" si="2530"/>
        <v>0</v>
      </c>
      <c r="EU399" s="336">
        <f t="shared" si="2531"/>
        <v>0</v>
      </c>
      <c r="EV399" s="336">
        <f t="shared" si="2532"/>
        <v>0</v>
      </c>
      <c r="EW399" s="336">
        <f t="shared" si="2533"/>
        <v>0</v>
      </c>
      <c r="EX399" s="336">
        <f t="shared" si="2534"/>
        <v>27</v>
      </c>
      <c r="EY399" s="336">
        <f t="shared" si="2535"/>
        <v>0</v>
      </c>
      <c r="EZ399" s="336">
        <f t="shared" si="2536"/>
        <v>0</v>
      </c>
      <c r="FA399" s="336">
        <f t="shared" si="2537"/>
        <v>0</v>
      </c>
      <c r="FB399" s="336">
        <f t="shared" si="2538"/>
        <v>0</v>
      </c>
      <c r="FC399" s="336">
        <f t="shared" si="2539"/>
        <v>0</v>
      </c>
      <c r="FD399" s="336">
        <f t="shared" si="2540"/>
        <v>0</v>
      </c>
      <c r="FE399" s="336">
        <f t="shared" si="2541"/>
        <v>0</v>
      </c>
      <c r="FF399" s="336">
        <f t="shared" si="2542"/>
        <v>0</v>
      </c>
      <c r="FG399" s="336">
        <f t="shared" si="2543"/>
        <v>0</v>
      </c>
      <c r="FH399" s="336">
        <f t="shared" si="2544"/>
        <v>27</v>
      </c>
      <c r="FI399" s="336">
        <f t="shared" si="2545"/>
        <v>27</v>
      </c>
      <c r="FJ399" s="336">
        <f t="shared" si="2546"/>
        <v>0</v>
      </c>
      <c r="FK399" s="336">
        <f t="shared" si="2547"/>
        <v>0</v>
      </c>
      <c r="FL399" s="336">
        <f t="shared" si="2548"/>
        <v>0</v>
      </c>
      <c r="FM399" s="336">
        <f t="shared" si="2549"/>
        <v>0</v>
      </c>
      <c r="FN399" s="336">
        <f t="shared" si="2550"/>
        <v>0</v>
      </c>
      <c r="FO399" s="336">
        <f t="shared" si="2551"/>
        <v>0</v>
      </c>
      <c r="FP399" s="336">
        <f t="shared" si="2552"/>
        <v>0</v>
      </c>
      <c r="FQ399" s="336">
        <f t="shared" si="2553"/>
        <v>0</v>
      </c>
      <c r="FR399" s="336">
        <f t="shared" si="2554"/>
        <v>0</v>
      </c>
      <c r="FS399" s="336">
        <f t="shared" si="2555"/>
        <v>0</v>
      </c>
      <c r="FT399" s="336">
        <f t="shared" si="2556"/>
        <v>0</v>
      </c>
      <c r="FU399" s="336">
        <f t="shared" si="2638"/>
        <v>0</v>
      </c>
      <c r="FV399" s="336">
        <f t="shared" si="2639"/>
        <v>0</v>
      </c>
      <c r="FW399" s="336">
        <f t="shared" si="2640"/>
        <v>0</v>
      </c>
      <c r="FX399" s="336">
        <f t="shared" si="2641"/>
        <v>0</v>
      </c>
      <c r="FY399" s="336">
        <f t="shared" si="2557"/>
        <v>0</v>
      </c>
      <c r="FZ399" s="336">
        <f t="shared" si="2558"/>
        <v>0</v>
      </c>
      <c r="GA399" s="336">
        <f t="shared" si="2559"/>
        <v>0</v>
      </c>
      <c r="GB399" s="336">
        <f t="shared" si="2560"/>
        <v>0</v>
      </c>
      <c r="GC399" s="336">
        <f t="shared" si="2561"/>
        <v>0</v>
      </c>
      <c r="GD399" s="336">
        <f t="shared" si="2562"/>
        <v>0</v>
      </c>
      <c r="GE399" s="336">
        <f t="shared" si="2563"/>
        <v>0</v>
      </c>
      <c r="GF399" s="336">
        <f t="shared" si="2564"/>
        <v>0</v>
      </c>
      <c r="GG399" s="336">
        <f t="shared" si="2565"/>
        <v>0</v>
      </c>
      <c r="GH399" s="336">
        <f t="shared" si="2566"/>
        <v>0</v>
      </c>
      <c r="GI399" s="336">
        <f t="shared" si="2567"/>
        <v>0</v>
      </c>
      <c r="GJ399" s="336">
        <f t="shared" si="2568"/>
        <v>0</v>
      </c>
      <c r="GK399" s="336">
        <f t="shared" si="2513"/>
        <v>0</v>
      </c>
      <c r="GL399" s="336">
        <f t="shared" si="2642"/>
        <v>0</v>
      </c>
      <c r="GM399" s="336">
        <f t="shared" si="2569"/>
        <v>0</v>
      </c>
    </row>
    <row r="400" spans="1:195">
      <c r="A400" s="337">
        <f t="shared" si="2677"/>
        <v>271</v>
      </c>
      <c r="B400" s="388" t="s">
        <v>862</v>
      </c>
      <c r="C400" s="337" t="s">
        <v>851</v>
      </c>
      <c r="D400" s="338" t="s">
        <v>863</v>
      </c>
      <c r="E400" s="502" t="s">
        <v>815</v>
      </c>
      <c r="F400" s="756"/>
      <c r="G400" s="337" t="s">
        <v>329</v>
      </c>
      <c r="H400" s="418">
        <v>5</v>
      </c>
      <c r="I400" s="337" t="s">
        <v>330</v>
      </c>
      <c r="J400" s="337" t="s">
        <v>331</v>
      </c>
      <c r="K400" s="349">
        <v>400</v>
      </c>
      <c r="L400" s="343">
        <v>0.84999999999999987</v>
      </c>
      <c r="M400" s="350">
        <v>0.95099999999999985</v>
      </c>
      <c r="N400" s="342">
        <f t="shared" si="2656"/>
        <v>8.9281747625212677</v>
      </c>
      <c r="O400" s="342">
        <f t="shared" si="2657"/>
        <v>0</v>
      </c>
      <c r="P400" s="343" t="str">
        <f t="shared" si="2658"/>
        <v>0.00</v>
      </c>
      <c r="Q400" s="350">
        <v>25</v>
      </c>
      <c r="R400" s="350">
        <v>0</v>
      </c>
      <c r="S400" s="350">
        <f t="shared" si="2659"/>
        <v>0</v>
      </c>
      <c r="T400" s="343" t="s">
        <v>131</v>
      </c>
      <c r="U400" s="350" t="s">
        <v>535</v>
      </c>
      <c r="V400" s="343">
        <v>35</v>
      </c>
      <c r="W400" s="343" t="str">
        <f t="shared" si="2660"/>
        <v>3.5C X 35</v>
      </c>
      <c r="X400" s="343" t="str">
        <f t="shared" si="2661"/>
        <v>3.5C X 35</v>
      </c>
      <c r="Y400" s="343" t="s">
        <v>358</v>
      </c>
      <c r="Z400" s="344">
        <f>IF(T400="AIR",VLOOKUP(W400,'Catalogue Aluminium'!$B$9:$G$93,2,FALSE),IF(T400="GROUND",VLOOKUP(W400,'Catalogue Aluminium'!$B$9:$G$93,3,FALSE),IF(T400="DUCT",VLOOKUP(W400,'Catalogue Aluminium'!$B$9:$G$93,4,FALSE),IF(T400="TRENCH",VLOOKUP(W400,'Catalogue Aluminium'!$B$9:$G$93,2,FALSE)))))</f>
        <v>117</v>
      </c>
      <c r="AA400" s="345">
        <f>VLOOKUP(W400,'Catalogue Aluminium'!$B$9:$G$93,5,FALSE)</f>
        <v>1.1100000000000001</v>
      </c>
      <c r="AB400" s="345">
        <f>VLOOKUP(W400,'Catalogue Aluminium'!$B$9:$G$93,6,FALSE)</f>
        <v>7.9399999999999998E-2</v>
      </c>
      <c r="AC400" s="388">
        <f>20</f>
        <v>20</v>
      </c>
      <c r="AD400" s="574">
        <v>371</v>
      </c>
      <c r="AE400" s="401">
        <f>8+7+8+8+5+7</f>
        <v>43</v>
      </c>
      <c r="AF400" s="401">
        <v>5</v>
      </c>
      <c r="AG400" s="401">
        <f t="shared" si="2662"/>
        <v>44</v>
      </c>
      <c r="AH400" s="347">
        <f t="shared" si="2663"/>
        <v>483</v>
      </c>
      <c r="AI400" s="344">
        <f>IF(T400="AIR",'Catalogue Aluminium'!$K$9,IF(T400="TRENCH",'Catalogue Aluminium'!$K$12,"NA"))</f>
        <v>0.89</v>
      </c>
      <c r="AJ400" s="342">
        <f>IF(T400="Air",(IF(U400="1C",'Catalogue Aluminium'!$L$9,'Catalogue Aluminium'!$M$9)),IF(T400="DUCT",(IF($U400="1C",'Catalogue Aluminium'!$L$10,'Catalogue Aluminium'!$M$10)),IF(T400="GROUND",(IF($U400="1C",'Catalogue Aluminium'!$L$11,'Catalogue Aluminium'!$M$11)),IF(T400="TRENCH",(IF($U400="1C",'Catalogue Aluminium'!$L$12,'Catalogue Aluminium'!$M$12))))))</f>
        <v>0.66</v>
      </c>
      <c r="AK400" s="344" t="str">
        <f>IF(T400="Air",'Catalogue Aluminium'!$N$9,IF(T400="GROUND",'Catalogue Aluminium'!$N$10,IF(T400="DUCT",'Catalogue Aluminium'!$N$11,IF(T400="TRENCH",'Catalogue Aluminium'!$N$12,"NA"))))</f>
        <v>NA</v>
      </c>
      <c r="AL400" s="344" t="str">
        <f>IF(T400="Air",(IF(U400="1C",'Catalogue Aluminium'!$O$9,'Catalogue Aluminium'!$P$9)),IF(T400="DUCT",(IF($U400="1C",'Catalogue Aluminium'!$O$10,'Catalogue Aluminium'!$P$10)),IF(T400="GROUND",(IF($U400="1C",'Catalogue Aluminium'!$O$11,'Catalogue Aluminium'!$P$11)),IF(T400="TRENCH",(IF($U400="1C",'Catalogue Aluminium'!$O$12,'Catalogue Aluminium'!$P$12))))))</f>
        <v>NA</v>
      </c>
      <c r="AM400" s="344" t="str">
        <f>IF(T400="AIR","NA",IF(T400="TRENCH","NA",IF(T400="DUCT",IF(U400="1C",VLOOKUP(V400,'Catalogue Aluminium'!$Q$9:$S$28,2,FALSE),VLOOKUP(V400,'Catalogue Aluminium'!$Q$9:$S$28,3)),IF(T400="GROUND",IF(U400="1C",VLOOKUP(V400,'Catalogue Aluminium'!$Q$9:$S$28,2,FALSE),VLOOKUP(V400,'Catalogue Aluminium'!$Q$9:$S$28,3))))))</f>
        <v>NA</v>
      </c>
      <c r="AN400" s="351">
        <f t="shared" si="2664"/>
        <v>0.58740000000000003</v>
      </c>
      <c r="AO400" s="350">
        <f t="shared" si="2665"/>
        <v>68.725800000000007</v>
      </c>
      <c r="AP400" s="349">
        <f t="shared" si="2666"/>
        <v>1</v>
      </c>
      <c r="AQ400" s="350" t="str">
        <f t="shared" si="2667"/>
        <v>YES</v>
      </c>
      <c r="AR400" s="351">
        <f t="shared" si="2668"/>
        <v>1.8398848044952782</v>
      </c>
      <c r="AS400" s="343" t="str">
        <f t="shared" si="2678"/>
        <v>YES</v>
      </c>
      <c r="AT400" s="351" t="str">
        <f t="shared" si="2669"/>
        <v>NA</v>
      </c>
      <c r="AU400" s="343" t="str">
        <f t="shared" si="2670"/>
        <v>NA</v>
      </c>
      <c r="AV400" s="351" t="str">
        <f t="shared" si="2671"/>
        <v>1R x 0.6/1kV x 3.5C x 35 Sqmm</v>
      </c>
      <c r="AW400" s="351" t="str">
        <f t="shared" si="2672"/>
        <v>1R x 0.6/1kV x 3.5C x 35 Sqmm</v>
      </c>
      <c r="AX400" s="343">
        <f t="shared" si="2673"/>
        <v>483</v>
      </c>
      <c r="AY400" s="343"/>
      <c r="AZ400" s="343">
        <f t="shared" si="2674"/>
        <v>2</v>
      </c>
      <c r="BA400" s="356" t="str">
        <f t="shared" si="2679"/>
        <v>LMM1NOO1</v>
      </c>
      <c r="BB400" s="328">
        <f>VLOOKUP(W400,'Catalogue Aluminium'!$B$9:$H$93,7,FALSE)</f>
        <v>27</v>
      </c>
      <c r="BC400" s="328">
        <f t="shared" si="2676"/>
        <v>27</v>
      </c>
      <c r="BE400" s="336"/>
      <c r="BF400" s="336"/>
      <c r="BG400" s="336"/>
      <c r="BH400" s="336"/>
      <c r="BI400" s="336"/>
      <c r="BJ400" s="336"/>
      <c r="BK400" s="336"/>
      <c r="BL400" s="336"/>
      <c r="BM400" s="336"/>
      <c r="BN400" s="336"/>
      <c r="BO400" s="336"/>
      <c r="BP400" s="336"/>
      <c r="BQ400" s="336"/>
      <c r="BR400" s="336"/>
      <c r="BS400" s="336"/>
      <c r="BT400" s="336"/>
      <c r="BU400" s="336"/>
      <c r="BV400" s="336"/>
      <c r="BW400" s="336"/>
      <c r="BX400" s="336"/>
      <c r="BY400" s="336"/>
      <c r="BZ400" s="336"/>
      <c r="CA400" s="336"/>
      <c r="CB400" s="336"/>
      <c r="CC400" s="336"/>
      <c r="CD400" s="336"/>
      <c r="CE400" s="336"/>
      <c r="CF400" s="336">
        <v>1</v>
      </c>
      <c r="CG400" s="336"/>
      <c r="CH400" s="336"/>
      <c r="CI400" s="336"/>
      <c r="CJ400" s="336"/>
      <c r="CK400" s="336"/>
      <c r="CL400" s="336"/>
      <c r="CM400" s="336"/>
      <c r="CN400" s="336"/>
      <c r="CO400" s="336"/>
      <c r="CP400" s="336">
        <v>1</v>
      </c>
      <c r="CQ400" s="336">
        <v>1</v>
      </c>
      <c r="CR400" s="336">
        <v>1</v>
      </c>
      <c r="CS400" s="336"/>
      <c r="CT400" s="336"/>
      <c r="CU400" s="336">
        <v>1</v>
      </c>
      <c r="CV400" s="336">
        <v>1</v>
      </c>
      <c r="CW400" s="336"/>
      <c r="CX400" s="336"/>
      <c r="CY400" s="336"/>
      <c r="CZ400" s="336"/>
      <c r="DA400" s="336"/>
      <c r="DB400" s="336"/>
      <c r="DC400" s="336"/>
      <c r="DD400" s="336"/>
      <c r="DE400" s="336"/>
      <c r="DF400" s="336"/>
      <c r="DG400" s="336"/>
      <c r="DH400" s="336"/>
      <c r="DI400" s="336"/>
      <c r="DJ400" s="336"/>
      <c r="DK400" s="336"/>
      <c r="DL400" s="336"/>
      <c r="DM400" s="336"/>
      <c r="DN400" s="336"/>
      <c r="DO400" s="336"/>
      <c r="DP400" s="336"/>
      <c r="DQ400" s="336"/>
      <c r="DR400" s="336"/>
      <c r="DS400" s="336"/>
      <c r="DT400" s="336"/>
      <c r="DU400" s="336"/>
      <c r="DW400" s="336">
        <f t="shared" si="2591"/>
        <v>0</v>
      </c>
      <c r="DX400" s="336">
        <f t="shared" si="2592"/>
        <v>0</v>
      </c>
      <c r="DY400" s="336">
        <f t="shared" si="2593"/>
        <v>0</v>
      </c>
      <c r="DZ400" s="336">
        <f t="shared" si="2594"/>
        <v>0</v>
      </c>
      <c r="EA400" s="336">
        <f t="shared" si="2595"/>
        <v>0</v>
      </c>
      <c r="EB400" s="336">
        <f t="shared" si="2596"/>
        <v>0</v>
      </c>
      <c r="EC400" s="336">
        <f t="shared" si="2597"/>
        <v>0</v>
      </c>
      <c r="ED400" s="336">
        <f t="shared" si="2515"/>
        <v>0</v>
      </c>
      <c r="EE400" s="336">
        <f t="shared" si="2516"/>
        <v>0</v>
      </c>
      <c r="EF400" s="336">
        <f t="shared" si="2517"/>
        <v>0</v>
      </c>
      <c r="EG400" s="336">
        <f t="shared" si="2518"/>
        <v>0</v>
      </c>
      <c r="EH400" s="336">
        <f t="shared" si="2519"/>
        <v>0</v>
      </c>
      <c r="EI400" s="336">
        <f t="shared" si="2520"/>
        <v>0</v>
      </c>
      <c r="EJ400" s="336">
        <f t="shared" si="2521"/>
        <v>0</v>
      </c>
      <c r="EK400" s="336">
        <f t="shared" si="2522"/>
        <v>0</v>
      </c>
      <c r="EL400" s="336">
        <f t="shared" si="2523"/>
        <v>0</v>
      </c>
      <c r="EM400" s="336">
        <f t="shared" si="2524"/>
        <v>0</v>
      </c>
      <c r="EN400" s="336">
        <f t="shared" si="2525"/>
        <v>0</v>
      </c>
      <c r="EO400" s="336">
        <f t="shared" si="2526"/>
        <v>0</v>
      </c>
      <c r="EP400" s="336">
        <f t="shared" si="2527"/>
        <v>0</v>
      </c>
      <c r="EQ400" s="336">
        <f t="shared" si="2528"/>
        <v>0</v>
      </c>
      <c r="ER400" s="336">
        <f t="shared" si="2529"/>
        <v>0</v>
      </c>
      <c r="ES400" s="336">
        <f t="shared" si="2530"/>
        <v>0</v>
      </c>
      <c r="ET400" s="336">
        <f t="shared" si="2530"/>
        <v>0</v>
      </c>
      <c r="EU400" s="336">
        <f t="shared" si="2531"/>
        <v>0</v>
      </c>
      <c r="EV400" s="336">
        <f t="shared" si="2532"/>
        <v>0</v>
      </c>
      <c r="EW400" s="336">
        <f t="shared" si="2533"/>
        <v>0</v>
      </c>
      <c r="EX400" s="336">
        <f t="shared" si="2534"/>
        <v>27</v>
      </c>
      <c r="EY400" s="336">
        <f t="shared" si="2535"/>
        <v>0</v>
      </c>
      <c r="EZ400" s="336">
        <f t="shared" si="2536"/>
        <v>0</v>
      </c>
      <c r="FA400" s="336">
        <f t="shared" si="2537"/>
        <v>0</v>
      </c>
      <c r="FB400" s="336">
        <f t="shared" si="2538"/>
        <v>0</v>
      </c>
      <c r="FC400" s="336">
        <f t="shared" si="2539"/>
        <v>0</v>
      </c>
      <c r="FD400" s="336">
        <f t="shared" si="2540"/>
        <v>0</v>
      </c>
      <c r="FE400" s="336">
        <f t="shared" si="2541"/>
        <v>0</v>
      </c>
      <c r="FF400" s="336">
        <f t="shared" si="2542"/>
        <v>0</v>
      </c>
      <c r="FG400" s="336">
        <f t="shared" si="2543"/>
        <v>0</v>
      </c>
      <c r="FH400" s="336">
        <f t="shared" si="2544"/>
        <v>27</v>
      </c>
      <c r="FI400" s="336">
        <f t="shared" si="2545"/>
        <v>27</v>
      </c>
      <c r="FJ400" s="336">
        <f t="shared" si="2546"/>
        <v>27</v>
      </c>
      <c r="FK400" s="336">
        <f t="shared" si="2547"/>
        <v>0</v>
      </c>
      <c r="FL400" s="336">
        <f t="shared" si="2548"/>
        <v>0</v>
      </c>
      <c r="FM400" s="336">
        <f t="shared" si="2549"/>
        <v>27</v>
      </c>
      <c r="FN400" s="336">
        <f t="shared" si="2550"/>
        <v>27</v>
      </c>
      <c r="FO400" s="336">
        <f t="shared" si="2551"/>
        <v>0</v>
      </c>
      <c r="FP400" s="336">
        <f t="shared" si="2552"/>
        <v>0</v>
      </c>
      <c r="FQ400" s="336">
        <f t="shared" si="2553"/>
        <v>0</v>
      </c>
      <c r="FR400" s="336">
        <f t="shared" si="2554"/>
        <v>0</v>
      </c>
      <c r="FS400" s="336">
        <f t="shared" si="2555"/>
        <v>0</v>
      </c>
      <c r="FT400" s="336">
        <f t="shared" si="2556"/>
        <v>0</v>
      </c>
      <c r="FU400" s="336">
        <f t="shared" si="2638"/>
        <v>0</v>
      </c>
      <c r="FV400" s="336">
        <f t="shared" si="2639"/>
        <v>0</v>
      </c>
      <c r="FW400" s="336">
        <f t="shared" si="2640"/>
        <v>0</v>
      </c>
      <c r="FX400" s="336">
        <f t="shared" si="2641"/>
        <v>0</v>
      </c>
      <c r="FY400" s="336">
        <f t="shared" si="2557"/>
        <v>0</v>
      </c>
      <c r="FZ400" s="336">
        <f t="shared" si="2558"/>
        <v>0</v>
      </c>
      <c r="GA400" s="336">
        <f t="shared" si="2559"/>
        <v>0</v>
      </c>
      <c r="GB400" s="336">
        <f t="shared" si="2560"/>
        <v>0</v>
      </c>
      <c r="GC400" s="336">
        <f t="shared" si="2561"/>
        <v>0</v>
      </c>
      <c r="GD400" s="336">
        <f t="shared" si="2562"/>
        <v>0</v>
      </c>
      <c r="GE400" s="336">
        <f t="shared" si="2563"/>
        <v>0</v>
      </c>
      <c r="GF400" s="336">
        <f t="shared" si="2564"/>
        <v>0</v>
      </c>
      <c r="GG400" s="336">
        <f t="shared" si="2565"/>
        <v>0</v>
      </c>
      <c r="GH400" s="336">
        <f t="shared" si="2566"/>
        <v>0</v>
      </c>
      <c r="GI400" s="336">
        <f t="shared" si="2567"/>
        <v>0</v>
      </c>
      <c r="GJ400" s="336">
        <f t="shared" si="2568"/>
        <v>0</v>
      </c>
      <c r="GK400" s="336">
        <f t="shared" si="2513"/>
        <v>0</v>
      </c>
      <c r="GL400" s="336">
        <f t="shared" si="2642"/>
        <v>0</v>
      </c>
      <c r="GM400" s="336">
        <f t="shared" si="2569"/>
        <v>0</v>
      </c>
    </row>
    <row r="401" spans="1:195">
      <c r="A401" s="337">
        <f t="shared" si="2677"/>
        <v>272</v>
      </c>
      <c r="B401" s="388" t="s">
        <v>864</v>
      </c>
      <c r="C401" s="337" t="s">
        <v>851</v>
      </c>
      <c r="D401" s="338" t="s">
        <v>865</v>
      </c>
      <c r="E401" s="502" t="s">
        <v>335</v>
      </c>
      <c r="F401" s="570"/>
      <c r="G401" s="337" t="s">
        <v>329</v>
      </c>
      <c r="H401" s="418">
        <v>5</v>
      </c>
      <c r="I401" s="337" t="s">
        <v>330</v>
      </c>
      <c r="J401" s="337" t="s">
        <v>331</v>
      </c>
      <c r="K401" s="349">
        <v>400</v>
      </c>
      <c r="L401" s="343">
        <v>0.84999999999999987</v>
      </c>
      <c r="M401" s="350">
        <v>0.95099999999999985</v>
      </c>
      <c r="N401" s="342">
        <f t="shared" si="2656"/>
        <v>8.9281747625212677</v>
      </c>
      <c r="O401" s="342">
        <f t="shared" ref="O401:O403" si="2682">IF(G401="MOTOR",(6*N401),IF(G401="VFD",(1*N401),0))</f>
        <v>0</v>
      </c>
      <c r="P401" s="343" t="str">
        <f t="shared" ref="P401:P403" si="2683">IF(G401="MOTOR",0.2,"0.00")</f>
        <v>0.00</v>
      </c>
      <c r="Q401" s="350">
        <v>25</v>
      </c>
      <c r="R401" s="350">
        <v>0</v>
      </c>
      <c r="S401" s="350">
        <f t="shared" ref="S401:S403" si="2684">(Q401*1000*SQRT(R401)/143)</f>
        <v>0</v>
      </c>
      <c r="T401" s="343" t="s">
        <v>131</v>
      </c>
      <c r="U401" s="350" t="s">
        <v>522</v>
      </c>
      <c r="V401" s="343">
        <v>16</v>
      </c>
      <c r="W401" s="343" t="str">
        <f t="shared" ref="W401:W403" si="2685">CONCATENATE(U401," X ",V401)</f>
        <v>4C X 16</v>
      </c>
      <c r="X401" s="343" t="str">
        <f t="shared" ref="X401:X403" si="2686">(IF(J401="1Ph",W401,IF(J401="3Ph",(IF(G401="MOTOR",(CONCATENATE(W401,"+PE")),W401)))))</f>
        <v>4C X 16</v>
      </c>
      <c r="Y401" s="343" t="s">
        <v>358</v>
      </c>
      <c r="Z401" s="344">
        <f>IF(T401="AIR",VLOOKUP(W401,'Catalogue Aluminium'!$B$9:$G$93,2,FALSE),IF(T401="GROUND",VLOOKUP(W401,'Catalogue Aluminium'!$B$9:$G$93,3,FALSE),IF(T401="DUCT",VLOOKUP(W401,'Catalogue Aluminium'!$B$9:$G$93,4,FALSE),IF(T401="TRENCH",VLOOKUP(W401,'Catalogue Aluminium'!$B$9:$G$93,2,FALSE)))))</f>
        <v>70</v>
      </c>
      <c r="AA401" s="345">
        <f>VLOOKUP(W401,'Catalogue Aluminium'!$B$9:$G$93,5,FALSE)</f>
        <v>2.44</v>
      </c>
      <c r="AB401" s="345">
        <f>VLOOKUP(W401,'Catalogue Aluminium'!$B$9:$G$93,6,FALSE)</f>
        <v>8.1500000000000003E-2</v>
      </c>
      <c r="AC401" s="388">
        <v>15</v>
      </c>
      <c r="AD401" s="574">
        <v>0</v>
      </c>
      <c r="AE401" s="401">
        <v>5</v>
      </c>
      <c r="AF401" s="401">
        <v>5</v>
      </c>
      <c r="AG401" s="401">
        <f t="shared" si="2662"/>
        <v>3</v>
      </c>
      <c r="AH401" s="347">
        <f t="shared" si="2663"/>
        <v>28</v>
      </c>
      <c r="AI401" s="344">
        <f>IF(T401="AIR",'Catalogue Aluminium'!$K$9,IF(T401="TRENCH",'Catalogue Aluminium'!$K$12,"NA"))</f>
        <v>0.89</v>
      </c>
      <c r="AJ401" s="342">
        <f>IF(T401="Air",(IF(U401="1C",'Catalogue Aluminium'!$L$9,'Catalogue Aluminium'!$M$9)),IF(T401="DUCT",(IF($U401="1C",'Catalogue Aluminium'!$L$10,'Catalogue Aluminium'!$M$10)),IF(T401="GROUND",(IF($U401="1C",'Catalogue Aluminium'!$L$11,'Catalogue Aluminium'!$M$11)),IF(T401="TRENCH",(IF($U401="1C",'Catalogue Aluminium'!$L$12,'Catalogue Aluminium'!$M$12))))))</f>
        <v>0.66</v>
      </c>
      <c r="AK401" s="344" t="str">
        <f>IF(T401="Air",'Catalogue Aluminium'!$N$9,IF(T401="GROUND",'Catalogue Aluminium'!$N$10,IF(T401="DUCT",'Catalogue Aluminium'!$N$11,IF(T401="TRENCH",'Catalogue Aluminium'!$N$12,"NA"))))</f>
        <v>NA</v>
      </c>
      <c r="AL401" s="344" t="str">
        <f>IF(T401="Air",(IF(U401="1C",'Catalogue Aluminium'!$O$9,'Catalogue Aluminium'!$P$9)),IF(T401="DUCT",(IF($U401="1C",'Catalogue Aluminium'!$O$10,'Catalogue Aluminium'!$P$10)),IF(T401="GROUND",(IF($U401="1C",'Catalogue Aluminium'!$O$11,'Catalogue Aluminium'!$P$11)),IF(T401="TRENCH",(IF($U401="1C",'Catalogue Aluminium'!$O$12,'Catalogue Aluminium'!$P$12))))))</f>
        <v>NA</v>
      </c>
      <c r="AM401" s="344" t="str">
        <f>IF(T401="AIR","NA",IF(T401="TRENCH","NA",IF(T401="DUCT",IF(U401="1C",VLOOKUP(V401,'Catalogue Aluminium'!$Q$9:$S$28,2,FALSE),VLOOKUP(V401,'Catalogue Aluminium'!$Q$9:$S$28,3)),IF(T401="GROUND",IF(U401="1C",VLOOKUP(V401,'Catalogue Aluminium'!$Q$9:$S$28,2,FALSE),VLOOKUP(V401,'Catalogue Aluminium'!$Q$9:$S$28,3))))))</f>
        <v>NA</v>
      </c>
      <c r="AN401" s="351">
        <f t="shared" ref="AN401:AN403" si="2687">IF(T401="AIR",AI401*AJ401,IF(T401="TRENCH",AI401*AJ401,IF(T401="DUCT",AJ401*AK401*AL401*AM401,IF(T401="GROUND",AJ401*AK401*AL401*AM401))))</f>
        <v>0.58740000000000003</v>
      </c>
      <c r="AO401" s="350">
        <f t="shared" ref="AO401:AO403" si="2688">Z401*AN401</f>
        <v>41.118000000000002</v>
      </c>
      <c r="AP401" s="349">
        <f t="shared" si="2666"/>
        <v>1</v>
      </c>
      <c r="AQ401" s="350" t="str">
        <f t="shared" ref="AQ401:AQ403" si="2689">IF(AO401*AP401&gt;=N401,"YES","NO")</f>
        <v>YES</v>
      </c>
      <c r="AR401" s="351">
        <f t="shared" ref="AR401:AR403" si="2690">SQRT(3)*AH401*N401*((AA401*L401)+(AB401*SIN(ACOS(L401))))*100/(AP401*K401*1000)</f>
        <v>0.22915451566915418</v>
      </c>
      <c r="AS401" s="343" t="str">
        <f t="shared" ref="AS401:AS403" si="2691">IF(G401="INCOMER",(IF(AR401&lt;=2,"YES","NO")),IF(G401="POWER",(IF(AR401&lt;=2.5,"YES","NO")),IF(G401="MOTOR",(IF(AR401&lt;=3,"YES","NO")))))</f>
        <v>YES</v>
      </c>
      <c r="AT401" s="351" t="str">
        <f t="shared" si="2669"/>
        <v>NA</v>
      </c>
      <c r="AU401" s="343" t="str">
        <f t="shared" si="2670"/>
        <v>NA</v>
      </c>
      <c r="AV401" s="351" t="str">
        <f t="shared" si="2671"/>
        <v>1R x 0.6/1kV x 4C x 16 Sqmm</v>
      </c>
      <c r="AW401" s="351" t="str">
        <f t="shared" si="2672"/>
        <v>1R x 0.6/1kV x 4C x 16 Sqmm</v>
      </c>
      <c r="AX401" s="343">
        <f t="shared" si="2673"/>
        <v>28</v>
      </c>
      <c r="AY401" s="343"/>
      <c r="AZ401" s="343">
        <f t="shared" si="2674"/>
        <v>2</v>
      </c>
      <c r="BA401" s="356" t="str">
        <f t="shared" si="2679"/>
        <v/>
      </c>
      <c r="BB401" s="328">
        <f>VLOOKUP(W401,'Catalogue Aluminium'!$B$9:$H$93,7,FALSE)</f>
        <v>21</v>
      </c>
      <c r="BC401" s="328">
        <f t="shared" si="2676"/>
        <v>21</v>
      </c>
      <c r="BE401" s="336"/>
      <c r="BF401" s="336"/>
      <c r="BG401" s="336"/>
      <c r="BH401" s="336"/>
      <c r="BI401" s="336"/>
      <c r="BJ401" s="336"/>
      <c r="BK401" s="336"/>
      <c r="BL401" s="336"/>
      <c r="BM401" s="336"/>
      <c r="BN401" s="336"/>
      <c r="BO401" s="336"/>
      <c r="BP401" s="336"/>
      <c r="BQ401" s="336"/>
      <c r="BR401" s="336"/>
      <c r="BS401" s="336"/>
      <c r="BT401" s="336"/>
      <c r="BU401" s="336"/>
      <c r="BV401" s="336"/>
      <c r="BW401" s="336"/>
      <c r="BX401" s="336"/>
      <c r="BY401" s="336"/>
      <c r="BZ401" s="336"/>
      <c r="CA401" s="336"/>
      <c r="CB401" s="336"/>
      <c r="CC401" s="336"/>
      <c r="CD401" s="336"/>
      <c r="CE401" s="336"/>
      <c r="CF401" s="336"/>
      <c r="CG401" s="336"/>
      <c r="CH401" s="336"/>
      <c r="CI401" s="336"/>
      <c r="CJ401" s="336"/>
      <c r="CK401" s="336"/>
      <c r="CL401" s="336"/>
      <c r="CM401" s="336"/>
      <c r="CN401" s="336"/>
      <c r="CO401" s="336"/>
      <c r="CP401" s="336"/>
      <c r="CQ401" s="336"/>
      <c r="CR401" s="336"/>
      <c r="CS401" s="336"/>
      <c r="CT401" s="336"/>
      <c r="CU401" s="336"/>
      <c r="CV401" s="336"/>
      <c r="CW401" s="336"/>
      <c r="CX401" s="336"/>
      <c r="CY401" s="336"/>
      <c r="CZ401" s="336"/>
      <c r="DA401" s="336"/>
      <c r="DB401" s="336"/>
      <c r="DC401" s="336"/>
      <c r="DD401" s="336"/>
      <c r="DE401" s="336"/>
      <c r="DF401" s="336"/>
      <c r="DG401" s="336"/>
      <c r="DH401" s="336"/>
      <c r="DI401" s="336"/>
      <c r="DJ401" s="336"/>
      <c r="DK401" s="336"/>
      <c r="DL401" s="336"/>
      <c r="DM401" s="336"/>
      <c r="DN401" s="336"/>
      <c r="DO401" s="336"/>
      <c r="DP401" s="336"/>
      <c r="DQ401" s="336"/>
      <c r="DR401" s="336"/>
      <c r="DS401" s="336"/>
      <c r="DT401" s="336"/>
      <c r="DU401" s="336"/>
      <c r="DW401" s="336">
        <f t="shared" si="2591"/>
        <v>0</v>
      </c>
      <c r="DX401" s="336">
        <f t="shared" si="2592"/>
        <v>0</v>
      </c>
      <c r="DY401" s="336">
        <f t="shared" si="2593"/>
        <v>0</v>
      </c>
      <c r="DZ401" s="336">
        <f t="shared" si="2594"/>
        <v>0</v>
      </c>
      <c r="EA401" s="336">
        <f t="shared" si="2595"/>
        <v>0</v>
      </c>
      <c r="EB401" s="336">
        <f t="shared" si="2596"/>
        <v>0</v>
      </c>
      <c r="EC401" s="336">
        <f t="shared" si="2597"/>
        <v>0</v>
      </c>
      <c r="ED401" s="336">
        <f t="shared" si="2515"/>
        <v>0</v>
      </c>
      <c r="EE401" s="336">
        <f t="shared" si="2516"/>
        <v>0</v>
      </c>
      <c r="EF401" s="336">
        <f t="shared" si="2517"/>
        <v>0</v>
      </c>
      <c r="EG401" s="336">
        <f t="shared" si="2518"/>
        <v>0</v>
      </c>
      <c r="EH401" s="336">
        <f t="shared" si="2519"/>
        <v>0</v>
      </c>
      <c r="EI401" s="336">
        <f t="shared" si="2520"/>
        <v>0</v>
      </c>
      <c r="EJ401" s="336">
        <f t="shared" si="2521"/>
        <v>0</v>
      </c>
      <c r="EK401" s="336">
        <f t="shared" si="2522"/>
        <v>0</v>
      </c>
      <c r="EL401" s="336">
        <f t="shared" si="2523"/>
        <v>0</v>
      </c>
      <c r="EM401" s="336">
        <f t="shared" si="2524"/>
        <v>0</v>
      </c>
      <c r="EN401" s="336">
        <f t="shared" si="2525"/>
        <v>0</v>
      </c>
      <c r="EO401" s="336">
        <f t="shared" si="2526"/>
        <v>0</v>
      </c>
      <c r="EP401" s="336">
        <f t="shared" si="2527"/>
        <v>0</v>
      </c>
      <c r="EQ401" s="336">
        <f t="shared" si="2528"/>
        <v>0</v>
      </c>
      <c r="ER401" s="336">
        <f t="shared" si="2529"/>
        <v>0</v>
      </c>
      <c r="ES401" s="336">
        <f t="shared" si="2530"/>
        <v>0</v>
      </c>
      <c r="ET401" s="336">
        <f t="shared" si="2530"/>
        <v>0</v>
      </c>
      <c r="EU401" s="336">
        <f t="shared" si="2531"/>
        <v>0</v>
      </c>
      <c r="EV401" s="336">
        <f t="shared" si="2532"/>
        <v>0</v>
      </c>
      <c r="EW401" s="336">
        <f t="shared" si="2533"/>
        <v>0</v>
      </c>
      <c r="EX401" s="336">
        <f t="shared" si="2534"/>
        <v>0</v>
      </c>
      <c r="EY401" s="336">
        <f t="shared" si="2535"/>
        <v>0</v>
      </c>
      <c r="EZ401" s="336">
        <f t="shared" si="2536"/>
        <v>0</v>
      </c>
      <c r="FA401" s="336">
        <f t="shared" si="2537"/>
        <v>0</v>
      </c>
      <c r="FB401" s="336">
        <f t="shared" si="2538"/>
        <v>0</v>
      </c>
      <c r="FC401" s="336">
        <f t="shared" si="2539"/>
        <v>0</v>
      </c>
      <c r="FD401" s="336">
        <f t="shared" si="2540"/>
        <v>0</v>
      </c>
      <c r="FE401" s="336">
        <f t="shared" si="2541"/>
        <v>0</v>
      </c>
      <c r="FF401" s="336">
        <f t="shared" si="2542"/>
        <v>0</v>
      </c>
      <c r="FG401" s="336">
        <f t="shared" si="2543"/>
        <v>0</v>
      </c>
      <c r="FH401" s="336">
        <f t="shared" si="2544"/>
        <v>0</v>
      </c>
      <c r="FI401" s="336">
        <f t="shared" si="2545"/>
        <v>0</v>
      </c>
      <c r="FJ401" s="336">
        <f t="shared" si="2546"/>
        <v>0</v>
      </c>
      <c r="FK401" s="336">
        <f t="shared" si="2547"/>
        <v>0</v>
      </c>
      <c r="FL401" s="336">
        <f t="shared" si="2548"/>
        <v>0</v>
      </c>
      <c r="FM401" s="336">
        <f t="shared" si="2549"/>
        <v>0</v>
      </c>
      <c r="FN401" s="336">
        <f t="shared" si="2550"/>
        <v>0</v>
      </c>
      <c r="FO401" s="336">
        <f t="shared" si="2551"/>
        <v>0</v>
      </c>
      <c r="FP401" s="336">
        <f t="shared" si="2552"/>
        <v>0</v>
      </c>
      <c r="FQ401" s="336">
        <f t="shared" si="2553"/>
        <v>0</v>
      </c>
      <c r="FR401" s="336">
        <f t="shared" si="2554"/>
        <v>0</v>
      </c>
      <c r="FS401" s="336">
        <f t="shared" si="2555"/>
        <v>0</v>
      </c>
      <c r="FT401" s="336">
        <f t="shared" si="2556"/>
        <v>0</v>
      </c>
      <c r="FU401" s="336">
        <f t="shared" si="2638"/>
        <v>0</v>
      </c>
      <c r="FV401" s="336">
        <f t="shared" si="2639"/>
        <v>0</v>
      </c>
      <c r="FW401" s="336">
        <f t="shared" si="2640"/>
        <v>0</v>
      </c>
      <c r="FX401" s="336">
        <f t="shared" si="2641"/>
        <v>0</v>
      </c>
      <c r="FY401" s="336">
        <f t="shared" si="2557"/>
        <v>0</v>
      </c>
      <c r="FZ401" s="336">
        <f t="shared" si="2558"/>
        <v>0</v>
      </c>
      <c r="GA401" s="336">
        <f t="shared" si="2559"/>
        <v>0</v>
      </c>
      <c r="GB401" s="336">
        <f t="shared" si="2560"/>
        <v>0</v>
      </c>
      <c r="GC401" s="336">
        <f t="shared" si="2561"/>
        <v>0</v>
      </c>
      <c r="GD401" s="336">
        <f t="shared" si="2562"/>
        <v>0</v>
      </c>
      <c r="GE401" s="336">
        <f t="shared" si="2563"/>
        <v>0</v>
      </c>
      <c r="GF401" s="336">
        <f t="shared" si="2564"/>
        <v>0</v>
      </c>
      <c r="GG401" s="336">
        <f t="shared" si="2565"/>
        <v>0</v>
      </c>
      <c r="GH401" s="336">
        <f t="shared" si="2566"/>
        <v>0</v>
      </c>
      <c r="GI401" s="336">
        <f t="shared" si="2567"/>
        <v>0</v>
      </c>
      <c r="GJ401" s="336">
        <f t="shared" si="2568"/>
        <v>0</v>
      </c>
      <c r="GK401" s="336">
        <f t="shared" si="2513"/>
        <v>0</v>
      </c>
      <c r="GL401" s="336">
        <f t="shared" si="2642"/>
        <v>0</v>
      </c>
      <c r="GM401" s="336">
        <f t="shared" si="2569"/>
        <v>0</v>
      </c>
    </row>
    <row r="402" spans="1:195">
      <c r="A402" s="337">
        <f t="shared" si="2677"/>
        <v>273</v>
      </c>
      <c r="B402" s="388" t="s">
        <v>866</v>
      </c>
      <c r="C402" s="337" t="s">
        <v>851</v>
      </c>
      <c r="D402" s="338" t="s">
        <v>867</v>
      </c>
      <c r="E402" s="454" t="s">
        <v>555</v>
      </c>
      <c r="F402" s="570"/>
      <c r="G402" s="337" t="s">
        <v>329</v>
      </c>
      <c r="H402" s="418">
        <v>5</v>
      </c>
      <c r="I402" s="337" t="s">
        <v>330</v>
      </c>
      <c r="J402" s="337" t="s">
        <v>331</v>
      </c>
      <c r="K402" s="349">
        <v>400</v>
      </c>
      <c r="L402" s="343">
        <v>0.84999999999999987</v>
      </c>
      <c r="M402" s="350">
        <v>0.95099999999999985</v>
      </c>
      <c r="N402" s="342">
        <f t="shared" si="2656"/>
        <v>8.9281747625212677</v>
      </c>
      <c r="O402" s="342">
        <f t="shared" si="2682"/>
        <v>0</v>
      </c>
      <c r="P402" s="343" t="str">
        <f t="shared" si="2683"/>
        <v>0.00</v>
      </c>
      <c r="Q402" s="350">
        <v>25</v>
      </c>
      <c r="R402" s="350">
        <v>0</v>
      </c>
      <c r="S402" s="350">
        <f t="shared" si="2684"/>
        <v>0</v>
      </c>
      <c r="T402" s="343" t="s">
        <v>332</v>
      </c>
      <c r="U402" s="350" t="s">
        <v>522</v>
      </c>
      <c r="V402" s="343">
        <v>16</v>
      </c>
      <c r="W402" s="343" t="str">
        <f t="shared" si="2685"/>
        <v>4C X 16</v>
      </c>
      <c r="X402" s="343" t="str">
        <f t="shared" si="2686"/>
        <v>4C X 16</v>
      </c>
      <c r="Y402" s="343" t="s">
        <v>358</v>
      </c>
      <c r="Z402" s="344">
        <f>IF(T402="AIR",VLOOKUP(W402,'Catalogue Aluminium'!$B$9:$G$93,2,FALSE),IF(T402="GROUND",VLOOKUP(W402,'Catalogue Aluminium'!$B$9:$G$93,3,FALSE),IF(T402="DUCT",VLOOKUP(W402,'Catalogue Aluminium'!$B$9:$G$93,4,FALSE),IF(T402="TRENCH",VLOOKUP(W402,'Catalogue Aluminium'!$B$9:$G$93,2,FALSE)))))</f>
        <v>70</v>
      </c>
      <c r="AA402" s="345">
        <f>VLOOKUP(W402,'Catalogue Aluminium'!$B$9:$G$93,5,FALSE)</f>
        <v>2.44</v>
      </c>
      <c r="AB402" s="345">
        <f>VLOOKUP(W402,'Catalogue Aluminium'!$B$9:$G$93,6,FALSE)</f>
        <v>8.1500000000000003E-2</v>
      </c>
      <c r="AC402" s="388">
        <v>28</v>
      </c>
      <c r="AD402" s="574">
        <v>30</v>
      </c>
      <c r="AE402" s="401">
        <v>10</v>
      </c>
      <c r="AF402" s="401">
        <v>5</v>
      </c>
      <c r="AG402" s="401">
        <f t="shared" si="2662"/>
        <v>8</v>
      </c>
      <c r="AH402" s="347">
        <f t="shared" si="2663"/>
        <v>81</v>
      </c>
      <c r="AI402" s="344">
        <f>IF(T402="AIR",'Catalogue Aluminium'!$K$9,IF(T402="TRENCH",'Catalogue Aluminium'!$K$12,"NA"))</f>
        <v>0.89</v>
      </c>
      <c r="AJ402" s="342">
        <f>IF(T402="Air",(IF(U402="1C",'Catalogue Aluminium'!$L$9,'Catalogue Aluminium'!$M$9)),IF(T402="DUCT",(IF($U402="1C",'Catalogue Aluminium'!$L$10,'Catalogue Aluminium'!$M$10)),IF(T402="GROUND",(IF($U402="1C",'Catalogue Aluminium'!$L$11,'Catalogue Aluminium'!$M$11)),IF(T402="TRENCH",(IF($U402="1C",'Catalogue Aluminium'!$L$12,'Catalogue Aluminium'!$M$12))))))</f>
        <v>0.66</v>
      </c>
      <c r="AK402" s="344" t="str">
        <f>IF(T402="Air",'Catalogue Aluminium'!$N$9,IF(T402="GROUND",'Catalogue Aluminium'!$N$10,IF(T402="DUCT",'Catalogue Aluminium'!$N$11,IF(T402="TRENCH",'Catalogue Aluminium'!$N$12,"NA"))))</f>
        <v>NA</v>
      </c>
      <c r="AL402" s="344" t="str">
        <f>IF(T402="Air",(IF(U402="1C",'Catalogue Aluminium'!$O$9,'Catalogue Aluminium'!$P$9)),IF(T402="DUCT",(IF($U402="1C",'Catalogue Aluminium'!$O$10,'Catalogue Aluminium'!$P$10)),IF(T402="GROUND",(IF($U402="1C",'Catalogue Aluminium'!$O$11,'Catalogue Aluminium'!$P$11)),IF(T402="TRENCH",(IF($U402="1C",'Catalogue Aluminium'!$O$12,'Catalogue Aluminium'!$P$12))))))</f>
        <v>NA</v>
      </c>
      <c r="AM402" s="344" t="str">
        <f>IF(T402="AIR","NA",IF(T402="TRENCH","NA",IF(T402="DUCT",IF(U402="1C",VLOOKUP(V402,'Catalogue Aluminium'!$Q$9:$S$28,2,FALSE),VLOOKUP(V402,'Catalogue Aluminium'!$Q$9:$S$28,3)),IF(T402="GROUND",IF(U402="1C",VLOOKUP(V402,'Catalogue Aluminium'!$Q$9:$S$28,2,FALSE),VLOOKUP(V402,'Catalogue Aluminium'!$Q$9:$S$28,3))))))</f>
        <v>NA</v>
      </c>
      <c r="AN402" s="351">
        <f t="shared" si="2687"/>
        <v>0.58740000000000003</v>
      </c>
      <c r="AO402" s="350">
        <f t="shared" si="2688"/>
        <v>41.118000000000002</v>
      </c>
      <c r="AP402" s="349">
        <f t="shared" si="2666"/>
        <v>1</v>
      </c>
      <c r="AQ402" s="350" t="str">
        <f t="shared" si="2689"/>
        <v>YES</v>
      </c>
      <c r="AR402" s="351">
        <f t="shared" si="2690"/>
        <v>0.66291127747148171</v>
      </c>
      <c r="AS402" s="343" t="str">
        <f t="shared" si="2691"/>
        <v>YES</v>
      </c>
      <c r="AT402" s="351" t="str">
        <f t="shared" si="2669"/>
        <v>NA</v>
      </c>
      <c r="AU402" s="343" t="str">
        <f t="shared" si="2670"/>
        <v>NA</v>
      </c>
      <c r="AV402" s="351" t="str">
        <f t="shared" si="2671"/>
        <v>1R x 0.6/1kV x 4C x 16 Sqmm</v>
      </c>
      <c r="AW402" s="351" t="str">
        <f t="shared" si="2672"/>
        <v>1R x 0.6/1kV x 4C x 16 Sqmm</v>
      </c>
      <c r="AX402" s="343">
        <f t="shared" si="2673"/>
        <v>81</v>
      </c>
      <c r="AY402" s="343"/>
      <c r="AZ402" s="343">
        <f t="shared" si="2674"/>
        <v>2</v>
      </c>
      <c r="BA402" s="356" t="str">
        <f t="shared" si="2679"/>
        <v>A1</v>
      </c>
      <c r="BB402" s="328">
        <f>VLOOKUP(W402,'Catalogue Aluminium'!$B$9:$H$93,7,FALSE)</f>
        <v>21</v>
      </c>
      <c r="BC402" s="328">
        <f t="shared" si="2676"/>
        <v>21</v>
      </c>
      <c r="BE402" s="336">
        <v>1</v>
      </c>
      <c r="BF402" s="336"/>
      <c r="BG402" s="336"/>
      <c r="BH402" s="336"/>
      <c r="BI402" s="336"/>
      <c r="BJ402" s="336"/>
      <c r="BK402" s="336"/>
      <c r="BL402" s="336"/>
      <c r="BM402" s="336"/>
      <c r="BN402" s="336"/>
      <c r="BO402" s="336"/>
      <c r="BP402" s="336"/>
      <c r="BQ402" s="336"/>
      <c r="BR402" s="336"/>
      <c r="BS402" s="336"/>
      <c r="BT402" s="336"/>
      <c r="BU402" s="336"/>
      <c r="BV402" s="336"/>
      <c r="BW402" s="336"/>
      <c r="BX402" s="336"/>
      <c r="BY402" s="336"/>
      <c r="BZ402" s="336"/>
      <c r="CA402" s="336"/>
      <c r="CB402" s="336"/>
      <c r="CC402" s="336"/>
      <c r="CD402" s="336"/>
      <c r="CE402" s="336"/>
      <c r="CF402" s="336"/>
      <c r="CG402" s="336"/>
      <c r="CH402" s="336"/>
      <c r="CI402" s="336"/>
      <c r="CJ402" s="336"/>
      <c r="CK402" s="336"/>
      <c r="CL402" s="336"/>
      <c r="CM402" s="336"/>
      <c r="CN402" s="336"/>
      <c r="CO402" s="336"/>
      <c r="CP402" s="336"/>
      <c r="CQ402" s="336"/>
      <c r="CR402" s="336"/>
      <c r="CS402" s="336"/>
      <c r="CT402" s="336"/>
      <c r="CU402" s="336"/>
      <c r="CV402" s="336"/>
      <c r="CW402" s="336"/>
      <c r="CX402" s="336"/>
      <c r="CY402" s="336"/>
      <c r="CZ402" s="336"/>
      <c r="DA402" s="336"/>
      <c r="DB402" s="336"/>
      <c r="DC402" s="336"/>
      <c r="DD402" s="336"/>
      <c r="DE402" s="336"/>
      <c r="DF402" s="336"/>
      <c r="DG402" s="336"/>
      <c r="DH402" s="336"/>
      <c r="DI402" s="336"/>
      <c r="DJ402" s="336"/>
      <c r="DK402" s="336"/>
      <c r="DL402" s="336"/>
      <c r="DM402" s="336"/>
      <c r="DN402" s="336"/>
      <c r="DO402" s="336"/>
      <c r="DP402" s="336"/>
      <c r="DQ402" s="336"/>
      <c r="DR402" s="336"/>
      <c r="DS402" s="336"/>
      <c r="DT402" s="336"/>
      <c r="DU402" s="336"/>
      <c r="DW402" s="336">
        <f t="shared" si="2591"/>
        <v>21</v>
      </c>
      <c r="DX402" s="336">
        <f t="shared" si="2592"/>
        <v>0</v>
      </c>
      <c r="DY402" s="336">
        <f t="shared" si="2593"/>
        <v>0</v>
      </c>
      <c r="DZ402" s="336">
        <f t="shared" si="2594"/>
        <v>0</v>
      </c>
      <c r="EA402" s="336">
        <f t="shared" si="2595"/>
        <v>0</v>
      </c>
      <c r="EB402" s="336">
        <f t="shared" si="2596"/>
        <v>0</v>
      </c>
      <c r="EC402" s="336">
        <f t="shared" si="2597"/>
        <v>0</v>
      </c>
      <c r="ED402" s="336">
        <f t="shared" si="2515"/>
        <v>0</v>
      </c>
      <c r="EE402" s="336">
        <f t="shared" si="2516"/>
        <v>0</v>
      </c>
      <c r="EF402" s="336">
        <f t="shared" si="2517"/>
        <v>0</v>
      </c>
      <c r="EG402" s="336">
        <f t="shared" si="2518"/>
        <v>0</v>
      </c>
      <c r="EH402" s="336">
        <f t="shared" si="2519"/>
        <v>0</v>
      </c>
      <c r="EI402" s="336">
        <f t="shared" si="2520"/>
        <v>0</v>
      </c>
      <c r="EJ402" s="336">
        <f t="shared" si="2521"/>
        <v>0</v>
      </c>
      <c r="EK402" s="336">
        <f t="shared" si="2522"/>
        <v>0</v>
      </c>
      <c r="EL402" s="336">
        <f t="shared" si="2523"/>
        <v>0</v>
      </c>
      <c r="EM402" s="336">
        <f t="shared" si="2524"/>
        <v>0</v>
      </c>
      <c r="EN402" s="336">
        <f t="shared" si="2525"/>
        <v>0</v>
      </c>
      <c r="EO402" s="336">
        <f t="shared" si="2526"/>
        <v>0</v>
      </c>
      <c r="EP402" s="336">
        <f t="shared" si="2527"/>
        <v>0</v>
      </c>
      <c r="EQ402" s="336">
        <f t="shared" si="2528"/>
        <v>0</v>
      </c>
      <c r="ER402" s="336">
        <f t="shared" si="2529"/>
        <v>0</v>
      </c>
      <c r="ES402" s="336">
        <f t="shared" si="2530"/>
        <v>0</v>
      </c>
      <c r="ET402" s="336">
        <f t="shared" si="2530"/>
        <v>0</v>
      </c>
      <c r="EU402" s="336">
        <f t="shared" si="2531"/>
        <v>0</v>
      </c>
      <c r="EV402" s="336">
        <f t="shared" si="2532"/>
        <v>0</v>
      </c>
      <c r="EW402" s="336">
        <f t="shared" si="2533"/>
        <v>0</v>
      </c>
      <c r="EX402" s="336">
        <f t="shared" si="2534"/>
        <v>0</v>
      </c>
      <c r="EY402" s="336">
        <f t="shared" si="2535"/>
        <v>0</v>
      </c>
      <c r="EZ402" s="336">
        <f t="shared" si="2536"/>
        <v>0</v>
      </c>
      <c r="FA402" s="336">
        <f t="shared" si="2537"/>
        <v>0</v>
      </c>
      <c r="FB402" s="336">
        <f t="shared" si="2538"/>
        <v>0</v>
      </c>
      <c r="FC402" s="336">
        <f t="shared" si="2539"/>
        <v>0</v>
      </c>
      <c r="FD402" s="336">
        <f t="shared" si="2540"/>
        <v>0</v>
      </c>
      <c r="FE402" s="336">
        <f t="shared" si="2541"/>
        <v>0</v>
      </c>
      <c r="FF402" s="336">
        <f t="shared" si="2542"/>
        <v>0</v>
      </c>
      <c r="FG402" s="336">
        <f t="shared" si="2543"/>
        <v>0</v>
      </c>
      <c r="FH402" s="336">
        <f t="shared" si="2544"/>
        <v>0</v>
      </c>
      <c r="FI402" s="336">
        <f t="shared" si="2545"/>
        <v>0</v>
      </c>
      <c r="FJ402" s="336">
        <f t="shared" si="2546"/>
        <v>0</v>
      </c>
      <c r="FK402" s="336">
        <f t="shared" si="2547"/>
        <v>0</v>
      </c>
      <c r="FL402" s="336">
        <f t="shared" si="2548"/>
        <v>0</v>
      </c>
      <c r="FM402" s="336">
        <f t="shared" si="2549"/>
        <v>0</v>
      </c>
      <c r="FN402" s="336">
        <f t="shared" si="2550"/>
        <v>0</v>
      </c>
      <c r="FO402" s="336">
        <f t="shared" si="2551"/>
        <v>0</v>
      </c>
      <c r="FP402" s="336">
        <f t="shared" si="2552"/>
        <v>0</v>
      </c>
      <c r="FQ402" s="336">
        <f t="shared" si="2553"/>
        <v>0</v>
      </c>
      <c r="FR402" s="336">
        <f t="shared" si="2554"/>
        <v>0</v>
      </c>
      <c r="FS402" s="336">
        <f t="shared" si="2555"/>
        <v>0</v>
      </c>
      <c r="FT402" s="336">
        <f t="shared" si="2556"/>
        <v>0</v>
      </c>
      <c r="FU402" s="336">
        <f t="shared" si="2638"/>
        <v>0</v>
      </c>
      <c r="FV402" s="336">
        <f t="shared" si="2639"/>
        <v>0</v>
      </c>
      <c r="FW402" s="336">
        <f t="shared" si="2640"/>
        <v>0</v>
      </c>
      <c r="FX402" s="336">
        <f t="shared" si="2641"/>
        <v>0</v>
      </c>
      <c r="FY402" s="336">
        <f t="shared" si="2557"/>
        <v>0</v>
      </c>
      <c r="FZ402" s="336">
        <f t="shared" si="2558"/>
        <v>0</v>
      </c>
      <c r="GA402" s="336">
        <f t="shared" si="2559"/>
        <v>0</v>
      </c>
      <c r="GB402" s="336">
        <f t="shared" si="2560"/>
        <v>0</v>
      </c>
      <c r="GC402" s="336">
        <f t="shared" si="2561"/>
        <v>0</v>
      </c>
      <c r="GD402" s="336">
        <f t="shared" si="2562"/>
        <v>0</v>
      </c>
      <c r="GE402" s="336">
        <f t="shared" si="2563"/>
        <v>0</v>
      </c>
      <c r="GF402" s="336">
        <f t="shared" si="2564"/>
        <v>0</v>
      </c>
      <c r="GG402" s="336">
        <f t="shared" si="2565"/>
        <v>0</v>
      </c>
      <c r="GH402" s="336">
        <f t="shared" si="2566"/>
        <v>0</v>
      </c>
      <c r="GI402" s="336">
        <f t="shared" si="2567"/>
        <v>0</v>
      </c>
      <c r="GJ402" s="336">
        <f t="shared" si="2568"/>
        <v>0</v>
      </c>
      <c r="GK402" s="336">
        <f t="shared" si="2513"/>
        <v>0</v>
      </c>
      <c r="GL402" s="336">
        <f t="shared" si="2642"/>
        <v>0</v>
      </c>
      <c r="GM402" s="336">
        <f t="shared" si="2569"/>
        <v>0</v>
      </c>
    </row>
    <row r="403" spans="1:195">
      <c r="A403" s="337">
        <f t="shared" si="2677"/>
        <v>274</v>
      </c>
      <c r="B403" s="388" t="s">
        <v>868</v>
      </c>
      <c r="C403" s="337" t="s">
        <v>851</v>
      </c>
      <c r="D403" s="338" t="s">
        <v>869</v>
      </c>
      <c r="E403" s="502" t="s">
        <v>870</v>
      </c>
      <c r="F403" s="756"/>
      <c r="G403" s="337" t="s">
        <v>329</v>
      </c>
      <c r="H403" s="418">
        <v>5</v>
      </c>
      <c r="I403" s="337" t="s">
        <v>330</v>
      </c>
      <c r="J403" s="337" t="s">
        <v>331</v>
      </c>
      <c r="K403" s="349">
        <v>400</v>
      </c>
      <c r="L403" s="343">
        <v>0.84999999999999987</v>
      </c>
      <c r="M403" s="350">
        <v>0.95099999999999985</v>
      </c>
      <c r="N403" s="342">
        <f t="shared" si="2656"/>
        <v>8.9281747625212677</v>
      </c>
      <c r="O403" s="342">
        <f t="shared" si="2682"/>
        <v>0</v>
      </c>
      <c r="P403" s="343" t="str">
        <f t="shared" si="2683"/>
        <v>0.00</v>
      </c>
      <c r="Q403" s="350">
        <v>25</v>
      </c>
      <c r="R403" s="350">
        <v>0</v>
      </c>
      <c r="S403" s="350">
        <f t="shared" si="2684"/>
        <v>0</v>
      </c>
      <c r="T403" s="343" t="s">
        <v>131</v>
      </c>
      <c r="U403" s="350" t="s">
        <v>522</v>
      </c>
      <c r="V403" s="343">
        <v>16</v>
      </c>
      <c r="W403" s="343" t="str">
        <f t="shared" si="2685"/>
        <v>4C X 16</v>
      </c>
      <c r="X403" s="343" t="str">
        <f t="shared" si="2686"/>
        <v>4C X 16</v>
      </c>
      <c r="Y403" s="343" t="s">
        <v>358</v>
      </c>
      <c r="Z403" s="344">
        <f>IF(T403="AIR",VLOOKUP(W403,'Catalogue Aluminium'!$B$9:$G$93,2,FALSE),IF(T403="GROUND",VLOOKUP(W403,'Catalogue Aluminium'!$B$9:$G$93,3,FALSE),IF(T403="DUCT",VLOOKUP(W403,'Catalogue Aluminium'!$B$9:$G$93,4,FALSE),IF(T403="TRENCH",VLOOKUP(W403,'Catalogue Aluminium'!$B$9:$G$93,2,FALSE)))))</f>
        <v>70</v>
      </c>
      <c r="AA403" s="345">
        <f>VLOOKUP(W403,'Catalogue Aluminium'!$B$9:$G$93,5,FALSE)</f>
        <v>2.44</v>
      </c>
      <c r="AB403" s="345">
        <f>VLOOKUP(W403,'Catalogue Aluminium'!$B$9:$G$93,6,FALSE)</f>
        <v>8.1500000000000003E-2</v>
      </c>
      <c r="AC403" s="388">
        <f t="shared" ref="AC403:AC404" si="2692">25+11</f>
        <v>36</v>
      </c>
      <c r="AD403" s="401">
        <v>97</v>
      </c>
      <c r="AE403" s="401">
        <f>11+8+3</f>
        <v>22</v>
      </c>
      <c r="AF403" s="401">
        <v>8</v>
      </c>
      <c r="AG403" s="401">
        <f t="shared" si="2662"/>
        <v>17</v>
      </c>
      <c r="AH403" s="347">
        <f t="shared" si="2663"/>
        <v>180</v>
      </c>
      <c r="AI403" s="344">
        <f>IF(T403="AIR",'Catalogue Aluminium'!$K$9,IF(T403="TRENCH",'Catalogue Aluminium'!$K$12,"NA"))</f>
        <v>0.89</v>
      </c>
      <c r="AJ403" s="342">
        <f>IF(T403="Air",(IF(U403="1C",'Catalogue Aluminium'!$L$9,'Catalogue Aluminium'!$M$9)),IF(T403="DUCT",(IF($U403="1C",'Catalogue Aluminium'!$L$10,'Catalogue Aluminium'!$M$10)),IF(T403="GROUND",(IF($U403="1C",'Catalogue Aluminium'!$L$11,'Catalogue Aluminium'!$M$11)),IF(T403="TRENCH",(IF($U403="1C",'Catalogue Aluminium'!$L$12,'Catalogue Aluminium'!$M$12))))))</f>
        <v>0.66</v>
      </c>
      <c r="AK403" s="344" t="str">
        <f>IF(T403="Air",'Catalogue Aluminium'!$N$9,IF(T403="GROUND",'Catalogue Aluminium'!$N$10,IF(T403="DUCT",'Catalogue Aluminium'!$N$11,IF(T403="TRENCH",'Catalogue Aluminium'!$N$12,"NA"))))</f>
        <v>NA</v>
      </c>
      <c r="AL403" s="344" t="str">
        <f>IF(T403="Air",(IF(U403="1C",'Catalogue Aluminium'!$O$9,'Catalogue Aluminium'!$P$9)),IF(T403="DUCT",(IF($U403="1C",'Catalogue Aluminium'!$O$10,'Catalogue Aluminium'!$P$10)),IF(T403="GROUND",(IF($U403="1C",'Catalogue Aluminium'!$O$11,'Catalogue Aluminium'!$P$11)),IF(T403="TRENCH",(IF($U403="1C",'Catalogue Aluminium'!$O$12,'Catalogue Aluminium'!$P$12))))))</f>
        <v>NA</v>
      </c>
      <c r="AM403" s="344" t="str">
        <f>IF(T403="AIR","NA",IF(T403="TRENCH","NA",IF(T403="DUCT",IF(U403="1C",VLOOKUP(V403,'Catalogue Aluminium'!$Q$9:$S$28,2,FALSE),VLOOKUP(V403,'Catalogue Aluminium'!$Q$9:$S$28,3)),IF(T403="GROUND",IF(U403="1C",VLOOKUP(V403,'Catalogue Aluminium'!$Q$9:$S$28,2,FALSE),VLOOKUP(V403,'Catalogue Aluminium'!$Q$9:$S$28,3))))))</f>
        <v>NA</v>
      </c>
      <c r="AN403" s="351">
        <f t="shared" si="2687"/>
        <v>0.58740000000000003</v>
      </c>
      <c r="AO403" s="350">
        <f t="shared" si="2688"/>
        <v>41.118000000000002</v>
      </c>
      <c r="AP403" s="349">
        <f t="shared" si="2666"/>
        <v>1</v>
      </c>
      <c r="AQ403" s="350" t="str">
        <f t="shared" si="2689"/>
        <v>YES</v>
      </c>
      <c r="AR403" s="351">
        <f t="shared" si="2690"/>
        <v>1.4731361721588483</v>
      </c>
      <c r="AS403" s="343" t="str">
        <f t="shared" si="2691"/>
        <v>YES</v>
      </c>
      <c r="AT403" s="351" t="str">
        <f t="shared" si="2669"/>
        <v>NA</v>
      </c>
      <c r="AU403" s="343" t="str">
        <f t="shared" si="2670"/>
        <v>NA</v>
      </c>
      <c r="AV403" s="351" t="str">
        <f t="shared" si="2671"/>
        <v>1R x 0.6/1kV x 4C x 16 Sqmm</v>
      </c>
      <c r="AW403" s="351" t="str">
        <f t="shared" si="2672"/>
        <v>1R x 0.6/1kV x 4C x 16 Sqmm</v>
      </c>
      <c r="AX403" s="343">
        <f t="shared" si="2673"/>
        <v>180</v>
      </c>
      <c r="AY403" s="343"/>
      <c r="AZ403" s="343">
        <f t="shared" si="2674"/>
        <v>2</v>
      </c>
      <c r="BA403" s="356" t="str">
        <f t="shared" si="2679"/>
        <v>ACDD1D2</v>
      </c>
      <c r="BB403" s="328">
        <f>VLOOKUP(W403,'Catalogue Aluminium'!$B$9:$H$93,7,FALSE)</f>
        <v>21</v>
      </c>
      <c r="BC403" s="328">
        <f t="shared" si="2676"/>
        <v>21</v>
      </c>
      <c r="BE403" s="336"/>
      <c r="BF403" s="336">
        <v>1</v>
      </c>
      <c r="BG403" s="336"/>
      <c r="BH403" s="336"/>
      <c r="BI403" s="336">
        <v>1</v>
      </c>
      <c r="BJ403" s="336">
        <v>1</v>
      </c>
      <c r="BK403" s="336">
        <v>1</v>
      </c>
      <c r="BL403" s="336">
        <v>1</v>
      </c>
      <c r="BM403" s="336"/>
      <c r="BN403" s="336"/>
      <c r="BO403" s="336"/>
      <c r="BP403" s="336"/>
      <c r="BQ403" s="336"/>
      <c r="BR403" s="336"/>
      <c r="BS403" s="336"/>
      <c r="BT403" s="336"/>
      <c r="BU403" s="336"/>
      <c r="BV403" s="336"/>
      <c r="BW403" s="336"/>
      <c r="BX403" s="336"/>
      <c r="BY403" s="336"/>
      <c r="BZ403" s="336"/>
      <c r="CA403" s="336"/>
      <c r="CB403" s="336"/>
      <c r="CC403" s="336"/>
      <c r="CD403" s="336"/>
      <c r="CE403" s="336"/>
      <c r="CF403" s="336"/>
      <c r="CG403" s="336"/>
      <c r="CH403" s="336"/>
      <c r="CI403" s="336"/>
      <c r="CJ403" s="336"/>
      <c r="CK403" s="336"/>
      <c r="CL403" s="336"/>
      <c r="CM403" s="336"/>
      <c r="CN403" s="336"/>
      <c r="CO403" s="336"/>
      <c r="CP403" s="336"/>
      <c r="CQ403" s="336"/>
      <c r="CR403" s="336"/>
      <c r="CS403" s="336"/>
      <c r="CT403" s="336"/>
      <c r="CU403" s="336"/>
      <c r="CV403" s="336"/>
      <c r="CW403" s="336"/>
      <c r="CX403" s="336"/>
      <c r="CY403" s="336"/>
      <c r="CZ403" s="336"/>
      <c r="DA403" s="336"/>
      <c r="DB403" s="336"/>
      <c r="DC403" s="336"/>
      <c r="DD403" s="336"/>
      <c r="DE403" s="336"/>
      <c r="DF403" s="336"/>
      <c r="DG403" s="336"/>
      <c r="DH403" s="336"/>
      <c r="DI403" s="336"/>
      <c r="DJ403" s="336"/>
      <c r="DK403" s="336"/>
      <c r="DL403" s="336"/>
      <c r="DM403" s="336"/>
      <c r="DN403" s="336"/>
      <c r="DO403" s="336"/>
      <c r="DP403" s="336"/>
      <c r="DQ403" s="336"/>
      <c r="DR403" s="336"/>
      <c r="DS403" s="336"/>
      <c r="DT403" s="336"/>
      <c r="DU403" s="336"/>
      <c r="DW403" s="336">
        <f t="shared" si="2591"/>
        <v>0</v>
      </c>
      <c r="DX403" s="336">
        <f t="shared" si="2592"/>
        <v>21</v>
      </c>
      <c r="DY403" s="336">
        <f t="shared" si="2593"/>
        <v>0</v>
      </c>
      <c r="DZ403" s="336">
        <f t="shared" si="2594"/>
        <v>0</v>
      </c>
      <c r="EA403" s="336">
        <f t="shared" si="2595"/>
        <v>21</v>
      </c>
      <c r="EB403" s="336">
        <f t="shared" si="2596"/>
        <v>21</v>
      </c>
      <c r="EC403" s="336">
        <f t="shared" si="2597"/>
        <v>21</v>
      </c>
      <c r="ED403" s="336">
        <f t="shared" si="2515"/>
        <v>21</v>
      </c>
      <c r="EE403" s="336">
        <f t="shared" si="2516"/>
        <v>0</v>
      </c>
      <c r="EF403" s="336">
        <f t="shared" si="2517"/>
        <v>0</v>
      </c>
      <c r="EG403" s="336">
        <f t="shared" si="2518"/>
        <v>0</v>
      </c>
      <c r="EH403" s="336">
        <f t="shared" si="2519"/>
        <v>0</v>
      </c>
      <c r="EI403" s="336">
        <f t="shared" si="2520"/>
        <v>0</v>
      </c>
      <c r="EJ403" s="336">
        <f t="shared" si="2521"/>
        <v>0</v>
      </c>
      <c r="EK403" s="336">
        <f t="shared" si="2522"/>
        <v>0</v>
      </c>
      <c r="EL403" s="336">
        <f t="shared" si="2523"/>
        <v>0</v>
      </c>
      <c r="EM403" s="336">
        <f t="shared" si="2524"/>
        <v>0</v>
      </c>
      <c r="EN403" s="336">
        <f t="shared" si="2525"/>
        <v>0</v>
      </c>
      <c r="EO403" s="336">
        <f t="shared" si="2526"/>
        <v>0</v>
      </c>
      <c r="EP403" s="336">
        <f t="shared" si="2527"/>
        <v>0</v>
      </c>
      <c r="EQ403" s="336">
        <f t="shared" si="2528"/>
        <v>0</v>
      </c>
      <c r="ER403" s="336">
        <f t="shared" si="2529"/>
        <v>0</v>
      </c>
      <c r="ES403" s="336">
        <f t="shared" si="2530"/>
        <v>0</v>
      </c>
      <c r="ET403" s="336">
        <f t="shared" si="2530"/>
        <v>0</v>
      </c>
      <c r="EU403" s="336">
        <f t="shared" si="2531"/>
        <v>0</v>
      </c>
      <c r="EV403" s="336">
        <f t="shared" si="2532"/>
        <v>0</v>
      </c>
      <c r="EW403" s="336">
        <f t="shared" si="2533"/>
        <v>0</v>
      </c>
      <c r="EX403" s="336">
        <f t="shared" si="2534"/>
        <v>0</v>
      </c>
      <c r="EY403" s="336">
        <f t="shared" si="2535"/>
        <v>0</v>
      </c>
      <c r="EZ403" s="336">
        <f t="shared" si="2536"/>
        <v>0</v>
      </c>
      <c r="FA403" s="336">
        <f t="shared" si="2537"/>
        <v>0</v>
      </c>
      <c r="FB403" s="336">
        <f t="shared" si="2538"/>
        <v>0</v>
      </c>
      <c r="FC403" s="336">
        <f t="shared" si="2539"/>
        <v>0</v>
      </c>
      <c r="FD403" s="336">
        <f t="shared" si="2540"/>
        <v>0</v>
      </c>
      <c r="FE403" s="336">
        <f t="shared" si="2541"/>
        <v>0</v>
      </c>
      <c r="FF403" s="336">
        <f t="shared" si="2542"/>
        <v>0</v>
      </c>
      <c r="FG403" s="336">
        <f t="shared" si="2543"/>
        <v>0</v>
      </c>
      <c r="FH403" s="336">
        <f t="shared" si="2544"/>
        <v>0</v>
      </c>
      <c r="FI403" s="336">
        <f t="shared" si="2545"/>
        <v>0</v>
      </c>
      <c r="FJ403" s="336">
        <f t="shared" si="2546"/>
        <v>0</v>
      </c>
      <c r="FK403" s="336">
        <f t="shared" si="2547"/>
        <v>0</v>
      </c>
      <c r="FL403" s="336">
        <f t="shared" si="2548"/>
        <v>0</v>
      </c>
      <c r="FM403" s="336">
        <f t="shared" si="2549"/>
        <v>0</v>
      </c>
      <c r="FN403" s="336">
        <f t="shared" si="2550"/>
        <v>0</v>
      </c>
      <c r="FO403" s="336">
        <f t="shared" si="2551"/>
        <v>0</v>
      </c>
      <c r="FP403" s="336">
        <f t="shared" si="2552"/>
        <v>0</v>
      </c>
      <c r="FQ403" s="336">
        <f t="shared" si="2553"/>
        <v>0</v>
      </c>
      <c r="FR403" s="336">
        <f t="shared" si="2554"/>
        <v>0</v>
      </c>
      <c r="FS403" s="336">
        <f t="shared" si="2555"/>
        <v>0</v>
      </c>
      <c r="FT403" s="336">
        <f t="shared" si="2556"/>
        <v>0</v>
      </c>
      <c r="FU403" s="336">
        <f t="shared" si="2638"/>
        <v>0</v>
      </c>
      <c r="FV403" s="336">
        <f t="shared" si="2639"/>
        <v>0</v>
      </c>
      <c r="FW403" s="336">
        <f t="shared" si="2640"/>
        <v>0</v>
      </c>
      <c r="FX403" s="336">
        <f t="shared" si="2641"/>
        <v>0</v>
      </c>
      <c r="FY403" s="336">
        <f t="shared" si="2557"/>
        <v>0</v>
      </c>
      <c r="FZ403" s="336">
        <f t="shared" si="2558"/>
        <v>0</v>
      </c>
      <c r="GA403" s="336">
        <f t="shared" si="2559"/>
        <v>0</v>
      </c>
      <c r="GB403" s="336">
        <f t="shared" si="2560"/>
        <v>0</v>
      </c>
      <c r="GC403" s="336">
        <f t="shared" si="2561"/>
        <v>0</v>
      </c>
      <c r="GD403" s="336">
        <f t="shared" si="2562"/>
        <v>0</v>
      </c>
      <c r="GE403" s="336">
        <f t="shared" si="2563"/>
        <v>0</v>
      </c>
      <c r="GF403" s="336">
        <f t="shared" si="2564"/>
        <v>0</v>
      </c>
      <c r="GG403" s="336">
        <f t="shared" si="2565"/>
        <v>0</v>
      </c>
      <c r="GH403" s="336">
        <f t="shared" si="2566"/>
        <v>0</v>
      </c>
      <c r="GI403" s="336">
        <f t="shared" si="2567"/>
        <v>0</v>
      </c>
      <c r="GJ403" s="336">
        <f t="shared" si="2568"/>
        <v>0</v>
      </c>
      <c r="GK403" s="336">
        <f t="shared" si="2513"/>
        <v>0</v>
      </c>
      <c r="GL403" s="336">
        <f t="shared" si="2642"/>
        <v>0</v>
      </c>
      <c r="GM403" s="336">
        <f t="shared" si="2569"/>
        <v>0</v>
      </c>
    </row>
    <row r="404" spans="1:195">
      <c r="A404" s="337">
        <f t="shared" si="2677"/>
        <v>275</v>
      </c>
      <c r="B404" s="388" t="s">
        <v>871</v>
      </c>
      <c r="C404" s="337" t="s">
        <v>851</v>
      </c>
      <c r="D404" s="338" t="s">
        <v>872</v>
      </c>
      <c r="E404" s="454" t="s">
        <v>345</v>
      </c>
      <c r="F404" s="756"/>
      <c r="G404" s="337" t="s">
        <v>329</v>
      </c>
      <c r="H404" s="418">
        <v>5</v>
      </c>
      <c r="I404" s="337" t="s">
        <v>330</v>
      </c>
      <c r="J404" s="337" t="s">
        <v>331</v>
      </c>
      <c r="K404" s="349">
        <v>400</v>
      </c>
      <c r="L404" s="343">
        <v>0.84999999999999987</v>
      </c>
      <c r="M404" s="350">
        <v>0.95099999999999985</v>
      </c>
      <c r="N404" s="342">
        <f t="shared" si="2656"/>
        <v>8.9281747625212677</v>
      </c>
      <c r="O404" s="342">
        <f t="shared" ref="O404" si="2693">IF(G404="MOTOR",(6*N404),IF(G404="VFD",(1*N404),0))</f>
        <v>0</v>
      </c>
      <c r="P404" s="343" t="str">
        <f t="shared" ref="P404" si="2694">IF(G404="MOTOR",0.2,"0.00")</f>
        <v>0.00</v>
      </c>
      <c r="Q404" s="350">
        <v>25</v>
      </c>
      <c r="R404" s="350">
        <v>0</v>
      </c>
      <c r="S404" s="350">
        <f t="shared" ref="S404" si="2695">(Q404*1000*SQRT(R404)/143)</f>
        <v>0</v>
      </c>
      <c r="T404" s="343" t="s">
        <v>131</v>
      </c>
      <c r="U404" s="350" t="s">
        <v>535</v>
      </c>
      <c r="V404" s="343">
        <v>25</v>
      </c>
      <c r="W404" s="343" t="str">
        <f t="shared" ref="W404" si="2696">CONCATENATE(U404," X ",V404)</f>
        <v>3.5C X 25</v>
      </c>
      <c r="X404" s="343" t="str">
        <f t="shared" ref="X404" si="2697">(IF(J404="1Ph",W404,IF(J404="3Ph",(IF(G404="MOTOR",(CONCATENATE(W404,"+PE")),W404)))))</f>
        <v>3.5C X 25</v>
      </c>
      <c r="Y404" s="343" t="s">
        <v>358</v>
      </c>
      <c r="Z404" s="344">
        <f>IF(T404="AIR",VLOOKUP(W404,'Catalogue Aluminium'!$B$9:$G$93,2,FALSE),IF(T404="GROUND",VLOOKUP(W404,'Catalogue Aluminium'!$B$9:$G$93,3,FALSE),IF(T404="DUCT",VLOOKUP(W404,'Catalogue Aluminium'!$B$9:$G$93,4,FALSE),IF(T404="TRENCH",VLOOKUP(W404,'Catalogue Aluminium'!$B$9:$G$93,2,FALSE)))))</f>
        <v>95</v>
      </c>
      <c r="AA404" s="345">
        <f>VLOOKUP(W404,'Catalogue Aluminium'!$B$9:$G$93,5,FALSE)</f>
        <v>1.54</v>
      </c>
      <c r="AB404" s="345">
        <f>VLOOKUP(W404,'Catalogue Aluminium'!$B$9:$G$93,6,FALSE)</f>
        <v>8.1600000000000006E-2</v>
      </c>
      <c r="AC404" s="388">
        <f t="shared" si="2692"/>
        <v>36</v>
      </c>
      <c r="AD404" s="401">
        <f>207</f>
        <v>207</v>
      </c>
      <c r="AE404" s="401">
        <f t="shared" ref="AE404" si="2698">11+8+8+11</f>
        <v>38</v>
      </c>
      <c r="AF404" s="401">
        <v>8</v>
      </c>
      <c r="AG404" s="401">
        <f t="shared" ref="AG404" si="2699">ROUNDUP((SUM(AC404:AF404)*0.1),0)</f>
        <v>29</v>
      </c>
      <c r="AH404" s="347">
        <f t="shared" ref="AH404" si="2700">SUM(AC404:AG404)</f>
        <v>318</v>
      </c>
      <c r="AI404" s="344">
        <f>IF(T404="AIR",'Catalogue Aluminium'!$K$9,IF(T404="TRENCH",'Catalogue Aluminium'!$K$12,"NA"))</f>
        <v>0.89</v>
      </c>
      <c r="AJ404" s="342">
        <f>IF(T404="Air",(IF(U404="1C",'Catalogue Aluminium'!$L$9,'Catalogue Aluminium'!$M$9)),IF(T404="DUCT",(IF($U404="1C",'Catalogue Aluminium'!$L$10,'Catalogue Aluminium'!$M$10)),IF(T404="GROUND",(IF($U404="1C",'Catalogue Aluminium'!$L$11,'Catalogue Aluminium'!$M$11)),IF(T404="TRENCH",(IF($U404="1C",'Catalogue Aluminium'!$L$12,'Catalogue Aluminium'!$M$12))))))</f>
        <v>0.66</v>
      </c>
      <c r="AK404" s="344" t="str">
        <f>IF(T404="Air",'Catalogue Aluminium'!$N$9,IF(T404="GROUND",'Catalogue Aluminium'!$N$10,IF(T404="DUCT",'Catalogue Aluminium'!$N$11,IF(T404="TRENCH",'Catalogue Aluminium'!$N$12,"NA"))))</f>
        <v>NA</v>
      </c>
      <c r="AL404" s="344" t="str">
        <f>IF(T404="Air",(IF(U404="1C",'Catalogue Aluminium'!$O$9,'Catalogue Aluminium'!$P$9)),IF(T404="DUCT",(IF($U404="1C",'Catalogue Aluminium'!$O$10,'Catalogue Aluminium'!$P$10)),IF(T404="GROUND",(IF($U404="1C",'Catalogue Aluminium'!$O$11,'Catalogue Aluminium'!$P$11)),IF(T404="TRENCH",(IF($U404="1C",'Catalogue Aluminium'!$O$12,'Catalogue Aluminium'!$P$12))))))</f>
        <v>NA</v>
      </c>
      <c r="AM404" s="344" t="str">
        <f>IF(T404="AIR","NA",IF(T404="TRENCH","NA",IF(T404="DUCT",IF(U404="1C",VLOOKUP(V404,'Catalogue Aluminium'!$Q$9:$S$28,2,FALSE),VLOOKUP(V404,'Catalogue Aluminium'!$Q$9:$S$28,3)),IF(T404="GROUND",IF(U404="1C",VLOOKUP(V404,'Catalogue Aluminium'!$Q$9:$S$28,2,FALSE),VLOOKUP(V404,'Catalogue Aluminium'!$Q$9:$S$28,3))))))</f>
        <v>NA</v>
      </c>
      <c r="AN404" s="351">
        <f t="shared" ref="AN404" si="2701">IF(T404="AIR",AI404*AJ404,IF(T404="TRENCH",AI404*AJ404,IF(T404="DUCT",AJ404*AK404*AL404*AM404,IF(T404="GROUND",AJ404*AK404*AL404*AM404))))</f>
        <v>0.58740000000000003</v>
      </c>
      <c r="AO404" s="350">
        <f t="shared" ref="AO404" si="2702">Z404*AN404</f>
        <v>55.803000000000004</v>
      </c>
      <c r="AP404" s="349">
        <f t="shared" si="2666"/>
        <v>1</v>
      </c>
      <c r="AQ404" s="350" t="str">
        <f t="shared" ref="AQ404" si="2703">IF(AO404*AP404&gt;=N404,"YES","NO")</f>
        <v>YES</v>
      </c>
      <c r="AR404" s="351">
        <f t="shared" ref="AR404" si="2704">SQRT(3)*AH404*N404*((AA404*L404)+(AB404*SIN(ACOS(L404))))*100/(AP404*K404*1000)</f>
        <v>1.6621203318506279</v>
      </c>
      <c r="AS404" s="343" t="str">
        <f t="shared" ref="AS404" si="2705">IF(G404="INCOMER",(IF(AR404&lt;=2,"YES","NO")),IF(G404="POWER",(IF(AR404&lt;=2.5,"YES","NO")),IF(G404="MOTOR",(IF(AR404&lt;=3,"YES","NO")))))</f>
        <v>YES</v>
      </c>
      <c r="AT404" s="351" t="str">
        <f t="shared" si="2669"/>
        <v>NA</v>
      </c>
      <c r="AU404" s="343" t="str">
        <f t="shared" si="2670"/>
        <v>NA</v>
      </c>
      <c r="AV404" s="351" t="str">
        <f t="shared" si="2671"/>
        <v>1R x 0.6/1kV x 3.5C x 25 Sqmm</v>
      </c>
      <c r="AW404" s="351" t="str">
        <f t="shared" si="2672"/>
        <v>1R x 0.6/1kV x 3.5C x 25 Sqmm</v>
      </c>
      <c r="AX404" s="343">
        <f t="shared" si="2673"/>
        <v>318</v>
      </c>
      <c r="AY404" s="343"/>
      <c r="AZ404" s="343">
        <f t="shared" si="2674"/>
        <v>2</v>
      </c>
      <c r="BA404" s="356" t="str">
        <f t="shared" si="2679"/>
        <v>ACDEE1</v>
      </c>
      <c r="BB404" s="328">
        <f>VLOOKUP(W404,'Catalogue Aluminium'!$B$9:$H$93,7,FALSE)</f>
        <v>25</v>
      </c>
      <c r="BC404" s="328">
        <f t="shared" si="2676"/>
        <v>25</v>
      </c>
      <c r="BE404" s="336"/>
      <c r="BF404" s="336">
        <v>1</v>
      </c>
      <c r="BG404" s="336"/>
      <c r="BH404" s="336"/>
      <c r="BI404" s="336">
        <v>1</v>
      </c>
      <c r="BJ404" s="336">
        <v>1</v>
      </c>
      <c r="BK404" s="336"/>
      <c r="BL404" s="336"/>
      <c r="BM404" s="336"/>
      <c r="BN404" s="336">
        <v>1</v>
      </c>
      <c r="BO404" s="336"/>
      <c r="BP404" s="336">
        <v>1</v>
      </c>
      <c r="BQ404" s="336"/>
      <c r="BR404" s="336"/>
      <c r="BS404" s="336"/>
      <c r="BT404" s="336"/>
      <c r="BU404" s="336"/>
      <c r="BV404" s="336"/>
      <c r="BW404" s="336"/>
      <c r="BX404" s="336"/>
      <c r="BY404" s="336"/>
      <c r="BZ404" s="336"/>
      <c r="CA404" s="336"/>
      <c r="CB404" s="336"/>
      <c r="CC404" s="336"/>
      <c r="CD404" s="336"/>
      <c r="CE404" s="336"/>
      <c r="CF404" s="336"/>
      <c r="CG404" s="336"/>
      <c r="CH404" s="336"/>
      <c r="CI404" s="336"/>
      <c r="CJ404" s="336"/>
      <c r="CK404" s="336"/>
      <c r="CL404" s="336"/>
      <c r="CM404" s="336"/>
      <c r="CN404" s="336"/>
      <c r="CO404" s="336"/>
      <c r="CP404" s="336"/>
      <c r="CQ404" s="336"/>
      <c r="CR404" s="336"/>
      <c r="CS404" s="336"/>
      <c r="CT404" s="336"/>
      <c r="CU404" s="336"/>
      <c r="CV404" s="336"/>
      <c r="CW404" s="336"/>
      <c r="CX404" s="336"/>
      <c r="CY404" s="336"/>
      <c r="CZ404" s="336"/>
      <c r="DA404" s="336"/>
      <c r="DB404" s="336"/>
      <c r="DC404" s="336"/>
      <c r="DD404" s="336"/>
      <c r="DE404" s="336"/>
      <c r="DF404" s="336"/>
      <c r="DG404" s="336"/>
      <c r="DH404" s="336"/>
      <c r="DI404" s="336"/>
      <c r="DJ404" s="336"/>
      <c r="DK404" s="336"/>
      <c r="DL404" s="336"/>
      <c r="DM404" s="336"/>
      <c r="DN404" s="336"/>
      <c r="DO404" s="336"/>
      <c r="DP404" s="336"/>
      <c r="DQ404" s="336"/>
      <c r="DR404" s="336"/>
      <c r="DS404" s="336"/>
      <c r="DT404" s="336"/>
      <c r="DU404" s="336"/>
      <c r="DW404" s="336">
        <f t="shared" si="2591"/>
        <v>0</v>
      </c>
      <c r="DX404" s="336">
        <f t="shared" si="2592"/>
        <v>25</v>
      </c>
      <c r="DY404" s="336">
        <f t="shared" si="2593"/>
        <v>0</v>
      </c>
      <c r="DZ404" s="336">
        <f t="shared" si="2594"/>
        <v>0</v>
      </c>
      <c r="EA404" s="336">
        <f t="shared" si="2595"/>
        <v>25</v>
      </c>
      <c r="EB404" s="336">
        <f t="shared" si="2596"/>
        <v>25</v>
      </c>
      <c r="EC404" s="336">
        <f t="shared" si="2597"/>
        <v>0</v>
      </c>
      <c r="ED404" s="336">
        <f t="shared" si="2515"/>
        <v>0</v>
      </c>
      <c r="EE404" s="336">
        <f t="shared" si="2516"/>
        <v>0</v>
      </c>
      <c r="EF404" s="336">
        <f t="shared" si="2517"/>
        <v>25</v>
      </c>
      <c r="EG404" s="336">
        <f t="shared" si="2518"/>
        <v>0</v>
      </c>
      <c r="EH404" s="336">
        <f t="shared" si="2519"/>
        <v>25</v>
      </c>
      <c r="EI404" s="336">
        <f t="shared" si="2520"/>
        <v>0</v>
      </c>
      <c r="EJ404" s="336">
        <f t="shared" si="2521"/>
        <v>0</v>
      </c>
      <c r="EK404" s="336">
        <f t="shared" si="2522"/>
        <v>0</v>
      </c>
      <c r="EL404" s="336">
        <f t="shared" si="2523"/>
        <v>0</v>
      </c>
      <c r="EM404" s="336">
        <f t="shared" si="2524"/>
        <v>0</v>
      </c>
      <c r="EN404" s="336">
        <f t="shared" si="2525"/>
        <v>0</v>
      </c>
      <c r="EO404" s="336">
        <f t="shared" si="2526"/>
        <v>0</v>
      </c>
      <c r="EP404" s="336">
        <f t="shared" si="2527"/>
        <v>0</v>
      </c>
      <c r="EQ404" s="336">
        <f t="shared" si="2528"/>
        <v>0</v>
      </c>
      <c r="ER404" s="336">
        <f t="shared" si="2529"/>
        <v>0</v>
      </c>
      <c r="ES404" s="336">
        <f t="shared" si="2530"/>
        <v>0</v>
      </c>
      <c r="ET404" s="336">
        <f t="shared" si="2530"/>
        <v>0</v>
      </c>
      <c r="EU404" s="336">
        <f t="shared" si="2531"/>
        <v>0</v>
      </c>
      <c r="EV404" s="336">
        <f t="shared" si="2532"/>
        <v>0</v>
      </c>
      <c r="EW404" s="336">
        <f t="shared" si="2533"/>
        <v>0</v>
      </c>
      <c r="EX404" s="336">
        <f t="shared" si="2534"/>
        <v>0</v>
      </c>
      <c r="EY404" s="336">
        <f t="shared" si="2535"/>
        <v>0</v>
      </c>
      <c r="EZ404" s="336">
        <f t="shared" si="2536"/>
        <v>0</v>
      </c>
      <c r="FA404" s="336">
        <f t="shared" si="2537"/>
        <v>0</v>
      </c>
      <c r="FB404" s="336">
        <f t="shared" si="2538"/>
        <v>0</v>
      </c>
      <c r="FC404" s="336">
        <f t="shared" si="2539"/>
        <v>0</v>
      </c>
      <c r="FD404" s="336">
        <f t="shared" si="2540"/>
        <v>0</v>
      </c>
      <c r="FE404" s="336">
        <f t="shared" si="2541"/>
        <v>0</v>
      </c>
      <c r="FF404" s="336">
        <f t="shared" si="2542"/>
        <v>0</v>
      </c>
      <c r="FG404" s="336">
        <f t="shared" si="2543"/>
        <v>0</v>
      </c>
      <c r="FH404" s="336">
        <f t="shared" si="2544"/>
        <v>0</v>
      </c>
      <c r="FI404" s="336">
        <f t="shared" si="2545"/>
        <v>0</v>
      </c>
      <c r="FJ404" s="336">
        <f t="shared" si="2546"/>
        <v>0</v>
      </c>
      <c r="FK404" s="336">
        <f t="shared" si="2547"/>
        <v>0</v>
      </c>
      <c r="FL404" s="336">
        <f t="shared" si="2548"/>
        <v>0</v>
      </c>
      <c r="FM404" s="336">
        <f t="shared" si="2549"/>
        <v>0</v>
      </c>
      <c r="FN404" s="336">
        <f t="shared" si="2550"/>
        <v>0</v>
      </c>
      <c r="FO404" s="336">
        <f t="shared" si="2551"/>
        <v>0</v>
      </c>
      <c r="FP404" s="336">
        <f t="shared" si="2552"/>
        <v>0</v>
      </c>
      <c r="FQ404" s="336">
        <f t="shared" si="2553"/>
        <v>0</v>
      </c>
      <c r="FR404" s="336">
        <f t="shared" si="2554"/>
        <v>0</v>
      </c>
      <c r="FS404" s="336">
        <f t="shared" si="2555"/>
        <v>0</v>
      </c>
      <c r="FT404" s="336">
        <f t="shared" si="2556"/>
        <v>0</v>
      </c>
      <c r="FU404" s="336">
        <f t="shared" si="2638"/>
        <v>0</v>
      </c>
      <c r="FV404" s="336">
        <f t="shared" si="2639"/>
        <v>0</v>
      </c>
      <c r="FW404" s="336">
        <f t="shared" si="2640"/>
        <v>0</v>
      </c>
      <c r="FX404" s="336">
        <f t="shared" si="2641"/>
        <v>0</v>
      </c>
      <c r="FY404" s="336">
        <f t="shared" si="2557"/>
        <v>0</v>
      </c>
      <c r="FZ404" s="336">
        <f t="shared" si="2558"/>
        <v>0</v>
      </c>
      <c r="GA404" s="336">
        <f t="shared" si="2559"/>
        <v>0</v>
      </c>
      <c r="GB404" s="336">
        <f t="shared" si="2560"/>
        <v>0</v>
      </c>
      <c r="GC404" s="336">
        <f t="shared" si="2561"/>
        <v>0</v>
      </c>
      <c r="GD404" s="336">
        <f t="shared" si="2562"/>
        <v>0</v>
      </c>
      <c r="GE404" s="336">
        <f t="shared" si="2563"/>
        <v>0</v>
      </c>
      <c r="GF404" s="336">
        <f t="shared" si="2564"/>
        <v>0</v>
      </c>
      <c r="GG404" s="336">
        <f t="shared" si="2565"/>
        <v>0</v>
      </c>
      <c r="GH404" s="336">
        <f t="shared" si="2566"/>
        <v>0</v>
      </c>
      <c r="GI404" s="336">
        <f t="shared" si="2567"/>
        <v>0</v>
      </c>
      <c r="GJ404" s="336">
        <f t="shared" si="2568"/>
        <v>0</v>
      </c>
      <c r="GK404" s="336">
        <f t="shared" si="2513"/>
        <v>0</v>
      </c>
      <c r="GL404" s="336">
        <f t="shared" si="2642"/>
        <v>0</v>
      </c>
      <c r="GM404" s="336">
        <f t="shared" si="2569"/>
        <v>0</v>
      </c>
    </row>
    <row r="405" spans="1:195">
      <c r="A405" s="337">
        <f t="shared" si="2677"/>
        <v>276</v>
      </c>
      <c r="B405" s="337" t="s">
        <v>610</v>
      </c>
      <c r="C405" s="337" t="str">
        <f>$D$6</f>
        <v>PMCC-1</v>
      </c>
      <c r="D405" s="372" t="s">
        <v>873</v>
      </c>
      <c r="E405" s="500" t="s">
        <v>335</v>
      </c>
      <c r="F405" s="570"/>
      <c r="G405" s="340" t="s">
        <v>337</v>
      </c>
      <c r="H405" s="350">
        <v>42.5</v>
      </c>
      <c r="I405" s="337" t="s">
        <v>330</v>
      </c>
      <c r="J405" s="337" t="s">
        <v>331</v>
      </c>
      <c r="K405" s="349">
        <v>400</v>
      </c>
      <c r="L405" s="343">
        <v>0.84999999999999987</v>
      </c>
      <c r="M405" s="350">
        <v>0.95099999999999985</v>
      </c>
      <c r="N405" s="342">
        <v>320</v>
      </c>
      <c r="O405" s="399"/>
      <c r="P405" s="400"/>
      <c r="Q405" s="400"/>
      <c r="R405" s="400"/>
      <c r="S405" s="400"/>
      <c r="T405" s="400"/>
      <c r="U405" s="400"/>
      <c r="V405" s="400"/>
      <c r="W405" s="400"/>
      <c r="X405" s="400"/>
      <c r="Y405" s="400"/>
      <c r="Z405" s="400"/>
      <c r="AA405" s="400"/>
      <c r="AB405" s="400"/>
      <c r="AC405" s="913"/>
      <c r="AD405" s="913"/>
      <c r="AE405" s="913"/>
      <c r="AF405" s="913"/>
      <c r="AG405" s="913"/>
      <c r="AH405" s="400"/>
      <c r="AI405" s="400"/>
      <c r="AJ405" s="400"/>
      <c r="AK405" s="400"/>
      <c r="AL405" s="400"/>
      <c r="AM405" s="400"/>
      <c r="AN405" s="400"/>
      <c r="AO405" s="400"/>
      <c r="AP405" s="400"/>
      <c r="AQ405" s="400"/>
      <c r="AR405" s="400"/>
      <c r="AS405" s="400"/>
      <c r="AT405" s="400"/>
      <c r="AU405" s="400"/>
      <c r="AV405" s="400"/>
      <c r="AW405" s="400"/>
      <c r="AX405" s="400"/>
      <c r="AY405" s="400"/>
      <c r="AZ405" s="400"/>
      <c r="BA405" s="400"/>
      <c r="BB405" s="400"/>
      <c r="BC405" s="912"/>
      <c r="BE405" s="530"/>
      <c r="BF405" s="530"/>
      <c r="BG405" s="530"/>
      <c r="BH405" s="530"/>
      <c r="BI405" s="530"/>
      <c r="BJ405" s="530"/>
      <c r="BK405" s="530"/>
      <c r="BL405" s="530"/>
      <c r="BM405" s="530"/>
      <c r="BN405" s="530"/>
      <c r="BO405" s="530"/>
      <c r="BP405" s="530"/>
      <c r="BQ405" s="530"/>
      <c r="BR405" s="530"/>
      <c r="BS405" s="530"/>
      <c r="BT405" s="530"/>
      <c r="BU405" s="530"/>
      <c r="BV405" s="530"/>
      <c r="BW405" s="530"/>
      <c r="BX405" s="530"/>
      <c r="BY405" s="530"/>
      <c r="BZ405" s="530"/>
      <c r="CA405" s="530"/>
      <c r="CB405" s="530"/>
      <c r="CC405" s="530"/>
      <c r="CD405" s="530"/>
      <c r="CE405" s="530"/>
      <c r="CF405" s="530"/>
      <c r="CG405" s="530"/>
      <c r="CH405" s="530"/>
      <c r="CI405" s="530"/>
      <c r="CJ405" s="530"/>
      <c r="CK405" s="530"/>
      <c r="CL405" s="530"/>
      <c r="CM405" s="530"/>
      <c r="CN405" s="530"/>
      <c r="CO405" s="530"/>
      <c r="CP405" s="530"/>
      <c r="CQ405" s="530"/>
      <c r="CR405" s="530"/>
      <c r="CS405" s="530"/>
      <c r="CT405" s="530"/>
      <c r="CU405" s="530"/>
      <c r="CV405" s="530"/>
      <c r="CW405" s="530"/>
      <c r="CX405" s="530"/>
      <c r="CY405" s="530"/>
      <c r="CZ405" s="530"/>
      <c r="DA405" s="530"/>
      <c r="DB405" s="530"/>
      <c r="DC405" s="530"/>
      <c r="DD405" s="530"/>
      <c r="DE405" s="530"/>
      <c r="DF405" s="530"/>
      <c r="DG405" s="530"/>
      <c r="DH405" s="530"/>
      <c r="DI405" s="530"/>
      <c r="DJ405" s="530"/>
      <c r="DK405" s="530"/>
      <c r="DL405" s="530"/>
      <c r="DM405" s="530"/>
      <c r="DN405" s="530"/>
      <c r="DO405" s="530"/>
      <c r="DP405" s="530"/>
      <c r="DQ405" s="530"/>
      <c r="DR405" s="530"/>
      <c r="DS405" s="530"/>
      <c r="DT405" s="530"/>
      <c r="DU405" s="530"/>
      <c r="DW405" s="336">
        <f t="shared" si="2591"/>
        <v>0</v>
      </c>
      <c r="DX405" s="336">
        <f t="shared" si="2592"/>
        <v>0</v>
      </c>
      <c r="DY405" s="336">
        <f t="shared" si="2593"/>
        <v>0</v>
      </c>
      <c r="DZ405" s="336">
        <f t="shared" si="2594"/>
        <v>0</v>
      </c>
      <c r="EA405" s="336">
        <f t="shared" si="2595"/>
        <v>0</v>
      </c>
      <c r="EB405" s="336">
        <f t="shared" si="2596"/>
        <v>0</v>
      </c>
      <c r="EC405" s="336">
        <f t="shared" si="2597"/>
        <v>0</v>
      </c>
      <c r="ED405" s="336">
        <f t="shared" si="2515"/>
        <v>0</v>
      </c>
      <c r="EE405" s="336">
        <f t="shared" si="2516"/>
        <v>0</v>
      </c>
      <c r="EF405" s="336">
        <f t="shared" si="2517"/>
        <v>0</v>
      </c>
      <c r="EG405" s="336">
        <f t="shared" si="2518"/>
        <v>0</v>
      </c>
      <c r="EH405" s="336">
        <f t="shared" si="2519"/>
        <v>0</v>
      </c>
      <c r="EI405" s="336">
        <f t="shared" si="2520"/>
        <v>0</v>
      </c>
      <c r="EJ405" s="336">
        <f t="shared" si="2521"/>
        <v>0</v>
      </c>
      <c r="EK405" s="336">
        <f t="shared" si="2522"/>
        <v>0</v>
      </c>
      <c r="EL405" s="336">
        <f t="shared" si="2523"/>
        <v>0</v>
      </c>
      <c r="EM405" s="336">
        <f t="shared" si="2524"/>
        <v>0</v>
      </c>
      <c r="EN405" s="336">
        <f t="shared" si="2525"/>
        <v>0</v>
      </c>
      <c r="EO405" s="336">
        <f t="shared" si="2526"/>
        <v>0</v>
      </c>
      <c r="EP405" s="336">
        <f t="shared" si="2527"/>
        <v>0</v>
      </c>
      <c r="EQ405" s="336">
        <f t="shared" si="2528"/>
        <v>0</v>
      </c>
      <c r="ER405" s="336">
        <f t="shared" si="2529"/>
        <v>0</v>
      </c>
      <c r="ES405" s="336">
        <f t="shared" si="2530"/>
        <v>0</v>
      </c>
      <c r="ET405" s="336">
        <f t="shared" si="2530"/>
        <v>0</v>
      </c>
      <c r="EU405" s="336">
        <f t="shared" si="2531"/>
        <v>0</v>
      </c>
      <c r="EV405" s="336">
        <f t="shared" si="2532"/>
        <v>0</v>
      </c>
      <c r="EW405" s="336">
        <f t="shared" si="2533"/>
        <v>0</v>
      </c>
      <c r="EX405" s="336">
        <f t="shared" si="2534"/>
        <v>0</v>
      </c>
      <c r="EY405" s="336">
        <f t="shared" si="2535"/>
        <v>0</v>
      </c>
      <c r="EZ405" s="336">
        <f t="shared" si="2536"/>
        <v>0</v>
      </c>
      <c r="FA405" s="336">
        <f t="shared" si="2537"/>
        <v>0</v>
      </c>
      <c r="FB405" s="336">
        <f t="shared" si="2538"/>
        <v>0</v>
      </c>
      <c r="FC405" s="336">
        <f t="shared" si="2539"/>
        <v>0</v>
      </c>
      <c r="FD405" s="336">
        <f t="shared" si="2540"/>
        <v>0</v>
      </c>
      <c r="FE405" s="336">
        <f t="shared" si="2541"/>
        <v>0</v>
      </c>
      <c r="FF405" s="336">
        <f t="shared" si="2542"/>
        <v>0</v>
      </c>
      <c r="FG405" s="336">
        <f t="shared" si="2543"/>
        <v>0</v>
      </c>
      <c r="FH405" s="336">
        <f t="shared" si="2544"/>
        <v>0</v>
      </c>
      <c r="FI405" s="336">
        <f t="shared" si="2545"/>
        <v>0</v>
      </c>
      <c r="FJ405" s="336">
        <f t="shared" si="2546"/>
        <v>0</v>
      </c>
      <c r="FK405" s="336">
        <f t="shared" si="2547"/>
        <v>0</v>
      </c>
      <c r="FL405" s="336">
        <f t="shared" si="2548"/>
        <v>0</v>
      </c>
      <c r="FM405" s="336">
        <f t="shared" si="2549"/>
        <v>0</v>
      </c>
      <c r="FN405" s="336">
        <f t="shared" si="2550"/>
        <v>0</v>
      </c>
      <c r="FO405" s="336">
        <f t="shared" si="2551"/>
        <v>0</v>
      </c>
      <c r="FP405" s="336">
        <f t="shared" si="2552"/>
        <v>0</v>
      </c>
      <c r="FQ405" s="336">
        <f t="shared" si="2553"/>
        <v>0</v>
      </c>
      <c r="FR405" s="336">
        <f t="shared" si="2554"/>
        <v>0</v>
      </c>
      <c r="FS405" s="336">
        <f t="shared" si="2555"/>
        <v>0</v>
      </c>
      <c r="FT405" s="336">
        <f t="shared" si="2556"/>
        <v>0</v>
      </c>
      <c r="FU405" s="336">
        <f t="shared" si="2638"/>
        <v>0</v>
      </c>
      <c r="FV405" s="336">
        <f t="shared" si="2639"/>
        <v>0</v>
      </c>
      <c r="FW405" s="336">
        <f t="shared" si="2640"/>
        <v>0</v>
      </c>
      <c r="FX405" s="336">
        <f t="shared" si="2641"/>
        <v>0</v>
      </c>
      <c r="FY405" s="336">
        <f t="shared" si="2557"/>
        <v>0</v>
      </c>
      <c r="FZ405" s="336">
        <f t="shared" si="2558"/>
        <v>0</v>
      </c>
      <c r="GA405" s="336">
        <f t="shared" si="2559"/>
        <v>0</v>
      </c>
      <c r="GB405" s="336">
        <f t="shared" si="2560"/>
        <v>0</v>
      </c>
      <c r="GC405" s="336">
        <f t="shared" si="2561"/>
        <v>0</v>
      </c>
      <c r="GD405" s="336">
        <f t="shared" si="2562"/>
        <v>0</v>
      </c>
      <c r="GE405" s="336">
        <f t="shared" si="2563"/>
        <v>0</v>
      </c>
      <c r="GF405" s="336">
        <f t="shared" si="2564"/>
        <v>0</v>
      </c>
      <c r="GG405" s="336">
        <f t="shared" si="2565"/>
        <v>0</v>
      </c>
      <c r="GH405" s="336">
        <f t="shared" si="2566"/>
        <v>0</v>
      </c>
      <c r="GI405" s="336">
        <f t="shared" si="2567"/>
        <v>0</v>
      </c>
      <c r="GJ405" s="336">
        <f t="shared" si="2568"/>
        <v>0</v>
      </c>
      <c r="GK405" s="336">
        <f t="shared" si="2513"/>
        <v>0</v>
      </c>
      <c r="GL405" s="336">
        <f t="shared" si="2642"/>
        <v>0</v>
      </c>
      <c r="GM405" s="336">
        <f t="shared" si="2569"/>
        <v>0</v>
      </c>
    </row>
    <row r="406" spans="1:195" s="76" customFormat="1" ht="27" customHeight="1">
      <c r="A406" s="476"/>
      <c r="B406" s="476"/>
      <c r="C406" s="476"/>
      <c r="D406" s="575" t="s">
        <v>874</v>
      </c>
      <c r="E406" s="478"/>
      <c r="F406" s="856"/>
      <c r="G406" s="476"/>
      <c r="H406" s="479"/>
      <c r="I406" s="476"/>
      <c r="J406" s="476"/>
      <c r="K406" s="480"/>
      <c r="L406" s="481"/>
      <c r="M406" s="479"/>
      <c r="N406" s="482"/>
      <c r="O406" s="482"/>
      <c r="P406" s="481"/>
      <c r="Q406" s="479"/>
      <c r="R406" s="479"/>
      <c r="S406" s="479"/>
      <c r="T406" s="481"/>
      <c r="U406" s="479"/>
      <c r="V406" s="481"/>
      <c r="W406" s="481"/>
      <c r="X406" s="481"/>
      <c r="Y406" s="481"/>
      <c r="Z406" s="483"/>
      <c r="AA406" s="484"/>
      <c r="AB406" s="484"/>
      <c r="AC406" s="457"/>
      <c r="AD406" s="457"/>
      <c r="AE406" s="457"/>
      <c r="AF406" s="457"/>
      <c r="AG406" s="457"/>
      <c r="AH406" s="486"/>
      <c r="AI406" s="483"/>
      <c r="AJ406" s="482"/>
      <c r="AK406" s="483"/>
      <c r="AL406" s="483"/>
      <c r="AM406" s="483"/>
      <c r="AN406" s="487"/>
      <c r="AO406" s="479"/>
      <c r="AP406" s="480"/>
      <c r="AQ406" s="479"/>
      <c r="AR406" s="487"/>
      <c r="AS406" s="481"/>
      <c r="AT406" s="487"/>
      <c r="AU406" s="487"/>
      <c r="AV406" s="488"/>
      <c r="AW406" s="488"/>
      <c r="AX406" s="481"/>
      <c r="AY406" s="489"/>
      <c r="AZ406" s="489"/>
      <c r="BA406" s="490"/>
      <c r="BB406" s="490"/>
      <c r="BC406" s="490"/>
      <c r="BE406" s="536"/>
      <c r="BF406" s="536"/>
      <c r="BG406" s="536"/>
      <c r="BH406" s="536"/>
      <c r="BI406" s="536"/>
      <c r="BJ406" s="536"/>
      <c r="BK406" s="536"/>
      <c r="BL406" s="536"/>
      <c r="BM406" s="536"/>
      <c r="BN406" s="536"/>
      <c r="BO406" s="536"/>
      <c r="BP406" s="536"/>
      <c r="BQ406" s="536"/>
      <c r="BR406" s="536"/>
      <c r="BS406" s="536"/>
      <c r="BT406" s="536"/>
      <c r="BU406" s="536"/>
      <c r="BV406" s="536"/>
      <c r="BW406" s="536"/>
      <c r="BX406" s="536"/>
      <c r="BY406" s="536"/>
      <c r="BZ406" s="536"/>
      <c r="CA406" s="536"/>
      <c r="CB406" s="536"/>
      <c r="CC406" s="536"/>
      <c r="CD406" s="536"/>
      <c r="CE406" s="536"/>
      <c r="CF406" s="536"/>
      <c r="CG406" s="536"/>
      <c r="CH406" s="536"/>
      <c r="CI406" s="536"/>
      <c r="CJ406" s="536"/>
      <c r="CK406" s="536"/>
      <c r="CL406" s="536"/>
      <c r="CM406" s="536"/>
      <c r="CN406" s="536"/>
      <c r="CO406" s="536"/>
      <c r="CP406" s="536"/>
      <c r="CQ406" s="536"/>
      <c r="CR406" s="536"/>
      <c r="CS406" s="536"/>
      <c r="CT406" s="536"/>
      <c r="CU406" s="536"/>
      <c r="CV406" s="536"/>
      <c r="CW406" s="536"/>
      <c r="CX406" s="536"/>
      <c r="CY406" s="536"/>
      <c r="CZ406" s="536"/>
      <c r="DA406" s="536"/>
      <c r="DB406" s="536"/>
      <c r="DC406" s="536"/>
      <c r="DD406" s="536"/>
      <c r="DE406" s="536"/>
      <c r="DF406" s="536"/>
      <c r="DG406" s="536"/>
      <c r="DH406" s="536"/>
      <c r="DI406" s="536"/>
      <c r="DJ406" s="536"/>
      <c r="DK406" s="536"/>
      <c r="DL406" s="536"/>
      <c r="DM406" s="536"/>
      <c r="DN406" s="536"/>
      <c r="DO406" s="536"/>
      <c r="DP406" s="536"/>
      <c r="DQ406" s="536"/>
      <c r="DR406" s="536"/>
      <c r="DS406" s="536"/>
      <c r="DT406" s="536"/>
      <c r="DU406" s="536"/>
      <c r="DV406" s="61"/>
      <c r="DW406" s="336">
        <f t="shared" si="2591"/>
        <v>0</v>
      </c>
      <c r="DX406" s="336">
        <f t="shared" si="2592"/>
        <v>0</v>
      </c>
      <c r="DY406" s="336">
        <f t="shared" si="2593"/>
        <v>0</v>
      </c>
      <c r="DZ406" s="336">
        <f t="shared" si="2594"/>
        <v>0</v>
      </c>
      <c r="EA406" s="336">
        <f t="shared" si="2595"/>
        <v>0</v>
      </c>
      <c r="EB406" s="336">
        <f t="shared" si="2596"/>
        <v>0</v>
      </c>
      <c r="EC406" s="336">
        <f t="shared" si="2597"/>
        <v>0</v>
      </c>
      <c r="ED406" s="336">
        <f t="shared" si="2515"/>
        <v>0</v>
      </c>
      <c r="EE406" s="336">
        <f t="shared" si="2516"/>
        <v>0</v>
      </c>
      <c r="EF406" s="336">
        <f t="shared" si="2517"/>
        <v>0</v>
      </c>
      <c r="EG406" s="336">
        <f t="shared" si="2518"/>
        <v>0</v>
      </c>
      <c r="EH406" s="336">
        <f t="shared" si="2519"/>
        <v>0</v>
      </c>
      <c r="EI406" s="336">
        <f t="shared" si="2520"/>
        <v>0</v>
      </c>
      <c r="EJ406" s="336">
        <f t="shared" si="2521"/>
        <v>0</v>
      </c>
      <c r="EK406" s="336">
        <f t="shared" si="2522"/>
        <v>0</v>
      </c>
      <c r="EL406" s="336">
        <f t="shared" si="2523"/>
        <v>0</v>
      </c>
      <c r="EM406" s="336">
        <f t="shared" si="2524"/>
        <v>0</v>
      </c>
      <c r="EN406" s="336">
        <f t="shared" si="2525"/>
        <v>0</v>
      </c>
      <c r="EO406" s="336">
        <f t="shared" si="2526"/>
        <v>0</v>
      </c>
      <c r="EP406" s="336">
        <f t="shared" si="2527"/>
        <v>0</v>
      </c>
      <c r="EQ406" s="336">
        <f t="shared" si="2528"/>
        <v>0</v>
      </c>
      <c r="ER406" s="336">
        <f t="shared" si="2529"/>
        <v>0</v>
      </c>
      <c r="ES406" s="336">
        <f t="shared" si="2530"/>
        <v>0</v>
      </c>
      <c r="ET406" s="336">
        <f t="shared" si="2530"/>
        <v>0</v>
      </c>
      <c r="EU406" s="336">
        <f t="shared" si="2531"/>
        <v>0</v>
      </c>
      <c r="EV406" s="336">
        <f t="shared" si="2532"/>
        <v>0</v>
      </c>
      <c r="EW406" s="336">
        <f t="shared" si="2533"/>
        <v>0</v>
      </c>
      <c r="EX406" s="336">
        <f t="shared" si="2534"/>
        <v>0</v>
      </c>
      <c r="EY406" s="336">
        <f t="shared" si="2535"/>
        <v>0</v>
      </c>
      <c r="EZ406" s="336">
        <f t="shared" si="2536"/>
        <v>0</v>
      </c>
      <c r="FA406" s="336">
        <f t="shared" si="2537"/>
        <v>0</v>
      </c>
      <c r="FB406" s="336">
        <f t="shared" si="2538"/>
        <v>0</v>
      </c>
      <c r="FC406" s="336">
        <f t="shared" si="2539"/>
        <v>0</v>
      </c>
      <c r="FD406" s="336">
        <f t="shared" si="2540"/>
        <v>0</v>
      </c>
      <c r="FE406" s="336">
        <f t="shared" si="2541"/>
        <v>0</v>
      </c>
      <c r="FF406" s="336">
        <f t="shared" si="2542"/>
        <v>0</v>
      </c>
      <c r="FG406" s="336">
        <f t="shared" si="2543"/>
        <v>0</v>
      </c>
      <c r="FH406" s="336">
        <f t="shared" si="2544"/>
        <v>0</v>
      </c>
      <c r="FI406" s="336">
        <f t="shared" si="2545"/>
        <v>0</v>
      </c>
      <c r="FJ406" s="336">
        <f t="shared" si="2546"/>
        <v>0</v>
      </c>
      <c r="FK406" s="336">
        <f t="shared" si="2547"/>
        <v>0</v>
      </c>
      <c r="FL406" s="336">
        <f t="shared" si="2548"/>
        <v>0</v>
      </c>
      <c r="FM406" s="336">
        <f t="shared" si="2549"/>
        <v>0</v>
      </c>
      <c r="FN406" s="336">
        <f t="shared" si="2550"/>
        <v>0</v>
      </c>
      <c r="FO406" s="492">
        <f t="shared" si="2551"/>
        <v>0</v>
      </c>
      <c r="FP406" s="492">
        <f t="shared" si="2552"/>
        <v>0</v>
      </c>
      <c r="FQ406" s="492">
        <f t="shared" si="2553"/>
        <v>0</v>
      </c>
      <c r="FR406" s="492">
        <f t="shared" si="2554"/>
        <v>0</v>
      </c>
      <c r="FS406" s="492">
        <f t="shared" si="2555"/>
        <v>0</v>
      </c>
      <c r="FT406" s="492">
        <f t="shared" si="2556"/>
        <v>0</v>
      </c>
      <c r="FU406" s="336">
        <f t="shared" si="2638"/>
        <v>0</v>
      </c>
      <c r="FV406" s="336">
        <f t="shared" si="2639"/>
        <v>0</v>
      </c>
      <c r="FW406" s="336">
        <f t="shared" si="2640"/>
        <v>0</v>
      </c>
      <c r="FX406" s="336">
        <f t="shared" si="2641"/>
        <v>0</v>
      </c>
      <c r="FY406" s="492">
        <f t="shared" si="2557"/>
        <v>0</v>
      </c>
      <c r="FZ406" s="492">
        <f t="shared" si="2558"/>
        <v>0</v>
      </c>
      <c r="GA406" s="492">
        <f t="shared" si="2559"/>
        <v>0</v>
      </c>
      <c r="GB406" s="492">
        <f t="shared" si="2560"/>
        <v>0</v>
      </c>
      <c r="GC406" s="492">
        <f t="shared" si="2561"/>
        <v>0</v>
      </c>
      <c r="GD406" s="492">
        <f t="shared" si="2562"/>
        <v>0</v>
      </c>
      <c r="GE406" s="492">
        <f t="shared" si="2563"/>
        <v>0</v>
      </c>
      <c r="GF406" s="492">
        <f t="shared" si="2564"/>
        <v>0</v>
      </c>
      <c r="GG406" s="492">
        <f t="shared" si="2565"/>
        <v>0</v>
      </c>
      <c r="GH406" s="492">
        <f t="shared" si="2566"/>
        <v>0</v>
      </c>
      <c r="GI406" s="492">
        <f t="shared" si="2567"/>
        <v>0</v>
      </c>
      <c r="GJ406" s="492">
        <f t="shared" si="2568"/>
        <v>0</v>
      </c>
      <c r="GK406" s="492">
        <f t="shared" si="2513"/>
        <v>0</v>
      </c>
      <c r="GL406" s="336">
        <f t="shared" si="2642"/>
        <v>0</v>
      </c>
      <c r="GM406" s="492">
        <f t="shared" si="2569"/>
        <v>0</v>
      </c>
    </row>
    <row r="407" spans="1:195">
      <c r="A407" s="337">
        <f>1+A405</f>
        <v>277</v>
      </c>
      <c r="B407" s="526" t="s">
        <v>875</v>
      </c>
      <c r="C407" s="337" t="str">
        <f>$D$406</f>
        <v>MAIN UPS DB-1</v>
      </c>
      <c r="D407" s="440" t="s">
        <v>876</v>
      </c>
      <c r="E407" s="453" t="s">
        <v>555</v>
      </c>
      <c r="F407" s="516"/>
      <c r="G407" s="337" t="s">
        <v>329</v>
      </c>
      <c r="H407" s="350"/>
      <c r="I407" s="337" t="s">
        <v>330</v>
      </c>
      <c r="J407" s="337" t="s">
        <v>331</v>
      </c>
      <c r="K407" s="349">
        <v>400</v>
      </c>
      <c r="L407" s="343">
        <v>0.84999999999999987</v>
      </c>
      <c r="M407" s="350">
        <v>0.95099999999999985</v>
      </c>
      <c r="N407" s="342">
        <v>320</v>
      </c>
      <c r="O407" s="342">
        <f t="shared" ref="O407:O414" si="2706">IF(G407="MOTOR",(6*N407),IF(G407="VFD",(1*N407),0))</f>
        <v>0</v>
      </c>
      <c r="P407" s="343" t="str">
        <f t="shared" ref="P407:P414" si="2707">IF(G407="MOTOR",0.2,"0.00")</f>
        <v>0.00</v>
      </c>
      <c r="Q407" s="350">
        <v>50</v>
      </c>
      <c r="R407" s="350">
        <v>0</v>
      </c>
      <c r="S407" s="350">
        <f t="shared" ref="S407:S414" si="2708">(Q407*1000*SQRT(R407)/143)</f>
        <v>0</v>
      </c>
      <c r="T407" s="343" t="s">
        <v>131</v>
      </c>
      <c r="U407" s="350" t="s">
        <v>535</v>
      </c>
      <c r="V407" s="343">
        <v>150</v>
      </c>
      <c r="W407" s="343" t="str">
        <f t="shared" ref="W407:W414" si="2709">CONCATENATE(U407," X ",V407)</f>
        <v>3.5C X 150</v>
      </c>
      <c r="X407" s="343" t="str">
        <f t="shared" ref="X407:X414" si="2710">(IF(J407="1Ph",W407,IF(J407="3Ph",(IF(G407="MOTOR",(CONCATENATE(W407,"+PE")),W407)))))</f>
        <v>3.5C X 150</v>
      </c>
      <c r="Y407" s="343" t="s">
        <v>358</v>
      </c>
      <c r="Z407" s="344">
        <f>IF(T407="AIR",VLOOKUP(W407,'Catalogue Aluminium'!$B$9:$G$93,2,FALSE),IF(T407="GROUND",VLOOKUP(W407,'Catalogue Aluminium'!$B$9:$G$93,3,FALSE),IF(T407="DUCT",VLOOKUP(W407,'Catalogue Aluminium'!$B$9:$G$93,4,FALSE),IF(T407="TRENCH",VLOOKUP(W407,'Catalogue Aluminium'!$B$9:$G$93,2,FALSE)))))</f>
        <v>293</v>
      </c>
      <c r="AA407" s="345">
        <f>VLOOKUP(W407,'Catalogue Aluminium'!$B$9:$G$93,5,FALSE)</f>
        <v>0.26400000000000001</v>
      </c>
      <c r="AB407" s="345">
        <f>VLOOKUP(W407,'Catalogue Aluminium'!$B$9:$G$93,6,FALSE)</f>
        <v>7.3200000000000001E-2</v>
      </c>
      <c r="AC407" s="457">
        <v>12</v>
      </c>
      <c r="AD407" s="457">
        <f>AC407+2</f>
        <v>14</v>
      </c>
      <c r="AE407" s="457">
        <v>5</v>
      </c>
      <c r="AF407" s="401">
        <v>8</v>
      </c>
      <c r="AG407" s="401">
        <f t="shared" ref="AG407:AG414" si="2711">ROUNDUP((SUM(AC407:AF407)*0.1),0)</f>
        <v>4</v>
      </c>
      <c r="AH407" s="347">
        <f t="shared" ref="AH407:AH414" si="2712">SUM(AC407:AG407)</f>
        <v>43</v>
      </c>
      <c r="AI407" s="344">
        <f>IF(T407="AIR",'Catalogue Aluminium'!$K$9,IF(T407="TRENCH",'Catalogue Aluminium'!$K$12,"NA"))</f>
        <v>0.89</v>
      </c>
      <c r="AJ407" s="342">
        <f>IF(T407="Air",(IF(U407="1C",'Catalogue Aluminium'!$L$9,'Catalogue Aluminium'!$M$9)),IF(T407="DUCT",(IF($U407="1C",'Catalogue Aluminium'!$L$10,'Catalogue Aluminium'!$M$10)),IF(T407="GROUND",(IF($U407="1C",'Catalogue Aluminium'!$L$11,'Catalogue Aluminium'!$M$11)),IF(T407="TRENCH",(IF($U407="1C",'Catalogue Aluminium'!$L$12,'Catalogue Aluminium'!$M$12))))))</f>
        <v>0.66</v>
      </c>
      <c r="AK407" s="344" t="str">
        <f>IF(T407="Air",'Catalogue Aluminium'!$N$9,IF(T407="GROUND",'Catalogue Aluminium'!$N$10,IF(T407="DUCT",'Catalogue Aluminium'!$N$11,IF(T407="TRENCH",'Catalogue Aluminium'!$N$12,"NA"))))</f>
        <v>NA</v>
      </c>
      <c r="AL407" s="344" t="str">
        <f>IF(T407="Air",(IF(U407="1C",'Catalogue Aluminium'!$O$9,'Catalogue Aluminium'!$P$9)),IF(T407="DUCT",(IF($U407="1C",'Catalogue Aluminium'!$O$10,'Catalogue Aluminium'!$P$10)),IF(T407="GROUND",(IF($U407="1C",'Catalogue Aluminium'!$O$11,'Catalogue Aluminium'!$P$11)),IF(T407="TRENCH",(IF($U407="1C",'Catalogue Aluminium'!$O$12,'Catalogue Aluminium'!$P$12))))))</f>
        <v>NA</v>
      </c>
      <c r="AM407" s="344" t="str">
        <f>IF(T407="AIR","NA",IF(T407="TRENCH","NA",IF(T407="DUCT",IF(U407="1C",VLOOKUP(V407,'Catalogue Aluminium'!$Q$9:$S$28,2,FALSE),VLOOKUP(V407,'Catalogue Aluminium'!$Q$9:$S$28,3)),IF(T407="GROUND",IF(U407="1C",VLOOKUP(V407,'Catalogue Aluminium'!$Q$9:$S$28,2,FALSE),VLOOKUP(V407,'Catalogue Aluminium'!$Q$9:$S$28,3))))))</f>
        <v>NA</v>
      </c>
      <c r="AN407" s="351">
        <f t="shared" ref="AN407:AN414" si="2713">IF(T407="AIR",AI407*AJ407,IF(T407="TRENCH",AI407*AJ407,IF(T407="DUCT",AJ407*AK407*AL407*AM407,IF(T407="GROUND",AJ407*AK407*AL407*AM407))))</f>
        <v>0.58740000000000003</v>
      </c>
      <c r="AO407" s="350">
        <f t="shared" ref="AO407:AO414" si="2714">Z407*AN407</f>
        <v>172.10820000000001</v>
      </c>
      <c r="AP407" s="349">
        <f t="shared" ref="AP407:AP414" si="2715">CEILING(((N407)/AO407),1)</f>
        <v>2</v>
      </c>
      <c r="AQ407" s="350" t="str">
        <f t="shared" ref="AQ407:AQ414" si="2716">IF(AO407*AP407&gt;=N407,"YES","NO")</f>
        <v>YES</v>
      </c>
      <c r="AR407" s="351">
        <f t="shared" ref="AR407:AR414" si="2717">SQRT(3)*AH407*N407*((AA407*L407)+(AB407*SIN(ACOS(L407))))*100/(AP407*K407*1000)</f>
        <v>0.78339280613794438</v>
      </c>
      <c r="AS407" s="343" t="str">
        <f t="shared" ref="AS407:AS414" si="2718">IF(G407="INCOMER",(IF(AR407&lt;=2,"YES","NO")),IF(G407="POWER",(IF(AR407&lt;=2.5,"YES","NO")),IF(G407="MOTOR",(IF(AR407&lt;=3,"YES","NO")))))</f>
        <v>YES</v>
      </c>
      <c r="AT407" s="351" t="str">
        <f t="shared" ref="AT407:AT414" si="2719">IF(G407="MOTOR",(SQRT(3)*AH407*O407*((AA407*P407)+(AB407*SIN(ACOS(P407))))*100/(AP407*K407*1000)),"NA")</f>
        <v>NA</v>
      </c>
      <c r="AU407" s="343" t="str">
        <f t="shared" ref="AU407:AU414" si="2720">IF(G407="MOTOR",IF(AT407&lt;=15,"YES","NO"),"NA")</f>
        <v>NA</v>
      </c>
      <c r="AV407" s="354" t="str">
        <f t="shared" ref="AV407:AV414" si="2721">IF(U407="1C",CONCATENATE(AP407,"R x ",Y407,"kV x ",U407," x ",V407," Sqmm/Phase"),CONCATENATE(AP407,"R x ",0.6,"/1kV x ",U407," x ",V407," Sqmm"))</f>
        <v>2R x 0.6/1kV x 3.5C x 150 Sqmm</v>
      </c>
      <c r="AW407" s="354" t="str">
        <f t="shared" ref="AW407:AW414" si="2722">IF(U407="1C",CONCATENATE(AP407,"R x ",Y407,"kV x ",U407," x ",V407," Sqmm/Phase"),CONCATENATE(AP407,"R x ",0.6,"/1kV x ",U407," x ",V407,(IF(G407="MOTOR","+PE",""))," Sqmm"))</f>
        <v>2R x 0.6/1kV x 3.5C x 150 Sqmm</v>
      </c>
      <c r="AX407" s="343">
        <f t="shared" ref="AX407:AX414" si="2723">(IF(K407=400,(IF(U407="1C",(4*AH407*AP407),(AH407*AP407))),IF(K407=230,(AH407*AP407))))</f>
        <v>86</v>
      </c>
      <c r="AY407" s="355"/>
      <c r="AZ407" s="355">
        <f t="shared" ref="AZ407:AZ414" si="2724">IF(U407="1C",(3*AP407*2),(AP407*2))</f>
        <v>4</v>
      </c>
      <c r="BA407" s="356" t="str">
        <f t="shared" ref="BA407:BA412" si="2725">CONCATENATE(IF(BE407=1,BE$4,""),IF(BF407=1,BF$4,""),IF(BG407=1,BG$4,""),IF(BH407=1,BH$4,""),IF(BI407=1,BI$4,""),IF(BJ407=1,BJ$4,""),IF(BK407=1,BK$4,""),IF(BL407=1,BL$4,""),IF(BM407=1,BM$4,""),IF(BN407=1,BN$4,""),IF(BO407=1,BO$4,""),IF(BP407=1,BP$4,""),IF(BQ407=1,BQ$4,""),IF(BR407=1,BR$4,""),IF(BS407=1,BS$4,""),IF(BT407=1,BT$4,""),IF(BU407=1,BU$4,""),IF(BV407=1,BV$4,""),IF(BW407=1,BW$4,""),IF(BX407=1,BX$4,""),IF(BY407=1,BY$4,""),IF(BZ407=1,BZ$4,""),IF(CA407=1,CA$4,""),IF(CB407=1,CB$4,""),IF(CC407=1,CC$4,""),IF(CD407=1,CD$4,""),IF(CE407=1,CE$4,""),IF(CF407=1,CF$4,""),IF(CG407=1,CG$4,""),IF(CH407=1,CH$4,""),IF(CI407=1,CI$4,""),IF(CJ407=1,CJ$4,""),IF(CK407=1,CK$4,""),IF(CL407=1,CL$4,""),IF(CM407=1,CM$4,""),IF(CN407=1,CN$4,""),IF(CO407=1,CO$4,""),IF(CP407=1,CP$4,""),IF(CQ407=1,CQ$4,""),IF(CR407=1,CR$4,""),IF(CS407=1,CS$4,""),IF(CT407=1,CT$4,""),IF(CU407=1,CU$4,""),IF(CV407=1,CV$4,""),IF(CW407=1,CW$4,""),IF(CX407=1,CX$4,""),IF(CY407=1,CY$4,""),IF(CZ407=1,CZ$4,""),IF(DA407=1,DA$4,""),IF(DB407=1,DB$4,""),IF(DC407=1,DC$4,""),IF(DD407=1,DD$4,""),IF(DE407=1,DE$4,""),IF(DF407=1,DF$4,""),IF(DG407=1,DG$4,""),IF(DH407=1,DH$4,""),IF(DI407=1,DI$4,""),IF(DJ407=1,DJ$4,""),IF(DK407=1,DK$4,""),IF(DL407=1,DL$4,""),IF(DM407=1,DM$4,""),IF(DN407=1,DN$4,""),IF(DO407=1,DO$4,""),IF(DP407=1,DP$4,""),IF(DQ407=1,DQ$4,""),IF(DR407=1,DR$4,""),IF(DS407=1,DS$4,""),IF(DT407=1,DT$4,""),IF(DU407=1,DU$4,""))</f>
        <v>A1</v>
      </c>
      <c r="BB407" s="501">
        <f>VLOOKUP(W407,'Catalogue Aluminium'!$B$9:$H$93,7,FALSE)</f>
        <v>48</v>
      </c>
      <c r="BC407" s="328">
        <f t="shared" ref="BC407:BC414" si="2726">AP407*BB407</f>
        <v>96</v>
      </c>
      <c r="BE407" s="336">
        <v>1</v>
      </c>
      <c r="BF407" s="336"/>
      <c r="BG407" s="336"/>
      <c r="BH407" s="336"/>
      <c r="BI407" s="336"/>
      <c r="BJ407" s="336"/>
      <c r="BK407" s="336"/>
      <c r="BL407" s="336"/>
      <c r="BM407" s="336"/>
      <c r="BN407" s="336"/>
      <c r="BO407" s="336"/>
      <c r="BP407" s="336"/>
      <c r="BQ407" s="336"/>
      <c r="BR407" s="336"/>
      <c r="BS407" s="336"/>
      <c r="BT407" s="336"/>
      <c r="BU407" s="336"/>
      <c r="BV407" s="336"/>
      <c r="BW407" s="336"/>
      <c r="BX407" s="336"/>
      <c r="BY407" s="336"/>
      <c r="BZ407" s="336"/>
      <c r="CA407" s="336"/>
      <c r="CB407" s="336"/>
      <c r="CC407" s="336"/>
      <c r="CD407" s="336"/>
      <c r="CE407" s="336"/>
      <c r="CF407" s="336"/>
      <c r="CG407" s="336"/>
      <c r="CH407" s="336"/>
      <c r="CI407" s="336"/>
      <c r="CJ407" s="336"/>
      <c r="CK407" s="336"/>
      <c r="CL407" s="336"/>
      <c r="CM407" s="336"/>
      <c r="CN407" s="336"/>
      <c r="CO407" s="336"/>
      <c r="CP407" s="336"/>
      <c r="CQ407" s="336"/>
      <c r="CR407" s="336"/>
      <c r="CS407" s="336"/>
      <c r="CT407" s="336"/>
      <c r="CU407" s="336"/>
      <c r="CV407" s="336"/>
      <c r="CW407" s="336"/>
      <c r="CX407" s="336"/>
      <c r="CY407" s="336"/>
      <c r="CZ407" s="336"/>
      <c r="DA407" s="336"/>
      <c r="DB407" s="336"/>
      <c r="DC407" s="336"/>
      <c r="DD407" s="336"/>
      <c r="DE407" s="336"/>
      <c r="DF407" s="336"/>
      <c r="DG407" s="336"/>
      <c r="DH407" s="336"/>
      <c r="DI407" s="336"/>
      <c r="DJ407" s="336"/>
      <c r="DK407" s="336"/>
      <c r="DL407" s="336"/>
      <c r="DM407" s="336"/>
      <c r="DN407" s="336"/>
      <c r="DO407" s="336"/>
      <c r="DP407" s="336"/>
      <c r="DQ407" s="336"/>
      <c r="DR407" s="336"/>
      <c r="DS407" s="336"/>
      <c r="DT407" s="336"/>
      <c r="DU407" s="336"/>
      <c r="DW407" s="336">
        <f t="shared" si="2591"/>
        <v>96</v>
      </c>
      <c r="DX407" s="336">
        <f t="shared" si="2592"/>
        <v>0</v>
      </c>
      <c r="DY407" s="336">
        <f t="shared" si="2593"/>
        <v>0</v>
      </c>
      <c r="DZ407" s="336">
        <f t="shared" si="2594"/>
        <v>0</v>
      </c>
      <c r="EA407" s="336">
        <f t="shared" si="2595"/>
        <v>0</v>
      </c>
      <c r="EB407" s="336">
        <f t="shared" si="2596"/>
        <v>0</v>
      </c>
      <c r="EC407" s="336">
        <f t="shared" si="2597"/>
        <v>0</v>
      </c>
      <c r="ED407" s="336">
        <f t="shared" si="2515"/>
        <v>0</v>
      </c>
      <c r="EE407" s="336">
        <f t="shared" si="2516"/>
        <v>0</v>
      </c>
      <c r="EF407" s="336">
        <f t="shared" si="2517"/>
        <v>0</v>
      </c>
      <c r="EG407" s="336">
        <f t="shared" si="2518"/>
        <v>0</v>
      </c>
      <c r="EH407" s="336">
        <f t="shared" si="2519"/>
        <v>0</v>
      </c>
      <c r="EI407" s="336">
        <f t="shared" si="2520"/>
        <v>0</v>
      </c>
      <c r="EJ407" s="336">
        <f t="shared" si="2521"/>
        <v>0</v>
      </c>
      <c r="EK407" s="336">
        <f t="shared" si="2522"/>
        <v>0</v>
      </c>
      <c r="EL407" s="336">
        <f t="shared" si="2523"/>
        <v>0</v>
      </c>
      <c r="EM407" s="336">
        <f t="shared" si="2524"/>
        <v>0</v>
      </c>
      <c r="EN407" s="336">
        <f t="shared" si="2525"/>
        <v>0</v>
      </c>
      <c r="EO407" s="336">
        <f t="shared" si="2526"/>
        <v>0</v>
      </c>
      <c r="EP407" s="336">
        <f t="shared" si="2527"/>
        <v>0</v>
      </c>
      <c r="EQ407" s="336">
        <f t="shared" si="2528"/>
        <v>0</v>
      </c>
      <c r="ER407" s="336">
        <f t="shared" si="2529"/>
        <v>0</v>
      </c>
      <c r="ES407" s="336">
        <f t="shared" si="2530"/>
        <v>0</v>
      </c>
      <c r="ET407" s="336">
        <f t="shared" si="2530"/>
        <v>0</v>
      </c>
      <c r="EU407" s="336">
        <f t="shared" si="2531"/>
        <v>0</v>
      </c>
      <c r="EV407" s="336">
        <f t="shared" si="2532"/>
        <v>0</v>
      </c>
      <c r="EW407" s="336">
        <f t="shared" si="2533"/>
        <v>0</v>
      </c>
      <c r="EX407" s="336">
        <f t="shared" si="2534"/>
        <v>0</v>
      </c>
      <c r="EY407" s="336">
        <f t="shared" si="2535"/>
        <v>0</v>
      </c>
      <c r="EZ407" s="336">
        <f t="shared" si="2536"/>
        <v>0</v>
      </c>
      <c r="FA407" s="336">
        <f t="shared" si="2537"/>
        <v>0</v>
      </c>
      <c r="FB407" s="336">
        <f t="shared" si="2538"/>
        <v>0</v>
      </c>
      <c r="FC407" s="336">
        <f t="shared" si="2539"/>
        <v>0</v>
      </c>
      <c r="FD407" s="336">
        <f t="shared" si="2540"/>
        <v>0</v>
      </c>
      <c r="FE407" s="336">
        <f t="shared" si="2541"/>
        <v>0</v>
      </c>
      <c r="FF407" s="336">
        <f t="shared" si="2542"/>
        <v>0</v>
      </c>
      <c r="FG407" s="336">
        <f t="shared" si="2543"/>
        <v>0</v>
      </c>
      <c r="FH407" s="336">
        <f t="shared" si="2544"/>
        <v>0</v>
      </c>
      <c r="FI407" s="336">
        <f t="shared" si="2545"/>
        <v>0</v>
      </c>
      <c r="FJ407" s="336">
        <f t="shared" si="2546"/>
        <v>0</v>
      </c>
      <c r="FK407" s="336">
        <f t="shared" si="2547"/>
        <v>0</v>
      </c>
      <c r="FL407" s="336">
        <f t="shared" si="2548"/>
        <v>0</v>
      </c>
      <c r="FM407" s="336">
        <f t="shared" si="2549"/>
        <v>0</v>
      </c>
      <c r="FN407" s="336">
        <f t="shared" si="2550"/>
        <v>0</v>
      </c>
      <c r="FO407" s="336">
        <f t="shared" si="2551"/>
        <v>0</v>
      </c>
      <c r="FP407" s="336">
        <f t="shared" si="2552"/>
        <v>0</v>
      </c>
      <c r="FQ407" s="336">
        <f t="shared" si="2553"/>
        <v>0</v>
      </c>
      <c r="FR407" s="336">
        <f t="shared" si="2554"/>
        <v>0</v>
      </c>
      <c r="FS407" s="336">
        <f t="shared" si="2555"/>
        <v>0</v>
      </c>
      <c r="FT407" s="336">
        <f t="shared" si="2556"/>
        <v>0</v>
      </c>
      <c r="FU407" s="336">
        <f t="shared" si="2638"/>
        <v>0</v>
      </c>
      <c r="FV407" s="336">
        <f t="shared" si="2639"/>
        <v>0</v>
      </c>
      <c r="FW407" s="336">
        <f t="shared" si="2640"/>
        <v>0</v>
      </c>
      <c r="FX407" s="336">
        <f t="shared" si="2641"/>
        <v>0</v>
      </c>
      <c r="FY407" s="336">
        <f t="shared" si="2557"/>
        <v>0</v>
      </c>
      <c r="FZ407" s="336">
        <f t="shared" si="2558"/>
        <v>0</v>
      </c>
      <c r="GA407" s="336">
        <f t="shared" si="2559"/>
        <v>0</v>
      </c>
      <c r="GB407" s="336">
        <f t="shared" si="2560"/>
        <v>0</v>
      </c>
      <c r="GC407" s="336">
        <f t="shared" si="2561"/>
        <v>0</v>
      </c>
      <c r="GD407" s="336">
        <f t="shared" si="2562"/>
        <v>0</v>
      </c>
      <c r="GE407" s="336">
        <f t="shared" si="2563"/>
        <v>0</v>
      </c>
      <c r="GF407" s="336">
        <f t="shared" si="2564"/>
        <v>0</v>
      </c>
      <c r="GG407" s="336">
        <f t="shared" si="2565"/>
        <v>0</v>
      </c>
      <c r="GH407" s="336">
        <f t="shared" si="2566"/>
        <v>0</v>
      </c>
      <c r="GI407" s="336">
        <f t="shared" si="2567"/>
        <v>0</v>
      </c>
      <c r="GJ407" s="336">
        <f t="shared" si="2568"/>
        <v>0</v>
      </c>
      <c r="GK407" s="336">
        <f t="shared" si="2513"/>
        <v>0</v>
      </c>
      <c r="GL407" s="336">
        <f t="shared" si="2642"/>
        <v>0</v>
      </c>
      <c r="GM407" s="336">
        <f t="shared" si="2569"/>
        <v>0</v>
      </c>
    </row>
    <row r="408" spans="1:195">
      <c r="A408" s="337">
        <f t="shared" ref="A408:A416" si="2727">1+A407</f>
        <v>278</v>
      </c>
      <c r="B408" s="526" t="s">
        <v>875</v>
      </c>
      <c r="C408" s="337" t="str">
        <f t="shared" ref="C408:C414" si="2728">$D$406</f>
        <v>MAIN UPS DB-1</v>
      </c>
      <c r="D408" s="440" t="s">
        <v>877</v>
      </c>
      <c r="E408" s="453" t="s">
        <v>555</v>
      </c>
      <c r="F408" s="516"/>
      <c r="G408" s="337" t="s">
        <v>329</v>
      </c>
      <c r="H408" s="350"/>
      <c r="I408" s="337" t="s">
        <v>330</v>
      </c>
      <c r="J408" s="337" t="s">
        <v>331</v>
      </c>
      <c r="K408" s="349">
        <v>400</v>
      </c>
      <c r="L408" s="343">
        <v>0.84999999999999987</v>
      </c>
      <c r="M408" s="350">
        <v>0.95099999999999985</v>
      </c>
      <c r="N408" s="342">
        <v>320</v>
      </c>
      <c r="O408" s="342">
        <f t="shared" si="2706"/>
        <v>0</v>
      </c>
      <c r="P408" s="343" t="str">
        <f t="shared" si="2707"/>
        <v>0.00</v>
      </c>
      <c r="Q408" s="350">
        <v>50</v>
      </c>
      <c r="R408" s="350">
        <v>0</v>
      </c>
      <c r="S408" s="350">
        <f t="shared" si="2708"/>
        <v>0</v>
      </c>
      <c r="T408" s="343" t="s">
        <v>131</v>
      </c>
      <c r="U408" s="350" t="s">
        <v>535</v>
      </c>
      <c r="V408" s="343">
        <v>150</v>
      </c>
      <c r="W408" s="343" t="str">
        <f t="shared" si="2709"/>
        <v>3.5C X 150</v>
      </c>
      <c r="X408" s="343" t="str">
        <f t="shared" si="2710"/>
        <v>3.5C X 150</v>
      </c>
      <c r="Y408" s="343" t="s">
        <v>358</v>
      </c>
      <c r="Z408" s="344">
        <f>IF(T408="AIR",VLOOKUP(W408,'Catalogue Aluminium'!$B$9:$G$93,2,FALSE),IF(T408="GROUND",VLOOKUP(W408,'Catalogue Aluminium'!$B$9:$G$93,3,FALSE),IF(T408="DUCT",VLOOKUP(W408,'Catalogue Aluminium'!$B$9:$G$93,4,FALSE),IF(T408="TRENCH",VLOOKUP(W408,'Catalogue Aluminium'!$B$9:$G$93,2,FALSE)))))</f>
        <v>293</v>
      </c>
      <c r="AA408" s="345">
        <f>VLOOKUP(W408,'Catalogue Aluminium'!$B$9:$G$93,5,FALSE)</f>
        <v>0.26400000000000001</v>
      </c>
      <c r="AB408" s="345">
        <f>VLOOKUP(W408,'Catalogue Aluminium'!$B$9:$G$93,6,FALSE)</f>
        <v>7.3200000000000001E-2</v>
      </c>
      <c r="AC408" s="457">
        <v>12</v>
      </c>
      <c r="AD408" s="457">
        <f>AC408+2</f>
        <v>14</v>
      </c>
      <c r="AE408" s="457">
        <v>5</v>
      </c>
      <c r="AF408" s="401">
        <v>8</v>
      </c>
      <c r="AG408" s="401">
        <f t="shared" si="2711"/>
        <v>4</v>
      </c>
      <c r="AH408" s="347">
        <f t="shared" si="2712"/>
        <v>43</v>
      </c>
      <c r="AI408" s="344">
        <f>IF(T408="AIR",'Catalogue Aluminium'!$K$9,IF(T408="TRENCH",'Catalogue Aluminium'!$K$12,"NA"))</f>
        <v>0.89</v>
      </c>
      <c r="AJ408" s="342">
        <f>IF(T408="Air",(IF(U408="1C",'Catalogue Aluminium'!$L$9,'Catalogue Aluminium'!$M$9)),IF(T408="DUCT",(IF($U408="1C",'Catalogue Aluminium'!$L$10,'Catalogue Aluminium'!$M$10)),IF(T408="GROUND",(IF($U408="1C",'Catalogue Aluminium'!$L$11,'Catalogue Aluminium'!$M$11)),IF(T408="TRENCH",(IF($U408="1C",'Catalogue Aluminium'!$L$12,'Catalogue Aluminium'!$M$12))))))</f>
        <v>0.66</v>
      </c>
      <c r="AK408" s="344" t="str">
        <f>IF(T408="Air",'Catalogue Aluminium'!$N$9,IF(T408="GROUND",'Catalogue Aluminium'!$N$10,IF(T408="DUCT",'Catalogue Aluminium'!$N$11,IF(T408="TRENCH",'Catalogue Aluminium'!$N$12,"NA"))))</f>
        <v>NA</v>
      </c>
      <c r="AL408" s="344" t="str">
        <f>IF(T408="Air",(IF(U408="1C",'Catalogue Aluminium'!$O$9,'Catalogue Aluminium'!$P$9)),IF(T408="DUCT",(IF($U408="1C",'Catalogue Aluminium'!$O$10,'Catalogue Aluminium'!$P$10)),IF(T408="GROUND",(IF($U408="1C",'Catalogue Aluminium'!$O$11,'Catalogue Aluminium'!$P$11)),IF(T408="TRENCH",(IF($U408="1C",'Catalogue Aluminium'!$O$12,'Catalogue Aluminium'!$P$12))))))</f>
        <v>NA</v>
      </c>
      <c r="AM408" s="344" t="str">
        <f>IF(T408="AIR","NA",IF(T408="TRENCH","NA",IF(T408="DUCT",IF(U408="1C",VLOOKUP(V408,'Catalogue Aluminium'!$Q$9:$S$28,2,FALSE),VLOOKUP(V408,'Catalogue Aluminium'!$Q$9:$S$28,3)),IF(T408="GROUND",IF(U408="1C",VLOOKUP(V408,'Catalogue Aluminium'!$Q$9:$S$28,2,FALSE),VLOOKUP(V408,'Catalogue Aluminium'!$Q$9:$S$28,3))))))</f>
        <v>NA</v>
      </c>
      <c r="AN408" s="351">
        <f t="shared" si="2713"/>
        <v>0.58740000000000003</v>
      </c>
      <c r="AO408" s="350">
        <f t="shared" si="2714"/>
        <v>172.10820000000001</v>
      </c>
      <c r="AP408" s="349">
        <f t="shared" si="2715"/>
        <v>2</v>
      </c>
      <c r="AQ408" s="350" t="str">
        <f t="shared" si="2716"/>
        <v>YES</v>
      </c>
      <c r="AR408" s="351">
        <f t="shared" si="2717"/>
        <v>0.78339280613794438</v>
      </c>
      <c r="AS408" s="343" t="str">
        <f t="shared" si="2718"/>
        <v>YES</v>
      </c>
      <c r="AT408" s="351" t="str">
        <f t="shared" si="2719"/>
        <v>NA</v>
      </c>
      <c r="AU408" s="343" t="str">
        <f t="shared" si="2720"/>
        <v>NA</v>
      </c>
      <c r="AV408" s="354" t="str">
        <f t="shared" si="2721"/>
        <v>2R x 0.6/1kV x 3.5C x 150 Sqmm</v>
      </c>
      <c r="AW408" s="354" t="str">
        <f t="shared" si="2722"/>
        <v>2R x 0.6/1kV x 3.5C x 150 Sqmm</v>
      </c>
      <c r="AX408" s="343">
        <f t="shared" si="2723"/>
        <v>86</v>
      </c>
      <c r="AY408" s="355"/>
      <c r="AZ408" s="355">
        <f t="shared" si="2724"/>
        <v>4</v>
      </c>
      <c r="BA408" s="356" t="str">
        <f t="shared" si="2725"/>
        <v>A1</v>
      </c>
      <c r="BB408" s="501">
        <f>VLOOKUP(W408,'Catalogue Aluminium'!$B$9:$H$93,7,FALSE)</f>
        <v>48</v>
      </c>
      <c r="BC408" s="328">
        <f t="shared" si="2726"/>
        <v>96</v>
      </c>
      <c r="BE408" s="336">
        <v>1</v>
      </c>
      <c r="BF408" s="336"/>
      <c r="BG408" s="336"/>
      <c r="BH408" s="336"/>
      <c r="BI408" s="336"/>
      <c r="BJ408" s="336"/>
      <c r="BK408" s="336"/>
      <c r="BL408" s="336"/>
      <c r="BM408" s="336"/>
      <c r="BN408" s="336"/>
      <c r="BO408" s="336"/>
      <c r="BP408" s="336"/>
      <c r="BQ408" s="336"/>
      <c r="BR408" s="336"/>
      <c r="BS408" s="336"/>
      <c r="BT408" s="336"/>
      <c r="BU408" s="336"/>
      <c r="BV408" s="336"/>
      <c r="BW408" s="336"/>
      <c r="BX408" s="336"/>
      <c r="BY408" s="336"/>
      <c r="BZ408" s="336"/>
      <c r="CA408" s="336"/>
      <c r="CB408" s="336"/>
      <c r="CC408" s="336"/>
      <c r="CD408" s="336"/>
      <c r="CE408" s="336"/>
      <c r="CF408" s="336"/>
      <c r="CG408" s="336"/>
      <c r="CH408" s="336"/>
      <c r="CI408" s="336"/>
      <c r="CJ408" s="336"/>
      <c r="CK408" s="336"/>
      <c r="CL408" s="336"/>
      <c r="CM408" s="336"/>
      <c r="CN408" s="336"/>
      <c r="CO408" s="336"/>
      <c r="CP408" s="336"/>
      <c r="CQ408" s="336"/>
      <c r="CR408" s="336"/>
      <c r="CS408" s="336"/>
      <c r="CT408" s="336"/>
      <c r="CU408" s="336"/>
      <c r="CV408" s="336"/>
      <c r="CW408" s="336"/>
      <c r="CX408" s="336"/>
      <c r="CY408" s="336"/>
      <c r="CZ408" s="336"/>
      <c r="DA408" s="336"/>
      <c r="DB408" s="336"/>
      <c r="DC408" s="336"/>
      <c r="DD408" s="336"/>
      <c r="DE408" s="336"/>
      <c r="DF408" s="336"/>
      <c r="DG408" s="336"/>
      <c r="DH408" s="336"/>
      <c r="DI408" s="336"/>
      <c r="DJ408" s="336"/>
      <c r="DK408" s="336"/>
      <c r="DL408" s="336"/>
      <c r="DM408" s="336"/>
      <c r="DN408" s="336"/>
      <c r="DO408" s="336"/>
      <c r="DP408" s="336"/>
      <c r="DQ408" s="336"/>
      <c r="DR408" s="336"/>
      <c r="DS408" s="336"/>
      <c r="DT408" s="336"/>
      <c r="DU408" s="336"/>
      <c r="DW408" s="336">
        <f t="shared" si="2591"/>
        <v>96</v>
      </c>
      <c r="DX408" s="336">
        <f t="shared" si="2592"/>
        <v>0</v>
      </c>
      <c r="DY408" s="336">
        <f t="shared" si="2593"/>
        <v>0</v>
      </c>
      <c r="DZ408" s="336">
        <f t="shared" si="2594"/>
        <v>0</v>
      </c>
      <c r="EA408" s="336">
        <f t="shared" si="2595"/>
        <v>0</v>
      </c>
      <c r="EB408" s="336">
        <f t="shared" si="2596"/>
        <v>0</v>
      </c>
      <c r="EC408" s="336">
        <f t="shared" si="2597"/>
        <v>0</v>
      </c>
      <c r="ED408" s="336">
        <f t="shared" si="2515"/>
        <v>0</v>
      </c>
      <c r="EE408" s="336">
        <f t="shared" si="2516"/>
        <v>0</v>
      </c>
      <c r="EF408" s="336">
        <f t="shared" si="2517"/>
        <v>0</v>
      </c>
      <c r="EG408" s="336">
        <f t="shared" si="2518"/>
        <v>0</v>
      </c>
      <c r="EH408" s="336">
        <f t="shared" si="2519"/>
        <v>0</v>
      </c>
      <c r="EI408" s="336">
        <f t="shared" si="2520"/>
        <v>0</v>
      </c>
      <c r="EJ408" s="336">
        <f t="shared" si="2521"/>
        <v>0</v>
      </c>
      <c r="EK408" s="336">
        <f t="shared" si="2522"/>
        <v>0</v>
      </c>
      <c r="EL408" s="336">
        <f t="shared" si="2523"/>
        <v>0</v>
      </c>
      <c r="EM408" s="336">
        <f t="shared" si="2524"/>
        <v>0</v>
      </c>
      <c r="EN408" s="336">
        <f t="shared" si="2525"/>
        <v>0</v>
      </c>
      <c r="EO408" s="336">
        <f t="shared" si="2526"/>
        <v>0</v>
      </c>
      <c r="EP408" s="336">
        <f t="shared" si="2527"/>
        <v>0</v>
      </c>
      <c r="EQ408" s="336">
        <f t="shared" si="2528"/>
        <v>0</v>
      </c>
      <c r="ER408" s="336">
        <f t="shared" si="2529"/>
        <v>0</v>
      </c>
      <c r="ES408" s="336">
        <f t="shared" si="2530"/>
        <v>0</v>
      </c>
      <c r="ET408" s="336">
        <f t="shared" si="2530"/>
        <v>0</v>
      </c>
      <c r="EU408" s="336">
        <f t="shared" si="2531"/>
        <v>0</v>
      </c>
      <c r="EV408" s="336">
        <f t="shared" si="2532"/>
        <v>0</v>
      </c>
      <c r="EW408" s="336">
        <f t="shared" si="2533"/>
        <v>0</v>
      </c>
      <c r="EX408" s="336">
        <f t="shared" si="2534"/>
        <v>0</v>
      </c>
      <c r="EY408" s="336">
        <f t="shared" si="2535"/>
        <v>0</v>
      </c>
      <c r="EZ408" s="336">
        <f t="shared" si="2536"/>
        <v>0</v>
      </c>
      <c r="FA408" s="336">
        <f t="shared" si="2537"/>
        <v>0</v>
      </c>
      <c r="FB408" s="336">
        <f t="shared" si="2538"/>
        <v>0</v>
      </c>
      <c r="FC408" s="336">
        <f t="shared" si="2539"/>
        <v>0</v>
      </c>
      <c r="FD408" s="336">
        <f t="shared" si="2540"/>
        <v>0</v>
      </c>
      <c r="FE408" s="336">
        <f t="shared" si="2541"/>
        <v>0</v>
      </c>
      <c r="FF408" s="336">
        <f t="shared" si="2542"/>
        <v>0</v>
      </c>
      <c r="FG408" s="336">
        <f t="shared" si="2543"/>
        <v>0</v>
      </c>
      <c r="FH408" s="336">
        <f t="shared" si="2544"/>
        <v>0</v>
      </c>
      <c r="FI408" s="336">
        <f t="shared" si="2545"/>
        <v>0</v>
      </c>
      <c r="FJ408" s="336">
        <f t="shared" si="2546"/>
        <v>0</v>
      </c>
      <c r="FK408" s="336">
        <f t="shared" si="2547"/>
        <v>0</v>
      </c>
      <c r="FL408" s="336">
        <f t="shared" si="2548"/>
        <v>0</v>
      </c>
      <c r="FM408" s="336">
        <f t="shared" si="2549"/>
        <v>0</v>
      </c>
      <c r="FN408" s="336">
        <f t="shared" si="2550"/>
        <v>0</v>
      </c>
      <c r="FO408" s="336">
        <f t="shared" si="2551"/>
        <v>0</v>
      </c>
      <c r="FP408" s="336">
        <f t="shared" si="2552"/>
        <v>0</v>
      </c>
      <c r="FQ408" s="336">
        <f t="shared" si="2553"/>
        <v>0</v>
      </c>
      <c r="FR408" s="336">
        <f t="shared" si="2554"/>
        <v>0</v>
      </c>
      <c r="FS408" s="336">
        <f t="shared" si="2555"/>
        <v>0</v>
      </c>
      <c r="FT408" s="336">
        <f t="shared" si="2556"/>
        <v>0</v>
      </c>
      <c r="FU408" s="336">
        <f t="shared" si="2638"/>
        <v>0</v>
      </c>
      <c r="FV408" s="336">
        <f t="shared" si="2639"/>
        <v>0</v>
      </c>
      <c r="FW408" s="336">
        <f t="shared" si="2640"/>
        <v>0</v>
      </c>
      <c r="FX408" s="336">
        <f t="shared" si="2641"/>
        <v>0</v>
      </c>
      <c r="FY408" s="336">
        <f t="shared" si="2557"/>
        <v>0</v>
      </c>
      <c r="FZ408" s="336">
        <f t="shared" si="2558"/>
        <v>0</v>
      </c>
      <c r="GA408" s="336">
        <f t="shared" si="2559"/>
        <v>0</v>
      </c>
      <c r="GB408" s="336">
        <f t="shared" si="2560"/>
        <v>0</v>
      </c>
      <c r="GC408" s="336">
        <f t="shared" si="2561"/>
        <v>0</v>
      </c>
      <c r="GD408" s="336">
        <f t="shared" si="2562"/>
        <v>0</v>
      </c>
      <c r="GE408" s="336">
        <f t="shared" si="2563"/>
        <v>0</v>
      </c>
      <c r="GF408" s="336">
        <f t="shared" si="2564"/>
        <v>0</v>
      </c>
      <c r="GG408" s="336">
        <f t="shared" si="2565"/>
        <v>0</v>
      </c>
      <c r="GH408" s="336">
        <f t="shared" si="2566"/>
        <v>0</v>
      </c>
      <c r="GI408" s="336">
        <f t="shared" si="2567"/>
        <v>0</v>
      </c>
      <c r="GJ408" s="336">
        <f t="shared" si="2568"/>
        <v>0</v>
      </c>
      <c r="GK408" s="336">
        <f t="shared" si="2513"/>
        <v>0</v>
      </c>
      <c r="GL408" s="336">
        <f t="shared" si="2642"/>
        <v>0</v>
      </c>
      <c r="GM408" s="336">
        <f t="shared" si="2569"/>
        <v>0</v>
      </c>
    </row>
    <row r="409" spans="1:195">
      <c r="A409" s="337">
        <f t="shared" si="2727"/>
        <v>279</v>
      </c>
      <c r="B409" s="526" t="s">
        <v>878</v>
      </c>
      <c r="C409" s="337" t="str">
        <f t="shared" si="2728"/>
        <v>MAIN UPS DB-1</v>
      </c>
      <c r="D409" s="440" t="s">
        <v>879</v>
      </c>
      <c r="E409" s="372" t="s">
        <v>880</v>
      </c>
      <c r="F409" s="516"/>
      <c r="G409" s="337" t="s">
        <v>329</v>
      </c>
      <c r="H409" s="350"/>
      <c r="I409" s="337" t="s">
        <v>330</v>
      </c>
      <c r="J409" s="337" t="s">
        <v>331</v>
      </c>
      <c r="K409" s="349">
        <v>400</v>
      </c>
      <c r="L409" s="343">
        <v>0.84999999999999987</v>
      </c>
      <c r="M409" s="350">
        <v>0.95099999999999985</v>
      </c>
      <c r="N409" s="342">
        <v>20</v>
      </c>
      <c r="O409" s="342">
        <f t="shared" si="2706"/>
        <v>0</v>
      </c>
      <c r="P409" s="343" t="str">
        <f t="shared" si="2707"/>
        <v>0.00</v>
      </c>
      <c r="Q409" s="350">
        <v>50</v>
      </c>
      <c r="R409" s="350">
        <v>0</v>
      </c>
      <c r="S409" s="350">
        <f t="shared" si="2708"/>
        <v>0</v>
      </c>
      <c r="T409" s="343" t="s">
        <v>131</v>
      </c>
      <c r="U409" s="350" t="s">
        <v>535</v>
      </c>
      <c r="V409" s="343">
        <v>25</v>
      </c>
      <c r="W409" s="343" t="str">
        <f t="shared" si="2709"/>
        <v>3.5C X 25</v>
      </c>
      <c r="X409" s="343" t="str">
        <f t="shared" si="2710"/>
        <v>3.5C X 25</v>
      </c>
      <c r="Y409" s="343" t="s">
        <v>358</v>
      </c>
      <c r="Z409" s="344">
        <f>IF(T409="AIR",VLOOKUP(W409,'Catalogue Aluminium'!$B$9:$G$93,2,FALSE),IF(T409="GROUND",VLOOKUP(W409,'Catalogue Aluminium'!$B$9:$G$93,3,FALSE),IF(T409="DUCT",VLOOKUP(W409,'Catalogue Aluminium'!$B$9:$G$93,4,FALSE),IF(T409="TRENCH",VLOOKUP(W409,'Catalogue Aluminium'!$B$9:$G$93,2,FALSE)))))</f>
        <v>95</v>
      </c>
      <c r="AA409" s="345">
        <f>VLOOKUP(W409,'Catalogue Aluminium'!$B$9:$G$93,5,FALSE)</f>
        <v>1.54</v>
      </c>
      <c r="AB409" s="345">
        <f>VLOOKUP(W409,'Catalogue Aluminium'!$B$9:$G$93,6,FALSE)</f>
        <v>8.1600000000000006E-2</v>
      </c>
      <c r="AC409" s="457">
        <v>55</v>
      </c>
      <c r="AD409" s="457">
        <f>68+33</f>
        <v>101</v>
      </c>
      <c r="AE409" s="457">
        <v>20</v>
      </c>
      <c r="AF409" s="401">
        <v>8</v>
      </c>
      <c r="AG409" s="401">
        <f t="shared" si="2711"/>
        <v>19</v>
      </c>
      <c r="AH409" s="347">
        <f t="shared" si="2712"/>
        <v>203</v>
      </c>
      <c r="AI409" s="344">
        <f>IF(T409="AIR",'Catalogue Aluminium'!$K$9,IF(T409="TRENCH",'Catalogue Aluminium'!$K$12,"NA"))</f>
        <v>0.89</v>
      </c>
      <c r="AJ409" s="342">
        <f>IF(T409="Air",(IF(U409="1C",'Catalogue Aluminium'!$L$9,'Catalogue Aluminium'!$M$9)),IF(T409="DUCT",(IF($U409="1C",'Catalogue Aluminium'!$L$10,'Catalogue Aluminium'!$M$10)),IF(T409="GROUND",(IF($U409="1C",'Catalogue Aluminium'!$L$11,'Catalogue Aluminium'!$M$11)),IF(T409="TRENCH",(IF($U409="1C",'Catalogue Aluminium'!$L$12,'Catalogue Aluminium'!$M$12))))))</f>
        <v>0.66</v>
      </c>
      <c r="AK409" s="344" t="str">
        <f>IF(T409="Air",'Catalogue Aluminium'!$N$9,IF(T409="GROUND",'Catalogue Aluminium'!$N$10,IF(T409="DUCT",'Catalogue Aluminium'!$N$11,IF(T409="TRENCH",'Catalogue Aluminium'!$N$12,"NA"))))</f>
        <v>NA</v>
      </c>
      <c r="AL409" s="344" t="str">
        <f>IF(T409="Air",(IF(U409="1C",'Catalogue Aluminium'!$O$9,'Catalogue Aluminium'!$P$9)),IF(T409="DUCT",(IF($U409="1C",'Catalogue Aluminium'!$O$10,'Catalogue Aluminium'!$P$10)),IF(T409="GROUND",(IF($U409="1C",'Catalogue Aluminium'!$O$11,'Catalogue Aluminium'!$P$11)),IF(T409="TRENCH",(IF($U409="1C",'Catalogue Aluminium'!$O$12,'Catalogue Aluminium'!$P$12))))))</f>
        <v>NA</v>
      </c>
      <c r="AM409" s="344" t="str">
        <f>IF(T409="AIR","NA",IF(T409="TRENCH","NA",IF(T409="DUCT",IF(U409="1C",VLOOKUP(V409,'Catalogue Aluminium'!$Q$9:$S$28,2,FALSE),VLOOKUP(V409,'Catalogue Aluminium'!$Q$9:$S$28,3)),IF(T409="GROUND",IF(U409="1C",VLOOKUP(V409,'Catalogue Aluminium'!$Q$9:$S$28,2,FALSE),VLOOKUP(V409,'Catalogue Aluminium'!$Q$9:$S$28,3))))))</f>
        <v>NA</v>
      </c>
      <c r="AN409" s="351">
        <f t="shared" si="2713"/>
        <v>0.58740000000000003</v>
      </c>
      <c r="AO409" s="350">
        <f t="shared" si="2714"/>
        <v>55.803000000000004</v>
      </c>
      <c r="AP409" s="349">
        <f t="shared" si="2715"/>
        <v>1</v>
      </c>
      <c r="AQ409" s="350" t="str">
        <f t="shared" si="2716"/>
        <v>YES</v>
      </c>
      <c r="AR409" s="351">
        <f t="shared" si="2717"/>
        <v>2.3768331332856878</v>
      </c>
      <c r="AS409" s="343" t="str">
        <f t="shared" si="2718"/>
        <v>YES</v>
      </c>
      <c r="AT409" s="351" t="str">
        <f t="shared" si="2719"/>
        <v>NA</v>
      </c>
      <c r="AU409" s="343" t="str">
        <f t="shared" si="2720"/>
        <v>NA</v>
      </c>
      <c r="AV409" s="354" t="str">
        <f t="shared" si="2721"/>
        <v>1R x 0.6/1kV x 3.5C x 25 Sqmm</v>
      </c>
      <c r="AW409" s="354" t="str">
        <f t="shared" si="2722"/>
        <v>1R x 0.6/1kV x 3.5C x 25 Sqmm</v>
      </c>
      <c r="AX409" s="343">
        <f t="shared" si="2723"/>
        <v>203</v>
      </c>
      <c r="AY409" s="355"/>
      <c r="AZ409" s="355">
        <f t="shared" si="2724"/>
        <v>2</v>
      </c>
      <c r="BA409" s="356" t="str">
        <f t="shared" si="2725"/>
        <v>LL1L2</v>
      </c>
      <c r="BB409" s="501">
        <f>VLOOKUP(W409,'Catalogue Aluminium'!$B$9:$H$93,7,FALSE)</f>
        <v>25</v>
      </c>
      <c r="BC409" s="328">
        <f t="shared" si="2726"/>
        <v>25</v>
      </c>
      <c r="BE409" s="336"/>
      <c r="BF409" s="336"/>
      <c r="BG409" s="336"/>
      <c r="BH409" s="336"/>
      <c r="BI409" s="336"/>
      <c r="BJ409" s="336"/>
      <c r="BK409" s="336"/>
      <c r="BL409" s="336"/>
      <c r="BM409" s="336"/>
      <c r="BN409" s="336"/>
      <c r="BO409" s="336"/>
      <c r="BP409" s="336"/>
      <c r="BQ409" s="336"/>
      <c r="BR409" s="336"/>
      <c r="BS409" s="336"/>
      <c r="BT409" s="336"/>
      <c r="BU409" s="336"/>
      <c r="BV409" s="336"/>
      <c r="BW409" s="336"/>
      <c r="BX409" s="336"/>
      <c r="BY409" s="336"/>
      <c r="BZ409" s="336"/>
      <c r="CA409" s="336"/>
      <c r="CB409" s="336"/>
      <c r="CC409" s="336"/>
      <c r="CD409" s="336"/>
      <c r="CE409" s="336"/>
      <c r="CF409" s="336">
        <v>1</v>
      </c>
      <c r="CG409" s="336">
        <v>1</v>
      </c>
      <c r="CH409" s="336">
        <v>1</v>
      </c>
      <c r="CI409" s="336"/>
      <c r="CJ409" s="336"/>
      <c r="CK409" s="336"/>
      <c r="CL409" s="336"/>
      <c r="CM409" s="336"/>
      <c r="CN409" s="336"/>
      <c r="CO409" s="336"/>
      <c r="CP409" s="336"/>
      <c r="CQ409" s="336"/>
      <c r="CR409" s="336"/>
      <c r="CS409" s="336"/>
      <c r="CT409" s="336"/>
      <c r="CU409" s="336"/>
      <c r="CV409" s="336"/>
      <c r="CW409" s="336"/>
      <c r="CX409" s="336"/>
      <c r="CY409" s="336"/>
      <c r="CZ409" s="336"/>
      <c r="DA409" s="336"/>
      <c r="DB409" s="336"/>
      <c r="DC409" s="336"/>
      <c r="DD409" s="336"/>
      <c r="DE409" s="336"/>
      <c r="DF409" s="336"/>
      <c r="DG409" s="336"/>
      <c r="DH409" s="336"/>
      <c r="DI409" s="336"/>
      <c r="DJ409" s="336"/>
      <c r="DK409" s="336"/>
      <c r="DL409" s="336"/>
      <c r="DM409" s="336"/>
      <c r="DN409" s="336"/>
      <c r="DO409" s="336"/>
      <c r="DP409" s="336"/>
      <c r="DQ409" s="336"/>
      <c r="DR409" s="336"/>
      <c r="DS409" s="336"/>
      <c r="DT409" s="336"/>
      <c r="DU409" s="336"/>
      <c r="DW409" s="336">
        <f t="shared" si="2591"/>
        <v>0</v>
      </c>
      <c r="DX409" s="336">
        <f t="shared" si="2592"/>
        <v>0</v>
      </c>
      <c r="DY409" s="336">
        <f t="shared" si="2593"/>
        <v>0</v>
      </c>
      <c r="DZ409" s="336">
        <f t="shared" si="2594"/>
        <v>0</v>
      </c>
      <c r="EA409" s="336">
        <f t="shared" si="2595"/>
        <v>0</v>
      </c>
      <c r="EB409" s="336">
        <f t="shared" si="2596"/>
        <v>0</v>
      </c>
      <c r="EC409" s="336">
        <f t="shared" si="2597"/>
        <v>0</v>
      </c>
      <c r="ED409" s="336">
        <f t="shared" si="2515"/>
        <v>0</v>
      </c>
      <c r="EE409" s="336">
        <f t="shared" si="2516"/>
        <v>0</v>
      </c>
      <c r="EF409" s="336">
        <f t="shared" si="2517"/>
        <v>0</v>
      </c>
      <c r="EG409" s="336">
        <f t="shared" si="2518"/>
        <v>0</v>
      </c>
      <c r="EH409" s="336">
        <f t="shared" si="2519"/>
        <v>0</v>
      </c>
      <c r="EI409" s="336">
        <f t="shared" si="2520"/>
        <v>0</v>
      </c>
      <c r="EJ409" s="336">
        <f t="shared" si="2521"/>
        <v>0</v>
      </c>
      <c r="EK409" s="336">
        <f t="shared" si="2522"/>
        <v>0</v>
      </c>
      <c r="EL409" s="336">
        <f t="shared" si="2523"/>
        <v>0</v>
      </c>
      <c r="EM409" s="336">
        <f t="shared" si="2524"/>
        <v>0</v>
      </c>
      <c r="EN409" s="336">
        <f t="shared" si="2525"/>
        <v>0</v>
      </c>
      <c r="EO409" s="336">
        <f t="shared" si="2526"/>
        <v>0</v>
      </c>
      <c r="EP409" s="336">
        <f t="shared" si="2527"/>
        <v>0</v>
      </c>
      <c r="EQ409" s="336">
        <f t="shared" si="2528"/>
        <v>0</v>
      </c>
      <c r="ER409" s="336">
        <f t="shared" si="2529"/>
        <v>0</v>
      </c>
      <c r="ES409" s="336">
        <f t="shared" si="2530"/>
        <v>0</v>
      </c>
      <c r="ET409" s="336">
        <f t="shared" si="2530"/>
        <v>0</v>
      </c>
      <c r="EU409" s="336">
        <f t="shared" si="2531"/>
        <v>0</v>
      </c>
      <c r="EV409" s="336">
        <f t="shared" si="2532"/>
        <v>0</v>
      </c>
      <c r="EW409" s="336">
        <f t="shared" si="2533"/>
        <v>0</v>
      </c>
      <c r="EX409" s="336">
        <f t="shared" si="2534"/>
        <v>25</v>
      </c>
      <c r="EY409" s="336">
        <f t="shared" si="2535"/>
        <v>25</v>
      </c>
      <c r="EZ409" s="336">
        <f t="shared" si="2536"/>
        <v>25</v>
      </c>
      <c r="FA409" s="336">
        <f t="shared" si="2537"/>
        <v>0</v>
      </c>
      <c r="FB409" s="336">
        <f t="shared" si="2538"/>
        <v>0</v>
      </c>
      <c r="FC409" s="336">
        <f t="shared" si="2539"/>
        <v>0</v>
      </c>
      <c r="FD409" s="336">
        <f t="shared" si="2540"/>
        <v>0</v>
      </c>
      <c r="FE409" s="336">
        <f t="shared" si="2541"/>
        <v>0</v>
      </c>
      <c r="FF409" s="336">
        <f t="shared" si="2542"/>
        <v>0</v>
      </c>
      <c r="FG409" s="336">
        <f t="shared" si="2543"/>
        <v>0</v>
      </c>
      <c r="FH409" s="336">
        <f t="shared" si="2544"/>
        <v>0</v>
      </c>
      <c r="FI409" s="336">
        <f t="shared" si="2545"/>
        <v>0</v>
      </c>
      <c r="FJ409" s="336">
        <f t="shared" si="2546"/>
        <v>0</v>
      </c>
      <c r="FK409" s="336">
        <f t="shared" si="2547"/>
        <v>0</v>
      </c>
      <c r="FL409" s="336">
        <f t="shared" si="2548"/>
        <v>0</v>
      </c>
      <c r="FM409" s="336">
        <f t="shared" si="2549"/>
        <v>0</v>
      </c>
      <c r="FN409" s="336">
        <f t="shared" si="2550"/>
        <v>0</v>
      </c>
      <c r="FO409" s="336">
        <f t="shared" si="2551"/>
        <v>0</v>
      </c>
      <c r="FP409" s="336">
        <f t="shared" si="2552"/>
        <v>0</v>
      </c>
      <c r="FQ409" s="336">
        <f t="shared" si="2553"/>
        <v>0</v>
      </c>
      <c r="FR409" s="336">
        <f t="shared" si="2554"/>
        <v>0</v>
      </c>
      <c r="FS409" s="336">
        <f t="shared" si="2555"/>
        <v>0</v>
      </c>
      <c r="FT409" s="336">
        <f t="shared" si="2556"/>
        <v>0</v>
      </c>
      <c r="FU409" s="336">
        <f t="shared" si="2638"/>
        <v>0</v>
      </c>
      <c r="FV409" s="336">
        <f t="shared" si="2639"/>
        <v>0</v>
      </c>
      <c r="FW409" s="336">
        <f t="shared" si="2640"/>
        <v>0</v>
      </c>
      <c r="FX409" s="336">
        <f t="shared" si="2641"/>
        <v>0</v>
      </c>
      <c r="FY409" s="336">
        <f t="shared" si="2557"/>
        <v>0</v>
      </c>
      <c r="FZ409" s="336">
        <f t="shared" si="2558"/>
        <v>0</v>
      </c>
      <c r="GA409" s="336">
        <f t="shared" si="2559"/>
        <v>0</v>
      </c>
      <c r="GB409" s="336">
        <f t="shared" si="2560"/>
        <v>0</v>
      </c>
      <c r="GC409" s="336">
        <f t="shared" si="2561"/>
        <v>0</v>
      </c>
      <c r="GD409" s="336">
        <f t="shared" si="2562"/>
        <v>0</v>
      </c>
      <c r="GE409" s="336">
        <f t="shared" si="2563"/>
        <v>0</v>
      </c>
      <c r="GF409" s="336">
        <f t="shared" si="2564"/>
        <v>0</v>
      </c>
      <c r="GG409" s="336">
        <f t="shared" si="2565"/>
        <v>0</v>
      </c>
      <c r="GH409" s="336">
        <f t="shared" si="2566"/>
        <v>0</v>
      </c>
      <c r="GI409" s="336">
        <f t="shared" si="2567"/>
        <v>0</v>
      </c>
      <c r="GJ409" s="336">
        <f t="shared" si="2568"/>
        <v>0</v>
      </c>
      <c r="GK409" s="336">
        <f t="shared" si="2513"/>
        <v>0</v>
      </c>
      <c r="GL409" s="336">
        <f t="shared" si="2642"/>
        <v>0</v>
      </c>
      <c r="GM409" s="336">
        <f t="shared" si="2569"/>
        <v>0</v>
      </c>
    </row>
    <row r="410" spans="1:195">
      <c r="A410" s="337">
        <f t="shared" si="2727"/>
        <v>280</v>
      </c>
      <c r="B410" s="526" t="s">
        <v>881</v>
      </c>
      <c r="C410" s="337" t="str">
        <f t="shared" si="2728"/>
        <v>MAIN UPS DB-1</v>
      </c>
      <c r="D410" s="440" t="s">
        <v>882</v>
      </c>
      <c r="E410" s="372" t="s">
        <v>880</v>
      </c>
      <c r="F410" s="516"/>
      <c r="G410" s="337" t="s">
        <v>329</v>
      </c>
      <c r="H410" s="350"/>
      <c r="I410" s="337" t="s">
        <v>330</v>
      </c>
      <c r="J410" s="337" t="s">
        <v>331</v>
      </c>
      <c r="K410" s="349">
        <v>400</v>
      </c>
      <c r="L410" s="343">
        <v>0.84999999999999987</v>
      </c>
      <c r="M410" s="350">
        <v>0.95099999999999985</v>
      </c>
      <c r="N410" s="342">
        <v>20</v>
      </c>
      <c r="O410" s="342">
        <f t="shared" si="2706"/>
        <v>0</v>
      </c>
      <c r="P410" s="343" t="str">
        <f t="shared" si="2707"/>
        <v>0.00</v>
      </c>
      <c r="Q410" s="350">
        <v>50</v>
      </c>
      <c r="R410" s="350">
        <v>0</v>
      </c>
      <c r="S410" s="350">
        <f t="shared" si="2708"/>
        <v>0</v>
      </c>
      <c r="T410" s="343" t="s">
        <v>131</v>
      </c>
      <c r="U410" s="350" t="s">
        <v>535</v>
      </c>
      <c r="V410" s="343">
        <v>25</v>
      </c>
      <c r="W410" s="343" t="str">
        <f t="shared" si="2709"/>
        <v>3.5C X 25</v>
      </c>
      <c r="X410" s="343" t="str">
        <f t="shared" si="2710"/>
        <v>3.5C X 25</v>
      </c>
      <c r="Y410" s="343" t="s">
        <v>358</v>
      </c>
      <c r="Z410" s="344">
        <f>IF(T410="AIR",VLOOKUP(W410,'Catalogue Aluminium'!$B$9:$G$93,2,FALSE),IF(T410="GROUND",VLOOKUP(W410,'Catalogue Aluminium'!$B$9:$G$93,3,FALSE),IF(T410="DUCT",VLOOKUP(W410,'Catalogue Aluminium'!$B$9:$G$93,4,FALSE),IF(T410="TRENCH",VLOOKUP(W410,'Catalogue Aluminium'!$B$9:$G$93,2,FALSE)))))</f>
        <v>95</v>
      </c>
      <c r="AA410" s="345">
        <f>VLOOKUP(W410,'Catalogue Aluminium'!$B$9:$G$93,5,FALSE)</f>
        <v>1.54</v>
      </c>
      <c r="AB410" s="345">
        <f>VLOOKUP(W410,'Catalogue Aluminium'!$B$9:$G$93,6,FALSE)</f>
        <v>8.1600000000000006E-2</v>
      </c>
      <c r="AC410" s="457">
        <v>55</v>
      </c>
      <c r="AD410" s="457">
        <f>68+33</f>
        <v>101</v>
      </c>
      <c r="AE410" s="457">
        <v>20</v>
      </c>
      <c r="AF410" s="401">
        <v>8</v>
      </c>
      <c r="AG410" s="401">
        <f t="shared" si="2711"/>
        <v>19</v>
      </c>
      <c r="AH410" s="347">
        <f t="shared" si="2712"/>
        <v>203</v>
      </c>
      <c r="AI410" s="344">
        <f>IF(T410="AIR",'Catalogue Aluminium'!$K$9,IF(T410="TRENCH",'Catalogue Aluminium'!$K$12,"NA"))</f>
        <v>0.89</v>
      </c>
      <c r="AJ410" s="342">
        <f>IF(T410="Air",(IF(U410="1C",'Catalogue Aluminium'!$L$9,'Catalogue Aluminium'!$M$9)),IF(T410="DUCT",(IF($U410="1C",'Catalogue Aluminium'!$L$10,'Catalogue Aluminium'!$M$10)),IF(T410="GROUND",(IF($U410="1C",'Catalogue Aluminium'!$L$11,'Catalogue Aluminium'!$M$11)),IF(T410="TRENCH",(IF($U410="1C",'Catalogue Aluminium'!$L$12,'Catalogue Aluminium'!$M$12))))))</f>
        <v>0.66</v>
      </c>
      <c r="AK410" s="344" t="str">
        <f>IF(T410="Air",'Catalogue Aluminium'!$N$9,IF(T410="GROUND",'Catalogue Aluminium'!$N$10,IF(T410="DUCT",'Catalogue Aluminium'!$N$11,IF(T410="TRENCH",'Catalogue Aluminium'!$N$12,"NA"))))</f>
        <v>NA</v>
      </c>
      <c r="AL410" s="344" t="str">
        <f>IF(T410="Air",(IF(U410="1C",'Catalogue Aluminium'!$O$9,'Catalogue Aluminium'!$P$9)),IF(T410="DUCT",(IF($U410="1C",'Catalogue Aluminium'!$O$10,'Catalogue Aluminium'!$P$10)),IF(T410="GROUND",(IF($U410="1C",'Catalogue Aluminium'!$O$11,'Catalogue Aluminium'!$P$11)),IF(T410="TRENCH",(IF($U410="1C",'Catalogue Aluminium'!$O$12,'Catalogue Aluminium'!$P$12))))))</f>
        <v>NA</v>
      </c>
      <c r="AM410" s="344" t="str">
        <f>IF(T410="AIR","NA",IF(T410="TRENCH","NA",IF(T410="DUCT",IF(U410="1C",VLOOKUP(V410,'Catalogue Aluminium'!$Q$9:$S$28,2,FALSE),VLOOKUP(V410,'Catalogue Aluminium'!$Q$9:$S$28,3)),IF(T410="GROUND",IF(U410="1C",VLOOKUP(V410,'Catalogue Aluminium'!$Q$9:$S$28,2,FALSE),VLOOKUP(V410,'Catalogue Aluminium'!$Q$9:$S$28,3))))))</f>
        <v>NA</v>
      </c>
      <c r="AN410" s="351">
        <f t="shared" si="2713"/>
        <v>0.58740000000000003</v>
      </c>
      <c r="AO410" s="350">
        <f t="shared" si="2714"/>
        <v>55.803000000000004</v>
      </c>
      <c r="AP410" s="349">
        <f t="shared" si="2715"/>
        <v>1</v>
      </c>
      <c r="AQ410" s="350" t="str">
        <f t="shared" si="2716"/>
        <v>YES</v>
      </c>
      <c r="AR410" s="351">
        <f t="shared" si="2717"/>
        <v>2.3768331332856878</v>
      </c>
      <c r="AS410" s="343" t="str">
        <f t="shared" si="2718"/>
        <v>YES</v>
      </c>
      <c r="AT410" s="351" t="str">
        <f t="shared" si="2719"/>
        <v>NA</v>
      </c>
      <c r="AU410" s="343" t="str">
        <f t="shared" si="2720"/>
        <v>NA</v>
      </c>
      <c r="AV410" s="354" t="str">
        <f t="shared" si="2721"/>
        <v>1R x 0.6/1kV x 3.5C x 25 Sqmm</v>
      </c>
      <c r="AW410" s="354" t="str">
        <f t="shared" si="2722"/>
        <v>1R x 0.6/1kV x 3.5C x 25 Sqmm</v>
      </c>
      <c r="AX410" s="343">
        <f t="shared" si="2723"/>
        <v>203</v>
      </c>
      <c r="AY410" s="355"/>
      <c r="AZ410" s="355">
        <f t="shared" si="2724"/>
        <v>2</v>
      </c>
      <c r="BA410" s="356" t="str">
        <f t="shared" si="2725"/>
        <v>LL1L2</v>
      </c>
      <c r="BB410" s="501">
        <f>VLOOKUP(W410,'Catalogue Aluminium'!$B$9:$H$93,7,FALSE)</f>
        <v>25</v>
      </c>
      <c r="BC410" s="328">
        <f t="shared" si="2726"/>
        <v>25</v>
      </c>
      <c r="BE410" s="336"/>
      <c r="BF410" s="336"/>
      <c r="BG410" s="336"/>
      <c r="BH410" s="336"/>
      <c r="BI410" s="336"/>
      <c r="BJ410" s="336"/>
      <c r="BK410" s="336"/>
      <c r="BL410" s="336"/>
      <c r="BM410" s="336"/>
      <c r="BN410" s="336"/>
      <c r="BO410" s="336"/>
      <c r="BP410" s="336"/>
      <c r="BQ410" s="336"/>
      <c r="BR410" s="336"/>
      <c r="BS410" s="336"/>
      <c r="BT410" s="336"/>
      <c r="BU410" s="336"/>
      <c r="BV410" s="336"/>
      <c r="BW410" s="336"/>
      <c r="BX410" s="336"/>
      <c r="BY410" s="336"/>
      <c r="BZ410" s="336"/>
      <c r="CA410" s="336"/>
      <c r="CB410" s="336"/>
      <c r="CC410" s="336"/>
      <c r="CD410" s="336"/>
      <c r="CE410" s="336"/>
      <c r="CF410" s="336">
        <v>1</v>
      </c>
      <c r="CG410" s="336">
        <v>1</v>
      </c>
      <c r="CH410" s="336">
        <v>1</v>
      </c>
      <c r="CI410" s="336"/>
      <c r="CJ410" s="336"/>
      <c r="CK410" s="336"/>
      <c r="CL410" s="336"/>
      <c r="CM410" s="336"/>
      <c r="CN410" s="336"/>
      <c r="CO410" s="336"/>
      <c r="CP410" s="336"/>
      <c r="CQ410" s="336"/>
      <c r="CR410" s="336"/>
      <c r="CS410" s="336"/>
      <c r="CT410" s="336"/>
      <c r="CU410" s="336"/>
      <c r="CV410" s="336"/>
      <c r="CW410" s="336"/>
      <c r="CX410" s="336"/>
      <c r="CY410" s="336"/>
      <c r="CZ410" s="336"/>
      <c r="DA410" s="336"/>
      <c r="DB410" s="336"/>
      <c r="DC410" s="336"/>
      <c r="DD410" s="336"/>
      <c r="DE410" s="336"/>
      <c r="DF410" s="336"/>
      <c r="DG410" s="336"/>
      <c r="DH410" s="336"/>
      <c r="DI410" s="336"/>
      <c r="DJ410" s="336"/>
      <c r="DK410" s="336"/>
      <c r="DL410" s="336"/>
      <c r="DM410" s="336"/>
      <c r="DN410" s="336"/>
      <c r="DO410" s="336"/>
      <c r="DP410" s="336"/>
      <c r="DQ410" s="336"/>
      <c r="DR410" s="336"/>
      <c r="DS410" s="336"/>
      <c r="DT410" s="336"/>
      <c r="DU410" s="336"/>
      <c r="DW410" s="336">
        <f t="shared" si="2591"/>
        <v>0</v>
      </c>
      <c r="DX410" s="336">
        <f t="shared" si="2592"/>
        <v>0</v>
      </c>
      <c r="DY410" s="336">
        <f t="shared" si="2593"/>
        <v>0</v>
      </c>
      <c r="DZ410" s="336">
        <f t="shared" si="2594"/>
        <v>0</v>
      </c>
      <c r="EA410" s="336">
        <f t="shared" si="2595"/>
        <v>0</v>
      </c>
      <c r="EB410" s="336">
        <f t="shared" si="2596"/>
        <v>0</v>
      </c>
      <c r="EC410" s="336">
        <f t="shared" si="2597"/>
        <v>0</v>
      </c>
      <c r="ED410" s="336">
        <f t="shared" si="2515"/>
        <v>0</v>
      </c>
      <c r="EE410" s="336">
        <f t="shared" si="2516"/>
        <v>0</v>
      </c>
      <c r="EF410" s="336">
        <f t="shared" si="2517"/>
        <v>0</v>
      </c>
      <c r="EG410" s="336">
        <f t="shared" si="2518"/>
        <v>0</v>
      </c>
      <c r="EH410" s="336">
        <f t="shared" si="2519"/>
        <v>0</v>
      </c>
      <c r="EI410" s="336">
        <f t="shared" si="2520"/>
        <v>0</v>
      </c>
      <c r="EJ410" s="336">
        <f t="shared" si="2521"/>
        <v>0</v>
      </c>
      <c r="EK410" s="336">
        <f t="shared" si="2522"/>
        <v>0</v>
      </c>
      <c r="EL410" s="336">
        <f t="shared" si="2523"/>
        <v>0</v>
      </c>
      <c r="EM410" s="336">
        <f t="shared" si="2524"/>
        <v>0</v>
      </c>
      <c r="EN410" s="336">
        <f t="shared" si="2525"/>
        <v>0</v>
      </c>
      <c r="EO410" s="336">
        <f t="shared" si="2526"/>
        <v>0</v>
      </c>
      <c r="EP410" s="336">
        <f t="shared" si="2527"/>
        <v>0</v>
      </c>
      <c r="EQ410" s="336">
        <f t="shared" si="2528"/>
        <v>0</v>
      </c>
      <c r="ER410" s="336">
        <f t="shared" si="2529"/>
        <v>0</v>
      </c>
      <c r="ES410" s="336">
        <f t="shared" si="2530"/>
        <v>0</v>
      </c>
      <c r="ET410" s="336">
        <f t="shared" si="2530"/>
        <v>0</v>
      </c>
      <c r="EU410" s="336">
        <f t="shared" si="2531"/>
        <v>0</v>
      </c>
      <c r="EV410" s="336">
        <f t="shared" si="2532"/>
        <v>0</v>
      </c>
      <c r="EW410" s="336">
        <f t="shared" si="2533"/>
        <v>0</v>
      </c>
      <c r="EX410" s="336">
        <f t="shared" si="2534"/>
        <v>25</v>
      </c>
      <c r="EY410" s="336">
        <f t="shared" si="2535"/>
        <v>25</v>
      </c>
      <c r="EZ410" s="336">
        <f t="shared" si="2536"/>
        <v>25</v>
      </c>
      <c r="FA410" s="336">
        <f t="shared" si="2537"/>
        <v>0</v>
      </c>
      <c r="FB410" s="336">
        <f t="shared" si="2538"/>
        <v>0</v>
      </c>
      <c r="FC410" s="336">
        <f t="shared" si="2539"/>
        <v>0</v>
      </c>
      <c r="FD410" s="336">
        <f t="shared" si="2540"/>
        <v>0</v>
      </c>
      <c r="FE410" s="336">
        <f t="shared" si="2541"/>
        <v>0</v>
      </c>
      <c r="FF410" s="336">
        <f t="shared" si="2542"/>
        <v>0</v>
      </c>
      <c r="FG410" s="336">
        <f t="shared" si="2543"/>
        <v>0</v>
      </c>
      <c r="FH410" s="336">
        <f t="shared" si="2544"/>
        <v>0</v>
      </c>
      <c r="FI410" s="336">
        <f t="shared" si="2545"/>
        <v>0</v>
      </c>
      <c r="FJ410" s="336">
        <f t="shared" si="2546"/>
        <v>0</v>
      </c>
      <c r="FK410" s="336">
        <f t="shared" si="2547"/>
        <v>0</v>
      </c>
      <c r="FL410" s="336">
        <f t="shared" si="2548"/>
        <v>0</v>
      </c>
      <c r="FM410" s="336">
        <f t="shared" si="2549"/>
        <v>0</v>
      </c>
      <c r="FN410" s="336">
        <f t="shared" si="2550"/>
        <v>0</v>
      </c>
      <c r="FO410" s="336">
        <f t="shared" si="2551"/>
        <v>0</v>
      </c>
      <c r="FP410" s="336">
        <f t="shared" si="2552"/>
        <v>0</v>
      </c>
      <c r="FQ410" s="336">
        <f t="shared" si="2553"/>
        <v>0</v>
      </c>
      <c r="FR410" s="336">
        <f t="shared" si="2554"/>
        <v>0</v>
      </c>
      <c r="FS410" s="336">
        <f t="shared" si="2555"/>
        <v>0</v>
      </c>
      <c r="FT410" s="336">
        <f t="shared" si="2556"/>
        <v>0</v>
      </c>
      <c r="FU410" s="336">
        <f t="shared" si="2638"/>
        <v>0</v>
      </c>
      <c r="FV410" s="336">
        <f t="shared" si="2639"/>
        <v>0</v>
      </c>
      <c r="FW410" s="336">
        <f t="shared" si="2640"/>
        <v>0</v>
      </c>
      <c r="FX410" s="336">
        <f t="shared" si="2641"/>
        <v>0</v>
      </c>
      <c r="FY410" s="336">
        <f t="shared" si="2557"/>
        <v>0</v>
      </c>
      <c r="FZ410" s="336">
        <f t="shared" si="2558"/>
        <v>0</v>
      </c>
      <c r="GA410" s="336">
        <f t="shared" si="2559"/>
        <v>0</v>
      </c>
      <c r="GB410" s="336">
        <f t="shared" si="2560"/>
        <v>0</v>
      </c>
      <c r="GC410" s="336">
        <f t="shared" si="2561"/>
        <v>0</v>
      </c>
      <c r="GD410" s="336">
        <f t="shared" si="2562"/>
        <v>0</v>
      </c>
      <c r="GE410" s="336">
        <f t="shared" si="2563"/>
        <v>0</v>
      </c>
      <c r="GF410" s="336">
        <f t="shared" si="2564"/>
        <v>0</v>
      </c>
      <c r="GG410" s="336">
        <f t="shared" si="2565"/>
        <v>0</v>
      </c>
      <c r="GH410" s="336">
        <f t="shared" si="2566"/>
        <v>0</v>
      </c>
      <c r="GI410" s="336">
        <f t="shared" si="2567"/>
        <v>0</v>
      </c>
      <c r="GJ410" s="336">
        <f t="shared" si="2568"/>
        <v>0</v>
      </c>
      <c r="GK410" s="336">
        <f t="shared" si="2513"/>
        <v>0</v>
      </c>
      <c r="GL410" s="336">
        <f t="shared" si="2642"/>
        <v>0</v>
      </c>
      <c r="GM410" s="336">
        <f t="shared" si="2569"/>
        <v>0</v>
      </c>
    </row>
    <row r="411" spans="1:195">
      <c r="A411" s="337">
        <f t="shared" si="2727"/>
        <v>281</v>
      </c>
      <c r="B411" s="526" t="s">
        <v>883</v>
      </c>
      <c r="C411" s="337" t="str">
        <f t="shared" si="2728"/>
        <v>MAIN UPS DB-1</v>
      </c>
      <c r="D411" s="440" t="s">
        <v>884</v>
      </c>
      <c r="E411" s="444" t="s">
        <v>885</v>
      </c>
      <c r="F411" s="343"/>
      <c r="G411" s="337" t="s">
        <v>329</v>
      </c>
      <c r="H411" s="350"/>
      <c r="I411" s="337" t="s">
        <v>330</v>
      </c>
      <c r="J411" s="337" t="s">
        <v>331</v>
      </c>
      <c r="K411" s="349">
        <v>400</v>
      </c>
      <c r="L411" s="343">
        <v>0.84999999999999987</v>
      </c>
      <c r="M411" s="350">
        <v>0.95099999999999985</v>
      </c>
      <c r="N411" s="342">
        <v>16</v>
      </c>
      <c r="O411" s="342">
        <f t="shared" si="2706"/>
        <v>0</v>
      </c>
      <c r="P411" s="343" t="str">
        <f t="shared" si="2707"/>
        <v>0.00</v>
      </c>
      <c r="Q411" s="350">
        <v>50</v>
      </c>
      <c r="R411" s="350">
        <v>0</v>
      </c>
      <c r="S411" s="350">
        <f t="shared" si="2708"/>
        <v>0</v>
      </c>
      <c r="T411" s="343" t="s">
        <v>131</v>
      </c>
      <c r="U411" s="350" t="s">
        <v>535</v>
      </c>
      <c r="V411" s="343">
        <v>50</v>
      </c>
      <c r="W411" s="343" t="str">
        <f t="shared" si="2709"/>
        <v>3.5C X 50</v>
      </c>
      <c r="X411" s="343" t="str">
        <f t="shared" si="2710"/>
        <v>3.5C X 50</v>
      </c>
      <c r="Y411" s="343" t="s">
        <v>358</v>
      </c>
      <c r="Z411" s="344">
        <f>IF(T411="AIR",VLOOKUP(W411,'Catalogue Aluminium'!$B$9:$G$93,2,FALSE),IF(T411="GROUND",VLOOKUP(W411,'Catalogue Aluminium'!$B$9:$G$93,3,FALSE),IF(T411="DUCT",VLOOKUP(W411,'Catalogue Aluminium'!$B$9:$G$93,4,FALSE),IF(T411="TRENCH",VLOOKUP(W411,'Catalogue Aluminium'!$B$9:$G$93,2,FALSE)))))</f>
        <v>141</v>
      </c>
      <c r="AA411" s="345">
        <f>VLOOKUP(W411,'Catalogue Aluminium'!$B$9:$G$93,5,FALSE)</f>
        <v>0.82</v>
      </c>
      <c r="AB411" s="345">
        <f>VLOOKUP(W411,'Catalogue Aluminium'!$B$9:$G$93,6,FALSE)</f>
        <v>7.9200000000000007E-2</v>
      </c>
      <c r="AC411" s="457">
        <f t="shared" ref="AC411:AC412" si="2729">3+4</f>
        <v>7</v>
      </c>
      <c r="AD411" s="401">
        <f>40+50+38+48+58+60+18+30+31</f>
        <v>373</v>
      </c>
      <c r="AE411" s="457">
        <v>20</v>
      </c>
      <c r="AF411" s="401">
        <v>8</v>
      </c>
      <c r="AG411" s="401">
        <f t="shared" si="2711"/>
        <v>41</v>
      </c>
      <c r="AH411" s="347">
        <f t="shared" si="2712"/>
        <v>449</v>
      </c>
      <c r="AI411" s="344">
        <f>IF(T411="AIR",'Catalogue Aluminium'!$K$9,IF(T411="TRENCH",'Catalogue Aluminium'!$K$12,"NA"))</f>
        <v>0.89</v>
      </c>
      <c r="AJ411" s="342">
        <f>IF(T411="Air",(IF(U411="1C",'Catalogue Aluminium'!$L$9,'Catalogue Aluminium'!$M$9)),IF(T411="DUCT",(IF($U411="1C",'Catalogue Aluminium'!$L$10,'Catalogue Aluminium'!$M$10)),IF(T411="GROUND",(IF($U411="1C",'Catalogue Aluminium'!$L$11,'Catalogue Aluminium'!$M$11)),IF(T411="TRENCH",(IF($U411="1C",'Catalogue Aluminium'!$L$12,'Catalogue Aluminium'!$M$12))))))</f>
        <v>0.66</v>
      </c>
      <c r="AK411" s="344" t="str">
        <f>IF(T411="Air",'Catalogue Aluminium'!$N$9,IF(T411="GROUND",'Catalogue Aluminium'!$N$10,IF(T411="DUCT",'Catalogue Aluminium'!$N$11,IF(T411="TRENCH",'Catalogue Aluminium'!$N$12,"NA"))))</f>
        <v>NA</v>
      </c>
      <c r="AL411" s="344" t="str">
        <f>IF(T411="Air",(IF(U411="1C",'Catalogue Aluminium'!$O$9,'Catalogue Aluminium'!$P$9)),IF(T411="DUCT",(IF($U411="1C",'Catalogue Aluminium'!$O$10,'Catalogue Aluminium'!$P$10)),IF(T411="GROUND",(IF($U411="1C",'Catalogue Aluminium'!$O$11,'Catalogue Aluminium'!$P$11)),IF(T411="TRENCH",(IF($U411="1C",'Catalogue Aluminium'!$O$12,'Catalogue Aluminium'!$P$12))))))</f>
        <v>NA</v>
      </c>
      <c r="AM411" s="344" t="str">
        <f>IF(T411="AIR","NA",IF(T411="TRENCH","NA",IF(T411="DUCT",IF(U411="1C",VLOOKUP(V411,'Catalogue Aluminium'!$Q$9:$S$28,2,FALSE),VLOOKUP(V411,'Catalogue Aluminium'!$Q$9:$S$28,3)),IF(T411="GROUND",IF(U411="1C",VLOOKUP(V411,'Catalogue Aluminium'!$Q$9:$S$28,2,FALSE),VLOOKUP(V411,'Catalogue Aluminium'!$Q$9:$S$28,3))))))</f>
        <v>NA</v>
      </c>
      <c r="AN411" s="351">
        <f t="shared" si="2713"/>
        <v>0.58740000000000003</v>
      </c>
      <c r="AO411" s="350">
        <f t="shared" si="2714"/>
        <v>82.823400000000007</v>
      </c>
      <c r="AP411" s="349">
        <f t="shared" si="2715"/>
        <v>1</v>
      </c>
      <c r="AQ411" s="350" t="str">
        <f t="shared" si="2716"/>
        <v>YES</v>
      </c>
      <c r="AR411" s="351">
        <f t="shared" si="2717"/>
        <v>2.2979867265968683</v>
      </c>
      <c r="AS411" s="343" t="str">
        <f t="shared" si="2718"/>
        <v>YES</v>
      </c>
      <c r="AT411" s="351" t="str">
        <f t="shared" si="2719"/>
        <v>NA</v>
      </c>
      <c r="AU411" s="343" t="str">
        <f t="shared" si="2720"/>
        <v>NA</v>
      </c>
      <c r="AV411" s="354" t="str">
        <f t="shared" si="2721"/>
        <v>1R x 0.6/1kV x 3.5C x 50 Sqmm</v>
      </c>
      <c r="AW411" s="354" t="str">
        <f t="shared" si="2722"/>
        <v>1R x 0.6/1kV x 3.5C x 50 Sqmm</v>
      </c>
      <c r="AX411" s="343">
        <f t="shared" si="2723"/>
        <v>449</v>
      </c>
      <c r="AY411" s="355"/>
      <c r="AZ411" s="355">
        <f t="shared" si="2724"/>
        <v>2</v>
      </c>
      <c r="BA411" s="356" t="str">
        <f t="shared" si="2725"/>
        <v>ACDEFGIJ</v>
      </c>
      <c r="BB411" s="501">
        <f>VLOOKUP(W411,'Catalogue Aluminium'!$B$9:$H$93,7,FALSE)</f>
        <v>30</v>
      </c>
      <c r="BC411" s="328">
        <f t="shared" si="2726"/>
        <v>30</v>
      </c>
      <c r="BE411" s="336"/>
      <c r="BF411" s="336">
        <v>1</v>
      </c>
      <c r="BG411" s="336"/>
      <c r="BH411" s="336"/>
      <c r="BI411" s="336">
        <v>1</v>
      </c>
      <c r="BJ411" s="336">
        <v>1</v>
      </c>
      <c r="BK411" s="336"/>
      <c r="BL411" s="336"/>
      <c r="BM411" s="336"/>
      <c r="BN411" s="336">
        <v>1</v>
      </c>
      <c r="BO411" s="336"/>
      <c r="BP411" s="336"/>
      <c r="BQ411" s="336"/>
      <c r="BR411" s="336"/>
      <c r="BS411" s="336"/>
      <c r="BT411" s="336"/>
      <c r="BU411" s="336"/>
      <c r="BV411" s="336">
        <v>1</v>
      </c>
      <c r="BW411" s="336">
        <v>1</v>
      </c>
      <c r="BX411" s="336"/>
      <c r="BY411" s="336"/>
      <c r="BZ411" s="336">
        <v>1</v>
      </c>
      <c r="CA411" s="336"/>
      <c r="CB411" s="336"/>
      <c r="CC411" s="336"/>
      <c r="CD411" s="336">
        <v>1</v>
      </c>
      <c r="CE411" s="336"/>
      <c r="CF411" s="336"/>
      <c r="CG411" s="336"/>
      <c r="CH411" s="336"/>
      <c r="CI411" s="336"/>
      <c r="CJ411" s="336"/>
      <c r="CK411" s="336"/>
      <c r="CL411" s="336"/>
      <c r="CM411" s="336"/>
      <c r="CN411" s="336"/>
      <c r="CO411" s="336"/>
      <c r="CP411" s="336"/>
      <c r="CQ411" s="336"/>
      <c r="CR411" s="336"/>
      <c r="CS411" s="336"/>
      <c r="CT411" s="336"/>
      <c r="CU411" s="336"/>
      <c r="CV411" s="336"/>
      <c r="CW411" s="336"/>
      <c r="CX411" s="336"/>
      <c r="CY411" s="336"/>
      <c r="CZ411" s="336"/>
      <c r="DA411" s="336"/>
      <c r="DB411" s="336"/>
      <c r="DC411" s="336"/>
      <c r="DD411" s="336"/>
      <c r="DE411" s="336"/>
      <c r="DF411" s="336"/>
      <c r="DG411" s="336"/>
      <c r="DH411" s="336"/>
      <c r="DI411" s="336"/>
      <c r="DJ411" s="336"/>
      <c r="DK411" s="336"/>
      <c r="DL411" s="336"/>
      <c r="DM411" s="336"/>
      <c r="DN411" s="336"/>
      <c r="DO411" s="336"/>
      <c r="DP411" s="336"/>
      <c r="DQ411" s="336"/>
      <c r="DR411" s="336"/>
      <c r="DS411" s="336"/>
      <c r="DT411" s="336"/>
      <c r="DU411" s="336"/>
      <c r="DW411" s="336">
        <f t="shared" si="2591"/>
        <v>0</v>
      </c>
      <c r="DX411" s="336">
        <f t="shared" si="2592"/>
        <v>30</v>
      </c>
      <c r="DY411" s="336">
        <f t="shared" si="2593"/>
        <v>0</v>
      </c>
      <c r="DZ411" s="336">
        <f t="shared" si="2594"/>
        <v>0</v>
      </c>
      <c r="EA411" s="336">
        <f t="shared" si="2595"/>
        <v>30</v>
      </c>
      <c r="EB411" s="336">
        <f t="shared" si="2596"/>
        <v>30</v>
      </c>
      <c r="EC411" s="336">
        <f t="shared" si="2597"/>
        <v>0</v>
      </c>
      <c r="ED411" s="336">
        <f t="shared" si="2515"/>
        <v>0</v>
      </c>
      <c r="EE411" s="336">
        <f t="shared" si="2516"/>
        <v>0</v>
      </c>
      <c r="EF411" s="336">
        <f t="shared" si="2517"/>
        <v>30</v>
      </c>
      <c r="EG411" s="336">
        <f t="shared" si="2518"/>
        <v>0</v>
      </c>
      <c r="EH411" s="336">
        <f t="shared" si="2519"/>
        <v>0</v>
      </c>
      <c r="EI411" s="336">
        <f t="shared" si="2520"/>
        <v>0</v>
      </c>
      <c r="EJ411" s="336">
        <f t="shared" si="2521"/>
        <v>0</v>
      </c>
      <c r="EK411" s="336">
        <f t="shared" si="2522"/>
        <v>0</v>
      </c>
      <c r="EL411" s="336">
        <f t="shared" si="2523"/>
        <v>0</v>
      </c>
      <c r="EM411" s="336">
        <f t="shared" si="2524"/>
        <v>0</v>
      </c>
      <c r="EN411" s="336">
        <f t="shared" si="2525"/>
        <v>30</v>
      </c>
      <c r="EO411" s="336">
        <f t="shared" si="2526"/>
        <v>30</v>
      </c>
      <c r="EP411" s="336">
        <f t="shared" si="2527"/>
        <v>0</v>
      </c>
      <c r="EQ411" s="336">
        <f t="shared" si="2528"/>
        <v>0</v>
      </c>
      <c r="ER411" s="336">
        <f t="shared" si="2529"/>
        <v>30</v>
      </c>
      <c r="ES411" s="336">
        <f t="shared" si="2530"/>
        <v>0</v>
      </c>
      <c r="ET411" s="336">
        <f t="shared" si="2530"/>
        <v>0</v>
      </c>
      <c r="EU411" s="336">
        <f t="shared" si="2531"/>
        <v>0</v>
      </c>
      <c r="EV411" s="336">
        <f t="shared" si="2532"/>
        <v>30</v>
      </c>
      <c r="EW411" s="336">
        <f t="shared" si="2533"/>
        <v>0</v>
      </c>
      <c r="EX411" s="336">
        <f t="shared" si="2534"/>
        <v>0</v>
      </c>
      <c r="EY411" s="336">
        <f t="shared" si="2535"/>
        <v>0</v>
      </c>
      <c r="EZ411" s="336">
        <f t="shared" si="2536"/>
        <v>0</v>
      </c>
      <c r="FA411" s="336">
        <f t="shared" si="2537"/>
        <v>0</v>
      </c>
      <c r="FB411" s="336">
        <f t="shared" si="2538"/>
        <v>0</v>
      </c>
      <c r="FC411" s="336">
        <f t="shared" si="2539"/>
        <v>0</v>
      </c>
      <c r="FD411" s="336">
        <f t="shared" si="2540"/>
        <v>0</v>
      </c>
      <c r="FE411" s="336">
        <f t="shared" si="2541"/>
        <v>0</v>
      </c>
      <c r="FF411" s="336">
        <f t="shared" si="2542"/>
        <v>0</v>
      </c>
      <c r="FG411" s="336">
        <f t="shared" si="2543"/>
        <v>0</v>
      </c>
      <c r="FH411" s="336">
        <f t="shared" si="2544"/>
        <v>0</v>
      </c>
      <c r="FI411" s="336">
        <f t="shared" si="2545"/>
        <v>0</v>
      </c>
      <c r="FJ411" s="336">
        <f t="shared" si="2546"/>
        <v>0</v>
      </c>
      <c r="FK411" s="336">
        <f t="shared" si="2547"/>
        <v>0</v>
      </c>
      <c r="FL411" s="336">
        <f t="shared" si="2548"/>
        <v>0</v>
      </c>
      <c r="FM411" s="336">
        <f t="shared" si="2549"/>
        <v>0</v>
      </c>
      <c r="FN411" s="336">
        <f t="shared" si="2550"/>
        <v>0</v>
      </c>
      <c r="FO411" s="336">
        <f t="shared" si="2551"/>
        <v>0</v>
      </c>
      <c r="FP411" s="336">
        <f t="shared" si="2552"/>
        <v>0</v>
      </c>
      <c r="FQ411" s="336">
        <f t="shared" si="2553"/>
        <v>0</v>
      </c>
      <c r="FR411" s="336">
        <f t="shared" si="2554"/>
        <v>0</v>
      </c>
      <c r="FS411" s="336">
        <f t="shared" si="2555"/>
        <v>0</v>
      </c>
      <c r="FT411" s="336">
        <f t="shared" si="2556"/>
        <v>0</v>
      </c>
      <c r="FU411" s="336">
        <f t="shared" si="2638"/>
        <v>0</v>
      </c>
      <c r="FV411" s="336">
        <f t="shared" si="2639"/>
        <v>0</v>
      </c>
      <c r="FW411" s="336">
        <f t="shared" si="2640"/>
        <v>0</v>
      </c>
      <c r="FX411" s="336">
        <f t="shared" si="2641"/>
        <v>0</v>
      </c>
      <c r="FY411" s="336">
        <f t="shared" si="2557"/>
        <v>0</v>
      </c>
      <c r="FZ411" s="336">
        <f t="shared" si="2558"/>
        <v>0</v>
      </c>
      <c r="GA411" s="336">
        <f t="shared" si="2559"/>
        <v>0</v>
      </c>
      <c r="GB411" s="336">
        <f t="shared" si="2560"/>
        <v>0</v>
      </c>
      <c r="GC411" s="336">
        <f t="shared" si="2561"/>
        <v>0</v>
      </c>
      <c r="GD411" s="336">
        <f t="shared" si="2562"/>
        <v>0</v>
      </c>
      <c r="GE411" s="336">
        <f t="shared" si="2563"/>
        <v>0</v>
      </c>
      <c r="GF411" s="336">
        <f t="shared" si="2564"/>
        <v>0</v>
      </c>
      <c r="GG411" s="336">
        <f t="shared" si="2565"/>
        <v>0</v>
      </c>
      <c r="GH411" s="336">
        <f t="shared" si="2566"/>
        <v>0</v>
      </c>
      <c r="GI411" s="336">
        <f t="shared" si="2567"/>
        <v>0</v>
      </c>
      <c r="GJ411" s="336">
        <f t="shared" si="2568"/>
        <v>0</v>
      </c>
      <c r="GK411" s="336">
        <f t="shared" si="2513"/>
        <v>0</v>
      </c>
      <c r="GL411" s="336">
        <f t="shared" si="2642"/>
        <v>0</v>
      </c>
      <c r="GM411" s="336">
        <f t="shared" si="2569"/>
        <v>0</v>
      </c>
    </row>
    <row r="412" spans="1:195">
      <c r="A412" s="337">
        <f t="shared" si="2727"/>
        <v>282</v>
      </c>
      <c r="B412" s="526" t="s">
        <v>883</v>
      </c>
      <c r="C412" s="337" t="str">
        <f t="shared" si="2728"/>
        <v>MAIN UPS DB-1</v>
      </c>
      <c r="D412" s="440" t="s">
        <v>886</v>
      </c>
      <c r="E412" s="444" t="s">
        <v>885</v>
      </c>
      <c r="F412" s="343"/>
      <c r="G412" s="337" t="s">
        <v>329</v>
      </c>
      <c r="H412" s="350"/>
      <c r="I412" s="337" t="s">
        <v>330</v>
      </c>
      <c r="J412" s="337" t="s">
        <v>331</v>
      </c>
      <c r="K412" s="349">
        <v>400</v>
      </c>
      <c r="L412" s="343">
        <v>0.84999999999999987</v>
      </c>
      <c r="M412" s="350">
        <v>0.95099999999999985</v>
      </c>
      <c r="N412" s="342">
        <v>16</v>
      </c>
      <c r="O412" s="342">
        <f t="shared" si="2706"/>
        <v>0</v>
      </c>
      <c r="P412" s="343" t="str">
        <f t="shared" si="2707"/>
        <v>0.00</v>
      </c>
      <c r="Q412" s="350">
        <v>50</v>
      </c>
      <c r="R412" s="350">
        <v>0</v>
      </c>
      <c r="S412" s="350">
        <f t="shared" si="2708"/>
        <v>0</v>
      </c>
      <c r="T412" s="343" t="s">
        <v>131</v>
      </c>
      <c r="U412" s="350" t="s">
        <v>535</v>
      </c>
      <c r="V412" s="343">
        <v>50</v>
      </c>
      <c r="W412" s="343" t="str">
        <f t="shared" si="2709"/>
        <v>3.5C X 50</v>
      </c>
      <c r="X412" s="343" t="str">
        <f t="shared" si="2710"/>
        <v>3.5C X 50</v>
      </c>
      <c r="Y412" s="343" t="s">
        <v>358</v>
      </c>
      <c r="Z412" s="344">
        <f>IF(T412="AIR",VLOOKUP(W412,'Catalogue Aluminium'!$B$9:$G$93,2,FALSE),IF(T412="GROUND",VLOOKUP(W412,'Catalogue Aluminium'!$B$9:$G$93,3,FALSE),IF(T412="DUCT",VLOOKUP(W412,'Catalogue Aluminium'!$B$9:$G$93,4,FALSE),IF(T412="TRENCH",VLOOKUP(W412,'Catalogue Aluminium'!$B$9:$G$93,2,FALSE)))))</f>
        <v>141</v>
      </c>
      <c r="AA412" s="345">
        <f>VLOOKUP(W412,'Catalogue Aluminium'!$B$9:$G$93,5,FALSE)</f>
        <v>0.82</v>
      </c>
      <c r="AB412" s="345">
        <f>VLOOKUP(W412,'Catalogue Aluminium'!$B$9:$G$93,6,FALSE)</f>
        <v>7.9200000000000007E-2</v>
      </c>
      <c r="AC412" s="457">
        <f t="shared" si="2729"/>
        <v>7</v>
      </c>
      <c r="AD412" s="401">
        <f>40+50+38+48+58+60+18+30+31</f>
        <v>373</v>
      </c>
      <c r="AE412" s="457">
        <v>20</v>
      </c>
      <c r="AF412" s="401">
        <v>8</v>
      </c>
      <c r="AG412" s="401">
        <f t="shared" si="2711"/>
        <v>41</v>
      </c>
      <c r="AH412" s="347">
        <f t="shared" si="2712"/>
        <v>449</v>
      </c>
      <c r="AI412" s="344">
        <f>IF(T412="AIR",'Catalogue Aluminium'!$K$9,IF(T412="TRENCH",'Catalogue Aluminium'!$K$12,"NA"))</f>
        <v>0.89</v>
      </c>
      <c r="AJ412" s="342">
        <f>IF(T412="Air",(IF(U412="1C",'Catalogue Aluminium'!$L$9,'Catalogue Aluminium'!$M$9)),IF(T412="DUCT",(IF($U412="1C",'Catalogue Aluminium'!$L$10,'Catalogue Aluminium'!$M$10)),IF(T412="GROUND",(IF($U412="1C",'Catalogue Aluminium'!$L$11,'Catalogue Aluminium'!$M$11)),IF(T412="TRENCH",(IF($U412="1C",'Catalogue Aluminium'!$L$12,'Catalogue Aluminium'!$M$12))))))</f>
        <v>0.66</v>
      </c>
      <c r="AK412" s="344" t="str">
        <f>IF(T412="Air",'Catalogue Aluminium'!$N$9,IF(T412="GROUND",'Catalogue Aluminium'!$N$10,IF(T412="DUCT",'Catalogue Aluminium'!$N$11,IF(T412="TRENCH",'Catalogue Aluminium'!$N$12,"NA"))))</f>
        <v>NA</v>
      </c>
      <c r="AL412" s="344" t="str">
        <f>IF(T412="Air",(IF(U412="1C",'Catalogue Aluminium'!$O$9,'Catalogue Aluminium'!$P$9)),IF(T412="DUCT",(IF($U412="1C",'Catalogue Aluminium'!$O$10,'Catalogue Aluminium'!$P$10)),IF(T412="GROUND",(IF($U412="1C",'Catalogue Aluminium'!$O$11,'Catalogue Aluminium'!$P$11)),IF(T412="TRENCH",(IF($U412="1C",'Catalogue Aluminium'!$O$12,'Catalogue Aluminium'!$P$12))))))</f>
        <v>NA</v>
      </c>
      <c r="AM412" s="344" t="str">
        <f>IF(T412="AIR","NA",IF(T412="TRENCH","NA",IF(T412="DUCT",IF(U412="1C",VLOOKUP(V412,'Catalogue Aluminium'!$Q$9:$S$28,2,FALSE),VLOOKUP(V412,'Catalogue Aluminium'!$Q$9:$S$28,3)),IF(T412="GROUND",IF(U412="1C",VLOOKUP(V412,'Catalogue Aluminium'!$Q$9:$S$28,2,FALSE),VLOOKUP(V412,'Catalogue Aluminium'!$Q$9:$S$28,3))))))</f>
        <v>NA</v>
      </c>
      <c r="AN412" s="351">
        <f t="shared" si="2713"/>
        <v>0.58740000000000003</v>
      </c>
      <c r="AO412" s="350">
        <f t="shared" si="2714"/>
        <v>82.823400000000007</v>
      </c>
      <c r="AP412" s="349">
        <f t="shared" si="2715"/>
        <v>1</v>
      </c>
      <c r="AQ412" s="350" t="str">
        <f t="shared" si="2716"/>
        <v>YES</v>
      </c>
      <c r="AR412" s="351">
        <f t="shared" si="2717"/>
        <v>2.2979867265968683</v>
      </c>
      <c r="AS412" s="343" t="str">
        <f t="shared" si="2718"/>
        <v>YES</v>
      </c>
      <c r="AT412" s="351" t="str">
        <f t="shared" si="2719"/>
        <v>NA</v>
      </c>
      <c r="AU412" s="343" t="str">
        <f t="shared" si="2720"/>
        <v>NA</v>
      </c>
      <c r="AV412" s="354" t="str">
        <f t="shared" si="2721"/>
        <v>1R x 0.6/1kV x 3.5C x 50 Sqmm</v>
      </c>
      <c r="AW412" s="354" t="str">
        <f t="shared" si="2722"/>
        <v>1R x 0.6/1kV x 3.5C x 50 Sqmm</v>
      </c>
      <c r="AX412" s="343">
        <f t="shared" si="2723"/>
        <v>449</v>
      </c>
      <c r="AY412" s="355"/>
      <c r="AZ412" s="355">
        <f t="shared" si="2724"/>
        <v>2</v>
      </c>
      <c r="BA412" s="356" t="str">
        <f t="shared" si="2725"/>
        <v>ACDEFGIJ</v>
      </c>
      <c r="BB412" s="501">
        <f>VLOOKUP(W412,'Catalogue Aluminium'!$B$9:$H$93,7,FALSE)</f>
        <v>30</v>
      </c>
      <c r="BC412" s="328">
        <f t="shared" si="2726"/>
        <v>30</v>
      </c>
      <c r="BE412" s="336"/>
      <c r="BF412" s="336">
        <v>1</v>
      </c>
      <c r="BG412" s="336"/>
      <c r="BH412" s="336"/>
      <c r="BI412" s="336">
        <v>1</v>
      </c>
      <c r="BJ412" s="336">
        <v>1</v>
      </c>
      <c r="BK412" s="336"/>
      <c r="BL412" s="336"/>
      <c r="BM412" s="336"/>
      <c r="BN412" s="336">
        <v>1</v>
      </c>
      <c r="BO412" s="336"/>
      <c r="BP412" s="336"/>
      <c r="BQ412" s="336"/>
      <c r="BR412" s="336"/>
      <c r="BS412" s="336"/>
      <c r="BT412" s="336"/>
      <c r="BU412" s="336"/>
      <c r="BV412" s="336">
        <v>1</v>
      </c>
      <c r="BW412" s="336">
        <v>1</v>
      </c>
      <c r="BX412" s="336"/>
      <c r="BY412" s="336"/>
      <c r="BZ412" s="336">
        <v>1</v>
      </c>
      <c r="CA412" s="336"/>
      <c r="CB412" s="336"/>
      <c r="CC412" s="336"/>
      <c r="CD412" s="336">
        <v>1</v>
      </c>
      <c r="CE412" s="336"/>
      <c r="CF412" s="336"/>
      <c r="CG412" s="336"/>
      <c r="CH412" s="336"/>
      <c r="CI412" s="336"/>
      <c r="CJ412" s="336"/>
      <c r="CK412" s="336"/>
      <c r="CL412" s="336"/>
      <c r="CM412" s="336"/>
      <c r="CN412" s="336"/>
      <c r="CO412" s="336"/>
      <c r="CP412" s="336"/>
      <c r="CQ412" s="336"/>
      <c r="CR412" s="336"/>
      <c r="CS412" s="336"/>
      <c r="CT412" s="336"/>
      <c r="CU412" s="336"/>
      <c r="CV412" s="336"/>
      <c r="CW412" s="336"/>
      <c r="CX412" s="336"/>
      <c r="CY412" s="336"/>
      <c r="CZ412" s="336"/>
      <c r="DA412" s="336"/>
      <c r="DB412" s="336"/>
      <c r="DC412" s="336"/>
      <c r="DD412" s="336"/>
      <c r="DE412" s="336"/>
      <c r="DF412" s="336"/>
      <c r="DG412" s="336"/>
      <c r="DH412" s="336"/>
      <c r="DI412" s="336"/>
      <c r="DJ412" s="336"/>
      <c r="DK412" s="336"/>
      <c r="DL412" s="336"/>
      <c r="DM412" s="336"/>
      <c r="DN412" s="336"/>
      <c r="DO412" s="336"/>
      <c r="DP412" s="336"/>
      <c r="DQ412" s="336"/>
      <c r="DR412" s="336"/>
      <c r="DS412" s="336"/>
      <c r="DT412" s="336"/>
      <c r="DU412" s="336"/>
      <c r="DW412" s="336">
        <f t="shared" si="2591"/>
        <v>0</v>
      </c>
      <c r="DX412" s="336">
        <f t="shared" si="2592"/>
        <v>30</v>
      </c>
      <c r="DY412" s="336">
        <f t="shared" si="2593"/>
        <v>0</v>
      </c>
      <c r="DZ412" s="336">
        <f t="shared" si="2594"/>
        <v>0</v>
      </c>
      <c r="EA412" s="336">
        <f t="shared" si="2595"/>
        <v>30</v>
      </c>
      <c r="EB412" s="336">
        <f t="shared" si="2596"/>
        <v>30</v>
      </c>
      <c r="EC412" s="336">
        <f t="shared" si="2597"/>
        <v>0</v>
      </c>
      <c r="ED412" s="336">
        <f t="shared" si="2515"/>
        <v>0</v>
      </c>
      <c r="EE412" s="336">
        <f t="shared" si="2516"/>
        <v>0</v>
      </c>
      <c r="EF412" s="336">
        <f t="shared" si="2517"/>
        <v>30</v>
      </c>
      <c r="EG412" s="336">
        <f t="shared" si="2518"/>
        <v>0</v>
      </c>
      <c r="EH412" s="336">
        <f t="shared" si="2519"/>
        <v>0</v>
      </c>
      <c r="EI412" s="336">
        <f t="shared" si="2520"/>
        <v>0</v>
      </c>
      <c r="EJ412" s="336">
        <f t="shared" si="2521"/>
        <v>0</v>
      </c>
      <c r="EK412" s="336">
        <f t="shared" si="2522"/>
        <v>0</v>
      </c>
      <c r="EL412" s="336">
        <f t="shared" si="2523"/>
        <v>0</v>
      </c>
      <c r="EM412" s="336">
        <f t="shared" si="2524"/>
        <v>0</v>
      </c>
      <c r="EN412" s="336">
        <f t="shared" si="2525"/>
        <v>30</v>
      </c>
      <c r="EO412" s="336">
        <f t="shared" si="2526"/>
        <v>30</v>
      </c>
      <c r="EP412" s="336">
        <f t="shared" si="2527"/>
        <v>0</v>
      </c>
      <c r="EQ412" s="336">
        <f t="shared" si="2528"/>
        <v>0</v>
      </c>
      <c r="ER412" s="336">
        <f t="shared" si="2529"/>
        <v>30</v>
      </c>
      <c r="ES412" s="336">
        <f t="shared" si="2530"/>
        <v>0</v>
      </c>
      <c r="ET412" s="336">
        <f t="shared" si="2530"/>
        <v>0</v>
      </c>
      <c r="EU412" s="336">
        <f t="shared" si="2531"/>
        <v>0</v>
      </c>
      <c r="EV412" s="336">
        <f t="shared" si="2532"/>
        <v>30</v>
      </c>
      <c r="EW412" s="336">
        <f t="shared" si="2533"/>
        <v>0</v>
      </c>
      <c r="EX412" s="336">
        <f t="shared" si="2534"/>
        <v>0</v>
      </c>
      <c r="EY412" s="336">
        <f t="shared" si="2535"/>
        <v>0</v>
      </c>
      <c r="EZ412" s="336">
        <f t="shared" si="2536"/>
        <v>0</v>
      </c>
      <c r="FA412" s="336">
        <f t="shared" si="2537"/>
        <v>0</v>
      </c>
      <c r="FB412" s="336">
        <f t="shared" si="2538"/>
        <v>0</v>
      </c>
      <c r="FC412" s="336">
        <f t="shared" si="2539"/>
        <v>0</v>
      </c>
      <c r="FD412" s="336">
        <f t="shared" si="2540"/>
        <v>0</v>
      </c>
      <c r="FE412" s="336">
        <f t="shared" si="2541"/>
        <v>0</v>
      </c>
      <c r="FF412" s="336">
        <f t="shared" si="2542"/>
        <v>0</v>
      </c>
      <c r="FG412" s="336">
        <f t="shared" si="2543"/>
        <v>0</v>
      </c>
      <c r="FH412" s="336">
        <f t="shared" si="2544"/>
        <v>0</v>
      </c>
      <c r="FI412" s="336">
        <f t="shared" si="2545"/>
        <v>0</v>
      </c>
      <c r="FJ412" s="336">
        <f t="shared" si="2546"/>
        <v>0</v>
      </c>
      <c r="FK412" s="336">
        <f t="shared" si="2547"/>
        <v>0</v>
      </c>
      <c r="FL412" s="336">
        <f t="shared" si="2548"/>
        <v>0</v>
      </c>
      <c r="FM412" s="336">
        <f t="shared" si="2549"/>
        <v>0</v>
      </c>
      <c r="FN412" s="336">
        <f t="shared" si="2550"/>
        <v>0</v>
      </c>
      <c r="FO412" s="336">
        <f t="shared" si="2551"/>
        <v>0</v>
      </c>
      <c r="FP412" s="336">
        <f t="shared" si="2552"/>
        <v>0</v>
      </c>
      <c r="FQ412" s="336">
        <f t="shared" si="2553"/>
        <v>0</v>
      </c>
      <c r="FR412" s="336">
        <f t="shared" si="2554"/>
        <v>0</v>
      </c>
      <c r="FS412" s="336">
        <f t="shared" si="2555"/>
        <v>0</v>
      </c>
      <c r="FT412" s="336">
        <f t="shared" si="2556"/>
        <v>0</v>
      </c>
      <c r="FU412" s="336">
        <f t="shared" si="2638"/>
        <v>0</v>
      </c>
      <c r="FV412" s="336">
        <f t="shared" si="2639"/>
        <v>0</v>
      </c>
      <c r="FW412" s="336">
        <f t="shared" si="2640"/>
        <v>0</v>
      </c>
      <c r="FX412" s="336">
        <f t="shared" si="2641"/>
        <v>0</v>
      </c>
      <c r="FY412" s="336">
        <f t="shared" si="2557"/>
        <v>0</v>
      </c>
      <c r="FZ412" s="336">
        <f t="shared" si="2558"/>
        <v>0</v>
      </c>
      <c r="GA412" s="336">
        <f t="shared" si="2559"/>
        <v>0</v>
      </c>
      <c r="GB412" s="336">
        <f t="shared" si="2560"/>
        <v>0</v>
      </c>
      <c r="GC412" s="336">
        <f t="shared" si="2561"/>
        <v>0</v>
      </c>
      <c r="GD412" s="336">
        <f t="shared" si="2562"/>
        <v>0</v>
      </c>
      <c r="GE412" s="336">
        <f t="shared" si="2563"/>
        <v>0</v>
      </c>
      <c r="GF412" s="336">
        <f t="shared" si="2564"/>
        <v>0</v>
      </c>
      <c r="GG412" s="336">
        <f t="shared" si="2565"/>
        <v>0</v>
      </c>
      <c r="GH412" s="336">
        <f t="shared" si="2566"/>
        <v>0</v>
      </c>
      <c r="GI412" s="336">
        <f t="shared" si="2567"/>
        <v>0</v>
      </c>
      <c r="GJ412" s="336">
        <f t="shared" si="2568"/>
        <v>0</v>
      </c>
      <c r="GK412" s="336">
        <f t="shared" si="2513"/>
        <v>0</v>
      </c>
      <c r="GL412" s="336">
        <f t="shared" si="2642"/>
        <v>0</v>
      </c>
      <c r="GM412" s="336">
        <f t="shared" si="2569"/>
        <v>0</v>
      </c>
    </row>
    <row r="413" spans="1:195">
      <c r="A413" s="337">
        <f t="shared" si="2727"/>
        <v>283</v>
      </c>
      <c r="B413" s="526" t="s">
        <v>887</v>
      </c>
      <c r="C413" s="337" t="str">
        <f t="shared" si="2728"/>
        <v>MAIN UPS DB-1</v>
      </c>
      <c r="D413" s="440" t="s">
        <v>888</v>
      </c>
      <c r="E413" s="444" t="s">
        <v>889</v>
      </c>
      <c r="F413" s="814"/>
      <c r="G413" s="337" t="s">
        <v>329</v>
      </c>
      <c r="H413" s="350"/>
      <c r="I413" s="337" t="s">
        <v>330</v>
      </c>
      <c r="J413" s="337" t="s">
        <v>331</v>
      </c>
      <c r="K413" s="349">
        <v>400</v>
      </c>
      <c r="L413" s="343">
        <v>0.84999999999999987</v>
      </c>
      <c r="M413" s="350">
        <v>0.95099999999999985</v>
      </c>
      <c r="N413" s="342">
        <v>32</v>
      </c>
      <c r="O413" s="342">
        <f t="shared" si="2706"/>
        <v>0</v>
      </c>
      <c r="P413" s="343" t="str">
        <f t="shared" si="2707"/>
        <v>0.00</v>
      </c>
      <c r="Q413" s="350">
        <v>50</v>
      </c>
      <c r="R413" s="350">
        <v>0</v>
      </c>
      <c r="S413" s="350">
        <f t="shared" si="2708"/>
        <v>0</v>
      </c>
      <c r="T413" s="343" t="s">
        <v>131</v>
      </c>
      <c r="U413" s="350" t="s">
        <v>535</v>
      </c>
      <c r="V413" s="343">
        <v>95</v>
      </c>
      <c r="W413" s="343" t="str">
        <f t="shared" si="2709"/>
        <v>3.5C X 95</v>
      </c>
      <c r="X413" s="343" t="str">
        <f t="shared" si="2710"/>
        <v>3.5C X 95</v>
      </c>
      <c r="Y413" s="343" t="s">
        <v>358</v>
      </c>
      <c r="Z413" s="344">
        <f>IF(T413="AIR",VLOOKUP(W413,'Catalogue Aluminium'!$B$9:$G$93,2,FALSE),IF(T413="GROUND",VLOOKUP(W413,'Catalogue Aluminium'!$B$9:$G$93,3,FALSE),IF(T413="DUCT",VLOOKUP(W413,'Catalogue Aluminium'!$B$9:$G$93,4,FALSE),IF(T413="TRENCH",VLOOKUP(W413,'Catalogue Aluminium'!$B$9:$G$93,2,FALSE)))))</f>
        <v>221</v>
      </c>
      <c r="AA413" s="345">
        <f>VLOOKUP(W413,'Catalogue Aluminium'!$B$9:$G$93,5,FALSE)</f>
        <v>0.41</v>
      </c>
      <c r="AB413" s="345">
        <f>VLOOKUP(W413,'Catalogue Aluminium'!$B$9:$G$93,6,FALSE)</f>
        <v>7.3400000000000007E-2</v>
      </c>
      <c r="AC413" s="457">
        <v>30</v>
      </c>
      <c r="AD413" s="401">
        <f>40+50+38+48+58+60+18+20</f>
        <v>332</v>
      </c>
      <c r="AE413" s="457">
        <v>20</v>
      </c>
      <c r="AF413" s="401">
        <v>8</v>
      </c>
      <c r="AG413" s="401">
        <f t="shared" si="2711"/>
        <v>39</v>
      </c>
      <c r="AH413" s="347">
        <f t="shared" si="2712"/>
        <v>429</v>
      </c>
      <c r="AI413" s="344">
        <f>IF(T413="AIR",'Catalogue Aluminium'!$K$9,IF(T413="TRENCH",'Catalogue Aluminium'!$K$12,"NA"))</f>
        <v>0.89</v>
      </c>
      <c r="AJ413" s="342">
        <f>IF(T413="Air",(IF(U413="1C",'Catalogue Aluminium'!$L$9,'Catalogue Aluminium'!$M$9)),IF(T413="DUCT",(IF($U413="1C",'Catalogue Aluminium'!$L$10,'Catalogue Aluminium'!$M$10)),IF(T413="GROUND",(IF($U413="1C",'Catalogue Aluminium'!$L$11,'Catalogue Aluminium'!$M$11)),IF(T413="TRENCH",(IF($U413="1C",'Catalogue Aluminium'!$L$12,'Catalogue Aluminium'!$M$12))))))</f>
        <v>0.66</v>
      </c>
      <c r="AK413" s="344" t="str">
        <f>IF(T413="Air",'Catalogue Aluminium'!$N$9,IF(T413="GROUND",'Catalogue Aluminium'!$N$10,IF(T413="DUCT",'Catalogue Aluminium'!$N$11,IF(T413="TRENCH",'Catalogue Aluminium'!$N$12,"NA"))))</f>
        <v>NA</v>
      </c>
      <c r="AL413" s="344" t="str">
        <f>IF(T413="Air",(IF(U413="1C",'Catalogue Aluminium'!$O$9,'Catalogue Aluminium'!$P$9)),IF(T413="DUCT",(IF($U413="1C",'Catalogue Aluminium'!$O$10,'Catalogue Aluminium'!$P$10)),IF(T413="GROUND",(IF($U413="1C",'Catalogue Aluminium'!$O$11,'Catalogue Aluminium'!$P$11)),IF(T413="TRENCH",(IF($U413="1C",'Catalogue Aluminium'!$O$12,'Catalogue Aluminium'!$P$12))))))</f>
        <v>NA</v>
      </c>
      <c r="AM413" s="344" t="str">
        <f>IF(T413="AIR","NA",IF(T413="TRENCH","NA",IF(T413="DUCT",IF(U413="1C",VLOOKUP(V413,'Catalogue Aluminium'!$Q$9:$S$28,2,FALSE),VLOOKUP(V413,'Catalogue Aluminium'!$Q$9:$S$28,3)),IF(T413="GROUND",IF(U413="1C",VLOOKUP(V413,'Catalogue Aluminium'!$Q$9:$S$28,2,FALSE),VLOOKUP(V413,'Catalogue Aluminium'!$Q$9:$S$28,3))))))</f>
        <v>NA</v>
      </c>
      <c r="AN413" s="351">
        <f t="shared" si="2713"/>
        <v>0.58740000000000003</v>
      </c>
      <c r="AO413" s="350">
        <f t="shared" si="2714"/>
        <v>129.81540000000001</v>
      </c>
      <c r="AP413" s="349">
        <f t="shared" si="2715"/>
        <v>1</v>
      </c>
      <c r="AQ413" s="350" t="str">
        <f t="shared" si="2716"/>
        <v>YES</v>
      </c>
      <c r="AR413" s="351">
        <f t="shared" si="2717"/>
        <v>2.3014680439482285</v>
      </c>
      <c r="AS413" s="343" t="str">
        <f t="shared" si="2718"/>
        <v>YES</v>
      </c>
      <c r="AT413" s="351" t="str">
        <f t="shared" si="2719"/>
        <v>NA</v>
      </c>
      <c r="AU413" s="343" t="str">
        <f t="shared" si="2720"/>
        <v>NA</v>
      </c>
      <c r="AV413" s="354" t="str">
        <f t="shared" si="2721"/>
        <v>1R x 0.6/1kV x 3.5C x 95 Sqmm</v>
      </c>
      <c r="AW413" s="354" t="str">
        <f t="shared" si="2722"/>
        <v>1R x 0.6/1kV x 3.5C x 95 Sqmm</v>
      </c>
      <c r="AX413" s="343">
        <f t="shared" si="2723"/>
        <v>429</v>
      </c>
      <c r="AY413" s="355"/>
      <c r="AZ413" s="355">
        <f t="shared" si="2724"/>
        <v>2</v>
      </c>
      <c r="BA413" s="356" t="str">
        <f t="shared" ref="BA413:BA414" si="2730">CONCATENATE(IF(BE413=1,BE$4,""),IF(BF413=1,BF$4,""),IF(BG413=1,BG$4,""),IF(BH413=1,BH$4,""),IF(BI413=1,BI$4,""),IF(BJ413=1,BJ$4,""),IF(BK413=1,BK$4,""),IF(BL413=1,BL$4,""),IF(BM413=1,BM$4,""),IF(BN413=1,BN$4,""),IF(BO413=1,BO$4,""),IF(BP413=1,BP$4,""),IF(BQ413=1,BQ$4,""),IF(BR413=1,BR$4,""),IF(BS413=1,BS$4,""),IF(BT413=1,BT$4,""),IF(BU413=1,BU$4,""),IF(BV413=1,BV$4,""),IF(BW413=1,BW$4,""),IF(BX413=1,BX$4,""),IF(BY413=1,BY$4,""),IF(BZ413=1,BZ$4,""),IF(CA413=1,CA$4,""),IF(CC413=1,CC$4,""),IF(CD413=1,CD$4,""),IF(CE413=1,CE$4,""),IF(CF413=1,CF$4,""),IF(CG413=1,CG$4,""),IF(CH413=1,CH$4,""),IF(CI413=1,CI$4,""),IF(CJ413=1,CJ$4,""),IF(CK413=1,CK$4,""),IF(CL413=1,CL$4,""),IF(CM413=1,CM$4,""),IF(CN413=1,CN$4,""),IF(CO413=1,CO$4,""),IF(CP413=1,CP$4,""),IF(CQ413=1,CQ$4,""),IF(CR413=1,CR$4,""),IF(CS413=1,CS$4,""),IF(CT413=1,CT$4,""),IF(CU413=1,CU$4,""),IF(CV413=1,CV$4,""),IF(CW413=1,CW$4,""),IF(CX413=1,CX$4,""),IF(CY413=1,CY$4,""),IF(CZ413=1,CZ$4,""),IF(DA413=1,DA$4,""),IF(DB413=1,DB$4,""),IF(DC413=1,DC$4,""),IF(DD413=1,DD$4,""),IF(DE413=1,DE$4,""),IF(DF413=1,DF$4,""),IF(DG413=1,DG$4,""),IF(DH413=1,DH$4,""),IF(DI413=1,DI$4,""),IF(DJ413=1,DJ$4,""),IF(DK413=1,DK$4,""),IF(DL413=1,DL$4,""),IF(DM413=1,DM$4,""),IF(DN413=1,DN$4,""),IF(DO413=1,DO$4,""),IF(DP413=1,DP$4,""),IF(DQ413=1,DQ$4,""),IF(DR413=1,DR$4,""),IF(DS413=1,DS$4,""),IF(DT413=1,DT$4,""),IF(DU413=1,DU$4,""))</f>
        <v>ACDEFGHH1</v>
      </c>
      <c r="BB413" s="501">
        <f>VLOOKUP(W413,'Catalogue Aluminium'!$B$9:$H$93,7,FALSE)</f>
        <v>39</v>
      </c>
      <c r="BC413" s="328">
        <f t="shared" si="2726"/>
        <v>39</v>
      </c>
      <c r="BE413" s="336"/>
      <c r="BF413" s="336">
        <v>1</v>
      </c>
      <c r="BG413" s="336"/>
      <c r="BH413" s="336"/>
      <c r="BI413" s="336">
        <v>1</v>
      </c>
      <c r="BJ413" s="336">
        <v>1</v>
      </c>
      <c r="BK413" s="336"/>
      <c r="BL413" s="336"/>
      <c r="BM413" s="336"/>
      <c r="BN413" s="336">
        <v>1</v>
      </c>
      <c r="BO413" s="336"/>
      <c r="BP413" s="336"/>
      <c r="BQ413" s="336"/>
      <c r="BR413" s="336"/>
      <c r="BS413" s="336"/>
      <c r="BT413" s="336"/>
      <c r="BU413" s="336"/>
      <c r="BV413" s="336">
        <v>1</v>
      </c>
      <c r="BW413" s="336">
        <v>1</v>
      </c>
      <c r="BX413" s="336">
        <v>1</v>
      </c>
      <c r="BY413" s="336">
        <v>1</v>
      </c>
      <c r="BZ413" s="336"/>
      <c r="CA413" s="336"/>
      <c r="CB413" s="336"/>
      <c r="CC413" s="336"/>
      <c r="CD413" s="336"/>
      <c r="CE413" s="336"/>
      <c r="CF413" s="336"/>
      <c r="CG413" s="336"/>
      <c r="CH413" s="336"/>
      <c r="CI413" s="336"/>
      <c r="CJ413" s="336"/>
      <c r="CK413" s="336"/>
      <c r="CL413" s="336"/>
      <c r="CM413" s="336"/>
      <c r="CN413" s="336"/>
      <c r="CO413" s="336"/>
      <c r="CP413" s="336"/>
      <c r="CQ413" s="336"/>
      <c r="CR413" s="336"/>
      <c r="CS413" s="336"/>
      <c r="CT413" s="336"/>
      <c r="CU413" s="336"/>
      <c r="CV413" s="336"/>
      <c r="CW413" s="336"/>
      <c r="CX413" s="336"/>
      <c r="CY413" s="336"/>
      <c r="CZ413" s="336"/>
      <c r="DA413" s="336"/>
      <c r="DB413" s="336"/>
      <c r="DC413" s="336"/>
      <c r="DD413" s="336"/>
      <c r="DE413" s="336"/>
      <c r="DF413" s="336"/>
      <c r="DG413" s="336"/>
      <c r="DH413" s="336"/>
      <c r="DI413" s="336"/>
      <c r="DJ413" s="336"/>
      <c r="DK413" s="336"/>
      <c r="DL413" s="336"/>
      <c r="DM413" s="336"/>
      <c r="DN413" s="336"/>
      <c r="DO413" s="336"/>
      <c r="DP413" s="336"/>
      <c r="DQ413" s="336"/>
      <c r="DR413" s="336"/>
      <c r="DS413" s="336"/>
      <c r="DT413" s="336"/>
      <c r="DU413" s="336"/>
      <c r="DW413" s="336">
        <f t="shared" si="2591"/>
        <v>0</v>
      </c>
      <c r="DX413" s="336">
        <f t="shared" si="2592"/>
        <v>39</v>
      </c>
      <c r="DY413" s="336">
        <f t="shared" si="2593"/>
        <v>0</v>
      </c>
      <c r="DZ413" s="336">
        <f t="shared" si="2594"/>
        <v>0</v>
      </c>
      <c r="EA413" s="336">
        <f t="shared" si="2595"/>
        <v>39</v>
      </c>
      <c r="EB413" s="336">
        <f t="shared" si="2596"/>
        <v>39</v>
      </c>
      <c r="EC413" s="336">
        <f t="shared" si="2597"/>
        <v>0</v>
      </c>
      <c r="ED413" s="336">
        <f t="shared" si="2515"/>
        <v>0</v>
      </c>
      <c r="EE413" s="336">
        <f t="shared" si="2516"/>
        <v>0</v>
      </c>
      <c r="EF413" s="336">
        <f t="shared" si="2517"/>
        <v>39</v>
      </c>
      <c r="EG413" s="336">
        <f t="shared" si="2518"/>
        <v>0</v>
      </c>
      <c r="EH413" s="336">
        <f t="shared" si="2519"/>
        <v>0</v>
      </c>
      <c r="EI413" s="336">
        <f t="shared" si="2520"/>
        <v>0</v>
      </c>
      <c r="EJ413" s="336">
        <f t="shared" si="2521"/>
        <v>0</v>
      </c>
      <c r="EK413" s="336">
        <f t="shared" si="2522"/>
        <v>0</v>
      </c>
      <c r="EL413" s="336">
        <f t="shared" si="2523"/>
        <v>0</v>
      </c>
      <c r="EM413" s="336">
        <f t="shared" si="2524"/>
        <v>0</v>
      </c>
      <c r="EN413" s="336">
        <f t="shared" si="2525"/>
        <v>39</v>
      </c>
      <c r="EO413" s="336">
        <f t="shared" si="2526"/>
        <v>39</v>
      </c>
      <c r="EP413" s="336">
        <f t="shared" si="2527"/>
        <v>39</v>
      </c>
      <c r="EQ413" s="336">
        <f t="shared" si="2528"/>
        <v>39</v>
      </c>
      <c r="ER413" s="336">
        <f t="shared" si="2529"/>
        <v>0</v>
      </c>
      <c r="ES413" s="336">
        <f t="shared" si="2530"/>
        <v>0</v>
      </c>
      <c r="ET413" s="336">
        <f t="shared" si="2530"/>
        <v>0</v>
      </c>
      <c r="EU413" s="336">
        <f t="shared" si="2531"/>
        <v>0</v>
      </c>
      <c r="EV413" s="336">
        <f t="shared" si="2532"/>
        <v>0</v>
      </c>
      <c r="EW413" s="336">
        <f t="shared" si="2533"/>
        <v>0</v>
      </c>
      <c r="EX413" s="336">
        <f t="shared" si="2534"/>
        <v>0</v>
      </c>
      <c r="EY413" s="336">
        <f t="shared" si="2535"/>
        <v>0</v>
      </c>
      <c r="EZ413" s="336">
        <f t="shared" si="2536"/>
        <v>0</v>
      </c>
      <c r="FA413" s="336">
        <f t="shared" si="2537"/>
        <v>0</v>
      </c>
      <c r="FB413" s="336">
        <f t="shared" si="2538"/>
        <v>0</v>
      </c>
      <c r="FC413" s="336">
        <f t="shared" si="2539"/>
        <v>0</v>
      </c>
      <c r="FD413" s="336">
        <f t="shared" si="2540"/>
        <v>0</v>
      </c>
      <c r="FE413" s="336">
        <f t="shared" si="2541"/>
        <v>0</v>
      </c>
      <c r="FF413" s="336">
        <f t="shared" si="2542"/>
        <v>0</v>
      </c>
      <c r="FG413" s="336">
        <f t="shared" si="2543"/>
        <v>0</v>
      </c>
      <c r="FH413" s="336">
        <f t="shared" si="2544"/>
        <v>0</v>
      </c>
      <c r="FI413" s="336">
        <f t="shared" si="2545"/>
        <v>0</v>
      </c>
      <c r="FJ413" s="336">
        <f t="shared" si="2546"/>
        <v>0</v>
      </c>
      <c r="FK413" s="336">
        <f t="shared" si="2547"/>
        <v>0</v>
      </c>
      <c r="FL413" s="336">
        <f t="shared" si="2548"/>
        <v>0</v>
      </c>
      <c r="FM413" s="336">
        <f t="shared" si="2549"/>
        <v>0</v>
      </c>
      <c r="FN413" s="336">
        <f t="shared" si="2550"/>
        <v>0</v>
      </c>
      <c r="FO413" s="336">
        <f t="shared" si="2551"/>
        <v>0</v>
      </c>
      <c r="FP413" s="336">
        <f t="shared" si="2552"/>
        <v>0</v>
      </c>
      <c r="FQ413" s="336">
        <f t="shared" si="2553"/>
        <v>0</v>
      </c>
      <c r="FR413" s="336">
        <f t="shared" si="2554"/>
        <v>0</v>
      </c>
      <c r="FS413" s="336">
        <f t="shared" si="2555"/>
        <v>0</v>
      </c>
      <c r="FT413" s="336">
        <f t="shared" si="2556"/>
        <v>0</v>
      </c>
      <c r="FU413" s="336">
        <f t="shared" si="2638"/>
        <v>0</v>
      </c>
      <c r="FV413" s="336">
        <f t="shared" si="2639"/>
        <v>0</v>
      </c>
      <c r="FW413" s="336">
        <f t="shared" si="2640"/>
        <v>0</v>
      </c>
      <c r="FX413" s="336">
        <f t="shared" si="2641"/>
        <v>0</v>
      </c>
      <c r="FY413" s="336">
        <f t="shared" si="2557"/>
        <v>0</v>
      </c>
      <c r="FZ413" s="336">
        <f t="shared" si="2558"/>
        <v>0</v>
      </c>
      <c r="GA413" s="336">
        <f t="shared" si="2559"/>
        <v>0</v>
      </c>
      <c r="GB413" s="336">
        <f t="shared" si="2560"/>
        <v>0</v>
      </c>
      <c r="GC413" s="336">
        <f t="shared" si="2561"/>
        <v>0</v>
      </c>
      <c r="GD413" s="336">
        <f t="shared" si="2562"/>
        <v>0</v>
      </c>
      <c r="GE413" s="336">
        <f t="shared" si="2563"/>
        <v>0</v>
      </c>
      <c r="GF413" s="336">
        <f t="shared" si="2564"/>
        <v>0</v>
      </c>
      <c r="GG413" s="336">
        <f t="shared" si="2565"/>
        <v>0</v>
      </c>
      <c r="GH413" s="336">
        <f t="shared" si="2566"/>
        <v>0</v>
      </c>
      <c r="GI413" s="336">
        <f t="shared" si="2567"/>
        <v>0</v>
      </c>
      <c r="GJ413" s="336">
        <f t="shared" si="2568"/>
        <v>0</v>
      </c>
      <c r="GK413" s="336">
        <f t="shared" si="2513"/>
        <v>0</v>
      </c>
      <c r="GL413" s="336">
        <f t="shared" si="2642"/>
        <v>0</v>
      </c>
      <c r="GM413" s="336">
        <f t="shared" si="2569"/>
        <v>0</v>
      </c>
    </row>
    <row r="414" spans="1:195">
      <c r="A414" s="337">
        <f t="shared" si="2727"/>
        <v>284</v>
      </c>
      <c r="B414" s="526" t="s">
        <v>887</v>
      </c>
      <c r="C414" s="337" t="str">
        <f t="shared" si="2728"/>
        <v>MAIN UPS DB-1</v>
      </c>
      <c r="D414" s="440" t="s">
        <v>890</v>
      </c>
      <c r="E414" s="444" t="s">
        <v>889</v>
      </c>
      <c r="F414" s="814"/>
      <c r="G414" s="337" t="s">
        <v>329</v>
      </c>
      <c r="H414" s="350"/>
      <c r="I414" s="337" t="s">
        <v>330</v>
      </c>
      <c r="J414" s="337" t="s">
        <v>331</v>
      </c>
      <c r="K414" s="349">
        <v>400</v>
      </c>
      <c r="L414" s="343">
        <v>0.84999999999999987</v>
      </c>
      <c r="M414" s="350">
        <v>0.95099999999999985</v>
      </c>
      <c r="N414" s="342">
        <v>32</v>
      </c>
      <c r="O414" s="342">
        <f t="shared" si="2706"/>
        <v>0</v>
      </c>
      <c r="P414" s="343" t="str">
        <f t="shared" si="2707"/>
        <v>0.00</v>
      </c>
      <c r="Q414" s="350">
        <v>50</v>
      </c>
      <c r="R414" s="350">
        <v>0</v>
      </c>
      <c r="S414" s="350">
        <f t="shared" si="2708"/>
        <v>0</v>
      </c>
      <c r="T414" s="343" t="s">
        <v>131</v>
      </c>
      <c r="U414" s="350" t="s">
        <v>535</v>
      </c>
      <c r="V414" s="343">
        <v>95</v>
      </c>
      <c r="W414" s="343" t="str">
        <f t="shared" si="2709"/>
        <v>3.5C X 95</v>
      </c>
      <c r="X414" s="343" t="str">
        <f t="shared" si="2710"/>
        <v>3.5C X 95</v>
      </c>
      <c r="Y414" s="343" t="s">
        <v>358</v>
      </c>
      <c r="Z414" s="344">
        <f>IF(T414="AIR",VLOOKUP(W414,'Catalogue Aluminium'!$B$9:$G$93,2,FALSE),IF(T414="GROUND",VLOOKUP(W414,'Catalogue Aluminium'!$B$9:$G$93,3,FALSE),IF(T414="DUCT",VLOOKUP(W414,'Catalogue Aluminium'!$B$9:$G$93,4,FALSE),IF(T414="TRENCH",VLOOKUP(W414,'Catalogue Aluminium'!$B$9:$G$93,2,FALSE)))))</f>
        <v>221</v>
      </c>
      <c r="AA414" s="345">
        <f>VLOOKUP(W414,'Catalogue Aluminium'!$B$9:$G$93,5,FALSE)</f>
        <v>0.41</v>
      </c>
      <c r="AB414" s="345">
        <f>VLOOKUP(W414,'Catalogue Aluminium'!$B$9:$G$93,6,FALSE)</f>
        <v>7.3400000000000007E-2</v>
      </c>
      <c r="AC414" s="457">
        <v>30</v>
      </c>
      <c r="AD414" s="401">
        <f>40+50+38+48+58+60+18+20</f>
        <v>332</v>
      </c>
      <c r="AE414" s="457">
        <v>20</v>
      </c>
      <c r="AF414" s="401">
        <v>8</v>
      </c>
      <c r="AG414" s="401">
        <f t="shared" si="2711"/>
        <v>39</v>
      </c>
      <c r="AH414" s="347">
        <f t="shared" si="2712"/>
        <v>429</v>
      </c>
      <c r="AI414" s="344">
        <f>IF(T414="AIR",'Catalogue Aluminium'!$K$9,IF(T414="TRENCH",'Catalogue Aluminium'!$K$12,"NA"))</f>
        <v>0.89</v>
      </c>
      <c r="AJ414" s="342">
        <f>IF(T414="Air",(IF(U414="1C",'Catalogue Aluminium'!$L$9,'Catalogue Aluminium'!$M$9)),IF(T414="DUCT",(IF($U414="1C",'Catalogue Aluminium'!$L$10,'Catalogue Aluminium'!$M$10)),IF(T414="GROUND",(IF($U414="1C",'Catalogue Aluminium'!$L$11,'Catalogue Aluminium'!$M$11)),IF(T414="TRENCH",(IF($U414="1C",'Catalogue Aluminium'!$L$12,'Catalogue Aluminium'!$M$12))))))</f>
        <v>0.66</v>
      </c>
      <c r="AK414" s="344" t="str">
        <f>IF(T414="Air",'Catalogue Aluminium'!$N$9,IF(T414="GROUND",'Catalogue Aluminium'!$N$10,IF(T414="DUCT",'Catalogue Aluminium'!$N$11,IF(T414="TRENCH",'Catalogue Aluminium'!$N$12,"NA"))))</f>
        <v>NA</v>
      </c>
      <c r="AL414" s="344" t="str">
        <f>IF(T414="Air",(IF(U414="1C",'Catalogue Aluminium'!$O$9,'Catalogue Aluminium'!$P$9)),IF(T414="DUCT",(IF($U414="1C",'Catalogue Aluminium'!$O$10,'Catalogue Aluminium'!$P$10)),IF(T414="GROUND",(IF($U414="1C",'Catalogue Aluminium'!$O$11,'Catalogue Aluminium'!$P$11)),IF(T414="TRENCH",(IF($U414="1C",'Catalogue Aluminium'!$O$12,'Catalogue Aluminium'!$P$12))))))</f>
        <v>NA</v>
      </c>
      <c r="AM414" s="344" t="str">
        <f>IF(T414="AIR","NA",IF(T414="TRENCH","NA",IF(T414="DUCT",IF(U414="1C",VLOOKUP(V414,'Catalogue Aluminium'!$Q$9:$S$28,2,FALSE),VLOOKUP(V414,'Catalogue Aluminium'!$Q$9:$S$28,3)),IF(T414="GROUND",IF(U414="1C",VLOOKUP(V414,'Catalogue Aluminium'!$Q$9:$S$28,2,FALSE),VLOOKUP(V414,'Catalogue Aluminium'!$Q$9:$S$28,3))))))</f>
        <v>NA</v>
      </c>
      <c r="AN414" s="351">
        <f t="shared" si="2713"/>
        <v>0.58740000000000003</v>
      </c>
      <c r="AO414" s="350">
        <f t="shared" si="2714"/>
        <v>129.81540000000001</v>
      </c>
      <c r="AP414" s="349">
        <f t="shared" si="2715"/>
        <v>1</v>
      </c>
      <c r="AQ414" s="350" t="str">
        <f t="shared" si="2716"/>
        <v>YES</v>
      </c>
      <c r="AR414" s="351">
        <f t="shared" si="2717"/>
        <v>2.3014680439482285</v>
      </c>
      <c r="AS414" s="343" t="str">
        <f t="shared" si="2718"/>
        <v>YES</v>
      </c>
      <c r="AT414" s="351" t="str">
        <f t="shared" si="2719"/>
        <v>NA</v>
      </c>
      <c r="AU414" s="343" t="str">
        <f t="shared" si="2720"/>
        <v>NA</v>
      </c>
      <c r="AV414" s="354" t="str">
        <f t="shared" si="2721"/>
        <v>1R x 0.6/1kV x 3.5C x 95 Sqmm</v>
      </c>
      <c r="AW414" s="354" t="str">
        <f t="shared" si="2722"/>
        <v>1R x 0.6/1kV x 3.5C x 95 Sqmm</v>
      </c>
      <c r="AX414" s="343">
        <f t="shared" si="2723"/>
        <v>429</v>
      </c>
      <c r="AY414" s="355"/>
      <c r="AZ414" s="355">
        <f t="shared" si="2724"/>
        <v>2</v>
      </c>
      <c r="BA414" s="356" t="str">
        <f t="shared" si="2730"/>
        <v>ACDEFGHH1</v>
      </c>
      <c r="BB414" s="501">
        <f>VLOOKUP(W414,'Catalogue Aluminium'!$B$9:$H$93,7,FALSE)</f>
        <v>39</v>
      </c>
      <c r="BC414" s="328">
        <f t="shared" si="2726"/>
        <v>39</v>
      </c>
      <c r="BE414" s="336"/>
      <c r="BF414" s="336">
        <v>1</v>
      </c>
      <c r="BG414" s="336"/>
      <c r="BH414" s="336"/>
      <c r="BI414" s="336">
        <v>1</v>
      </c>
      <c r="BJ414" s="336">
        <v>1</v>
      </c>
      <c r="BK414" s="336"/>
      <c r="BL414" s="336"/>
      <c r="BM414" s="336"/>
      <c r="BN414" s="336">
        <v>1</v>
      </c>
      <c r="BO414" s="336"/>
      <c r="BP414" s="336"/>
      <c r="BQ414" s="336"/>
      <c r="BR414" s="336"/>
      <c r="BS414" s="336"/>
      <c r="BT414" s="336"/>
      <c r="BU414" s="336"/>
      <c r="BV414" s="336">
        <v>1</v>
      </c>
      <c r="BW414" s="336">
        <v>1</v>
      </c>
      <c r="BX414" s="336">
        <v>1</v>
      </c>
      <c r="BY414" s="336">
        <v>1</v>
      </c>
      <c r="BZ414" s="336"/>
      <c r="CA414" s="336"/>
      <c r="CB414" s="336"/>
      <c r="CC414" s="336"/>
      <c r="CD414" s="336"/>
      <c r="CE414" s="336"/>
      <c r="CF414" s="336"/>
      <c r="CG414" s="336"/>
      <c r="CH414" s="336"/>
      <c r="CI414" s="336"/>
      <c r="CJ414" s="336"/>
      <c r="CK414" s="336"/>
      <c r="CL414" s="336"/>
      <c r="CM414" s="336"/>
      <c r="CN414" s="336"/>
      <c r="CO414" s="336"/>
      <c r="CP414" s="336"/>
      <c r="CQ414" s="336"/>
      <c r="CR414" s="336"/>
      <c r="CS414" s="336"/>
      <c r="CT414" s="336"/>
      <c r="CU414" s="336"/>
      <c r="CV414" s="336"/>
      <c r="CW414" s="336"/>
      <c r="CX414" s="336"/>
      <c r="CY414" s="336"/>
      <c r="CZ414" s="336"/>
      <c r="DA414" s="336"/>
      <c r="DB414" s="336"/>
      <c r="DC414" s="336"/>
      <c r="DD414" s="336"/>
      <c r="DE414" s="336"/>
      <c r="DF414" s="336"/>
      <c r="DG414" s="336"/>
      <c r="DH414" s="336"/>
      <c r="DI414" s="336"/>
      <c r="DJ414" s="336"/>
      <c r="DK414" s="336"/>
      <c r="DL414" s="336"/>
      <c r="DM414" s="336"/>
      <c r="DN414" s="336"/>
      <c r="DO414" s="336"/>
      <c r="DP414" s="336"/>
      <c r="DQ414" s="336"/>
      <c r="DR414" s="336"/>
      <c r="DS414" s="336"/>
      <c r="DT414" s="336"/>
      <c r="DU414" s="336"/>
      <c r="DW414" s="336">
        <f t="shared" si="2591"/>
        <v>0</v>
      </c>
      <c r="DX414" s="336">
        <f t="shared" si="2592"/>
        <v>39</v>
      </c>
      <c r="DY414" s="336">
        <f t="shared" si="2593"/>
        <v>0</v>
      </c>
      <c r="DZ414" s="336">
        <f t="shared" si="2594"/>
        <v>0</v>
      </c>
      <c r="EA414" s="336">
        <f t="shared" si="2595"/>
        <v>39</v>
      </c>
      <c r="EB414" s="336">
        <f t="shared" si="2596"/>
        <v>39</v>
      </c>
      <c r="EC414" s="336">
        <f t="shared" si="2597"/>
        <v>0</v>
      </c>
      <c r="ED414" s="336">
        <f t="shared" si="2515"/>
        <v>0</v>
      </c>
      <c r="EE414" s="336">
        <f t="shared" si="2516"/>
        <v>0</v>
      </c>
      <c r="EF414" s="336">
        <f t="shared" si="2517"/>
        <v>39</v>
      </c>
      <c r="EG414" s="336">
        <f t="shared" si="2518"/>
        <v>0</v>
      </c>
      <c r="EH414" s="336">
        <f t="shared" si="2519"/>
        <v>0</v>
      </c>
      <c r="EI414" s="336">
        <f t="shared" si="2520"/>
        <v>0</v>
      </c>
      <c r="EJ414" s="336">
        <f t="shared" si="2521"/>
        <v>0</v>
      </c>
      <c r="EK414" s="336">
        <f t="shared" si="2522"/>
        <v>0</v>
      </c>
      <c r="EL414" s="336">
        <f t="shared" si="2523"/>
        <v>0</v>
      </c>
      <c r="EM414" s="336">
        <f t="shared" si="2524"/>
        <v>0</v>
      </c>
      <c r="EN414" s="336">
        <f t="shared" si="2525"/>
        <v>39</v>
      </c>
      <c r="EO414" s="336">
        <f t="shared" si="2526"/>
        <v>39</v>
      </c>
      <c r="EP414" s="336">
        <f t="shared" si="2527"/>
        <v>39</v>
      </c>
      <c r="EQ414" s="336">
        <f t="shared" si="2528"/>
        <v>39</v>
      </c>
      <c r="ER414" s="336">
        <f t="shared" si="2529"/>
        <v>0</v>
      </c>
      <c r="ES414" s="336">
        <f t="shared" si="2530"/>
        <v>0</v>
      </c>
      <c r="ET414" s="336">
        <f t="shared" si="2530"/>
        <v>0</v>
      </c>
      <c r="EU414" s="336">
        <f t="shared" si="2531"/>
        <v>0</v>
      </c>
      <c r="EV414" s="336">
        <f t="shared" si="2532"/>
        <v>0</v>
      </c>
      <c r="EW414" s="336">
        <f t="shared" si="2533"/>
        <v>0</v>
      </c>
      <c r="EX414" s="336">
        <f t="shared" si="2534"/>
        <v>0</v>
      </c>
      <c r="EY414" s="336">
        <f t="shared" si="2535"/>
        <v>0</v>
      </c>
      <c r="EZ414" s="336">
        <f t="shared" si="2536"/>
        <v>0</v>
      </c>
      <c r="FA414" s="336">
        <f t="shared" si="2537"/>
        <v>0</v>
      </c>
      <c r="FB414" s="336">
        <f t="shared" si="2538"/>
        <v>0</v>
      </c>
      <c r="FC414" s="336">
        <f t="shared" si="2539"/>
        <v>0</v>
      </c>
      <c r="FD414" s="336">
        <f t="shared" si="2540"/>
        <v>0</v>
      </c>
      <c r="FE414" s="336">
        <f t="shared" si="2541"/>
        <v>0</v>
      </c>
      <c r="FF414" s="336">
        <f t="shared" si="2542"/>
        <v>0</v>
      </c>
      <c r="FG414" s="336">
        <f t="shared" si="2543"/>
        <v>0</v>
      </c>
      <c r="FH414" s="336">
        <f t="shared" si="2544"/>
        <v>0</v>
      </c>
      <c r="FI414" s="336">
        <f t="shared" si="2545"/>
        <v>0</v>
      </c>
      <c r="FJ414" s="336">
        <f t="shared" si="2546"/>
        <v>0</v>
      </c>
      <c r="FK414" s="336">
        <f t="shared" si="2547"/>
        <v>0</v>
      </c>
      <c r="FL414" s="336">
        <f t="shared" si="2548"/>
        <v>0</v>
      </c>
      <c r="FM414" s="336">
        <f t="shared" si="2549"/>
        <v>0</v>
      </c>
      <c r="FN414" s="336">
        <f t="shared" si="2550"/>
        <v>0</v>
      </c>
      <c r="FO414" s="336">
        <f t="shared" si="2551"/>
        <v>0</v>
      </c>
      <c r="FP414" s="336">
        <f t="shared" si="2552"/>
        <v>0</v>
      </c>
      <c r="FQ414" s="336">
        <f t="shared" si="2553"/>
        <v>0</v>
      </c>
      <c r="FR414" s="336">
        <f t="shared" si="2554"/>
        <v>0</v>
      </c>
      <c r="FS414" s="336">
        <f t="shared" si="2555"/>
        <v>0</v>
      </c>
      <c r="FT414" s="336">
        <f t="shared" si="2556"/>
        <v>0</v>
      </c>
      <c r="FU414" s="336">
        <f t="shared" si="2638"/>
        <v>0</v>
      </c>
      <c r="FV414" s="336">
        <f t="shared" si="2639"/>
        <v>0</v>
      </c>
      <c r="FW414" s="336">
        <f t="shared" si="2640"/>
        <v>0</v>
      </c>
      <c r="FX414" s="336">
        <f t="shared" si="2641"/>
        <v>0</v>
      </c>
      <c r="FY414" s="336">
        <f t="shared" si="2557"/>
        <v>0</v>
      </c>
      <c r="FZ414" s="336">
        <f t="shared" si="2558"/>
        <v>0</v>
      </c>
      <c r="GA414" s="336">
        <f t="shared" si="2559"/>
        <v>0</v>
      </c>
      <c r="GB414" s="336">
        <f t="shared" si="2560"/>
        <v>0</v>
      </c>
      <c r="GC414" s="336">
        <f t="shared" si="2561"/>
        <v>0</v>
      </c>
      <c r="GD414" s="336">
        <f t="shared" si="2562"/>
        <v>0</v>
      </c>
      <c r="GE414" s="336">
        <f t="shared" si="2563"/>
        <v>0</v>
      </c>
      <c r="GF414" s="336">
        <f t="shared" si="2564"/>
        <v>0</v>
      </c>
      <c r="GG414" s="336">
        <f t="shared" si="2565"/>
        <v>0</v>
      </c>
      <c r="GH414" s="336">
        <f t="shared" si="2566"/>
        <v>0</v>
      </c>
      <c r="GI414" s="336">
        <f t="shared" si="2567"/>
        <v>0</v>
      </c>
      <c r="GJ414" s="336">
        <f t="shared" si="2568"/>
        <v>0</v>
      </c>
      <c r="GK414" s="336">
        <f t="shared" si="2513"/>
        <v>0</v>
      </c>
      <c r="GL414" s="336">
        <f t="shared" si="2642"/>
        <v>0</v>
      </c>
      <c r="GM414" s="336">
        <f t="shared" si="2569"/>
        <v>0</v>
      </c>
    </row>
    <row r="415" spans="1:195" ht="18.75" customHeight="1">
      <c r="A415" s="337">
        <f t="shared" si="2727"/>
        <v>285</v>
      </c>
      <c r="B415" s="526" t="s">
        <v>891</v>
      </c>
      <c r="C415" s="337" t="s">
        <v>892</v>
      </c>
      <c r="D415" s="569" t="s">
        <v>893</v>
      </c>
      <c r="E415" s="453" t="s">
        <v>555</v>
      </c>
      <c r="F415" s="570"/>
      <c r="G415" s="340" t="s">
        <v>337</v>
      </c>
      <c r="H415" s="350"/>
      <c r="I415" s="337" t="s">
        <v>330</v>
      </c>
      <c r="J415" s="337" t="s">
        <v>331</v>
      </c>
      <c r="K415" s="349">
        <v>400</v>
      </c>
      <c r="L415" s="343">
        <v>0.84999999999999987</v>
      </c>
      <c r="M415" s="350">
        <v>0.95099999999999985</v>
      </c>
      <c r="N415" s="342">
        <v>400</v>
      </c>
      <c r="O415" s="399"/>
      <c r="P415" s="400"/>
      <c r="Q415" s="400"/>
      <c r="R415" s="400"/>
      <c r="S415" s="400"/>
      <c r="T415" s="400"/>
      <c r="U415" s="400"/>
      <c r="V415" s="400"/>
      <c r="W415" s="400"/>
      <c r="X415" s="400"/>
      <c r="Y415" s="400"/>
      <c r="Z415" s="400"/>
      <c r="AA415" s="400"/>
      <c r="AB415" s="400"/>
      <c r="AC415" s="913"/>
      <c r="AD415" s="913"/>
      <c r="AE415" s="913"/>
      <c r="AF415" s="913"/>
      <c r="AG415" s="913"/>
      <c r="AH415" s="400"/>
      <c r="AI415" s="400"/>
      <c r="AJ415" s="400"/>
      <c r="AK415" s="400"/>
      <c r="AL415" s="400"/>
      <c r="AM415" s="400"/>
      <c r="AN415" s="400"/>
      <c r="AO415" s="400"/>
      <c r="AP415" s="400"/>
      <c r="AQ415" s="400"/>
      <c r="AR415" s="400"/>
      <c r="AS415" s="400"/>
      <c r="AT415" s="400"/>
      <c r="AU415" s="400"/>
      <c r="AV415" s="400"/>
      <c r="AW415" s="400"/>
      <c r="AX415" s="400"/>
      <c r="AY415" s="400"/>
      <c r="AZ415" s="400"/>
      <c r="BA415" s="400"/>
      <c r="BB415" s="400"/>
      <c r="BC415" s="912"/>
      <c r="BE415" s="530"/>
      <c r="BF415" s="530"/>
      <c r="BG415" s="530"/>
      <c r="BH415" s="530"/>
      <c r="BI415" s="530"/>
      <c r="BJ415" s="530"/>
      <c r="BK415" s="530"/>
      <c r="BL415" s="530"/>
      <c r="BM415" s="530"/>
      <c r="BN415" s="530"/>
      <c r="BO415" s="530"/>
      <c r="BP415" s="530"/>
      <c r="BQ415" s="530"/>
      <c r="BR415" s="530"/>
      <c r="BS415" s="530"/>
      <c r="BT415" s="530"/>
      <c r="BU415" s="530"/>
      <c r="BV415" s="530"/>
      <c r="BW415" s="530"/>
      <c r="BX415" s="530"/>
      <c r="BY415" s="530"/>
      <c r="BZ415" s="530"/>
      <c r="CA415" s="530"/>
      <c r="CB415" s="530"/>
      <c r="CC415" s="530"/>
      <c r="CD415" s="530"/>
      <c r="CE415" s="530"/>
      <c r="CF415" s="530"/>
      <c r="CG415" s="530"/>
      <c r="CH415" s="530"/>
      <c r="CI415" s="530"/>
      <c r="CJ415" s="530"/>
      <c r="CK415" s="530"/>
      <c r="CL415" s="530"/>
      <c r="CM415" s="530"/>
      <c r="CN415" s="530"/>
      <c r="CO415" s="530"/>
      <c r="CP415" s="530"/>
      <c r="CQ415" s="530"/>
      <c r="CR415" s="530"/>
      <c r="CS415" s="530"/>
      <c r="CT415" s="530"/>
      <c r="CU415" s="530"/>
      <c r="CV415" s="530"/>
      <c r="CW415" s="530"/>
      <c r="CX415" s="530"/>
      <c r="CY415" s="530"/>
      <c r="CZ415" s="530"/>
      <c r="DA415" s="530"/>
      <c r="DB415" s="530"/>
      <c r="DC415" s="530"/>
      <c r="DD415" s="530"/>
      <c r="DE415" s="530"/>
      <c r="DF415" s="530"/>
      <c r="DG415" s="530"/>
      <c r="DH415" s="530"/>
      <c r="DI415" s="530"/>
      <c r="DJ415" s="530"/>
      <c r="DK415" s="530"/>
      <c r="DL415" s="530"/>
      <c r="DM415" s="530"/>
      <c r="DN415" s="530"/>
      <c r="DO415" s="530"/>
      <c r="DP415" s="530"/>
      <c r="DQ415" s="530"/>
      <c r="DR415" s="530"/>
      <c r="DS415" s="530"/>
      <c r="DT415" s="530"/>
      <c r="DU415" s="530"/>
      <c r="DW415" s="336">
        <f t="shared" si="2591"/>
        <v>0</v>
      </c>
      <c r="DX415" s="336">
        <f t="shared" si="2592"/>
        <v>0</v>
      </c>
      <c r="DY415" s="336">
        <f t="shared" si="2593"/>
        <v>0</v>
      </c>
      <c r="DZ415" s="336">
        <f t="shared" si="2594"/>
        <v>0</v>
      </c>
      <c r="EA415" s="336">
        <f t="shared" si="2595"/>
        <v>0</v>
      </c>
      <c r="EB415" s="336">
        <f t="shared" si="2596"/>
        <v>0</v>
      </c>
      <c r="EC415" s="336">
        <f t="shared" si="2597"/>
        <v>0</v>
      </c>
      <c r="ED415" s="336">
        <f t="shared" si="2515"/>
        <v>0</v>
      </c>
      <c r="EE415" s="336">
        <f t="shared" si="2516"/>
        <v>0</v>
      </c>
      <c r="EF415" s="336">
        <f t="shared" si="2517"/>
        <v>0</v>
      </c>
      <c r="EG415" s="336">
        <f t="shared" si="2518"/>
        <v>0</v>
      </c>
      <c r="EH415" s="336">
        <f t="shared" si="2519"/>
        <v>0</v>
      </c>
      <c r="EI415" s="336">
        <f t="shared" si="2520"/>
        <v>0</v>
      </c>
      <c r="EJ415" s="336">
        <f t="shared" si="2521"/>
        <v>0</v>
      </c>
      <c r="EK415" s="336">
        <f t="shared" si="2522"/>
        <v>0</v>
      </c>
      <c r="EL415" s="336">
        <f t="shared" si="2523"/>
        <v>0</v>
      </c>
      <c r="EM415" s="336">
        <f t="shared" si="2524"/>
        <v>0</v>
      </c>
      <c r="EN415" s="336">
        <f t="shared" si="2525"/>
        <v>0</v>
      </c>
      <c r="EO415" s="336">
        <f t="shared" si="2526"/>
        <v>0</v>
      </c>
      <c r="EP415" s="336">
        <f t="shared" si="2527"/>
        <v>0</v>
      </c>
      <c r="EQ415" s="336">
        <f t="shared" si="2528"/>
        <v>0</v>
      </c>
      <c r="ER415" s="336">
        <f t="shared" si="2529"/>
        <v>0</v>
      </c>
      <c r="ES415" s="336">
        <f t="shared" si="2530"/>
        <v>0</v>
      </c>
      <c r="ET415" s="336">
        <f t="shared" si="2530"/>
        <v>0</v>
      </c>
      <c r="EU415" s="336">
        <f t="shared" si="2531"/>
        <v>0</v>
      </c>
      <c r="EV415" s="336">
        <f t="shared" si="2532"/>
        <v>0</v>
      </c>
      <c r="EW415" s="336">
        <f t="shared" si="2533"/>
        <v>0</v>
      </c>
      <c r="EX415" s="336">
        <f t="shared" si="2534"/>
        <v>0</v>
      </c>
      <c r="EY415" s="336">
        <f t="shared" si="2535"/>
        <v>0</v>
      </c>
      <c r="EZ415" s="336">
        <f t="shared" si="2536"/>
        <v>0</v>
      </c>
      <c r="FA415" s="336">
        <f t="shared" si="2537"/>
        <v>0</v>
      </c>
      <c r="FB415" s="336">
        <f t="shared" si="2538"/>
        <v>0</v>
      </c>
      <c r="FC415" s="336">
        <f t="shared" si="2539"/>
        <v>0</v>
      </c>
      <c r="FD415" s="336">
        <f t="shared" si="2540"/>
        <v>0</v>
      </c>
      <c r="FE415" s="336">
        <f t="shared" si="2541"/>
        <v>0</v>
      </c>
      <c r="FF415" s="336">
        <f t="shared" si="2542"/>
        <v>0</v>
      </c>
      <c r="FG415" s="336">
        <f t="shared" si="2543"/>
        <v>0</v>
      </c>
      <c r="FH415" s="336">
        <f t="shared" si="2544"/>
        <v>0</v>
      </c>
      <c r="FI415" s="336">
        <f t="shared" si="2545"/>
        <v>0</v>
      </c>
      <c r="FJ415" s="336">
        <f t="shared" si="2546"/>
        <v>0</v>
      </c>
      <c r="FK415" s="336">
        <f t="shared" si="2547"/>
        <v>0</v>
      </c>
      <c r="FL415" s="336">
        <f t="shared" si="2548"/>
        <v>0</v>
      </c>
      <c r="FM415" s="336">
        <f t="shared" si="2549"/>
        <v>0</v>
      </c>
      <c r="FN415" s="336">
        <f t="shared" si="2550"/>
        <v>0</v>
      </c>
      <c r="FO415" s="336">
        <f t="shared" si="2551"/>
        <v>0</v>
      </c>
      <c r="FP415" s="336">
        <f t="shared" si="2552"/>
        <v>0</v>
      </c>
      <c r="FQ415" s="336">
        <f t="shared" si="2553"/>
        <v>0</v>
      </c>
      <c r="FR415" s="336">
        <f t="shared" si="2554"/>
        <v>0</v>
      </c>
      <c r="FS415" s="336">
        <f t="shared" si="2555"/>
        <v>0</v>
      </c>
      <c r="FT415" s="336">
        <f t="shared" si="2556"/>
        <v>0</v>
      </c>
      <c r="FU415" s="336">
        <f t="shared" si="2638"/>
        <v>0</v>
      </c>
      <c r="FV415" s="336">
        <f t="shared" si="2639"/>
        <v>0</v>
      </c>
      <c r="FW415" s="336">
        <f t="shared" si="2640"/>
        <v>0</v>
      </c>
      <c r="FX415" s="336">
        <f t="shared" si="2641"/>
        <v>0</v>
      </c>
      <c r="FY415" s="336">
        <f t="shared" si="2557"/>
        <v>0</v>
      </c>
      <c r="FZ415" s="336">
        <f t="shared" si="2558"/>
        <v>0</v>
      </c>
      <c r="GA415" s="336">
        <f t="shared" si="2559"/>
        <v>0</v>
      </c>
      <c r="GB415" s="336">
        <f t="shared" si="2560"/>
        <v>0</v>
      </c>
      <c r="GC415" s="336">
        <f t="shared" si="2561"/>
        <v>0</v>
      </c>
      <c r="GD415" s="336">
        <f t="shared" si="2562"/>
        <v>0</v>
      </c>
      <c r="GE415" s="336">
        <f t="shared" si="2563"/>
        <v>0</v>
      </c>
      <c r="GF415" s="336">
        <f t="shared" si="2564"/>
        <v>0</v>
      </c>
      <c r="GG415" s="336">
        <f t="shared" si="2565"/>
        <v>0</v>
      </c>
      <c r="GH415" s="336">
        <f t="shared" si="2566"/>
        <v>0</v>
      </c>
      <c r="GI415" s="336">
        <f t="shared" si="2567"/>
        <v>0</v>
      </c>
      <c r="GJ415" s="336">
        <f t="shared" si="2568"/>
        <v>0</v>
      </c>
      <c r="GK415" s="336">
        <f t="shared" si="2513"/>
        <v>0</v>
      </c>
      <c r="GL415" s="336">
        <f t="shared" si="2642"/>
        <v>0</v>
      </c>
      <c r="GM415" s="336">
        <f t="shared" si="2569"/>
        <v>0</v>
      </c>
    </row>
    <row r="416" spans="1:195" ht="18.75" customHeight="1">
      <c r="A416" s="337">
        <f t="shared" si="2727"/>
        <v>286</v>
      </c>
      <c r="B416" s="526" t="s">
        <v>891</v>
      </c>
      <c r="C416" s="337" t="s">
        <v>892</v>
      </c>
      <c r="D416" s="569" t="s">
        <v>894</v>
      </c>
      <c r="E416" s="453" t="s">
        <v>555</v>
      </c>
      <c r="F416" s="570"/>
      <c r="G416" s="340" t="s">
        <v>337</v>
      </c>
      <c r="H416" s="350"/>
      <c r="I416" s="337" t="s">
        <v>330</v>
      </c>
      <c r="J416" s="337" t="s">
        <v>331</v>
      </c>
      <c r="K416" s="349">
        <v>400</v>
      </c>
      <c r="L416" s="343">
        <v>0.84999999999999987</v>
      </c>
      <c r="M416" s="350">
        <v>0.95099999999999985</v>
      </c>
      <c r="N416" s="342">
        <v>400</v>
      </c>
      <c r="O416" s="399"/>
      <c r="P416" s="400"/>
      <c r="Q416" s="400"/>
      <c r="R416" s="400"/>
      <c r="S416" s="400"/>
      <c r="T416" s="400"/>
      <c r="U416" s="400"/>
      <c r="V416" s="400"/>
      <c r="W416" s="400"/>
      <c r="X416" s="400"/>
      <c r="Y416" s="400"/>
      <c r="Z416" s="400"/>
      <c r="AA416" s="400"/>
      <c r="AB416" s="400"/>
      <c r="AC416" s="913"/>
      <c r="AD416" s="913"/>
      <c r="AE416" s="913"/>
      <c r="AF416" s="913"/>
      <c r="AG416" s="913"/>
      <c r="AH416" s="400"/>
      <c r="AI416" s="400"/>
      <c r="AJ416" s="400"/>
      <c r="AK416" s="400"/>
      <c r="AL416" s="400"/>
      <c r="AM416" s="400"/>
      <c r="AN416" s="400"/>
      <c r="AO416" s="400"/>
      <c r="AP416" s="400"/>
      <c r="AQ416" s="400"/>
      <c r="AR416" s="400"/>
      <c r="AS416" s="400"/>
      <c r="AT416" s="400"/>
      <c r="AU416" s="400"/>
      <c r="AV416" s="400"/>
      <c r="AW416" s="400"/>
      <c r="AX416" s="400"/>
      <c r="AY416" s="400"/>
      <c r="AZ416" s="400"/>
      <c r="BA416" s="400"/>
      <c r="BB416" s="400"/>
      <c r="BC416" s="912"/>
      <c r="BE416" s="530"/>
      <c r="BF416" s="530"/>
      <c r="BG416" s="530"/>
      <c r="BH416" s="530"/>
      <c r="BI416" s="530"/>
      <c r="BJ416" s="530"/>
      <c r="BK416" s="530"/>
      <c r="BL416" s="530"/>
      <c r="BM416" s="530"/>
      <c r="BN416" s="530"/>
      <c r="BO416" s="530"/>
      <c r="BP416" s="530"/>
      <c r="BQ416" s="530"/>
      <c r="BR416" s="530"/>
      <c r="BS416" s="530"/>
      <c r="BT416" s="530"/>
      <c r="BU416" s="530"/>
      <c r="BV416" s="530"/>
      <c r="BW416" s="530"/>
      <c r="BX416" s="530"/>
      <c r="BY416" s="530"/>
      <c r="BZ416" s="530"/>
      <c r="CA416" s="530"/>
      <c r="CB416" s="530"/>
      <c r="CC416" s="530"/>
      <c r="CD416" s="530"/>
      <c r="CE416" s="530"/>
      <c r="CF416" s="530"/>
      <c r="CG416" s="530"/>
      <c r="CH416" s="530"/>
      <c r="CI416" s="530"/>
      <c r="CJ416" s="530"/>
      <c r="CK416" s="530"/>
      <c r="CL416" s="530"/>
      <c r="CM416" s="530"/>
      <c r="CN416" s="530"/>
      <c r="CO416" s="530"/>
      <c r="CP416" s="530"/>
      <c r="CQ416" s="530"/>
      <c r="CR416" s="530"/>
      <c r="CS416" s="530"/>
      <c r="CT416" s="530"/>
      <c r="CU416" s="530"/>
      <c r="CV416" s="530"/>
      <c r="CW416" s="530"/>
      <c r="CX416" s="530"/>
      <c r="CY416" s="530"/>
      <c r="CZ416" s="530"/>
      <c r="DA416" s="530"/>
      <c r="DB416" s="530"/>
      <c r="DC416" s="530"/>
      <c r="DD416" s="530"/>
      <c r="DE416" s="530"/>
      <c r="DF416" s="530"/>
      <c r="DG416" s="530"/>
      <c r="DH416" s="530"/>
      <c r="DI416" s="530"/>
      <c r="DJ416" s="530"/>
      <c r="DK416" s="530"/>
      <c r="DL416" s="530"/>
      <c r="DM416" s="530"/>
      <c r="DN416" s="530"/>
      <c r="DO416" s="530"/>
      <c r="DP416" s="530"/>
      <c r="DQ416" s="530"/>
      <c r="DR416" s="530"/>
      <c r="DS416" s="530"/>
      <c r="DT416" s="530"/>
      <c r="DU416" s="530"/>
      <c r="DW416" s="336">
        <f t="shared" si="2591"/>
        <v>0</v>
      </c>
      <c r="DX416" s="336">
        <f t="shared" si="2592"/>
        <v>0</v>
      </c>
      <c r="DY416" s="336">
        <f t="shared" si="2593"/>
        <v>0</v>
      </c>
      <c r="DZ416" s="336">
        <f t="shared" si="2594"/>
        <v>0</v>
      </c>
      <c r="EA416" s="336">
        <f t="shared" si="2595"/>
        <v>0</v>
      </c>
      <c r="EB416" s="336">
        <f t="shared" si="2596"/>
        <v>0</v>
      </c>
      <c r="EC416" s="336">
        <f t="shared" si="2597"/>
        <v>0</v>
      </c>
      <c r="ED416" s="336">
        <f t="shared" si="2515"/>
        <v>0</v>
      </c>
      <c r="EE416" s="336">
        <f t="shared" si="2516"/>
        <v>0</v>
      </c>
      <c r="EF416" s="336">
        <f t="shared" si="2517"/>
        <v>0</v>
      </c>
      <c r="EG416" s="336">
        <f t="shared" si="2518"/>
        <v>0</v>
      </c>
      <c r="EH416" s="336">
        <f t="shared" si="2519"/>
        <v>0</v>
      </c>
      <c r="EI416" s="336">
        <f t="shared" si="2520"/>
        <v>0</v>
      </c>
      <c r="EJ416" s="336">
        <f t="shared" si="2521"/>
        <v>0</v>
      </c>
      <c r="EK416" s="336">
        <f t="shared" si="2522"/>
        <v>0</v>
      </c>
      <c r="EL416" s="336">
        <f t="shared" si="2523"/>
        <v>0</v>
      </c>
      <c r="EM416" s="336">
        <f t="shared" si="2524"/>
        <v>0</v>
      </c>
      <c r="EN416" s="336">
        <f t="shared" si="2525"/>
        <v>0</v>
      </c>
      <c r="EO416" s="336">
        <f t="shared" si="2526"/>
        <v>0</v>
      </c>
      <c r="EP416" s="336">
        <f t="shared" si="2527"/>
        <v>0</v>
      </c>
      <c r="EQ416" s="336">
        <f t="shared" si="2528"/>
        <v>0</v>
      </c>
      <c r="ER416" s="336">
        <f t="shared" si="2529"/>
        <v>0</v>
      </c>
      <c r="ES416" s="336">
        <f t="shared" si="2530"/>
        <v>0</v>
      </c>
      <c r="ET416" s="336">
        <f t="shared" si="2530"/>
        <v>0</v>
      </c>
      <c r="EU416" s="336">
        <f t="shared" si="2531"/>
        <v>0</v>
      </c>
      <c r="EV416" s="336">
        <f t="shared" si="2532"/>
        <v>0</v>
      </c>
      <c r="EW416" s="336">
        <f t="shared" si="2533"/>
        <v>0</v>
      </c>
      <c r="EX416" s="336">
        <f t="shared" si="2534"/>
        <v>0</v>
      </c>
      <c r="EY416" s="336">
        <f t="shared" si="2535"/>
        <v>0</v>
      </c>
      <c r="EZ416" s="336">
        <f t="shared" si="2536"/>
        <v>0</v>
      </c>
      <c r="FA416" s="336">
        <f t="shared" si="2537"/>
        <v>0</v>
      </c>
      <c r="FB416" s="336">
        <f t="shared" si="2538"/>
        <v>0</v>
      </c>
      <c r="FC416" s="336">
        <f t="shared" si="2539"/>
        <v>0</v>
      </c>
      <c r="FD416" s="336">
        <f t="shared" si="2540"/>
        <v>0</v>
      </c>
      <c r="FE416" s="336">
        <f t="shared" si="2541"/>
        <v>0</v>
      </c>
      <c r="FF416" s="336">
        <f t="shared" si="2542"/>
        <v>0</v>
      </c>
      <c r="FG416" s="336">
        <f t="shared" si="2543"/>
        <v>0</v>
      </c>
      <c r="FH416" s="336">
        <f t="shared" si="2544"/>
        <v>0</v>
      </c>
      <c r="FI416" s="336">
        <f t="shared" si="2545"/>
        <v>0</v>
      </c>
      <c r="FJ416" s="336">
        <f t="shared" si="2546"/>
        <v>0</v>
      </c>
      <c r="FK416" s="336">
        <f t="shared" si="2547"/>
        <v>0</v>
      </c>
      <c r="FL416" s="336">
        <f t="shared" si="2548"/>
        <v>0</v>
      </c>
      <c r="FM416" s="336">
        <f t="shared" si="2549"/>
        <v>0</v>
      </c>
      <c r="FN416" s="336">
        <f t="shared" si="2550"/>
        <v>0</v>
      </c>
      <c r="FO416" s="336">
        <f t="shared" si="2551"/>
        <v>0</v>
      </c>
      <c r="FP416" s="336">
        <f t="shared" si="2552"/>
        <v>0</v>
      </c>
      <c r="FQ416" s="336">
        <f t="shared" si="2553"/>
        <v>0</v>
      </c>
      <c r="FR416" s="336">
        <f t="shared" si="2554"/>
        <v>0</v>
      </c>
      <c r="FS416" s="336">
        <f t="shared" si="2555"/>
        <v>0</v>
      </c>
      <c r="FT416" s="336">
        <f t="shared" si="2556"/>
        <v>0</v>
      </c>
      <c r="FU416" s="336">
        <f t="shared" si="2638"/>
        <v>0</v>
      </c>
      <c r="FV416" s="336">
        <f t="shared" si="2639"/>
        <v>0</v>
      </c>
      <c r="FW416" s="336">
        <f t="shared" si="2640"/>
        <v>0</v>
      </c>
      <c r="FX416" s="336">
        <f t="shared" si="2641"/>
        <v>0</v>
      </c>
      <c r="FY416" s="336">
        <f t="shared" si="2557"/>
        <v>0</v>
      </c>
      <c r="FZ416" s="336">
        <f t="shared" si="2558"/>
        <v>0</v>
      </c>
      <c r="GA416" s="336">
        <f t="shared" si="2559"/>
        <v>0</v>
      </c>
      <c r="GB416" s="336">
        <f t="shared" si="2560"/>
        <v>0</v>
      </c>
      <c r="GC416" s="336">
        <f t="shared" si="2561"/>
        <v>0</v>
      </c>
      <c r="GD416" s="336">
        <f t="shared" si="2562"/>
        <v>0</v>
      </c>
      <c r="GE416" s="336">
        <f t="shared" si="2563"/>
        <v>0</v>
      </c>
      <c r="GF416" s="336">
        <f t="shared" si="2564"/>
        <v>0</v>
      </c>
      <c r="GG416" s="336">
        <f t="shared" si="2565"/>
        <v>0</v>
      </c>
      <c r="GH416" s="336">
        <f t="shared" si="2566"/>
        <v>0</v>
      </c>
      <c r="GI416" s="336">
        <f t="shared" si="2567"/>
        <v>0</v>
      </c>
      <c r="GJ416" s="336">
        <f t="shared" si="2568"/>
        <v>0</v>
      </c>
      <c r="GK416" s="336">
        <f t="shared" si="2513"/>
        <v>0</v>
      </c>
      <c r="GL416" s="336">
        <f t="shared" si="2642"/>
        <v>0</v>
      </c>
      <c r="GM416" s="336">
        <f t="shared" si="2569"/>
        <v>0</v>
      </c>
    </row>
    <row r="417" spans="1:195" s="76" customFormat="1" ht="27" customHeight="1">
      <c r="A417" s="476"/>
      <c r="B417" s="476"/>
      <c r="C417" s="476"/>
      <c r="D417" s="575" t="s">
        <v>895</v>
      </c>
      <c r="E417" s="478"/>
      <c r="F417" s="856"/>
      <c r="G417" s="476"/>
      <c r="H417" s="479"/>
      <c r="I417" s="476"/>
      <c r="J417" s="476"/>
      <c r="K417" s="480"/>
      <c r="L417" s="481"/>
      <c r="M417" s="479"/>
      <c r="N417" s="482"/>
      <c r="O417" s="482"/>
      <c r="P417" s="481"/>
      <c r="Q417" s="479"/>
      <c r="R417" s="479"/>
      <c r="S417" s="479"/>
      <c r="T417" s="481"/>
      <c r="U417" s="479"/>
      <c r="V417" s="481"/>
      <c r="W417" s="481"/>
      <c r="X417" s="481"/>
      <c r="Y417" s="481"/>
      <c r="Z417" s="483"/>
      <c r="AA417" s="484"/>
      <c r="AB417" s="484"/>
      <c r="AC417" s="457"/>
      <c r="AD417" s="457"/>
      <c r="AE417" s="457"/>
      <c r="AF417" s="457"/>
      <c r="AG417" s="457"/>
      <c r="AH417" s="486"/>
      <c r="AI417" s="483"/>
      <c r="AJ417" s="482"/>
      <c r="AK417" s="483"/>
      <c r="AL417" s="483"/>
      <c r="AM417" s="483"/>
      <c r="AN417" s="487"/>
      <c r="AO417" s="479"/>
      <c r="AP417" s="480"/>
      <c r="AQ417" s="479"/>
      <c r="AR417" s="487"/>
      <c r="AS417" s="481"/>
      <c r="AT417" s="487"/>
      <c r="AU417" s="487"/>
      <c r="AV417" s="488"/>
      <c r="AW417" s="488"/>
      <c r="AX417" s="481"/>
      <c r="AY417" s="489"/>
      <c r="AZ417" s="489"/>
      <c r="BA417" s="490"/>
      <c r="BB417" s="490"/>
      <c r="BC417" s="490"/>
      <c r="BE417" s="573"/>
      <c r="BF417" s="573"/>
      <c r="BG417" s="573"/>
      <c r="BH417" s="573"/>
      <c r="BI417" s="573"/>
      <c r="BJ417" s="573"/>
      <c r="BK417" s="573"/>
      <c r="BL417" s="573"/>
      <c r="BM417" s="573"/>
      <c r="BN417" s="573"/>
      <c r="BO417" s="573"/>
      <c r="BP417" s="573"/>
      <c r="BQ417" s="573"/>
      <c r="BR417" s="573"/>
      <c r="BS417" s="573"/>
      <c r="BT417" s="573"/>
      <c r="BU417" s="573"/>
      <c r="BV417" s="573"/>
      <c r="BW417" s="573"/>
      <c r="BX417" s="573"/>
      <c r="BY417" s="573"/>
      <c r="BZ417" s="573"/>
      <c r="CA417" s="573"/>
      <c r="CB417" s="573"/>
      <c r="CC417" s="573"/>
      <c r="CD417" s="573"/>
      <c r="CE417" s="573"/>
      <c r="CF417" s="573"/>
      <c r="CG417" s="573"/>
      <c r="CH417" s="573"/>
      <c r="CI417" s="573"/>
      <c r="CJ417" s="573"/>
      <c r="CK417" s="573"/>
      <c r="CL417" s="573"/>
      <c r="CM417" s="573"/>
      <c r="CN417" s="573"/>
      <c r="CO417" s="573"/>
      <c r="CP417" s="573"/>
      <c r="CQ417" s="573"/>
      <c r="CR417" s="573"/>
      <c r="CS417" s="573"/>
      <c r="CT417" s="573"/>
      <c r="CU417" s="573"/>
      <c r="CV417" s="573"/>
      <c r="CW417" s="573"/>
      <c r="CX417" s="573"/>
      <c r="CY417" s="573"/>
      <c r="CZ417" s="573"/>
      <c r="DA417" s="573"/>
      <c r="DB417" s="573"/>
      <c r="DC417" s="573"/>
      <c r="DD417" s="573"/>
      <c r="DE417" s="573"/>
      <c r="DF417" s="573"/>
      <c r="DG417" s="573"/>
      <c r="DH417" s="573"/>
      <c r="DI417" s="573"/>
      <c r="DJ417" s="573"/>
      <c r="DK417" s="573"/>
      <c r="DL417" s="573"/>
      <c r="DM417" s="573"/>
      <c r="DN417" s="573"/>
      <c r="DO417" s="573"/>
      <c r="DP417" s="573"/>
      <c r="DQ417" s="573"/>
      <c r="DR417" s="573"/>
      <c r="DS417" s="573"/>
      <c r="DT417" s="573"/>
      <c r="DU417" s="573"/>
      <c r="DV417" s="61"/>
      <c r="DW417" s="336">
        <f t="shared" ref="DW417:DW443" si="2731">IF(BE417=1,($BC417*BE417),0)</f>
        <v>0</v>
      </c>
      <c r="DX417" s="336">
        <f t="shared" ref="DX417:DX443" si="2732">IF(BF417=1,($BC417*BF417),0)</f>
        <v>0</v>
      </c>
      <c r="DY417" s="336">
        <f t="shared" ref="DY417:DY443" si="2733">IF(BG417=1,($BC417*BG417),0)</f>
        <v>0</v>
      </c>
      <c r="DZ417" s="336">
        <f t="shared" ref="DZ417:DZ443" si="2734">IF(BH417=1,($BC417*BH417),0)</f>
        <v>0</v>
      </c>
      <c r="EA417" s="336">
        <f t="shared" ref="EA417:EA443" si="2735">IF(BI417=1,($BC417*BI417),0)</f>
        <v>0</v>
      </c>
      <c r="EB417" s="336">
        <f t="shared" ref="EB417:EB443" si="2736">IF(BJ417=1,($BC417*BJ417),0)</f>
        <v>0</v>
      </c>
      <c r="EC417" s="336">
        <f t="shared" ref="EC417:EC443" si="2737">IF(BK417=1,($BC417*BK417),0)</f>
        <v>0</v>
      </c>
      <c r="ED417" s="336">
        <f t="shared" si="2515"/>
        <v>0</v>
      </c>
      <c r="EE417" s="336">
        <f t="shared" si="2516"/>
        <v>0</v>
      </c>
      <c r="EF417" s="336">
        <f t="shared" si="2517"/>
        <v>0</v>
      </c>
      <c r="EG417" s="336">
        <f t="shared" si="2518"/>
        <v>0</v>
      </c>
      <c r="EH417" s="336">
        <f t="shared" si="2519"/>
        <v>0</v>
      </c>
      <c r="EI417" s="336">
        <f t="shared" si="2520"/>
        <v>0</v>
      </c>
      <c r="EJ417" s="336">
        <f t="shared" si="2521"/>
        <v>0</v>
      </c>
      <c r="EK417" s="336">
        <f t="shared" si="2522"/>
        <v>0</v>
      </c>
      <c r="EL417" s="336">
        <f t="shared" si="2523"/>
        <v>0</v>
      </c>
      <c r="EM417" s="336">
        <f t="shared" si="2524"/>
        <v>0</v>
      </c>
      <c r="EN417" s="336">
        <f t="shared" si="2525"/>
        <v>0</v>
      </c>
      <c r="EO417" s="336">
        <f t="shared" si="2526"/>
        <v>0</v>
      </c>
      <c r="EP417" s="336">
        <f t="shared" si="2527"/>
        <v>0</v>
      </c>
      <c r="EQ417" s="336">
        <f t="shared" si="2528"/>
        <v>0</v>
      </c>
      <c r="ER417" s="336">
        <f t="shared" si="2529"/>
        <v>0</v>
      </c>
      <c r="ES417" s="336">
        <f t="shared" si="2530"/>
        <v>0</v>
      </c>
      <c r="ET417" s="336">
        <f t="shared" si="2530"/>
        <v>0</v>
      </c>
      <c r="EU417" s="336">
        <f t="shared" si="2531"/>
        <v>0</v>
      </c>
      <c r="EV417" s="336">
        <f t="shared" si="2532"/>
        <v>0</v>
      </c>
      <c r="EW417" s="336">
        <f t="shared" si="2533"/>
        <v>0</v>
      </c>
      <c r="EX417" s="336">
        <f t="shared" si="2534"/>
        <v>0</v>
      </c>
      <c r="EY417" s="336">
        <f t="shared" si="2535"/>
        <v>0</v>
      </c>
      <c r="EZ417" s="336">
        <f t="shared" si="2536"/>
        <v>0</v>
      </c>
      <c r="FA417" s="336">
        <f t="shared" si="2537"/>
        <v>0</v>
      </c>
      <c r="FB417" s="336">
        <f t="shared" si="2538"/>
        <v>0</v>
      </c>
      <c r="FC417" s="336">
        <f t="shared" si="2539"/>
        <v>0</v>
      </c>
      <c r="FD417" s="336">
        <f t="shared" si="2540"/>
        <v>0</v>
      </c>
      <c r="FE417" s="336">
        <f t="shared" si="2541"/>
        <v>0</v>
      </c>
      <c r="FF417" s="336">
        <f t="shared" si="2542"/>
        <v>0</v>
      </c>
      <c r="FG417" s="336">
        <f t="shared" si="2543"/>
        <v>0</v>
      </c>
      <c r="FH417" s="336">
        <f t="shared" si="2544"/>
        <v>0</v>
      </c>
      <c r="FI417" s="336">
        <f t="shared" si="2545"/>
        <v>0</v>
      </c>
      <c r="FJ417" s="336">
        <f t="shared" si="2546"/>
        <v>0</v>
      </c>
      <c r="FK417" s="336">
        <f t="shared" si="2547"/>
        <v>0</v>
      </c>
      <c r="FL417" s="336">
        <f t="shared" si="2548"/>
        <v>0</v>
      </c>
      <c r="FM417" s="336">
        <f t="shared" si="2549"/>
        <v>0</v>
      </c>
      <c r="FN417" s="336">
        <f t="shared" si="2550"/>
        <v>0</v>
      </c>
      <c r="FO417" s="492">
        <f t="shared" si="2551"/>
        <v>0</v>
      </c>
      <c r="FP417" s="492">
        <f t="shared" si="2552"/>
        <v>0</v>
      </c>
      <c r="FQ417" s="492">
        <f t="shared" si="2553"/>
        <v>0</v>
      </c>
      <c r="FR417" s="492">
        <f t="shared" si="2554"/>
        <v>0</v>
      </c>
      <c r="FS417" s="492">
        <f t="shared" si="2555"/>
        <v>0</v>
      </c>
      <c r="FT417" s="492">
        <f t="shared" si="2556"/>
        <v>0</v>
      </c>
      <c r="FU417" s="336">
        <f t="shared" si="2638"/>
        <v>0</v>
      </c>
      <c r="FV417" s="336">
        <f t="shared" si="2639"/>
        <v>0</v>
      </c>
      <c r="FW417" s="336">
        <f t="shared" si="2640"/>
        <v>0</v>
      </c>
      <c r="FX417" s="336">
        <f t="shared" si="2641"/>
        <v>0</v>
      </c>
      <c r="FY417" s="492">
        <f t="shared" si="2557"/>
        <v>0</v>
      </c>
      <c r="FZ417" s="492">
        <f t="shared" si="2558"/>
        <v>0</v>
      </c>
      <c r="GA417" s="492">
        <f t="shared" si="2559"/>
        <v>0</v>
      </c>
      <c r="GB417" s="492">
        <f t="shared" si="2560"/>
        <v>0</v>
      </c>
      <c r="GC417" s="492">
        <f t="shared" si="2561"/>
        <v>0</v>
      </c>
      <c r="GD417" s="492">
        <f t="shared" si="2562"/>
        <v>0</v>
      </c>
      <c r="GE417" s="492">
        <f t="shared" si="2563"/>
        <v>0</v>
      </c>
      <c r="GF417" s="492">
        <f t="shared" si="2564"/>
        <v>0</v>
      </c>
      <c r="GG417" s="492">
        <f t="shared" si="2565"/>
        <v>0</v>
      </c>
      <c r="GH417" s="492">
        <f t="shared" si="2566"/>
        <v>0</v>
      </c>
      <c r="GI417" s="492">
        <f t="shared" si="2567"/>
        <v>0</v>
      </c>
      <c r="GJ417" s="492">
        <f t="shared" si="2568"/>
        <v>0</v>
      </c>
      <c r="GK417" s="492">
        <f t="shared" si="2513"/>
        <v>0</v>
      </c>
      <c r="GL417" s="336">
        <f t="shared" si="2642"/>
        <v>0</v>
      </c>
      <c r="GM417" s="492">
        <f t="shared" si="2569"/>
        <v>0</v>
      </c>
    </row>
    <row r="418" spans="1:195" ht="33" customHeight="1">
      <c r="A418" s="337">
        <f>1+A416</f>
        <v>287</v>
      </c>
      <c r="B418" s="337"/>
      <c r="C418" s="337" t="str">
        <f>$D$417</f>
        <v>CENTRAL CONTROL BUILDING HVAC DB</v>
      </c>
      <c r="D418" s="372" t="s">
        <v>896</v>
      </c>
      <c r="E418" s="453" t="s">
        <v>555</v>
      </c>
      <c r="F418" s="858"/>
      <c r="G418" s="337" t="s">
        <v>329</v>
      </c>
      <c r="H418" s="583">
        <v>0.55000000000000004</v>
      </c>
      <c r="I418" s="337" t="s">
        <v>330</v>
      </c>
      <c r="J418" s="337" t="s">
        <v>331</v>
      </c>
      <c r="K418" s="349">
        <v>400</v>
      </c>
      <c r="L418" s="343">
        <v>0.84999999999999987</v>
      </c>
      <c r="M418" s="350">
        <v>0.95099999999999985</v>
      </c>
      <c r="N418" s="342">
        <f t="shared" ref="N418:N443" si="2738">IF(I418="kVA",IF(J418="3Ph",(H418*1000/(1.732*M418*K418)),(H418*1000/(M418*K418))),IF(I418="kW",IF(J418="3Ph",(H418*1000/(1.732*M418*K418*L418)),(H418*1000/(M418*K418*L418)))))</f>
        <v>0.9820992238773395</v>
      </c>
      <c r="O418" s="342">
        <f t="shared" ref="O418:O442" si="2739">IF(G418="MOTOR",(6*N418),IF(G418="VFD",(1*N418),0))</f>
        <v>0</v>
      </c>
      <c r="P418" s="343" t="str">
        <f t="shared" ref="P418:P442" si="2740">IF(G418="MOTOR",0.2,"0.00")</f>
        <v>0.00</v>
      </c>
      <c r="Q418" s="350">
        <v>25</v>
      </c>
      <c r="R418" s="350">
        <v>0</v>
      </c>
      <c r="S418" s="350">
        <f t="shared" ref="S418:S442" si="2741">(Q418*1000*SQRT(R418)/143)</f>
        <v>0</v>
      </c>
      <c r="T418" s="343" t="s">
        <v>131</v>
      </c>
      <c r="U418" s="350" t="s">
        <v>522</v>
      </c>
      <c r="V418" s="343">
        <v>4</v>
      </c>
      <c r="W418" s="343" t="str">
        <f t="shared" ref="W418:W442" si="2742">CONCATENATE(U418," X ",V418)</f>
        <v>4C X 4</v>
      </c>
      <c r="X418" s="343" t="str">
        <f t="shared" ref="X418:X442" si="2743">(IF(J418="1Ph",W418,IF(J418="3Ph",(IF(G418="MOTOR",(CONCATENATE(W418,"+PE")),W418)))))</f>
        <v>4C X 4</v>
      </c>
      <c r="Y418" s="343" t="s">
        <v>358</v>
      </c>
      <c r="Z418" s="344">
        <f>IF(T418="AIR",VLOOKUP(W418,'Catalogue Aluminium'!$B$9:$G$93,2,FALSE),IF(T418="GROUND",VLOOKUP(W418,'Catalogue Aluminium'!$B$9:$G$93,3,FALSE),IF(T418="DUCT",VLOOKUP(W418,'Catalogue Aluminium'!$B$9:$G$93,4,FALSE),IF(T418="TRENCH",VLOOKUP(W418,'Catalogue Aluminium'!$B$9:$G$93,2,FALSE)))))</f>
        <v>38</v>
      </c>
      <c r="AA418" s="345">
        <f>VLOOKUP(W418,'Catalogue Aluminium'!$B$9:$G$93,5,FALSE)</f>
        <v>5.9</v>
      </c>
      <c r="AB418" s="345">
        <f>VLOOKUP(W418,'Catalogue Aluminium'!$B$9:$G$93,6,FALSE)</f>
        <v>9.4700000000000006E-2</v>
      </c>
      <c r="AC418" s="863">
        <f t="shared" ref="AC418:AC442" si="2744">23+15</f>
        <v>38</v>
      </c>
      <c r="AD418" s="863">
        <v>0</v>
      </c>
      <c r="AE418" s="401">
        <v>10</v>
      </c>
      <c r="AF418" s="401">
        <v>5</v>
      </c>
      <c r="AG418" s="401">
        <f t="shared" ref="AG418:AG442" si="2745">ROUNDUP((SUM(AC418:AF418)*0.1),0)</f>
        <v>6</v>
      </c>
      <c r="AH418" s="347">
        <f t="shared" ref="AH418:AH442" si="2746">SUM(AC418:AG418)</f>
        <v>59</v>
      </c>
      <c r="AI418" s="344">
        <f>IF(T418="AIR",'Catalogue Aluminium'!$K$9,IF(T418="TRENCH",'Catalogue Aluminium'!$K$12,"NA"))</f>
        <v>0.89</v>
      </c>
      <c r="AJ418" s="342">
        <f>IF(T418="Air",(IF(U418="1C",'Catalogue Aluminium'!$L$9,'Catalogue Aluminium'!$M$9)),IF(T418="DUCT",(IF($U418="1C",'Catalogue Aluminium'!$L$10,'Catalogue Aluminium'!$M$10)),IF(T418="GROUND",(IF($U418="1C",'Catalogue Aluminium'!$L$11,'Catalogue Aluminium'!$M$11)),IF(T418="TRENCH",(IF($U418="1C",'Catalogue Aluminium'!$L$12,'Catalogue Aluminium'!$M$12))))))</f>
        <v>0.66</v>
      </c>
      <c r="AK418" s="344" t="str">
        <f>IF(T418="Air",'Catalogue Aluminium'!$N$9,IF(T418="GROUND",'Catalogue Aluminium'!$N$10,IF(T418="DUCT",'Catalogue Aluminium'!$N$11,IF(T418="TRENCH",'Catalogue Aluminium'!$N$12,"NA"))))</f>
        <v>NA</v>
      </c>
      <c r="AL418" s="344" t="str">
        <f>IF(T418="Air",(IF(U418="1C",'Catalogue Aluminium'!$O$9,'Catalogue Aluminium'!$P$9)),IF(T418="DUCT",(IF($U418="1C",'Catalogue Aluminium'!$O$10,'Catalogue Aluminium'!$P$10)),IF(T418="GROUND",(IF($U418="1C",'Catalogue Aluminium'!$O$11,'Catalogue Aluminium'!$P$11)),IF(T418="TRENCH",(IF($U418="1C",'Catalogue Aluminium'!$O$12,'Catalogue Aluminium'!$P$12))))))</f>
        <v>NA</v>
      </c>
      <c r="AM418" s="344" t="str">
        <f>IF(T418="AIR","NA",IF(T418="TRENCH","NA",IF(T418="DUCT",IF(U418="1C",VLOOKUP(V418,'Catalogue Aluminium'!$Q$9:$S$28,2,FALSE),VLOOKUP(V418,'Catalogue Aluminium'!$Q$9:$S$28,3)),IF(T418="GROUND",IF(U418="1C",VLOOKUP(V418,'Catalogue Aluminium'!$Q$9:$S$28,2,FALSE),VLOOKUP(V418,'Catalogue Aluminium'!$Q$9:$S$28,3))))))</f>
        <v>NA</v>
      </c>
      <c r="AN418" s="351">
        <f t="shared" ref="AN418:AN442" si="2747">IF(T418="AIR",AI418*AJ418,IF(T418="TRENCH",AI418*AJ418,IF(T418="DUCT",AJ418*AK418*AL418*AM418,IF(T418="GROUND",AJ418*AK418*AL418*AM418))))</f>
        <v>0.58740000000000003</v>
      </c>
      <c r="AO418" s="350">
        <f t="shared" ref="AO418:AO442" si="2748">Z418*AN418</f>
        <v>22.321200000000001</v>
      </c>
      <c r="AP418" s="349">
        <f t="shared" ref="AP418:AP442" si="2749">CEILING(((N418)/AO418),1)</f>
        <v>1</v>
      </c>
      <c r="AQ418" s="350" t="str">
        <f t="shared" ref="AQ418:AQ442" si="2750">IF(AO418*AP418&gt;=N418,"YES","NO")</f>
        <v>YES</v>
      </c>
      <c r="AR418" s="351">
        <f t="shared" ref="AR418:AR442" si="2751">SQRT(3)*AH418*N418*((AA418*L418)+(AB418*SIN(ACOS(L418))))*100/(AP418*K418*1000)</f>
        <v>0.12708014969495249</v>
      </c>
      <c r="AS418" s="343" t="str">
        <f t="shared" ref="AS418:AS442" si="2752">IF(G418="INCOMER",(IF(AR418&lt;=2,"YES","NO")),IF(G418="POWER",(IF(AR418&lt;=2.5,"YES","NO")),IF(G418="MOTOR",(IF(AR418&lt;=3,"YES","NO")))))</f>
        <v>YES</v>
      </c>
      <c r="AT418" s="351" t="str">
        <f t="shared" ref="AT418:AT442" si="2753">IF(G418="MOTOR",(SQRT(3)*AH418*O418*((AA418*P418)+(AB418*SIN(ACOS(P418))))*100/(AP418*K418*1000)),"NA")</f>
        <v>NA</v>
      </c>
      <c r="AU418" s="343" t="str">
        <f t="shared" ref="AU418:AU442" si="2754">IF(G418="MOTOR",IF(AT418&lt;=15,"YES","NO"),"NA")</f>
        <v>NA</v>
      </c>
      <c r="AV418" s="354" t="str">
        <f t="shared" ref="AV418:AV442" si="2755">IF(U418="1C",CONCATENATE(AP418,"R x ",Y418,"kV x ",U418," x ",V418," Sqmm/Phase"),CONCATENATE(AP418,"R x ",0.6,"/1kV x ",U418," x ",V418," Sqmm"))</f>
        <v>1R x 0.6/1kV x 4C x 4 Sqmm</v>
      </c>
      <c r="AW418" s="354" t="str">
        <f t="shared" ref="AW418:AW442" si="2756">IF(U418="1C",CONCATENATE(AP418,"R x ",Y418,"kV x ",U418," x ",V418," Sqmm/Phase"),CONCATENATE(AP418,"R x ",0.6,"/1kV x ",U418," x ",V418,(IF(G418="MOTOR","+PE",""))," Sqmm"))</f>
        <v>1R x 0.6/1kV x 4C x 4 Sqmm</v>
      </c>
      <c r="AX418" s="343">
        <f t="shared" ref="AX418:AX436" si="2757">(IF(K418=400,(IF(U418="1C",(4*AH418*AP418),(AH418*AP418))),IF(K418=690,(IF(U418="1C",(3*AH418*AP418),(AH418*AP418))),(AH418*AP418))))</f>
        <v>59</v>
      </c>
      <c r="AY418" s="355"/>
      <c r="AZ418" s="355">
        <f t="shared" ref="AZ418:AZ436" si="2758">IF(U418="1C",(3*AP418*2),(AP418*2))</f>
        <v>2</v>
      </c>
      <c r="BA418" s="356" t="str">
        <f t="shared" ref="BA418:BA442" si="2759">CONCATENATE(IF(BE418=1,BE$4,""),IF(BF418=1,BF$4,""),IF(BG418=1,BG$4,""),IF(BH418=1,BH$4,""),IF(BI418=1,BI$4,""),IF(BJ418=1,BJ$4,""),IF(BK418=1,BK$4,""),IF(BL418=1,BL$4,""),IF(BM418=1,BM$4,""),IF(BN418=1,BN$4,""),IF(BO418=1,BO$4,""),IF(BP418=1,BP$4,""),IF(BQ418=1,BQ$4,""),IF(BR418=1,BR$4,""),IF(BS418=1,BS$4,""),IF(BT418=1,BT$4,""),IF(BU418=1,BU$4,""),IF(BV418=1,BV$4,""),IF(BW418=1,BW$4,""),IF(BX418=1,BX$4,""),IF(BY418=1,BY$4,""),IF(BZ418=1,BZ$4,""),IF(CA418=1,CA$4,""),IF(CB418=1,CB$4,""),IF(CC418=1,CC$4,""),IF(CD418=1,CD$4,""),IF(CE418=1,CE$4,""),IF(CF418=1,CF$4,""),IF(CG418=1,CG$4,""),IF(CH418=1,CH$4,""),IF(CI418=1,CI$4,""),IF(CJ418=1,CJ$4,""),IF(CK418=1,CK$4,""),IF(CL418=1,CL$4,""),IF(CM418=1,CM$4,""),IF(CN418=1,CN$4,""),IF(CO418=1,CO$4,""),IF(CP418=1,CP$4,""),IF(CQ418=1,CQ$4,""),IF(CR418=1,CR$4,""),IF(CS418=1,CS$4,""),IF(CT418=1,CT$4,""),IF(CU418=1,CU$4,""),IF(CV418=1,CV$4,""),IF(CW418=1,CW$4,""),IF(CX418=1,CX$4,""),IF(CY418=1,CY$4,""),IF(CZ418=1,CZ$4,""),IF(DA418=1,DA$4,""),IF(DB418=1,DB$4,""),IF(DC418=1,DC$4,""),IF(DD418=1,DD$4,""),IF(DE418=1,DE$4,""),IF(DF418=1,DF$4,""),IF(DG418=1,DG$4,""),IF(DH418=1,DH$4,""),IF(DI418=1,DI$4,""),IF(DJ418=1,DJ$4,""),IF(DK418=1,DK$4,""),IF(DL418=1,DL$4,""),IF(DM418=1,DM$4,""),IF(DN418=1,DN$4,""),IF(DO418=1,DO$4,""),IF(DP418=1,DP$4,""),IF(DQ418=1,DQ$4,""),IF(DR418=1,DR$4,""),IF(DS418=1,DS$4,""),IF(DT418=1,DT$4,""),IF(DU418=1,DU$4,""))</f>
        <v/>
      </c>
      <c r="BB418" s="501">
        <f>VLOOKUP(W418,'Catalogue Aluminium'!$B$9:$H$93,7,FALSE)</f>
        <v>16</v>
      </c>
      <c r="BC418" s="328">
        <f t="shared" ref="BC418:BC436" si="2760">AP418*BB418</f>
        <v>16</v>
      </c>
      <c r="BE418" s="336"/>
      <c r="BF418" s="336"/>
      <c r="BG418" s="336"/>
      <c r="BH418" s="336"/>
      <c r="BI418" s="336"/>
      <c r="BJ418" s="336"/>
      <c r="BK418" s="336"/>
      <c r="BL418" s="336"/>
      <c r="BM418" s="336"/>
      <c r="BN418" s="336"/>
      <c r="BO418" s="336"/>
      <c r="BP418" s="336"/>
      <c r="BQ418" s="336"/>
      <c r="BR418" s="336"/>
      <c r="BS418" s="336"/>
      <c r="BT418" s="336"/>
      <c r="BU418" s="336"/>
      <c r="BV418" s="336"/>
      <c r="BW418" s="336"/>
      <c r="BX418" s="336"/>
      <c r="BY418" s="336"/>
      <c r="BZ418" s="336"/>
      <c r="CA418" s="336"/>
      <c r="CB418" s="336"/>
      <c r="CC418" s="336"/>
      <c r="CD418" s="336"/>
      <c r="CE418" s="336"/>
      <c r="CF418" s="336"/>
      <c r="CG418" s="336"/>
      <c r="CH418" s="336"/>
      <c r="CI418" s="336"/>
      <c r="CJ418" s="336"/>
      <c r="CK418" s="336"/>
      <c r="CL418" s="336"/>
      <c r="CM418" s="336"/>
      <c r="CN418" s="336"/>
      <c r="CO418" s="336"/>
      <c r="CP418" s="336"/>
      <c r="CQ418" s="336"/>
      <c r="CR418" s="336"/>
      <c r="CS418" s="336"/>
      <c r="CT418" s="336"/>
      <c r="CU418" s="336"/>
      <c r="CV418" s="336"/>
      <c r="CW418" s="336"/>
      <c r="CX418" s="336"/>
      <c r="CY418" s="336"/>
      <c r="CZ418" s="336"/>
      <c r="DA418" s="336"/>
      <c r="DB418" s="336"/>
      <c r="DC418" s="336"/>
      <c r="DD418" s="336"/>
      <c r="DE418" s="336"/>
      <c r="DF418" s="336"/>
      <c r="DG418" s="336"/>
      <c r="DH418" s="336"/>
      <c r="DI418" s="336"/>
      <c r="DJ418" s="336"/>
      <c r="DK418" s="336"/>
      <c r="DL418" s="336"/>
      <c r="DM418" s="336"/>
      <c r="DN418" s="336"/>
      <c r="DO418" s="336"/>
      <c r="DP418" s="336"/>
      <c r="DQ418" s="336"/>
      <c r="DR418" s="336"/>
      <c r="DS418" s="336"/>
      <c r="DT418" s="336"/>
      <c r="DU418" s="336"/>
      <c r="DW418" s="336">
        <f t="shared" si="2731"/>
        <v>0</v>
      </c>
      <c r="DX418" s="336">
        <f t="shared" si="2732"/>
        <v>0</v>
      </c>
      <c r="DY418" s="336">
        <f t="shared" si="2733"/>
        <v>0</v>
      </c>
      <c r="DZ418" s="336">
        <f t="shared" si="2734"/>
        <v>0</v>
      </c>
      <c r="EA418" s="336">
        <f t="shared" si="2735"/>
        <v>0</v>
      </c>
      <c r="EB418" s="336">
        <f t="shared" si="2736"/>
        <v>0</v>
      </c>
      <c r="EC418" s="336">
        <f t="shared" si="2737"/>
        <v>0</v>
      </c>
      <c r="ED418" s="336">
        <f t="shared" si="2515"/>
        <v>0</v>
      </c>
      <c r="EE418" s="336">
        <f t="shared" si="2516"/>
        <v>0</v>
      </c>
      <c r="EF418" s="336">
        <f t="shared" si="2517"/>
        <v>0</v>
      </c>
      <c r="EG418" s="336">
        <f t="shared" si="2518"/>
        <v>0</v>
      </c>
      <c r="EH418" s="336">
        <f t="shared" si="2519"/>
        <v>0</v>
      </c>
      <c r="EI418" s="336">
        <f t="shared" si="2520"/>
        <v>0</v>
      </c>
      <c r="EJ418" s="336">
        <f t="shared" si="2521"/>
        <v>0</v>
      </c>
      <c r="EK418" s="336">
        <f t="shared" si="2522"/>
        <v>0</v>
      </c>
      <c r="EL418" s="336">
        <f t="shared" si="2523"/>
        <v>0</v>
      </c>
      <c r="EM418" s="336">
        <f t="shared" si="2524"/>
        <v>0</v>
      </c>
      <c r="EN418" s="336">
        <f t="shared" si="2525"/>
        <v>0</v>
      </c>
      <c r="EO418" s="336">
        <f t="shared" si="2526"/>
        <v>0</v>
      </c>
      <c r="EP418" s="336">
        <f t="shared" si="2527"/>
        <v>0</v>
      </c>
      <c r="EQ418" s="336">
        <f t="shared" si="2528"/>
        <v>0</v>
      </c>
      <c r="ER418" s="336">
        <f t="shared" si="2529"/>
        <v>0</v>
      </c>
      <c r="ES418" s="336">
        <f t="shared" si="2530"/>
        <v>0</v>
      </c>
      <c r="ET418" s="336">
        <f t="shared" si="2530"/>
        <v>0</v>
      </c>
      <c r="EU418" s="336">
        <f t="shared" si="2531"/>
        <v>0</v>
      </c>
      <c r="EV418" s="336">
        <f t="shared" si="2532"/>
        <v>0</v>
      </c>
      <c r="EW418" s="336">
        <f t="shared" si="2533"/>
        <v>0</v>
      </c>
      <c r="EX418" s="336">
        <f t="shared" si="2534"/>
        <v>0</v>
      </c>
      <c r="EY418" s="336">
        <f t="shared" si="2535"/>
        <v>0</v>
      </c>
      <c r="EZ418" s="336">
        <f t="shared" si="2536"/>
        <v>0</v>
      </c>
      <c r="FA418" s="336">
        <f t="shared" si="2537"/>
        <v>0</v>
      </c>
      <c r="FB418" s="336">
        <f t="shared" si="2538"/>
        <v>0</v>
      </c>
      <c r="FC418" s="336">
        <f t="shared" si="2539"/>
        <v>0</v>
      </c>
      <c r="FD418" s="336">
        <f t="shared" si="2540"/>
        <v>0</v>
      </c>
      <c r="FE418" s="336">
        <f t="shared" si="2541"/>
        <v>0</v>
      </c>
      <c r="FF418" s="336">
        <f t="shared" si="2542"/>
        <v>0</v>
      </c>
      <c r="FG418" s="336">
        <f t="shared" si="2543"/>
        <v>0</v>
      </c>
      <c r="FH418" s="336">
        <f t="shared" si="2544"/>
        <v>0</v>
      </c>
      <c r="FI418" s="336">
        <f t="shared" si="2545"/>
        <v>0</v>
      </c>
      <c r="FJ418" s="336">
        <f t="shared" si="2546"/>
        <v>0</v>
      </c>
      <c r="FK418" s="336">
        <f t="shared" si="2547"/>
        <v>0</v>
      </c>
      <c r="FL418" s="336">
        <f t="shared" si="2548"/>
        <v>0</v>
      </c>
      <c r="FM418" s="336">
        <f t="shared" si="2549"/>
        <v>0</v>
      </c>
      <c r="FN418" s="336">
        <f t="shared" si="2550"/>
        <v>0</v>
      </c>
      <c r="FO418" s="336">
        <f t="shared" si="2551"/>
        <v>0</v>
      </c>
      <c r="FP418" s="336">
        <f t="shared" si="2552"/>
        <v>0</v>
      </c>
      <c r="FQ418" s="336">
        <f t="shared" si="2553"/>
        <v>0</v>
      </c>
      <c r="FR418" s="336">
        <f t="shared" si="2554"/>
        <v>0</v>
      </c>
      <c r="FS418" s="336">
        <f t="shared" si="2555"/>
        <v>0</v>
      </c>
      <c r="FT418" s="336">
        <f t="shared" si="2556"/>
        <v>0</v>
      </c>
      <c r="FU418" s="336">
        <f t="shared" si="2638"/>
        <v>0</v>
      </c>
      <c r="FV418" s="336">
        <f t="shared" si="2639"/>
        <v>0</v>
      </c>
      <c r="FW418" s="336">
        <f t="shared" si="2640"/>
        <v>0</v>
      </c>
      <c r="FX418" s="336">
        <f t="shared" si="2641"/>
        <v>0</v>
      </c>
      <c r="FY418" s="336">
        <f t="shared" si="2557"/>
        <v>0</v>
      </c>
      <c r="FZ418" s="336">
        <f t="shared" si="2558"/>
        <v>0</v>
      </c>
      <c r="GA418" s="336">
        <f t="shared" si="2559"/>
        <v>0</v>
      </c>
      <c r="GB418" s="336">
        <f t="shared" si="2560"/>
        <v>0</v>
      </c>
      <c r="GC418" s="336">
        <f t="shared" si="2561"/>
        <v>0</v>
      </c>
      <c r="GD418" s="336">
        <f t="shared" si="2562"/>
        <v>0</v>
      </c>
      <c r="GE418" s="336">
        <f t="shared" si="2563"/>
        <v>0</v>
      </c>
      <c r="GF418" s="336">
        <f t="shared" si="2564"/>
        <v>0</v>
      </c>
      <c r="GG418" s="336">
        <f t="shared" si="2565"/>
        <v>0</v>
      </c>
      <c r="GH418" s="336">
        <f t="shared" si="2566"/>
        <v>0</v>
      </c>
      <c r="GI418" s="336">
        <f t="shared" si="2567"/>
        <v>0</v>
      </c>
      <c r="GJ418" s="336">
        <f t="shared" si="2568"/>
        <v>0</v>
      </c>
      <c r="GK418" s="336">
        <f t="shared" ref="GK418:GK443" si="2761">IF(DS418=1,($BC418*DS418),0)</f>
        <v>0</v>
      </c>
      <c r="GL418" s="336">
        <f t="shared" si="2642"/>
        <v>0</v>
      </c>
      <c r="GM418" s="336">
        <f t="shared" si="2569"/>
        <v>0</v>
      </c>
    </row>
    <row r="419" spans="1:195" ht="33" customHeight="1">
      <c r="A419" s="337">
        <f t="shared" ref="A419:A443" si="2762">1+A418</f>
        <v>288</v>
      </c>
      <c r="B419" s="337"/>
      <c r="C419" s="337" t="str">
        <f t="shared" ref="C419:C442" si="2763">$D$417</f>
        <v>CENTRAL CONTROL BUILDING HVAC DB</v>
      </c>
      <c r="D419" s="372" t="s">
        <v>897</v>
      </c>
      <c r="E419" s="453" t="s">
        <v>555</v>
      </c>
      <c r="F419" s="858"/>
      <c r="G419" s="337" t="s">
        <v>329</v>
      </c>
      <c r="H419" s="583">
        <v>0.55000000000000004</v>
      </c>
      <c r="I419" s="337" t="s">
        <v>330</v>
      </c>
      <c r="J419" s="337" t="s">
        <v>331</v>
      </c>
      <c r="K419" s="349">
        <v>400</v>
      </c>
      <c r="L419" s="343">
        <v>0.84999999999999987</v>
      </c>
      <c r="M419" s="350">
        <v>0.95099999999999985</v>
      </c>
      <c r="N419" s="342">
        <f t="shared" si="2738"/>
        <v>0.9820992238773395</v>
      </c>
      <c r="O419" s="342">
        <f t="shared" si="2739"/>
        <v>0</v>
      </c>
      <c r="P419" s="343" t="str">
        <f t="shared" si="2740"/>
        <v>0.00</v>
      </c>
      <c r="Q419" s="350">
        <v>25</v>
      </c>
      <c r="R419" s="350">
        <v>0</v>
      </c>
      <c r="S419" s="350">
        <f t="shared" si="2741"/>
        <v>0</v>
      </c>
      <c r="T419" s="343" t="s">
        <v>131</v>
      </c>
      <c r="U419" s="350" t="s">
        <v>522</v>
      </c>
      <c r="V419" s="343">
        <v>4</v>
      </c>
      <c r="W419" s="343" t="str">
        <f t="shared" si="2742"/>
        <v>4C X 4</v>
      </c>
      <c r="X419" s="343" t="str">
        <f t="shared" si="2743"/>
        <v>4C X 4</v>
      </c>
      <c r="Y419" s="343" t="s">
        <v>358</v>
      </c>
      <c r="Z419" s="344">
        <f>IF(T419="AIR",VLOOKUP(W419,'Catalogue Aluminium'!$B$9:$G$93,2,FALSE),IF(T419="GROUND",VLOOKUP(W419,'Catalogue Aluminium'!$B$9:$G$93,3,FALSE),IF(T419="DUCT",VLOOKUP(W419,'Catalogue Aluminium'!$B$9:$G$93,4,FALSE),IF(T419="TRENCH",VLOOKUP(W419,'Catalogue Aluminium'!$B$9:$G$93,2,FALSE)))))</f>
        <v>38</v>
      </c>
      <c r="AA419" s="345">
        <f>VLOOKUP(W419,'Catalogue Aluminium'!$B$9:$G$93,5,FALSE)</f>
        <v>5.9</v>
      </c>
      <c r="AB419" s="345">
        <f>VLOOKUP(W419,'Catalogue Aluminium'!$B$9:$G$93,6,FALSE)</f>
        <v>9.4700000000000006E-2</v>
      </c>
      <c r="AC419" s="863">
        <f t="shared" si="2744"/>
        <v>38</v>
      </c>
      <c r="AD419" s="863">
        <v>0</v>
      </c>
      <c r="AE419" s="401">
        <v>10</v>
      </c>
      <c r="AF419" s="401">
        <v>5</v>
      </c>
      <c r="AG419" s="401">
        <f t="shared" si="2745"/>
        <v>6</v>
      </c>
      <c r="AH419" s="347">
        <f t="shared" si="2746"/>
        <v>59</v>
      </c>
      <c r="AI419" s="344">
        <f>IF(T419="AIR",'Catalogue Aluminium'!$K$9,IF(T419="TRENCH",'Catalogue Aluminium'!$K$12,"NA"))</f>
        <v>0.89</v>
      </c>
      <c r="AJ419" s="342">
        <f>IF(T419="Air",(IF(U419="1C",'Catalogue Aluminium'!$L$9,'Catalogue Aluminium'!$M$9)),IF(T419="DUCT",(IF($U419="1C",'Catalogue Aluminium'!$L$10,'Catalogue Aluminium'!$M$10)),IF(T419="GROUND",(IF($U419="1C",'Catalogue Aluminium'!$L$11,'Catalogue Aluminium'!$M$11)),IF(T419="TRENCH",(IF($U419="1C",'Catalogue Aluminium'!$L$12,'Catalogue Aluminium'!$M$12))))))</f>
        <v>0.66</v>
      </c>
      <c r="AK419" s="344" t="str">
        <f>IF(T419="Air",'Catalogue Aluminium'!$N$9,IF(T419="GROUND",'Catalogue Aluminium'!$N$10,IF(T419="DUCT",'Catalogue Aluminium'!$N$11,IF(T419="TRENCH",'Catalogue Aluminium'!$N$12,"NA"))))</f>
        <v>NA</v>
      </c>
      <c r="AL419" s="344" t="str">
        <f>IF(T419="Air",(IF(U419="1C",'Catalogue Aluminium'!$O$9,'Catalogue Aluminium'!$P$9)),IF(T419="DUCT",(IF($U419="1C",'Catalogue Aluminium'!$O$10,'Catalogue Aluminium'!$P$10)),IF(T419="GROUND",(IF($U419="1C",'Catalogue Aluminium'!$O$11,'Catalogue Aluminium'!$P$11)),IF(T419="TRENCH",(IF($U419="1C",'Catalogue Aluminium'!$O$12,'Catalogue Aluminium'!$P$12))))))</f>
        <v>NA</v>
      </c>
      <c r="AM419" s="344" t="str">
        <f>IF(T419="AIR","NA",IF(T419="TRENCH","NA",IF(T419="DUCT",IF(U419="1C",VLOOKUP(V419,'Catalogue Aluminium'!$Q$9:$S$28,2,FALSE),VLOOKUP(V419,'Catalogue Aluminium'!$Q$9:$S$28,3)),IF(T419="GROUND",IF(U419="1C",VLOOKUP(V419,'Catalogue Aluminium'!$Q$9:$S$28,2,FALSE),VLOOKUP(V419,'Catalogue Aluminium'!$Q$9:$S$28,3))))))</f>
        <v>NA</v>
      </c>
      <c r="AN419" s="351">
        <f t="shared" si="2747"/>
        <v>0.58740000000000003</v>
      </c>
      <c r="AO419" s="350">
        <f t="shared" si="2748"/>
        <v>22.321200000000001</v>
      </c>
      <c r="AP419" s="349">
        <f t="shared" si="2749"/>
        <v>1</v>
      </c>
      <c r="AQ419" s="350" t="str">
        <f t="shared" si="2750"/>
        <v>YES</v>
      </c>
      <c r="AR419" s="351">
        <f t="shared" si="2751"/>
        <v>0.12708014969495249</v>
      </c>
      <c r="AS419" s="343" t="str">
        <f t="shared" si="2752"/>
        <v>YES</v>
      </c>
      <c r="AT419" s="351" t="str">
        <f t="shared" si="2753"/>
        <v>NA</v>
      </c>
      <c r="AU419" s="343" t="str">
        <f t="shared" si="2754"/>
        <v>NA</v>
      </c>
      <c r="AV419" s="354" t="str">
        <f t="shared" si="2755"/>
        <v>1R x 0.6/1kV x 4C x 4 Sqmm</v>
      </c>
      <c r="AW419" s="354" t="str">
        <f t="shared" si="2756"/>
        <v>1R x 0.6/1kV x 4C x 4 Sqmm</v>
      </c>
      <c r="AX419" s="343">
        <f t="shared" si="2757"/>
        <v>59</v>
      </c>
      <c r="AY419" s="355"/>
      <c r="AZ419" s="355">
        <f t="shared" si="2758"/>
        <v>2</v>
      </c>
      <c r="BA419" s="356" t="str">
        <f t="shared" si="2759"/>
        <v/>
      </c>
      <c r="BB419" s="501">
        <f>VLOOKUP(W419,'Catalogue Aluminium'!$B$9:$H$93,7,FALSE)</f>
        <v>16</v>
      </c>
      <c r="BC419" s="328">
        <f t="shared" si="2760"/>
        <v>16</v>
      </c>
      <c r="BE419" s="336"/>
      <c r="BF419" s="336"/>
      <c r="BG419" s="336"/>
      <c r="BH419" s="336"/>
      <c r="BI419" s="336"/>
      <c r="BJ419" s="336"/>
      <c r="BK419" s="336"/>
      <c r="BL419" s="336"/>
      <c r="BM419" s="336"/>
      <c r="BN419" s="336"/>
      <c r="BO419" s="336"/>
      <c r="BP419" s="336"/>
      <c r="BQ419" s="336"/>
      <c r="BR419" s="336"/>
      <c r="BS419" s="336"/>
      <c r="BT419" s="336"/>
      <c r="BU419" s="336"/>
      <c r="BV419" s="336"/>
      <c r="BW419" s="336"/>
      <c r="BX419" s="336"/>
      <c r="BY419" s="336"/>
      <c r="BZ419" s="336"/>
      <c r="CA419" s="336"/>
      <c r="CB419" s="336"/>
      <c r="CC419" s="336"/>
      <c r="CD419" s="336"/>
      <c r="CE419" s="336"/>
      <c r="CF419" s="336"/>
      <c r="CG419" s="336"/>
      <c r="CH419" s="336"/>
      <c r="CI419" s="336"/>
      <c r="CJ419" s="336"/>
      <c r="CK419" s="336"/>
      <c r="CL419" s="336"/>
      <c r="CM419" s="336"/>
      <c r="CN419" s="336"/>
      <c r="CO419" s="336"/>
      <c r="CP419" s="336"/>
      <c r="CQ419" s="336"/>
      <c r="CR419" s="336"/>
      <c r="CS419" s="336"/>
      <c r="CT419" s="336"/>
      <c r="CU419" s="336"/>
      <c r="CV419" s="336"/>
      <c r="CW419" s="336"/>
      <c r="CX419" s="336"/>
      <c r="CY419" s="336"/>
      <c r="CZ419" s="336"/>
      <c r="DA419" s="336"/>
      <c r="DB419" s="336"/>
      <c r="DC419" s="336"/>
      <c r="DD419" s="336"/>
      <c r="DE419" s="336"/>
      <c r="DF419" s="336"/>
      <c r="DG419" s="336"/>
      <c r="DH419" s="336"/>
      <c r="DI419" s="336"/>
      <c r="DJ419" s="336"/>
      <c r="DK419" s="336"/>
      <c r="DL419" s="336"/>
      <c r="DM419" s="336"/>
      <c r="DN419" s="336"/>
      <c r="DO419" s="336"/>
      <c r="DP419" s="336"/>
      <c r="DQ419" s="336"/>
      <c r="DR419" s="336"/>
      <c r="DS419" s="336"/>
      <c r="DT419" s="336"/>
      <c r="DU419" s="336"/>
      <c r="DW419" s="336">
        <f t="shared" si="2731"/>
        <v>0</v>
      </c>
      <c r="DX419" s="336">
        <f t="shared" si="2732"/>
        <v>0</v>
      </c>
      <c r="DY419" s="336">
        <f t="shared" si="2733"/>
        <v>0</v>
      </c>
      <c r="DZ419" s="336">
        <f t="shared" si="2734"/>
        <v>0</v>
      </c>
      <c r="EA419" s="336">
        <f t="shared" si="2735"/>
        <v>0</v>
      </c>
      <c r="EB419" s="336">
        <f t="shared" si="2736"/>
        <v>0</v>
      </c>
      <c r="EC419" s="336">
        <f t="shared" si="2737"/>
        <v>0</v>
      </c>
      <c r="ED419" s="336">
        <f t="shared" si="2515"/>
        <v>0</v>
      </c>
      <c r="EE419" s="336">
        <f t="shared" si="2516"/>
        <v>0</v>
      </c>
      <c r="EF419" s="336">
        <f t="shared" si="2517"/>
        <v>0</v>
      </c>
      <c r="EG419" s="336">
        <f t="shared" si="2518"/>
        <v>0</v>
      </c>
      <c r="EH419" s="336">
        <f t="shared" si="2519"/>
        <v>0</v>
      </c>
      <c r="EI419" s="336">
        <f t="shared" si="2520"/>
        <v>0</v>
      </c>
      <c r="EJ419" s="336">
        <f t="shared" si="2521"/>
        <v>0</v>
      </c>
      <c r="EK419" s="336">
        <f t="shared" si="2522"/>
        <v>0</v>
      </c>
      <c r="EL419" s="336">
        <f t="shared" si="2523"/>
        <v>0</v>
      </c>
      <c r="EM419" s="336">
        <f t="shared" si="2524"/>
        <v>0</v>
      </c>
      <c r="EN419" s="336">
        <f t="shared" si="2525"/>
        <v>0</v>
      </c>
      <c r="EO419" s="336">
        <f t="shared" si="2526"/>
        <v>0</v>
      </c>
      <c r="EP419" s="336">
        <f t="shared" si="2527"/>
        <v>0</v>
      </c>
      <c r="EQ419" s="336">
        <f t="shared" si="2528"/>
        <v>0</v>
      </c>
      <c r="ER419" s="336">
        <f t="shared" si="2529"/>
        <v>0</v>
      </c>
      <c r="ES419" s="336">
        <f t="shared" si="2530"/>
        <v>0</v>
      </c>
      <c r="ET419" s="336">
        <f t="shared" si="2530"/>
        <v>0</v>
      </c>
      <c r="EU419" s="336">
        <f t="shared" si="2531"/>
        <v>0</v>
      </c>
      <c r="EV419" s="336">
        <f t="shared" si="2532"/>
        <v>0</v>
      </c>
      <c r="EW419" s="336">
        <f t="shared" si="2533"/>
        <v>0</v>
      </c>
      <c r="EX419" s="336">
        <f t="shared" si="2534"/>
        <v>0</v>
      </c>
      <c r="EY419" s="336">
        <f t="shared" si="2535"/>
        <v>0</v>
      </c>
      <c r="EZ419" s="336">
        <f t="shared" si="2536"/>
        <v>0</v>
      </c>
      <c r="FA419" s="336">
        <f t="shared" si="2537"/>
        <v>0</v>
      </c>
      <c r="FB419" s="336">
        <f t="shared" si="2538"/>
        <v>0</v>
      </c>
      <c r="FC419" s="336">
        <f t="shared" si="2539"/>
        <v>0</v>
      </c>
      <c r="FD419" s="336">
        <f t="shared" si="2540"/>
        <v>0</v>
      </c>
      <c r="FE419" s="336">
        <f t="shared" si="2541"/>
        <v>0</v>
      </c>
      <c r="FF419" s="336">
        <f t="shared" si="2542"/>
        <v>0</v>
      </c>
      <c r="FG419" s="336">
        <f t="shared" si="2543"/>
        <v>0</v>
      </c>
      <c r="FH419" s="336">
        <f t="shared" si="2544"/>
        <v>0</v>
      </c>
      <c r="FI419" s="336">
        <f t="shared" si="2545"/>
        <v>0</v>
      </c>
      <c r="FJ419" s="336">
        <f t="shared" si="2546"/>
        <v>0</v>
      </c>
      <c r="FK419" s="336">
        <f t="shared" si="2547"/>
        <v>0</v>
      </c>
      <c r="FL419" s="336">
        <f t="shared" si="2548"/>
        <v>0</v>
      </c>
      <c r="FM419" s="336">
        <f t="shared" si="2549"/>
        <v>0</v>
      </c>
      <c r="FN419" s="336">
        <f t="shared" si="2550"/>
        <v>0</v>
      </c>
      <c r="FO419" s="336">
        <f t="shared" si="2551"/>
        <v>0</v>
      </c>
      <c r="FP419" s="336">
        <f t="shared" si="2552"/>
        <v>0</v>
      </c>
      <c r="FQ419" s="336">
        <f t="shared" si="2553"/>
        <v>0</v>
      </c>
      <c r="FR419" s="336">
        <f t="shared" si="2554"/>
        <v>0</v>
      </c>
      <c r="FS419" s="336">
        <f t="shared" si="2555"/>
        <v>0</v>
      </c>
      <c r="FT419" s="336">
        <f t="shared" si="2556"/>
        <v>0</v>
      </c>
      <c r="FU419" s="336">
        <f t="shared" si="2638"/>
        <v>0</v>
      </c>
      <c r="FV419" s="336">
        <f t="shared" si="2639"/>
        <v>0</v>
      </c>
      <c r="FW419" s="336">
        <f t="shared" si="2640"/>
        <v>0</v>
      </c>
      <c r="FX419" s="336">
        <f t="shared" si="2641"/>
        <v>0</v>
      </c>
      <c r="FY419" s="336">
        <f t="shared" si="2557"/>
        <v>0</v>
      </c>
      <c r="FZ419" s="336">
        <f t="shared" si="2558"/>
        <v>0</v>
      </c>
      <c r="GA419" s="336">
        <f t="shared" si="2559"/>
        <v>0</v>
      </c>
      <c r="GB419" s="336">
        <f t="shared" si="2560"/>
        <v>0</v>
      </c>
      <c r="GC419" s="336">
        <f t="shared" si="2561"/>
        <v>0</v>
      </c>
      <c r="GD419" s="336">
        <f t="shared" si="2562"/>
        <v>0</v>
      </c>
      <c r="GE419" s="336">
        <f t="shared" si="2563"/>
        <v>0</v>
      </c>
      <c r="GF419" s="336">
        <f t="shared" si="2564"/>
        <v>0</v>
      </c>
      <c r="GG419" s="336">
        <f t="shared" si="2565"/>
        <v>0</v>
      </c>
      <c r="GH419" s="336">
        <f t="shared" si="2566"/>
        <v>0</v>
      </c>
      <c r="GI419" s="336">
        <f t="shared" si="2567"/>
        <v>0</v>
      </c>
      <c r="GJ419" s="336">
        <f t="shared" si="2568"/>
        <v>0</v>
      </c>
      <c r="GK419" s="336">
        <f t="shared" si="2761"/>
        <v>0</v>
      </c>
      <c r="GL419" s="336">
        <f t="shared" si="2642"/>
        <v>0</v>
      </c>
      <c r="GM419" s="336">
        <f t="shared" si="2569"/>
        <v>0</v>
      </c>
    </row>
    <row r="420" spans="1:195" ht="33" customHeight="1">
      <c r="A420" s="337">
        <f t="shared" si="2762"/>
        <v>289</v>
      </c>
      <c r="B420" s="337"/>
      <c r="C420" s="337" t="str">
        <f t="shared" si="2763"/>
        <v>CENTRAL CONTROL BUILDING HVAC DB</v>
      </c>
      <c r="D420" s="444" t="s">
        <v>898</v>
      </c>
      <c r="E420" s="453" t="s">
        <v>555</v>
      </c>
      <c r="F420" s="858"/>
      <c r="G420" s="337" t="s">
        <v>329</v>
      </c>
      <c r="H420" s="583">
        <v>0.55000000000000004</v>
      </c>
      <c r="I420" s="337" t="s">
        <v>330</v>
      </c>
      <c r="J420" s="337" t="s">
        <v>331</v>
      </c>
      <c r="K420" s="349">
        <v>400</v>
      </c>
      <c r="L420" s="343">
        <v>0.84999999999999987</v>
      </c>
      <c r="M420" s="350">
        <v>0.95099999999999985</v>
      </c>
      <c r="N420" s="342">
        <f t="shared" si="2738"/>
        <v>0.9820992238773395</v>
      </c>
      <c r="O420" s="342">
        <f t="shared" si="2739"/>
        <v>0</v>
      </c>
      <c r="P420" s="343" t="str">
        <f t="shared" si="2740"/>
        <v>0.00</v>
      </c>
      <c r="Q420" s="350">
        <v>25</v>
      </c>
      <c r="R420" s="350">
        <v>0</v>
      </c>
      <c r="S420" s="350">
        <f t="shared" si="2741"/>
        <v>0</v>
      </c>
      <c r="T420" s="343" t="s">
        <v>131</v>
      </c>
      <c r="U420" s="350" t="s">
        <v>522</v>
      </c>
      <c r="V420" s="343">
        <v>4</v>
      </c>
      <c r="W420" s="343" t="str">
        <f t="shared" si="2742"/>
        <v>4C X 4</v>
      </c>
      <c r="X420" s="343" t="str">
        <f t="shared" si="2743"/>
        <v>4C X 4</v>
      </c>
      <c r="Y420" s="343" t="s">
        <v>358</v>
      </c>
      <c r="Z420" s="344">
        <f>IF(T420="AIR",VLOOKUP(W420,'Catalogue Aluminium'!$B$9:$G$93,2,FALSE),IF(T420="GROUND",VLOOKUP(W420,'Catalogue Aluminium'!$B$9:$G$93,3,FALSE),IF(T420="DUCT",VLOOKUP(W420,'Catalogue Aluminium'!$B$9:$G$93,4,FALSE),IF(T420="TRENCH",VLOOKUP(W420,'Catalogue Aluminium'!$B$9:$G$93,2,FALSE)))))</f>
        <v>38</v>
      </c>
      <c r="AA420" s="345">
        <f>VLOOKUP(W420,'Catalogue Aluminium'!$B$9:$G$93,5,FALSE)</f>
        <v>5.9</v>
      </c>
      <c r="AB420" s="345">
        <f>VLOOKUP(W420,'Catalogue Aluminium'!$B$9:$G$93,6,FALSE)</f>
        <v>9.4700000000000006E-2</v>
      </c>
      <c r="AC420" s="863">
        <f t="shared" si="2744"/>
        <v>38</v>
      </c>
      <c r="AD420" s="863">
        <v>0</v>
      </c>
      <c r="AE420" s="401">
        <v>10</v>
      </c>
      <c r="AF420" s="401">
        <v>5</v>
      </c>
      <c r="AG420" s="401">
        <f t="shared" si="2745"/>
        <v>6</v>
      </c>
      <c r="AH420" s="347">
        <f t="shared" si="2746"/>
        <v>59</v>
      </c>
      <c r="AI420" s="344">
        <f>IF(T420="AIR",'Catalogue Aluminium'!$K$9,IF(T420="TRENCH",'Catalogue Aluminium'!$K$12,"NA"))</f>
        <v>0.89</v>
      </c>
      <c r="AJ420" s="342">
        <f>IF(T420="Air",(IF(U420="1C",'Catalogue Aluminium'!$L$9,'Catalogue Aluminium'!$M$9)),IF(T420="DUCT",(IF($U420="1C",'Catalogue Aluminium'!$L$10,'Catalogue Aluminium'!$M$10)),IF(T420="GROUND",(IF($U420="1C",'Catalogue Aluminium'!$L$11,'Catalogue Aluminium'!$M$11)),IF(T420="TRENCH",(IF($U420="1C",'Catalogue Aluminium'!$L$12,'Catalogue Aluminium'!$M$12))))))</f>
        <v>0.66</v>
      </c>
      <c r="AK420" s="344" t="str">
        <f>IF(T420="Air",'Catalogue Aluminium'!$N$9,IF(T420="GROUND",'Catalogue Aluminium'!$N$10,IF(T420="DUCT",'Catalogue Aluminium'!$N$11,IF(T420="TRENCH",'Catalogue Aluminium'!$N$12,"NA"))))</f>
        <v>NA</v>
      </c>
      <c r="AL420" s="344" t="str">
        <f>IF(T420="Air",(IF(U420="1C",'Catalogue Aluminium'!$O$9,'Catalogue Aluminium'!$P$9)),IF(T420="DUCT",(IF($U420="1C",'Catalogue Aluminium'!$O$10,'Catalogue Aluminium'!$P$10)),IF(T420="GROUND",(IF($U420="1C",'Catalogue Aluminium'!$O$11,'Catalogue Aluminium'!$P$11)),IF(T420="TRENCH",(IF($U420="1C",'Catalogue Aluminium'!$O$12,'Catalogue Aluminium'!$P$12))))))</f>
        <v>NA</v>
      </c>
      <c r="AM420" s="344" t="str">
        <f>IF(T420="AIR","NA",IF(T420="TRENCH","NA",IF(T420="DUCT",IF(U420="1C",VLOOKUP(V420,'Catalogue Aluminium'!$Q$9:$S$28,2,FALSE),VLOOKUP(V420,'Catalogue Aluminium'!$Q$9:$S$28,3)),IF(T420="GROUND",IF(U420="1C",VLOOKUP(V420,'Catalogue Aluminium'!$Q$9:$S$28,2,FALSE),VLOOKUP(V420,'Catalogue Aluminium'!$Q$9:$S$28,3))))))</f>
        <v>NA</v>
      </c>
      <c r="AN420" s="351">
        <f t="shared" si="2747"/>
        <v>0.58740000000000003</v>
      </c>
      <c r="AO420" s="350">
        <f t="shared" si="2748"/>
        <v>22.321200000000001</v>
      </c>
      <c r="AP420" s="349">
        <f t="shared" si="2749"/>
        <v>1</v>
      </c>
      <c r="AQ420" s="350" t="str">
        <f t="shared" si="2750"/>
        <v>YES</v>
      </c>
      <c r="AR420" s="351">
        <f t="shared" si="2751"/>
        <v>0.12708014969495249</v>
      </c>
      <c r="AS420" s="343" t="str">
        <f t="shared" si="2752"/>
        <v>YES</v>
      </c>
      <c r="AT420" s="351" t="str">
        <f t="shared" si="2753"/>
        <v>NA</v>
      </c>
      <c r="AU420" s="343" t="str">
        <f t="shared" si="2754"/>
        <v>NA</v>
      </c>
      <c r="AV420" s="354" t="str">
        <f t="shared" si="2755"/>
        <v>1R x 0.6/1kV x 4C x 4 Sqmm</v>
      </c>
      <c r="AW420" s="354" t="str">
        <f t="shared" si="2756"/>
        <v>1R x 0.6/1kV x 4C x 4 Sqmm</v>
      </c>
      <c r="AX420" s="343">
        <f t="shared" si="2757"/>
        <v>59</v>
      </c>
      <c r="AY420" s="355"/>
      <c r="AZ420" s="355">
        <f t="shared" si="2758"/>
        <v>2</v>
      </c>
      <c r="BA420" s="356" t="str">
        <f t="shared" si="2759"/>
        <v/>
      </c>
      <c r="BB420" s="501">
        <f>VLOOKUP(W420,'Catalogue Aluminium'!$B$9:$H$93,7,FALSE)</f>
        <v>16</v>
      </c>
      <c r="BC420" s="328">
        <f t="shared" si="2760"/>
        <v>16</v>
      </c>
      <c r="BE420" s="336"/>
      <c r="BF420" s="336"/>
      <c r="BG420" s="336"/>
      <c r="BH420" s="336"/>
      <c r="BI420" s="336"/>
      <c r="BJ420" s="336"/>
      <c r="BK420" s="336"/>
      <c r="BL420" s="336"/>
      <c r="BM420" s="336"/>
      <c r="BN420" s="336"/>
      <c r="BO420" s="336"/>
      <c r="BP420" s="336"/>
      <c r="BQ420" s="336"/>
      <c r="BR420" s="336"/>
      <c r="BS420" s="336"/>
      <c r="BT420" s="336"/>
      <c r="BU420" s="336"/>
      <c r="BV420" s="336"/>
      <c r="BW420" s="336"/>
      <c r="BX420" s="336"/>
      <c r="BY420" s="336"/>
      <c r="BZ420" s="336"/>
      <c r="CA420" s="336"/>
      <c r="CB420" s="336"/>
      <c r="CC420" s="336"/>
      <c r="CD420" s="336"/>
      <c r="CE420" s="336"/>
      <c r="CF420" s="336"/>
      <c r="CG420" s="336"/>
      <c r="CH420" s="336"/>
      <c r="CI420" s="336"/>
      <c r="CJ420" s="336"/>
      <c r="CK420" s="336"/>
      <c r="CL420" s="336"/>
      <c r="CM420" s="336"/>
      <c r="CN420" s="336"/>
      <c r="CO420" s="336"/>
      <c r="CP420" s="336"/>
      <c r="CQ420" s="336"/>
      <c r="CR420" s="336"/>
      <c r="CS420" s="336"/>
      <c r="CT420" s="336"/>
      <c r="CU420" s="336"/>
      <c r="CV420" s="336"/>
      <c r="CW420" s="336"/>
      <c r="CX420" s="336"/>
      <c r="CY420" s="336"/>
      <c r="CZ420" s="336"/>
      <c r="DA420" s="336"/>
      <c r="DB420" s="336"/>
      <c r="DC420" s="336"/>
      <c r="DD420" s="336"/>
      <c r="DE420" s="336"/>
      <c r="DF420" s="336"/>
      <c r="DG420" s="336"/>
      <c r="DH420" s="336"/>
      <c r="DI420" s="336"/>
      <c r="DJ420" s="336"/>
      <c r="DK420" s="336"/>
      <c r="DL420" s="336"/>
      <c r="DM420" s="336"/>
      <c r="DN420" s="336"/>
      <c r="DO420" s="336"/>
      <c r="DP420" s="336"/>
      <c r="DQ420" s="336"/>
      <c r="DR420" s="336"/>
      <c r="DS420" s="336"/>
      <c r="DT420" s="336"/>
      <c r="DU420" s="336"/>
      <c r="DW420" s="336">
        <f t="shared" si="2731"/>
        <v>0</v>
      </c>
      <c r="DX420" s="336">
        <f t="shared" si="2732"/>
        <v>0</v>
      </c>
      <c r="DY420" s="336">
        <f t="shared" si="2733"/>
        <v>0</v>
      </c>
      <c r="DZ420" s="336">
        <f t="shared" si="2734"/>
        <v>0</v>
      </c>
      <c r="EA420" s="336">
        <f t="shared" si="2735"/>
        <v>0</v>
      </c>
      <c r="EB420" s="336">
        <f t="shared" si="2736"/>
        <v>0</v>
      </c>
      <c r="EC420" s="336">
        <f t="shared" si="2737"/>
        <v>0</v>
      </c>
      <c r="ED420" s="336">
        <f t="shared" si="2515"/>
        <v>0</v>
      </c>
      <c r="EE420" s="336">
        <f t="shared" si="2516"/>
        <v>0</v>
      </c>
      <c r="EF420" s="336">
        <f t="shared" si="2517"/>
        <v>0</v>
      </c>
      <c r="EG420" s="336">
        <f t="shared" si="2518"/>
        <v>0</v>
      </c>
      <c r="EH420" s="336">
        <f t="shared" si="2519"/>
        <v>0</v>
      </c>
      <c r="EI420" s="336">
        <f t="shared" si="2520"/>
        <v>0</v>
      </c>
      <c r="EJ420" s="336">
        <f t="shared" si="2521"/>
        <v>0</v>
      </c>
      <c r="EK420" s="336">
        <f t="shared" si="2522"/>
        <v>0</v>
      </c>
      <c r="EL420" s="336">
        <f t="shared" si="2523"/>
        <v>0</v>
      </c>
      <c r="EM420" s="336">
        <f t="shared" si="2524"/>
        <v>0</v>
      </c>
      <c r="EN420" s="336">
        <f t="shared" si="2525"/>
        <v>0</v>
      </c>
      <c r="EO420" s="336">
        <f t="shared" si="2526"/>
        <v>0</v>
      </c>
      <c r="EP420" s="336">
        <f t="shared" si="2527"/>
        <v>0</v>
      </c>
      <c r="EQ420" s="336">
        <f t="shared" si="2528"/>
        <v>0</v>
      </c>
      <c r="ER420" s="336">
        <f t="shared" si="2529"/>
        <v>0</v>
      </c>
      <c r="ES420" s="336">
        <f t="shared" si="2530"/>
        <v>0</v>
      </c>
      <c r="ET420" s="336">
        <f t="shared" si="2530"/>
        <v>0</v>
      </c>
      <c r="EU420" s="336">
        <f t="shared" si="2531"/>
        <v>0</v>
      </c>
      <c r="EV420" s="336">
        <f t="shared" si="2532"/>
        <v>0</v>
      </c>
      <c r="EW420" s="336">
        <f t="shared" si="2533"/>
        <v>0</v>
      </c>
      <c r="EX420" s="336">
        <f t="shared" si="2534"/>
        <v>0</v>
      </c>
      <c r="EY420" s="336">
        <f t="shared" si="2535"/>
        <v>0</v>
      </c>
      <c r="EZ420" s="336">
        <f t="shared" si="2536"/>
        <v>0</v>
      </c>
      <c r="FA420" s="336">
        <f t="shared" si="2537"/>
        <v>0</v>
      </c>
      <c r="FB420" s="336">
        <f t="shared" si="2538"/>
        <v>0</v>
      </c>
      <c r="FC420" s="336">
        <f t="shared" si="2539"/>
        <v>0</v>
      </c>
      <c r="FD420" s="336">
        <f t="shared" si="2540"/>
        <v>0</v>
      </c>
      <c r="FE420" s="336">
        <f t="shared" si="2541"/>
        <v>0</v>
      </c>
      <c r="FF420" s="336">
        <f t="shared" si="2542"/>
        <v>0</v>
      </c>
      <c r="FG420" s="336">
        <f t="shared" si="2543"/>
        <v>0</v>
      </c>
      <c r="FH420" s="336">
        <f t="shared" si="2544"/>
        <v>0</v>
      </c>
      <c r="FI420" s="336">
        <f t="shared" si="2545"/>
        <v>0</v>
      </c>
      <c r="FJ420" s="336">
        <f t="shared" si="2546"/>
        <v>0</v>
      </c>
      <c r="FK420" s="336">
        <f t="shared" si="2547"/>
        <v>0</v>
      </c>
      <c r="FL420" s="336">
        <f t="shared" si="2548"/>
        <v>0</v>
      </c>
      <c r="FM420" s="336">
        <f t="shared" si="2549"/>
        <v>0</v>
      </c>
      <c r="FN420" s="336">
        <f t="shared" si="2550"/>
        <v>0</v>
      </c>
      <c r="FO420" s="336">
        <f t="shared" si="2551"/>
        <v>0</v>
      </c>
      <c r="FP420" s="336">
        <f t="shared" si="2552"/>
        <v>0</v>
      </c>
      <c r="FQ420" s="336">
        <f t="shared" si="2553"/>
        <v>0</v>
      </c>
      <c r="FR420" s="336">
        <f t="shared" si="2554"/>
        <v>0</v>
      </c>
      <c r="FS420" s="336">
        <f t="shared" si="2555"/>
        <v>0</v>
      </c>
      <c r="FT420" s="336">
        <f t="shared" si="2556"/>
        <v>0</v>
      </c>
      <c r="FU420" s="336">
        <f t="shared" si="2638"/>
        <v>0</v>
      </c>
      <c r="FV420" s="336">
        <f t="shared" si="2639"/>
        <v>0</v>
      </c>
      <c r="FW420" s="336">
        <f t="shared" si="2640"/>
        <v>0</v>
      </c>
      <c r="FX420" s="336">
        <f t="shared" si="2641"/>
        <v>0</v>
      </c>
      <c r="FY420" s="336">
        <f t="shared" si="2557"/>
        <v>0</v>
      </c>
      <c r="FZ420" s="336">
        <f t="shared" si="2558"/>
        <v>0</v>
      </c>
      <c r="GA420" s="336">
        <f t="shared" si="2559"/>
        <v>0</v>
      </c>
      <c r="GB420" s="336">
        <f t="shared" si="2560"/>
        <v>0</v>
      </c>
      <c r="GC420" s="336">
        <f t="shared" si="2561"/>
        <v>0</v>
      </c>
      <c r="GD420" s="336">
        <f t="shared" si="2562"/>
        <v>0</v>
      </c>
      <c r="GE420" s="336">
        <f t="shared" si="2563"/>
        <v>0</v>
      </c>
      <c r="GF420" s="336">
        <f t="shared" si="2564"/>
        <v>0</v>
      </c>
      <c r="GG420" s="336">
        <f t="shared" si="2565"/>
        <v>0</v>
      </c>
      <c r="GH420" s="336">
        <f t="shared" si="2566"/>
        <v>0</v>
      </c>
      <c r="GI420" s="336">
        <f t="shared" si="2567"/>
        <v>0</v>
      </c>
      <c r="GJ420" s="336">
        <f t="shared" si="2568"/>
        <v>0</v>
      </c>
      <c r="GK420" s="336">
        <f t="shared" si="2761"/>
        <v>0</v>
      </c>
      <c r="GL420" s="336">
        <f t="shared" ref="GL420:GL436" si="2764">IF(DT420=1,($BC420*DT420),0)</f>
        <v>0</v>
      </c>
      <c r="GM420" s="336">
        <f t="shared" si="2569"/>
        <v>0</v>
      </c>
    </row>
    <row r="421" spans="1:195" ht="33" customHeight="1">
      <c r="A421" s="337">
        <f t="shared" si="2762"/>
        <v>290</v>
      </c>
      <c r="B421" s="337"/>
      <c r="C421" s="337" t="str">
        <f t="shared" si="2763"/>
        <v>CENTRAL CONTROL BUILDING HVAC DB</v>
      </c>
      <c r="D421" s="372" t="s">
        <v>899</v>
      </c>
      <c r="E421" s="453" t="s">
        <v>555</v>
      </c>
      <c r="F421" s="858"/>
      <c r="G421" s="337" t="s">
        <v>329</v>
      </c>
      <c r="H421" s="583">
        <v>0.55000000000000004</v>
      </c>
      <c r="I421" s="337" t="s">
        <v>330</v>
      </c>
      <c r="J421" s="337" t="s">
        <v>331</v>
      </c>
      <c r="K421" s="349">
        <v>400</v>
      </c>
      <c r="L421" s="343">
        <v>0.84999999999999987</v>
      </c>
      <c r="M421" s="350">
        <v>0.95099999999999985</v>
      </c>
      <c r="N421" s="342">
        <f t="shared" si="2738"/>
        <v>0.9820992238773395</v>
      </c>
      <c r="O421" s="342">
        <f t="shared" si="2739"/>
        <v>0</v>
      </c>
      <c r="P421" s="343" t="str">
        <f t="shared" si="2740"/>
        <v>0.00</v>
      </c>
      <c r="Q421" s="350">
        <v>25</v>
      </c>
      <c r="R421" s="350">
        <v>0</v>
      </c>
      <c r="S421" s="350">
        <f t="shared" si="2741"/>
        <v>0</v>
      </c>
      <c r="T421" s="343" t="s">
        <v>131</v>
      </c>
      <c r="U421" s="350" t="s">
        <v>522</v>
      </c>
      <c r="V421" s="343">
        <v>4</v>
      </c>
      <c r="W421" s="343" t="str">
        <f t="shared" si="2742"/>
        <v>4C X 4</v>
      </c>
      <c r="X421" s="343" t="str">
        <f t="shared" si="2743"/>
        <v>4C X 4</v>
      </c>
      <c r="Y421" s="343" t="s">
        <v>358</v>
      </c>
      <c r="Z421" s="344">
        <f>IF(T421="AIR",VLOOKUP(W421,'Catalogue Aluminium'!$B$9:$G$93,2,FALSE),IF(T421="GROUND",VLOOKUP(W421,'Catalogue Aluminium'!$B$9:$G$93,3,FALSE),IF(T421="DUCT",VLOOKUP(W421,'Catalogue Aluminium'!$B$9:$G$93,4,FALSE),IF(T421="TRENCH",VLOOKUP(W421,'Catalogue Aluminium'!$B$9:$G$93,2,FALSE)))))</f>
        <v>38</v>
      </c>
      <c r="AA421" s="345">
        <f>VLOOKUP(W421,'Catalogue Aluminium'!$B$9:$G$93,5,FALSE)</f>
        <v>5.9</v>
      </c>
      <c r="AB421" s="345">
        <f>VLOOKUP(W421,'Catalogue Aluminium'!$B$9:$G$93,6,FALSE)</f>
        <v>9.4700000000000006E-2</v>
      </c>
      <c r="AC421" s="863">
        <f t="shared" si="2744"/>
        <v>38</v>
      </c>
      <c r="AD421" s="863">
        <v>0</v>
      </c>
      <c r="AE421" s="401">
        <v>10</v>
      </c>
      <c r="AF421" s="401">
        <v>5</v>
      </c>
      <c r="AG421" s="401">
        <f t="shared" si="2745"/>
        <v>6</v>
      </c>
      <c r="AH421" s="347">
        <f t="shared" si="2746"/>
        <v>59</v>
      </c>
      <c r="AI421" s="344">
        <f>IF(T421="AIR",'Catalogue Aluminium'!$K$9,IF(T421="TRENCH",'Catalogue Aluminium'!$K$12,"NA"))</f>
        <v>0.89</v>
      </c>
      <c r="AJ421" s="342">
        <f>IF(T421="Air",(IF(U421="1C",'Catalogue Aluminium'!$L$9,'Catalogue Aluminium'!$M$9)),IF(T421="DUCT",(IF($U421="1C",'Catalogue Aluminium'!$L$10,'Catalogue Aluminium'!$M$10)),IF(T421="GROUND",(IF($U421="1C",'Catalogue Aluminium'!$L$11,'Catalogue Aluminium'!$M$11)),IF(T421="TRENCH",(IF($U421="1C",'Catalogue Aluminium'!$L$12,'Catalogue Aluminium'!$M$12))))))</f>
        <v>0.66</v>
      </c>
      <c r="AK421" s="344" t="str">
        <f>IF(T421="Air",'Catalogue Aluminium'!$N$9,IF(T421="GROUND",'Catalogue Aluminium'!$N$10,IF(T421="DUCT",'Catalogue Aluminium'!$N$11,IF(T421="TRENCH",'Catalogue Aluminium'!$N$12,"NA"))))</f>
        <v>NA</v>
      </c>
      <c r="AL421" s="344" t="str">
        <f>IF(T421="Air",(IF(U421="1C",'Catalogue Aluminium'!$O$9,'Catalogue Aluminium'!$P$9)),IF(T421="DUCT",(IF($U421="1C",'Catalogue Aluminium'!$O$10,'Catalogue Aluminium'!$P$10)),IF(T421="GROUND",(IF($U421="1C",'Catalogue Aluminium'!$O$11,'Catalogue Aluminium'!$P$11)),IF(T421="TRENCH",(IF($U421="1C",'Catalogue Aluminium'!$O$12,'Catalogue Aluminium'!$P$12))))))</f>
        <v>NA</v>
      </c>
      <c r="AM421" s="344" t="str">
        <f>IF(T421="AIR","NA",IF(T421="TRENCH","NA",IF(T421="DUCT",IF(U421="1C",VLOOKUP(V421,'Catalogue Aluminium'!$Q$9:$S$28,2,FALSE),VLOOKUP(V421,'Catalogue Aluminium'!$Q$9:$S$28,3)),IF(T421="GROUND",IF(U421="1C",VLOOKUP(V421,'Catalogue Aluminium'!$Q$9:$S$28,2,FALSE),VLOOKUP(V421,'Catalogue Aluminium'!$Q$9:$S$28,3))))))</f>
        <v>NA</v>
      </c>
      <c r="AN421" s="351">
        <f t="shared" si="2747"/>
        <v>0.58740000000000003</v>
      </c>
      <c r="AO421" s="350">
        <f t="shared" si="2748"/>
        <v>22.321200000000001</v>
      </c>
      <c r="AP421" s="349">
        <f t="shared" si="2749"/>
        <v>1</v>
      </c>
      <c r="AQ421" s="350" t="str">
        <f t="shared" si="2750"/>
        <v>YES</v>
      </c>
      <c r="AR421" s="351">
        <f t="shared" si="2751"/>
        <v>0.12708014969495249</v>
      </c>
      <c r="AS421" s="343" t="str">
        <f t="shared" si="2752"/>
        <v>YES</v>
      </c>
      <c r="AT421" s="351" t="str">
        <f t="shared" si="2753"/>
        <v>NA</v>
      </c>
      <c r="AU421" s="343" t="str">
        <f t="shared" si="2754"/>
        <v>NA</v>
      </c>
      <c r="AV421" s="354" t="str">
        <f t="shared" si="2755"/>
        <v>1R x 0.6/1kV x 4C x 4 Sqmm</v>
      </c>
      <c r="AW421" s="354" t="str">
        <f t="shared" si="2756"/>
        <v>1R x 0.6/1kV x 4C x 4 Sqmm</v>
      </c>
      <c r="AX421" s="343">
        <f t="shared" si="2757"/>
        <v>59</v>
      </c>
      <c r="AY421" s="355"/>
      <c r="AZ421" s="355">
        <f t="shared" si="2758"/>
        <v>2</v>
      </c>
      <c r="BA421" s="356" t="str">
        <f t="shared" si="2759"/>
        <v/>
      </c>
      <c r="BB421" s="501">
        <f>VLOOKUP(W421,'Catalogue Aluminium'!$B$9:$H$93,7,FALSE)</f>
        <v>16</v>
      </c>
      <c r="BC421" s="328">
        <f t="shared" si="2760"/>
        <v>16</v>
      </c>
      <c r="BE421" s="336"/>
      <c r="BF421" s="336"/>
      <c r="BG421" s="336"/>
      <c r="BH421" s="336"/>
      <c r="BI421" s="336"/>
      <c r="BJ421" s="336"/>
      <c r="BK421" s="336"/>
      <c r="BL421" s="336"/>
      <c r="BM421" s="336"/>
      <c r="BN421" s="336"/>
      <c r="BO421" s="336"/>
      <c r="BP421" s="336"/>
      <c r="BQ421" s="336"/>
      <c r="BR421" s="336"/>
      <c r="BS421" s="336"/>
      <c r="BT421" s="336"/>
      <c r="BU421" s="336"/>
      <c r="BV421" s="336"/>
      <c r="BW421" s="336"/>
      <c r="BX421" s="336"/>
      <c r="BY421" s="336"/>
      <c r="BZ421" s="336"/>
      <c r="CA421" s="336"/>
      <c r="CB421" s="336"/>
      <c r="CC421" s="336"/>
      <c r="CD421" s="336"/>
      <c r="CE421" s="336"/>
      <c r="CF421" s="336"/>
      <c r="CG421" s="336"/>
      <c r="CH421" s="336"/>
      <c r="CI421" s="336"/>
      <c r="CJ421" s="336"/>
      <c r="CK421" s="336"/>
      <c r="CL421" s="336"/>
      <c r="CM421" s="336"/>
      <c r="CN421" s="336"/>
      <c r="CO421" s="336"/>
      <c r="CP421" s="336"/>
      <c r="CQ421" s="336"/>
      <c r="CR421" s="336"/>
      <c r="CS421" s="336"/>
      <c r="CT421" s="336"/>
      <c r="CU421" s="336"/>
      <c r="CV421" s="336"/>
      <c r="CW421" s="336"/>
      <c r="CX421" s="336"/>
      <c r="CY421" s="336"/>
      <c r="CZ421" s="336"/>
      <c r="DA421" s="336"/>
      <c r="DB421" s="336"/>
      <c r="DC421" s="336"/>
      <c r="DD421" s="336"/>
      <c r="DE421" s="336"/>
      <c r="DF421" s="336"/>
      <c r="DG421" s="336"/>
      <c r="DH421" s="336"/>
      <c r="DI421" s="336"/>
      <c r="DJ421" s="336"/>
      <c r="DK421" s="336"/>
      <c r="DL421" s="336"/>
      <c r="DM421" s="336"/>
      <c r="DN421" s="336"/>
      <c r="DO421" s="336"/>
      <c r="DP421" s="336"/>
      <c r="DQ421" s="336"/>
      <c r="DR421" s="336"/>
      <c r="DS421" s="336"/>
      <c r="DT421" s="336"/>
      <c r="DU421" s="336"/>
      <c r="DW421" s="336">
        <f t="shared" si="2731"/>
        <v>0</v>
      </c>
      <c r="DX421" s="336">
        <f t="shared" si="2732"/>
        <v>0</v>
      </c>
      <c r="DY421" s="336">
        <f t="shared" si="2733"/>
        <v>0</v>
      </c>
      <c r="DZ421" s="336">
        <f t="shared" si="2734"/>
        <v>0</v>
      </c>
      <c r="EA421" s="336">
        <f t="shared" si="2735"/>
        <v>0</v>
      </c>
      <c r="EB421" s="336">
        <f t="shared" si="2736"/>
        <v>0</v>
      </c>
      <c r="EC421" s="336">
        <f t="shared" si="2737"/>
        <v>0</v>
      </c>
      <c r="ED421" s="336">
        <f t="shared" si="2515"/>
        <v>0</v>
      </c>
      <c r="EE421" s="336">
        <f t="shared" si="2516"/>
        <v>0</v>
      </c>
      <c r="EF421" s="336">
        <f t="shared" si="2517"/>
        <v>0</v>
      </c>
      <c r="EG421" s="336">
        <f t="shared" si="2518"/>
        <v>0</v>
      </c>
      <c r="EH421" s="336">
        <f t="shared" si="2519"/>
        <v>0</v>
      </c>
      <c r="EI421" s="336">
        <f t="shared" si="2520"/>
        <v>0</v>
      </c>
      <c r="EJ421" s="336">
        <f t="shared" si="2521"/>
        <v>0</v>
      </c>
      <c r="EK421" s="336">
        <f t="shared" si="2522"/>
        <v>0</v>
      </c>
      <c r="EL421" s="336">
        <f t="shared" si="2523"/>
        <v>0</v>
      </c>
      <c r="EM421" s="336">
        <f t="shared" si="2524"/>
        <v>0</v>
      </c>
      <c r="EN421" s="336">
        <f t="shared" si="2525"/>
        <v>0</v>
      </c>
      <c r="EO421" s="336">
        <f t="shared" si="2526"/>
        <v>0</v>
      </c>
      <c r="EP421" s="336">
        <f t="shared" si="2527"/>
        <v>0</v>
      </c>
      <c r="EQ421" s="336">
        <f t="shared" si="2528"/>
        <v>0</v>
      </c>
      <c r="ER421" s="336">
        <f t="shared" si="2529"/>
        <v>0</v>
      </c>
      <c r="ES421" s="336">
        <f t="shared" si="2530"/>
        <v>0</v>
      </c>
      <c r="ET421" s="336">
        <f t="shared" si="2530"/>
        <v>0</v>
      </c>
      <c r="EU421" s="336">
        <f t="shared" si="2531"/>
        <v>0</v>
      </c>
      <c r="EV421" s="336">
        <f t="shared" si="2532"/>
        <v>0</v>
      </c>
      <c r="EW421" s="336">
        <f t="shared" si="2533"/>
        <v>0</v>
      </c>
      <c r="EX421" s="336">
        <f t="shared" si="2534"/>
        <v>0</v>
      </c>
      <c r="EY421" s="336">
        <f t="shared" si="2535"/>
        <v>0</v>
      </c>
      <c r="EZ421" s="336">
        <f t="shared" si="2536"/>
        <v>0</v>
      </c>
      <c r="FA421" s="336">
        <f t="shared" si="2537"/>
        <v>0</v>
      </c>
      <c r="FB421" s="336">
        <f t="shared" si="2538"/>
        <v>0</v>
      </c>
      <c r="FC421" s="336">
        <f t="shared" si="2539"/>
        <v>0</v>
      </c>
      <c r="FD421" s="336">
        <f t="shared" si="2540"/>
        <v>0</v>
      </c>
      <c r="FE421" s="336">
        <f t="shared" si="2541"/>
        <v>0</v>
      </c>
      <c r="FF421" s="336">
        <f t="shared" si="2542"/>
        <v>0</v>
      </c>
      <c r="FG421" s="336">
        <f t="shared" si="2543"/>
        <v>0</v>
      </c>
      <c r="FH421" s="336">
        <f t="shared" si="2544"/>
        <v>0</v>
      </c>
      <c r="FI421" s="336">
        <f t="shared" si="2545"/>
        <v>0</v>
      </c>
      <c r="FJ421" s="336">
        <f t="shared" si="2546"/>
        <v>0</v>
      </c>
      <c r="FK421" s="336">
        <f t="shared" si="2547"/>
        <v>0</v>
      </c>
      <c r="FL421" s="336">
        <f t="shared" si="2548"/>
        <v>0</v>
      </c>
      <c r="FM421" s="336">
        <f t="shared" si="2549"/>
        <v>0</v>
      </c>
      <c r="FN421" s="336">
        <f t="shared" si="2550"/>
        <v>0</v>
      </c>
      <c r="FO421" s="336">
        <f t="shared" si="2551"/>
        <v>0</v>
      </c>
      <c r="FP421" s="336">
        <f t="shared" si="2552"/>
        <v>0</v>
      </c>
      <c r="FQ421" s="336">
        <f t="shared" si="2553"/>
        <v>0</v>
      </c>
      <c r="FR421" s="336">
        <f t="shared" si="2554"/>
        <v>0</v>
      </c>
      <c r="FS421" s="336">
        <f t="shared" si="2555"/>
        <v>0</v>
      </c>
      <c r="FT421" s="336">
        <f t="shared" si="2556"/>
        <v>0</v>
      </c>
      <c r="FU421" s="336">
        <f t="shared" si="2638"/>
        <v>0</v>
      </c>
      <c r="FV421" s="336">
        <f t="shared" si="2639"/>
        <v>0</v>
      </c>
      <c r="FW421" s="336">
        <f t="shared" si="2640"/>
        <v>0</v>
      </c>
      <c r="FX421" s="336">
        <f t="shared" si="2641"/>
        <v>0</v>
      </c>
      <c r="FY421" s="336">
        <f t="shared" si="2557"/>
        <v>0</v>
      </c>
      <c r="FZ421" s="336">
        <f t="shared" si="2558"/>
        <v>0</v>
      </c>
      <c r="GA421" s="336">
        <f t="shared" si="2559"/>
        <v>0</v>
      </c>
      <c r="GB421" s="336">
        <f t="shared" si="2560"/>
        <v>0</v>
      </c>
      <c r="GC421" s="336">
        <f t="shared" si="2561"/>
        <v>0</v>
      </c>
      <c r="GD421" s="336">
        <f t="shared" si="2562"/>
        <v>0</v>
      </c>
      <c r="GE421" s="336">
        <f t="shared" si="2563"/>
        <v>0</v>
      </c>
      <c r="GF421" s="336">
        <f t="shared" si="2564"/>
        <v>0</v>
      </c>
      <c r="GG421" s="336">
        <f t="shared" si="2565"/>
        <v>0</v>
      </c>
      <c r="GH421" s="336">
        <f t="shared" si="2566"/>
        <v>0</v>
      </c>
      <c r="GI421" s="336">
        <f t="shared" si="2567"/>
        <v>0</v>
      </c>
      <c r="GJ421" s="336">
        <f t="shared" si="2568"/>
        <v>0</v>
      </c>
      <c r="GK421" s="336">
        <f t="shared" si="2761"/>
        <v>0</v>
      </c>
      <c r="GL421" s="336">
        <f t="shared" si="2764"/>
        <v>0</v>
      </c>
      <c r="GM421" s="336">
        <f t="shared" si="2569"/>
        <v>0</v>
      </c>
    </row>
    <row r="422" spans="1:195" ht="33" customHeight="1">
      <c r="A422" s="337">
        <f t="shared" si="2762"/>
        <v>291</v>
      </c>
      <c r="B422" s="337"/>
      <c r="C422" s="337" t="str">
        <f t="shared" si="2763"/>
        <v>CENTRAL CONTROL BUILDING HVAC DB</v>
      </c>
      <c r="D422" s="372" t="s">
        <v>900</v>
      </c>
      <c r="E422" s="453" t="s">
        <v>555</v>
      </c>
      <c r="F422" s="858"/>
      <c r="G422" s="337" t="s">
        <v>329</v>
      </c>
      <c r="H422" s="583">
        <v>3.5</v>
      </c>
      <c r="I422" s="337" t="s">
        <v>330</v>
      </c>
      <c r="J422" s="337" t="s">
        <v>357</v>
      </c>
      <c r="K422" s="349">
        <v>230</v>
      </c>
      <c r="L422" s="343">
        <v>0.84999999999999987</v>
      </c>
      <c r="M422" s="350">
        <v>0.95099999999999985</v>
      </c>
      <c r="N422" s="342">
        <f>IF(I422="kVA",IF(J422="3Ph",(H422*1000/(1.732*M422*K422)),(H422*1000/(M422*K422))),IF(I422="kW",IF(J422="3Ph",(H422*1000/(1.732*M422*K422*L422)),(H422*1000/(M422*K422*L422)))))</f>
        <v>18.825250577531801</v>
      </c>
      <c r="O422" s="342">
        <f t="shared" si="2739"/>
        <v>0</v>
      </c>
      <c r="P422" s="343" t="str">
        <f t="shared" si="2740"/>
        <v>0.00</v>
      </c>
      <c r="Q422" s="350">
        <v>25</v>
      </c>
      <c r="R422" s="350">
        <v>0</v>
      </c>
      <c r="S422" s="350">
        <f t="shared" si="2741"/>
        <v>0</v>
      </c>
      <c r="T422" s="343" t="s">
        <v>131</v>
      </c>
      <c r="U422" s="350" t="s">
        <v>333</v>
      </c>
      <c r="V422" s="343">
        <v>16</v>
      </c>
      <c r="W422" s="343" t="str">
        <f t="shared" si="2742"/>
        <v>3C X 16</v>
      </c>
      <c r="X422" s="343" t="str">
        <f t="shared" si="2743"/>
        <v>3C X 16</v>
      </c>
      <c r="Y422" s="343" t="s">
        <v>358</v>
      </c>
      <c r="Z422" s="344">
        <f>IF(T422="AIR",VLOOKUP(W422,'Catalogue Aluminium'!$B$9:$G$93,2,FALSE),IF(T422="GROUND",VLOOKUP(W422,'Catalogue Aluminium'!$B$9:$G$93,3,FALSE),IF(T422="DUCT",VLOOKUP(W422,'Catalogue Aluminium'!$B$9:$G$93,4,FALSE),IF(T422="TRENCH",VLOOKUP(W422,'Catalogue Aluminium'!$B$9:$G$93,2,FALSE)))))</f>
        <v>70</v>
      </c>
      <c r="AA422" s="345">
        <f>VLOOKUP(W422,'Catalogue Aluminium'!$B$9:$G$93,5,FALSE)</f>
        <v>2.44</v>
      </c>
      <c r="AB422" s="345">
        <f>VLOOKUP(W422,'Catalogue Aluminium'!$B$9:$G$93,6,FALSE)</f>
        <v>8.1500000000000003E-2</v>
      </c>
      <c r="AC422" s="863">
        <f t="shared" si="2744"/>
        <v>38</v>
      </c>
      <c r="AD422" s="863">
        <v>0</v>
      </c>
      <c r="AE422" s="401">
        <v>5</v>
      </c>
      <c r="AF422" s="401">
        <v>8</v>
      </c>
      <c r="AG422" s="401">
        <f t="shared" si="2745"/>
        <v>6</v>
      </c>
      <c r="AH422" s="347">
        <f t="shared" si="2746"/>
        <v>57</v>
      </c>
      <c r="AI422" s="344">
        <f>IF(T422="AIR",'Catalogue Aluminium'!$K$9,IF(T422="TRENCH",'Catalogue Aluminium'!$K$12,"NA"))</f>
        <v>0.89</v>
      </c>
      <c r="AJ422" s="342">
        <f>IF(T422="Air",(IF(U422="1C",'Catalogue Aluminium'!$L$9,'Catalogue Aluminium'!$M$9)),IF(T422="DUCT",(IF($U422="1C",'Catalogue Aluminium'!$L$10,'Catalogue Aluminium'!$M$10)),IF(T422="GROUND",(IF($U422="1C",'Catalogue Aluminium'!$L$11,'Catalogue Aluminium'!$M$11)),IF(T422="TRENCH",(IF($U422="1C",'Catalogue Aluminium'!$L$12,'Catalogue Aluminium'!$M$12))))))</f>
        <v>0.66</v>
      </c>
      <c r="AK422" s="344" t="str">
        <f>IF(T422="Air",'Catalogue Aluminium'!$N$9,IF(T422="GROUND",'Catalogue Aluminium'!$N$10,IF(T422="DUCT",'Catalogue Aluminium'!$N$11,IF(T422="TRENCH",'Catalogue Aluminium'!$N$12,"NA"))))</f>
        <v>NA</v>
      </c>
      <c r="AL422" s="344" t="str">
        <f>IF(T422="Air",(IF(U422="1C",'Catalogue Aluminium'!$O$9,'Catalogue Aluminium'!$P$9)),IF(T422="DUCT",(IF($U422="1C",'Catalogue Aluminium'!$O$10,'Catalogue Aluminium'!$P$10)),IF(T422="GROUND",(IF($U422="1C",'Catalogue Aluminium'!$O$11,'Catalogue Aluminium'!$P$11)),IF(T422="TRENCH",(IF($U422="1C",'Catalogue Aluminium'!$O$12,'Catalogue Aluminium'!$P$12))))))</f>
        <v>NA</v>
      </c>
      <c r="AM422" s="344" t="str">
        <f>IF(T422="AIR","NA",IF(T422="TRENCH","NA",IF(T422="DUCT",IF(U422="1C",VLOOKUP(V422,'Catalogue Aluminium'!$Q$9:$S$28,2,FALSE),VLOOKUP(V422,'Catalogue Aluminium'!$Q$9:$S$28,3)),IF(T422="GROUND",IF(U422="1C",VLOOKUP(V422,'Catalogue Aluminium'!$Q$9:$S$28,2,FALSE),VLOOKUP(V422,'Catalogue Aluminium'!$Q$9:$S$28,3))))))</f>
        <v>NA</v>
      </c>
      <c r="AN422" s="351">
        <f t="shared" si="2747"/>
        <v>0.58740000000000003</v>
      </c>
      <c r="AO422" s="350">
        <f t="shared" si="2748"/>
        <v>41.118000000000002</v>
      </c>
      <c r="AP422" s="349">
        <f t="shared" si="2749"/>
        <v>1</v>
      </c>
      <c r="AQ422" s="350" t="str">
        <f t="shared" si="2750"/>
        <v>YES</v>
      </c>
      <c r="AR422" s="351">
        <f t="shared" si="2751"/>
        <v>1.7106276298617451</v>
      </c>
      <c r="AS422" s="343" t="str">
        <f t="shared" si="2752"/>
        <v>YES</v>
      </c>
      <c r="AT422" s="351" t="str">
        <f t="shared" si="2753"/>
        <v>NA</v>
      </c>
      <c r="AU422" s="343" t="str">
        <f t="shared" si="2754"/>
        <v>NA</v>
      </c>
      <c r="AV422" s="354" t="str">
        <f t="shared" si="2755"/>
        <v>1R x 0.6/1kV x 3C x 16 Sqmm</v>
      </c>
      <c r="AW422" s="354" t="str">
        <f t="shared" si="2756"/>
        <v>1R x 0.6/1kV x 3C x 16 Sqmm</v>
      </c>
      <c r="AX422" s="343">
        <f t="shared" si="2757"/>
        <v>57</v>
      </c>
      <c r="AY422" s="355"/>
      <c r="AZ422" s="355">
        <f t="shared" si="2758"/>
        <v>2</v>
      </c>
      <c r="BA422" s="356" t="str">
        <f t="shared" si="2759"/>
        <v/>
      </c>
      <c r="BB422" s="501">
        <f>VLOOKUP(W422,'Catalogue Aluminium'!$B$9:$H$93,7,FALSE)</f>
        <v>19</v>
      </c>
      <c r="BC422" s="328">
        <f t="shared" si="2760"/>
        <v>19</v>
      </c>
      <c r="BE422" s="336"/>
      <c r="BF422" s="336"/>
      <c r="BG422" s="336"/>
      <c r="BH422" s="336"/>
      <c r="BI422" s="336"/>
      <c r="BJ422" s="336"/>
      <c r="BK422" s="336"/>
      <c r="BL422" s="336"/>
      <c r="BM422" s="336"/>
      <c r="BN422" s="336"/>
      <c r="BO422" s="336"/>
      <c r="BP422" s="336"/>
      <c r="BQ422" s="336"/>
      <c r="BR422" s="336"/>
      <c r="BS422" s="336"/>
      <c r="BT422" s="336"/>
      <c r="BU422" s="336"/>
      <c r="BV422" s="336"/>
      <c r="BW422" s="336"/>
      <c r="BX422" s="336"/>
      <c r="BY422" s="336"/>
      <c r="BZ422" s="336"/>
      <c r="CA422" s="336"/>
      <c r="CB422" s="336"/>
      <c r="CC422" s="336"/>
      <c r="CD422" s="336"/>
      <c r="CE422" s="336"/>
      <c r="CF422" s="336"/>
      <c r="CG422" s="336"/>
      <c r="CH422" s="336"/>
      <c r="CI422" s="336"/>
      <c r="CJ422" s="336"/>
      <c r="CK422" s="336"/>
      <c r="CL422" s="336"/>
      <c r="CM422" s="336"/>
      <c r="CN422" s="336"/>
      <c r="CO422" s="336"/>
      <c r="CP422" s="336"/>
      <c r="CQ422" s="336"/>
      <c r="CR422" s="336"/>
      <c r="CS422" s="336"/>
      <c r="CT422" s="336"/>
      <c r="CU422" s="336"/>
      <c r="CV422" s="336"/>
      <c r="CW422" s="336"/>
      <c r="CX422" s="336"/>
      <c r="CY422" s="336"/>
      <c r="CZ422" s="336"/>
      <c r="DA422" s="336"/>
      <c r="DB422" s="336"/>
      <c r="DC422" s="336"/>
      <c r="DD422" s="336"/>
      <c r="DE422" s="336"/>
      <c r="DF422" s="336"/>
      <c r="DG422" s="336"/>
      <c r="DH422" s="336"/>
      <c r="DI422" s="336"/>
      <c r="DJ422" s="336"/>
      <c r="DK422" s="336"/>
      <c r="DL422" s="336"/>
      <c r="DM422" s="336"/>
      <c r="DN422" s="336"/>
      <c r="DO422" s="336"/>
      <c r="DP422" s="336"/>
      <c r="DQ422" s="336"/>
      <c r="DR422" s="336"/>
      <c r="DS422" s="336"/>
      <c r="DT422" s="336"/>
      <c r="DU422" s="336"/>
      <c r="DW422" s="336">
        <f t="shared" si="2731"/>
        <v>0</v>
      </c>
      <c r="DX422" s="336">
        <f t="shared" si="2732"/>
        <v>0</v>
      </c>
      <c r="DY422" s="336">
        <f t="shared" si="2733"/>
        <v>0</v>
      </c>
      <c r="DZ422" s="336">
        <f t="shared" si="2734"/>
        <v>0</v>
      </c>
      <c r="EA422" s="336">
        <f t="shared" si="2735"/>
        <v>0</v>
      </c>
      <c r="EB422" s="336">
        <f t="shared" si="2736"/>
        <v>0</v>
      </c>
      <c r="EC422" s="336">
        <f t="shared" si="2737"/>
        <v>0</v>
      </c>
      <c r="ED422" s="336">
        <f t="shared" si="2515"/>
        <v>0</v>
      </c>
      <c r="EE422" s="336">
        <f t="shared" si="2516"/>
        <v>0</v>
      </c>
      <c r="EF422" s="336">
        <f t="shared" si="2517"/>
        <v>0</v>
      </c>
      <c r="EG422" s="336">
        <f t="shared" si="2518"/>
        <v>0</v>
      </c>
      <c r="EH422" s="336">
        <f t="shared" si="2519"/>
        <v>0</v>
      </c>
      <c r="EI422" s="336">
        <f t="shared" si="2520"/>
        <v>0</v>
      </c>
      <c r="EJ422" s="336">
        <f t="shared" si="2521"/>
        <v>0</v>
      </c>
      <c r="EK422" s="336">
        <f t="shared" si="2522"/>
        <v>0</v>
      </c>
      <c r="EL422" s="336">
        <f t="shared" si="2523"/>
        <v>0</v>
      </c>
      <c r="EM422" s="336">
        <f t="shared" si="2524"/>
        <v>0</v>
      </c>
      <c r="EN422" s="336">
        <f t="shared" si="2525"/>
        <v>0</v>
      </c>
      <c r="EO422" s="336">
        <f t="shared" si="2526"/>
        <v>0</v>
      </c>
      <c r="EP422" s="336">
        <f t="shared" si="2527"/>
        <v>0</v>
      </c>
      <c r="EQ422" s="336">
        <f t="shared" si="2528"/>
        <v>0</v>
      </c>
      <c r="ER422" s="336">
        <f t="shared" si="2529"/>
        <v>0</v>
      </c>
      <c r="ES422" s="336">
        <f t="shared" si="2530"/>
        <v>0</v>
      </c>
      <c r="ET422" s="336">
        <f t="shared" si="2530"/>
        <v>0</v>
      </c>
      <c r="EU422" s="336">
        <f t="shared" si="2531"/>
        <v>0</v>
      </c>
      <c r="EV422" s="336">
        <f t="shared" si="2532"/>
        <v>0</v>
      </c>
      <c r="EW422" s="336">
        <f t="shared" si="2533"/>
        <v>0</v>
      </c>
      <c r="EX422" s="336">
        <f t="shared" si="2534"/>
        <v>0</v>
      </c>
      <c r="EY422" s="336">
        <f t="shared" si="2535"/>
        <v>0</v>
      </c>
      <c r="EZ422" s="336">
        <f t="shared" si="2536"/>
        <v>0</v>
      </c>
      <c r="FA422" s="336">
        <f t="shared" si="2537"/>
        <v>0</v>
      </c>
      <c r="FB422" s="336">
        <f t="shared" si="2538"/>
        <v>0</v>
      </c>
      <c r="FC422" s="336">
        <f t="shared" si="2539"/>
        <v>0</v>
      </c>
      <c r="FD422" s="336">
        <f t="shared" si="2540"/>
        <v>0</v>
      </c>
      <c r="FE422" s="336">
        <f t="shared" si="2541"/>
        <v>0</v>
      </c>
      <c r="FF422" s="336">
        <f t="shared" si="2542"/>
        <v>0</v>
      </c>
      <c r="FG422" s="336">
        <f t="shared" si="2543"/>
        <v>0</v>
      </c>
      <c r="FH422" s="336">
        <f t="shared" si="2544"/>
        <v>0</v>
      </c>
      <c r="FI422" s="336">
        <f t="shared" si="2545"/>
        <v>0</v>
      </c>
      <c r="FJ422" s="336">
        <f t="shared" si="2546"/>
        <v>0</v>
      </c>
      <c r="FK422" s="336">
        <f t="shared" si="2547"/>
        <v>0</v>
      </c>
      <c r="FL422" s="336">
        <f t="shared" si="2548"/>
        <v>0</v>
      </c>
      <c r="FM422" s="336">
        <f t="shared" si="2549"/>
        <v>0</v>
      </c>
      <c r="FN422" s="336">
        <f t="shared" si="2550"/>
        <v>0</v>
      </c>
      <c r="FO422" s="336">
        <f t="shared" si="2551"/>
        <v>0</v>
      </c>
      <c r="FP422" s="336">
        <f t="shared" si="2552"/>
        <v>0</v>
      </c>
      <c r="FQ422" s="336">
        <f t="shared" si="2553"/>
        <v>0</v>
      </c>
      <c r="FR422" s="336">
        <f t="shared" si="2554"/>
        <v>0</v>
      </c>
      <c r="FS422" s="336">
        <f t="shared" si="2555"/>
        <v>0</v>
      </c>
      <c r="FT422" s="336">
        <f t="shared" si="2556"/>
        <v>0</v>
      </c>
      <c r="FU422" s="336">
        <f t="shared" si="2638"/>
        <v>0</v>
      </c>
      <c r="FV422" s="336">
        <f t="shared" si="2639"/>
        <v>0</v>
      </c>
      <c r="FW422" s="336">
        <f t="shared" si="2640"/>
        <v>0</v>
      </c>
      <c r="FX422" s="336">
        <f t="shared" si="2641"/>
        <v>0</v>
      </c>
      <c r="FY422" s="336">
        <f t="shared" si="2557"/>
        <v>0</v>
      </c>
      <c r="FZ422" s="336">
        <f t="shared" si="2558"/>
        <v>0</v>
      </c>
      <c r="GA422" s="336">
        <f t="shared" si="2559"/>
        <v>0</v>
      </c>
      <c r="GB422" s="336">
        <f t="shared" si="2560"/>
        <v>0</v>
      </c>
      <c r="GC422" s="336">
        <f t="shared" si="2561"/>
        <v>0</v>
      </c>
      <c r="GD422" s="336">
        <f t="shared" si="2562"/>
        <v>0</v>
      </c>
      <c r="GE422" s="336">
        <f t="shared" si="2563"/>
        <v>0</v>
      </c>
      <c r="GF422" s="336">
        <f t="shared" si="2564"/>
        <v>0</v>
      </c>
      <c r="GG422" s="336">
        <f t="shared" si="2565"/>
        <v>0</v>
      </c>
      <c r="GH422" s="336">
        <f t="shared" si="2566"/>
        <v>0</v>
      </c>
      <c r="GI422" s="336">
        <f t="shared" si="2567"/>
        <v>0</v>
      </c>
      <c r="GJ422" s="336">
        <f t="shared" si="2568"/>
        <v>0</v>
      </c>
      <c r="GK422" s="336">
        <f t="shared" si="2761"/>
        <v>0</v>
      </c>
      <c r="GL422" s="336">
        <f t="shared" si="2764"/>
        <v>0</v>
      </c>
      <c r="GM422" s="336">
        <f t="shared" si="2569"/>
        <v>0</v>
      </c>
    </row>
    <row r="423" spans="1:195" ht="33" customHeight="1">
      <c r="A423" s="337">
        <f t="shared" si="2762"/>
        <v>292</v>
      </c>
      <c r="B423" s="337"/>
      <c r="C423" s="337" t="str">
        <f t="shared" si="2763"/>
        <v>CENTRAL CONTROL BUILDING HVAC DB</v>
      </c>
      <c r="D423" s="372" t="s">
        <v>901</v>
      </c>
      <c r="E423" s="453" t="s">
        <v>555</v>
      </c>
      <c r="F423" s="858"/>
      <c r="G423" s="337" t="s">
        <v>329</v>
      </c>
      <c r="H423" s="583">
        <v>3.5</v>
      </c>
      <c r="I423" s="337" t="s">
        <v>330</v>
      </c>
      <c r="J423" s="337" t="s">
        <v>357</v>
      </c>
      <c r="K423" s="349">
        <v>230</v>
      </c>
      <c r="L423" s="343">
        <v>0.84999999999999987</v>
      </c>
      <c r="M423" s="350">
        <v>0.95099999999999985</v>
      </c>
      <c r="N423" s="342">
        <f t="shared" si="2738"/>
        <v>18.825250577531801</v>
      </c>
      <c r="O423" s="342">
        <f t="shared" si="2739"/>
        <v>0</v>
      </c>
      <c r="P423" s="343" t="str">
        <f t="shared" si="2740"/>
        <v>0.00</v>
      </c>
      <c r="Q423" s="350">
        <v>25</v>
      </c>
      <c r="R423" s="350">
        <v>0</v>
      </c>
      <c r="S423" s="350">
        <f t="shared" si="2741"/>
        <v>0</v>
      </c>
      <c r="T423" s="343" t="s">
        <v>131</v>
      </c>
      <c r="U423" s="350" t="s">
        <v>333</v>
      </c>
      <c r="V423" s="343">
        <v>16</v>
      </c>
      <c r="W423" s="343" t="str">
        <f t="shared" si="2742"/>
        <v>3C X 16</v>
      </c>
      <c r="X423" s="343" t="str">
        <f t="shared" si="2743"/>
        <v>3C X 16</v>
      </c>
      <c r="Y423" s="343" t="s">
        <v>358</v>
      </c>
      <c r="Z423" s="344">
        <f>IF(T423="AIR",VLOOKUP(W423,'Catalogue Aluminium'!$B$9:$G$93,2,FALSE),IF(T423="GROUND",VLOOKUP(W423,'Catalogue Aluminium'!$B$9:$G$93,3,FALSE),IF(T423="DUCT",VLOOKUP(W423,'Catalogue Aluminium'!$B$9:$G$93,4,FALSE),IF(T423="TRENCH",VLOOKUP(W423,'Catalogue Aluminium'!$B$9:$G$93,2,FALSE)))))</f>
        <v>70</v>
      </c>
      <c r="AA423" s="345">
        <f>VLOOKUP(W423,'Catalogue Aluminium'!$B$9:$G$93,5,FALSE)</f>
        <v>2.44</v>
      </c>
      <c r="AB423" s="345">
        <f>VLOOKUP(W423,'Catalogue Aluminium'!$B$9:$G$93,6,FALSE)</f>
        <v>8.1500000000000003E-2</v>
      </c>
      <c r="AC423" s="863">
        <f t="shared" ref="AC423" si="2765">23+15</f>
        <v>38</v>
      </c>
      <c r="AD423" s="863">
        <v>0</v>
      </c>
      <c r="AE423" s="401">
        <v>5</v>
      </c>
      <c r="AF423" s="401">
        <v>8</v>
      </c>
      <c r="AG423" s="401">
        <f t="shared" si="2745"/>
        <v>6</v>
      </c>
      <c r="AH423" s="347">
        <f t="shared" si="2746"/>
        <v>57</v>
      </c>
      <c r="AI423" s="344">
        <f>IF(T423="AIR",'Catalogue Aluminium'!$K$9,IF(T423="TRENCH",'Catalogue Aluminium'!$K$12,"NA"))</f>
        <v>0.89</v>
      </c>
      <c r="AJ423" s="342">
        <f>IF(T423="Air",(IF(U423="1C",'Catalogue Aluminium'!$L$9,'Catalogue Aluminium'!$M$9)),IF(T423="DUCT",(IF($U423="1C",'Catalogue Aluminium'!$L$10,'Catalogue Aluminium'!$M$10)),IF(T423="GROUND",(IF($U423="1C",'Catalogue Aluminium'!$L$11,'Catalogue Aluminium'!$M$11)),IF(T423="TRENCH",(IF($U423="1C",'Catalogue Aluminium'!$L$12,'Catalogue Aluminium'!$M$12))))))</f>
        <v>0.66</v>
      </c>
      <c r="AK423" s="344" t="str">
        <f>IF(T423="Air",'Catalogue Aluminium'!$N$9,IF(T423="GROUND",'Catalogue Aluminium'!$N$10,IF(T423="DUCT",'Catalogue Aluminium'!$N$11,IF(T423="TRENCH",'Catalogue Aluminium'!$N$12,"NA"))))</f>
        <v>NA</v>
      </c>
      <c r="AL423" s="344" t="str">
        <f>IF(T423="Air",(IF(U423="1C",'Catalogue Aluminium'!$O$9,'Catalogue Aluminium'!$P$9)),IF(T423="DUCT",(IF($U423="1C",'Catalogue Aluminium'!$O$10,'Catalogue Aluminium'!$P$10)),IF(T423="GROUND",(IF($U423="1C",'Catalogue Aluminium'!$O$11,'Catalogue Aluminium'!$P$11)),IF(T423="TRENCH",(IF($U423="1C",'Catalogue Aluminium'!$O$12,'Catalogue Aluminium'!$P$12))))))</f>
        <v>NA</v>
      </c>
      <c r="AM423" s="344" t="str">
        <f>IF(T423="AIR","NA",IF(T423="TRENCH","NA",IF(T423="DUCT",IF(U423="1C",VLOOKUP(V423,'Catalogue Aluminium'!$Q$9:$S$28,2,FALSE),VLOOKUP(V423,'Catalogue Aluminium'!$Q$9:$S$28,3)),IF(T423="GROUND",IF(U423="1C",VLOOKUP(V423,'Catalogue Aluminium'!$Q$9:$S$28,2,FALSE),VLOOKUP(V423,'Catalogue Aluminium'!$Q$9:$S$28,3))))))</f>
        <v>NA</v>
      </c>
      <c r="AN423" s="351">
        <f t="shared" si="2747"/>
        <v>0.58740000000000003</v>
      </c>
      <c r="AO423" s="350">
        <f t="shared" si="2748"/>
        <v>41.118000000000002</v>
      </c>
      <c r="AP423" s="349">
        <f t="shared" si="2749"/>
        <v>1</v>
      </c>
      <c r="AQ423" s="350" t="str">
        <f t="shared" si="2750"/>
        <v>YES</v>
      </c>
      <c r="AR423" s="351">
        <f t="shared" si="2751"/>
        <v>1.7106276298617451</v>
      </c>
      <c r="AS423" s="343" t="str">
        <f t="shared" si="2752"/>
        <v>YES</v>
      </c>
      <c r="AT423" s="351" t="str">
        <f t="shared" si="2753"/>
        <v>NA</v>
      </c>
      <c r="AU423" s="343" t="str">
        <f t="shared" si="2754"/>
        <v>NA</v>
      </c>
      <c r="AV423" s="354" t="str">
        <f t="shared" si="2755"/>
        <v>1R x 0.6/1kV x 3C x 16 Sqmm</v>
      </c>
      <c r="AW423" s="354" t="str">
        <f t="shared" si="2756"/>
        <v>1R x 0.6/1kV x 3C x 16 Sqmm</v>
      </c>
      <c r="AX423" s="343">
        <f t="shared" si="2757"/>
        <v>57</v>
      </c>
      <c r="AY423" s="355"/>
      <c r="AZ423" s="355">
        <f t="shared" si="2758"/>
        <v>2</v>
      </c>
      <c r="BA423" s="356" t="str">
        <f t="shared" si="2759"/>
        <v/>
      </c>
      <c r="BB423" s="501">
        <f>VLOOKUP(W423,'Catalogue Aluminium'!$B$9:$H$93,7,FALSE)</f>
        <v>19</v>
      </c>
      <c r="BC423" s="328">
        <f t="shared" si="2760"/>
        <v>19</v>
      </c>
      <c r="BE423" s="336"/>
      <c r="BF423" s="336"/>
      <c r="BG423" s="336"/>
      <c r="BH423" s="336"/>
      <c r="BI423" s="336"/>
      <c r="BJ423" s="336"/>
      <c r="BK423" s="336"/>
      <c r="BL423" s="336"/>
      <c r="BM423" s="336"/>
      <c r="BN423" s="336"/>
      <c r="BO423" s="336"/>
      <c r="BP423" s="336"/>
      <c r="BQ423" s="336"/>
      <c r="BR423" s="336"/>
      <c r="BS423" s="336"/>
      <c r="BT423" s="336"/>
      <c r="BU423" s="336"/>
      <c r="BV423" s="336"/>
      <c r="BW423" s="336"/>
      <c r="BX423" s="336"/>
      <c r="BY423" s="336"/>
      <c r="BZ423" s="336"/>
      <c r="CA423" s="336"/>
      <c r="CB423" s="336"/>
      <c r="CC423" s="336"/>
      <c r="CD423" s="336"/>
      <c r="CE423" s="336"/>
      <c r="CF423" s="336"/>
      <c r="CG423" s="336"/>
      <c r="CH423" s="336"/>
      <c r="CI423" s="336"/>
      <c r="CJ423" s="336"/>
      <c r="CK423" s="336"/>
      <c r="CL423" s="336"/>
      <c r="CM423" s="336"/>
      <c r="CN423" s="336"/>
      <c r="CO423" s="336"/>
      <c r="CP423" s="336"/>
      <c r="CQ423" s="336"/>
      <c r="CR423" s="336"/>
      <c r="CS423" s="336"/>
      <c r="CT423" s="336"/>
      <c r="CU423" s="336"/>
      <c r="CV423" s="336"/>
      <c r="CW423" s="336"/>
      <c r="CX423" s="336"/>
      <c r="CY423" s="336"/>
      <c r="CZ423" s="336"/>
      <c r="DA423" s="336"/>
      <c r="DB423" s="336"/>
      <c r="DC423" s="336"/>
      <c r="DD423" s="336"/>
      <c r="DE423" s="336"/>
      <c r="DF423" s="336"/>
      <c r="DG423" s="336"/>
      <c r="DH423" s="336"/>
      <c r="DI423" s="336"/>
      <c r="DJ423" s="336"/>
      <c r="DK423" s="336"/>
      <c r="DL423" s="336"/>
      <c r="DM423" s="336"/>
      <c r="DN423" s="336"/>
      <c r="DO423" s="336"/>
      <c r="DP423" s="336"/>
      <c r="DQ423" s="336"/>
      <c r="DR423" s="336"/>
      <c r="DS423" s="336"/>
      <c r="DT423" s="336"/>
      <c r="DU423" s="336"/>
      <c r="DW423" s="336">
        <f t="shared" si="2731"/>
        <v>0</v>
      </c>
      <c r="DX423" s="336">
        <f t="shared" si="2732"/>
        <v>0</v>
      </c>
      <c r="DY423" s="336">
        <f t="shared" si="2733"/>
        <v>0</v>
      </c>
      <c r="DZ423" s="336">
        <f t="shared" si="2734"/>
        <v>0</v>
      </c>
      <c r="EA423" s="336">
        <f t="shared" si="2735"/>
        <v>0</v>
      </c>
      <c r="EB423" s="336">
        <f t="shared" si="2736"/>
        <v>0</v>
      </c>
      <c r="EC423" s="336">
        <f t="shared" si="2737"/>
        <v>0</v>
      </c>
      <c r="ED423" s="336">
        <f t="shared" si="2515"/>
        <v>0</v>
      </c>
      <c r="EE423" s="336">
        <f t="shared" si="2516"/>
        <v>0</v>
      </c>
      <c r="EF423" s="336">
        <f t="shared" si="2517"/>
        <v>0</v>
      </c>
      <c r="EG423" s="336">
        <f t="shared" si="2518"/>
        <v>0</v>
      </c>
      <c r="EH423" s="336">
        <f t="shared" si="2519"/>
        <v>0</v>
      </c>
      <c r="EI423" s="336">
        <f t="shared" si="2520"/>
        <v>0</v>
      </c>
      <c r="EJ423" s="336">
        <f t="shared" si="2521"/>
        <v>0</v>
      </c>
      <c r="EK423" s="336">
        <f t="shared" si="2522"/>
        <v>0</v>
      </c>
      <c r="EL423" s="336">
        <f t="shared" si="2523"/>
        <v>0</v>
      </c>
      <c r="EM423" s="336">
        <f t="shared" si="2524"/>
        <v>0</v>
      </c>
      <c r="EN423" s="336">
        <f t="shared" si="2525"/>
        <v>0</v>
      </c>
      <c r="EO423" s="336">
        <f t="shared" si="2526"/>
        <v>0</v>
      </c>
      <c r="EP423" s="336">
        <f t="shared" si="2527"/>
        <v>0</v>
      </c>
      <c r="EQ423" s="336">
        <f t="shared" si="2528"/>
        <v>0</v>
      </c>
      <c r="ER423" s="336">
        <f t="shared" si="2529"/>
        <v>0</v>
      </c>
      <c r="ES423" s="336">
        <f t="shared" si="2530"/>
        <v>0</v>
      </c>
      <c r="ET423" s="336">
        <f t="shared" si="2530"/>
        <v>0</v>
      </c>
      <c r="EU423" s="336">
        <f t="shared" si="2531"/>
        <v>0</v>
      </c>
      <c r="EV423" s="336">
        <f t="shared" si="2532"/>
        <v>0</v>
      </c>
      <c r="EW423" s="336">
        <f t="shared" si="2533"/>
        <v>0</v>
      </c>
      <c r="EX423" s="336">
        <f t="shared" si="2534"/>
        <v>0</v>
      </c>
      <c r="EY423" s="336">
        <f t="shared" si="2535"/>
        <v>0</v>
      </c>
      <c r="EZ423" s="336">
        <f t="shared" si="2536"/>
        <v>0</v>
      </c>
      <c r="FA423" s="336">
        <f t="shared" si="2537"/>
        <v>0</v>
      </c>
      <c r="FB423" s="336">
        <f t="shared" si="2538"/>
        <v>0</v>
      </c>
      <c r="FC423" s="336">
        <f t="shared" si="2539"/>
        <v>0</v>
      </c>
      <c r="FD423" s="336">
        <f t="shared" si="2540"/>
        <v>0</v>
      </c>
      <c r="FE423" s="336">
        <f t="shared" si="2541"/>
        <v>0</v>
      </c>
      <c r="FF423" s="336">
        <f t="shared" si="2542"/>
        <v>0</v>
      </c>
      <c r="FG423" s="336">
        <f t="shared" si="2543"/>
        <v>0</v>
      </c>
      <c r="FH423" s="336">
        <f t="shared" si="2544"/>
        <v>0</v>
      </c>
      <c r="FI423" s="336">
        <f t="shared" si="2545"/>
        <v>0</v>
      </c>
      <c r="FJ423" s="336">
        <f t="shared" si="2546"/>
        <v>0</v>
      </c>
      <c r="FK423" s="336">
        <f t="shared" si="2547"/>
        <v>0</v>
      </c>
      <c r="FL423" s="336">
        <f t="shared" si="2548"/>
        <v>0</v>
      </c>
      <c r="FM423" s="336">
        <f t="shared" si="2549"/>
        <v>0</v>
      </c>
      <c r="FN423" s="336">
        <f t="shared" si="2550"/>
        <v>0</v>
      </c>
      <c r="FO423" s="336">
        <f t="shared" si="2551"/>
        <v>0</v>
      </c>
      <c r="FP423" s="336">
        <f t="shared" si="2552"/>
        <v>0</v>
      </c>
      <c r="FQ423" s="336">
        <f t="shared" si="2553"/>
        <v>0</v>
      </c>
      <c r="FR423" s="336">
        <f t="shared" si="2554"/>
        <v>0</v>
      </c>
      <c r="FS423" s="336">
        <f t="shared" si="2555"/>
        <v>0</v>
      </c>
      <c r="FT423" s="336">
        <f t="shared" si="2556"/>
        <v>0</v>
      </c>
      <c r="FU423" s="336">
        <f t="shared" si="2638"/>
        <v>0</v>
      </c>
      <c r="FV423" s="336">
        <f t="shared" si="2639"/>
        <v>0</v>
      </c>
      <c r="FW423" s="336">
        <f t="shared" si="2640"/>
        <v>0</v>
      </c>
      <c r="FX423" s="336">
        <f t="shared" si="2641"/>
        <v>0</v>
      </c>
      <c r="FY423" s="336">
        <f t="shared" si="2557"/>
        <v>0</v>
      </c>
      <c r="FZ423" s="336">
        <f t="shared" si="2558"/>
        <v>0</v>
      </c>
      <c r="GA423" s="336">
        <f t="shared" si="2559"/>
        <v>0</v>
      </c>
      <c r="GB423" s="336">
        <f t="shared" si="2560"/>
        <v>0</v>
      </c>
      <c r="GC423" s="336">
        <f t="shared" si="2561"/>
        <v>0</v>
      </c>
      <c r="GD423" s="336">
        <f t="shared" si="2562"/>
        <v>0</v>
      </c>
      <c r="GE423" s="336">
        <f t="shared" si="2563"/>
        <v>0</v>
      </c>
      <c r="GF423" s="336">
        <f t="shared" si="2564"/>
        <v>0</v>
      </c>
      <c r="GG423" s="336">
        <f t="shared" si="2565"/>
        <v>0</v>
      </c>
      <c r="GH423" s="336">
        <f t="shared" si="2566"/>
        <v>0</v>
      </c>
      <c r="GI423" s="336">
        <f t="shared" si="2567"/>
        <v>0</v>
      </c>
      <c r="GJ423" s="336">
        <f t="shared" si="2568"/>
        <v>0</v>
      </c>
      <c r="GK423" s="336">
        <f t="shared" si="2761"/>
        <v>0</v>
      </c>
      <c r="GL423" s="336">
        <f t="shared" si="2764"/>
        <v>0</v>
      </c>
      <c r="GM423" s="336">
        <f t="shared" si="2569"/>
        <v>0</v>
      </c>
    </row>
    <row r="424" spans="1:195" ht="33" customHeight="1">
      <c r="A424" s="337">
        <f t="shared" si="2762"/>
        <v>293</v>
      </c>
      <c r="B424" s="337"/>
      <c r="C424" s="337" t="str">
        <f t="shared" si="2763"/>
        <v>CENTRAL CONTROL BUILDING HVAC DB</v>
      </c>
      <c r="D424" s="372" t="s">
        <v>902</v>
      </c>
      <c r="E424" s="453" t="s">
        <v>555</v>
      </c>
      <c r="F424" s="858"/>
      <c r="G424" s="337" t="s">
        <v>329</v>
      </c>
      <c r="H424" s="583">
        <v>3.5</v>
      </c>
      <c r="I424" s="337" t="s">
        <v>330</v>
      </c>
      <c r="J424" s="337" t="s">
        <v>357</v>
      </c>
      <c r="K424" s="349">
        <v>230</v>
      </c>
      <c r="L424" s="343">
        <v>0.84999999999999987</v>
      </c>
      <c r="M424" s="350">
        <v>0.95099999999999985</v>
      </c>
      <c r="N424" s="342">
        <f t="shared" si="2738"/>
        <v>18.825250577531801</v>
      </c>
      <c r="O424" s="342">
        <f t="shared" si="2739"/>
        <v>0</v>
      </c>
      <c r="P424" s="343" t="str">
        <f t="shared" si="2740"/>
        <v>0.00</v>
      </c>
      <c r="Q424" s="350">
        <v>25</v>
      </c>
      <c r="R424" s="350">
        <v>0</v>
      </c>
      <c r="S424" s="350">
        <f t="shared" si="2741"/>
        <v>0</v>
      </c>
      <c r="T424" s="343" t="s">
        <v>131</v>
      </c>
      <c r="U424" s="350" t="s">
        <v>333</v>
      </c>
      <c r="V424" s="343">
        <v>16</v>
      </c>
      <c r="W424" s="343" t="str">
        <f t="shared" si="2742"/>
        <v>3C X 16</v>
      </c>
      <c r="X424" s="343" t="str">
        <f t="shared" si="2743"/>
        <v>3C X 16</v>
      </c>
      <c r="Y424" s="343" t="s">
        <v>358</v>
      </c>
      <c r="Z424" s="344">
        <f>IF(T424="AIR",VLOOKUP(W424,'Catalogue Aluminium'!$B$9:$G$93,2,FALSE),IF(T424="GROUND",VLOOKUP(W424,'Catalogue Aluminium'!$B$9:$G$93,3,FALSE),IF(T424="DUCT",VLOOKUP(W424,'Catalogue Aluminium'!$B$9:$G$93,4,FALSE),IF(T424="TRENCH",VLOOKUP(W424,'Catalogue Aluminium'!$B$9:$G$93,2,FALSE)))))</f>
        <v>70</v>
      </c>
      <c r="AA424" s="345">
        <f>VLOOKUP(W424,'Catalogue Aluminium'!$B$9:$G$93,5,FALSE)</f>
        <v>2.44</v>
      </c>
      <c r="AB424" s="345">
        <f>VLOOKUP(W424,'Catalogue Aluminium'!$B$9:$G$93,6,FALSE)</f>
        <v>8.1500000000000003E-2</v>
      </c>
      <c r="AC424" s="863">
        <f t="shared" si="2744"/>
        <v>38</v>
      </c>
      <c r="AD424" s="863">
        <v>0</v>
      </c>
      <c r="AE424" s="401">
        <v>5</v>
      </c>
      <c r="AF424" s="401">
        <v>8</v>
      </c>
      <c r="AG424" s="401">
        <f t="shared" si="2745"/>
        <v>6</v>
      </c>
      <c r="AH424" s="347">
        <f t="shared" si="2746"/>
        <v>57</v>
      </c>
      <c r="AI424" s="344">
        <f>IF(T424="AIR",'Catalogue Aluminium'!$K$9,IF(T424="TRENCH",'Catalogue Aluminium'!$K$12,"NA"))</f>
        <v>0.89</v>
      </c>
      <c r="AJ424" s="342">
        <f>IF(T424="Air",(IF(U424="1C",'Catalogue Aluminium'!$L$9,'Catalogue Aluminium'!$M$9)),IF(T424="DUCT",(IF($U424="1C",'Catalogue Aluminium'!$L$10,'Catalogue Aluminium'!$M$10)),IF(T424="GROUND",(IF($U424="1C",'Catalogue Aluminium'!$L$11,'Catalogue Aluminium'!$M$11)),IF(T424="TRENCH",(IF($U424="1C",'Catalogue Aluminium'!$L$12,'Catalogue Aluminium'!$M$12))))))</f>
        <v>0.66</v>
      </c>
      <c r="AK424" s="344" t="str">
        <f>IF(T424="Air",'Catalogue Aluminium'!$N$9,IF(T424="GROUND",'Catalogue Aluminium'!$N$10,IF(T424="DUCT",'Catalogue Aluminium'!$N$11,IF(T424="TRENCH",'Catalogue Aluminium'!$N$12,"NA"))))</f>
        <v>NA</v>
      </c>
      <c r="AL424" s="344" t="str">
        <f>IF(T424="Air",(IF(U424="1C",'Catalogue Aluminium'!$O$9,'Catalogue Aluminium'!$P$9)),IF(T424="DUCT",(IF($U424="1C",'Catalogue Aluminium'!$O$10,'Catalogue Aluminium'!$P$10)),IF(T424="GROUND",(IF($U424="1C",'Catalogue Aluminium'!$O$11,'Catalogue Aluminium'!$P$11)),IF(T424="TRENCH",(IF($U424="1C",'Catalogue Aluminium'!$O$12,'Catalogue Aluminium'!$P$12))))))</f>
        <v>NA</v>
      </c>
      <c r="AM424" s="344" t="str">
        <f>IF(T424="AIR","NA",IF(T424="TRENCH","NA",IF(T424="DUCT",IF(U424="1C",VLOOKUP(V424,'Catalogue Aluminium'!$Q$9:$S$28,2,FALSE),VLOOKUP(V424,'Catalogue Aluminium'!$Q$9:$S$28,3)),IF(T424="GROUND",IF(U424="1C",VLOOKUP(V424,'Catalogue Aluminium'!$Q$9:$S$28,2,FALSE),VLOOKUP(V424,'Catalogue Aluminium'!$Q$9:$S$28,3))))))</f>
        <v>NA</v>
      </c>
      <c r="AN424" s="351">
        <f t="shared" si="2747"/>
        <v>0.58740000000000003</v>
      </c>
      <c r="AO424" s="350">
        <f t="shared" si="2748"/>
        <v>41.118000000000002</v>
      </c>
      <c r="AP424" s="349">
        <f t="shared" si="2749"/>
        <v>1</v>
      </c>
      <c r="AQ424" s="350" t="str">
        <f t="shared" si="2750"/>
        <v>YES</v>
      </c>
      <c r="AR424" s="351">
        <f t="shared" si="2751"/>
        <v>1.7106276298617451</v>
      </c>
      <c r="AS424" s="343" t="str">
        <f t="shared" si="2752"/>
        <v>YES</v>
      </c>
      <c r="AT424" s="351" t="str">
        <f t="shared" si="2753"/>
        <v>NA</v>
      </c>
      <c r="AU424" s="343" t="str">
        <f t="shared" si="2754"/>
        <v>NA</v>
      </c>
      <c r="AV424" s="354" t="str">
        <f t="shared" si="2755"/>
        <v>1R x 0.6/1kV x 3C x 16 Sqmm</v>
      </c>
      <c r="AW424" s="354" t="str">
        <f t="shared" si="2756"/>
        <v>1R x 0.6/1kV x 3C x 16 Sqmm</v>
      </c>
      <c r="AX424" s="343">
        <f t="shared" si="2757"/>
        <v>57</v>
      </c>
      <c r="AY424" s="355"/>
      <c r="AZ424" s="355">
        <f t="shared" si="2758"/>
        <v>2</v>
      </c>
      <c r="BA424" s="356" t="str">
        <f t="shared" si="2759"/>
        <v/>
      </c>
      <c r="BB424" s="501">
        <f>VLOOKUP(W424,'Catalogue Aluminium'!$B$9:$H$93,7,FALSE)</f>
        <v>19</v>
      </c>
      <c r="BC424" s="328">
        <f t="shared" si="2760"/>
        <v>19</v>
      </c>
      <c r="BE424" s="336"/>
      <c r="BF424" s="336"/>
      <c r="BG424" s="336"/>
      <c r="BH424" s="336"/>
      <c r="BI424" s="336"/>
      <c r="BJ424" s="336"/>
      <c r="BK424" s="336"/>
      <c r="BL424" s="336"/>
      <c r="BM424" s="336"/>
      <c r="BN424" s="336"/>
      <c r="BO424" s="336"/>
      <c r="BP424" s="336"/>
      <c r="BQ424" s="336"/>
      <c r="BR424" s="336"/>
      <c r="BS424" s="336"/>
      <c r="BT424" s="336"/>
      <c r="BU424" s="336"/>
      <c r="BV424" s="336"/>
      <c r="BW424" s="336"/>
      <c r="BX424" s="336"/>
      <c r="BY424" s="336"/>
      <c r="BZ424" s="336"/>
      <c r="CA424" s="336"/>
      <c r="CB424" s="336"/>
      <c r="CC424" s="336"/>
      <c r="CD424" s="336"/>
      <c r="CE424" s="336"/>
      <c r="CF424" s="336"/>
      <c r="CG424" s="336"/>
      <c r="CH424" s="336"/>
      <c r="CI424" s="336"/>
      <c r="CJ424" s="336"/>
      <c r="CK424" s="336"/>
      <c r="CL424" s="336"/>
      <c r="CM424" s="336"/>
      <c r="CN424" s="336"/>
      <c r="CO424" s="336"/>
      <c r="CP424" s="336"/>
      <c r="CQ424" s="336"/>
      <c r="CR424" s="336"/>
      <c r="CS424" s="336"/>
      <c r="CT424" s="336"/>
      <c r="CU424" s="336"/>
      <c r="CV424" s="336"/>
      <c r="CW424" s="336"/>
      <c r="CX424" s="336"/>
      <c r="CY424" s="336"/>
      <c r="CZ424" s="336"/>
      <c r="DA424" s="336"/>
      <c r="DB424" s="336"/>
      <c r="DC424" s="336"/>
      <c r="DD424" s="336"/>
      <c r="DE424" s="336"/>
      <c r="DF424" s="336"/>
      <c r="DG424" s="336"/>
      <c r="DH424" s="336"/>
      <c r="DI424" s="336"/>
      <c r="DJ424" s="336"/>
      <c r="DK424" s="336"/>
      <c r="DL424" s="336"/>
      <c r="DM424" s="336"/>
      <c r="DN424" s="336"/>
      <c r="DO424" s="336"/>
      <c r="DP424" s="336"/>
      <c r="DQ424" s="336"/>
      <c r="DR424" s="336"/>
      <c r="DS424" s="336"/>
      <c r="DT424" s="336"/>
      <c r="DU424" s="336"/>
      <c r="DW424" s="336">
        <f t="shared" si="2731"/>
        <v>0</v>
      </c>
      <c r="DX424" s="336">
        <f t="shared" si="2732"/>
        <v>0</v>
      </c>
      <c r="DY424" s="336">
        <f t="shared" si="2733"/>
        <v>0</v>
      </c>
      <c r="DZ424" s="336">
        <f t="shared" si="2734"/>
        <v>0</v>
      </c>
      <c r="EA424" s="336">
        <f t="shared" si="2735"/>
        <v>0</v>
      </c>
      <c r="EB424" s="336">
        <f t="shared" si="2736"/>
        <v>0</v>
      </c>
      <c r="EC424" s="336">
        <f t="shared" si="2737"/>
        <v>0</v>
      </c>
      <c r="ED424" s="336">
        <f t="shared" si="2515"/>
        <v>0</v>
      </c>
      <c r="EE424" s="336">
        <f t="shared" si="2516"/>
        <v>0</v>
      </c>
      <c r="EF424" s="336">
        <f t="shared" si="2517"/>
        <v>0</v>
      </c>
      <c r="EG424" s="336">
        <f t="shared" si="2518"/>
        <v>0</v>
      </c>
      <c r="EH424" s="336">
        <f t="shared" si="2519"/>
        <v>0</v>
      </c>
      <c r="EI424" s="336">
        <f t="shared" si="2520"/>
        <v>0</v>
      </c>
      <c r="EJ424" s="336">
        <f t="shared" si="2521"/>
        <v>0</v>
      </c>
      <c r="EK424" s="336">
        <f t="shared" si="2522"/>
        <v>0</v>
      </c>
      <c r="EL424" s="336">
        <f t="shared" si="2523"/>
        <v>0</v>
      </c>
      <c r="EM424" s="336">
        <f t="shared" si="2524"/>
        <v>0</v>
      </c>
      <c r="EN424" s="336">
        <f t="shared" si="2525"/>
        <v>0</v>
      </c>
      <c r="EO424" s="336">
        <f t="shared" si="2526"/>
        <v>0</v>
      </c>
      <c r="EP424" s="336">
        <f t="shared" si="2527"/>
        <v>0</v>
      </c>
      <c r="EQ424" s="336">
        <f t="shared" si="2528"/>
        <v>0</v>
      </c>
      <c r="ER424" s="336">
        <f t="shared" si="2529"/>
        <v>0</v>
      </c>
      <c r="ES424" s="336">
        <f t="shared" si="2530"/>
        <v>0</v>
      </c>
      <c r="ET424" s="336">
        <f t="shared" si="2530"/>
        <v>0</v>
      </c>
      <c r="EU424" s="336">
        <f t="shared" si="2531"/>
        <v>0</v>
      </c>
      <c r="EV424" s="336">
        <f t="shared" si="2532"/>
        <v>0</v>
      </c>
      <c r="EW424" s="336">
        <f t="shared" si="2533"/>
        <v>0</v>
      </c>
      <c r="EX424" s="336">
        <f t="shared" si="2534"/>
        <v>0</v>
      </c>
      <c r="EY424" s="336">
        <f t="shared" si="2535"/>
        <v>0</v>
      </c>
      <c r="EZ424" s="336">
        <f t="shared" si="2536"/>
        <v>0</v>
      </c>
      <c r="FA424" s="336">
        <f t="shared" si="2537"/>
        <v>0</v>
      </c>
      <c r="FB424" s="336">
        <f t="shared" si="2538"/>
        <v>0</v>
      </c>
      <c r="FC424" s="336">
        <f t="shared" si="2539"/>
        <v>0</v>
      </c>
      <c r="FD424" s="336">
        <f t="shared" si="2540"/>
        <v>0</v>
      </c>
      <c r="FE424" s="336">
        <f t="shared" si="2541"/>
        <v>0</v>
      </c>
      <c r="FF424" s="336">
        <f t="shared" si="2542"/>
        <v>0</v>
      </c>
      <c r="FG424" s="336">
        <f t="shared" si="2543"/>
        <v>0</v>
      </c>
      <c r="FH424" s="336">
        <f t="shared" si="2544"/>
        <v>0</v>
      </c>
      <c r="FI424" s="336">
        <f t="shared" si="2545"/>
        <v>0</v>
      </c>
      <c r="FJ424" s="336">
        <f t="shared" si="2546"/>
        <v>0</v>
      </c>
      <c r="FK424" s="336">
        <f t="shared" si="2547"/>
        <v>0</v>
      </c>
      <c r="FL424" s="336">
        <f t="shared" si="2548"/>
        <v>0</v>
      </c>
      <c r="FM424" s="336">
        <f t="shared" si="2549"/>
        <v>0</v>
      </c>
      <c r="FN424" s="336">
        <f t="shared" si="2550"/>
        <v>0</v>
      </c>
      <c r="FO424" s="336">
        <f t="shared" si="2551"/>
        <v>0</v>
      </c>
      <c r="FP424" s="336">
        <f t="shared" si="2552"/>
        <v>0</v>
      </c>
      <c r="FQ424" s="336">
        <f t="shared" si="2553"/>
        <v>0</v>
      </c>
      <c r="FR424" s="336">
        <f t="shared" si="2554"/>
        <v>0</v>
      </c>
      <c r="FS424" s="336">
        <f t="shared" si="2555"/>
        <v>0</v>
      </c>
      <c r="FT424" s="336">
        <f t="shared" si="2556"/>
        <v>0</v>
      </c>
      <c r="FU424" s="336">
        <f t="shared" si="2638"/>
        <v>0</v>
      </c>
      <c r="FV424" s="336">
        <f t="shared" si="2639"/>
        <v>0</v>
      </c>
      <c r="FW424" s="336">
        <f t="shared" si="2640"/>
        <v>0</v>
      </c>
      <c r="FX424" s="336">
        <f t="shared" si="2641"/>
        <v>0</v>
      </c>
      <c r="FY424" s="336">
        <f t="shared" si="2557"/>
        <v>0</v>
      </c>
      <c r="FZ424" s="336">
        <f t="shared" si="2558"/>
        <v>0</v>
      </c>
      <c r="GA424" s="336">
        <f t="shared" si="2559"/>
        <v>0</v>
      </c>
      <c r="GB424" s="336">
        <f t="shared" si="2560"/>
        <v>0</v>
      </c>
      <c r="GC424" s="336">
        <f t="shared" si="2561"/>
        <v>0</v>
      </c>
      <c r="GD424" s="336">
        <f t="shared" si="2562"/>
        <v>0</v>
      </c>
      <c r="GE424" s="336">
        <f t="shared" si="2563"/>
        <v>0</v>
      </c>
      <c r="GF424" s="336">
        <f t="shared" si="2564"/>
        <v>0</v>
      </c>
      <c r="GG424" s="336">
        <f t="shared" si="2565"/>
        <v>0</v>
      </c>
      <c r="GH424" s="336">
        <f t="shared" si="2566"/>
        <v>0</v>
      </c>
      <c r="GI424" s="336">
        <f t="shared" si="2567"/>
        <v>0</v>
      </c>
      <c r="GJ424" s="336">
        <f t="shared" si="2568"/>
        <v>0</v>
      </c>
      <c r="GK424" s="336">
        <f t="shared" si="2761"/>
        <v>0</v>
      </c>
      <c r="GL424" s="336">
        <f t="shared" si="2764"/>
        <v>0</v>
      </c>
      <c r="GM424" s="336">
        <f t="shared" si="2569"/>
        <v>0</v>
      </c>
    </row>
    <row r="425" spans="1:195" ht="33" customHeight="1">
      <c r="A425" s="337">
        <f t="shared" si="2762"/>
        <v>294</v>
      </c>
      <c r="B425" s="337"/>
      <c r="C425" s="337" t="str">
        <f t="shared" si="2763"/>
        <v>CENTRAL CONTROL BUILDING HVAC DB</v>
      </c>
      <c r="D425" s="372" t="s">
        <v>903</v>
      </c>
      <c r="E425" s="453" t="s">
        <v>555</v>
      </c>
      <c r="F425" s="858"/>
      <c r="G425" s="337" t="s">
        <v>329</v>
      </c>
      <c r="H425" s="583">
        <v>3.5</v>
      </c>
      <c r="I425" s="337" t="s">
        <v>330</v>
      </c>
      <c r="J425" s="337" t="s">
        <v>357</v>
      </c>
      <c r="K425" s="349">
        <v>230</v>
      </c>
      <c r="L425" s="343">
        <v>0.84999999999999987</v>
      </c>
      <c r="M425" s="350">
        <v>0.95099999999999985</v>
      </c>
      <c r="N425" s="342">
        <f t="shared" si="2738"/>
        <v>18.825250577531801</v>
      </c>
      <c r="O425" s="342">
        <f t="shared" si="2739"/>
        <v>0</v>
      </c>
      <c r="P425" s="343" t="str">
        <f t="shared" si="2740"/>
        <v>0.00</v>
      </c>
      <c r="Q425" s="350">
        <v>25</v>
      </c>
      <c r="R425" s="350">
        <v>0</v>
      </c>
      <c r="S425" s="350">
        <f t="shared" si="2741"/>
        <v>0</v>
      </c>
      <c r="T425" s="343" t="s">
        <v>131</v>
      </c>
      <c r="U425" s="350" t="s">
        <v>333</v>
      </c>
      <c r="V425" s="343">
        <v>16</v>
      </c>
      <c r="W425" s="343" t="str">
        <f t="shared" si="2742"/>
        <v>3C X 16</v>
      </c>
      <c r="X425" s="343" t="str">
        <f t="shared" si="2743"/>
        <v>3C X 16</v>
      </c>
      <c r="Y425" s="343" t="s">
        <v>358</v>
      </c>
      <c r="Z425" s="344">
        <f>IF(T425="AIR",VLOOKUP(W425,'Catalogue Aluminium'!$B$9:$G$93,2,FALSE),IF(T425="GROUND",VLOOKUP(W425,'Catalogue Aluminium'!$B$9:$G$93,3,FALSE),IF(T425="DUCT",VLOOKUP(W425,'Catalogue Aluminium'!$B$9:$G$93,4,FALSE),IF(T425="TRENCH",VLOOKUP(W425,'Catalogue Aluminium'!$B$9:$G$93,2,FALSE)))))</f>
        <v>70</v>
      </c>
      <c r="AA425" s="345">
        <f>VLOOKUP(W425,'Catalogue Aluminium'!$B$9:$G$93,5,FALSE)</f>
        <v>2.44</v>
      </c>
      <c r="AB425" s="345">
        <f>VLOOKUP(W425,'Catalogue Aluminium'!$B$9:$G$93,6,FALSE)</f>
        <v>8.1500000000000003E-2</v>
      </c>
      <c r="AC425" s="863">
        <f t="shared" si="2744"/>
        <v>38</v>
      </c>
      <c r="AD425" s="863">
        <v>0</v>
      </c>
      <c r="AE425" s="401">
        <v>5</v>
      </c>
      <c r="AF425" s="401">
        <v>8</v>
      </c>
      <c r="AG425" s="401">
        <f t="shared" si="2745"/>
        <v>6</v>
      </c>
      <c r="AH425" s="347">
        <f t="shared" si="2746"/>
        <v>57</v>
      </c>
      <c r="AI425" s="344">
        <f>IF(T425="AIR",'Catalogue Aluminium'!$K$9,IF(T425="TRENCH",'Catalogue Aluminium'!$K$12,"NA"))</f>
        <v>0.89</v>
      </c>
      <c r="AJ425" s="342">
        <f>IF(T425="Air",(IF(U425="1C",'Catalogue Aluminium'!$L$9,'Catalogue Aluminium'!$M$9)),IF(T425="DUCT",(IF($U425="1C",'Catalogue Aluminium'!$L$10,'Catalogue Aluminium'!$M$10)),IF(T425="GROUND",(IF($U425="1C",'Catalogue Aluminium'!$L$11,'Catalogue Aluminium'!$M$11)),IF(T425="TRENCH",(IF($U425="1C",'Catalogue Aluminium'!$L$12,'Catalogue Aluminium'!$M$12))))))</f>
        <v>0.66</v>
      </c>
      <c r="AK425" s="344" t="str">
        <f>IF(T425="Air",'Catalogue Aluminium'!$N$9,IF(T425="GROUND",'Catalogue Aluminium'!$N$10,IF(T425="DUCT",'Catalogue Aluminium'!$N$11,IF(T425="TRENCH",'Catalogue Aluminium'!$N$12,"NA"))))</f>
        <v>NA</v>
      </c>
      <c r="AL425" s="344" t="str">
        <f>IF(T425="Air",(IF(U425="1C",'Catalogue Aluminium'!$O$9,'Catalogue Aluminium'!$P$9)),IF(T425="DUCT",(IF($U425="1C",'Catalogue Aluminium'!$O$10,'Catalogue Aluminium'!$P$10)),IF(T425="GROUND",(IF($U425="1C",'Catalogue Aluminium'!$O$11,'Catalogue Aluminium'!$P$11)),IF(T425="TRENCH",(IF($U425="1C",'Catalogue Aluminium'!$O$12,'Catalogue Aluminium'!$P$12))))))</f>
        <v>NA</v>
      </c>
      <c r="AM425" s="344" t="str">
        <f>IF(T425="AIR","NA",IF(T425="TRENCH","NA",IF(T425="DUCT",IF(U425="1C",VLOOKUP(V425,'Catalogue Aluminium'!$Q$9:$S$28,2,FALSE),VLOOKUP(V425,'Catalogue Aluminium'!$Q$9:$S$28,3)),IF(T425="GROUND",IF(U425="1C",VLOOKUP(V425,'Catalogue Aluminium'!$Q$9:$S$28,2,FALSE),VLOOKUP(V425,'Catalogue Aluminium'!$Q$9:$S$28,3))))))</f>
        <v>NA</v>
      </c>
      <c r="AN425" s="351">
        <f t="shared" si="2747"/>
        <v>0.58740000000000003</v>
      </c>
      <c r="AO425" s="350">
        <f t="shared" si="2748"/>
        <v>41.118000000000002</v>
      </c>
      <c r="AP425" s="349">
        <f t="shared" si="2749"/>
        <v>1</v>
      </c>
      <c r="AQ425" s="350" t="str">
        <f t="shared" si="2750"/>
        <v>YES</v>
      </c>
      <c r="AR425" s="351">
        <f t="shared" si="2751"/>
        <v>1.7106276298617451</v>
      </c>
      <c r="AS425" s="343" t="str">
        <f t="shared" si="2752"/>
        <v>YES</v>
      </c>
      <c r="AT425" s="351" t="str">
        <f t="shared" si="2753"/>
        <v>NA</v>
      </c>
      <c r="AU425" s="343" t="str">
        <f t="shared" si="2754"/>
        <v>NA</v>
      </c>
      <c r="AV425" s="354" t="str">
        <f t="shared" si="2755"/>
        <v>1R x 0.6/1kV x 3C x 16 Sqmm</v>
      </c>
      <c r="AW425" s="354" t="str">
        <f t="shared" si="2756"/>
        <v>1R x 0.6/1kV x 3C x 16 Sqmm</v>
      </c>
      <c r="AX425" s="343">
        <f t="shared" si="2757"/>
        <v>57</v>
      </c>
      <c r="AY425" s="355"/>
      <c r="AZ425" s="355">
        <f t="shared" si="2758"/>
        <v>2</v>
      </c>
      <c r="BA425" s="356" t="str">
        <f t="shared" si="2759"/>
        <v/>
      </c>
      <c r="BB425" s="501">
        <f>VLOOKUP(W425,'Catalogue Aluminium'!$B$9:$H$93,7,FALSE)</f>
        <v>19</v>
      </c>
      <c r="BC425" s="328">
        <f t="shared" si="2760"/>
        <v>19</v>
      </c>
      <c r="BE425" s="336"/>
      <c r="BF425" s="336"/>
      <c r="BG425" s="336"/>
      <c r="BH425" s="336"/>
      <c r="BI425" s="336"/>
      <c r="BJ425" s="336"/>
      <c r="BK425" s="336"/>
      <c r="BL425" s="336"/>
      <c r="BM425" s="336"/>
      <c r="BN425" s="336"/>
      <c r="BO425" s="336"/>
      <c r="BP425" s="336"/>
      <c r="BQ425" s="336"/>
      <c r="BR425" s="336"/>
      <c r="BS425" s="336"/>
      <c r="BT425" s="336"/>
      <c r="BU425" s="336"/>
      <c r="BV425" s="336"/>
      <c r="BW425" s="336"/>
      <c r="BX425" s="336"/>
      <c r="BY425" s="336"/>
      <c r="BZ425" s="336"/>
      <c r="CA425" s="336"/>
      <c r="CB425" s="336"/>
      <c r="CC425" s="336"/>
      <c r="CD425" s="336"/>
      <c r="CE425" s="336"/>
      <c r="CF425" s="336"/>
      <c r="CG425" s="336"/>
      <c r="CH425" s="336"/>
      <c r="CI425" s="336"/>
      <c r="CJ425" s="336"/>
      <c r="CK425" s="336"/>
      <c r="CL425" s="336"/>
      <c r="CM425" s="336"/>
      <c r="CN425" s="336"/>
      <c r="CO425" s="336"/>
      <c r="CP425" s="336"/>
      <c r="CQ425" s="336"/>
      <c r="CR425" s="336"/>
      <c r="CS425" s="336"/>
      <c r="CT425" s="336"/>
      <c r="CU425" s="336"/>
      <c r="CV425" s="336"/>
      <c r="CW425" s="336"/>
      <c r="CX425" s="336"/>
      <c r="CY425" s="336"/>
      <c r="CZ425" s="336"/>
      <c r="DA425" s="336"/>
      <c r="DB425" s="336"/>
      <c r="DC425" s="336"/>
      <c r="DD425" s="336"/>
      <c r="DE425" s="336"/>
      <c r="DF425" s="336"/>
      <c r="DG425" s="336"/>
      <c r="DH425" s="336"/>
      <c r="DI425" s="336"/>
      <c r="DJ425" s="336"/>
      <c r="DK425" s="336"/>
      <c r="DL425" s="336"/>
      <c r="DM425" s="336"/>
      <c r="DN425" s="336"/>
      <c r="DO425" s="336"/>
      <c r="DP425" s="336"/>
      <c r="DQ425" s="336"/>
      <c r="DR425" s="336"/>
      <c r="DS425" s="336"/>
      <c r="DT425" s="336"/>
      <c r="DU425" s="336"/>
      <c r="DW425" s="336">
        <f t="shared" si="2731"/>
        <v>0</v>
      </c>
      <c r="DX425" s="336">
        <f t="shared" si="2732"/>
        <v>0</v>
      </c>
      <c r="DY425" s="336">
        <f t="shared" si="2733"/>
        <v>0</v>
      </c>
      <c r="DZ425" s="336">
        <f t="shared" si="2734"/>
        <v>0</v>
      </c>
      <c r="EA425" s="336">
        <f t="shared" si="2735"/>
        <v>0</v>
      </c>
      <c r="EB425" s="336">
        <f t="shared" si="2736"/>
        <v>0</v>
      </c>
      <c r="EC425" s="336">
        <f t="shared" si="2737"/>
        <v>0</v>
      </c>
      <c r="ED425" s="336">
        <f t="shared" si="2515"/>
        <v>0</v>
      </c>
      <c r="EE425" s="336">
        <f t="shared" si="2516"/>
        <v>0</v>
      </c>
      <c r="EF425" s="336">
        <f t="shared" si="2517"/>
        <v>0</v>
      </c>
      <c r="EG425" s="336">
        <f t="shared" si="2518"/>
        <v>0</v>
      </c>
      <c r="EH425" s="336">
        <f t="shared" si="2519"/>
        <v>0</v>
      </c>
      <c r="EI425" s="336">
        <f t="shared" si="2520"/>
        <v>0</v>
      </c>
      <c r="EJ425" s="336">
        <f t="shared" si="2521"/>
        <v>0</v>
      </c>
      <c r="EK425" s="336">
        <f t="shared" si="2522"/>
        <v>0</v>
      </c>
      <c r="EL425" s="336">
        <f t="shared" si="2523"/>
        <v>0</v>
      </c>
      <c r="EM425" s="336">
        <f t="shared" si="2524"/>
        <v>0</v>
      </c>
      <c r="EN425" s="336">
        <f t="shared" si="2525"/>
        <v>0</v>
      </c>
      <c r="EO425" s="336">
        <f t="shared" si="2526"/>
        <v>0</v>
      </c>
      <c r="EP425" s="336">
        <f t="shared" si="2527"/>
        <v>0</v>
      </c>
      <c r="EQ425" s="336">
        <f t="shared" si="2528"/>
        <v>0</v>
      </c>
      <c r="ER425" s="336">
        <f t="shared" si="2529"/>
        <v>0</v>
      </c>
      <c r="ES425" s="336">
        <f t="shared" si="2530"/>
        <v>0</v>
      </c>
      <c r="ET425" s="336">
        <f t="shared" si="2530"/>
        <v>0</v>
      </c>
      <c r="EU425" s="336">
        <f t="shared" si="2531"/>
        <v>0</v>
      </c>
      <c r="EV425" s="336">
        <f t="shared" si="2532"/>
        <v>0</v>
      </c>
      <c r="EW425" s="336">
        <f t="shared" si="2533"/>
        <v>0</v>
      </c>
      <c r="EX425" s="336">
        <f t="shared" si="2534"/>
        <v>0</v>
      </c>
      <c r="EY425" s="336">
        <f t="shared" si="2535"/>
        <v>0</v>
      </c>
      <c r="EZ425" s="336">
        <f t="shared" si="2536"/>
        <v>0</v>
      </c>
      <c r="FA425" s="336">
        <f t="shared" si="2537"/>
        <v>0</v>
      </c>
      <c r="FB425" s="336">
        <f t="shared" si="2538"/>
        <v>0</v>
      </c>
      <c r="FC425" s="336">
        <f t="shared" si="2539"/>
        <v>0</v>
      </c>
      <c r="FD425" s="336">
        <f t="shared" si="2540"/>
        <v>0</v>
      </c>
      <c r="FE425" s="336">
        <f t="shared" si="2541"/>
        <v>0</v>
      </c>
      <c r="FF425" s="336">
        <f t="shared" si="2542"/>
        <v>0</v>
      </c>
      <c r="FG425" s="336">
        <f t="shared" si="2543"/>
        <v>0</v>
      </c>
      <c r="FH425" s="336">
        <f t="shared" si="2544"/>
        <v>0</v>
      </c>
      <c r="FI425" s="336">
        <f t="shared" si="2545"/>
        <v>0</v>
      </c>
      <c r="FJ425" s="336">
        <f t="shared" si="2546"/>
        <v>0</v>
      </c>
      <c r="FK425" s="336">
        <f t="shared" si="2547"/>
        <v>0</v>
      </c>
      <c r="FL425" s="336">
        <f t="shared" si="2548"/>
        <v>0</v>
      </c>
      <c r="FM425" s="336">
        <f t="shared" si="2549"/>
        <v>0</v>
      </c>
      <c r="FN425" s="336">
        <f t="shared" si="2550"/>
        <v>0</v>
      </c>
      <c r="FO425" s="336">
        <f t="shared" si="2551"/>
        <v>0</v>
      </c>
      <c r="FP425" s="336">
        <f t="shared" si="2552"/>
        <v>0</v>
      </c>
      <c r="FQ425" s="336">
        <f t="shared" si="2553"/>
        <v>0</v>
      </c>
      <c r="FR425" s="336">
        <f t="shared" si="2554"/>
        <v>0</v>
      </c>
      <c r="FS425" s="336">
        <f t="shared" si="2555"/>
        <v>0</v>
      </c>
      <c r="FT425" s="336">
        <f t="shared" si="2556"/>
        <v>0</v>
      </c>
      <c r="FU425" s="336">
        <f t="shared" si="2638"/>
        <v>0</v>
      </c>
      <c r="FV425" s="336">
        <f t="shared" si="2639"/>
        <v>0</v>
      </c>
      <c r="FW425" s="336">
        <f t="shared" si="2640"/>
        <v>0</v>
      </c>
      <c r="FX425" s="336">
        <f t="shared" si="2641"/>
        <v>0</v>
      </c>
      <c r="FY425" s="336">
        <f t="shared" si="2557"/>
        <v>0</v>
      </c>
      <c r="FZ425" s="336">
        <f t="shared" si="2558"/>
        <v>0</v>
      </c>
      <c r="GA425" s="336">
        <f t="shared" si="2559"/>
        <v>0</v>
      </c>
      <c r="GB425" s="336">
        <f t="shared" si="2560"/>
        <v>0</v>
      </c>
      <c r="GC425" s="336">
        <f t="shared" si="2561"/>
        <v>0</v>
      </c>
      <c r="GD425" s="336">
        <f t="shared" si="2562"/>
        <v>0</v>
      </c>
      <c r="GE425" s="336">
        <f t="shared" si="2563"/>
        <v>0</v>
      </c>
      <c r="GF425" s="336">
        <f t="shared" si="2564"/>
        <v>0</v>
      </c>
      <c r="GG425" s="336">
        <f t="shared" si="2565"/>
        <v>0</v>
      </c>
      <c r="GH425" s="336">
        <f t="shared" si="2566"/>
        <v>0</v>
      </c>
      <c r="GI425" s="336">
        <f t="shared" si="2567"/>
        <v>0</v>
      </c>
      <c r="GJ425" s="336">
        <f t="shared" si="2568"/>
        <v>0</v>
      </c>
      <c r="GK425" s="336">
        <f t="shared" si="2761"/>
        <v>0</v>
      </c>
      <c r="GL425" s="336">
        <f t="shared" si="2764"/>
        <v>0</v>
      </c>
      <c r="GM425" s="336">
        <f t="shared" si="2569"/>
        <v>0</v>
      </c>
    </row>
    <row r="426" spans="1:195" ht="33" customHeight="1">
      <c r="A426" s="337">
        <f t="shared" si="2762"/>
        <v>295</v>
      </c>
      <c r="B426" s="337"/>
      <c r="C426" s="337" t="str">
        <f t="shared" si="2763"/>
        <v>CENTRAL CONTROL BUILDING HVAC DB</v>
      </c>
      <c r="D426" s="372" t="s">
        <v>904</v>
      </c>
      <c r="E426" s="453" t="s">
        <v>555</v>
      </c>
      <c r="F426" s="858"/>
      <c r="G426" s="337" t="s">
        <v>329</v>
      </c>
      <c r="H426" s="583">
        <v>3.5</v>
      </c>
      <c r="I426" s="337" t="s">
        <v>330</v>
      </c>
      <c r="J426" s="337" t="s">
        <v>357</v>
      </c>
      <c r="K426" s="349">
        <v>230</v>
      </c>
      <c r="L426" s="343">
        <v>0.84999999999999987</v>
      </c>
      <c r="M426" s="350">
        <v>0.95099999999999985</v>
      </c>
      <c r="N426" s="342">
        <f t="shared" si="2738"/>
        <v>18.825250577531801</v>
      </c>
      <c r="O426" s="342">
        <f t="shared" si="2739"/>
        <v>0</v>
      </c>
      <c r="P426" s="343" t="str">
        <f t="shared" si="2740"/>
        <v>0.00</v>
      </c>
      <c r="Q426" s="350">
        <v>25</v>
      </c>
      <c r="R426" s="350">
        <v>0</v>
      </c>
      <c r="S426" s="350">
        <f t="shared" si="2741"/>
        <v>0</v>
      </c>
      <c r="T426" s="343" t="s">
        <v>131</v>
      </c>
      <c r="U426" s="350" t="s">
        <v>333</v>
      </c>
      <c r="V426" s="343">
        <v>16</v>
      </c>
      <c r="W426" s="343" t="str">
        <f t="shared" si="2742"/>
        <v>3C X 16</v>
      </c>
      <c r="X426" s="343" t="str">
        <f t="shared" si="2743"/>
        <v>3C X 16</v>
      </c>
      <c r="Y426" s="343" t="s">
        <v>358</v>
      </c>
      <c r="Z426" s="344">
        <f>IF(T426="AIR",VLOOKUP(W426,'Catalogue Aluminium'!$B$9:$G$93,2,FALSE),IF(T426="GROUND",VLOOKUP(W426,'Catalogue Aluminium'!$B$9:$G$93,3,FALSE),IF(T426="DUCT",VLOOKUP(W426,'Catalogue Aluminium'!$B$9:$G$93,4,FALSE),IF(T426="TRENCH",VLOOKUP(W426,'Catalogue Aluminium'!$B$9:$G$93,2,FALSE)))))</f>
        <v>70</v>
      </c>
      <c r="AA426" s="345">
        <f>VLOOKUP(W426,'Catalogue Aluminium'!$B$9:$G$93,5,FALSE)</f>
        <v>2.44</v>
      </c>
      <c r="AB426" s="345">
        <f>VLOOKUP(W426,'Catalogue Aluminium'!$B$9:$G$93,6,FALSE)</f>
        <v>8.1500000000000003E-2</v>
      </c>
      <c r="AC426" s="863">
        <f t="shared" si="2744"/>
        <v>38</v>
      </c>
      <c r="AD426" s="863">
        <v>0</v>
      </c>
      <c r="AE426" s="401">
        <v>5</v>
      </c>
      <c r="AF426" s="401">
        <v>8</v>
      </c>
      <c r="AG426" s="401">
        <f t="shared" si="2745"/>
        <v>6</v>
      </c>
      <c r="AH426" s="347">
        <f t="shared" si="2746"/>
        <v>57</v>
      </c>
      <c r="AI426" s="344">
        <f>IF(T426="AIR",'Catalogue Aluminium'!$K$9,IF(T426="TRENCH",'Catalogue Aluminium'!$K$12,"NA"))</f>
        <v>0.89</v>
      </c>
      <c r="AJ426" s="342">
        <f>IF(T426="Air",(IF(U426="1C",'Catalogue Aluminium'!$L$9,'Catalogue Aluminium'!$M$9)),IF(T426="DUCT",(IF($U426="1C",'Catalogue Aluminium'!$L$10,'Catalogue Aluminium'!$M$10)),IF(T426="GROUND",(IF($U426="1C",'Catalogue Aluminium'!$L$11,'Catalogue Aluminium'!$M$11)),IF(T426="TRENCH",(IF($U426="1C",'Catalogue Aluminium'!$L$12,'Catalogue Aluminium'!$M$12))))))</f>
        <v>0.66</v>
      </c>
      <c r="AK426" s="344" t="str">
        <f>IF(T426="Air",'Catalogue Aluminium'!$N$9,IF(T426="GROUND",'Catalogue Aluminium'!$N$10,IF(T426="DUCT",'Catalogue Aluminium'!$N$11,IF(T426="TRENCH",'Catalogue Aluminium'!$N$12,"NA"))))</f>
        <v>NA</v>
      </c>
      <c r="AL426" s="344" t="str">
        <f>IF(T426="Air",(IF(U426="1C",'Catalogue Aluminium'!$O$9,'Catalogue Aluminium'!$P$9)),IF(T426="DUCT",(IF($U426="1C",'Catalogue Aluminium'!$O$10,'Catalogue Aluminium'!$P$10)),IF(T426="GROUND",(IF($U426="1C",'Catalogue Aluminium'!$O$11,'Catalogue Aluminium'!$P$11)),IF(T426="TRENCH",(IF($U426="1C",'Catalogue Aluminium'!$O$12,'Catalogue Aluminium'!$P$12))))))</f>
        <v>NA</v>
      </c>
      <c r="AM426" s="344" t="str">
        <f>IF(T426="AIR","NA",IF(T426="TRENCH","NA",IF(T426="DUCT",IF(U426="1C",VLOOKUP(V426,'Catalogue Aluminium'!$Q$9:$S$28,2,FALSE),VLOOKUP(V426,'Catalogue Aluminium'!$Q$9:$S$28,3)),IF(T426="GROUND",IF(U426="1C",VLOOKUP(V426,'Catalogue Aluminium'!$Q$9:$S$28,2,FALSE),VLOOKUP(V426,'Catalogue Aluminium'!$Q$9:$S$28,3))))))</f>
        <v>NA</v>
      </c>
      <c r="AN426" s="351">
        <f t="shared" si="2747"/>
        <v>0.58740000000000003</v>
      </c>
      <c r="AO426" s="350">
        <f t="shared" si="2748"/>
        <v>41.118000000000002</v>
      </c>
      <c r="AP426" s="349">
        <f t="shared" si="2749"/>
        <v>1</v>
      </c>
      <c r="AQ426" s="350" t="str">
        <f t="shared" si="2750"/>
        <v>YES</v>
      </c>
      <c r="AR426" s="351">
        <f t="shared" si="2751"/>
        <v>1.7106276298617451</v>
      </c>
      <c r="AS426" s="343" t="str">
        <f t="shared" si="2752"/>
        <v>YES</v>
      </c>
      <c r="AT426" s="351" t="str">
        <f t="shared" si="2753"/>
        <v>NA</v>
      </c>
      <c r="AU426" s="343" t="str">
        <f t="shared" si="2754"/>
        <v>NA</v>
      </c>
      <c r="AV426" s="354" t="str">
        <f t="shared" si="2755"/>
        <v>1R x 0.6/1kV x 3C x 16 Sqmm</v>
      </c>
      <c r="AW426" s="354" t="str">
        <f t="shared" si="2756"/>
        <v>1R x 0.6/1kV x 3C x 16 Sqmm</v>
      </c>
      <c r="AX426" s="343">
        <f t="shared" si="2757"/>
        <v>57</v>
      </c>
      <c r="AY426" s="355"/>
      <c r="AZ426" s="355">
        <f t="shared" si="2758"/>
        <v>2</v>
      </c>
      <c r="BA426" s="356" t="str">
        <f t="shared" si="2759"/>
        <v/>
      </c>
      <c r="BB426" s="501">
        <f>VLOOKUP(W426,'Catalogue Aluminium'!$B$9:$H$93,7,FALSE)</f>
        <v>19</v>
      </c>
      <c r="BC426" s="328">
        <f t="shared" si="2760"/>
        <v>19</v>
      </c>
      <c r="BE426" s="336"/>
      <c r="BF426" s="336"/>
      <c r="BG426" s="336"/>
      <c r="BH426" s="336"/>
      <c r="BI426" s="336"/>
      <c r="BJ426" s="336"/>
      <c r="BK426" s="336"/>
      <c r="BL426" s="336"/>
      <c r="BM426" s="336"/>
      <c r="BN426" s="336"/>
      <c r="BO426" s="336"/>
      <c r="BP426" s="336"/>
      <c r="BQ426" s="336"/>
      <c r="BR426" s="336"/>
      <c r="BS426" s="336"/>
      <c r="BT426" s="336"/>
      <c r="BU426" s="336"/>
      <c r="BV426" s="336"/>
      <c r="BW426" s="336"/>
      <c r="BX426" s="336"/>
      <c r="BY426" s="336"/>
      <c r="BZ426" s="336"/>
      <c r="CA426" s="336"/>
      <c r="CB426" s="336"/>
      <c r="CC426" s="336"/>
      <c r="CD426" s="336"/>
      <c r="CE426" s="336"/>
      <c r="CF426" s="336"/>
      <c r="CG426" s="336"/>
      <c r="CH426" s="336"/>
      <c r="CI426" s="336"/>
      <c r="CJ426" s="336"/>
      <c r="CK426" s="336"/>
      <c r="CL426" s="336"/>
      <c r="CM426" s="336"/>
      <c r="CN426" s="336"/>
      <c r="CO426" s="336"/>
      <c r="CP426" s="336"/>
      <c r="CQ426" s="336"/>
      <c r="CR426" s="336"/>
      <c r="CS426" s="336"/>
      <c r="CT426" s="336"/>
      <c r="CU426" s="336"/>
      <c r="CV426" s="336"/>
      <c r="CW426" s="336"/>
      <c r="CX426" s="336"/>
      <c r="CY426" s="336"/>
      <c r="CZ426" s="336"/>
      <c r="DA426" s="336"/>
      <c r="DB426" s="336"/>
      <c r="DC426" s="336"/>
      <c r="DD426" s="336"/>
      <c r="DE426" s="336"/>
      <c r="DF426" s="336"/>
      <c r="DG426" s="336"/>
      <c r="DH426" s="336"/>
      <c r="DI426" s="336"/>
      <c r="DJ426" s="336"/>
      <c r="DK426" s="336"/>
      <c r="DL426" s="336"/>
      <c r="DM426" s="336"/>
      <c r="DN426" s="336"/>
      <c r="DO426" s="336"/>
      <c r="DP426" s="336"/>
      <c r="DQ426" s="336"/>
      <c r="DR426" s="336"/>
      <c r="DS426" s="336"/>
      <c r="DT426" s="336"/>
      <c r="DU426" s="336"/>
      <c r="DW426" s="336">
        <f t="shared" si="2731"/>
        <v>0</v>
      </c>
      <c r="DX426" s="336">
        <f t="shared" si="2732"/>
        <v>0</v>
      </c>
      <c r="DY426" s="336">
        <f t="shared" si="2733"/>
        <v>0</v>
      </c>
      <c r="DZ426" s="336">
        <f t="shared" si="2734"/>
        <v>0</v>
      </c>
      <c r="EA426" s="336">
        <f t="shared" si="2735"/>
        <v>0</v>
      </c>
      <c r="EB426" s="336">
        <f t="shared" si="2736"/>
        <v>0</v>
      </c>
      <c r="EC426" s="336">
        <f t="shared" si="2737"/>
        <v>0</v>
      </c>
      <c r="ED426" s="336">
        <f t="shared" si="2515"/>
        <v>0</v>
      </c>
      <c r="EE426" s="336">
        <f t="shared" si="2516"/>
        <v>0</v>
      </c>
      <c r="EF426" s="336">
        <f t="shared" si="2517"/>
        <v>0</v>
      </c>
      <c r="EG426" s="336">
        <f t="shared" si="2518"/>
        <v>0</v>
      </c>
      <c r="EH426" s="336">
        <f t="shared" si="2519"/>
        <v>0</v>
      </c>
      <c r="EI426" s="336">
        <f t="shared" si="2520"/>
        <v>0</v>
      </c>
      <c r="EJ426" s="336">
        <f t="shared" si="2521"/>
        <v>0</v>
      </c>
      <c r="EK426" s="336">
        <f t="shared" si="2522"/>
        <v>0</v>
      </c>
      <c r="EL426" s="336">
        <f t="shared" si="2523"/>
        <v>0</v>
      </c>
      <c r="EM426" s="336">
        <f t="shared" si="2524"/>
        <v>0</v>
      </c>
      <c r="EN426" s="336">
        <f t="shared" si="2525"/>
        <v>0</v>
      </c>
      <c r="EO426" s="336">
        <f t="shared" si="2526"/>
        <v>0</v>
      </c>
      <c r="EP426" s="336">
        <f t="shared" si="2527"/>
        <v>0</v>
      </c>
      <c r="EQ426" s="336">
        <f t="shared" si="2528"/>
        <v>0</v>
      </c>
      <c r="ER426" s="336">
        <f t="shared" si="2529"/>
        <v>0</v>
      </c>
      <c r="ES426" s="336">
        <f t="shared" si="2530"/>
        <v>0</v>
      </c>
      <c r="ET426" s="336">
        <f t="shared" si="2530"/>
        <v>0</v>
      </c>
      <c r="EU426" s="336">
        <f t="shared" si="2531"/>
        <v>0</v>
      </c>
      <c r="EV426" s="336">
        <f t="shared" si="2532"/>
        <v>0</v>
      </c>
      <c r="EW426" s="336">
        <f t="shared" si="2533"/>
        <v>0</v>
      </c>
      <c r="EX426" s="336">
        <f t="shared" si="2534"/>
        <v>0</v>
      </c>
      <c r="EY426" s="336">
        <f t="shared" si="2535"/>
        <v>0</v>
      </c>
      <c r="EZ426" s="336">
        <f t="shared" si="2536"/>
        <v>0</v>
      </c>
      <c r="FA426" s="336">
        <f t="shared" si="2537"/>
        <v>0</v>
      </c>
      <c r="FB426" s="336">
        <f t="shared" si="2538"/>
        <v>0</v>
      </c>
      <c r="FC426" s="336">
        <f t="shared" si="2539"/>
        <v>0</v>
      </c>
      <c r="FD426" s="336">
        <f t="shared" si="2540"/>
        <v>0</v>
      </c>
      <c r="FE426" s="336">
        <f t="shared" si="2541"/>
        <v>0</v>
      </c>
      <c r="FF426" s="336">
        <f t="shared" si="2542"/>
        <v>0</v>
      </c>
      <c r="FG426" s="336">
        <f t="shared" si="2543"/>
        <v>0</v>
      </c>
      <c r="FH426" s="336">
        <f t="shared" si="2544"/>
        <v>0</v>
      </c>
      <c r="FI426" s="336">
        <f t="shared" si="2545"/>
        <v>0</v>
      </c>
      <c r="FJ426" s="336">
        <f t="shared" si="2546"/>
        <v>0</v>
      </c>
      <c r="FK426" s="336">
        <f t="shared" si="2547"/>
        <v>0</v>
      </c>
      <c r="FL426" s="336">
        <f t="shared" si="2548"/>
        <v>0</v>
      </c>
      <c r="FM426" s="336">
        <f t="shared" si="2549"/>
        <v>0</v>
      </c>
      <c r="FN426" s="336">
        <f t="shared" si="2550"/>
        <v>0</v>
      </c>
      <c r="FO426" s="336">
        <f t="shared" si="2551"/>
        <v>0</v>
      </c>
      <c r="FP426" s="336">
        <f t="shared" si="2552"/>
        <v>0</v>
      </c>
      <c r="FQ426" s="336">
        <f t="shared" si="2553"/>
        <v>0</v>
      </c>
      <c r="FR426" s="336">
        <f t="shared" si="2554"/>
        <v>0</v>
      </c>
      <c r="FS426" s="336">
        <f t="shared" si="2555"/>
        <v>0</v>
      </c>
      <c r="FT426" s="336">
        <f t="shared" si="2556"/>
        <v>0</v>
      </c>
      <c r="FU426" s="336">
        <f t="shared" si="2638"/>
        <v>0</v>
      </c>
      <c r="FV426" s="336">
        <f t="shared" si="2639"/>
        <v>0</v>
      </c>
      <c r="FW426" s="336">
        <f t="shared" si="2640"/>
        <v>0</v>
      </c>
      <c r="FX426" s="336">
        <f t="shared" si="2641"/>
        <v>0</v>
      </c>
      <c r="FY426" s="336">
        <f t="shared" si="2557"/>
        <v>0</v>
      </c>
      <c r="FZ426" s="336">
        <f t="shared" si="2558"/>
        <v>0</v>
      </c>
      <c r="GA426" s="336">
        <f t="shared" si="2559"/>
        <v>0</v>
      </c>
      <c r="GB426" s="336">
        <f t="shared" si="2560"/>
        <v>0</v>
      </c>
      <c r="GC426" s="336">
        <f t="shared" si="2561"/>
        <v>0</v>
      </c>
      <c r="GD426" s="336">
        <f t="shared" si="2562"/>
        <v>0</v>
      </c>
      <c r="GE426" s="336">
        <f t="shared" si="2563"/>
        <v>0</v>
      </c>
      <c r="GF426" s="336">
        <f t="shared" si="2564"/>
        <v>0</v>
      </c>
      <c r="GG426" s="336">
        <f t="shared" si="2565"/>
        <v>0</v>
      </c>
      <c r="GH426" s="336">
        <f t="shared" si="2566"/>
        <v>0</v>
      </c>
      <c r="GI426" s="336">
        <f t="shared" si="2567"/>
        <v>0</v>
      </c>
      <c r="GJ426" s="336">
        <f t="shared" si="2568"/>
        <v>0</v>
      </c>
      <c r="GK426" s="336">
        <f t="shared" si="2761"/>
        <v>0</v>
      </c>
      <c r="GL426" s="336">
        <f t="shared" si="2764"/>
        <v>0</v>
      </c>
      <c r="GM426" s="336">
        <f t="shared" si="2569"/>
        <v>0</v>
      </c>
    </row>
    <row r="427" spans="1:195" ht="33" customHeight="1">
      <c r="A427" s="337">
        <f t="shared" si="2762"/>
        <v>296</v>
      </c>
      <c r="B427" s="337"/>
      <c r="C427" s="337" t="str">
        <f t="shared" si="2763"/>
        <v>CENTRAL CONTROL BUILDING HVAC DB</v>
      </c>
      <c r="D427" s="372" t="s">
        <v>905</v>
      </c>
      <c r="E427" s="453" t="s">
        <v>555</v>
      </c>
      <c r="F427" s="858"/>
      <c r="G427" s="337" t="s">
        <v>329</v>
      </c>
      <c r="H427" s="350">
        <v>3.5</v>
      </c>
      <c r="I427" s="337" t="s">
        <v>330</v>
      </c>
      <c r="J427" s="337" t="s">
        <v>357</v>
      </c>
      <c r="K427" s="349">
        <v>230</v>
      </c>
      <c r="L427" s="343">
        <v>0.84999999999999987</v>
      </c>
      <c r="M427" s="350">
        <v>0.95099999999999985</v>
      </c>
      <c r="N427" s="342">
        <f t="shared" si="2738"/>
        <v>18.825250577531801</v>
      </c>
      <c r="O427" s="342">
        <f t="shared" si="2739"/>
        <v>0</v>
      </c>
      <c r="P427" s="343" t="str">
        <f t="shared" si="2740"/>
        <v>0.00</v>
      </c>
      <c r="Q427" s="350">
        <v>25</v>
      </c>
      <c r="R427" s="350">
        <v>0</v>
      </c>
      <c r="S427" s="350">
        <f t="shared" si="2741"/>
        <v>0</v>
      </c>
      <c r="T427" s="343" t="s">
        <v>131</v>
      </c>
      <c r="U427" s="350" t="s">
        <v>333</v>
      </c>
      <c r="V427" s="343">
        <v>16</v>
      </c>
      <c r="W427" s="343" t="str">
        <f t="shared" si="2742"/>
        <v>3C X 16</v>
      </c>
      <c r="X427" s="343" t="str">
        <f t="shared" si="2743"/>
        <v>3C X 16</v>
      </c>
      <c r="Y427" s="343" t="s">
        <v>358</v>
      </c>
      <c r="Z427" s="344">
        <f>IF(T427="AIR",VLOOKUP(W427,'Catalogue Aluminium'!$B$9:$G$93,2,FALSE),IF(T427="GROUND",VLOOKUP(W427,'Catalogue Aluminium'!$B$9:$G$93,3,FALSE),IF(T427="DUCT",VLOOKUP(W427,'Catalogue Aluminium'!$B$9:$G$93,4,FALSE),IF(T427="TRENCH",VLOOKUP(W427,'Catalogue Aluminium'!$B$9:$G$93,2,FALSE)))))</f>
        <v>70</v>
      </c>
      <c r="AA427" s="345">
        <f>VLOOKUP(W427,'Catalogue Aluminium'!$B$9:$G$93,5,FALSE)</f>
        <v>2.44</v>
      </c>
      <c r="AB427" s="345">
        <f>VLOOKUP(W427,'Catalogue Aluminium'!$B$9:$G$93,6,FALSE)</f>
        <v>8.1500000000000003E-2</v>
      </c>
      <c r="AC427" s="863">
        <f t="shared" si="2744"/>
        <v>38</v>
      </c>
      <c r="AD427" s="863">
        <v>0</v>
      </c>
      <c r="AE427" s="401">
        <v>5</v>
      </c>
      <c r="AF427" s="401">
        <v>8</v>
      </c>
      <c r="AG427" s="401">
        <f t="shared" si="2745"/>
        <v>6</v>
      </c>
      <c r="AH427" s="347">
        <f t="shared" si="2746"/>
        <v>57</v>
      </c>
      <c r="AI427" s="344">
        <f>IF(T427="AIR",'Catalogue Aluminium'!$K$9,IF(T427="TRENCH",'Catalogue Aluminium'!$K$12,"NA"))</f>
        <v>0.89</v>
      </c>
      <c r="AJ427" s="342">
        <f>IF(T427="Air",(IF(U427="1C",'Catalogue Aluminium'!$L$9,'Catalogue Aluminium'!$M$9)),IF(T427="DUCT",(IF($U427="1C",'Catalogue Aluminium'!$L$10,'Catalogue Aluminium'!$M$10)),IF(T427="GROUND",(IF($U427="1C",'Catalogue Aluminium'!$L$11,'Catalogue Aluminium'!$M$11)),IF(T427="TRENCH",(IF($U427="1C",'Catalogue Aluminium'!$L$12,'Catalogue Aluminium'!$M$12))))))</f>
        <v>0.66</v>
      </c>
      <c r="AK427" s="344" t="str">
        <f>IF(T427="Air",'Catalogue Aluminium'!$N$9,IF(T427="GROUND",'Catalogue Aluminium'!$N$10,IF(T427="DUCT",'Catalogue Aluminium'!$N$11,IF(T427="TRENCH",'Catalogue Aluminium'!$N$12,"NA"))))</f>
        <v>NA</v>
      </c>
      <c r="AL427" s="344" t="str">
        <f>IF(T427="Air",(IF(U427="1C",'Catalogue Aluminium'!$O$9,'Catalogue Aluminium'!$P$9)),IF(T427="DUCT",(IF($U427="1C",'Catalogue Aluminium'!$O$10,'Catalogue Aluminium'!$P$10)),IF(T427="GROUND",(IF($U427="1C",'Catalogue Aluminium'!$O$11,'Catalogue Aluminium'!$P$11)),IF(T427="TRENCH",(IF($U427="1C",'Catalogue Aluminium'!$O$12,'Catalogue Aluminium'!$P$12))))))</f>
        <v>NA</v>
      </c>
      <c r="AM427" s="344" t="str">
        <f>IF(T427="AIR","NA",IF(T427="TRENCH","NA",IF(T427="DUCT",IF(U427="1C",VLOOKUP(V427,'Catalogue Aluminium'!$Q$9:$S$28,2,FALSE),VLOOKUP(V427,'Catalogue Aluminium'!$Q$9:$S$28,3)),IF(T427="GROUND",IF(U427="1C",VLOOKUP(V427,'Catalogue Aluminium'!$Q$9:$S$28,2,FALSE),VLOOKUP(V427,'Catalogue Aluminium'!$Q$9:$S$28,3))))))</f>
        <v>NA</v>
      </c>
      <c r="AN427" s="351">
        <f t="shared" si="2747"/>
        <v>0.58740000000000003</v>
      </c>
      <c r="AO427" s="350">
        <f t="shared" si="2748"/>
        <v>41.118000000000002</v>
      </c>
      <c r="AP427" s="349">
        <f t="shared" si="2749"/>
        <v>1</v>
      </c>
      <c r="AQ427" s="350" t="str">
        <f t="shared" si="2750"/>
        <v>YES</v>
      </c>
      <c r="AR427" s="351">
        <f t="shared" si="2751"/>
        <v>1.7106276298617451</v>
      </c>
      <c r="AS427" s="343" t="str">
        <f t="shared" si="2752"/>
        <v>YES</v>
      </c>
      <c r="AT427" s="351" t="str">
        <f t="shared" si="2753"/>
        <v>NA</v>
      </c>
      <c r="AU427" s="343" t="str">
        <f t="shared" si="2754"/>
        <v>NA</v>
      </c>
      <c r="AV427" s="354" t="str">
        <f t="shared" si="2755"/>
        <v>1R x 0.6/1kV x 3C x 16 Sqmm</v>
      </c>
      <c r="AW427" s="354" t="str">
        <f t="shared" si="2756"/>
        <v>1R x 0.6/1kV x 3C x 16 Sqmm</v>
      </c>
      <c r="AX427" s="343">
        <f t="shared" si="2757"/>
        <v>57</v>
      </c>
      <c r="AY427" s="355"/>
      <c r="AZ427" s="355">
        <f t="shared" si="2758"/>
        <v>2</v>
      </c>
      <c r="BA427" s="356" t="str">
        <f t="shared" si="2759"/>
        <v/>
      </c>
      <c r="BB427" s="501">
        <f>VLOOKUP(W427,'Catalogue Aluminium'!$B$9:$H$93,7,FALSE)</f>
        <v>19</v>
      </c>
      <c r="BC427" s="328">
        <f t="shared" si="2760"/>
        <v>19</v>
      </c>
      <c r="BE427" s="336"/>
      <c r="BF427" s="336"/>
      <c r="BG427" s="336"/>
      <c r="BH427" s="336"/>
      <c r="BI427" s="336"/>
      <c r="BJ427" s="336"/>
      <c r="BK427" s="336"/>
      <c r="BL427" s="336"/>
      <c r="BM427" s="336"/>
      <c r="BN427" s="336"/>
      <c r="BO427" s="336"/>
      <c r="BP427" s="336"/>
      <c r="BQ427" s="336"/>
      <c r="BR427" s="336"/>
      <c r="BS427" s="336"/>
      <c r="BT427" s="336"/>
      <c r="BU427" s="336"/>
      <c r="BV427" s="336"/>
      <c r="BW427" s="336"/>
      <c r="BX427" s="336"/>
      <c r="BY427" s="336"/>
      <c r="BZ427" s="336"/>
      <c r="CA427" s="336"/>
      <c r="CB427" s="336"/>
      <c r="CC427" s="336"/>
      <c r="CD427" s="336"/>
      <c r="CE427" s="336"/>
      <c r="CF427" s="336"/>
      <c r="CG427" s="336"/>
      <c r="CH427" s="336"/>
      <c r="CI427" s="336"/>
      <c r="CJ427" s="336"/>
      <c r="CK427" s="336"/>
      <c r="CL427" s="336"/>
      <c r="CM427" s="336"/>
      <c r="CN427" s="336"/>
      <c r="CO427" s="336"/>
      <c r="CP427" s="336"/>
      <c r="CQ427" s="336"/>
      <c r="CR427" s="336"/>
      <c r="CS427" s="336"/>
      <c r="CT427" s="336"/>
      <c r="CU427" s="336"/>
      <c r="CV427" s="336"/>
      <c r="CW427" s="336"/>
      <c r="CX427" s="336"/>
      <c r="CY427" s="336"/>
      <c r="CZ427" s="336"/>
      <c r="DA427" s="336"/>
      <c r="DB427" s="336"/>
      <c r="DC427" s="336"/>
      <c r="DD427" s="336"/>
      <c r="DE427" s="336"/>
      <c r="DF427" s="336"/>
      <c r="DG427" s="336"/>
      <c r="DH427" s="336"/>
      <c r="DI427" s="336"/>
      <c r="DJ427" s="336"/>
      <c r="DK427" s="336"/>
      <c r="DL427" s="336"/>
      <c r="DM427" s="336"/>
      <c r="DN427" s="336"/>
      <c r="DO427" s="336"/>
      <c r="DP427" s="336"/>
      <c r="DQ427" s="336"/>
      <c r="DR427" s="336"/>
      <c r="DS427" s="336"/>
      <c r="DT427" s="336"/>
      <c r="DU427" s="336"/>
      <c r="DW427" s="336">
        <f t="shared" si="2731"/>
        <v>0</v>
      </c>
      <c r="DX427" s="336">
        <f t="shared" si="2732"/>
        <v>0</v>
      </c>
      <c r="DY427" s="336">
        <f t="shared" si="2733"/>
        <v>0</v>
      </c>
      <c r="DZ427" s="336">
        <f t="shared" si="2734"/>
        <v>0</v>
      </c>
      <c r="EA427" s="336">
        <f t="shared" si="2735"/>
        <v>0</v>
      </c>
      <c r="EB427" s="336">
        <f t="shared" si="2736"/>
        <v>0</v>
      </c>
      <c r="EC427" s="336">
        <f t="shared" si="2737"/>
        <v>0</v>
      </c>
      <c r="ED427" s="336">
        <f t="shared" ref="ED427:ED443" si="2766">IF(BL427=1,($BC427*BL427),0)</f>
        <v>0</v>
      </c>
      <c r="EE427" s="336">
        <f t="shared" ref="EE427:EE443" si="2767">IF(BM427=1,($BC427*BM427),0)</f>
        <v>0</v>
      </c>
      <c r="EF427" s="336">
        <f t="shared" ref="EF427:EF443" si="2768">IF(BN427=1,($BC427*BN427),0)</f>
        <v>0</v>
      </c>
      <c r="EG427" s="336">
        <f t="shared" ref="EG427:EG443" si="2769">IF(BO427=1,($BC427*BO427),0)</f>
        <v>0</v>
      </c>
      <c r="EH427" s="336">
        <f t="shared" ref="EH427:EH443" si="2770">IF(BP427=1,($BC427*BP427),0)</f>
        <v>0</v>
      </c>
      <c r="EI427" s="336">
        <f t="shared" ref="EI427:EI443" si="2771">IF(BQ427=1,($BC427*BQ427),0)</f>
        <v>0</v>
      </c>
      <c r="EJ427" s="336">
        <f t="shared" ref="EJ427:EJ443" si="2772">IF(BR427=1,($BC427*BR427),0)</f>
        <v>0</v>
      </c>
      <c r="EK427" s="336">
        <f t="shared" ref="EK427:EK443" si="2773">IF(BS427=1,($BC427*BS427),0)</f>
        <v>0</v>
      </c>
      <c r="EL427" s="336">
        <f t="shared" ref="EL427:EL443" si="2774">IF(BT427=1,($BC427*BT427),0)</f>
        <v>0</v>
      </c>
      <c r="EM427" s="336">
        <f t="shared" ref="EM427:EM443" si="2775">IF(BU427=1,($BC427*BU427),0)</f>
        <v>0</v>
      </c>
      <c r="EN427" s="336">
        <f t="shared" ref="EN427:EN443" si="2776">IF(BV427=1,($BC427*BV427),0)</f>
        <v>0</v>
      </c>
      <c r="EO427" s="336">
        <f t="shared" ref="EO427:EO443" si="2777">IF(BW427=1,($BC427*BW427),0)</f>
        <v>0</v>
      </c>
      <c r="EP427" s="336">
        <f t="shared" ref="EP427:EP443" si="2778">IF(BX427=1,($BC427*BX427),0)</f>
        <v>0</v>
      </c>
      <c r="EQ427" s="336">
        <f t="shared" ref="EQ427:EQ443" si="2779">IF(BY427=1,($BC427*BY427),0)</f>
        <v>0</v>
      </c>
      <c r="ER427" s="336">
        <f t="shared" ref="ER427:ER443" si="2780">IF(BZ427=1,($BC427*BZ427),0)</f>
        <v>0</v>
      </c>
      <c r="ES427" s="336">
        <f t="shared" ref="ES427:ET443" si="2781">IF(CA427=1,($BC427*CA427),0)</f>
        <v>0</v>
      </c>
      <c r="ET427" s="336">
        <f t="shared" si="2781"/>
        <v>0</v>
      </c>
      <c r="EU427" s="336">
        <f t="shared" ref="EU427:EU443" si="2782">IF(CC427=1,($BC427*CC427),0)</f>
        <v>0</v>
      </c>
      <c r="EV427" s="336">
        <f t="shared" ref="EV427:EV443" si="2783">IF(CD427=1,($BC427*CD427),0)</f>
        <v>0</v>
      </c>
      <c r="EW427" s="336">
        <f t="shared" ref="EW427:EW443" si="2784">IF(CE427=1,($BC427*CE427),0)</f>
        <v>0</v>
      </c>
      <c r="EX427" s="336">
        <f t="shared" ref="EX427:EX443" si="2785">IF(CF427=1,($BC427*CF427),0)</f>
        <v>0</v>
      </c>
      <c r="EY427" s="336">
        <f t="shared" ref="EY427:EY443" si="2786">IF(CG427=1,($BC427*CG427),0)</f>
        <v>0</v>
      </c>
      <c r="EZ427" s="336">
        <f t="shared" ref="EZ427:EZ443" si="2787">IF(CH427=1,($BC427*CH427),0)</f>
        <v>0</v>
      </c>
      <c r="FA427" s="336">
        <f t="shared" ref="FA427:FA443" si="2788">IF(CI427=1,($BC427*CI427),0)</f>
        <v>0</v>
      </c>
      <c r="FB427" s="336">
        <f t="shared" ref="FB427:FB443" si="2789">IF(CJ427=1,($BC427*CJ427),0)</f>
        <v>0</v>
      </c>
      <c r="FC427" s="336">
        <f t="shared" ref="FC427:FC443" si="2790">IF(CK427=1,($BC427*CK427),0)</f>
        <v>0</v>
      </c>
      <c r="FD427" s="336">
        <f t="shared" ref="FD427:FD443" si="2791">IF(CL427=1,($BC427*CL427),0)</f>
        <v>0</v>
      </c>
      <c r="FE427" s="336">
        <f t="shared" ref="FE427:FE443" si="2792">IF(CM427=1,($BC427*CM427),0)</f>
        <v>0</v>
      </c>
      <c r="FF427" s="336">
        <f t="shared" ref="FF427:FF443" si="2793">IF(CN427=1,($BC427*CN427),0)</f>
        <v>0</v>
      </c>
      <c r="FG427" s="336">
        <f t="shared" ref="FG427:FG443" si="2794">IF(CO427=1,($BC427*CO427),0)</f>
        <v>0</v>
      </c>
      <c r="FH427" s="336">
        <f t="shared" ref="FH427:FH443" si="2795">IF(CP427=1,($BC427*CP427),0)</f>
        <v>0</v>
      </c>
      <c r="FI427" s="336">
        <f t="shared" ref="FI427:FI443" si="2796">IF(CQ427=1,($BC427*CQ427),0)</f>
        <v>0</v>
      </c>
      <c r="FJ427" s="336">
        <f t="shared" ref="FJ427:FJ443" si="2797">IF(CR427=1,($BC427*CR427),0)</f>
        <v>0</v>
      </c>
      <c r="FK427" s="336">
        <f t="shared" ref="FK427:FK443" si="2798">IF(CS427=1,($BC427*CS427),0)</f>
        <v>0</v>
      </c>
      <c r="FL427" s="336">
        <f t="shared" ref="FL427:FL443" si="2799">IF(CT427=1,($BC427*CT427),0)</f>
        <v>0</v>
      </c>
      <c r="FM427" s="336">
        <f t="shared" ref="FM427:FM443" si="2800">IF(CU427=1,($BC427*CU427),0)</f>
        <v>0</v>
      </c>
      <c r="FN427" s="336">
        <f t="shared" ref="FN427:FN443" si="2801">IF(CV427=1,($BC427*CV427),0)</f>
        <v>0</v>
      </c>
      <c r="FO427" s="336">
        <f t="shared" ref="FO427:FO443" si="2802">IF(CW427=1,($BC427*CW427),0)</f>
        <v>0</v>
      </c>
      <c r="FP427" s="336">
        <f t="shared" ref="FP427:FP443" si="2803">IF(CX427=1,($BC427*CX427),0)</f>
        <v>0</v>
      </c>
      <c r="FQ427" s="336">
        <f t="shared" ref="FQ427:FQ443" si="2804">IF(CY427=1,($BC427*CY427),0)</f>
        <v>0</v>
      </c>
      <c r="FR427" s="336">
        <f t="shared" ref="FR427:FR443" si="2805">IF(CZ427=1,($BC427*CZ427),0)</f>
        <v>0</v>
      </c>
      <c r="FS427" s="336">
        <f t="shared" ref="FS427:FS443" si="2806">IF(DA427=1,($BC427*DA427),0)</f>
        <v>0</v>
      </c>
      <c r="FT427" s="336">
        <f t="shared" ref="FT427:FT443" si="2807">IF(DB427=1,($BC427*DB427),0)</f>
        <v>0</v>
      </c>
      <c r="FU427" s="336">
        <f t="shared" si="2638"/>
        <v>0</v>
      </c>
      <c r="FV427" s="336">
        <f t="shared" si="2639"/>
        <v>0</v>
      </c>
      <c r="FW427" s="336">
        <f t="shared" si="2640"/>
        <v>0</v>
      </c>
      <c r="FX427" s="336">
        <f t="shared" si="2641"/>
        <v>0</v>
      </c>
      <c r="FY427" s="336">
        <f t="shared" ref="FY427:FY443" si="2808">IF(DG427=1,($BC427*DG427),0)</f>
        <v>0</v>
      </c>
      <c r="FZ427" s="336">
        <f t="shared" ref="FZ427:FZ443" si="2809">IF(DH427=1,($BC427*DH427),0)</f>
        <v>0</v>
      </c>
      <c r="GA427" s="336">
        <f t="shared" ref="GA427:GA443" si="2810">IF(DI427=1,($BC427*DI427),0)</f>
        <v>0</v>
      </c>
      <c r="GB427" s="336">
        <f t="shared" ref="GB427:GB443" si="2811">IF(DJ427=1,($BC427*DJ427),0)</f>
        <v>0</v>
      </c>
      <c r="GC427" s="336">
        <f t="shared" ref="GC427:GC443" si="2812">IF(DK427=1,($BC427*DK427),0)</f>
        <v>0</v>
      </c>
      <c r="GD427" s="336">
        <f t="shared" ref="GD427:GD443" si="2813">IF(DL427=1,($BC427*DL427),0)</f>
        <v>0</v>
      </c>
      <c r="GE427" s="336">
        <f t="shared" ref="GE427:GE443" si="2814">IF(DM427=1,($BC427*DM427),0)</f>
        <v>0</v>
      </c>
      <c r="GF427" s="336">
        <f t="shared" ref="GF427:GF443" si="2815">IF(DN427=1,($BC427*DN427),0)</f>
        <v>0</v>
      </c>
      <c r="GG427" s="336">
        <f t="shared" ref="GG427:GG443" si="2816">IF(DO427=1,($BC427*DO427),0)</f>
        <v>0</v>
      </c>
      <c r="GH427" s="336">
        <f t="shared" ref="GH427:GH443" si="2817">IF(DP427=1,($BC427*DP427),0)</f>
        <v>0</v>
      </c>
      <c r="GI427" s="336">
        <f t="shared" ref="GI427:GI443" si="2818">IF(DQ427=1,($BC427*DQ427),0)</f>
        <v>0</v>
      </c>
      <c r="GJ427" s="336">
        <f t="shared" ref="GJ427:GJ443" si="2819">IF(DR427=1,($BC427*DR427),0)</f>
        <v>0</v>
      </c>
      <c r="GK427" s="336">
        <f t="shared" si="2761"/>
        <v>0</v>
      </c>
      <c r="GL427" s="336">
        <f t="shared" si="2764"/>
        <v>0</v>
      </c>
      <c r="GM427" s="336">
        <f t="shared" ref="GM427:GM443" si="2820">IF(DU427=1,($BC427*DU427),0)</f>
        <v>0</v>
      </c>
    </row>
    <row r="428" spans="1:195" ht="33" customHeight="1">
      <c r="A428" s="337">
        <f t="shared" si="2762"/>
        <v>297</v>
      </c>
      <c r="B428" s="337"/>
      <c r="C428" s="337" t="str">
        <f t="shared" si="2763"/>
        <v>CENTRAL CONTROL BUILDING HVAC DB</v>
      </c>
      <c r="D428" s="372" t="s">
        <v>906</v>
      </c>
      <c r="E428" s="453" t="s">
        <v>555</v>
      </c>
      <c r="F428" s="858"/>
      <c r="G428" s="337" t="s">
        <v>329</v>
      </c>
      <c r="H428" s="350">
        <v>1.5</v>
      </c>
      <c r="I428" s="337" t="s">
        <v>330</v>
      </c>
      <c r="J428" s="337" t="s">
        <v>357</v>
      </c>
      <c r="K428" s="349">
        <v>230</v>
      </c>
      <c r="L428" s="343">
        <v>0.84999999999999987</v>
      </c>
      <c r="M428" s="350">
        <v>0.95099999999999985</v>
      </c>
      <c r="N428" s="342">
        <f t="shared" si="2738"/>
        <v>8.0679645332279151</v>
      </c>
      <c r="O428" s="342">
        <f t="shared" si="2739"/>
        <v>0</v>
      </c>
      <c r="P428" s="343" t="str">
        <f t="shared" si="2740"/>
        <v>0.00</v>
      </c>
      <c r="Q428" s="350">
        <v>25</v>
      </c>
      <c r="R428" s="350">
        <v>0</v>
      </c>
      <c r="S428" s="350">
        <f t="shared" si="2741"/>
        <v>0</v>
      </c>
      <c r="T428" s="343" t="s">
        <v>131</v>
      </c>
      <c r="U428" s="350" t="s">
        <v>333</v>
      </c>
      <c r="V428" s="343">
        <v>4</v>
      </c>
      <c r="W428" s="343" t="str">
        <f t="shared" si="2742"/>
        <v>3C X 4</v>
      </c>
      <c r="X428" s="343" t="str">
        <f t="shared" si="2743"/>
        <v>3C X 4</v>
      </c>
      <c r="Y428" s="343" t="s">
        <v>358</v>
      </c>
      <c r="Z428" s="344">
        <f>IF(T428="AIR",VLOOKUP(W428,'Catalogue Aluminium'!$B$9:$G$93,2,FALSE),IF(T428="GROUND",VLOOKUP(W428,'Catalogue Aluminium'!$B$9:$G$93,3,FALSE),IF(T428="DUCT",VLOOKUP(W428,'Catalogue Aluminium'!$B$9:$G$93,4,FALSE),IF(T428="TRENCH",VLOOKUP(W428,'Catalogue Aluminium'!$B$9:$G$93,2,FALSE)))))</f>
        <v>38</v>
      </c>
      <c r="AA428" s="345">
        <f>VLOOKUP(W428,'Catalogue Aluminium'!$B$9:$G$93,5,FALSE)</f>
        <v>5.9</v>
      </c>
      <c r="AB428" s="345">
        <f>VLOOKUP(W428,'Catalogue Aluminium'!$B$9:$G$93,6,FALSE)</f>
        <v>9.4700000000000006E-2</v>
      </c>
      <c r="AC428" s="863">
        <f t="shared" si="2744"/>
        <v>38</v>
      </c>
      <c r="AD428" s="863">
        <v>0</v>
      </c>
      <c r="AE428" s="401">
        <v>10</v>
      </c>
      <c r="AF428" s="401">
        <v>5</v>
      </c>
      <c r="AG428" s="401">
        <f t="shared" si="2745"/>
        <v>6</v>
      </c>
      <c r="AH428" s="347">
        <f t="shared" si="2746"/>
        <v>59</v>
      </c>
      <c r="AI428" s="344">
        <f>IF(T428="AIR",'Catalogue Aluminium'!$K$9,IF(T428="TRENCH",'Catalogue Aluminium'!$K$12,"NA"))</f>
        <v>0.89</v>
      </c>
      <c r="AJ428" s="342">
        <f>IF(T428="Air",(IF(U428="1C",'Catalogue Aluminium'!$L$9,'Catalogue Aluminium'!$M$9)),IF(T428="DUCT",(IF($U428="1C",'Catalogue Aluminium'!$L$10,'Catalogue Aluminium'!$M$10)),IF(T428="GROUND",(IF($U428="1C",'Catalogue Aluminium'!$L$11,'Catalogue Aluminium'!$M$11)),IF(T428="TRENCH",(IF($U428="1C",'Catalogue Aluminium'!$L$12,'Catalogue Aluminium'!$M$12))))))</f>
        <v>0.66</v>
      </c>
      <c r="AK428" s="344" t="str">
        <f>IF(T428="Air",'Catalogue Aluminium'!$N$9,IF(T428="GROUND",'Catalogue Aluminium'!$N$10,IF(T428="DUCT",'Catalogue Aluminium'!$N$11,IF(T428="TRENCH",'Catalogue Aluminium'!$N$12,"NA"))))</f>
        <v>NA</v>
      </c>
      <c r="AL428" s="344" t="str">
        <f>IF(T428="Air",(IF(U428="1C",'Catalogue Aluminium'!$O$9,'Catalogue Aluminium'!$P$9)),IF(T428="DUCT",(IF($U428="1C",'Catalogue Aluminium'!$O$10,'Catalogue Aluminium'!$P$10)),IF(T428="GROUND",(IF($U428="1C",'Catalogue Aluminium'!$O$11,'Catalogue Aluminium'!$P$11)),IF(T428="TRENCH",(IF($U428="1C",'Catalogue Aluminium'!$O$12,'Catalogue Aluminium'!$P$12))))))</f>
        <v>NA</v>
      </c>
      <c r="AM428" s="344" t="str">
        <f>IF(T428="AIR","NA",IF(T428="TRENCH","NA",IF(T428="DUCT",IF(U428="1C",VLOOKUP(V428,'Catalogue Aluminium'!$Q$9:$S$28,2,FALSE),VLOOKUP(V428,'Catalogue Aluminium'!$Q$9:$S$28,3)),IF(T428="GROUND",IF(U428="1C",VLOOKUP(V428,'Catalogue Aluminium'!$Q$9:$S$28,2,FALSE),VLOOKUP(V428,'Catalogue Aluminium'!$Q$9:$S$28,3))))))</f>
        <v>NA</v>
      </c>
      <c r="AN428" s="351">
        <f t="shared" si="2747"/>
        <v>0.58740000000000003</v>
      </c>
      <c r="AO428" s="350">
        <f t="shared" si="2748"/>
        <v>22.321200000000001</v>
      </c>
      <c r="AP428" s="349">
        <f t="shared" si="2749"/>
        <v>1</v>
      </c>
      <c r="AQ428" s="350" t="str">
        <f t="shared" si="2750"/>
        <v>YES</v>
      </c>
      <c r="AR428" s="351">
        <f t="shared" si="2751"/>
        <v>1.8155929412338154</v>
      </c>
      <c r="AS428" s="343" t="str">
        <f t="shared" si="2752"/>
        <v>YES</v>
      </c>
      <c r="AT428" s="351" t="str">
        <f t="shared" si="2753"/>
        <v>NA</v>
      </c>
      <c r="AU428" s="343" t="str">
        <f t="shared" si="2754"/>
        <v>NA</v>
      </c>
      <c r="AV428" s="354" t="str">
        <f t="shared" si="2755"/>
        <v>1R x 0.6/1kV x 3C x 4 Sqmm</v>
      </c>
      <c r="AW428" s="354" t="str">
        <f t="shared" si="2756"/>
        <v>1R x 0.6/1kV x 3C x 4 Sqmm</v>
      </c>
      <c r="AX428" s="343">
        <f t="shared" si="2757"/>
        <v>59</v>
      </c>
      <c r="AY428" s="355"/>
      <c r="AZ428" s="355">
        <f t="shared" si="2758"/>
        <v>2</v>
      </c>
      <c r="BA428" s="356" t="str">
        <f t="shared" si="2759"/>
        <v/>
      </c>
      <c r="BB428" s="501">
        <f>VLOOKUP(W428,'Catalogue Aluminium'!$B$9:$H$93,7,FALSE)</f>
        <v>15</v>
      </c>
      <c r="BC428" s="328">
        <f t="shared" si="2760"/>
        <v>15</v>
      </c>
      <c r="BE428" s="336"/>
      <c r="BF428" s="336"/>
      <c r="BG428" s="336"/>
      <c r="BH428" s="336"/>
      <c r="BI428" s="336"/>
      <c r="BJ428" s="336"/>
      <c r="BK428" s="336"/>
      <c r="BL428" s="336"/>
      <c r="BM428" s="336"/>
      <c r="BN428" s="336"/>
      <c r="BO428" s="336"/>
      <c r="BP428" s="336"/>
      <c r="BQ428" s="336"/>
      <c r="BR428" s="336"/>
      <c r="BS428" s="336"/>
      <c r="BT428" s="336"/>
      <c r="BU428" s="336"/>
      <c r="BV428" s="336"/>
      <c r="BW428" s="336"/>
      <c r="BX428" s="336"/>
      <c r="BY428" s="336"/>
      <c r="BZ428" s="336"/>
      <c r="CA428" s="336"/>
      <c r="CB428" s="336"/>
      <c r="CC428" s="336"/>
      <c r="CD428" s="336"/>
      <c r="CE428" s="336"/>
      <c r="CF428" s="336"/>
      <c r="CG428" s="336"/>
      <c r="CH428" s="336"/>
      <c r="CI428" s="336"/>
      <c r="CJ428" s="336"/>
      <c r="CK428" s="336"/>
      <c r="CL428" s="336"/>
      <c r="CM428" s="336"/>
      <c r="CN428" s="336"/>
      <c r="CO428" s="336"/>
      <c r="CP428" s="336"/>
      <c r="CQ428" s="336"/>
      <c r="CR428" s="336"/>
      <c r="CS428" s="336"/>
      <c r="CT428" s="336"/>
      <c r="CU428" s="336"/>
      <c r="CV428" s="336"/>
      <c r="CW428" s="336"/>
      <c r="CX428" s="336"/>
      <c r="CY428" s="336"/>
      <c r="CZ428" s="336"/>
      <c r="DA428" s="336"/>
      <c r="DB428" s="336"/>
      <c r="DC428" s="336"/>
      <c r="DD428" s="336"/>
      <c r="DE428" s="336"/>
      <c r="DF428" s="336"/>
      <c r="DG428" s="336"/>
      <c r="DH428" s="336"/>
      <c r="DI428" s="336"/>
      <c r="DJ428" s="336"/>
      <c r="DK428" s="336"/>
      <c r="DL428" s="336"/>
      <c r="DM428" s="336"/>
      <c r="DN428" s="336"/>
      <c r="DO428" s="336"/>
      <c r="DP428" s="336"/>
      <c r="DQ428" s="336"/>
      <c r="DR428" s="336"/>
      <c r="DS428" s="336"/>
      <c r="DT428" s="336"/>
      <c r="DU428" s="336"/>
      <c r="DW428" s="336">
        <f t="shared" si="2731"/>
        <v>0</v>
      </c>
      <c r="DX428" s="336">
        <f t="shared" si="2732"/>
        <v>0</v>
      </c>
      <c r="DY428" s="336">
        <f t="shared" si="2733"/>
        <v>0</v>
      </c>
      <c r="DZ428" s="336">
        <f t="shared" si="2734"/>
        <v>0</v>
      </c>
      <c r="EA428" s="336">
        <f t="shared" si="2735"/>
        <v>0</v>
      </c>
      <c r="EB428" s="336">
        <f t="shared" si="2736"/>
        <v>0</v>
      </c>
      <c r="EC428" s="336">
        <f t="shared" si="2737"/>
        <v>0</v>
      </c>
      <c r="ED428" s="336">
        <f t="shared" si="2766"/>
        <v>0</v>
      </c>
      <c r="EE428" s="336">
        <f t="shared" si="2767"/>
        <v>0</v>
      </c>
      <c r="EF428" s="336">
        <f t="shared" si="2768"/>
        <v>0</v>
      </c>
      <c r="EG428" s="336">
        <f t="shared" si="2769"/>
        <v>0</v>
      </c>
      <c r="EH428" s="336">
        <f t="shared" si="2770"/>
        <v>0</v>
      </c>
      <c r="EI428" s="336">
        <f t="shared" si="2771"/>
        <v>0</v>
      </c>
      <c r="EJ428" s="336">
        <f t="shared" si="2772"/>
        <v>0</v>
      </c>
      <c r="EK428" s="336">
        <f t="shared" si="2773"/>
        <v>0</v>
      </c>
      <c r="EL428" s="336">
        <f t="shared" si="2774"/>
        <v>0</v>
      </c>
      <c r="EM428" s="336">
        <f t="shared" si="2775"/>
        <v>0</v>
      </c>
      <c r="EN428" s="336">
        <f t="shared" si="2776"/>
        <v>0</v>
      </c>
      <c r="EO428" s="336">
        <f t="shared" si="2777"/>
        <v>0</v>
      </c>
      <c r="EP428" s="336">
        <f t="shared" si="2778"/>
        <v>0</v>
      </c>
      <c r="EQ428" s="336">
        <f t="shared" si="2779"/>
        <v>0</v>
      </c>
      <c r="ER428" s="336">
        <f t="shared" si="2780"/>
        <v>0</v>
      </c>
      <c r="ES428" s="336">
        <f t="shared" si="2781"/>
        <v>0</v>
      </c>
      <c r="ET428" s="336">
        <f t="shared" si="2781"/>
        <v>0</v>
      </c>
      <c r="EU428" s="336">
        <f t="shared" si="2782"/>
        <v>0</v>
      </c>
      <c r="EV428" s="336">
        <f t="shared" si="2783"/>
        <v>0</v>
      </c>
      <c r="EW428" s="336">
        <f t="shared" si="2784"/>
        <v>0</v>
      </c>
      <c r="EX428" s="336">
        <f t="shared" si="2785"/>
        <v>0</v>
      </c>
      <c r="EY428" s="336">
        <f t="shared" si="2786"/>
        <v>0</v>
      </c>
      <c r="EZ428" s="336">
        <f t="shared" si="2787"/>
        <v>0</v>
      </c>
      <c r="FA428" s="336">
        <f t="shared" si="2788"/>
        <v>0</v>
      </c>
      <c r="FB428" s="336">
        <f t="shared" si="2789"/>
        <v>0</v>
      </c>
      <c r="FC428" s="336">
        <f t="shared" si="2790"/>
        <v>0</v>
      </c>
      <c r="FD428" s="336">
        <f t="shared" si="2791"/>
        <v>0</v>
      </c>
      <c r="FE428" s="336">
        <f t="shared" si="2792"/>
        <v>0</v>
      </c>
      <c r="FF428" s="336">
        <f t="shared" si="2793"/>
        <v>0</v>
      </c>
      <c r="FG428" s="336">
        <f t="shared" si="2794"/>
        <v>0</v>
      </c>
      <c r="FH428" s="336">
        <f t="shared" si="2795"/>
        <v>0</v>
      </c>
      <c r="FI428" s="336">
        <f t="shared" si="2796"/>
        <v>0</v>
      </c>
      <c r="FJ428" s="336">
        <f t="shared" si="2797"/>
        <v>0</v>
      </c>
      <c r="FK428" s="336">
        <f t="shared" si="2798"/>
        <v>0</v>
      </c>
      <c r="FL428" s="336">
        <f t="shared" si="2799"/>
        <v>0</v>
      </c>
      <c r="FM428" s="336">
        <f t="shared" si="2800"/>
        <v>0</v>
      </c>
      <c r="FN428" s="336">
        <f t="shared" si="2801"/>
        <v>0</v>
      </c>
      <c r="FO428" s="336">
        <f t="shared" si="2802"/>
        <v>0</v>
      </c>
      <c r="FP428" s="336">
        <f t="shared" si="2803"/>
        <v>0</v>
      </c>
      <c r="FQ428" s="336">
        <f t="shared" si="2804"/>
        <v>0</v>
      </c>
      <c r="FR428" s="336">
        <f t="shared" si="2805"/>
        <v>0</v>
      </c>
      <c r="FS428" s="336">
        <f t="shared" si="2806"/>
        <v>0</v>
      </c>
      <c r="FT428" s="336">
        <f t="shared" si="2807"/>
        <v>0</v>
      </c>
      <c r="FU428" s="336">
        <f t="shared" si="2638"/>
        <v>0</v>
      </c>
      <c r="FV428" s="336">
        <f t="shared" si="2639"/>
        <v>0</v>
      </c>
      <c r="FW428" s="336">
        <f t="shared" si="2640"/>
        <v>0</v>
      </c>
      <c r="FX428" s="336">
        <f t="shared" si="2641"/>
        <v>0</v>
      </c>
      <c r="FY428" s="336">
        <f t="shared" si="2808"/>
        <v>0</v>
      </c>
      <c r="FZ428" s="336">
        <f t="shared" si="2809"/>
        <v>0</v>
      </c>
      <c r="GA428" s="336">
        <f t="shared" si="2810"/>
        <v>0</v>
      </c>
      <c r="GB428" s="336">
        <f t="shared" si="2811"/>
        <v>0</v>
      </c>
      <c r="GC428" s="336">
        <f t="shared" si="2812"/>
        <v>0</v>
      </c>
      <c r="GD428" s="336">
        <f t="shared" si="2813"/>
        <v>0</v>
      </c>
      <c r="GE428" s="336">
        <f t="shared" si="2814"/>
        <v>0</v>
      </c>
      <c r="GF428" s="336">
        <f t="shared" si="2815"/>
        <v>0</v>
      </c>
      <c r="GG428" s="336">
        <f t="shared" si="2816"/>
        <v>0</v>
      </c>
      <c r="GH428" s="336">
        <f t="shared" si="2817"/>
        <v>0</v>
      </c>
      <c r="GI428" s="336">
        <f t="shared" si="2818"/>
        <v>0</v>
      </c>
      <c r="GJ428" s="336">
        <f t="shared" si="2819"/>
        <v>0</v>
      </c>
      <c r="GK428" s="336">
        <f t="shared" si="2761"/>
        <v>0</v>
      </c>
      <c r="GL428" s="336">
        <f t="shared" si="2764"/>
        <v>0</v>
      </c>
      <c r="GM428" s="336">
        <f t="shared" si="2820"/>
        <v>0</v>
      </c>
    </row>
    <row r="429" spans="1:195" ht="33" customHeight="1">
      <c r="A429" s="337">
        <f t="shared" si="2762"/>
        <v>298</v>
      </c>
      <c r="B429" s="337"/>
      <c r="C429" s="337" t="str">
        <f t="shared" si="2763"/>
        <v>CENTRAL CONTROL BUILDING HVAC DB</v>
      </c>
      <c r="D429" s="372" t="s">
        <v>907</v>
      </c>
      <c r="E429" s="453" t="s">
        <v>555</v>
      </c>
      <c r="F429" s="858"/>
      <c r="G429" s="337" t="s">
        <v>329</v>
      </c>
      <c r="H429" s="583">
        <v>3.5</v>
      </c>
      <c r="I429" s="337" t="s">
        <v>330</v>
      </c>
      <c r="J429" s="337" t="s">
        <v>357</v>
      </c>
      <c r="K429" s="349">
        <v>230</v>
      </c>
      <c r="L429" s="343">
        <v>0.84999999999999987</v>
      </c>
      <c r="M429" s="350">
        <v>0.95099999999999985</v>
      </c>
      <c r="N429" s="342">
        <f t="shared" si="2738"/>
        <v>18.825250577531801</v>
      </c>
      <c r="O429" s="342">
        <f t="shared" si="2739"/>
        <v>0</v>
      </c>
      <c r="P429" s="343" t="str">
        <f t="shared" si="2740"/>
        <v>0.00</v>
      </c>
      <c r="Q429" s="350">
        <v>25</v>
      </c>
      <c r="R429" s="350">
        <v>0</v>
      </c>
      <c r="S429" s="350">
        <f t="shared" si="2741"/>
        <v>0</v>
      </c>
      <c r="T429" s="343" t="s">
        <v>131</v>
      </c>
      <c r="U429" s="350" t="s">
        <v>333</v>
      </c>
      <c r="V429" s="343">
        <v>16</v>
      </c>
      <c r="W429" s="343" t="str">
        <f t="shared" si="2742"/>
        <v>3C X 16</v>
      </c>
      <c r="X429" s="343" t="str">
        <f t="shared" si="2743"/>
        <v>3C X 16</v>
      </c>
      <c r="Y429" s="343" t="s">
        <v>358</v>
      </c>
      <c r="Z429" s="344">
        <f>IF(T429="AIR",VLOOKUP(W429,'Catalogue Aluminium'!$B$9:$G$93,2,FALSE),IF(T429="GROUND",VLOOKUP(W429,'Catalogue Aluminium'!$B$9:$G$93,3,FALSE),IF(T429="DUCT",VLOOKUP(W429,'Catalogue Aluminium'!$B$9:$G$93,4,FALSE),IF(T429="TRENCH",VLOOKUP(W429,'Catalogue Aluminium'!$B$9:$G$93,2,FALSE)))))</f>
        <v>70</v>
      </c>
      <c r="AA429" s="345">
        <f>VLOOKUP(W429,'Catalogue Aluminium'!$B$9:$G$93,5,FALSE)</f>
        <v>2.44</v>
      </c>
      <c r="AB429" s="345">
        <f>VLOOKUP(W429,'Catalogue Aluminium'!$B$9:$G$93,6,FALSE)</f>
        <v>8.1500000000000003E-2</v>
      </c>
      <c r="AC429" s="863">
        <f t="shared" si="2744"/>
        <v>38</v>
      </c>
      <c r="AD429" s="863">
        <v>0</v>
      </c>
      <c r="AE429" s="401">
        <v>5</v>
      </c>
      <c r="AF429" s="401">
        <v>8</v>
      </c>
      <c r="AG429" s="401">
        <f t="shared" si="2745"/>
        <v>6</v>
      </c>
      <c r="AH429" s="347">
        <f t="shared" si="2746"/>
        <v>57</v>
      </c>
      <c r="AI429" s="344">
        <f>IF(T429="AIR",'Catalogue Aluminium'!$K$9,IF(T429="TRENCH",'Catalogue Aluminium'!$K$12,"NA"))</f>
        <v>0.89</v>
      </c>
      <c r="AJ429" s="342">
        <f>IF(T429="Air",(IF(U429="1C",'Catalogue Aluminium'!$L$9,'Catalogue Aluminium'!$M$9)),IF(T429="DUCT",(IF($U429="1C",'Catalogue Aluminium'!$L$10,'Catalogue Aluminium'!$M$10)),IF(T429="GROUND",(IF($U429="1C",'Catalogue Aluminium'!$L$11,'Catalogue Aluminium'!$M$11)),IF(T429="TRENCH",(IF($U429="1C",'Catalogue Aluminium'!$L$12,'Catalogue Aluminium'!$M$12))))))</f>
        <v>0.66</v>
      </c>
      <c r="AK429" s="344" t="str">
        <f>IF(T429="Air",'Catalogue Aluminium'!$N$9,IF(T429="GROUND",'Catalogue Aluminium'!$N$10,IF(T429="DUCT",'Catalogue Aluminium'!$N$11,IF(T429="TRENCH",'Catalogue Aluminium'!$N$12,"NA"))))</f>
        <v>NA</v>
      </c>
      <c r="AL429" s="344" t="str">
        <f>IF(T429="Air",(IF(U429="1C",'Catalogue Aluminium'!$O$9,'Catalogue Aluminium'!$P$9)),IF(T429="DUCT",(IF($U429="1C",'Catalogue Aluminium'!$O$10,'Catalogue Aluminium'!$P$10)),IF(T429="GROUND",(IF($U429="1C",'Catalogue Aluminium'!$O$11,'Catalogue Aluminium'!$P$11)),IF(T429="TRENCH",(IF($U429="1C",'Catalogue Aluminium'!$O$12,'Catalogue Aluminium'!$P$12))))))</f>
        <v>NA</v>
      </c>
      <c r="AM429" s="344" t="str">
        <f>IF(T429="AIR","NA",IF(T429="TRENCH","NA",IF(T429="DUCT",IF(U429="1C",VLOOKUP(V429,'Catalogue Aluminium'!$Q$9:$S$28,2,FALSE),VLOOKUP(V429,'Catalogue Aluminium'!$Q$9:$S$28,3)),IF(T429="GROUND",IF(U429="1C",VLOOKUP(V429,'Catalogue Aluminium'!$Q$9:$S$28,2,FALSE),VLOOKUP(V429,'Catalogue Aluminium'!$Q$9:$S$28,3))))))</f>
        <v>NA</v>
      </c>
      <c r="AN429" s="351">
        <f t="shared" si="2747"/>
        <v>0.58740000000000003</v>
      </c>
      <c r="AO429" s="350">
        <f t="shared" si="2748"/>
        <v>41.118000000000002</v>
      </c>
      <c r="AP429" s="349">
        <f t="shared" si="2749"/>
        <v>1</v>
      </c>
      <c r="AQ429" s="350" t="str">
        <f t="shared" si="2750"/>
        <v>YES</v>
      </c>
      <c r="AR429" s="351">
        <f t="shared" si="2751"/>
        <v>1.7106276298617451</v>
      </c>
      <c r="AS429" s="343" t="str">
        <f t="shared" si="2752"/>
        <v>YES</v>
      </c>
      <c r="AT429" s="351" t="str">
        <f t="shared" si="2753"/>
        <v>NA</v>
      </c>
      <c r="AU429" s="343" t="str">
        <f t="shared" si="2754"/>
        <v>NA</v>
      </c>
      <c r="AV429" s="354" t="str">
        <f t="shared" si="2755"/>
        <v>1R x 0.6/1kV x 3C x 16 Sqmm</v>
      </c>
      <c r="AW429" s="354" t="str">
        <f t="shared" si="2756"/>
        <v>1R x 0.6/1kV x 3C x 16 Sqmm</v>
      </c>
      <c r="AX429" s="343">
        <f t="shared" si="2757"/>
        <v>57</v>
      </c>
      <c r="AY429" s="355"/>
      <c r="AZ429" s="355">
        <f t="shared" si="2758"/>
        <v>2</v>
      </c>
      <c r="BA429" s="356" t="str">
        <f t="shared" si="2759"/>
        <v/>
      </c>
      <c r="BB429" s="501">
        <f>VLOOKUP(W429,'Catalogue Aluminium'!$B$9:$H$93,7,FALSE)</f>
        <v>19</v>
      </c>
      <c r="BC429" s="328">
        <f t="shared" si="2760"/>
        <v>19</v>
      </c>
      <c r="BE429" s="336"/>
      <c r="BF429" s="336"/>
      <c r="BG429" s="336"/>
      <c r="BH429" s="336"/>
      <c r="BI429" s="336"/>
      <c r="BJ429" s="336"/>
      <c r="BK429" s="336"/>
      <c r="BL429" s="336"/>
      <c r="BM429" s="336"/>
      <c r="BN429" s="336"/>
      <c r="BO429" s="336"/>
      <c r="BP429" s="336"/>
      <c r="BQ429" s="336"/>
      <c r="BR429" s="336"/>
      <c r="BS429" s="336"/>
      <c r="BT429" s="336"/>
      <c r="BU429" s="336"/>
      <c r="BV429" s="336"/>
      <c r="BW429" s="336"/>
      <c r="BX429" s="336"/>
      <c r="BY429" s="336"/>
      <c r="BZ429" s="336"/>
      <c r="CA429" s="336"/>
      <c r="CB429" s="336"/>
      <c r="CC429" s="336"/>
      <c r="CD429" s="336"/>
      <c r="CE429" s="336"/>
      <c r="CF429" s="336"/>
      <c r="CG429" s="336"/>
      <c r="CH429" s="336"/>
      <c r="CI429" s="336"/>
      <c r="CJ429" s="336"/>
      <c r="CK429" s="336"/>
      <c r="CL429" s="336"/>
      <c r="CM429" s="336"/>
      <c r="CN429" s="336"/>
      <c r="CO429" s="336"/>
      <c r="CP429" s="336"/>
      <c r="CQ429" s="336"/>
      <c r="CR429" s="336"/>
      <c r="CS429" s="336"/>
      <c r="CT429" s="336"/>
      <c r="CU429" s="336"/>
      <c r="CV429" s="336"/>
      <c r="CW429" s="336"/>
      <c r="CX429" s="336"/>
      <c r="CY429" s="336"/>
      <c r="CZ429" s="336"/>
      <c r="DA429" s="336"/>
      <c r="DB429" s="336"/>
      <c r="DC429" s="336"/>
      <c r="DD429" s="336"/>
      <c r="DE429" s="336"/>
      <c r="DF429" s="336"/>
      <c r="DG429" s="336"/>
      <c r="DH429" s="336"/>
      <c r="DI429" s="336"/>
      <c r="DJ429" s="336"/>
      <c r="DK429" s="336"/>
      <c r="DL429" s="336"/>
      <c r="DM429" s="336"/>
      <c r="DN429" s="336"/>
      <c r="DO429" s="336"/>
      <c r="DP429" s="336"/>
      <c r="DQ429" s="336"/>
      <c r="DR429" s="336"/>
      <c r="DS429" s="336"/>
      <c r="DT429" s="336"/>
      <c r="DU429" s="336"/>
      <c r="DW429" s="336">
        <f t="shared" si="2731"/>
        <v>0</v>
      </c>
      <c r="DX429" s="336">
        <f t="shared" si="2732"/>
        <v>0</v>
      </c>
      <c r="DY429" s="336">
        <f t="shared" si="2733"/>
        <v>0</v>
      </c>
      <c r="DZ429" s="336">
        <f t="shared" si="2734"/>
        <v>0</v>
      </c>
      <c r="EA429" s="336">
        <f t="shared" si="2735"/>
        <v>0</v>
      </c>
      <c r="EB429" s="336">
        <f t="shared" si="2736"/>
        <v>0</v>
      </c>
      <c r="EC429" s="336">
        <f t="shared" si="2737"/>
        <v>0</v>
      </c>
      <c r="ED429" s="336">
        <f t="shared" si="2766"/>
        <v>0</v>
      </c>
      <c r="EE429" s="336">
        <f t="shared" si="2767"/>
        <v>0</v>
      </c>
      <c r="EF429" s="336">
        <f t="shared" si="2768"/>
        <v>0</v>
      </c>
      <c r="EG429" s="336">
        <f t="shared" si="2769"/>
        <v>0</v>
      </c>
      <c r="EH429" s="336">
        <f t="shared" si="2770"/>
        <v>0</v>
      </c>
      <c r="EI429" s="336">
        <f t="shared" si="2771"/>
        <v>0</v>
      </c>
      <c r="EJ429" s="336">
        <f t="shared" si="2772"/>
        <v>0</v>
      </c>
      <c r="EK429" s="336">
        <f t="shared" si="2773"/>
        <v>0</v>
      </c>
      <c r="EL429" s="336">
        <f t="shared" si="2774"/>
        <v>0</v>
      </c>
      <c r="EM429" s="336">
        <f t="shared" si="2775"/>
        <v>0</v>
      </c>
      <c r="EN429" s="336">
        <f t="shared" si="2776"/>
        <v>0</v>
      </c>
      <c r="EO429" s="336">
        <f t="shared" si="2777"/>
        <v>0</v>
      </c>
      <c r="EP429" s="336">
        <f t="shared" si="2778"/>
        <v>0</v>
      </c>
      <c r="EQ429" s="336">
        <f t="shared" si="2779"/>
        <v>0</v>
      </c>
      <c r="ER429" s="336">
        <f t="shared" si="2780"/>
        <v>0</v>
      </c>
      <c r="ES429" s="336">
        <f t="shared" si="2781"/>
        <v>0</v>
      </c>
      <c r="ET429" s="336">
        <f t="shared" si="2781"/>
        <v>0</v>
      </c>
      <c r="EU429" s="336">
        <f t="shared" si="2782"/>
        <v>0</v>
      </c>
      <c r="EV429" s="336">
        <f t="shared" si="2783"/>
        <v>0</v>
      </c>
      <c r="EW429" s="336">
        <f t="shared" si="2784"/>
        <v>0</v>
      </c>
      <c r="EX429" s="336">
        <f t="shared" si="2785"/>
        <v>0</v>
      </c>
      <c r="EY429" s="336">
        <f t="shared" si="2786"/>
        <v>0</v>
      </c>
      <c r="EZ429" s="336">
        <f t="shared" si="2787"/>
        <v>0</v>
      </c>
      <c r="FA429" s="336">
        <f t="shared" si="2788"/>
        <v>0</v>
      </c>
      <c r="FB429" s="336">
        <f t="shared" si="2789"/>
        <v>0</v>
      </c>
      <c r="FC429" s="336">
        <f t="shared" si="2790"/>
        <v>0</v>
      </c>
      <c r="FD429" s="336">
        <f t="shared" si="2791"/>
        <v>0</v>
      </c>
      <c r="FE429" s="336">
        <f t="shared" si="2792"/>
        <v>0</v>
      </c>
      <c r="FF429" s="336">
        <f t="shared" si="2793"/>
        <v>0</v>
      </c>
      <c r="FG429" s="336">
        <f t="shared" si="2794"/>
        <v>0</v>
      </c>
      <c r="FH429" s="336">
        <f t="shared" si="2795"/>
        <v>0</v>
      </c>
      <c r="FI429" s="336">
        <f t="shared" si="2796"/>
        <v>0</v>
      </c>
      <c r="FJ429" s="336">
        <f t="shared" si="2797"/>
        <v>0</v>
      </c>
      <c r="FK429" s="336">
        <f t="shared" si="2798"/>
        <v>0</v>
      </c>
      <c r="FL429" s="336">
        <f t="shared" si="2799"/>
        <v>0</v>
      </c>
      <c r="FM429" s="336">
        <f t="shared" si="2800"/>
        <v>0</v>
      </c>
      <c r="FN429" s="336">
        <f t="shared" si="2801"/>
        <v>0</v>
      </c>
      <c r="FO429" s="336">
        <f t="shared" si="2802"/>
        <v>0</v>
      </c>
      <c r="FP429" s="336">
        <f t="shared" si="2803"/>
        <v>0</v>
      </c>
      <c r="FQ429" s="336">
        <f t="shared" si="2804"/>
        <v>0</v>
      </c>
      <c r="FR429" s="336">
        <f t="shared" si="2805"/>
        <v>0</v>
      </c>
      <c r="FS429" s="336">
        <f t="shared" si="2806"/>
        <v>0</v>
      </c>
      <c r="FT429" s="336">
        <f t="shared" si="2807"/>
        <v>0</v>
      </c>
      <c r="FU429" s="336">
        <f t="shared" si="2638"/>
        <v>0</v>
      </c>
      <c r="FV429" s="336">
        <f t="shared" si="2639"/>
        <v>0</v>
      </c>
      <c r="FW429" s="336">
        <f t="shared" si="2640"/>
        <v>0</v>
      </c>
      <c r="FX429" s="336">
        <f t="shared" si="2641"/>
        <v>0</v>
      </c>
      <c r="FY429" s="336">
        <f t="shared" si="2808"/>
        <v>0</v>
      </c>
      <c r="FZ429" s="336">
        <f t="shared" si="2809"/>
        <v>0</v>
      </c>
      <c r="GA429" s="336">
        <f t="shared" si="2810"/>
        <v>0</v>
      </c>
      <c r="GB429" s="336">
        <f t="shared" si="2811"/>
        <v>0</v>
      </c>
      <c r="GC429" s="336">
        <f t="shared" si="2812"/>
        <v>0</v>
      </c>
      <c r="GD429" s="336">
        <f t="shared" si="2813"/>
        <v>0</v>
      </c>
      <c r="GE429" s="336">
        <f t="shared" si="2814"/>
        <v>0</v>
      </c>
      <c r="GF429" s="336">
        <f t="shared" si="2815"/>
        <v>0</v>
      </c>
      <c r="GG429" s="336">
        <f t="shared" si="2816"/>
        <v>0</v>
      </c>
      <c r="GH429" s="336">
        <f t="shared" si="2817"/>
        <v>0</v>
      </c>
      <c r="GI429" s="336">
        <f t="shared" si="2818"/>
        <v>0</v>
      </c>
      <c r="GJ429" s="336">
        <f t="shared" si="2819"/>
        <v>0</v>
      </c>
      <c r="GK429" s="336">
        <f t="shared" si="2761"/>
        <v>0</v>
      </c>
      <c r="GL429" s="336">
        <f t="shared" si="2764"/>
        <v>0</v>
      </c>
      <c r="GM429" s="336">
        <f t="shared" si="2820"/>
        <v>0</v>
      </c>
    </row>
    <row r="430" spans="1:195" ht="33" customHeight="1">
      <c r="A430" s="337">
        <f t="shared" si="2762"/>
        <v>299</v>
      </c>
      <c r="B430" s="337"/>
      <c r="C430" s="337" t="str">
        <f t="shared" si="2763"/>
        <v>CENTRAL CONTROL BUILDING HVAC DB</v>
      </c>
      <c r="D430" s="372" t="s">
        <v>908</v>
      </c>
      <c r="E430" s="453" t="s">
        <v>555</v>
      </c>
      <c r="F430" s="858"/>
      <c r="G430" s="337" t="s">
        <v>329</v>
      </c>
      <c r="H430" s="350">
        <v>1.5</v>
      </c>
      <c r="I430" s="337" t="s">
        <v>330</v>
      </c>
      <c r="J430" s="337" t="s">
        <v>357</v>
      </c>
      <c r="K430" s="349">
        <v>230</v>
      </c>
      <c r="L430" s="343">
        <v>0.84999999999999987</v>
      </c>
      <c r="M430" s="350">
        <v>0.95099999999999985</v>
      </c>
      <c r="N430" s="342">
        <f t="shared" si="2738"/>
        <v>8.0679645332279151</v>
      </c>
      <c r="O430" s="342">
        <f t="shared" si="2739"/>
        <v>0</v>
      </c>
      <c r="P430" s="343" t="str">
        <f t="shared" si="2740"/>
        <v>0.00</v>
      </c>
      <c r="Q430" s="350">
        <v>25</v>
      </c>
      <c r="R430" s="350">
        <v>0</v>
      </c>
      <c r="S430" s="350">
        <f t="shared" si="2741"/>
        <v>0</v>
      </c>
      <c r="T430" s="343" t="s">
        <v>131</v>
      </c>
      <c r="U430" s="350" t="s">
        <v>333</v>
      </c>
      <c r="V430" s="343">
        <v>4</v>
      </c>
      <c r="W430" s="343" t="str">
        <f t="shared" si="2742"/>
        <v>3C X 4</v>
      </c>
      <c r="X430" s="343" t="str">
        <f t="shared" si="2743"/>
        <v>3C X 4</v>
      </c>
      <c r="Y430" s="343" t="s">
        <v>358</v>
      </c>
      <c r="Z430" s="344">
        <f>IF(T430="AIR",VLOOKUP(W430,'Catalogue Aluminium'!$B$9:$G$93,2,FALSE),IF(T430="GROUND",VLOOKUP(W430,'Catalogue Aluminium'!$B$9:$G$93,3,FALSE),IF(T430="DUCT",VLOOKUP(W430,'Catalogue Aluminium'!$B$9:$G$93,4,FALSE),IF(T430="TRENCH",VLOOKUP(W430,'Catalogue Aluminium'!$B$9:$G$93,2,FALSE)))))</f>
        <v>38</v>
      </c>
      <c r="AA430" s="345">
        <f>VLOOKUP(W430,'Catalogue Aluminium'!$B$9:$G$93,5,FALSE)</f>
        <v>5.9</v>
      </c>
      <c r="AB430" s="345">
        <f>VLOOKUP(W430,'Catalogue Aluminium'!$B$9:$G$93,6,FALSE)</f>
        <v>9.4700000000000006E-2</v>
      </c>
      <c r="AC430" s="863">
        <f t="shared" si="2744"/>
        <v>38</v>
      </c>
      <c r="AD430" s="863">
        <v>0</v>
      </c>
      <c r="AE430" s="401">
        <v>10</v>
      </c>
      <c r="AF430" s="401">
        <v>5</v>
      </c>
      <c r="AG430" s="401">
        <f t="shared" si="2745"/>
        <v>6</v>
      </c>
      <c r="AH430" s="347">
        <f t="shared" si="2746"/>
        <v>59</v>
      </c>
      <c r="AI430" s="344">
        <f>IF(T430="AIR",'Catalogue Aluminium'!$K$9,IF(T430="TRENCH",'Catalogue Aluminium'!$K$12,"NA"))</f>
        <v>0.89</v>
      </c>
      <c r="AJ430" s="342">
        <f>IF(T430="Air",(IF(U430="1C",'Catalogue Aluminium'!$L$9,'Catalogue Aluminium'!$M$9)),IF(T430="DUCT",(IF($U430="1C",'Catalogue Aluminium'!$L$10,'Catalogue Aluminium'!$M$10)),IF(T430="GROUND",(IF($U430="1C",'Catalogue Aluminium'!$L$11,'Catalogue Aluminium'!$M$11)),IF(T430="TRENCH",(IF($U430="1C",'Catalogue Aluminium'!$L$12,'Catalogue Aluminium'!$M$12))))))</f>
        <v>0.66</v>
      </c>
      <c r="AK430" s="344" t="str">
        <f>IF(T430="Air",'Catalogue Aluminium'!$N$9,IF(T430="GROUND",'Catalogue Aluminium'!$N$10,IF(T430="DUCT",'Catalogue Aluminium'!$N$11,IF(T430="TRENCH",'Catalogue Aluminium'!$N$12,"NA"))))</f>
        <v>NA</v>
      </c>
      <c r="AL430" s="344" t="str">
        <f>IF(T430="Air",(IF(U430="1C",'Catalogue Aluminium'!$O$9,'Catalogue Aluminium'!$P$9)),IF(T430="DUCT",(IF($U430="1C",'Catalogue Aluminium'!$O$10,'Catalogue Aluminium'!$P$10)),IF(T430="GROUND",(IF($U430="1C",'Catalogue Aluminium'!$O$11,'Catalogue Aluminium'!$P$11)),IF(T430="TRENCH",(IF($U430="1C",'Catalogue Aluminium'!$O$12,'Catalogue Aluminium'!$P$12))))))</f>
        <v>NA</v>
      </c>
      <c r="AM430" s="344" t="str">
        <f>IF(T430="AIR","NA",IF(T430="TRENCH","NA",IF(T430="DUCT",IF(U430="1C",VLOOKUP(V430,'Catalogue Aluminium'!$Q$9:$S$28,2,FALSE),VLOOKUP(V430,'Catalogue Aluminium'!$Q$9:$S$28,3)),IF(T430="GROUND",IF(U430="1C",VLOOKUP(V430,'Catalogue Aluminium'!$Q$9:$S$28,2,FALSE),VLOOKUP(V430,'Catalogue Aluminium'!$Q$9:$S$28,3))))))</f>
        <v>NA</v>
      </c>
      <c r="AN430" s="351">
        <f t="shared" si="2747"/>
        <v>0.58740000000000003</v>
      </c>
      <c r="AO430" s="350">
        <f t="shared" si="2748"/>
        <v>22.321200000000001</v>
      </c>
      <c r="AP430" s="349">
        <f t="shared" si="2749"/>
        <v>1</v>
      </c>
      <c r="AQ430" s="350" t="str">
        <f t="shared" si="2750"/>
        <v>YES</v>
      </c>
      <c r="AR430" s="351">
        <f t="shared" si="2751"/>
        <v>1.8155929412338154</v>
      </c>
      <c r="AS430" s="343" t="str">
        <f t="shared" si="2752"/>
        <v>YES</v>
      </c>
      <c r="AT430" s="351" t="str">
        <f t="shared" si="2753"/>
        <v>NA</v>
      </c>
      <c r="AU430" s="343" t="str">
        <f t="shared" si="2754"/>
        <v>NA</v>
      </c>
      <c r="AV430" s="354" t="str">
        <f t="shared" si="2755"/>
        <v>1R x 0.6/1kV x 3C x 4 Sqmm</v>
      </c>
      <c r="AW430" s="354" t="str">
        <f t="shared" si="2756"/>
        <v>1R x 0.6/1kV x 3C x 4 Sqmm</v>
      </c>
      <c r="AX430" s="343">
        <f t="shared" si="2757"/>
        <v>59</v>
      </c>
      <c r="AY430" s="355"/>
      <c r="AZ430" s="355">
        <f t="shared" si="2758"/>
        <v>2</v>
      </c>
      <c r="BA430" s="356" t="str">
        <f t="shared" si="2759"/>
        <v/>
      </c>
      <c r="BB430" s="501">
        <f>VLOOKUP(W430,'Catalogue Aluminium'!$B$9:$H$93,7,FALSE)</f>
        <v>15</v>
      </c>
      <c r="BC430" s="328">
        <f t="shared" si="2760"/>
        <v>15</v>
      </c>
      <c r="BE430" s="336"/>
      <c r="BF430" s="336"/>
      <c r="BG430" s="336"/>
      <c r="BH430" s="336"/>
      <c r="BI430" s="336"/>
      <c r="BJ430" s="336"/>
      <c r="BK430" s="336"/>
      <c r="BL430" s="336"/>
      <c r="BM430" s="336"/>
      <c r="BN430" s="336"/>
      <c r="BO430" s="336"/>
      <c r="BP430" s="336"/>
      <c r="BQ430" s="336"/>
      <c r="BR430" s="336"/>
      <c r="BS430" s="336"/>
      <c r="BT430" s="336"/>
      <c r="BU430" s="336"/>
      <c r="BV430" s="336"/>
      <c r="BW430" s="336"/>
      <c r="BX430" s="336"/>
      <c r="BY430" s="336"/>
      <c r="BZ430" s="336"/>
      <c r="CA430" s="336"/>
      <c r="CB430" s="336"/>
      <c r="CC430" s="336"/>
      <c r="CD430" s="336"/>
      <c r="CE430" s="336"/>
      <c r="CF430" s="336"/>
      <c r="CG430" s="336"/>
      <c r="CH430" s="336"/>
      <c r="CI430" s="336"/>
      <c r="CJ430" s="336"/>
      <c r="CK430" s="336"/>
      <c r="CL430" s="336"/>
      <c r="CM430" s="336"/>
      <c r="CN430" s="336"/>
      <c r="CO430" s="336"/>
      <c r="CP430" s="336"/>
      <c r="CQ430" s="336"/>
      <c r="CR430" s="336"/>
      <c r="CS430" s="336"/>
      <c r="CT430" s="336"/>
      <c r="CU430" s="336"/>
      <c r="CV430" s="336"/>
      <c r="CW430" s="336"/>
      <c r="CX430" s="336"/>
      <c r="CY430" s="336"/>
      <c r="CZ430" s="336"/>
      <c r="DA430" s="336"/>
      <c r="DB430" s="336"/>
      <c r="DC430" s="336"/>
      <c r="DD430" s="336"/>
      <c r="DE430" s="336"/>
      <c r="DF430" s="336"/>
      <c r="DG430" s="336"/>
      <c r="DH430" s="336"/>
      <c r="DI430" s="336"/>
      <c r="DJ430" s="336"/>
      <c r="DK430" s="336"/>
      <c r="DL430" s="336"/>
      <c r="DM430" s="336"/>
      <c r="DN430" s="336"/>
      <c r="DO430" s="336"/>
      <c r="DP430" s="336"/>
      <c r="DQ430" s="336"/>
      <c r="DR430" s="336"/>
      <c r="DS430" s="336"/>
      <c r="DT430" s="336"/>
      <c r="DU430" s="336"/>
      <c r="DW430" s="336">
        <f t="shared" si="2731"/>
        <v>0</v>
      </c>
      <c r="DX430" s="336">
        <f t="shared" si="2732"/>
        <v>0</v>
      </c>
      <c r="DY430" s="336">
        <f t="shared" si="2733"/>
        <v>0</v>
      </c>
      <c r="DZ430" s="336">
        <f t="shared" si="2734"/>
        <v>0</v>
      </c>
      <c r="EA430" s="336">
        <f t="shared" si="2735"/>
        <v>0</v>
      </c>
      <c r="EB430" s="336">
        <f t="shared" si="2736"/>
        <v>0</v>
      </c>
      <c r="EC430" s="336">
        <f t="shared" si="2737"/>
        <v>0</v>
      </c>
      <c r="ED430" s="336">
        <f t="shared" si="2766"/>
        <v>0</v>
      </c>
      <c r="EE430" s="336">
        <f t="shared" si="2767"/>
        <v>0</v>
      </c>
      <c r="EF430" s="336">
        <f t="shared" si="2768"/>
        <v>0</v>
      </c>
      <c r="EG430" s="336">
        <f t="shared" si="2769"/>
        <v>0</v>
      </c>
      <c r="EH430" s="336">
        <f t="shared" si="2770"/>
        <v>0</v>
      </c>
      <c r="EI430" s="336">
        <f t="shared" si="2771"/>
        <v>0</v>
      </c>
      <c r="EJ430" s="336">
        <f t="shared" si="2772"/>
        <v>0</v>
      </c>
      <c r="EK430" s="336">
        <f t="shared" si="2773"/>
        <v>0</v>
      </c>
      <c r="EL430" s="336">
        <f t="shared" si="2774"/>
        <v>0</v>
      </c>
      <c r="EM430" s="336">
        <f t="shared" si="2775"/>
        <v>0</v>
      </c>
      <c r="EN430" s="336">
        <f t="shared" si="2776"/>
        <v>0</v>
      </c>
      <c r="EO430" s="336">
        <f t="shared" si="2777"/>
        <v>0</v>
      </c>
      <c r="EP430" s="336">
        <f t="shared" si="2778"/>
        <v>0</v>
      </c>
      <c r="EQ430" s="336">
        <f t="shared" si="2779"/>
        <v>0</v>
      </c>
      <c r="ER430" s="336">
        <f t="shared" si="2780"/>
        <v>0</v>
      </c>
      <c r="ES430" s="336">
        <f t="shared" si="2781"/>
        <v>0</v>
      </c>
      <c r="ET430" s="336">
        <f t="shared" si="2781"/>
        <v>0</v>
      </c>
      <c r="EU430" s="336">
        <f t="shared" si="2782"/>
        <v>0</v>
      </c>
      <c r="EV430" s="336">
        <f t="shared" si="2783"/>
        <v>0</v>
      </c>
      <c r="EW430" s="336">
        <f t="shared" si="2784"/>
        <v>0</v>
      </c>
      <c r="EX430" s="336">
        <f t="shared" si="2785"/>
        <v>0</v>
      </c>
      <c r="EY430" s="336">
        <f t="shared" si="2786"/>
        <v>0</v>
      </c>
      <c r="EZ430" s="336">
        <f t="shared" si="2787"/>
        <v>0</v>
      </c>
      <c r="FA430" s="336">
        <f t="shared" si="2788"/>
        <v>0</v>
      </c>
      <c r="FB430" s="336">
        <f t="shared" si="2789"/>
        <v>0</v>
      </c>
      <c r="FC430" s="336">
        <f t="shared" si="2790"/>
        <v>0</v>
      </c>
      <c r="FD430" s="336">
        <f t="shared" si="2791"/>
        <v>0</v>
      </c>
      <c r="FE430" s="336">
        <f t="shared" si="2792"/>
        <v>0</v>
      </c>
      <c r="FF430" s="336">
        <f t="shared" si="2793"/>
        <v>0</v>
      </c>
      <c r="FG430" s="336">
        <f t="shared" si="2794"/>
        <v>0</v>
      </c>
      <c r="FH430" s="336">
        <f t="shared" si="2795"/>
        <v>0</v>
      </c>
      <c r="FI430" s="336">
        <f t="shared" si="2796"/>
        <v>0</v>
      </c>
      <c r="FJ430" s="336">
        <f t="shared" si="2797"/>
        <v>0</v>
      </c>
      <c r="FK430" s="336">
        <f t="shared" si="2798"/>
        <v>0</v>
      </c>
      <c r="FL430" s="336">
        <f t="shared" si="2799"/>
        <v>0</v>
      </c>
      <c r="FM430" s="336">
        <f t="shared" si="2800"/>
        <v>0</v>
      </c>
      <c r="FN430" s="336">
        <f t="shared" si="2801"/>
        <v>0</v>
      </c>
      <c r="FO430" s="336">
        <f t="shared" si="2802"/>
        <v>0</v>
      </c>
      <c r="FP430" s="336">
        <f t="shared" si="2803"/>
        <v>0</v>
      </c>
      <c r="FQ430" s="336">
        <f t="shared" si="2804"/>
        <v>0</v>
      </c>
      <c r="FR430" s="336">
        <f t="shared" si="2805"/>
        <v>0</v>
      </c>
      <c r="FS430" s="336">
        <f t="shared" si="2806"/>
        <v>0</v>
      </c>
      <c r="FT430" s="336">
        <f t="shared" si="2807"/>
        <v>0</v>
      </c>
      <c r="FU430" s="336">
        <f t="shared" si="2638"/>
        <v>0</v>
      </c>
      <c r="FV430" s="336">
        <f t="shared" si="2639"/>
        <v>0</v>
      </c>
      <c r="FW430" s="336">
        <f t="shared" si="2640"/>
        <v>0</v>
      </c>
      <c r="FX430" s="336">
        <f t="shared" si="2641"/>
        <v>0</v>
      </c>
      <c r="FY430" s="336">
        <f t="shared" si="2808"/>
        <v>0</v>
      </c>
      <c r="FZ430" s="336">
        <f t="shared" si="2809"/>
        <v>0</v>
      </c>
      <c r="GA430" s="336">
        <f t="shared" si="2810"/>
        <v>0</v>
      </c>
      <c r="GB430" s="336">
        <f t="shared" si="2811"/>
        <v>0</v>
      </c>
      <c r="GC430" s="336">
        <f t="shared" si="2812"/>
        <v>0</v>
      </c>
      <c r="GD430" s="336">
        <f t="shared" si="2813"/>
        <v>0</v>
      </c>
      <c r="GE430" s="336">
        <f t="shared" si="2814"/>
        <v>0</v>
      </c>
      <c r="GF430" s="336">
        <f t="shared" si="2815"/>
        <v>0</v>
      </c>
      <c r="GG430" s="336">
        <f t="shared" si="2816"/>
        <v>0</v>
      </c>
      <c r="GH430" s="336">
        <f t="shared" si="2817"/>
        <v>0</v>
      </c>
      <c r="GI430" s="336">
        <f t="shared" si="2818"/>
        <v>0</v>
      </c>
      <c r="GJ430" s="336">
        <f t="shared" si="2819"/>
        <v>0</v>
      </c>
      <c r="GK430" s="336">
        <f t="shared" si="2761"/>
        <v>0</v>
      </c>
      <c r="GL430" s="336">
        <f t="shared" si="2764"/>
        <v>0</v>
      </c>
      <c r="GM430" s="336">
        <f t="shared" si="2820"/>
        <v>0</v>
      </c>
    </row>
    <row r="431" spans="1:195" ht="33" customHeight="1">
      <c r="A431" s="337">
        <f t="shared" si="2762"/>
        <v>300</v>
      </c>
      <c r="B431" s="337"/>
      <c r="C431" s="337" t="str">
        <f t="shared" si="2763"/>
        <v>CENTRAL CONTROL BUILDING HVAC DB</v>
      </c>
      <c r="D431" s="372" t="s">
        <v>909</v>
      </c>
      <c r="E431" s="453" t="s">
        <v>555</v>
      </c>
      <c r="F431" s="858"/>
      <c r="G431" s="337" t="s">
        <v>329</v>
      </c>
      <c r="H431" s="583">
        <v>3.5</v>
      </c>
      <c r="I431" s="337" t="s">
        <v>330</v>
      </c>
      <c r="J431" s="337" t="s">
        <v>357</v>
      </c>
      <c r="K431" s="349">
        <v>230</v>
      </c>
      <c r="L431" s="343">
        <v>0.84999999999999987</v>
      </c>
      <c r="M431" s="350">
        <v>0.95099999999999985</v>
      </c>
      <c r="N431" s="342">
        <f t="shared" si="2738"/>
        <v>18.825250577531801</v>
      </c>
      <c r="O431" s="342">
        <f t="shared" si="2739"/>
        <v>0</v>
      </c>
      <c r="P431" s="343" t="str">
        <f t="shared" si="2740"/>
        <v>0.00</v>
      </c>
      <c r="Q431" s="350">
        <v>25</v>
      </c>
      <c r="R431" s="350">
        <v>0</v>
      </c>
      <c r="S431" s="350">
        <f t="shared" si="2741"/>
        <v>0</v>
      </c>
      <c r="T431" s="343" t="s">
        <v>131</v>
      </c>
      <c r="U431" s="350" t="s">
        <v>333</v>
      </c>
      <c r="V431" s="343">
        <v>16</v>
      </c>
      <c r="W431" s="343" t="str">
        <f t="shared" si="2742"/>
        <v>3C X 16</v>
      </c>
      <c r="X431" s="343" t="str">
        <f t="shared" si="2743"/>
        <v>3C X 16</v>
      </c>
      <c r="Y431" s="343" t="s">
        <v>358</v>
      </c>
      <c r="Z431" s="344">
        <f>IF(T431="AIR",VLOOKUP(W431,'Catalogue Aluminium'!$B$9:$G$93,2,FALSE),IF(T431="GROUND",VLOOKUP(W431,'Catalogue Aluminium'!$B$9:$G$93,3,FALSE),IF(T431="DUCT",VLOOKUP(W431,'Catalogue Aluminium'!$B$9:$G$93,4,FALSE),IF(T431="TRENCH",VLOOKUP(W431,'Catalogue Aluminium'!$B$9:$G$93,2,FALSE)))))</f>
        <v>70</v>
      </c>
      <c r="AA431" s="345">
        <f>VLOOKUP(W431,'Catalogue Aluminium'!$B$9:$G$93,5,FALSE)</f>
        <v>2.44</v>
      </c>
      <c r="AB431" s="345">
        <f>VLOOKUP(W431,'Catalogue Aluminium'!$B$9:$G$93,6,FALSE)</f>
        <v>8.1500000000000003E-2</v>
      </c>
      <c r="AC431" s="863">
        <f t="shared" si="2744"/>
        <v>38</v>
      </c>
      <c r="AD431" s="863">
        <v>0</v>
      </c>
      <c r="AE431" s="401">
        <v>5</v>
      </c>
      <c r="AF431" s="401">
        <v>8</v>
      </c>
      <c r="AG431" s="401">
        <f t="shared" si="2745"/>
        <v>6</v>
      </c>
      <c r="AH431" s="347">
        <f t="shared" si="2746"/>
        <v>57</v>
      </c>
      <c r="AI431" s="344">
        <f>IF(T431="AIR",'Catalogue Aluminium'!$K$9,IF(T431="TRENCH",'Catalogue Aluminium'!$K$12,"NA"))</f>
        <v>0.89</v>
      </c>
      <c r="AJ431" s="342">
        <f>IF(T431="Air",(IF(U431="1C",'Catalogue Aluminium'!$L$9,'Catalogue Aluminium'!$M$9)),IF(T431="DUCT",(IF($U431="1C",'Catalogue Aluminium'!$L$10,'Catalogue Aluminium'!$M$10)),IF(T431="GROUND",(IF($U431="1C",'Catalogue Aluminium'!$L$11,'Catalogue Aluminium'!$M$11)),IF(T431="TRENCH",(IF($U431="1C",'Catalogue Aluminium'!$L$12,'Catalogue Aluminium'!$M$12))))))</f>
        <v>0.66</v>
      </c>
      <c r="AK431" s="344" t="str">
        <f>IF(T431="Air",'Catalogue Aluminium'!$N$9,IF(T431="GROUND",'Catalogue Aluminium'!$N$10,IF(T431="DUCT",'Catalogue Aluminium'!$N$11,IF(T431="TRENCH",'Catalogue Aluminium'!$N$12,"NA"))))</f>
        <v>NA</v>
      </c>
      <c r="AL431" s="344" t="str">
        <f>IF(T431="Air",(IF(U431="1C",'Catalogue Aluminium'!$O$9,'Catalogue Aluminium'!$P$9)),IF(T431="DUCT",(IF($U431="1C",'Catalogue Aluminium'!$O$10,'Catalogue Aluminium'!$P$10)),IF(T431="GROUND",(IF($U431="1C",'Catalogue Aluminium'!$O$11,'Catalogue Aluminium'!$P$11)),IF(T431="TRENCH",(IF($U431="1C",'Catalogue Aluminium'!$O$12,'Catalogue Aluminium'!$P$12))))))</f>
        <v>NA</v>
      </c>
      <c r="AM431" s="344" t="str">
        <f>IF(T431="AIR","NA",IF(T431="TRENCH","NA",IF(T431="DUCT",IF(U431="1C",VLOOKUP(V431,'Catalogue Aluminium'!$Q$9:$S$28,2,FALSE),VLOOKUP(V431,'Catalogue Aluminium'!$Q$9:$S$28,3)),IF(T431="GROUND",IF(U431="1C",VLOOKUP(V431,'Catalogue Aluminium'!$Q$9:$S$28,2,FALSE),VLOOKUP(V431,'Catalogue Aluminium'!$Q$9:$S$28,3))))))</f>
        <v>NA</v>
      </c>
      <c r="AN431" s="351">
        <f t="shared" si="2747"/>
        <v>0.58740000000000003</v>
      </c>
      <c r="AO431" s="350">
        <f t="shared" si="2748"/>
        <v>41.118000000000002</v>
      </c>
      <c r="AP431" s="349">
        <f t="shared" si="2749"/>
        <v>1</v>
      </c>
      <c r="AQ431" s="350" t="str">
        <f t="shared" si="2750"/>
        <v>YES</v>
      </c>
      <c r="AR431" s="351">
        <f t="shared" si="2751"/>
        <v>1.7106276298617451</v>
      </c>
      <c r="AS431" s="343" t="str">
        <f t="shared" si="2752"/>
        <v>YES</v>
      </c>
      <c r="AT431" s="351" t="str">
        <f t="shared" si="2753"/>
        <v>NA</v>
      </c>
      <c r="AU431" s="343" t="str">
        <f t="shared" si="2754"/>
        <v>NA</v>
      </c>
      <c r="AV431" s="354" t="str">
        <f t="shared" si="2755"/>
        <v>1R x 0.6/1kV x 3C x 16 Sqmm</v>
      </c>
      <c r="AW431" s="354" t="str">
        <f t="shared" si="2756"/>
        <v>1R x 0.6/1kV x 3C x 16 Sqmm</v>
      </c>
      <c r="AX431" s="343">
        <f t="shared" si="2757"/>
        <v>57</v>
      </c>
      <c r="AY431" s="355"/>
      <c r="AZ431" s="355">
        <f t="shared" si="2758"/>
        <v>2</v>
      </c>
      <c r="BA431" s="356" t="str">
        <f t="shared" si="2759"/>
        <v/>
      </c>
      <c r="BB431" s="501">
        <f>VLOOKUP(W431,'Catalogue Aluminium'!$B$9:$H$93,7,FALSE)</f>
        <v>19</v>
      </c>
      <c r="BC431" s="328">
        <f t="shared" si="2760"/>
        <v>19</v>
      </c>
      <c r="BE431" s="336"/>
      <c r="BF431" s="336"/>
      <c r="BG431" s="336"/>
      <c r="BH431" s="336"/>
      <c r="BI431" s="336"/>
      <c r="BJ431" s="336"/>
      <c r="BK431" s="336"/>
      <c r="BL431" s="336"/>
      <c r="BM431" s="336"/>
      <c r="BN431" s="336"/>
      <c r="BO431" s="336"/>
      <c r="BP431" s="336"/>
      <c r="BQ431" s="336"/>
      <c r="BR431" s="336"/>
      <c r="BS431" s="336"/>
      <c r="BT431" s="336"/>
      <c r="BU431" s="336"/>
      <c r="BV431" s="336"/>
      <c r="BW431" s="336"/>
      <c r="BX431" s="336"/>
      <c r="BY431" s="336"/>
      <c r="BZ431" s="336"/>
      <c r="CA431" s="336"/>
      <c r="CB431" s="336"/>
      <c r="CC431" s="336"/>
      <c r="CD431" s="336"/>
      <c r="CE431" s="336"/>
      <c r="CF431" s="336"/>
      <c r="CG431" s="336"/>
      <c r="CH431" s="336"/>
      <c r="CI431" s="336"/>
      <c r="CJ431" s="336"/>
      <c r="CK431" s="336"/>
      <c r="CL431" s="336"/>
      <c r="CM431" s="336"/>
      <c r="CN431" s="336"/>
      <c r="CO431" s="336"/>
      <c r="CP431" s="336"/>
      <c r="CQ431" s="336"/>
      <c r="CR431" s="336"/>
      <c r="CS431" s="336"/>
      <c r="CT431" s="336"/>
      <c r="CU431" s="336"/>
      <c r="CV431" s="336"/>
      <c r="CW431" s="336"/>
      <c r="CX431" s="336"/>
      <c r="CY431" s="336"/>
      <c r="CZ431" s="336"/>
      <c r="DA431" s="336"/>
      <c r="DB431" s="336"/>
      <c r="DC431" s="336"/>
      <c r="DD431" s="336"/>
      <c r="DE431" s="336"/>
      <c r="DF431" s="336"/>
      <c r="DG431" s="336"/>
      <c r="DH431" s="336"/>
      <c r="DI431" s="336"/>
      <c r="DJ431" s="336"/>
      <c r="DK431" s="336"/>
      <c r="DL431" s="336"/>
      <c r="DM431" s="336"/>
      <c r="DN431" s="336"/>
      <c r="DO431" s="336"/>
      <c r="DP431" s="336"/>
      <c r="DQ431" s="336"/>
      <c r="DR431" s="336"/>
      <c r="DS431" s="336"/>
      <c r="DT431" s="336"/>
      <c r="DU431" s="336"/>
      <c r="DW431" s="336">
        <f t="shared" si="2731"/>
        <v>0</v>
      </c>
      <c r="DX431" s="336">
        <f t="shared" si="2732"/>
        <v>0</v>
      </c>
      <c r="DY431" s="336">
        <f t="shared" si="2733"/>
        <v>0</v>
      </c>
      <c r="DZ431" s="336">
        <f t="shared" si="2734"/>
        <v>0</v>
      </c>
      <c r="EA431" s="336">
        <f t="shared" si="2735"/>
        <v>0</v>
      </c>
      <c r="EB431" s="336">
        <f t="shared" si="2736"/>
        <v>0</v>
      </c>
      <c r="EC431" s="336">
        <f t="shared" si="2737"/>
        <v>0</v>
      </c>
      <c r="ED431" s="336">
        <f t="shared" si="2766"/>
        <v>0</v>
      </c>
      <c r="EE431" s="336">
        <f t="shared" si="2767"/>
        <v>0</v>
      </c>
      <c r="EF431" s="336">
        <f t="shared" si="2768"/>
        <v>0</v>
      </c>
      <c r="EG431" s="336">
        <f t="shared" si="2769"/>
        <v>0</v>
      </c>
      <c r="EH431" s="336">
        <f t="shared" si="2770"/>
        <v>0</v>
      </c>
      <c r="EI431" s="336">
        <f t="shared" si="2771"/>
        <v>0</v>
      </c>
      <c r="EJ431" s="336">
        <f t="shared" si="2772"/>
        <v>0</v>
      </c>
      <c r="EK431" s="336">
        <f t="shared" si="2773"/>
        <v>0</v>
      </c>
      <c r="EL431" s="336">
        <f t="shared" si="2774"/>
        <v>0</v>
      </c>
      <c r="EM431" s="336">
        <f t="shared" si="2775"/>
        <v>0</v>
      </c>
      <c r="EN431" s="336">
        <f t="shared" si="2776"/>
        <v>0</v>
      </c>
      <c r="EO431" s="336">
        <f t="shared" si="2777"/>
        <v>0</v>
      </c>
      <c r="EP431" s="336">
        <f t="shared" si="2778"/>
        <v>0</v>
      </c>
      <c r="EQ431" s="336">
        <f t="shared" si="2779"/>
        <v>0</v>
      </c>
      <c r="ER431" s="336">
        <f t="shared" si="2780"/>
        <v>0</v>
      </c>
      <c r="ES431" s="336">
        <f t="shared" si="2781"/>
        <v>0</v>
      </c>
      <c r="ET431" s="336">
        <f t="shared" si="2781"/>
        <v>0</v>
      </c>
      <c r="EU431" s="336">
        <f t="shared" si="2782"/>
        <v>0</v>
      </c>
      <c r="EV431" s="336">
        <f t="shared" si="2783"/>
        <v>0</v>
      </c>
      <c r="EW431" s="336">
        <f t="shared" si="2784"/>
        <v>0</v>
      </c>
      <c r="EX431" s="336">
        <f t="shared" si="2785"/>
        <v>0</v>
      </c>
      <c r="EY431" s="336">
        <f t="shared" si="2786"/>
        <v>0</v>
      </c>
      <c r="EZ431" s="336">
        <f t="shared" si="2787"/>
        <v>0</v>
      </c>
      <c r="FA431" s="336">
        <f t="shared" si="2788"/>
        <v>0</v>
      </c>
      <c r="FB431" s="336">
        <f t="shared" si="2789"/>
        <v>0</v>
      </c>
      <c r="FC431" s="336">
        <f t="shared" si="2790"/>
        <v>0</v>
      </c>
      <c r="FD431" s="336">
        <f t="shared" si="2791"/>
        <v>0</v>
      </c>
      <c r="FE431" s="336">
        <f t="shared" si="2792"/>
        <v>0</v>
      </c>
      <c r="FF431" s="336">
        <f t="shared" si="2793"/>
        <v>0</v>
      </c>
      <c r="FG431" s="336">
        <f t="shared" si="2794"/>
        <v>0</v>
      </c>
      <c r="FH431" s="336">
        <f t="shared" si="2795"/>
        <v>0</v>
      </c>
      <c r="FI431" s="336">
        <f t="shared" si="2796"/>
        <v>0</v>
      </c>
      <c r="FJ431" s="336">
        <f t="shared" si="2797"/>
        <v>0</v>
      </c>
      <c r="FK431" s="336">
        <f t="shared" si="2798"/>
        <v>0</v>
      </c>
      <c r="FL431" s="336">
        <f t="shared" si="2799"/>
        <v>0</v>
      </c>
      <c r="FM431" s="336">
        <f t="shared" si="2800"/>
        <v>0</v>
      </c>
      <c r="FN431" s="336">
        <f t="shared" si="2801"/>
        <v>0</v>
      </c>
      <c r="FO431" s="336">
        <f t="shared" si="2802"/>
        <v>0</v>
      </c>
      <c r="FP431" s="336">
        <f t="shared" si="2803"/>
        <v>0</v>
      </c>
      <c r="FQ431" s="336">
        <f t="shared" si="2804"/>
        <v>0</v>
      </c>
      <c r="FR431" s="336">
        <f t="shared" si="2805"/>
        <v>0</v>
      </c>
      <c r="FS431" s="336">
        <f t="shared" si="2806"/>
        <v>0</v>
      </c>
      <c r="FT431" s="336">
        <f t="shared" si="2807"/>
        <v>0</v>
      </c>
      <c r="FU431" s="336">
        <f t="shared" si="2638"/>
        <v>0</v>
      </c>
      <c r="FV431" s="336">
        <f t="shared" si="2639"/>
        <v>0</v>
      </c>
      <c r="FW431" s="336">
        <f t="shared" si="2640"/>
        <v>0</v>
      </c>
      <c r="FX431" s="336">
        <f t="shared" si="2641"/>
        <v>0</v>
      </c>
      <c r="FY431" s="336">
        <f t="shared" si="2808"/>
        <v>0</v>
      </c>
      <c r="FZ431" s="336">
        <f t="shared" si="2809"/>
        <v>0</v>
      </c>
      <c r="GA431" s="336">
        <f t="shared" si="2810"/>
        <v>0</v>
      </c>
      <c r="GB431" s="336">
        <f t="shared" si="2811"/>
        <v>0</v>
      </c>
      <c r="GC431" s="336">
        <f t="shared" si="2812"/>
        <v>0</v>
      </c>
      <c r="GD431" s="336">
        <f t="shared" si="2813"/>
        <v>0</v>
      </c>
      <c r="GE431" s="336">
        <f t="shared" si="2814"/>
        <v>0</v>
      </c>
      <c r="GF431" s="336">
        <f t="shared" si="2815"/>
        <v>0</v>
      </c>
      <c r="GG431" s="336">
        <f t="shared" si="2816"/>
        <v>0</v>
      </c>
      <c r="GH431" s="336">
        <f t="shared" si="2817"/>
        <v>0</v>
      </c>
      <c r="GI431" s="336">
        <f t="shared" si="2818"/>
        <v>0</v>
      </c>
      <c r="GJ431" s="336">
        <f t="shared" si="2819"/>
        <v>0</v>
      </c>
      <c r="GK431" s="336">
        <f t="shared" si="2761"/>
        <v>0</v>
      </c>
      <c r="GL431" s="336">
        <f t="shared" si="2764"/>
        <v>0</v>
      </c>
      <c r="GM431" s="336">
        <f t="shared" si="2820"/>
        <v>0</v>
      </c>
    </row>
    <row r="432" spans="1:195" ht="30.75" customHeight="1">
      <c r="A432" s="337">
        <f t="shared" si="2762"/>
        <v>301</v>
      </c>
      <c r="B432" s="337"/>
      <c r="C432" s="337" t="str">
        <f t="shared" si="2763"/>
        <v>CENTRAL CONTROL BUILDING HVAC DB</v>
      </c>
      <c r="D432" s="372" t="s">
        <v>910</v>
      </c>
      <c r="E432" s="453" t="s">
        <v>555</v>
      </c>
      <c r="F432" s="858"/>
      <c r="G432" s="337" t="s">
        <v>329</v>
      </c>
      <c r="H432" s="583">
        <v>3.5</v>
      </c>
      <c r="I432" s="337" t="s">
        <v>330</v>
      </c>
      <c r="J432" s="337" t="s">
        <v>357</v>
      </c>
      <c r="K432" s="349">
        <v>230</v>
      </c>
      <c r="L432" s="343">
        <v>0.84999999999999987</v>
      </c>
      <c r="M432" s="350">
        <v>0.95099999999999985</v>
      </c>
      <c r="N432" s="342">
        <f t="shared" si="2738"/>
        <v>18.825250577531801</v>
      </c>
      <c r="O432" s="342">
        <f t="shared" si="2739"/>
        <v>0</v>
      </c>
      <c r="P432" s="343" t="str">
        <f t="shared" si="2740"/>
        <v>0.00</v>
      </c>
      <c r="Q432" s="350">
        <v>25</v>
      </c>
      <c r="R432" s="350">
        <v>0</v>
      </c>
      <c r="S432" s="350">
        <f t="shared" si="2741"/>
        <v>0</v>
      </c>
      <c r="T432" s="343" t="s">
        <v>131</v>
      </c>
      <c r="U432" s="350" t="s">
        <v>333</v>
      </c>
      <c r="V432" s="343">
        <v>16</v>
      </c>
      <c r="W432" s="343" t="str">
        <f t="shared" si="2742"/>
        <v>3C X 16</v>
      </c>
      <c r="X432" s="343" t="str">
        <f t="shared" si="2743"/>
        <v>3C X 16</v>
      </c>
      <c r="Y432" s="343" t="s">
        <v>358</v>
      </c>
      <c r="Z432" s="344">
        <f>IF(T432="AIR",VLOOKUP(W432,'Catalogue Aluminium'!$B$9:$G$93,2,FALSE),IF(T432="GROUND",VLOOKUP(W432,'Catalogue Aluminium'!$B$9:$G$93,3,FALSE),IF(T432="DUCT",VLOOKUP(W432,'Catalogue Aluminium'!$B$9:$G$93,4,FALSE),IF(T432="TRENCH",VLOOKUP(W432,'Catalogue Aluminium'!$B$9:$G$93,2,FALSE)))))</f>
        <v>70</v>
      </c>
      <c r="AA432" s="345">
        <f>VLOOKUP(W432,'Catalogue Aluminium'!$B$9:$G$93,5,FALSE)</f>
        <v>2.44</v>
      </c>
      <c r="AB432" s="345">
        <f>VLOOKUP(W432,'Catalogue Aluminium'!$B$9:$G$93,6,FALSE)</f>
        <v>8.1500000000000003E-2</v>
      </c>
      <c r="AC432" s="863">
        <f t="shared" si="2744"/>
        <v>38</v>
      </c>
      <c r="AD432" s="863">
        <v>0</v>
      </c>
      <c r="AE432" s="401">
        <v>5</v>
      </c>
      <c r="AF432" s="401">
        <v>8</v>
      </c>
      <c r="AG432" s="401">
        <f t="shared" si="2745"/>
        <v>6</v>
      </c>
      <c r="AH432" s="347">
        <f t="shared" si="2746"/>
        <v>57</v>
      </c>
      <c r="AI432" s="344">
        <f>IF(T432="AIR",'Catalogue Aluminium'!$K$9,IF(T432="TRENCH",'Catalogue Aluminium'!$K$12,"NA"))</f>
        <v>0.89</v>
      </c>
      <c r="AJ432" s="342">
        <f>IF(T432="Air",(IF(U432="1C",'Catalogue Aluminium'!$L$9,'Catalogue Aluminium'!$M$9)),IF(T432="DUCT",(IF($U432="1C",'Catalogue Aluminium'!$L$10,'Catalogue Aluminium'!$M$10)),IF(T432="GROUND",(IF($U432="1C",'Catalogue Aluminium'!$L$11,'Catalogue Aluminium'!$M$11)),IF(T432="TRENCH",(IF($U432="1C",'Catalogue Aluminium'!$L$12,'Catalogue Aluminium'!$M$12))))))</f>
        <v>0.66</v>
      </c>
      <c r="AK432" s="344" t="str">
        <f>IF(T432="Air",'Catalogue Aluminium'!$N$9,IF(T432="GROUND",'Catalogue Aluminium'!$N$10,IF(T432="DUCT",'Catalogue Aluminium'!$N$11,IF(T432="TRENCH",'Catalogue Aluminium'!$N$12,"NA"))))</f>
        <v>NA</v>
      </c>
      <c r="AL432" s="344" t="str">
        <f>IF(T432="Air",(IF(U432="1C",'Catalogue Aluminium'!$O$9,'Catalogue Aluminium'!$P$9)),IF(T432="DUCT",(IF($U432="1C",'Catalogue Aluminium'!$O$10,'Catalogue Aluminium'!$P$10)),IF(T432="GROUND",(IF($U432="1C",'Catalogue Aluminium'!$O$11,'Catalogue Aluminium'!$P$11)),IF(T432="TRENCH",(IF($U432="1C",'Catalogue Aluminium'!$O$12,'Catalogue Aluminium'!$P$12))))))</f>
        <v>NA</v>
      </c>
      <c r="AM432" s="344" t="str">
        <f>IF(T432="AIR","NA",IF(T432="TRENCH","NA",IF(T432="DUCT",IF(U432="1C",VLOOKUP(V432,'Catalogue Aluminium'!$Q$9:$S$28,2,FALSE),VLOOKUP(V432,'Catalogue Aluminium'!$Q$9:$S$28,3)),IF(T432="GROUND",IF(U432="1C",VLOOKUP(V432,'Catalogue Aluminium'!$Q$9:$S$28,2,FALSE),VLOOKUP(V432,'Catalogue Aluminium'!$Q$9:$S$28,3))))))</f>
        <v>NA</v>
      </c>
      <c r="AN432" s="351">
        <f t="shared" si="2747"/>
        <v>0.58740000000000003</v>
      </c>
      <c r="AO432" s="350">
        <f t="shared" si="2748"/>
        <v>41.118000000000002</v>
      </c>
      <c r="AP432" s="349">
        <f t="shared" si="2749"/>
        <v>1</v>
      </c>
      <c r="AQ432" s="350" t="str">
        <f t="shared" si="2750"/>
        <v>YES</v>
      </c>
      <c r="AR432" s="351">
        <f t="shared" si="2751"/>
        <v>1.7106276298617451</v>
      </c>
      <c r="AS432" s="343" t="str">
        <f t="shared" si="2752"/>
        <v>YES</v>
      </c>
      <c r="AT432" s="351" t="str">
        <f t="shared" si="2753"/>
        <v>NA</v>
      </c>
      <c r="AU432" s="343" t="str">
        <f t="shared" si="2754"/>
        <v>NA</v>
      </c>
      <c r="AV432" s="354" t="str">
        <f t="shared" si="2755"/>
        <v>1R x 0.6/1kV x 3C x 16 Sqmm</v>
      </c>
      <c r="AW432" s="354" t="str">
        <f t="shared" si="2756"/>
        <v>1R x 0.6/1kV x 3C x 16 Sqmm</v>
      </c>
      <c r="AX432" s="343">
        <f t="shared" si="2757"/>
        <v>57</v>
      </c>
      <c r="AY432" s="355"/>
      <c r="AZ432" s="355">
        <f t="shared" si="2758"/>
        <v>2</v>
      </c>
      <c r="BA432" s="356" t="str">
        <f t="shared" si="2759"/>
        <v/>
      </c>
      <c r="BB432" s="501">
        <f>VLOOKUP(W432,'Catalogue Aluminium'!$B$9:$H$93,7,FALSE)</f>
        <v>19</v>
      </c>
      <c r="BC432" s="328">
        <f t="shared" si="2760"/>
        <v>19</v>
      </c>
      <c r="BE432" s="336"/>
      <c r="BF432" s="336"/>
      <c r="BG432" s="336"/>
      <c r="BH432" s="336"/>
      <c r="BI432" s="336"/>
      <c r="BJ432" s="336"/>
      <c r="BK432" s="336"/>
      <c r="BL432" s="336"/>
      <c r="BM432" s="336"/>
      <c r="BN432" s="336"/>
      <c r="BO432" s="336"/>
      <c r="BP432" s="336"/>
      <c r="BQ432" s="336"/>
      <c r="BR432" s="336"/>
      <c r="BS432" s="336"/>
      <c r="BT432" s="336"/>
      <c r="BU432" s="336"/>
      <c r="BV432" s="336"/>
      <c r="BW432" s="336"/>
      <c r="BX432" s="336"/>
      <c r="BY432" s="336"/>
      <c r="BZ432" s="336"/>
      <c r="CA432" s="336"/>
      <c r="CB432" s="336"/>
      <c r="CC432" s="336"/>
      <c r="CD432" s="336"/>
      <c r="CE432" s="336"/>
      <c r="CF432" s="336"/>
      <c r="CG432" s="336"/>
      <c r="CH432" s="336"/>
      <c r="CI432" s="336"/>
      <c r="CJ432" s="336"/>
      <c r="CK432" s="336"/>
      <c r="CL432" s="336"/>
      <c r="CM432" s="336"/>
      <c r="CN432" s="336"/>
      <c r="CO432" s="336"/>
      <c r="CP432" s="336"/>
      <c r="CQ432" s="336"/>
      <c r="CR432" s="336"/>
      <c r="CS432" s="336"/>
      <c r="CT432" s="336"/>
      <c r="CU432" s="336"/>
      <c r="CV432" s="336"/>
      <c r="CW432" s="336"/>
      <c r="CX432" s="336"/>
      <c r="CY432" s="336"/>
      <c r="CZ432" s="336"/>
      <c r="DA432" s="336"/>
      <c r="DB432" s="336"/>
      <c r="DC432" s="336"/>
      <c r="DD432" s="336"/>
      <c r="DE432" s="336"/>
      <c r="DF432" s="336"/>
      <c r="DG432" s="336"/>
      <c r="DH432" s="336"/>
      <c r="DI432" s="336"/>
      <c r="DJ432" s="336"/>
      <c r="DK432" s="336"/>
      <c r="DL432" s="336"/>
      <c r="DM432" s="336"/>
      <c r="DN432" s="336"/>
      <c r="DO432" s="336"/>
      <c r="DP432" s="336"/>
      <c r="DQ432" s="336"/>
      <c r="DR432" s="336"/>
      <c r="DS432" s="336"/>
      <c r="DT432" s="336"/>
      <c r="DU432" s="336"/>
      <c r="DW432" s="336">
        <f t="shared" si="2731"/>
        <v>0</v>
      </c>
      <c r="DX432" s="336">
        <f t="shared" si="2732"/>
        <v>0</v>
      </c>
      <c r="DY432" s="336">
        <f t="shared" si="2733"/>
        <v>0</v>
      </c>
      <c r="DZ432" s="336">
        <f t="shared" si="2734"/>
        <v>0</v>
      </c>
      <c r="EA432" s="336">
        <f t="shared" si="2735"/>
        <v>0</v>
      </c>
      <c r="EB432" s="336">
        <f t="shared" si="2736"/>
        <v>0</v>
      </c>
      <c r="EC432" s="336">
        <f t="shared" si="2737"/>
        <v>0</v>
      </c>
      <c r="ED432" s="336">
        <f t="shared" si="2766"/>
        <v>0</v>
      </c>
      <c r="EE432" s="336">
        <f t="shared" si="2767"/>
        <v>0</v>
      </c>
      <c r="EF432" s="336">
        <f t="shared" si="2768"/>
        <v>0</v>
      </c>
      <c r="EG432" s="336">
        <f t="shared" si="2769"/>
        <v>0</v>
      </c>
      <c r="EH432" s="336">
        <f t="shared" si="2770"/>
        <v>0</v>
      </c>
      <c r="EI432" s="336">
        <f t="shared" si="2771"/>
        <v>0</v>
      </c>
      <c r="EJ432" s="336">
        <f t="shared" si="2772"/>
        <v>0</v>
      </c>
      <c r="EK432" s="336">
        <f t="shared" si="2773"/>
        <v>0</v>
      </c>
      <c r="EL432" s="336">
        <f t="shared" si="2774"/>
        <v>0</v>
      </c>
      <c r="EM432" s="336">
        <f t="shared" si="2775"/>
        <v>0</v>
      </c>
      <c r="EN432" s="336">
        <f t="shared" si="2776"/>
        <v>0</v>
      </c>
      <c r="EO432" s="336">
        <f t="shared" si="2777"/>
        <v>0</v>
      </c>
      <c r="EP432" s="336">
        <f t="shared" si="2778"/>
        <v>0</v>
      </c>
      <c r="EQ432" s="336">
        <f t="shared" si="2779"/>
        <v>0</v>
      </c>
      <c r="ER432" s="336">
        <f t="shared" si="2780"/>
        <v>0</v>
      </c>
      <c r="ES432" s="336">
        <f t="shared" si="2781"/>
        <v>0</v>
      </c>
      <c r="ET432" s="336">
        <f t="shared" si="2781"/>
        <v>0</v>
      </c>
      <c r="EU432" s="336">
        <f t="shared" si="2782"/>
        <v>0</v>
      </c>
      <c r="EV432" s="336">
        <f t="shared" si="2783"/>
        <v>0</v>
      </c>
      <c r="EW432" s="336">
        <f t="shared" si="2784"/>
        <v>0</v>
      </c>
      <c r="EX432" s="336">
        <f t="shared" si="2785"/>
        <v>0</v>
      </c>
      <c r="EY432" s="336">
        <f t="shared" si="2786"/>
        <v>0</v>
      </c>
      <c r="EZ432" s="336">
        <f t="shared" si="2787"/>
        <v>0</v>
      </c>
      <c r="FA432" s="336">
        <f t="shared" si="2788"/>
        <v>0</v>
      </c>
      <c r="FB432" s="336">
        <f t="shared" si="2789"/>
        <v>0</v>
      </c>
      <c r="FC432" s="336">
        <f t="shared" si="2790"/>
        <v>0</v>
      </c>
      <c r="FD432" s="336">
        <f t="shared" si="2791"/>
        <v>0</v>
      </c>
      <c r="FE432" s="336">
        <f t="shared" si="2792"/>
        <v>0</v>
      </c>
      <c r="FF432" s="336">
        <f t="shared" si="2793"/>
        <v>0</v>
      </c>
      <c r="FG432" s="336">
        <f t="shared" si="2794"/>
        <v>0</v>
      </c>
      <c r="FH432" s="336">
        <f t="shared" si="2795"/>
        <v>0</v>
      </c>
      <c r="FI432" s="336">
        <f t="shared" si="2796"/>
        <v>0</v>
      </c>
      <c r="FJ432" s="336">
        <f t="shared" si="2797"/>
        <v>0</v>
      </c>
      <c r="FK432" s="336">
        <f t="shared" si="2798"/>
        <v>0</v>
      </c>
      <c r="FL432" s="336">
        <f t="shared" si="2799"/>
        <v>0</v>
      </c>
      <c r="FM432" s="336">
        <f t="shared" si="2800"/>
        <v>0</v>
      </c>
      <c r="FN432" s="336">
        <f t="shared" si="2801"/>
        <v>0</v>
      </c>
      <c r="FO432" s="336">
        <f t="shared" si="2802"/>
        <v>0</v>
      </c>
      <c r="FP432" s="336">
        <f t="shared" si="2803"/>
        <v>0</v>
      </c>
      <c r="FQ432" s="336">
        <f t="shared" si="2804"/>
        <v>0</v>
      </c>
      <c r="FR432" s="336">
        <f t="shared" si="2805"/>
        <v>0</v>
      </c>
      <c r="FS432" s="336">
        <f t="shared" si="2806"/>
        <v>0</v>
      </c>
      <c r="FT432" s="336">
        <f t="shared" si="2807"/>
        <v>0</v>
      </c>
      <c r="FU432" s="336">
        <f t="shared" si="2638"/>
        <v>0</v>
      </c>
      <c r="FV432" s="336">
        <f t="shared" si="2639"/>
        <v>0</v>
      </c>
      <c r="FW432" s="336">
        <f t="shared" si="2640"/>
        <v>0</v>
      </c>
      <c r="FX432" s="336">
        <f t="shared" si="2641"/>
        <v>0</v>
      </c>
      <c r="FY432" s="336">
        <f t="shared" si="2808"/>
        <v>0</v>
      </c>
      <c r="FZ432" s="336">
        <f t="shared" si="2809"/>
        <v>0</v>
      </c>
      <c r="GA432" s="336">
        <f t="shared" si="2810"/>
        <v>0</v>
      </c>
      <c r="GB432" s="336">
        <f t="shared" si="2811"/>
        <v>0</v>
      </c>
      <c r="GC432" s="336">
        <f t="shared" si="2812"/>
        <v>0</v>
      </c>
      <c r="GD432" s="336">
        <f t="shared" si="2813"/>
        <v>0</v>
      </c>
      <c r="GE432" s="336">
        <f t="shared" si="2814"/>
        <v>0</v>
      </c>
      <c r="GF432" s="336">
        <f t="shared" si="2815"/>
        <v>0</v>
      </c>
      <c r="GG432" s="336">
        <f t="shared" si="2816"/>
        <v>0</v>
      </c>
      <c r="GH432" s="336">
        <f t="shared" si="2817"/>
        <v>0</v>
      </c>
      <c r="GI432" s="336">
        <f t="shared" si="2818"/>
        <v>0</v>
      </c>
      <c r="GJ432" s="336">
        <f t="shared" si="2819"/>
        <v>0</v>
      </c>
      <c r="GK432" s="336">
        <f t="shared" si="2761"/>
        <v>0</v>
      </c>
      <c r="GL432" s="336">
        <f t="shared" si="2764"/>
        <v>0</v>
      </c>
      <c r="GM432" s="336">
        <f t="shared" si="2820"/>
        <v>0</v>
      </c>
    </row>
    <row r="433" spans="1:195" ht="30.75" customHeight="1">
      <c r="A433" s="337">
        <f t="shared" si="2762"/>
        <v>302</v>
      </c>
      <c r="B433" s="337"/>
      <c r="C433" s="337" t="str">
        <f t="shared" si="2763"/>
        <v>CENTRAL CONTROL BUILDING HVAC DB</v>
      </c>
      <c r="D433" s="372" t="s">
        <v>911</v>
      </c>
      <c r="E433" s="453" t="s">
        <v>555</v>
      </c>
      <c r="F433" s="858"/>
      <c r="G433" s="337" t="s">
        <v>329</v>
      </c>
      <c r="H433" s="583">
        <v>3.5</v>
      </c>
      <c r="I433" s="337" t="s">
        <v>330</v>
      </c>
      <c r="J433" s="337" t="s">
        <v>357</v>
      </c>
      <c r="K433" s="349">
        <v>230</v>
      </c>
      <c r="L433" s="343">
        <v>0.84999999999999987</v>
      </c>
      <c r="M433" s="350">
        <v>0.95099999999999985</v>
      </c>
      <c r="N433" s="342">
        <f t="shared" si="2738"/>
        <v>18.825250577531801</v>
      </c>
      <c r="O433" s="342">
        <f t="shared" si="2739"/>
        <v>0</v>
      </c>
      <c r="P433" s="343" t="str">
        <f t="shared" si="2740"/>
        <v>0.00</v>
      </c>
      <c r="Q433" s="350">
        <v>25</v>
      </c>
      <c r="R433" s="350">
        <v>0</v>
      </c>
      <c r="S433" s="350">
        <f t="shared" si="2741"/>
        <v>0</v>
      </c>
      <c r="T433" s="343" t="s">
        <v>131</v>
      </c>
      <c r="U433" s="350" t="s">
        <v>333</v>
      </c>
      <c r="V433" s="343">
        <v>16</v>
      </c>
      <c r="W433" s="343" t="str">
        <f t="shared" si="2742"/>
        <v>3C X 16</v>
      </c>
      <c r="X433" s="343" t="str">
        <f t="shared" si="2743"/>
        <v>3C X 16</v>
      </c>
      <c r="Y433" s="343" t="s">
        <v>358</v>
      </c>
      <c r="Z433" s="344">
        <f>IF(T433="AIR",VLOOKUP(W433,'Catalogue Aluminium'!$B$9:$G$93,2,FALSE),IF(T433="GROUND",VLOOKUP(W433,'Catalogue Aluminium'!$B$9:$G$93,3,FALSE),IF(T433="DUCT",VLOOKUP(W433,'Catalogue Aluminium'!$B$9:$G$93,4,FALSE),IF(T433="TRENCH",VLOOKUP(W433,'Catalogue Aluminium'!$B$9:$G$93,2,FALSE)))))</f>
        <v>70</v>
      </c>
      <c r="AA433" s="345">
        <f>VLOOKUP(W433,'Catalogue Aluminium'!$B$9:$G$93,5,FALSE)</f>
        <v>2.44</v>
      </c>
      <c r="AB433" s="345">
        <f>VLOOKUP(W433,'Catalogue Aluminium'!$B$9:$G$93,6,FALSE)</f>
        <v>8.1500000000000003E-2</v>
      </c>
      <c r="AC433" s="863">
        <f t="shared" si="2744"/>
        <v>38</v>
      </c>
      <c r="AD433" s="863">
        <v>0</v>
      </c>
      <c r="AE433" s="401">
        <v>5</v>
      </c>
      <c r="AF433" s="401">
        <v>8</v>
      </c>
      <c r="AG433" s="401">
        <f t="shared" si="2745"/>
        <v>6</v>
      </c>
      <c r="AH433" s="347">
        <f t="shared" si="2746"/>
        <v>57</v>
      </c>
      <c r="AI433" s="344">
        <f>IF(T433="AIR",'Catalogue Aluminium'!$K$9,IF(T433="TRENCH",'Catalogue Aluminium'!$K$12,"NA"))</f>
        <v>0.89</v>
      </c>
      <c r="AJ433" s="342">
        <f>IF(T433="Air",(IF(U433="1C",'Catalogue Aluminium'!$L$9,'Catalogue Aluminium'!$M$9)),IF(T433="DUCT",(IF($U433="1C",'Catalogue Aluminium'!$L$10,'Catalogue Aluminium'!$M$10)),IF(T433="GROUND",(IF($U433="1C",'Catalogue Aluminium'!$L$11,'Catalogue Aluminium'!$M$11)),IF(T433="TRENCH",(IF($U433="1C",'Catalogue Aluminium'!$L$12,'Catalogue Aluminium'!$M$12))))))</f>
        <v>0.66</v>
      </c>
      <c r="AK433" s="344" t="str">
        <f>IF(T433="Air",'Catalogue Aluminium'!$N$9,IF(T433="GROUND",'Catalogue Aluminium'!$N$10,IF(T433="DUCT",'Catalogue Aluminium'!$N$11,IF(T433="TRENCH",'Catalogue Aluminium'!$N$12,"NA"))))</f>
        <v>NA</v>
      </c>
      <c r="AL433" s="344" t="str">
        <f>IF(T433="Air",(IF(U433="1C",'Catalogue Aluminium'!$O$9,'Catalogue Aluminium'!$P$9)),IF(T433="DUCT",(IF($U433="1C",'Catalogue Aluminium'!$O$10,'Catalogue Aluminium'!$P$10)),IF(T433="GROUND",(IF($U433="1C",'Catalogue Aluminium'!$O$11,'Catalogue Aluminium'!$P$11)),IF(T433="TRENCH",(IF($U433="1C",'Catalogue Aluminium'!$O$12,'Catalogue Aluminium'!$P$12))))))</f>
        <v>NA</v>
      </c>
      <c r="AM433" s="344" t="str">
        <f>IF(T433="AIR","NA",IF(T433="TRENCH","NA",IF(T433="DUCT",IF(U433="1C",VLOOKUP(V433,'Catalogue Aluminium'!$Q$9:$S$28,2,FALSE),VLOOKUP(V433,'Catalogue Aluminium'!$Q$9:$S$28,3)),IF(T433="GROUND",IF(U433="1C",VLOOKUP(V433,'Catalogue Aluminium'!$Q$9:$S$28,2,FALSE),VLOOKUP(V433,'Catalogue Aluminium'!$Q$9:$S$28,3))))))</f>
        <v>NA</v>
      </c>
      <c r="AN433" s="351">
        <f t="shared" si="2747"/>
        <v>0.58740000000000003</v>
      </c>
      <c r="AO433" s="350">
        <f t="shared" si="2748"/>
        <v>41.118000000000002</v>
      </c>
      <c r="AP433" s="349">
        <f t="shared" si="2749"/>
        <v>1</v>
      </c>
      <c r="AQ433" s="350" t="str">
        <f t="shared" si="2750"/>
        <v>YES</v>
      </c>
      <c r="AR433" s="351">
        <f t="shared" si="2751"/>
        <v>1.7106276298617451</v>
      </c>
      <c r="AS433" s="343" t="str">
        <f t="shared" si="2752"/>
        <v>YES</v>
      </c>
      <c r="AT433" s="351" t="str">
        <f t="shared" si="2753"/>
        <v>NA</v>
      </c>
      <c r="AU433" s="343" t="str">
        <f t="shared" si="2754"/>
        <v>NA</v>
      </c>
      <c r="AV433" s="354" t="str">
        <f t="shared" si="2755"/>
        <v>1R x 0.6/1kV x 3C x 16 Sqmm</v>
      </c>
      <c r="AW433" s="354" t="str">
        <f t="shared" si="2756"/>
        <v>1R x 0.6/1kV x 3C x 16 Sqmm</v>
      </c>
      <c r="AX433" s="343">
        <f t="shared" si="2757"/>
        <v>57</v>
      </c>
      <c r="AY433" s="355"/>
      <c r="AZ433" s="355">
        <f t="shared" si="2758"/>
        <v>2</v>
      </c>
      <c r="BA433" s="356" t="str">
        <f t="shared" si="2759"/>
        <v/>
      </c>
      <c r="BB433" s="501">
        <f>VLOOKUP(W433,'Catalogue Aluminium'!$B$9:$H$93,7,FALSE)</f>
        <v>19</v>
      </c>
      <c r="BC433" s="328">
        <f t="shared" si="2760"/>
        <v>19</v>
      </c>
      <c r="BE433" s="336"/>
      <c r="BF433" s="336"/>
      <c r="BG433" s="336"/>
      <c r="BH433" s="336"/>
      <c r="BI433" s="336"/>
      <c r="BJ433" s="336"/>
      <c r="BK433" s="336"/>
      <c r="BL433" s="336"/>
      <c r="BM433" s="336"/>
      <c r="BN433" s="336"/>
      <c r="BO433" s="336"/>
      <c r="BP433" s="336"/>
      <c r="BQ433" s="336"/>
      <c r="BR433" s="336"/>
      <c r="BS433" s="336"/>
      <c r="BT433" s="336"/>
      <c r="BU433" s="336"/>
      <c r="BV433" s="336"/>
      <c r="BW433" s="336"/>
      <c r="BX433" s="336"/>
      <c r="BY433" s="336"/>
      <c r="BZ433" s="336"/>
      <c r="CA433" s="336"/>
      <c r="CB433" s="336"/>
      <c r="CC433" s="336"/>
      <c r="CD433" s="336"/>
      <c r="CE433" s="336"/>
      <c r="CF433" s="336"/>
      <c r="CG433" s="336"/>
      <c r="CH433" s="336"/>
      <c r="CI433" s="336"/>
      <c r="CJ433" s="336"/>
      <c r="CK433" s="336"/>
      <c r="CL433" s="336"/>
      <c r="CM433" s="336"/>
      <c r="CN433" s="336"/>
      <c r="CO433" s="336"/>
      <c r="CP433" s="336"/>
      <c r="CQ433" s="336"/>
      <c r="CR433" s="336"/>
      <c r="CS433" s="336"/>
      <c r="CT433" s="336"/>
      <c r="CU433" s="336"/>
      <c r="CV433" s="336"/>
      <c r="CW433" s="336"/>
      <c r="CX433" s="336"/>
      <c r="CY433" s="336"/>
      <c r="CZ433" s="336"/>
      <c r="DA433" s="336"/>
      <c r="DB433" s="336"/>
      <c r="DC433" s="336"/>
      <c r="DD433" s="336"/>
      <c r="DE433" s="336"/>
      <c r="DF433" s="336"/>
      <c r="DG433" s="336"/>
      <c r="DH433" s="336"/>
      <c r="DI433" s="336"/>
      <c r="DJ433" s="336"/>
      <c r="DK433" s="336"/>
      <c r="DL433" s="336"/>
      <c r="DM433" s="336"/>
      <c r="DN433" s="336"/>
      <c r="DO433" s="336"/>
      <c r="DP433" s="336"/>
      <c r="DQ433" s="336"/>
      <c r="DR433" s="336"/>
      <c r="DS433" s="336"/>
      <c r="DT433" s="336"/>
      <c r="DU433" s="336"/>
      <c r="DW433" s="336">
        <f t="shared" si="2731"/>
        <v>0</v>
      </c>
      <c r="DX433" s="336">
        <f t="shared" si="2732"/>
        <v>0</v>
      </c>
      <c r="DY433" s="336">
        <f t="shared" si="2733"/>
        <v>0</v>
      </c>
      <c r="DZ433" s="336">
        <f t="shared" si="2734"/>
        <v>0</v>
      </c>
      <c r="EA433" s="336">
        <f t="shared" si="2735"/>
        <v>0</v>
      </c>
      <c r="EB433" s="336">
        <f t="shared" si="2736"/>
        <v>0</v>
      </c>
      <c r="EC433" s="336">
        <f t="shared" si="2737"/>
        <v>0</v>
      </c>
      <c r="ED433" s="336">
        <f t="shared" si="2766"/>
        <v>0</v>
      </c>
      <c r="EE433" s="336">
        <f t="shared" si="2767"/>
        <v>0</v>
      </c>
      <c r="EF433" s="336">
        <f t="shared" si="2768"/>
        <v>0</v>
      </c>
      <c r="EG433" s="336">
        <f t="shared" si="2769"/>
        <v>0</v>
      </c>
      <c r="EH433" s="336">
        <f t="shared" si="2770"/>
        <v>0</v>
      </c>
      <c r="EI433" s="336">
        <f t="shared" si="2771"/>
        <v>0</v>
      </c>
      <c r="EJ433" s="336">
        <f t="shared" si="2772"/>
        <v>0</v>
      </c>
      <c r="EK433" s="336">
        <f t="shared" si="2773"/>
        <v>0</v>
      </c>
      <c r="EL433" s="336">
        <f t="shared" si="2774"/>
        <v>0</v>
      </c>
      <c r="EM433" s="336">
        <f t="shared" si="2775"/>
        <v>0</v>
      </c>
      <c r="EN433" s="336">
        <f t="shared" si="2776"/>
        <v>0</v>
      </c>
      <c r="EO433" s="336">
        <f t="shared" si="2777"/>
        <v>0</v>
      </c>
      <c r="EP433" s="336">
        <f t="shared" si="2778"/>
        <v>0</v>
      </c>
      <c r="EQ433" s="336">
        <f t="shared" si="2779"/>
        <v>0</v>
      </c>
      <c r="ER433" s="336">
        <f t="shared" si="2780"/>
        <v>0</v>
      </c>
      <c r="ES433" s="336">
        <f t="shared" si="2781"/>
        <v>0</v>
      </c>
      <c r="ET433" s="336">
        <f t="shared" si="2781"/>
        <v>0</v>
      </c>
      <c r="EU433" s="336">
        <f t="shared" si="2782"/>
        <v>0</v>
      </c>
      <c r="EV433" s="336">
        <f t="shared" si="2783"/>
        <v>0</v>
      </c>
      <c r="EW433" s="336">
        <f t="shared" si="2784"/>
        <v>0</v>
      </c>
      <c r="EX433" s="336">
        <f t="shared" si="2785"/>
        <v>0</v>
      </c>
      <c r="EY433" s="336">
        <f t="shared" si="2786"/>
        <v>0</v>
      </c>
      <c r="EZ433" s="336">
        <f t="shared" si="2787"/>
        <v>0</v>
      </c>
      <c r="FA433" s="336">
        <f t="shared" si="2788"/>
        <v>0</v>
      </c>
      <c r="FB433" s="336">
        <f t="shared" si="2789"/>
        <v>0</v>
      </c>
      <c r="FC433" s="336">
        <f t="shared" si="2790"/>
        <v>0</v>
      </c>
      <c r="FD433" s="336">
        <f t="shared" si="2791"/>
        <v>0</v>
      </c>
      <c r="FE433" s="336">
        <f t="shared" si="2792"/>
        <v>0</v>
      </c>
      <c r="FF433" s="336">
        <f t="shared" si="2793"/>
        <v>0</v>
      </c>
      <c r="FG433" s="336">
        <f t="shared" si="2794"/>
        <v>0</v>
      </c>
      <c r="FH433" s="336">
        <f t="shared" si="2795"/>
        <v>0</v>
      </c>
      <c r="FI433" s="336">
        <f t="shared" si="2796"/>
        <v>0</v>
      </c>
      <c r="FJ433" s="336">
        <f t="shared" si="2797"/>
        <v>0</v>
      </c>
      <c r="FK433" s="336">
        <f t="shared" si="2798"/>
        <v>0</v>
      </c>
      <c r="FL433" s="336">
        <f t="shared" si="2799"/>
        <v>0</v>
      </c>
      <c r="FM433" s="336">
        <f t="shared" si="2800"/>
        <v>0</v>
      </c>
      <c r="FN433" s="336">
        <f t="shared" si="2801"/>
        <v>0</v>
      </c>
      <c r="FO433" s="336">
        <f t="shared" si="2802"/>
        <v>0</v>
      </c>
      <c r="FP433" s="336">
        <f t="shared" si="2803"/>
        <v>0</v>
      </c>
      <c r="FQ433" s="336">
        <f t="shared" si="2804"/>
        <v>0</v>
      </c>
      <c r="FR433" s="336">
        <f t="shared" si="2805"/>
        <v>0</v>
      </c>
      <c r="FS433" s="336">
        <f t="shared" si="2806"/>
        <v>0</v>
      </c>
      <c r="FT433" s="336">
        <f t="shared" si="2807"/>
        <v>0</v>
      </c>
      <c r="FU433" s="336">
        <f t="shared" si="2638"/>
        <v>0</v>
      </c>
      <c r="FV433" s="336">
        <f t="shared" si="2639"/>
        <v>0</v>
      </c>
      <c r="FW433" s="336">
        <f t="shared" si="2640"/>
        <v>0</v>
      </c>
      <c r="FX433" s="336">
        <f t="shared" si="2641"/>
        <v>0</v>
      </c>
      <c r="FY433" s="336">
        <f t="shared" si="2808"/>
        <v>0</v>
      </c>
      <c r="FZ433" s="336">
        <f t="shared" si="2809"/>
        <v>0</v>
      </c>
      <c r="GA433" s="336">
        <f t="shared" si="2810"/>
        <v>0</v>
      </c>
      <c r="GB433" s="336">
        <f t="shared" si="2811"/>
        <v>0</v>
      </c>
      <c r="GC433" s="336">
        <f t="shared" si="2812"/>
        <v>0</v>
      </c>
      <c r="GD433" s="336">
        <f t="shared" si="2813"/>
        <v>0</v>
      </c>
      <c r="GE433" s="336">
        <f t="shared" si="2814"/>
        <v>0</v>
      </c>
      <c r="GF433" s="336">
        <f t="shared" si="2815"/>
        <v>0</v>
      </c>
      <c r="GG433" s="336">
        <f t="shared" si="2816"/>
        <v>0</v>
      </c>
      <c r="GH433" s="336">
        <f t="shared" si="2817"/>
        <v>0</v>
      </c>
      <c r="GI433" s="336">
        <f t="shared" si="2818"/>
        <v>0</v>
      </c>
      <c r="GJ433" s="336">
        <f t="shared" si="2819"/>
        <v>0</v>
      </c>
      <c r="GK433" s="336">
        <f t="shared" si="2761"/>
        <v>0</v>
      </c>
      <c r="GL433" s="336">
        <f t="shared" si="2764"/>
        <v>0</v>
      </c>
      <c r="GM433" s="336">
        <f t="shared" si="2820"/>
        <v>0</v>
      </c>
    </row>
    <row r="434" spans="1:195" ht="30.75" customHeight="1">
      <c r="A434" s="337">
        <f t="shared" si="2762"/>
        <v>303</v>
      </c>
      <c r="B434" s="337"/>
      <c r="C434" s="337" t="str">
        <f t="shared" si="2763"/>
        <v>CENTRAL CONTROL BUILDING HVAC DB</v>
      </c>
      <c r="D434" s="372" t="s">
        <v>912</v>
      </c>
      <c r="E434" s="453" t="s">
        <v>555</v>
      </c>
      <c r="F434" s="858"/>
      <c r="G434" s="337" t="s">
        <v>329</v>
      </c>
      <c r="H434" s="583">
        <v>3.5</v>
      </c>
      <c r="I434" s="337" t="s">
        <v>330</v>
      </c>
      <c r="J434" s="337" t="s">
        <v>357</v>
      </c>
      <c r="K434" s="349">
        <v>230</v>
      </c>
      <c r="L434" s="343">
        <v>0.84999999999999987</v>
      </c>
      <c r="M434" s="350">
        <v>0.95099999999999985</v>
      </c>
      <c r="N434" s="342">
        <f t="shared" si="2738"/>
        <v>18.825250577531801</v>
      </c>
      <c r="O434" s="342">
        <f t="shared" si="2739"/>
        <v>0</v>
      </c>
      <c r="P434" s="343" t="str">
        <f t="shared" si="2740"/>
        <v>0.00</v>
      </c>
      <c r="Q434" s="350">
        <v>25</v>
      </c>
      <c r="R434" s="350">
        <v>0</v>
      </c>
      <c r="S434" s="350">
        <f t="shared" si="2741"/>
        <v>0</v>
      </c>
      <c r="T434" s="343" t="s">
        <v>131</v>
      </c>
      <c r="U434" s="350" t="s">
        <v>333</v>
      </c>
      <c r="V434" s="343">
        <v>16</v>
      </c>
      <c r="W434" s="343" t="str">
        <f t="shared" si="2742"/>
        <v>3C X 16</v>
      </c>
      <c r="X434" s="343" t="str">
        <f t="shared" si="2743"/>
        <v>3C X 16</v>
      </c>
      <c r="Y434" s="343" t="s">
        <v>358</v>
      </c>
      <c r="Z434" s="344">
        <f>IF(T434="AIR",VLOOKUP(W434,'Catalogue Aluminium'!$B$9:$G$93,2,FALSE),IF(T434="GROUND",VLOOKUP(W434,'Catalogue Aluminium'!$B$9:$G$93,3,FALSE),IF(T434="DUCT",VLOOKUP(W434,'Catalogue Aluminium'!$B$9:$G$93,4,FALSE),IF(T434="TRENCH",VLOOKUP(W434,'Catalogue Aluminium'!$B$9:$G$93,2,FALSE)))))</f>
        <v>70</v>
      </c>
      <c r="AA434" s="345">
        <f>VLOOKUP(W434,'Catalogue Aluminium'!$B$9:$G$93,5,FALSE)</f>
        <v>2.44</v>
      </c>
      <c r="AB434" s="345">
        <f>VLOOKUP(W434,'Catalogue Aluminium'!$B$9:$G$93,6,FALSE)</f>
        <v>8.1500000000000003E-2</v>
      </c>
      <c r="AC434" s="863">
        <f t="shared" si="2744"/>
        <v>38</v>
      </c>
      <c r="AD434" s="863">
        <v>0</v>
      </c>
      <c r="AE434" s="401">
        <v>5</v>
      </c>
      <c r="AF434" s="401">
        <v>8</v>
      </c>
      <c r="AG434" s="401">
        <f t="shared" si="2745"/>
        <v>6</v>
      </c>
      <c r="AH434" s="347">
        <f t="shared" si="2746"/>
        <v>57</v>
      </c>
      <c r="AI434" s="344">
        <f>IF(T434="AIR",'Catalogue Aluminium'!$K$9,IF(T434="TRENCH",'Catalogue Aluminium'!$K$12,"NA"))</f>
        <v>0.89</v>
      </c>
      <c r="AJ434" s="342">
        <f>IF(T434="Air",(IF(U434="1C",'Catalogue Aluminium'!$L$9,'Catalogue Aluminium'!$M$9)),IF(T434="DUCT",(IF($U434="1C",'Catalogue Aluminium'!$L$10,'Catalogue Aluminium'!$M$10)),IF(T434="GROUND",(IF($U434="1C",'Catalogue Aluminium'!$L$11,'Catalogue Aluminium'!$M$11)),IF(T434="TRENCH",(IF($U434="1C",'Catalogue Aluminium'!$L$12,'Catalogue Aluminium'!$M$12))))))</f>
        <v>0.66</v>
      </c>
      <c r="AK434" s="344" t="str">
        <f>IF(T434="Air",'Catalogue Aluminium'!$N$9,IF(T434="GROUND",'Catalogue Aluminium'!$N$10,IF(T434="DUCT",'Catalogue Aluminium'!$N$11,IF(T434="TRENCH",'Catalogue Aluminium'!$N$12,"NA"))))</f>
        <v>NA</v>
      </c>
      <c r="AL434" s="344" t="str">
        <f>IF(T434="Air",(IF(U434="1C",'Catalogue Aluminium'!$O$9,'Catalogue Aluminium'!$P$9)),IF(T434="DUCT",(IF($U434="1C",'Catalogue Aluminium'!$O$10,'Catalogue Aluminium'!$P$10)),IF(T434="GROUND",(IF($U434="1C",'Catalogue Aluminium'!$O$11,'Catalogue Aluminium'!$P$11)),IF(T434="TRENCH",(IF($U434="1C",'Catalogue Aluminium'!$O$12,'Catalogue Aluminium'!$P$12))))))</f>
        <v>NA</v>
      </c>
      <c r="AM434" s="344" t="str">
        <f>IF(T434="AIR","NA",IF(T434="TRENCH","NA",IF(T434="DUCT",IF(U434="1C",VLOOKUP(V434,'Catalogue Aluminium'!$Q$9:$S$28,2,FALSE),VLOOKUP(V434,'Catalogue Aluminium'!$Q$9:$S$28,3)),IF(T434="GROUND",IF(U434="1C",VLOOKUP(V434,'Catalogue Aluminium'!$Q$9:$S$28,2,FALSE),VLOOKUP(V434,'Catalogue Aluminium'!$Q$9:$S$28,3))))))</f>
        <v>NA</v>
      </c>
      <c r="AN434" s="351">
        <f t="shared" si="2747"/>
        <v>0.58740000000000003</v>
      </c>
      <c r="AO434" s="350">
        <f t="shared" si="2748"/>
        <v>41.118000000000002</v>
      </c>
      <c r="AP434" s="349">
        <f t="shared" si="2749"/>
        <v>1</v>
      </c>
      <c r="AQ434" s="350" t="str">
        <f t="shared" si="2750"/>
        <v>YES</v>
      </c>
      <c r="AR434" s="351">
        <f t="shared" si="2751"/>
        <v>1.7106276298617451</v>
      </c>
      <c r="AS434" s="343" t="str">
        <f t="shared" si="2752"/>
        <v>YES</v>
      </c>
      <c r="AT434" s="351" t="str">
        <f t="shared" si="2753"/>
        <v>NA</v>
      </c>
      <c r="AU434" s="343" t="str">
        <f t="shared" si="2754"/>
        <v>NA</v>
      </c>
      <c r="AV434" s="354" t="str">
        <f t="shared" si="2755"/>
        <v>1R x 0.6/1kV x 3C x 16 Sqmm</v>
      </c>
      <c r="AW434" s="354" t="str">
        <f t="shared" si="2756"/>
        <v>1R x 0.6/1kV x 3C x 16 Sqmm</v>
      </c>
      <c r="AX434" s="343">
        <f t="shared" si="2757"/>
        <v>57</v>
      </c>
      <c r="AY434" s="355"/>
      <c r="AZ434" s="355">
        <f t="shared" si="2758"/>
        <v>2</v>
      </c>
      <c r="BA434" s="356" t="str">
        <f t="shared" si="2759"/>
        <v/>
      </c>
      <c r="BB434" s="501">
        <f>VLOOKUP(W434,'Catalogue Aluminium'!$B$9:$H$93,7,FALSE)</f>
        <v>19</v>
      </c>
      <c r="BC434" s="328">
        <f t="shared" si="2760"/>
        <v>19</v>
      </c>
      <c r="BE434" s="336"/>
      <c r="BF434" s="336"/>
      <c r="BG434" s="336"/>
      <c r="BH434" s="336"/>
      <c r="BI434" s="336"/>
      <c r="BJ434" s="336"/>
      <c r="BK434" s="336"/>
      <c r="BL434" s="336"/>
      <c r="BM434" s="336"/>
      <c r="BN434" s="336"/>
      <c r="BO434" s="336"/>
      <c r="BP434" s="336"/>
      <c r="BQ434" s="336"/>
      <c r="BR434" s="336"/>
      <c r="BS434" s="336"/>
      <c r="BT434" s="336"/>
      <c r="BU434" s="336"/>
      <c r="BV434" s="336"/>
      <c r="BW434" s="336"/>
      <c r="BX434" s="336"/>
      <c r="BY434" s="336"/>
      <c r="BZ434" s="336"/>
      <c r="CA434" s="336"/>
      <c r="CB434" s="336"/>
      <c r="CC434" s="336"/>
      <c r="CD434" s="336"/>
      <c r="CE434" s="336"/>
      <c r="CF434" s="336"/>
      <c r="CG434" s="336"/>
      <c r="CH434" s="336"/>
      <c r="CI434" s="336"/>
      <c r="CJ434" s="336"/>
      <c r="CK434" s="336"/>
      <c r="CL434" s="336"/>
      <c r="CM434" s="336"/>
      <c r="CN434" s="336"/>
      <c r="CO434" s="336"/>
      <c r="CP434" s="336"/>
      <c r="CQ434" s="336"/>
      <c r="CR434" s="336"/>
      <c r="CS434" s="336"/>
      <c r="CT434" s="336"/>
      <c r="CU434" s="336"/>
      <c r="CV434" s="336"/>
      <c r="CW434" s="336"/>
      <c r="CX434" s="336"/>
      <c r="CY434" s="336"/>
      <c r="CZ434" s="336"/>
      <c r="DA434" s="336"/>
      <c r="DB434" s="336"/>
      <c r="DC434" s="336"/>
      <c r="DD434" s="336"/>
      <c r="DE434" s="336"/>
      <c r="DF434" s="336"/>
      <c r="DG434" s="336"/>
      <c r="DH434" s="336"/>
      <c r="DI434" s="336"/>
      <c r="DJ434" s="336"/>
      <c r="DK434" s="336"/>
      <c r="DL434" s="336"/>
      <c r="DM434" s="336"/>
      <c r="DN434" s="336"/>
      <c r="DO434" s="336"/>
      <c r="DP434" s="336"/>
      <c r="DQ434" s="336"/>
      <c r="DR434" s="336"/>
      <c r="DS434" s="336"/>
      <c r="DT434" s="336"/>
      <c r="DU434" s="336"/>
      <c r="DW434" s="336">
        <f t="shared" si="2731"/>
        <v>0</v>
      </c>
      <c r="DX434" s="336">
        <f t="shared" si="2732"/>
        <v>0</v>
      </c>
      <c r="DY434" s="336">
        <f t="shared" si="2733"/>
        <v>0</v>
      </c>
      <c r="DZ434" s="336">
        <f t="shared" si="2734"/>
        <v>0</v>
      </c>
      <c r="EA434" s="336">
        <f t="shared" si="2735"/>
        <v>0</v>
      </c>
      <c r="EB434" s="336">
        <f t="shared" si="2736"/>
        <v>0</v>
      </c>
      <c r="EC434" s="336">
        <f t="shared" si="2737"/>
        <v>0</v>
      </c>
      <c r="ED434" s="336">
        <f t="shared" si="2766"/>
        <v>0</v>
      </c>
      <c r="EE434" s="336">
        <f t="shared" si="2767"/>
        <v>0</v>
      </c>
      <c r="EF434" s="336">
        <f t="shared" si="2768"/>
        <v>0</v>
      </c>
      <c r="EG434" s="336">
        <f t="shared" si="2769"/>
        <v>0</v>
      </c>
      <c r="EH434" s="336">
        <f t="shared" si="2770"/>
        <v>0</v>
      </c>
      <c r="EI434" s="336">
        <f t="shared" si="2771"/>
        <v>0</v>
      </c>
      <c r="EJ434" s="336">
        <f t="shared" si="2772"/>
        <v>0</v>
      </c>
      <c r="EK434" s="336">
        <f t="shared" si="2773"/>
        <v>0</v>
      </c>
      <c r="EL434" s="336">
        <f t="shared" si="2774"/>
        <v>0</v>
      </c>
      <c r="EM434" s="336">
        <f t="shared" si="2775"/>
        <v>0</v>
      </c>
      <c r="EN434" s="336">
        <f t="shared" si="2776"/>
        <v>0</v>
      </c>
      <c r="EO434" s="336">
        <f t="shared" si="2777"/>
        <v>0</v>
      </c>
      <c r="EP434" s="336">
        <f t="shared" si="2778"/>
        <v>0</v>
      </c>
      <c r="EQ434" s="336">
        <f t="shared" si="2779"/>
        <v>0</v>
      </c>
      <c r="ER434" s="336">
        <f t="shared" si="2780"/>
        <v>0</v>
      </c>
      <c r="ES434" s="336">
        <f t="shared" si="2781"/>
        <v>0</v>
      </c>
      <c r="ET434" s="336">
        <f t="shared" si="2781"/>
        <v>0</v>
      </c>
      <c r="EU434" s="336">
        <f t="shared" si="2782"/>
        <v>0</v>
      </c>
      <c r="EV434" s="336">
        <f t="shared" si="2783"/>
        <v>0</v>
      </c>
      <c r="EW434" s="336">
        <f t="shared" si="2784"/>
        <v>0</v>
      </c>
      <c r="EX434" s="336">
        <f t="shared" si="2785"/>
        <v>0</v>
      </c>
      <c r="EY434" s="336">
        <f t="shared" si="2786"/>
        <v>0</v>
      </c>
      <c r="EZ434" s="336">
        <f t="shared" si="2787"/>
        <v>0</v>
      </c>
      <c r="FA434" s="336">
        <f t="shared" si="2788"/>
        <v>0</v>
      </c>
      <c r="FB434" s="336">
        <f t="shared" si="2789"/>
        <v>0</v>
      </c>
      <c r="FC434" s="336">
        <f t="shared" si="2790"/>
        <v>0</v>
      </c>
      <c r="FD434" s="336">
        <f t="shared" si="2791"/>
        <v>0</v>
      </c>
      <c r="FE434" s="336">
        <f t="shared" si="2792"/>
        <v>0</v>
      </c>
      <c r="FF434" s="336">
        <f t="shared" si="2793"/>
        <v>0</v>
      </c>
      <c r="FG434" s="336">
        <f t="shared" si="2794"/>
        <v>0</v>
      </c>
      <c r="FH434" s="336">
        <f t="shared" si="2795"/>
        <v>0</v>
      </c>
      <c r="FI434" s="336">
        <f t="shared" si="2796"/>
        <v>0</v>
      </c>
      <c r="FJ434" s="336">
        <f t="shared" si="2797"/>
        <v>0</v>
      </c>
      <c r="FK434" s="336">
        <f t="shared" si="2798"/>
        <v>0</v>
      </c>
      <c r="FL434" s="336">
        <f t="shared" si="2799"/>
        <v>0</v>
      </c>
      <c r="FM434" s="336">
        <f t="shared" si="2800"/>
        <v>0</v>
      </c>
      <c r="FN434" s="336">
        <f t="shared" si="2801"/>
        <v>0</v>
      </c>
      <c r="FO434" s="336">
        <f t="shared" si="2802"/>
        <v>0</v>
      </c>
      <c r="FP434" s="336">
        <f t="shared" si="2803"/>
        <v>0</v>
      </c>
      <c r="FQ434" s="336">
        <f t="shared" si="2804"/>
        <v>0</v>
      </c>
      <c r="FR434" s="336">
        <f t="shared" si="2805"/>
        <v>0</v>
      </c>
      <c r="FS434" s="336">
        <f t="shared" si="2806"/>
        <v>0</v>
      </c>
      <c r="FT434" s="336">
        <f t="shared" si="2807"/>
        <v>0</v>
      </c>
      <c r="FU434" s="336">
        <f t="shared" si="2638"/>
        <v>0</v>
      </c>
      <c r="FV434" s="336">
        <f t="shared" si="2639"/>
        <v>0</v>
      </c>
      <c r="FW434" s="336">
        <f t="shared" si="2640"/>
        <v>0</v>
      </c>
      <c r="FX434" s="336">
        <f t="shared" si="2641"/>
        <v>0</v>
      </c>
      <c r="FY434" s="336">
        <f t="shared" si="2808"/>
        <v>0</v>
      </c>
      <c r="FZ434" s="336">
        <f t="shared" si="2809"/>
        <v>0</v>
      </c>
      <c r="GA434" s="336">
        <f t="shared" si="2810"/>
        <v>0</v>
      </c>
      <c r="GB434" s="336">
        <f t="shared" si="2811"/>
        <v>0</v>
      </c>
      <c r="GC434" s="336">
        <f t="shared" si="2812"/>
        <v>0</v>
      </c>
      <c r="GD434" s="336">
        <f t="shared" si="2813"/>
        <v>0</v>
      </c>
      <c r="GE434" s="336">
        <f t="shared" si="2814"/>
        <v>0</v>
      </c>
      <c r="GF434" s="336">
        <f t="shared" si="2815"/>
        <v>0</v>
      </c>
      <c r="GG434" s="336">
        <f t="shared" si="2816"/>
        <v>0</v>
      </c>
      <c r="GH434" s="336">
        <f t="shared" si="2817"/>
        <v>0</v>
      </c>
      <c r="GI434" s="336">
        <f t="shared" si="2818"/>
        <v>0</v>
      </c>
      <c r="GJ434" s="336">
        <f t="shared" si="2819"/>
        <v>0</v>
      </c>
      <c r="GK434" s="336">
        <f t="shared" si="2761"/>
        <v>0</v>
      </c>
      <c r="GL434" s="336">
        <f t="shared" si="2764"/>
        <v>0</v>
      </c>
      <c r="GM434" s="336">
        <f t="shared" si="2820"/>
        <v>0</v>
      </c>
    </row>
    <row r="435" spans="1:195" ht="30.75" customHeight="1">
      <c r="A435" s="337">
        <f t="shared" si="2762"/>
        <v>304</v>
      </c>
      <c r="B435" s="337"/>
      <c r="C435" s="337" t="str">
        <f t="shared" si="2763"/>
        <v>CENTRAL CONTROL BUILDING HVAC DB</v>
      </c>
      <c r="D435" s="372" t="s">
        <v>912</v>
      </c>
      <c r="E435" s="453" t="s">
        <v>555</v>
      </c>
      <c r="F435" s="858"/>
      <c r="G435" s="337" t="s">
        <v>329</v>
      </c>
      <c r="H435" s="583">
        <v>3.5</v>
      </c>
      <c r="I435" s="337" t="s">
        <v>330</v>
      </c>
      <c r="J435" s="337" t="s">
        <v>357</v>
      </c>
      <c r="K435" s="349">
        <v>230</v>
      </c>
      <c r="L435" s="343">
        <v>0.84999999999999987</v>
      </c>
      <c r="M435" s="350">
        <v>0.95099999999999985</v>
      </c>
      <c r="N435" s="342">
        <f t="shared" si="2738"/>
        <v>18.825250577531801</v>
      </c>
      <c r="O435" s="342">
        <f t="shared" si="2739"/>
        <v>0</v>
      </c>
      <c r="P435" s="343" t="str">
        <f t="shared" si="2740"/>
        <v>0.00</v>
      </c>
      <c r="Q435" s="350">
        <v>25</v>
      </c>
      <c r="R435" s="350">
        <v>0</v>
      </c>
      <c r="S435" s="350">
        <f t="shared" si="2741"/>
        <v>0</v>
      </c>
      <c r="T435" s="343" t="s">
        <v>131</v>
      </c>
      <c r="U435" s="350" t="s">
        <v>333</v>
      </c>
      <c r="V435" s="343">
        <v>16</v>
      </c>
      <c r="W435" s="343" t="str">
        <f t="shared" si="2742"/>
        <v>3C X 16</v>
      </c>
      <c r="X435" s="343" t="str">
        <f t="shared" si="2743"/>
        <v>3C X 16</v>
      </c>
      <c r="Y435" s="343" t="s">
        <v>358</v>
      </c>
      <c r="Z435" s="344">
        <f>IF(T435="AIR",VLOOKUP(W435,'Catalogue Aluminium'!$B$9:$G$93,2,FALSE),IF(T435="GROUND",VLOOKUP(W435,'Catalogue Aluminium'!$B$9:$G$93,3,FALSE),IF(T435="DUCT",VLOOKUP(W435,'Catalogue Aluminium'!$B$9:$G$93,4,FALSE),IF(T435="TRENCH",VLOOKUP(W435,'Catalogue Aluminium'!$B$9:$G$93,2,FALSE)))))</f>
        <v>70</v>
      </c>
      <c r="AA435" s="345">
        <f>VLOOKUP(W435,'Catalogue Aluminium'!$B$9:$G$93,5,FALSE)</f>
        <v>2.44</v>
      </c>
      <c r="AB435" s="345">
        <f>VLOOKUP(W435,'Catalogue Aluminium'!$B$9:$G$93,6,FALSE)</f>
        <v>8.1500000000000003E-2</v>
      </c>
      <c r="AC435" s="863">
        <f t="shared" si="2744"/>
        <v>38</v>
      </c>
      <c r="AD435" s="863">
        <v>0</v>
      </c>
      <c r="AE435" s="401">
        <v>5</v>
      </c>
      <c r="AF435" s="401">
        <v>8</v>
      </c>
      <c r="AG435" s="401">
        <f t="shared" si="2745"/>
        <v>6</v>
      </c>
      <c r="AH435" s="347">
        <f t="shared" si="2746"/>
        <v>57</v>
      </c>
      <c r="AI435" s="344">
        <f>IF(T435="AIR",'Catalogue Aluminium'!$K$9,IF(T435="TRENCH",'Catalogue Aluminium'!$K$12,"NA"))</f>
        <v>0.89</v>
      </c>
      <c r="AJ435" s="342">
        <f>IF(T435="Air",(IF(U435="1C",'Catalogue Aluminium'!$L$9,'Catalogue Aluminium'!$M$9)),IF(T435="DUCT",(IF($U435="1C",'Catalogue Aluminium'!$L$10,'Catalogue Aluminium'!$M$10)),IF(T435="GROUND",(IF($U435="1C",'Catalogue Aluminium'!$L$11,'Catalogue Aluminium'!$M$11)),IF(T435="TRENCH",(IF($U435="1C",'Catalogue Aluminium'!$L$12,'Catalogue Aluminium'!$M$12))))))</f>
        <v>0.66</v>
      </c>
      <c r="AK435" s="344" t="str">
        <f>IF(T435="Air",'Catalogue Aluminium'!$N$9,IF(T435="GROUND",'Catalogue Aluminium'!$N$10,IF(T435="DUCT",'Catalogue Aluminium'!$N$11,IF(T435="TRENCH",'Catalogue Aluminium'!$N$12,"NA"))))</f>
        <v>NA</v>
      </c>
      <c r="AL435" s="344" t="str">
        <f>IF(T435="Air",(IF(U435="1C",'Catalogue Aluminium'!$O$9,'Catalogue Aluminium'!$P$9)),IF(T435="DUCT",(IF($U435="1C",'Catalogue Aluminium'!$O$10,'Catalogue Aluminium'!$P$10)),IF(T435="GROUND",(IF($U435="1C",'Catalogue Aluminium'!$O$11,'Catalogue Aluminium'!$P$11)),IF(T435="TRENCH",(IF($U435="1C",'Catalogue Aluminium'!$O$12,'Catalogue Aluminium'!$P$12))))))</f>
        <v>NA</v>
      </c>
      <c r="AM435" s="344" t="str">
        <f>IF(T435="AIR","NA",IF(T435="TRENCH","NA",IF(T435="DUCT",IF(U435="1C",VLOOKUP(V435,'Catalogue Aluminium'!$Q$9:$S$28,2,FALSE),VLOOKUP(V435,'Catalogue Aluminium'!$Q$9:$S$28,3)),IF(T435="GROUND",IF(U435="1C",VLOOKUP(V435,'Catalogue Aluminium'!$Q$9:$S$28,2,FALSE),VLOOKUP(V435,'Catalogue Aluminium'!$Q$9:$S$28,3))))))</f>
        <v>NA</v>
      </c>
      <c r="AN435" s="351">
        <f t="shared" si="2747"/>
        <v>0.58740000000000003</v>
      </c>
      <c r="AO435" s="350">
        <f t="shared" si="2748"/>
        <v>41.118000000000002</v>
      </c>
      <c r="AP435" s="349">
        <f t="shared" si="2749"/>
        <v>1</v>
      </c>
      <c r="AQ435" s="350" t="str">
        <f t="shared" si="2750"/>
        <v>YES</v>
      </c>
      <c r="AR435" s="351">
        <f t="shared" si="2751"/>
        <v>1.7106276298617451</v>
      </c>
      <c r="AS435" s="343" t="str">
        <f t="shared" si="2752"/>
        <v>YES</v>
      </c>
      <c r="AT435" s="351" t="str">
        <f t="shared" si="2753"/>
        <v>NA</v>
      </c>
      <c r="AU435" s="343" t="str">
        <f t="shared" si="2754"/>
        <v>NA</v>
      </c>
      <c r="AV435" s="354" t="str">
        <f t="shared" si="2755"/>
        <v>1R x 0.6/1kV x 3C x 16 Sqmm</v>
      </c>
      <c r="AW435" s="354" t="str">
        <f t="shared" si="2756"/>
        <v>1R x 0.6/1kV x 3C x 16 Sqmm</v>
      </c>
      <c r="AX435" s="343">
        <f t="shared" si="2757"/>
        <v>57</v>
      </c>
      <c r="AY435" s="355"/>
      <c r="AZ435" s="355">
        <f t="shared" si="2758"/>
        <v>2</v>
      </c>
      <c r="BA435" s="356" t="str">
        <f t="shared" si="2759"/>
        <v/>
      </c>
      <c r="BB435" s="501">
        <f>VLOOKUP(W435,'Catalogue Aluminium'!$B$9:$H$93,7,FALSE)</f>
        <v>19</v>
      </c>
      <c r="BC435" s="328">
        <f t="shared" si="2760"/>
        <v>19</v>
      </c>
      <c r="BE435" s="336"/>
      <c r="BF435" s="336"/>
      <c r="BG435" s="336"/>
      <c r="BH435" s="336"/>
      <c r="BI435" s="336"/>
      <c r="BJ435" s="336"/>
      <c r="BK435" s="336"/>
      <c r="BL435" s="336"/>
      <c r="BM435" s="336"/>
      <c r="BN435" s="336"/>
      <c r="BO435" s="336"/>
      <c r="BP435" s="336"/>
      <c r="BQ435" s="336"/>
      <c r="BR435" s="336"/>
      <c r="BS435" s="336"/>
      <c r="BT435" s="336"/>
      <c r="BU435" s="336"/>
      <c r="BV435" s="336"/>
      <c r="BW435" s="336"/>
      <c r="BX435" s="336"/>
      <c r="BY435" s="336"/>
      <c r="BZ435" s="336"/>
      <c r="CA435" s="336"/>
      <c r="CB435" s="336"/>
      <c r="CC435" s="336"/>
      <c r="CD435" s="336"/>
      <c r="CE435" s="336"/>
      <c r="CF435" s="336"/>
      <c r="CG435" s="336"/>
      <c r="CH435" s="336"/>
      <c r="CI435" s="336"/>
      <c r="CJ435" s="336"/>
      <c r="CK435" s="336"/>
      <c r="CL435" s="336"/>
      <c r="CM435" s="336"/>
      <c r="CN435" s="336"/>
      <c r="CO435" s="336"/>
      <c r="CP435" s="336"/>
      <c r="CQ435" s="336"/>
      <c r="CR435" s="336"/>
      <c r="CS435" s="336"/>
      <c r="CT435" s="336"/>
      <c r="CU435" s="336"/>
      <c r="CV435" s="336"/>
      <c r="CW435" s="336"/>
      <c r="CX435" s="336"/>
      <c r="CY435" s="336"/>
      <c r="CZ435" s="336"/>
      <c r="DA435" s="336"/>
      <c r="DB435" s="336"/>
      <c r="DC435" s="336"/>
      <c r="DD435" s="336"/>
      <c r="DE435" s="336"/>
      <c r="DF435" s="336"/>
      <c r="DG435" s="336"/>
      <c r="DH435" s="336"/>
      <c r="DI435" s="336"/>
      <c r="DJ435" s="336"/>
      <c r="DK435" s="336"/>
      <c r="DL435" s="336"/>
      <c r="DM435" s="336"/>
      <c r="DN435" s="336"/>
      <c r="DO435" s="336"/>
      <c r="DP435" s="336"/>
      <c r="DQ435" s="336"/>
      <c r="DR435" s="336"/>
      <c r="DS435" s="336"/>
      <c r="DT435" s="336"/>
      <c r="DU435" s="336"/>
      <c r="DW435" s="336">
        <f t="shared" si="2731"/>
        <v>0</v>
      </c>
      <c r="DX435" s="336">
        <f t="shared" si="2732"/>
        <v>0</v>
      </c>
      <c r="DY435" s="336">
        <f t="shared" si="2733"/>
        <v>0</v>
      </c>
      <c r="DZ435" s="336">
        <f t="shared" si="2734"/>
        <v>0</v>
      </c>
      <c r="EA435" s="336">
        <f t="shared" si="2735"/>
        <v>0</v>
      </c>
      <c r="EB435" s="336">
        <f t="shared" si="2736"/>
        <v>0</v>
      </c>
      <c r="EC435" s="336">
        <f t="shared" si="2737"/>
        <v>0</v>
      </c>
      <c r="ED435" s="336">
        <f t="shared" si="2766"/>
        <v>0</v>
      </c>
      <c r="EE435" s="336">
        <f t="shared" si="2767"/>
        <v>0</v>
      </c>
      <c r="EF435" s="336">
        <f t="shared" si="2768"/>
        <v>0</v>
      </c>
      <c r="EG435" s="336">
        <f t="shared" si="2769"/>
        <v>0</v>
      </c>
      <c r="EH435" s="336">
        <f t="shared" si="2770"/>
        <v>0</v>
      </c>
      <c r="EI435" s="336">
        <f t="shared" si="2771"/>
        <v>0</v>
      </c>
      <c r="EJ435" s="336">
        <f t="shared" si="2772"/>
        <v>0</v>
      </c>
      <c r="EK435" s="336">
        <f t="shared" si="2773"/>
        <v>0</v>
      </c>
      <c r="EL435" s="336">
        <f t="shared" si="2774"/>
        <v>0</v>
      </c>
      <c r="EM435" s="336">
        <f t="shared" si="2775"/>
        <v>0</v>
      </c>
      <c r="EN435" s="336">
        <f t="shared" si="2776"/>
        <v>0</v>
      </c>
      <c r="EO435" s="336">
        <f t="shared" si="2777"/>
        <v>0</v>
      </c>
      <c r="EP435" s="336">
        <f t="shared" si="2778"/>
        <v>0</v>
      </c>
      <c r="EQ435" s="336">
        <f t="shared" si="2779"/>
        <v>0</v>
      </c>
      <c r="ER435" s="336">
        <f t="shared" si="2780"/>
        <v>0</v>
      </c>
      <c r="ES435" s="336">
        <f t="shared" si="2781"/>
        <v>0</v>
      </c>
      <c r="ET435" s="336">
        <f t="shared" si="2781"/>
        <v>0</v>
      </c>
      <c r="EU435" s="336">
        <f t="shared" si="2782"/>
        <v>0</v>
      </c>
      <c r="EV435" s="336">
        <f t="shared" si="2783"/>
        <v>0</v>
      </c>
      <c r="EW435" s="336">
        <f t="shared" si="2784"/>
        <v>0</v>
      </c>
      <c r="EX435" s="336">
        <f t="shared" si="2785"/>
        <v>0</v>
      </c>
      <c r="EY435" s="336">
        <f t="shared" si="2786"/>
        <v>0</v>
      </c>
      <c r="EZ435" s="336">
        <f t="shared" si="2787"/>
        <v>0</v>
      </c>
      <c r="FA435" s="336">
        <f t="shared" si="2788"/>
        <v>0</v>
      </c>
      <c r="FB435" s="336">
        <f t="shared" si="2789"/>
        <v>0</v>
      </c>
      <c r="FC435" s="336">
        <f t="shared" si="2790"/>
        <v>0</v>
      </c>
      <c r="FD435" s="336">
        <f t="shared" si="2791"/>
        <v>0</v>
      </c>
      <c r="FE435" s="336">
        <f t="shared" si="2792"/>
        <v>0</v>
      </c>
      <c r="FF435" s="336">
        <f t="shared" si="2793"/>
        <v>0</v>
      </c>
      <c r="FG435" s="336">
        <f t="shared" si="2794"/>
        <v>0</v>
      </c>
      <c r="FH435" s="336">
        <f t="shared" si="2795"/>
        <v>0</v>
      </c>
      <c r="FI435" s="336">
        <f t="shared" si="2796"/>
        <v>0</v>
      </c>
      <c r="FJ435" s="336">
        <f t="shared" si="2797"/>
        <v>0</v>
      </c>
      <c r="FK435" s="336">
        <f t="shared" si="2798"/>
        <v>0</v>
      </c>
      <c r="FL435" s="336">
        <f t="shared" si="2799"/>
        <v>0</v>
      </c>
      <c r="FM435" s="336">
        <f t="shared" si="2800"/>
        <v>0</v>
      </c>
      <c r="FN435" s="336">
        <f t="shared" si="2801"/>
        <v>0</v>
      </c>
      <c r="FO435" s="336">
        <f t="shared" si="2802"/>
        <v>0</v>
      </c>
      <c r="FP435" s="336">
        <f t="shared" si="2803"/>
        <v>0</v>
      </c>
      <c r="FQ435" s="336">
        <f t="shared" si="2804"/>
        <v>0</v>
      </c>
      <c r="FR435" s="336">
        <f t="shared" si="2805"/>
        <v>0</v>
      </c>
      <c r="FS435" s="336">
        <f t="shared" si="2806"/>
        <v>0</v>
      </c>
      <c r="FT435" s="336">
        <f t="shared" si="2807"/>
        <v>0</v>
      </c>
      <c r="FU435" s="336">
        <f t="shared" si="2638"/>
        <v>0</v>
      </c>
      <c r="FV435" s="336">
        <f t="shared" si="2639"/>
        <v>0</v>
      </c>
      <c r="FW435" s="336">
        <f t="shared" si="2640"/>
        <v>0</v>
      </c>
      <c r="FX435" s="336">
        <f t="shared" si="2641"/>
        <v>0</v>
      </c>
      <c r="FY435" s="336">
        <f t="shared" si="2808"/>
        <v>0</v>
      </c>
      <c r="FZ435" s="336">
        <f t="shared" si="2809"/>
        <v>0</v>
      </c>
      <c r="GA435" s="336">
        <f t="shared" si="2810"/>
        <v>0</v>
      </c>
      <c r="GB435" s="336">
        <f t="shared" si="2811"/>
        <v>0</v>
      </c>
      <c r="GC435" s="336">
        <f t="shared" si="2812"/>
        <v>0</v>
      </c>
      <c r="GD435" s="336">
        <f t="shared" si="2813"/>
        <v>0</v>
      </c>
      <c r="GE435" s="336">
        <f t="shared" si="2814"/>
        <v>0</v>
      </c>
      <c r="GF435" s="336">
        <f t="shared" si="2815"/>
        <v>0</v>
      </c>
      <c r="GG435" s="336">
        <f t="shared" si="2816"/>
        <v>0</v>
      </c>
      <c r="GH435" s="336">
        <f t="shared" si="2817"/>
        <v>0</v>
      </c>
      <c r="GI435" s="336">
        <f t="shared" si="2818"/>
        <v>0</v>
      </c>
      <c r="GJ435" s="336">
        <f t="shared" si="2819"/>
        <v>0</v>
      </c>
      <c r="GK435" s="336">
        <f t="shared" si="2761"/>
        <v>0</v>
      </c>
      <c r="GL435" s="336">
        <f t="shared" si="2764"/>
        <v>0</v>
      </c>
      <c r="GM435" s="336">
        <f t="shared" si="2820"/>
        <v>0</v>
      </c>
    </row>
    <row r="436" spans="1:195" ht="30.75" customHeight="1">
      <c r="A436" s="337">
        <f t="shared" si="2762"/>
        <v>305</v>
      </c>
      <c r="B436" s="337"/>
      <c r="C436" s="337" t="str">
        <f t="shared" si="2763"/>
        <v>CENTRAL CONTROL BUILDING HVAC DB</v>
      </c>
      <c r="D436" s="372" t="s">
        <v>913</v>
      </c>
      <c r="E436" s="453" t="s">
        <v>555</v>
      </c>
      <c r="F436" s="858"/>
      <c r="G436" s="337" t="s">
        <v>329</v>
      </c>
      <c r="H436" s="350">
        <v>3.5</v>
      </c>
      <c r="I436" s="337" t="s">
        <v>330</v>
      </c>
      <c r="J436" s="337" t="s">
        <v>357</v>
      </c>
      <c r="K436" s="349">
        <v>230</v>
      </c>
      <c r="L436" s="343">
        <v>0.84999999999999987</v>
      </c>
      <c r="M436" s="350">
        <v>0.95099999999999985</v>
      </c>
      <c r="N436" s="342">
        <f t="shared" si="2738"/>
        <v>18.825250577531801</v>
      </c>
      <c r="O436" s="342">
        <f t="shared" si="2739"/>
        <v>0</v>
      </c>
      <c r="P436" s="343" t="str">
        <f t="shared" si="2740"/>
        <v>0.00</v>
      </c>
      <c r="Q436" s="350">
        <v>25</v>
      </c>
      <c r="R436" s="350">
        <v>0</v>
      </c>
      <c r="S436" s="350">
        <f t="shared" si="2741"/>
        <v>0</v>
      </c>
      <c r="T436" s="343" t="s">
        <v>131</v>
      </c>
      <c r="U436" s="350" t="s">
        <v>333</v>
      </c>
      <c r="V436" s="343">
        <v>16</v>
      </c>
      <c r="W436" s="343" t="str">
        <f t="shared" si="2742"/>
        <v>3C X 16</v>
      </c>
      <c r="X436" s="343" t="str">
        <f t="shared" si="2743"/>
        <v>3C X 16</v>
      </c>
      <c r="Y436" s="343" t="s">
        <v>358</v>
      </c>
      <c r="Z436" s="344">
        <f>IF(T436="AIR",VLOOKUP(W436,'Catalogue Aluminium'!$B$9:$G$93,2,FALSE),IF(T436="GROUND",VLOOKUP(W436,'Catalogue Aluminium'!$B$9:$G$93,3,FALSE),IF(T436="DUCT",VLOOKUP(W436,'Catalogue Aluminium'!$B$9:$G$93,4,FALSE),IF(T436="TRENCH",VLOOKUP(W436,'Catalogue Aluminium'!$B$9:$G$93,2,FALSE)))))</f>
        <v>70</v>
      </c>
      <c r="AA436" s="345">
        <f>VLOOKUP(W436,'Catalogue Aluminium'!$B$9:$G$93,5,FALSE)</f>
        <v>2.44</v>
      </c>
      <c r="AB436" s="345">
        <f>VLOOKUP(W436,'Catalogue Aluminium'!$B$9:$G$93,6,FALSE)</f>
        <v>8.1500000000000003E-2</v>
      </c>
      <c r="AC436" s="863">
        <f t="shared" si="2744"/>
        <v>38</v>
      </c>
      <c r="AD436" s="863">
        <v>0</v>
      </c>
      <c r="AE436" s="401">
        <v>5</v>
      </c>
      <c r="AF436" s="401">
        <v>8</v>
      </c>
      <c r="AG436" s="401">
        <f t="shared" si="2745"/>
        <v>6</v>
      </c>
      <c r="AH436" s="347">
        <f t="shared" si="2746"/>
        <v>57</v>
      </c>
      <c r="AI436" s="344">
        <f>IF(T436="AIR",'Catalogue Aluminium'!$K$9,IF(T436="TRENCH",'Catalogue Aluminium'!$K$12,"NA"))</f>
        <v>0.89</v>
      </c>
      <c r="AJ436" s="342">
        <f>IF(T436="Air",(IF(U436="1C",'Catalogue Aluminium'!$L$9,'Catalogue Aluminium'!$M$9)),IF(T436="DUCT",(IF($U436="1C",'Catalogue Aluminium'!$L$10,'Catalogue Aluminium'!$M$10)),IF(T436="GROUND",(IF($U436="1C",'Catalogue Aluminium'!$L$11,'Catalogue Aluminium'!$M$11)),IF(T436="TRENCH",(IF($U436="1C",'Catalogue Aluminium'!$L$12,'Catalogue Aluminium'!$M$12))))))</f>
        <v>0.66</v>
      </c>
      <c r="AK436" s="344" t="str">
        <f>IF(T436="Air",'Catalogue Aluminium'!$N$9,IF(T436="GROUND",'Catalogue Aluminium'!$N$10,IF(T436="DUCT",'Catalogue Aluminium'!$N$11,IF(T436="TRENCH",'Catalogue Aluminium'!$N$12,"NA"))))</f>
        <v>NA</v>
      </c>
      <c r="AL436" s="344" t="str">
        <f>IF(T436="Air",(IF(U436="1C",'Catalogue Aluminium'!$O$9,'Catalogue Aluminium'!$P$9)),IF(T436="DUCT",(IF($U436="1C",'Catalogue Aluminium'!$O$10,'Catalogue Aluminium'!$P$10)),IF(T436="GROUND",(IF($U436="1C",'Catalogue Aluminium'!$O$11,'Catalogue Aluminium'!$P$11)),IF(T436="TRENCH",(IF($U436="1C",'Catalogue Aluminium'!$O$12,'Catalogue Aluminium'!$P$12))))))</f>
        <v>NA</v>
      </c>
      <c r="AM436" s="344" t="str">
        <f>IF(T436="AIR","NA",IF(T436="TRENCH","NA",IF(T436="DUCT",IF(U436="1C",VLOOKUP(V436,'Catalogue Aluminium'!$Q$9:$S$28,2,FALSE),VLOOKUP(V436,'Catalogue Aluminium'!$Q$9:$S$28,3)),IF(T436="GROUND",IF(U436="1C",VLOOKUP(V436,'Catalogue Aluminium'!$Q$9:$S$28,2,FALSE),VLOOKUP(V436,'Catalogue Aluminium'!$Q$9:$S$28,3))))))</f>
        <v>NA</v>
      </c>
      <c r="AN436" s="351">
        <f t="shared" si="2747"/>
        <v>0.58740000000000003</v>
      </c>
      <c r="AO436" s="350">
        <f t="shared" si="2748"/>
        <v>41.118000000000002</v>
      </c>
      <c r="AP436" s="349">
        <f t="shared" si="2749"/>
        <v>1</v>
      </c>
      <c r="AQ436" s="350" t="str">
        <f t="shared" si="2750"/>
        <v>YES</v>
      </c>
      <c r="AR436" s="351">
        <f t="shared" si="2751"/>
        <v>1.7106276298617451</v>
      </c>
      <c r="AS436" s="343" t="str">
        <f t="shared" si="2752"/>
        <v>YES</v>
      </c>
      <c r="AT436" s="351" t="str">
        <f t="shared" si="2753"/>
        <v>NA</v>
      </c>
      <c r="AU436" s="343" t="str">
        <f t="shared" si="2754"/>
        <v>NA</v>
      </c>
      <c r="AV436" s="354" t="str">
        <f t="shared" si="2755"/>
        <v>1R x 0.6/1kV x 3C x 16 Sqmm</v>
      </c>
      <c r="AW436" s="354" t="str">
        <f t="shared" si="2756"/>
        <v>1R x 0.6/1kV x 3C x 16 Sqmm</v>
      </c>
      <c r="AX436" s="343">
        <f t="shared" si="2757"/>
        <v>57</v>
      </c>
      <c r="AY436" s="355"/>
      <c r="AZ436" s="355">
        <f t="shared" si="2758"/>
        <v>2</v>
      </c>
      <c r="BA436" s="356" t="str">
        <f t="shared" si="2759"/>
        <v/>
      </c>
      <c r="BB436" s="501">
        <f>VLOOKUP(W436,'Catalogue Aluminium'!$B$9:$H$93,7,FALSE)</f>
        <v>19</v>
      </c>
      <c r="BC436" s="328">
        <f t="shared" si="2760"/>
        <v>19</v>
      </c>
      <c r="BE436" s="336"/>
      <c r="BF436" s="336"/>
      <c r="BG436" s="336"/>
      <c r="BH436" s="336"/>
      <c r="BI436" s="336"/>
      <c r="BJ436" s="336"/>
      <c r="BK436" s="336"/>
      <c r="BL436" s="336"/>
      <c r="BM436" s="336"/>
      <c r="BN436" s="336"/>
      <c r="BO436" s="336"/>
      <c r="BP436" s="336"/>
      <c r="BQ436" s="336"/>
      <c r="BR436" s="336"/>
      <c r="BS436" s="336"/>
      <c r="BT436" s="336"/>
      <c r="BU436" s="336"/>
      <c r="BV436" s="336"/>
      <c r="BW436" s="336"/>
      <c r="BX436" s="336"/>
      <c r="BY436" s="336"/>
      <c r="BZ436" s="336"/>
      <c r="CA436" s="336"/>
      <c r="CB436" s="336"/>
      <c r="CC436" s="336"/>
      <c r="CD436" s="336"/>
      <c r="CE436" s="336"/>
      <c r="CF436" s="336"/>
      <c r="CG436" s="336"/>
      <c r="CH436" s="336"/>
      <c r="CI436" s="336"/>
      <c r="CJ436" s="336"/>
      <c r="CK436" s="336"/>
      <c r="CL436" s="336"/>
      <c r="CM436" s="336"/>
      <c r="CN436" s="336"/>
      <c r="CO436" s="336"/>
      <c r="CP436" s="336"/>
      <c r="CQ436" s="336"/>
      <c r="CR436" s="336"/>
      <c r="CS436" s="336"/>
      <c r="CT436" s="336"/>
      <c r="CU436" s="336"/>
      <c r="CV436" s="336"/>
      <c r="CW436" s="336"/>
      <c r="CX436" s="336"/>
      <c r="CY436" s="336"/>
      <c r="CZ436" s="336"/>
      <c r="DA436" s="336"/>
      <c r="DB436" s="336"/>
      <c r="DC436" s="336"/>
      <c r="DD436" s="336"/>
      <c r="DE436" s="336"/>
      <c r="DF436" s="336"/>
      <c r="DG436" s="336"/>
      <c r="DH436" s="336"/>
      <c r="DI436" s="336"/>
      <c r="DJ436" s="336"/>
      <c r="DK436" s="336"/>
      <c r="DL436" s="336"/>
      <c r="DM436" s="336"/>
      <c r="DN436" s="336"/>
      <c r="DO436" s="336"/>
      <c r="DP436" s="336"/>
      <c r="DQ436" s="336"/>
      <c r="DR436" s="336"/>
      <c r="DS436" s="336"/>
      <c r="DT436" s="336"/>
      <c r="DU436" s="336"/>
      <c r="DW436" s="336">
        <f t="shared" si="2731"/>
        <v>0</v>
      </c>
      <c r="DX436" s="336">
        <f t="shared" si="2732"/>
        <v>0</v>
      </c>
      <c r="DY436" s="336">
        <f t="shared" si="2733"/>
        <v>0</v>
      </c>
      <c r="DZ436" s="336">
        <f t="shared" si="2734"/>
        <v>0</v>
      </c>
      <c r="EA436" s="336">
        <f t="shared" si="2735"/>
        <v>0</v>
      </c>
      <c r="EB436" s="336">
        <f t="shared" si="2736"/>
        <v>0</v>
      </c>
      <c r="EC436" s="336">
        <f t="shared" si="2737"/>
        <v>0</v>
      </c>
      <c r="ED436" s="336">
        <f t="shared" si="2766"/>
        <v>0</v>
      </c>
      <c r="EE436" s="336">
        <f t="shared" si="2767"/>
        <v>0</v>
      </c>
      <c r="EF436" s="336">
        <f t="shared" si="2768"/>
        <v>0</v>
      </c>
      <c r="EG436" s="336">
        <f t="shared" si="2769"/>
        <v>0</v>
      </c>
      <c r="EH436" s="336">
        <f t="shared" si="2770"/>
        <v>0</v>
      </c>
      <c r="EI436" s="336">
        <f t="shared" si="2771"/>
        <v>0</v>
      </c>
      <c r="EJ436" s="336">
        <f t="shared" si="2772"/>
        <v>0</v>
      </c>
      <c r="EK436" s="336">
        <f t="shared" si="2773"/>
        <v>0</v>
      </c>
      <c r="EL436" s="336">
        <f t="shared" si="2774"/>
        <v>0</v>
      </c>
      <c r="EM436" s="336">
        <f t="shared" si="2775"/>
        <v>0</v>
      </c>
      <c r="EN436" s="336">
        <f t="shared" si="2776"/>
        <v>0</v>
      </c>
      <c r="EO436" s="336">
        <f t="shared" si="2777"/>
        <v>0</v>
      </c>
      <c r="EP436" s="336">
        <f t="shared" si="2778"/>
        <v>0</v>
      </c>
      <c r="EQ436" s="336">
        <f t="shared" si="2779"/>
        <v>0</v>
      </c>
      <c r="ER436" s="336">
        <f t="shared" si="2780"/>
        <v>0</v>
      </c>
      <c r="ES436" s="336">
        <f t="shared" si="2781"/>
        <v>0</v>
      </c>
      <c r="ET436" s="336">
        <f t="shared" si="2781"/>
        <v>0</v>
      </c>
      <c r="EU436" s="336">
        <f t="shared" si="2782"/>
        <v>0</v>
      </c>
      <c r="EV436" s="336">
        <f t="shared" si="2783"/>
        <v>0</v>
      </c>
      <c r="EW436" s="336">
        <f t="shared" si="2784"/>
        <v>0</v>
      </c>
      <c r="EX436" s="336">
        <f t="shared" si="2785"/>
        <v>0</v>
      </c>
      <c r="EY436" s="336">
        <f t="shared" si="2786"/>
        <v>0</v>
      </c>
      <c r="EZ436" s="336">
        <f t="shared" si="2787"/>
        <v>0</v>
      </c>
      <c r="FA436" s="336">
        <f t="shared" si="2788"/>
        <v>0</v>
      </c>
      <c r="FB436" s="336">
        <f t="shared" si="2789"/>
        <v>0</v>
      </c>
      <c r="FC436" s="336">
        <f t="shared" si="2790"/>
        <v>0</v>
      </c>
      <c r="FD436" s="336">
        <f t="shared" si="2791"/>
        <v>0</v>
      </c>
      <c r="FE436" s="336">
        <f t="shared" si="2792"/>
        <v>0</v>
      </c>
      <c r="FF436" s="336">
        <f t="shared" si="2793"/>
        <v>0</v>
      </c>
      <c r="FG436" s="336">
        <f t="shared" si="2794"/>
        <v>0</v>
      </c>
      <c r="FH436" s="336">
        <f t="shared" si="2795"/>
        <v>0</v>
      </c>
      <c r="FI436" s="336">
        <f t="shared" si="2796"/>
        <v>0</v>
      </c>
      <c r="FJ436" s="336">
        <f t="shared" si="2797"/>
        <v>0</v>
      </c>
      <c r="FK436" s="336">
        <f t="shared" si="2798"/>
        <v>0</v>
      </c>
      <c r="FL436" s="336">
        <f t="shared" si="2799"/>
        <v>0</v>
      </c>
      <c r="FM436" s="336">
        <f t="shared" si="2800"/>
        <v>0</v>
      </c>
      <c r="FN436" s="336">
        <f t="shared" si="2801"/>
        <v>0</v>
      </c>
      <c r="FO436" s="336">
        <f t="shared" si="2802"/>
        <v>0</v>
      </c>
      <c r="FP436" s="336">
        <f t="shared" si="2803"/>
        <v>0</v>
      </c>
      <c r="FQ436" s="336">
        <f t="shared" si="2804"/>
        <v>0</v>
      </c>
      <c r="FR436" s="336">
        <f t="shared" si="2805"/>
        <v>0</v>
      </c>
      <c r="FS436" s="336">
        <f t="shared" si="2806"/>
        <v>0</v>
      </c>
      <c r="FT436" s="336">
        <f t="shared" si="2807"/>
        <v>0</v>
      </c>
      <c r="FU436" s="336">
        <f t="shared" si="2638"/>
        <v>0</v>
      </c>
      <c r="FV436" s="336">
        <f t="shared" si="2639"/>
        <v>0</v>
      </c>
      <c r="FW436" s="336">
        <f t="shared" si="2640"/>
        <v>0</v>
      </c>
      <c r="FX436" s="336">
        <f t="shared" si="2641"/>
        <v>0</v>
      </c>
      <c r="FY436" s="336">
        <f t="shared" si="2808"/>
        <v>0</v>
      </c>
      <c r="FZ436" s="336">
        <f t="shared" si="2809"/>
        <v>0</v>
      </c>
      <c r="GA436" s="336">
        <f t="shared" si="2810"/>
        <v>0</v>
      </c>
      <c r="GB436" s="336">
        <f t="shared" si="2811"/>
        <v>0</v>
      </c>
      <c r="GC436" s="336">
        <f t="shared" si="2812"/>
        <v>0</v>
      </c>
      <c r="GD436" s="336">
        <f t="shared" si="2813"/>
        <v>0</v>
      </c>
      <c r="GE436" s="336">
        <f t="shared" si="2814"/>
        <v>0</v>
      </c>
      <c r="GF436" s="336">
        <f t="shared" si="2815"/>
        <v>0</v>
      </c>
      <c r="GG436" s="336">
        <f t="shared" si="2816"/>
        <v>0</v>
      </c>
      <c r="GH436" s="336">
        <f t="shared" si="2817"/>
        <v>0</v>
      </c>
      <c r="GI436" s="336">
        <f t="shared" si="2818"/>
        <v>0</v>
      </c>
      <c r="GJ436" s="336">
        <f t="shared" si="2819"/>
        <v>0</v>
      </c>
      <c r="GK436" s="336">
        <f t="shared" si="2761"/>
        <v>0</v>
      </c>
      <c r="GL436" s="336">
        <f t="shared" si="2764"/>
        <v>0</v>
      </c>
      <c r="GM436" s="336">
        <f t="shared" si="2820"/>
        <v>0</v>
      </c>
    </row>
    <row r="437" spans="1:195" s="83" customFormat="1" ht="30.75" hidden="1" customHeight="1">
      <c r="A437" s="357" t="s">
        <v>334</v>
      </c>
      <c r="B437" s="357"/>
      <c r="C437" s="357" t="str">
        <f t="shared" si="2763"/>
        <v>CENTRAL CONTROL BUILDING HVAC DB</v>
      </c>
      <c r="D437" s="395" t="s">
        <v>914</v>
      </c>
      <c r="E437" s="421" t="s">
        <v>555</v>
      </c>
      <c r="F437" s="421"/>
      <c r="G437" s="357" t="s">
        <v>329</v>
      </c>
      <c r="H437" s="352"/>
      <c r="I437" s="357" t="s">
        <v>330</v>
      </c>
      <c r="J437" s="357" t="s">
        <v>357</v>
      </c>
      <c r="K437" s="353">
        <v>230</v>
      </c>
      <c r="L437" s="360">
        <v>0.84999999999999987</v>
      </c>
      <c r="M437" s="352">
        <v>0.95099999999999985</v>
      </c>
      <c r="N437" s="359">
        <f t="shared" si="2738"/>
        <v>0</v>
      </c>
      <c r="O437" s="359">
        <f t="shared" si="2739"/>
        <v>0</v>
      </c>
      <c r="P437" s="360" t="str">
        <f t="shared" si="2740"/>
        <v>0.00</v>
      </c>
      <c r="Q437" s="352">
        <v>25</v>
      </c>
      <c r="R437" s="352">
        <v>0</v>
      </c>
      <c r="S437" s="352">
        <f t="shared" si="2741"/>
        <v>0</v>
      </c>
      <c r="T437" s="360" t="s">
        <v>131</v>
      </c>
      <c r="U437" s="576" t="s">
        <v>333</v>
      </c>
      <c r="V437" s="360">
        <v>4</v>
      </c>
      <c r="W437" s="360" t="str">
        <f t="shared" si="2742"/>
        <v>3C X 4</v>
      </c>
      <c r="X437" s="360" t="str">
        <f t="shared" si="2743"/>
        <v>3C X 4</v>
      </c>
      <c r="Y437" s="360" t="s">
        <v>358</v>
      </c>
      <c r="Z437" s="361">
        <f>IF(T437="AIR",VLOOKUP(W437,'Catalogue Aluminium'!$B$9:$G$93,2,FALSE),IF(T437="GROUND",VLOOKUP(W437,'Catalogue Aluminium'!$B$9:$G$93,3,FALSE),IF(T437="DUCT",VLOOKUP(W437,'Catalogue Aluminium'!$B$9:$G$93,4,FALSE),IF(T437="TRENCH",VLOOKUP(W437,'Catalogue Aluminium'!$B$9:$G$93,2,FALSE)))))</f>
        <v>38</v>
      </c>
      <c r="AA437" s="362">
        <f>VLOOKUP(W437,'Catalogue Aluminium'!$B$9:$G$93,5,FALSE)</f>
        <v>5.9</v>
      </c>
      <c r="AB437" s="362">
        <f>VLOOKUP(W437,'Catalogue Aluminium'!$B$9:$G$93,6,FALSE)</f>
        <v>9.4700000000000006E-2</v>
      </c>
      <c r="AC437" s="577">
        <f t="shared" si="2744"/>
        <v>38</v>
      </c>
      <c r="AD437" s="577">
        <v>0</v>
      </c>
      <c r="AE437" s="360">
        <v>10</v>
      </c>
      <c r="AF437" s="360">
        <v>5</v>
      </c>
      <c r="AG437" s="360">
        <f t="shared" si="2745"/>
        <v>6</v>
      </c>
      <c r="AH437" s="363"/>
      <c r="AI437" s="361">
        <f>IF(T437="AIR",'Catalogue Aluminium'!$K$9,IF(T437="TRENCH",'Catalogue Aluminium'!$K$12,"NA"))</f>
        <v>0.89</v>
      </c>
      <c r="AJ437" s="359">
        <f>IF(T437="Air",(IF(U437="1C",'Catalogue Aluminium'!$L$9,'Catalogue Aluminium'!$M$9)),IF(T437="DUCT",(IF($U437="1C",'Catalogue Aluminium'!$L$10,'Catalogue Aluminium'!$M$10)),IF(T437="GROUND",(IF($U437="1C",'Catalogue Aluminium'!$L$11,'Catalogue Aluminium'!$M$11)),IF(T437="TRENCH",(IF($U437="1C",'Catalogue Aluminium'!$L$12,'Catalogue Aluminium'!$M$12))))))</f>
        <v>0.66</v>
      </c>
      <c r="AK437" s="361" t="str">
        <f>IF(T437="Air",'Catalogue Aluminium'!$N$9,IF(T437="GROUND",'Catalogue Aluminium'!$N$10,IF(T437="DUCT",'Catalogue Aluminium'!$N$11,IF(T437="TRENCH",'Catalogue Aluminium'!$N$12,"NA"))))</f>
        <v>NA</v>
      </c>
      <c r="AL437" s="361" t="str">
        <f>IF(T437="Air",(IF(U437="1C",'Catalogue Aluminium'!$O$9,'Catalogue Aluminium'!$P$9)),IF(T437="DUCT",(IF($U437="1C",'Catalogue Aluminium'!$O$10,'Catalogue Aluminium'!$P$10)),IF(T437="GROUND",(IF($U437="1C",'Catalogue Aluminium'!$O$11,'Catalogue Aluminium'!$P$11)),IF(T437="TRENCH",(IF($U437="1C",'Catalogue Aluminium'!$O$12,'Catalogue Aluminium'!$P$12))))))</f>
        <v>NA</v>
      </c>
      <c r="AM437" s="361" t="str">
        <f>IF(T437="AIR","NA",IF(T437="TRENCH","NA",IF(T437="DUCT",IF(U437="1C",VLOOKUP(V437,'Catalogue Aluminium'!$Q$9:$S$28,2,FALSE),VLOOKUP(V437,'Catalogue Aluminium'!$Q$9:$S$28,3)),IF(T437="GROUND",IF(U437="1C",VLOOKUP(V437,'Catalogue Aluminium'!$Q$9:$S$28,2,FALSE),VLOOKUP(V437,'Catalogue Aluminium'!$Q$9:$S$28,3))))))</f>
        <v>NA</v>
      </c>
      <c r="AN437" s="365">
        <f t="shared" si="2747"/>
        <v>0.58740000000000003</v>
      </c>
      <c r="AO437" s="352">
        <f t="shared" si="2748"/>
        <v>22.321200000000001</v>
      </c>
      <c r="AP437" s="353">
        <f t="shared" si="2749"/>
        <v>0</v>
      </c>
      <c r="AQ437" s="352" t="str">
        <f t="shared" si="2750"/>
        <v>YES</v>
      </c>
      <c r="AR437" s="365" t="e">
        <f t="shared" si="2751"/>
        <v>#DIV/0!</v>
      </c>
      <c r="AS437" s="496" t="e">
        <f t="shared" si="2752"/>
        <v>#DIV/0!</v>
      </c>
      <c r="AT437" s="497" t="str">
        <f t="shared" si="2753"/>
        <v>NA</v>
      </c>
      <c r="AU437" s="360" t="str">
        <f t="shared" si="2754"/>
        <v>NA</v>
      </c>
      <c r="AV437" s="366" t="str">
        <f t="shared" si="2755"/>
        <v>0R x 0.6/1kV x 3C x 4 Sqmm</v>
      </c>
      <c r="AW437" s="366" t="str">
        <f t="shared" si="2756"/>
        <v>0R x 0.6/1kV x 3C x 4 Sqmm</v>
      </c>
      <c r="AX437" s="360"/>
      <c r="AY437" s="367"/>
      <c r="AZ437" s="367"/>
      <c r="BA437" s="356" t="str">
        <f t="shared" si="2759"/>
        <v/>
      </c>
      <c r="BB437" s="498"/>
      <c r="BC437" s="426"/>
      <c r="BE437" s="368"/>
      <c r="BF437" s="368"/>
      <c r="BG437" s="368"/>
      <c r="BH437" s="368"/>
      <c r="BI437" s="368"/>
      <c r="BJ437" s="368"/>
      <c r="BK437" s="368"/>
      <c r="BL437" s="368"/>
      <c r="BM437" s="368"/>
      <c r="BN437" s="368"/>
      <c r="BO437" s="368"/>
      <c r="BP437" s="368"/>
      <c r="BQ437" s="368"/>
      <c r="BR437" s="368"/>
      <c r="BS437" s="368"/>
      <c r="BT437" s="368"/>
      <c r="BU437" s="368"/>
      <c r="BV437" s="368"/>
      <c r="BW437" s="368"/>
      <c r="BX437" s="368"/>
      <c r="BY437" s="368"/>
      <c r="BZ437" s="368"/>
      <c r="CA437" s="368"/>
      <c r="CB437" s="368"/>
      <c r="CC437" s="368"/>
      <c r="CD437" s="368"/>
      <c r="CE437" s="368"/>
      <c r="CF437" s="368"/>
      <c r="CG437" s="368"/>
      <c r="CH437" s="368"/>
      <c r="CI437" s="368"/>
      <c r="CJ437" s="368"/>
      <c r="CK437" s="368"/>
      <c r="CL437" s="368"/>
      <c r="CM437" s="368"/>
      <c r="CN437" s="368"/>
      <c r="CO437" s="368"/>
      <c r="CP437" s="368"/>
      <c r="CQ437" s="368"/>
      <c r="CR437" s="368"/>
      <c r="CS437" s="368"/>
      <c r="CT437" s="368"/>
      <c r="CU437" s="368"/>
      <c r="CV437" s="368"/>
      <c r="CW437" s="368"/>
      <c r="CX437" s="368"/>
      <c r="CY437" s="368"/>
      <c r="CZ437" s="368"/>
      <c r="DA437" s="368"/>
      <c r="DB437" s="368"/>
      <c r="DC437" s="368"/>
      <c r="DD437" s="368"/>
      <c r="DE437" s="368"/>
      <c r="DF437" s="368"/>
      <c r="DG437" s="368"/>
      <c r="DH437" s="368"/>
      <c r="DI437" s="368"/>
      <c r="DJ437" s="368"/>
      <c r="DK437" s="368"/>
      <c r="DL437" s="368"/>
      <c r="DM437" s="368"/>
      <c r="DN437" s="368"/>
      <c r="DO437" s="368"/>
      <c r="DP437" s="368"/>
      <c r="DQ437" s="368"/>
      <c r="DR437" s="368"/>
      <c r="DS437" s="368"/>
      <c r="DT437" s="368"/>
      <c r="DU437" s="368"/>
      <c r="DW437" s="368">
        <f t="shared" si="2731"/>
        <v>0</v>
      </c>
      <c r="DX437" s="368">
        <f t="shared" si="2732"/>
        <v>0</v>
      </c>
      <c r="DY437" s="368">
        <f t="shared" si="2733"/>
        <v>0</v>
      </c>
      <c r="DZ437" s="368">
        <f t="shared" si="2734"/>
        <v>0</v>
      </c>
      <c r="EA437" s="368">
        <f t="shared" si="2735"/>
        <v>0</v>
      </c>
      <c r="EB437" s="368">
        <f t="shared" si="2736"/>
        <v>0</v>
      </c>
      <c r="EC437" s="368">
        <f t="shared" si="2737"/>
        <v>0</v>
      </c>
      <c r="ED437" s="368">
        <f t="shared" si="2766"/>
        <v>0</v>
      </c>
      <c r="EE437" s="368">
        <f t="shared" si="2767"/>
        <v>0</v>
      </c>
      <c r="EF437" s="368">
        <f t="shared" si="2768"/>
        <v>0</v>
      </c>
      <c r="EG437" s="368">
        <f t="shared" si="2769"/>
        <v>0</v>
      </c>
      <c r="EH437" s="368">
        <f t="shared" si="2770"/>
        <v>0</v>
      </c>
      <c r="EI437" s="368">
        <f t="shared" si="2771"/>
        <v>0</v>
      </c>
      <c r="EJ437" s="368">
        <f t="shared" si="2772"/>
        <v>0</v>
      </c>
      <c r="EK437" s="368">
        <f t="shared" si="2773"/>
        <v>0</v>
      </c>
      <c r="EL437" s="368">
        <f t="shared" si="2774"/>
        <v>0</v>
      </c>
      <c r="EM437" s="368">
        <f t="shared" si="2775"/>
        <v>0</v>
      </c>
      <c r="EN437" s="368">
        <f t="shared" si="2776"/>
        <v>0</v>
      </c>
      <c r="EO437" s="368">
        <f t="shared" si="2777"/>
        <v>0</v>
      </c>
      <c r="EP437" s="368">
        <f t="shared" si="2778"/>
        <v>0</v>
      </c>
      <c r="EQ437" s="368">
        <f t="shared" si="2779"/>
        <v>0</v>
      </c>
      <c r="ER437" s="368">
        <f t="shared" si="2780"/>
        <v>0</v>
      </c>
      <c r="ES437" s="368">
        <f t="shared" si="2781"/>
        <v>0</v>
      </c>
      <c r="ET437" s="368">
        <f t="shared" si="2781"/>
        <v>0</v>
      </c>
      <c r="EU437" s="368">
        <f t="shared" si="2782"/>
        <v>0</v>
      </c>
      <c r="EV437" s="368">
        <f t="shared" si="2783"/>
        <v>0</v>
      </c>
      <c r="EW437" s="368">
        <f t="shared" si="2784"/>
        <v>0</v>
      </c>
      <c r="EX437" s="368">
        <f t="shared" si="2785"/>
        <v>0</v>
      </c>
      <c r="EY437" s="368">
        <f t="shared" si="2786"/>
        <v>0</v>
      </c>
      <c r="EZ437" s="368">
        <f t="shared" si="2787"/>
        <v>0</v>
      </c>
      <c r="FA437" s="368">
        <f t="shared" si="2788"/>
        <v>0</v>
      </c>
      <c r="FB437" s="368">
        <f t="shared" si="2789"/>
        <v>0</v>
      </c>
      <c r="FC437" s="368">
        <f t="shared" si="2790"/>
        <v>0</v>
      </c>
      <c r="FD437" s="368">
        <f t="shared" si="2791"/>
        <v>0</v>
      </c>
      <c r="FE437" s="368">
        <f t="shared" si="2792"/>
        <v>0</v>
      </c>
      <c r="FF437" s="368">
        <f t="shared" si="2793"/>
        <v>0</v>
      </c>
      <c r="FG437" s="368">
        <f t="shared" si="2794"/>
        <v>0</v>
      </c>
      <c r="FH437" s="368">
        <f t="shared" si="2795"/>
        <v>0</v>
      </c>
      <c r="FI437" s="368">
        <f t="shared" si="2796"/>
        <v>0</v>
      </c>
      <c r="FJ437" s="368">
        <f t="shared" si="2797"/>
        <v>0</v>
      </c>
      <c r="FK437" s="368">
        <f t="shared" si="2798"/>
        <v>0</v>
      </c>
      <c r="FL437" s="368">
        <f t="shared" si="2799"/>
        <v>0</v>
      </c>
      <c r="FM437" s="368">
        <f t="shared" si="2800"/>
        <v>0</v>
      </c>
      <c r="FN437" s="368">
        <f t="shared" si="2801"/>
        <v>0</v>
      </c>
      <c r="FO437" s="368">
        <f t="shared" si="2802"/>
        <v>0</v>
      </c>
      <c r="FP437" s="368">
        <f t="shared" si="2803"/>
        <v>0</v>
      </c>
      <c r="FQ437" s="368">
        <f t="shared" si="2804"/>
        <v>0</v>
      </c>
      <c r="FR437" s="368">
        <f t="shared" si="2805"/>
        <v>0</v>
      </c>
      <c r="FS437" s="368">
        <f t="shared" si="2806"/>
        <v>0</v>
      </c>
      <c r="FT437" s="368">
        <f t="shared" si="2807"/>
        <v>0</v>
      </c>
      <c r="FU437" s="368"/>
      <c r="FV437" s="368"/>
      <c r="FW437" s="368"/>
      <c r="FX437" s="368"/>
      <c r="FY437" s="368">
        <f t="shared" si="2808"/>
        <v>0</v>
      </c>
      <c r="FZ437" s="368">
        <f t="shared" si="2809"/>
        <v>0</v>
      </c>
      <c r="GA437" s="368">
        <f t="shared" si="2810"/>
        <v>0</v>
      </c>
      <c r="GB437" s="368">
        <f t="shared" si="2811"/>
        <v>0</v>
      </c>
      <c r="GC437" s="368">
        <f t="shared" si="2812"/>
        <v>0</v>
      </c>
      <c r="GD437" s="368">
        <f t="shared" si="2813"/>
        <v>0</v>
      </c>
      <c r="GE437" s="368">
        <f t="shared" si="2814"/>
        <v>0</v>
      </c>
      <c r="GF437" s="368">
        <f t="shared" si="2815"/>
        <v>0</v>
      </c>
      <c r="GG437" s="368">
        <f t="shared" si="2816"/>
        <v>0</v>
      </c>
      <c r="GH437" s="368">
        <f t="shared" si="2817"/>
        <v>0</v>
      </c>
      <c r="GI437" s="368">
        <f t="shared" si="2818"/>
        <v>0</v>
      </c>
      <c r="GJ437" s="368">
        <f t="shared" si="2819"/>
        <v>0</v>
      </c>
      <c r="GK437" s="368">
        <f t="shared" si="2761"/>
        <v>0</v>
      </c>
      <c r="GL437" s="368"/>
      <c r="GM437" s="368">
        <f t="shared" si="2820"/>
        <v>0</v>
      </c>
    </row>
    <row r="438" spans="1:195" ht="30.75" customHeight="1">
      <c r="A438" s="337">
        <f>1+A436</f>
        <v>306</v>
      </c>
      <c r="B438" s="337"/>
      <c r="C438" s="337" t="str">
        <f t="shared" si="2763"/>
        <v>CENTRAL CONTROL BUILDING HVAC DB</v>
      </c>
      <c r="D438" s="372" t="s">
        <v>915</v>
      </c>
      <c r="E438" s="453" t="s">
        <v>555</v>
      </c>
      <c r="F438" s="858"/>
      <c r="G438" s="337" t="s">
        <v>329</v>
      </c>
      <c r="H438" s="350">
        <v>1.5</v>
      </c>
      <c r="I438" s="337" t="s">
        <v>330</v>
      </c>
      <c r="J438" s="337" t="s">
        <v>357</v>
      </c>
      <c r="K438" s="349">
        <v>230</v>
      </c>
      <c r="L438" s="343">
        <v>0.84999999999999987</v>
      </c>
      <c r="M438" s="350">
        <v>0.95099999999999985</v>
      </c>
      <c r="N438" s="342">
        <f t="shared" si="2738"/>
        <v>8.0679645332279151</v>
      </c>
      <c r="O438" s="342">
        <f t="shared" si="2739"/>
        <v>0</v>
      </c>
      <c r="P438" s="343" t="str">
        <f t="shared" si="2740"/>
        <v>0.00</v>
      </c>
      <c r="Q438" s="350">
        <v>25</v>
      </c>
      <c r="R438" s="350">
        <v>0</v>
      </c>
      <c r="S438" s="350">
        <f t="shared" si="2741"/>
        <v>0</v>
      </c>
      <c r="T438" s="343" t="s">
        <v>131</v>
      </c>
      <c r="U438" s="350" t="s">
        <v>333</v>
      </c>
      <c r="V438" s="343">
        <v>4</v>
      </c>
      <c r="W438" s="343" t="str">
        <f t="shared" si="2742"/>
        <v>3C X 4</v>
      </c>
      <c r="X438" s="343" t="str">
        <f t="shared" si="2743"/>
        <v>3C X 4</v>
      </c>
      <c r="Y438" s="343" t="s">
        <v>358</v>
      </c>
      <c r="Z438" s="344">
        <f>IF(T438="AIR",VLOOKUP(W438,'Catalogue Aluminium'!$B$9:$G$93,2,FALSE),IF(T438="GROUND",VLOOKUP(W438,'Catalogue Aluminium'!$B$9:$G$93,3,FALSE),IF(T438="DUCT",VLOOKUP(W438,'Catalogue Aluminium'!$B$9:$G$93,4,FALSE),IF(T438="TRENCH",VLOOKUP(W438,'Catalogue Aluminium'!$B$9:$G$93,2,FALSE)))))</f>
        <v>38</v>
      </c>
      <c r="AA438" s="345">
        <f>VLOOKUP(W438,'Catalogue Aluminium'!$B$9:$G$93,5,FALSE)</f>
        <v>5.9</v>
      </c>
      <c r="AB438" s="345">
        <f>VLOOKUP(W438,'Catalogue Aluminium'!$B$9:$G$93,6,FALSE)</f>
        <v>9.4700000000000006E-2</v>
      </c>
      <c r="AC438" s="863">
        <f t="shared" si="2744"/>
        <v>38</v>
      </c>
      <c r="AD438" s="863">
        <v>0</v>
      </c>
      <c r="AE438" s="401">
        <v>10</v>
      </c>
      <c r="AF438" s="401">
        <v>5</v>
      </c>
      <c r="AG438" s="401">
        <f t="shared" si="2745"/>
        <v>6</v>
      </c>
      <c r="AH438" s="347">
        <f t="shared" si="2746"/>
        <v>59</v>
      </c>
      <c r="AI438" s="344">
        <f>IF(T438="AIR",'Catalogue Aluminium'!$K$9,IF(T438="TRENCH",'Catalogue Aluminium'!$K$12,"NA"))</f>
        <v>0.89</v>
      </c>
      <c r="AJ438" s="342">
        <f>IF(T438="Air",(IF(U438="1C",'Catalogue Aluminium'!$L$9,'Catalogue Aluminium'!$M$9)),IF(T438="DUCT",(IF($U438="1C",'Catalogue Aluminium'!$L$10,'Catalogue Aluminium'!$M$10)),IF(T438="GROUND",(IF($U438="1C",'Catalogue Aluminium'!$L$11,'Catalogue Aluminium'!$M$11)),IF(T438="TRENCH",(IF($U438="1C",'Catalogue Aluminium'!$L$12,'Catalogue Aluminium'!$M$12))))))</f>
        <v>0.66</v>
      </c>
      <c r="AK438" s="344" t="str">
        <f>IF(T438="Air",'Catalogue Aluminium'!$N$9,IF(T438="GROUND",'Catalogue Aluminium'!$N$10,IF(T438="DUCT",'Catalogue Aluminium'!$N$11,IF(T438="TRENCH",'Catalogue Aluminium'!$N$12,"NA"))))</f>
        <v>NA</v>
      </c>
      <c r="AL438" s="344" t="str">
        <f>IF(T438="Air",(IF(U438="1C",'Catalogue Aluminium'!$O$9,'Catalogue Aluminium'!$P$9)),IF(T438="DUCT",(IF($U438="1C",'Catalogue Aluminium'!$O$10,'Catalogue Aluminium'!$P$10)),IF(T438="GROUND",(IF($U438="1C",'Catalogue Aluminium'!$O$11,'Catalogue Aluminium'!$P$11)),IF(T438="TRENCH",(IF($U438="1C",'Catalogue Aluminium'!$O$12,'Catalogue Aluminium'!$P$12))))))</f>
        <v>NA</v>
      </c>
      <c r="AM438" s="344" t="str">
        <f>IF(T438="AIR","NA",IF(T438="TRENCH","NA",IF(T438="DUCT",IF(U438="1C",VLOOKUP(V438,'Catalogue Aluminium'!$Q$9:$S$28,2,FALSE),VLOOKUP(V438,'Catalogue Aluminium'!$Q$9:$S$28,3)),IF(T438="GROUND",IF(U438="1C",VLOOKUP(V438,'Catalogue Aluminium'!$Q$9:$S$28,2,FALSE),VLOOKUP(V438,'Catalogue Aluminium'!$Q$9:$S$28,3))))))</f>
        <v>NA</v>
      </c>
      <c r="AN438" s="351">
        <f t="shared" si="2747"/>
        <v>0.58740000000000003</v>
      </c>
      <c r="AO438" s="350">
        <f t="shared" si="2748"/>
        <v>22.321200000000001</v>
      </c>
      <c r="AP438" s="349">
        <f t="shared" si="2749"/>
        <v>1</v>
      </c>
      <c r="AQ438" s="350" t="str">
        <f t="shared" si="2750"/>
        <v>YES</v>
      </c>
      <c r="AR438" s="351">
        <f t="shared" si="2751"/>
        <v>1.8155929412338154</v>
      </c>
      <c r="AS438" s="343" t="str">
        <f t="shared" si="2752"/>
        <v>YES</v>
      </c>
      <c r="AT438" s="351" t="str">
        <f t="shared" si="2753"/>
        <v>NA</v>
      </c>
      <c r="AU438" s="343" t="str">
        <f t="shared" si="2754"/>
        <v>NA</v>
      </c>
      <c r="AV438" s="354" t="str">
        <f t="shared" si="2755"/>
        <v>1R x 0.6/1kV x 3C x 4 Sqmm</v>
      </c>
      <c r="AW438" s="354" t="str">
        <f t="shared" si="2756"/>
        <v>1R x 0.6/1kV x 3C x 4 Sqmm</v>
      </c>
      <c r="AX438" s="343">
        <f>(IF(K438=400,(IF(U438="1C",(4*AH438*AP438),(AH438*AP438))),IF(K438=690,(IF(U438="1C",(3*AH438*AP438),(AH438*AP438))),(AH438*AP438))))</f>
        <v>59</v>
      </c>
      <c r="AY438" s="355"/>
      <c r="AZ438" s="355">
        <f>IF(U438="1C",(3*AP438*2),(AP438*2))</f>
        <v>2</v>
      </c>
      <c r="BA438" s="356" t="str">
        <f t="shared" si="2759"/>
        <v/>
      </c>
      <c r="BB438" s="501">
        <f>VLOOKUP(W438,'Catalogue Aluminium'!$B$9:$H$93,7,FALSE)</f>
        <v>15</v>
      </c>
      <c r="BC438" s="328">
        <f>AP438*BB438</f>
        <v>15</v>
      </c>
      <c r="BE438" s="336"/>
      <c r="BF438" s="336"/>
      <c r="BG438" s="336"/>
      <c r="BH438" s="336"/>
      <c r="BI438" s="336"/>
      <c r="BJ438" s="336"/>
      <c r="BK438" s="336"/>
      <c r="BL438" s="336"/>
      <c r="BM438" s="336"/>
      <c r="BN438" s="336"/>
      <c r="BO438" s="336"/>
      <c r="BP438" s="336"/>
      <c r="BQ438" s="336"/>
      <c r="BR438" s="336"/>
      <c r="BS438" s="336"/>
      <c r="BT438" s="336"/>
      <c r="BU438" s="336"/>
      <c r="BV438" s="336"/>
      <c r="BW438" s="336"/>
      <c r="BX438" s="336"/>
      <c r="BY438" s="336"/>
      <c r="BZ438" s="336"/>
      <c r="CA438" s="336"/>
      <c r="CB438" s="336"/>
      <c r="CC438" s="336"/>
      <c r="CD438" s="336"/>
      <c r="CE438" s="336"/>
      <c r="CF438" s="336"/>
      <c r="CG438" s="336"/>
      <c r="CH438" s="336"/>
      <c r="CI438" s="336"/>
      <c r="CJ438" s="336"/>
      <c r="CK438" s="336"/>
      <c r="CL438" s="336"/>
      <c r="CM438" s="336"/>
      <c r="CN438" s="336"/>
      <c r="CO438" s="336"/>
      <c r="CP438" s="336"/>
      <c r="CQ438" s="336"/>
      <c r="CR438" s="336"/>
      <c r="CS438" s="336"/>
      <c r="CT438" s="336"/>
      <c r="CU438" s="336"/>
      <c r="CV438" s="336"/>
      <c r="CW438" s="336"/>
      <c r="CX438" s="336"/>
      <c r="CY438" s="336"/>
      <c r="CZ438" s="336"/>
      <c r="DA438" s="336"/>
      <c r="DB438" s="336"/>
      <c r="DC438" s="336"/>
      <c r="DD438" s="336"/>
      <c r="DE438" s="336"/>
      <c r="DF438" s="336"/>
      <c r="DG438" s="336"/>
      <c r="DH438" s="336"/>
      <c r="DI438" s="336"/>
      <c r="DJ438" s="336"/>
      <c r="DK438" s="336"/>
      <c r="DL438" s="336"/>
      <c r="DM438" s="336"/>
      <c r="DN438" s="336"/>
      <c r="DO438" s="336"/>
      <c r="DP438" s="336"/>
      <c r="DQ438" s="336"/>
      <c r="DR438" s="336"/>
      <c r="DS438" s="336"/>
      <c r="DT438" s="336"/>
      <c r="DU438" s="336"/>
      <c r="DW438" s="336">
        <f t="shared" si="2731"/>
        <v>0</v>
      </c>
      <c r="DX438" s="336">
        <f t="shared" si="2732"/>
        <v>0</v>
      </c>
      <c r="DY438" s="336">
        <f t="shared" si="2733"/>
        <v>0</v>
      </c>
      <c r="DZ438" s="336">
        <f t="shared" si="2734"/>
        <v>0</v>
      </c>
      <c r="EA438" s="336">
        <f t="shared" si="2735"/>
        <v>0</v>
      </c>
      <c r="EB438" s="336">
        <f t="shared" si="2736"/>
        <v>0</v>
      </c>
      <c r="EC438" s="336">
        <f t="shared" si="2737"/>
        <v>0</v>
      </c>
      <c r="ED438" s="336">
        <f t="shared" si="2766"/>
        <v>0</v>
      </c>
      <c r="EE438" s="336">
        <f t="shared" si="2767"/>
        <v>0</v>
      </c>
      <c r="EF438" s="336">
        <f t="shared" si="2768"/>
        <v>0</v>
      </c>
      <c r="EG438" s="336">
        <f t="shared" si="2769"/>
        <v>0</v>
      </c>
      <c r="EH438" s="336">
        <f t="shared" si="2770"/>
        <v>0</v>
      </c>
      <c r="EI438" s="336">
        <f t="shared" si="2771"/>
        <v>0</v>
      </c>
      <c r="EJ438" s="336">
        <f t="shared" si="2772"/>
        <v>0</v>
      </c>
      <c r="EK438" s="336">
        <f t="shared" si="2773"/>
        <v>0</v>
      </c>
      <c r="EL438" s="336">
        <f t="shared" si="2774"/>
        <v>0</v>
      </c>
      <c r="EM438" s="336">
        <f t="shared" si="2775"/>
        <v>0</v>
      </c>
      <c r="EN438" s="336">
        <f t="shared" si="2776"/>
        <v>0</v>
      </c>
      <c r="EO438" s="336">
        <f t="shared" si="2777"/>
        <v>0</v>
      </c>
      <c r="EP438" s="336">
        <f t="shared" si="2778"/>
        <v>0</v>
      </c>
      <c r="EQ438" s="336">
        <f t="shared" si="2779"/>
        <v>0</v>
      </c>
      <c r="ER438" s="336">
        <f t="shared" si="2780"/>
        <v>0</v>
      </c>
      <c r="ES438" s="336">
        <f t="shared" si="2781"/>
        <v>0</v>
      </c>
      <c r="ET438" s="336">
        <f t="shared" si="2781"/>
        <v>0</v>
      </c>
      <c r="EU438" s="336">
        <f t="shared" si="2782"/>
        <v>0</v>
      </c>
      <c r="EV438" s="336">
        <f t="shared" si="2783"/>
        <v>0</v>
      </c>
      <c r="EW438" s="336">
        <f t="shared" si="2784"/>
        <v>0</v>
      </c>
      <c r="EX438" s="336">
        <f t="shared" si="2785"/>
        <v>0</v>
      </c>
      <c r="EY438" s="336">
        <f t="shared" si="2786"/>
        <v>0</v>
      </c>
      <c r="EZ438" s="336">
        <f t="shared" si="2787"/>
        <v>0</v>
      </c>
      <c r="FA438" s="336">
        <f t="shared" si="2788"/>
        <v>0</v>
      </c>
      <c r="FB438" s="336">
        <f t="shared" si="2789"/>
        <v>0</v>
      </c>
      <c r="FC438" s="336">
        <f t="shared" si="2790"/>
        <v>0</v>
      </c>
      <c r="FD438" s="336">
        <f t="shared" si="2791"/>
        <v>0</v>
      </c>
      <c r="FE438" s="336">
        <f t="shared" si="2792"/>
        <v>0</v>
      </c>
      <c r="FF438" s="336">
        <f t="shared" si="2793"/>
        <v>0</v>
      </c>
      <c r="FG438" s="336">
        <f t="shared" si="2794"/>
        <v>0</v>
      </c>
      <c r="FH438" s="336">
        <f t="shared" si="2795"/>
        <v>0</v>
      </c>
      <c r="FI438" s="336">
        <f t="shared" si="2796"/>
        <v>0</v>
      </c>
      <c r="FJ438" s="336">
        <f t="shared" si="2797"/>
        <v>0</v>
      </c>
      <c r="FK438" s="336">
        <f t="shared" si="2798"/>
        <v>0</v>
      </c>
      <c r="FL438" s="336">
        <f t="shared" si="2799"/>
        <v>0</v>
      </c>
      <c r="FM438" s="336">
        <f t="shared" si="2800"/>
        <v>0</v>
      </c>
      <c r="FN438" s="336">
        <f t="shared" si="2801"/>
        <v>0</v>
      </c>
      <c r="FO438" s="336">
        <f t="shared" si="2802"/>
        <v>0</v>
      </c>
      <c r="FP438" s="336">
        <f t="shared" si="2803"/>
        <v>0</v>
      </c>
      <c r="FQ438" s="336">
        <f t="shared" si="2804"/>
        <v>0</v>
      </c>
      <c r="FR438" s="336">
        <f t="shared" si="2805"/>
        <v>0</v>
      </c>
      <c r="FS438" s="336">
        <f t="shared" si="2806"/>
        <v>0</v>
      </c>
      <c r="FT438" s="336">
        <f t="shared" si="2807"/>
        <v>0</v>
      </c>
      <c r="FU438" s="336">
        <f t="shared" ref="FU438:FU443" si="2821">IF(DC438=1,($BC438*DC438),0)</f>
        <v>0</v>
      </c>
      <c r="FV438" s="336">
        <f t="shared" ref="FV438:FV443" si="2822">IF(DD438=1,($BC438*DD438),0)</f>
        <v>0</v>
      </c>
      <c r="FW438" s="336">
        <f t="shared" ref="FW438:FW443" si="2823">IF(DE438=1,($BC438*DE438),0)</f>
        <v>0</v>
      </c>
      <c r="FX438" s="336">
        <f t="shared" ref="FX438:FX443" si="2824">IF(DF438=1,($BC438*DF438),0)</f>
        <v>0</v>
      </c>
      <c r="FY438" s="336">
        <f t="shared" si="2808"/>
        <v>0</v>
      </c>
      <c r="FZ438" s="336">
        <f t="shared" si="2809"/>
        <v>0</v>
      </c>
      <c r="GA438" s="336">
        <f t="shared" si="2810"/>
        <v>0</v>
      </c>
      <c r="GB438" s="336">
        <f t="shared" si="2811"/>
        <v>0</v>
      </c>
      <c r="GC438" s="336">
        <f t="shared" si="2812"/>
        <v>0</v>
      </c>
      <c r="GD438" s="336">
        <f t="shared" si="2813"/>
        <v>0</v>
      </c>
      <c r="GE438" s="336">
        <f t="shared" si="2814"/>
        <v>0</v>
      </c>
      <c r="GF438" s="336">
        <f t="shared" si="2815"/>
        <v>0</v>
      </c>
      <c r="GG438" s="336">
        <f t="shared" si="2816"/>
        <v>0</v>
      </c>
      <c r="GH438" s="336">
        <f t="shared" si="2817"/>
        <v>0</v>
      </c>
      <c r="GI438" s="336">
        <f t="shared" si="2818"/>
        <v>0</v>
      </c>
      <c r="GJ438" s="336">
        <f t="shared" si="2819"/>
        <v>0</v>
      </c>
      <c r="GK438" s="336">
        <f t="shared" si="2761"/>
        <v>0</v>
      </c>
      <c r="GL438" s="336">
        <f t="shared" ref="GL438:GL443" si="2825">IF(DT438=1,($BC438*DT438),0)</f>
        <v>0</v>
      </c>
      <c r="GM438" s="336">
        <f t="shared" si="2820"/>
        <v>0</v>
      </c>
    </row>
    <row r="439" spans="1:195" ht="30.75" customHeight="1">
      <c r="A439" s="337">
        <f t="shared" si="2762"/>
        <v>307</v>
      </c>
      <c r="B439" s="337"/>
      <c r="C439" s="337" t="str">
        <f t="shared" si="2763"/>
        <v>CENTRAL CONTROL BUILDING HVAC DB</v>
      </c>
      <c r="D439" s="372" t="s">
        <v>766</v>
      </c>
      <c r="E439" s="453" t="s">
        <v>555</v>
      </c>
      <c r="F439" s="858"/>
      <c r="G439" s="337" t="s">
        <v>329</v>
      </c>
      <c r="H439" s="583">
        <v>3.5</v>
      </c>
      <c r="I439" s="337" t="s">
        <v>330</v>
      </c>
      <c r="J439" s="337" t="s">
        <v>357</v>
      </c>
      <c r="K439" s="349">
        <v>230</v>
      </c>
      <c r="L439" s="343">
        <v>0.84999999999999987</v>
      </c>
      <c r="M439" s="350">
        <v>0.95099999999999985</v>
      </c>
      <c r="N439" s="342">
        <f t="shared" si="2738"/>
        <v>18.825250577531801</v>
      </c>
      <c r="O439" s="342">
        <f t="shared" si="2739"/>
        <v>0</v>
      </c>
      <c r="P439" s="343" t="str">
        <f t="shared" si="2740"/>
        <v>0.00</v>
      </c>
      <c r="Q439" s="350">
        <v>25</v>
      </c>
      <c r="R439" s="350">
        <v>0</v>
      </c>
      <c r="S439" s="350">
        <f t="shared" si="2741"/>
        <v>0</v>
      </c>
      <c r="T439" s="343" t="s">
        <v>131</v>
      </c>
      <c r="U439" s="350" t="s">
        <v>333</v>
      </c>
      <c r="V439" s="343">
        <v>16</v>
      </c>
      <c r="W439" s="343" t="str">
        <f t="shared" si="2742"/>
        <v>3C X 16</v>
      </c>
      <c r="X439" s="343" t="str">
        <f t="shared" si="2743"/>
        <v>3C X 16</v>
      </c>
      <c r="Y439" s="343" t="s">
        <v>358</v>
      </c>
      <c r="Z439" s="344">
        <f>IF(T439="AIR",VLOOKUP(W439,'Catalogue Aluminium'!$B$9:$G$93,2,FALSE),IF(T439="GROUND",VLOOKUP(W439,'Catalogue Aluminium'!$B$9:$G$93,3,FALSE),IF(T439="DUCT",VLOOKUP(W439,'Catalogue Aluminium'!$B$9:$G$93,4,FALSE),IF(T439="TRENCH",VLOOKUP(W439,'Catalogue Aluminium'!$B$9:$G$93,2,FALSE)))))</f>
        <v>70</v>
      </c>
      <c r="AA439" s="345">
        <f>VLOOKUP(W439,'Catalogue Aluminium'!$B$9:$G$93,5,FALSE)</f>
        <v>2.44</v>
      </c>
      <c r="AB439" s="345">
        <f>VLOOKUP(W439,'Catalogue Aluminium'!$B$9:$G$93,6,FALSE)</f>
        <v>8.1500000000000003E-2</v>
      </c>
      <c r="AC439" s="863">
        <f t="shared" si="2744"/>
        <v>38</v>
      </c>
      <c r="AD439" s="863">
        <v>0</v>
      </c>
      <c r="AE439" s="401">
        <v>5</v>
      </c>
      <c r="AF439" s="401">
        <v>8</v>
      </c>
      <c r="AG439" s="401">
        <f t="shared" si="2745"/>
        <v>6</v>
      </c>
      <c r="AH439" s="347">
        <f t="shared" si="2746"/>
        <v>57</v>
      </c>
      <c r="AI439" s="344">
        <f>IF(T439="AIR",'Catalogue Aluminium'!$K$9,IF(T439="TRENCH",'Catalogue Aluminium'!$K$12,"NA"))</f>
        <v>0.89</v>
      </c>
      <c r="AJ439" s="342">
        <f>IF(T439="Air",(IF(U439="1C",'Catalogue Aluminium'!$L$9,'Catalogue Aluminium'!$M$9)),IF(T439="DUCT",(IF($U439="1C",'Catalogue Aluminium'!$L$10,'Catalogue Aluminium'!$M$10)),IF(T439="GROUND",(IF($U439="1C",'Catalogue Aluminium'!$L$11,'Catalogue Aluminium'!$M$11)),IF(T439="TRENCH",(IF($U439="1C",'Catalogue Aluminium'!$L$12,'Catalogue Aluminium'!$M$12))))))</f>
        <v>0.66</v>
      </c>
      <c r="AK439" s="344" t="str">
        <f>IF(T439="Air",'Catalogue Aluminium'!$N$9,IF(T439="GROUND",'Catalogue Aluminium'!$N$10,IF(T439="DUCT",'Catalogue Aluminium'!$N$11,IF(T439="TRENCH",'Catalogue Aluminium'!$N$12,"NA"))))</f>
        <v>NA</v>
      </c>
      <c r="AL439" s="344" t="str">
        <f>IF(T439="Air",(IF(U439="1C",'Catalogue Aluminium'!$O$9,'Catalogue Aluminium'!$P$9)),IF(T439="DUCT",(IF($U439="1C",'Catalogue Aluminium'!$O$10,'Catalogue Aluminium'!$P$10)),IF(T439="GROUND",(IF($U439="1C",'Catalogue Aluminium'!$O$11,'Catalogue Aluminium'!$P$11)),IF(T439="TRENCH",(IF($U439="1C",'Catalogue Aluminium'!$O$12,'Catalogue Aluminium'!$P$12))))))</f>
        <v>NA</v>
      </c>
      <c r="AM439" s="344" t="str">
        <f>IF(T439="AIR","NA",IF(T439="TRENCH","NA",IF(T439="DUCT",IF(U439="1C",VLOOKUP(V439,'Catalogue Aluminium'!$Q$9:$S$28,2,FALSE),VLOOKUP(V439,'Catalogue Aluminium'!$Q$9:$S$28,3)),IF(T439="GROUND",IF(U439="1C",VLOOKUP(V439,'Catalogue Aluminium'!$Q$9:$S$28,2,FALSE),VLOOKUP(V439,'Catalogue Aluminium'!$Q$9:$S$28,3))))))</f>
        <v>NA</v>
      </c>
      <c r="AN439" s="351">
        <f t="shared" si="2747"/>
        <v>0.58740000000000003</v>
      </c>
      <c r="AO439" s="350">
        <f t="shared" si="2748"/>
        <v>41.118000000000002</v>
      </c>
      <c r="AP439" s="349">
        <f t="shared" si="2749"/>
        <v>1</v>
      </c>
      <c r="AQ439" s="350" t="str">
        <f t="shared" si="2750"/>
        <v>YES</v>
      </c>
      <c r="AR439" s="351">
        <f t="shared" si="2751"/>
        <v>1.7106276298617451</v>
      </c>
      <c r="AS439" s="343" t="str">
        <f t="shared" si="2752"/>
        <v>YES</v>
      </c>
      <c r="AT439" s="351" t="str">
        <f t="shared" si="2753"/>
        <v>NA</v>
      </c>
      <c r="AU439" s="343" t="str">
        <f t="shared" si="2754"/>
        <v>NA</v>
      </c>
      <c r="AV439" s="354" t="str">
        <f t="shared" si="2755"/>
        <v>1R x 0.6/1kV x 3C x 16 Sqmm</v>
      </c>
      <c r="AW439" s="354" t="str">
        <f t="shared" si="2756"/>
        <v>1R x 0.6/1kV x 3C x 16 Sqmm</v>
      </c>
      <c r="AX439" s="343">
        <f>(IF(K439=400,(IF(U439="1C",(4*AH439*AP439),(AH439*AP439))),IF(K439=690,(IF(U439="1C",(3*AH439*AP439),(AH439*AP439))),(AH439*AP439))))</f>
        <v>57</v>
      </c>
      <c r="AY439" s="355"/>
      <c r="AZ439" s="355">
        <f>IF(U439="1C",(3*AP439*2),(AP439*2))</f>
        <v>2</v>
      </c>
      <c r="BA439" s="356" t="str">
        <f t="shared" si="2759"/>
        <v/>
      </c>
      <c r="BB439" s="501">
        <f>VLOOKUP(W439,'Catalogue Aluminium'!$B$9:$H$93,7,FALSE)</f>
        <v>19</v>
      </c>
      <c r="BC439" s="328">
        <f>AP439*BB439</f>
        <v>19</v>
      </c>
      <c r="BE439" s="336"/>
      <c r="BF439" s="336"/>
      <c r="BG439" s="336"/>
      <c r="BH439" s="336"/>
      <c r="BI439" s="336"/>
      <c r="BJ439" s="336"/>
      <c r="BK439" s="336"/>
      <c r="BL439" s="336"/>
      <c r="BM439" s="336"/>
      <c r="BN439" s="336"/>
      <c r="BO439" s="336"/>
      <c r="BP439" s="336"/>
      <c r="BQ439" s="336"/>
      <c r="BR439" s="336"/>
      <c r="BS439" s="336"/>
      <c r="BT439" s="336"/>
      <c r="BU439" s="336"/>
      <c r="BV439" s="336"/>
      <c r="BW439" s="336"/>
      <c r="BX439" s="336"/>
      <c r="BY439" s="336"/>
      <c r="BZ439" s="336"/>
      <c r="CA439" s="336"/>
      <c r="CB439" s="336"/>
      <c r="CC439" s="336"/>
      <c r="CD439" s="336"/>
      <c r="CE439" s="336"/>
      <c r="CF439" s="336"/>
      <c r="CG439" s="336"/>
      <c r="CH439" s="336"/>
      <c r="CI439" s="336"/>
      <c r="CJ439" s="336"/>
      <c r="CK439" s="336"/>
      <c r="CL439" s="336"/>
      <c r="CM439" s="336"/>
      <c r="CN439" s="336"/>
      <c r="CO439" s="336"/>
      <c r="CP439" s="336"/>
      <c r="CQ439" s="336"/>
      <c r="CR439" s="336"/>
      <c r="CS439" s="336"/>
      <c r="CT439" s="336"/>
      <c r="CU439" s="336"/>
      <c r="CV439" s="336"/>
      <c r="CW439" s="336"/>
      <c r="CX439" s="336"/>
      <c r="CY439" s="336"/>
      <c r="CZ439" s="336"/>
      <c r="DA439" s="336"/>
      <c r="DB439" s="336"/>
      <c r="DC439" s="336"/>
      <c r="DD439" s="336"/>
      <c r="DE439" s="336"/>
      <c r="DF439" s="336"/>
      <c r="DG439" s="336"/>
      <c r="DH439" s="336"/>
      <c r="DI439" s="336"/>
      <c r="DJ439" s="336"/>
      <c r="DK439" s="336"/>
      <c r="DL439" s="336"/>
      <c r="DM439" s="336"/>
      <c r="DN439" s="336"/>
      <c r="DO439" s="336"/>
      <c r="DP439" s="336"/>
      <c r="DQ439" s="336"/>
      <c r="DR439" s="336"/>
      <c r="DS439" s="336"/>
      <c r="DT439" s="336"/>
      <c r="DU439" s="336"/>
      <c r="DW439" s="336">
        <f t="shared" si="2731"/>
        <v>0</v>
      </c>
      <c r="DX439" s="336">
        <f t="shared" si="2732"/>
        <v>0</v>
      </c>
      <c r="DY439" s="336">
        <f t="shared" si="2733"/>
        <v>0</v>
      </c>
      <c r="DZ439" s="336">
        <f t="shared" si="2734"/>
        <v>0</v>
      </c>
      <c r="EA439" s="336">
        <f t="shared" si="2735"/>
        <v>0</v>
      </c>
      <c r="EB439" s="336">
        <f t="shared" si="2736"/>
        <v>0</v>
      </c>
      <c r="EC439" s="336">
        <f t="shared" si="2737"/>
        <v>0</v>
      </c>
      <c r="ED439" s="336">
        <f t="shared" si="2766"/>
        <v>0</v>
      </c>
      <c r="EE439" s="336">
        <f t="shared" si="2767"/>
        <v>0</v>
      </c>
      <c r="EF439" s="336">
        <f t="shared" si="2768"/>
        <v>0</v>
      </c>
      <c r="EG439" s="336">
        <f t="shared" si="2769"/>
        <v>0</v>
      </c>
      <c r="EH439" s="336">
        <f t="shared" si="2770"/>
        <v>0</v>
      </c>
      <c r="EI439" s="336">
        <f t="shared" si="2771"/>
        <v>0</v>
      </c>
      <c r="EJ439" s="336">
        <f t="shared" si="2772"/>
        <v>0</v>
      </c>
      <c r="EK439" s="336">
        <f t="shared" si="2773"/>
        <v>0</v>
      </c>
      <c r="EL439" s="336">
        <f t="shared" si="2774"/>
        <v>0</v>
      </c>
      <c r="EM439" s="336">
        <f t="shared" si="2775"/>
        <v>0</v>
      </c>
      <c r="EN439" s="336">
        <f t="shared" si="2776"/>
        <v>0</v>
      </c>
      <c r="EO439" s="336">
        <f t="shared" si="2777"/>
        <v>0</v>
      </c>
      <c r="EP439" s="336">
        <f t="shared" si="2778"/>
        <v>0</v>
      </c>
      <c r="EQ439" s="336">
        <f t="shared" si="2779"/>
        <v>0</v>
      </c>
      <c r="ER439" s="336">
        <f t="shared" si="2780"/>
        <v>0</v>
      </c>
      <c r="ES439" s="336">
        <f t="shared" si="2781"/>
        <v>0</v>
      </c>
      <c r="ET439" s="336">
        <f t="shared" si="2781"/>
        <v>0</v>
      </c>
      <c r="EU439" s="336">
        <f t="shared" si="2782"/>
        <v>0</v>
      </c>
      <c r="EV439" s="336">
        <f t="shared" si="2783"/>
        <v>0</v>
      </c>
      <c r="EW439" s="336">
        <f t="shared" si="2784"/>
        <v>0</v>
      </c>
      <c r="EX439" s="336">
        <f t="shared" si="2785"/>
        <v>0</v>
      </c>
      <c r="EY439" s="336">
        <f t="shared" si="2786"/>
        <v>0</v>
      </c>
      <c r="EZ439" s="336">
        <f t="shared" si="2787"/>
        <v>0</v>
      </c>
      <c r="FA439" s="336">
        <f t="shared" si="2788"/>
        <v>0</v>
      </c>
      <c r="FB439" s="336">
        <f t="shared" si="2789"/>
        <v>0</v>
      </c>
      <c r="FC439" s="336">
        <f t="shared" si="2790"/>
        <v>0</v>
      </c>
      <c r="FD439" s="336">
        <f t="shared" si="2791"/>
        <v>0</v>
      </c>
      <c r="FE439" s="336">
        <f t="shared" si="2792"/>
        <v>0</v>
      </c>
      <c r="FF439" s="336">
        <f t="shared" si="2793"/>
        <v>0</v>
      </c>
      <c r="FG439" s="336">
        <f t="shared" si="2794"/>
        <v>0</v>
      </c>
      <c r="FH439" s="336">
        <f t="shared" si="2795"/>
        <v>0</v>
      </c>
      <c r="FI439" s="336">
        <f t="shared" si="2796"/>
        <v>0</v>
      </c>
      <c r="FJ439" s="336">
        <f t="shared" si="2797"/>
        <v>0</v>
      </c>
      <c r="FK439" s="336">
        <f t="shared" si="2798"/>
        <v>0</v>
      </c>
      <c r="FL439" s="336">
        <f t="shared" si="2799"/>
        <v>0</v>
      </c>
      <c r="FM439" s="336">
        <f t="shared" si="2800"/>
        <v>0</v>
      </c>
      <c r="FN439" s="336">
        <f t="shared" si="2801"/>
        <v>0</v>
      </c>
      <c r="FO439" s="336">
        <f t="shared" si="2802"/>
        <v>0</v>
      </c>
      <c r="FP439" s="336">
        <f t="shared" si="2803"/>
        <v>0</v>
      </c>
      <c r="FQ439" s="336">
        <f t="shared" si="2804"/>
        <v>0</v>
      </c>
      <c r="FR439" s="336">
        <f t="shared" si="2805"/>
        <v>0</v>
      </c>
      <c r="FS439" s="336">
        <f t="shared" si="2806"/>
        <v>0</v>
      </c>
      <c r="FT439" s="336">
        <f t="shared" si="2807"/>
        <v>0</v>
      </c>
      <c r="FU439" s="336">
        <f t="shared" si="2821"/>
        <v>0</v>
      </c>
      <c r="FV439" s="336">
        <f t="shared" si="2822"/>
        <v>0</v>
      </c>
      <c r="FW439" s="336">
        <f t="shared" si="2823"/>
        <v>0</v>
      </c>
      <c r="FX439" s="336">
        <f t="shared" si="2824"/>
        <v>0</v>
      </c>
      <c r="FY439" s="336">
        <f t="shared" si="2808"/>
        <v>0</v>
      </c>
      <c r="FZ439" s="336">
        <f t="shared" si="2809"/>
        <v>0</v>
      </c>
      <c r="GA439" s="336">
        <f t="shared" si="2810"/>
        <v>0</v>
      </c>
      <c r="GB439" s="336">
        <f t="shared" si="2811"/>
        <v>0</v>
      </c>
      <c r="GC439" s="336">
        <f t="shared" si="2812"/>
        <v>0</v>
      </c>
      <c r="GD439" s="336">
        <f t="shared" si="2813"/>
        <v>0</v>
      </c>
      <c r="GE439" s="336">
        <f t="shared" si="2814"/>
        <v>0</v>
      </c>
      <c r="GF439" s="336">
        <f t="shared" si="2815"/>
        <v>0</v>
      </c>
      <c r="GG439" s="336">
        <f t="shared" si="2816"/>
        <v>0</v>
      </c>
      <c r="GH439" s="336">
        <f t="shared" si="2817"/>
        <v>0</v>
      </c>
      <c r="GI439" s="336">
        <f t="shared" si="2818"/>
        <v>0</v>
      </c>
      <c r="GJ439" s="336">
        <f t="shared" si="2819"/>
        <v>0</v>
      </c>
      <c r="GK439" s="336">
        <f t="shared" si="2761"/>
        <v>0</v>
      </c>
      <c r="GL439" s="336">
        <f t="shared" si="2825"/>
        <v>0</v>
      </c>
      <c r="GM439" s="336">
        <f t="shared" si="2820"/>
        <v>0</v>
      </c>
    </row>
    <row r="440" spans="1:195" ht="30.75" customHeight="1">
      <c r="A440" s="337">
        <f t="shared" si="2762"/>
        <v>308</v>
      </c>
      <c r="B440" s="337"/>
      <c r="C440" s="337" t="str">
        <f t="shared" si="2763"/>
        <v>CENTRAL CONTROL BUILDING HVAC DB</v>
      </c>
      <c r="D440" s="372" t="s">
        <v>767</v>
      </c>
      <c r="E440" s="453" t="s">
        <v>555</v>
      </c>
      <c r="F440" s="858"/>
      <c r="G440" s="337" t="s">
        <v>329</v>
      </c>
      <c r="H440" s="583">
        <v>3.5</v>
      </c>
      <c r="I440" s="337" t="s">
        <v>330</v>
      </c>
      <c r="J440" s="337" t="s">
        <v>357</v>
      </c>
      <c r="K440" s="349">
        <v>230</v>
      </c>
      <c r="L440" s="343">
        <v>0.84999999999999987</v>
      </c>
      <c r="M440" s="350">
        <v>0.95099999999999985</v>
      </c>
      <c r="N440" s="342">
        <f t="shared" si="2738"/>
        <v>18.825250577531801</v>
      </c>
      <c r="O440" s="342">
        <f t="shared" si="2739"/>
        <v>0</v>
      </c>
      <c r="P440" s="343" t="str">
        <f t="shared" si="2740"/>
        <v>0.00</v>
      </c>
      <c r="Q440" s="350">
        <v>25</v>
      </c>
      <c r="R440" s="350">
        <v>0</v>
      </c>
      <c r="S440" s="350">
        <f t="shared" si="2741"/>
        <v>0</v>
      </c>
      <c r="T440" s="343" t="s">
        <v>131</v>
      </c>
      <c r="U440" s="350" t="s">
        <v>333</v>
      </c>
      <c r="V440" s="343">
        <v>16</v>
      </c>
      <c r="W440" s="343" t="str">
        <f t="shared" si="2742"/>
        <v>3C X 16</v>
      </c>
      <c r="X440" s="343" t="str">
        <f t="shared" si="2743"/>
        <v>3C X 16</v>
      </c>
      <c r="Y440" s="343" t="s">
        <v>358</v>
      </c>
      <c r="Z440" s="344">
        <f>IF(T440="AIR",VLOOKUP(W440,'Catalogue Aluminium'!$B$9:$G$93,2,FALSE),IF(T440="GROUND",VLOOKUP(W440,'Catalogue Aluminium'!$B$9:$G$93,3,FALSE),IF(T440="DUCT",VLOOKUP(W440,'Catalogue Aluminium'!$B$9:$G$93,4,FALSE),IF(T440="TRENCH",VLOOKUP(W440,'Catalogue Aluminium'!$B$9:$G$93,2,FALSE)))))</f>
        <v>70</v>
      </c>
      <c r="AA440" s="345">
        <f>VLOOKUP(W440,'Catalogue Aluminium'!$B$9:$G$93,5,FALSE)</f>
        <v>2.44</v>
      </c>
      <c r="AB440" s="345">
        <f>VLOOKUP(W440,'Catalogue Aluminium'!$B$9:$G$93,6,FALSE)</f>
        <v>8.1500000000000003E-2</v>
      </c>
      <c r="AC440" s="863">
        <f t="shared" si="2744"/>
        <v>38</v>
      </c>
      <c r="AD440" s="863">
        <v>0</v>
      </c>
      <c r="AE440" s="401">
        <v>5</v>
      </c>
      <c r="AF440" s="401">
        <v>8</v>
      </c>
      <c r="AG440" s="401">
        <f t="shared" si="2745"/>
        <v>6</v>
      </c>
      <c r="AH440" s="347">
        <f t="shared" si="2746"/>
        <v>57</v>
      </c>
      <c r="AI440" s="344">
        <f>IF(T440="AIR",'Catalogue Aluminium'!$K$9,IF(T440="TRENCH",'Catalogue Aluminium'!$K$12,"NA"))</f>
        <v>0.89</v>
      </c>
      <c r="AJ440" s="342">
        <f>IF(T440="Air",(IF(U440="1C",'Catalogue Aluminium'!$L$9,'Catalogue Aluminium'!$M$9)),IF(T440="DUCT",(IF($U440="1C",'Catalogue Aluminium'!$L$10,'Catalogue Aluminium'!$M$10)),IF(T440="GROUND",(IF($U440="1C",'Catalogue Aluminium'!$L$11,'Catalogue Aluminium'!$M$11)),IF(T440="TRENCH",(IF($U440="1C",'Catalogue Aluminium'!$L$12,'Catalogue Aluminium'!$M$12))))))</f>
        <v>0.66</v>
      </c>
      <c r="AK440" s="344" t="str">
        <f>IF(T440="Air",'Catalogue Aluminium'!$N$9,IF(T440="GROUND",'Catalogue Aluminium'!$N$10,IF(T440="DUCT",'Catalogue Aluminium'!$N$11,IF(T440="TRENCH",'Catalogue Aluminium'!$N$12,"NA"))))</f>
        <v>NA</v>
      </c>
      <c r="AL440" s="344" t="str">
        <f>IF(T440="Air",(IF(U440="1C",'Catalogue Aluminium'!$O$9,'Catalogue Aluminium'!$P$9)),IF(T440="DUCT",(IF($U440="1C",'Catalogue Aluminium'!$O$10,'Catalogue Aluminium'!$P$10)),IF(T440="GROUND",(IF($U440="1C",'Catalogue Aluminium'!$O$11,'Catalogue Aluminium'!$P$11)),IF(T440="TRENCH",(IF($U440="1C",'Catalogue Aluminium'!$O$12,'Catalogue Aluminium'!$P$12))))))</f>
        <v>NA</v>
      </c>
      <c r="AM440" s="344" t="str">
        <f>IF(T440="AIR","NA",IF(T440="TRENCH","NA",IF(T440="DUCT",IF(U440="1C",VLOOKUP(V440,'Catalogue Aluminium'!$Q$9:$S$28,2,FALSE),VLOOKUP(V440,'Catalogue Aluminium'!$Q$9:$S$28,3)),IF(T440="GROUND",IF(U440="1C",VLOOKUP(V440,'Catalogue Aluminium'!$Q$9:$S$28,2,FALSE),VLOOKUP(V440,'Catalogue Aluminium'!$Q$9:$S$28,3))))))</f>
        <v>NA</v>
      </c>
      <c r="AN440" s="351">
        <f t="shared" si="2747"/>
        <v>0.58740000000000003</v>
      </c>
      <c r="AO440" s="350">
        <f t="shared" si="2748"/>
        <v>41.118000000000002</v>
      </c>
      <c r="AP440" s="349">
        <f t="shared" si="2749"/>
        <v>1</v>
      </c>
      <c r="AQ440" s="350" t="str">
        <f t="shared" si="2750"/>
        <v>YES</v>
      </c>
      <c r="AR440" s="351">
        <f t="shared" si="2751"/>
        <v>1.7106276298617451</v>
      </c>
      <c r="AS440" s="343" t="str">
        <f t="shared" si="2752"/>
        <v>YES</v>
      </c>
      <c r="AT440" s="351" t="str">
        <f t="shared" si="2753"/>
        <v>NA</v>
      </c>
      <c r="AU440" s="343" t="str">
        <f t="shared" si="2754"/>
        <v>NA</v>
      </c>
      <c r="AV440" s="354" t="str">
        <f t="shared" si="2755"/>
        <v>1R x 0.6/1kV x 3C x 16 Sqmm</v>
      </c>
      <c r="AW440" s="354" t="str">
        <f t="shared" si="2756"/>
        <v>1R x 0.6/1kV x 3C x 16 Sqmm</v>
      </c>
      <c r="AX440" s="343">
        <f>(IF(K440=400,(IF(U440="1C",(4*AH440*AP440),(AH440*AP440))),IF(K440=690,(IF(U440="1C",(3*AH440*AP440),(AH440*AP440))),(AH440*AP440))))</f>
        <v>57</v>
      </c>
      <c r="AY440" s="355"/>
      <c r="AZ440" s="355">
        <f>IF(U440="1C",(3*AP440*2),(AP440*2))</f>
        <v>2</v>
      </c>
      <c r="BA440" s="356" t="str">
        <f t="shared" si="2759"/>
        <v/>
      </c>
      <c r="BB440" s="501">
        <f>VLOOKUP(W440,'Catalogue Aluminium'!$B$9:$H$93,7,FALSE)</f>
        <v>19</v>
      </c>
      <c r="BC440" s="328">
        <f>AP440*BB440</f>
        <v>19</v>
      </c>
      <c r="BE440" s="336"/>
      <c r="BF440" s="336"/>
      <c r="BG440" s="336"/>
      <c r="BH440" s="336"/>
      <c r="BI440" s="336"/>
      <c r="BJ440" s="336"/>
      <c r="BK440" s="336"/>
      <c r="BL440" s="336"/>
      <c r="BM440" s="336"/>
      <c r="BN440" s="336"/>
      <c r="BO440" s="336"/>
      <c r="BP440" s="336"/>
      <c r="BQ440" s="336"/>
      <c r="BR440" s="336"/>
      <c r="BS440" s="336"/>
      <c r="BT440" s="336"/>
      <c r="BU440" s="336"/>
      <c r="BV440" s="336"/>
      <c r="BW440" s="336"/>
      <c r="BX440" s="336"/>
      <c r="BY440" s="336"/>
      <c r="BZ440" s="336"/>
      <c r="CA440" s="336"/>
      <c r="CB440" s="336"/>
      <c r="CC440" s="336"/>
      <c r="CD440" s="336"/>
      <c r="CE440" s="336"/>
      <c r="CF440" s="336"/>
      <c r="CG440" s="336"/>
      <c r="CH440" s="336"/>
      <c r="CI440" s="336"/>
      <c r="CJ440" s="336"/>
      <c r="CK440" s="336"/>
      <c r="CL440" s="336"/>
      <c r="CM440" s="336"/>
      <c r="CN440" s="336"/>
      <c r="CO440" s="336"/>
      <c r="CP440" s="336"/>
      <c r="CQ440" s="336"/>
      <c r="CR440" s="336"/>
      <c r="CS440" s="336"/>
      <c r="CT440" s="336"/>
      <c r="CU440" s="336"/>
      <c r="CV440" s="336"/>
      <c r="CW440" s="336"/>
      <c r="CX440" s="336"/>
      <c r="CY440" s="336"/>
      <c r="CZ440" s="336"/>
      <c r="DA440" s="336"/>
      <c r="DB440" s="336"/>
      <c r="DC440" s="336"/>
      <c r="DD440" s="336"/>
      <c r="DE440" s="336"/>
      <c r="DF440" s="336"/>
      <c r="DG440" s="336"/>
      <c r="DH440" s="336"/>
      <c r="DI440" s="336"/>
      <c r="DJ440" s="336"/>
      <c r="DK440" s="336"/>
      <c r="DL440" s="336"/>
      <c r="DM440" s="336"/>
      <c r="DN440" s="336"/>
      <c r="DO440" s="336"/>
      <c r="DP440" s="336"/>
      <c r="DQ440" s="336"/>
      <c r="DR440" s="336"/>
      <c r="DS440" s="336"/>
      <c r="DT440" s="336"/>
      <c r="DU440" s="336"/>
      <c r="DW440" s="336">
        <f t="shared" si="2731"/>
        <v>0</v>
      </c>
      <c r="DX440" s="336">
        <f t="shared" si="2732"/>
        <v>0</v>
      </c>
      <c r="DY440" s="336">
        <f t="shared" si="2733"/>
        <v>0</v>
      </c>
      <c r="DZ440" s="336">
        <f t="shared" si="2734"/>
        <v>0</v>
      </c>
      <c r="EA440" s="336">
        <f t="shared" si="2735"/>
        <v>0</v>
      </c>
      <c r="EB440" s="336">
        <f t="shared" si="2736"/>
        <v>0</v>
      </c>
      <c r="EC440" s="336">
        <f t="shared" si="2737"/>
        <v>0</v>
      </c>
      <c r="ED440" s="336">
        <f t="shared" si="2766"/>
        <v>0</v>
      </c>
      <c r="EE440" s="336">
        <f t="shared" si="2767"/>
        <v>0</v>
      </c>
      <c r="EF440" s="336">
        <f t="shared" si="2768"/>
        <v>0</v>
      </c>
      <c r="EG440" s="336">
        <f t="shared" si="2769"/>
        <v>0</v>
      </c>
      <c r="EH440" s="336">
        <f t="shared" si="2770"/>
        <v>0</v>
      </c>
      <c r="EI440" s="336">
        <f t="shared" si="2771"/>
        <v>0</v>
      </c>
      <c r="EJ440" s="336">
        <f t="shared" si="2772"/>
        <v>0</v>
      </c>
      <c r="EK440" s="336">
        <f t="shared" si="2773"/>
        <v>0</v>
      </c>
      <c r="EL440" s="336">
        <f t="shared" si="2774"/>
        <v>0</v>
      </c>
      <c r="EM440" s="336">
        <f t="shared" si="2775"/>
        <v>0</v>
      </c>
      <c r="EN440" s="336">
        <f t="shared" si="2776"/>
        <v>0</v>
      </c>
      <c r="EO440" s="336">
        <f t="shared" si="2777"/>
        <v>0</v>
      </c>
      <c r="EP440" s="336">
        <f t="shared" si="2778"/>
        <v>0</v>
      </c>
      <c r="EQ440" s="336">
        <f t="shared" si="2779"/>
        <v>0</v>
      </c>
      <c r="ER440" s="336">
        <f t="shared" si="2780"/>
        <v>0</v>
      </c>
      <c r="ES440" s="336">
        <f t="shared" si="2781"/>
        <v>0</v>
      </c>
      <c r="ET440" s="336">
        <f t="shared" si="2781"/>
        <v>0</v>
      </c>
      <c r="EU440" s="336">
        <f t="shared" si="2782"/>
        <v>0</v>
      </c>
      <c r="EV440" s="336">
        <f t="shared" si="2783"/>
        <v>0</v>
      </c>
      <c r="EW440" s="336">
        <f t="shared" si="2784"/>
        <v>0</v>
      </c>
      <c r="EX440" s="336">
        <f t="shared" si="2785"/>
        <v>0</v>
      </c>
      <c r="EY440" s="336">
        <f t="shared" si="2786"/>
        <v>0</v>
      </c>
      <c r="EZ440" s="336">
        <f t="shared" si="2787"/>
        <v>0</v>
      </c>
      <c r="FA440" s="336">
        <f t="shared" si="2788"/>
        <v>0</v>
      </c>
      <c r="FB440" s="336">
        <f t="shared" si="2789"/>
        <v>0</v>
      </c>
      <c r="FC440" s="336">
        <f t="shared" si="2790"/>
        <v>0</v>
      </c>
      <c r="FD440" s="336">
        <f t="shared" si="2791"/>
        <v>0</v>
      </c>
      <c r="FE440" s="336">
        <f t="shared" si="2792"/>
        <v>0</v>
      </c>
      <c r="FF440" s="336">
        <f t="shared" si="2793"/>
        <v>0</v>
      </c>
      <c r="FG440" s="336">
        <f t="shared" si="2794"/>
        <v>0</v>
      </c>
      <c r="FH440" s="336">
        <f t="shared" si="2795"/>
        <v>0</v>
      </c>
      <c r="FI440" s="336">
        <f t="shared" si="2796"/>
        <v>0</v>
      </c>
      <c r="FJ440" s="336">
        <f t="shared" si="2797"/>
        <v>0</v>
      </c>
      <c r="FK440" s="336">
        <f t="shared" si="2798"/>
        <v>0</v>
      </c>
      <c r="FL440" s="336">
        <f t="shared" si="2799"/>
        <v>0</v>
      </c>
      <c r="FM440" s="336">
        <f t="shared" si="2800"/>
        <v>0</v>
      </c>
      <c r="FN440" s="336">
        <f t="shared" si="2801"/>
        <v>0</v>
      </c>
      <c r="FO440" s="336">
        <f t="shared" si="2802"/>
        <v>0</v>
      </c>
      <c r="FP440" s="336">
        <f t="shared" si="2803"/>
        <v>0</v>
      </c>
      <c r="FQ440" s="336">
        <f t="shared" si="2804"/>
        <v>0</v>
      </c>
      <c r="FR440" s="336">
        <f t="shared" si="2805"/>
        <v>0</v>
      </c>
      <c r="FS440" s="336">
        <f t="shared" si="2806"/>
        <v>0</v>
      </c>
      <c r="FT440" s="336">
        <f t="shared" si="2807"/>
        <v>0</v>
      </c>
      <c r="FU440" s="336">
        <f t="shared" si="2821"/>
        <v>0</v>
      </c>
      <c r="FV440" s="336">
        <f t="shared" si="2822"/>
        <v>0</v>
      </c>
      <c r="FW440" s="336">
        <f t="shared" si="2823"/>
        <v>0</v>
      </c>
      <c r="FX440" s="336">
        <f t="shared" si="2824"/>
        <v>0</v>
      </c>
      <c r="FY440" s="336">
        <f t="shared" si="2808"/>
        <v>0</v>
      </c>
      <c r="FZ440" s="336">
        <f t="shared" si="2809"/>
        <v>0</v>
      </c>
      <c r="GA440" s="336">
        <f t="shared" si="2810"/>
        <v>0</v>
      </c>
      <c r="GB440" s="336">
        <f t="shared" si="2811"/>
        <v>0</v>
      </c>
      <c r="GC440" s="336">
        <f t="shared" si="2812"/>
        <v>0</v>
      </c>
      <c r="GD440" s="336">
        <f t="shared" si="2813"/>
        <v>0</v>
      </c>
      <c r="GE440" s="336">
        <f t="shared" si="2814"/>
        <v>0</v>
      </c>
      <c r="GF440" s="336">
        <f t="shared" si="2815"/>
        <v>0</v>
      </c>
      <c r="GG440" s="336">
        <f t="shared" si="2816"/>
        <v>0</v>
      </c>
      <c r="GH440" s="336">
        <f t="shared" si="2817"/>
        <v>0</v>
      </c>
      <c r="GI440" s="336">
        <f t="shared" si="2818"/>
        <v>0</v>
      </c>
      <c r="GJ440" s="336">
        <f t="shared" si="2819"/>
        <v>0</v>
      </c>
      <c r="GK440" s="336">
        <f t="shared" si="2761"/>
        <v>0</v>
      </c>
      <c r="GL440" s="336">
        <f t="shared" si="2825"/>
        <v>0</v>
      </c>
      <c r="GM440" s="336">
        <f t="shared" si="2820"/>
        <v>0</v>
      </c>
    </row>
    <row r="441" spans="1:195" ht="30.75" customHeight="1">
      <c r="A441" s="337">
        <f t="shared" si="2762"/>
        <v>309</v>
      </c>
      <c r="B441" s="337"/>
      <c r="C441" s="337" t="str">
        <f t="shared" si="2763"/>
        <v>CENTRAL CONTROL BUILDING HVAC DB</v>
      </c>
      <c r="D441" s="372" t="s">
        <v>768</v>
      </c>
      <c r="E441" s="453" t="s">
        <v>555</v>
      </c>
      <c r="F441" s="858"/>
      <c r="G441" s="337" t="s">
        <v>329</v>
      </c>
      <c r="H441" s="583">
        <v>3.5</v>
      </c>
      <c r="I441" s="337" t="s">
        <v>330</v>
      </c>
      <c r="J441" s="337" t="s">
        <v>357</v>
      </c>
      <c r="K441" s="349">
        <v>230</v>
      </c>
      <c r="L441" s="343">
        <v>0.84999999999999987</v>
      </c>
      <c r="M441" s="350">
        <v>0.95099999999999985</v>
      </c>
      <c r="N441" s="342">
        <f t="shared" si="2738"/>
        <v>18.825250577531801</v>
      </c>
      <c r="O441" s="342">
        <f t="shared" si="2739"/>
        <v>0</v>
      </c>
      <c r="P441" s="343" t="str">
        <f t="shared" si="2740"/>
        <v>0.00</v>
      </c>
      <c r="Q441" s="350">
        <v>25</v>
      </c>
      <c r="R441" s="350">
        <v>0</v>
      </c>
      <c r="S441" s="350">
        <f t="shared" si="2741"/>
        <v>0</v>
      </c>
      <c r="T441" s="343" t="s">
        <v>131</v>
      </c>
      <c r="U441" s="350" t="s">
        <v>333</v>
      </c>
      <c r="V441" s="343">
        <v>16</v>
      </c>
      <c r="W441" s="343" t="str">
        <f t="shared" si="2742"/>
        <v>3C X 16</v>
      </c>
      <c r="X441" s="343" t="str">
        <f t="shared" si="2743"/>
        <v>3C X 16</v>
      </c>
      <c r="Y441" s="343" t="s">
        <v>358</v>
      </c>
      <c r="Z441" s="344">
        <f>IF(T441="AIR",VLOOKUP(W441,'Catalogue Aluminium'!$B$9:$G$93,2,FALSE),IF(T441="GROUND",VLOOKUP(W441,'Catalogue Aluminium'!$B$9:$G$93,3,FALSE),IF(T441="DUCT",VLOOKUP(W441,'Catalogue Aluminium'!$B$9:$G$93,4,FALSE),IF(T441="TRENCH",VLOOKUP(W441,'Catalogue Aluminium'!$B$9:$G$93,2,FALSE)))))</f>
        <v>70</v>
      </c>
      <c r="AA441" s="345">
        <f>VLOOKUP(W441,'Catalogue Aluminium'!$B$9:$G$93,5,FALSE)</f>
        <v>2.44</v>
      </c>
      <c r="AB441" s="345">
        <f>VLOOKUP(W441,'Catalogue Aluminium'!$B$9:$G$93,6,FALSE)</f>
        <v>8.1500000000000003E-2</v>
      </c>
      <c r="AC441" s="863">
        <f t="shared" si="2744"/>
        <v>38</v>
      </c>
      <c r="AD441" s="863">
        <v>0</v>
      </c>
      <c r="AE441" s="401">
        <v>5</v>
      </c>
      <c r="AF441" s="401">
        <v>8</v>
      </c>
      <c r="AG441" s="401">
        <f t="shared" si="2745"/>
        <v>6</v>
      </c>
      <c r="AH441" s="347">
        <f t="shared" si="2746"/>
        <v>57</v>
      </c>
      <c r="AI441" s="344">
        <f>IF(T441="AIR",'Catalogue Aluminium'!$K$9,IF(T441="TRENCH",'Catalogue Aluminium'!$K$12,"NA"))</f>
        <v>0.89</v>
      </c>
      <c r="AJ441" s="342">
        <f>IF(T441="Air",(IF(U441="1C",'Catalogue Aluminium'!$L$9,'Catalogue Aluminium'!$M$9)),IF(T441="DUCT",(IF($U441="1C",'Catalogue Aluminium'!$L$10,'Catalogue Aluminium'!$M$10)),IF(T441="GROUND",(IF($U441="1C",'Catalogue Aluminium'!$L$11,'Catalogue Aluminium'!$M$11)),IF(T441="TRENCH",(IF($U441="1C",'Catalogue Aluminium'!$L$12,'Catalogue Aluminium'!$M$12))))))</f>
        <v>0.66</v>
      </c>
      <c r="AK441" s="344" t="str">
        <f>IF(T441="Air",'Catalogue Aluminium'!$N$9,IF(T441="GROUND",'Catalogue Aluminium'!$N$10,IF(T441="DUCT",'Catalogue Aluminium'!$N$11,IF(T441="TRENCH",'Catalogue Aluminium'!$N$12,"NA"))))</f>
        <v>NA</v>
      </c>
      <c r="AL441" s="344" t="str">
        <f>IF(T441="Air",(IF(U441="1C",'Catalogue Aluminium'!$O$9,'Catalogue Aluminium'!$P$9)),IF(T441="DUCT",(IF($U441="1C",'Catalogue Aluminium'!$O$10,'Catalogue Aluminium'!$P$10)),IF(T441="GROUND",(IF($U441="1C",'Catalogue Aluminium'!$O$11,'Catalogue Aluminium'!$P$11)),IF(T441="TRENCH",(IF($U441="1C",'Catalogue Aluminium'!$O$12,'Catalogue Aluminium'!$P$12))))))</f>
        <v>NA</v>
      </c>
      <c r="AM441" s="344" t="str">
        <f>IF(T441="AIR","NA",IF(T441="TRENCH","NA",IF(T441="DUCT",IF(U441="1C",VLOOKUP(V441,'Catalogue Aluminium'!$Q$9:$S$28,2,FALSE),VLOOKUP(V441,'Catalogue Aluminium'!$Q$9:$S$28,3)),IF(T441="GROUND",IF(U441="1C",VLOOKUP(V441,'Catalogue Aluminium'!$Q$9:$S$28,2,FALSE),VLOOKUP(V441,'Catalogue Aluminium'!$Q$9:$S$28,3))))))</f>
        <v>NA</v>
      </c>
      <c r="AN441" s="351">
        <f t="shared" si="2747"/>
        <v>0.58740000000000003</v>
      </c>
      <c r="AO441" s="350">
        <f t="shared" si="2748"/>
        <v>41.118000000000002</v>
      </c>
      <c r="AP441" s="349">
        <f t="shared" si="2749"/>
        <v>1</v>
      </c>
      <c r="AQ441" s="350" t="str">
        <f t="shared" si="2750"/>
        <v>YES</v>
      </c>
      <c r="AR441" s="351">
        <f t="shared" si="2751"/>
        <v>1.7106276298617451</v>
      </c>
      <c r="AS441" s="343" t="str">
        <f t="shared" si="2752"/>
        <v>YES</v>
      </c>
      <c r="AT441" s="351" t="str">
        <f t="shared" si="2753"/>
        <v>NA</v>
      </c>
      <c r="AU441" s="343" t="str">
        <f t="shared" si="2754"/>
        <v>NA</v>
      </c>
      <c r="AV441" s="354" t="str">
        <f t="shared" si="2755"/>
        <v>1R x 0.6/1kV x 3C x 16 Sqmm</v>
      </c>
      <c r="AW441" s="354" t="str">
        <f t="shared" si="2756"/>
        <v>1R x 0.6/1kV x 3C x 16 Sqmm</v>
      </c>
      <c r="AX441" s="343">
        <f>(IF(K441=400,(IF(U441="1C",(4*AH441*AP441),(AH441*AP441))),IF(K441=690,(IF(U441="1C",(3*AH441*AP441),(AH441*AP441))),(AH441*AP441))))</f>
        <v>57</v>
      </c>
      <c r="AY441" s="355"/>
      <c r="AZ441" s="355">
        <f>IF(U441="1C",(3*AP441*2),(AP441*2))</f>
        <v>2</v>
      </c>
      <c r="BA441" s="356" t="str">
        <f t="shared" si="2759"/>
        <v/>
      </c>
      <c r="BB441" s="501">
        <f>VLOOKUP(W441,'Catalogue Aluminium'!$B$9:$H$93,7,FALSE)</f>
        <v>19</v>
      </c>
      <c r="BC441" s="328">
        <f>AP441*BB441</f>
        <v>19</v>
      </c>
      <c r="BE441" s="336"/>
      <c r="BF441" s="336"/>
      <c r="BG441" s="336"/>
      <c r="BH441" s="336"/>
      <c r="BI441" s="336"/>
      <c r="BJ441" s="336"/>
      <c r="BK441" s="336"/>
      <c r="BL441" s="336"/>
      <c r="BM441" s="336"/>
      <c r="BN441" s="336"/>
      <c r="BO441" s="336"/>
      <c r="BP441" s="336"/>
      <c r="BQ441" s="336"/>
      <c r="BR441" s="336"/>
      <c r="BS441" s="336"/>
      <c r="BT441" s="336"/>
      <c r="BU441" s="336"/>
      <c r="BV441" s="336"/>
      <c r="BW441" s="336"/>
      <c r="BX441" s="336"/>
      <c r="BY441" s="336"/>
      <c r="BZ441" s="336"/>
      <c r="CA441" s="336"/>
      <c r="CB441" s="336"/>
      <c r="CC441" s="336"/>
      <c r="CD441" s="336"/>
      <c r="CE441" s="336"/>
      <c r="CF441" s="336"/>
      <c r="CG441" s="336"/>
      <c r="CH441" s="336"/>
      <c r="CI441" s="336"/>
      <c r="CJ441" s="336"/>
      <c r="CK441" s="336"/>
      <c r="CL441" s="336"/>
      <c r="CM441" s="336"/>
      <c r="CN441" s="336"/>
      <c r="CO441" s="336"/>
      <c r="CP441" s="336"/>
      <c r="CQ441" s="336"/>
      <c r="CR441" s="336"/>
      <c r="CS441" s="336"/>
      <c r="CT441" s="336"/>
      <c r="CU441" s="336"/>
      <c r="CV441" s="336"/>
      <c r="CW441" s="336"/>
      <c r="CX441" s="336"/>
      <c r="CY441" s="336"/>
      <c r="CZ441" s="336"/>
      <c r="DA441" s="336"/>
      <c r="DB441" s="336"/>
      <c r="DC441" s="336"/>
      <c r="DD441" s="336"/>
      <c r="DE441" s="336"/>
      <c r="DF441" s="336"/>
      <c r="DG441" s="336"/>
      <c r="DH441" s="336"/>
      <c r="DI441" s="336"/>
      <c r="DJ441" s="336"/>
      <c r="DK441" s="336"/>
      <c r="DL441" s="336"/>
      <c r="DM441" s="336"/>
      <c r="DN441" s="336"/>
      <c r="DO441" s="336"/>
      <c r="DP441" s="336"/>
      <c r="DQ441" s="336"/>
      <c r="DR441" s="336"/>
      <c r="DS441" s="336"/>
      <c r="DT441" s="336"/>
      <c r="DU441" s="336"/>
      <c r="DW441" s="336">
        <f t="shared" si="2731"/>
        <v>0</v>
      </c>
      <c r="DX441" s="336">
        <f t="shared" si="2732"/>
        <v>0</v>
      </c>
      <c r="DY441" s="336">
        <f t="shared" si="2733"/>
        <v>0</v>
      </c>
      <c r="DZ441" s="336">
        <f t="shared" si="2734"/>
        <v>0</v>
      </c>
      <c r="EA441" s="336">
        <f t="shared" si="2735"/>
        <v>0</v>
      </c>
      <c r="EB441" s="336">
        <f t="shared" si="2736"/>
        <v>0</v>
      </c>
      <c r="EC441" s="336">
        <f t="shared" si="2737"/>
        <v>0</v>
      </c>
      <c r="ED441" s="336">
        <f t="shared" si="2766"/>
        <v>0</v>
      </c>
      <c r="EE441" s="336">
        <f t="shared" si="2767"/>
        <v>0</v>
      </c>
      <c r="EF441" s="336">
        <f t="shared" si="2768"/>
        <v>0</v>
      </c>
      <c r="EG441" s="336">
        <f t="shared" si="2769"/>
        <v>0</v>
      </c>
      <c r="EH441" s="336">
        <f t="shared" si="2770"/>
        <v>0</v>
      </c>
      <c r="EI441" s="336">
        <f t="shared" si="2771"/>
        <v>0</v>
      </c>
      <c r="EJ441" s="336">
        <f t="shared" si="2772"/>
        <v>0</v>
      </c>
      <c r="EK441" s="336">
        <f t="shared" si="2773"/>
        <v>0</v>
      </c>
      <c r="EL441" s="336">
        <f t="shared" si="2774"/>
        <v>0</v>
      </c>
      <c r="EM441" s="336">
        <f t="shared" si="2775"/>
        <v>0</v>
      </c>
      <c r="EN441" s="336">
        <f t="shared" si="2776"/>
        <v>0</v>
      </c>
      <c r="EO441" s="336">
        <f t="shared" si="2777"/>
        <v>0</v>
      </c>
      <c r="EP441" s="336">
        <f t="shared" si="2778"/>
        <v>0</v>
      </c>
      <c r="EQ441" s="336">
        <f t="shared" si="2779"/>
        <v>0</v>
      </c>
      <c r="ER441" s="336">
        <f t="shared" si="2780"/>
        <v>0</v>
      </c>
      <c r="ES441" s="336">
        <f t="shared" si="2781"/>
        <v>0</v>
      </c>
      <c r="ET441" s="336">
        <f t="shared" si="2781"/>
        <v>0</v>
      </c>
      <c r="EU441" s="336">
        <f t="shared" si="2782"/>
        <v>0</v>
      </c>
      <c r="EV441" s="336">
        <f t="shared" si="2783"/>
        <v>0</v>
      </c>
      <c r="EW441" s="336">
        <f t="shared" si="2784"/>
        <v>0</v>
      </c>
      <c r="EX441" s="336">
        <f t="shared" si="2785"/>
        <v>0</v>
      </c>
      <c r="EY441" s="336">
        <f t="shared" si="2786"/>
        <v>0</v>
      </c>
      <c r="EZ441" s="336">
        <f t="shared" si="2787"/>
        <v>0</v>
      </c>
      <c r="FA441" s="336">
        <f t="shared" si="2788"/>
        <v>0</v>
      </c>
      <c r="FB441" s="336">
        <f t="shared" si="2789"/>
        <v>0</v>
      </c>
      <c r="FC441" s="336">
        <f t="shared" si="2790"/>
        <v>0</v>
      </c>
      <c r="FD441" s="336">
        <f t="shared" si="2791"/>
        <v>0</v>
      </c>
      <c r="FE441" s="336">
        <f t="shared" si="2792"/>
        <v>0</v>
      </c>
      <c r="FF441" s="336">
        <f t="shared" si="2793"/>
        <v>0</v>
      </c>
      <c r="FG441" s="336">
        <f t="shared" si="2794"/>
        <v>0</v>
      </c>
      <c r="FH441" s="336">
        <f t="shared" si="2795"/>
        <v>0</v>
      </c>
      <c r="FI441" s="336">
        <f t="shared" si="2796"/>
        <v>0</v>
      </c>
      <c r="FJ441" s="336">
        <f t="shared" si="2797"/>
        <v>0</v>
      </c>
      <c r="FK441" s="336">
        <f t="shared" si="2798"/>
        <v>0</v>
      </c>
      <c r="FL441" s="336">
        <f t="shared" si="2799"/>
        <v>0</v>
      </c>
      <c r="FM441" s="336">
        <f t="shared" si="2800"/>
        <v>0</v>
      </c>
      <c r="FN441" s="336">
        <f t="shared" si="2801"/>
        <v>0</v>
      </c>
      <c r="FO441" s="336">
        <f t="shared" si="2802"/>
        <v>0</v>
      </c>
      <c r="FP441" s="336">
        <f t="shared" si="2803"/>
        <v>0</v>
      </c>
      <c r="FQ441" s="336">
        <f t="shared" si="2804"/>
        <v>0</v>
      </c>
      <c r="FR441" s="336">
        <f t="shared" si="2805"/>
        <v>0</v>
      </c>
      <c r="FS441" s="336">
        <f t="shared" si="2806"/>
        <v>0</v>
      </c>
      <c r="FT441" s="336">
        <f t="shared" si="2807"/>
        <v>0</v>
      </c>
      <c r="FU441" s="336">
        <f t="shared" si="2821"/>
        <v>0</v>
      </c>
      <c r="FV441" s="336">
        <f t="shared" si="2822"/>
        <v>0</v>
      </c>
      <c r="FW441" s="336">
        <f t="shared" si="2823"/>
        <v>0</v>
      </c>
      <c r="FX441" s="336">
        <f t="shared" si="2824"/>
        <v>0</v>
      </c>
      <c r="FY441" s="336">
        <f t="shared" si="2808"/>
        <v>0</v>
      </c>
      <c r="FZ441" s="336">
        <f t="shared" si="2809"/>
        <v>0</v>
      </c>
      <c r="GA441" s="336">
        <f t="shared" si="2810"/>
        <v>0</v>
      </c>
      <c r="GB441" s="336">
        <f t="shared" si="2811"/>
        <v>0</v>
      </c>
      <c r="GC441" s="336">
        <f t="shared" si="2812"/>
        <v>0</v>
      </c>
      <c r="GD441" s="336">
        <f t="shared" si="2813"/>
        <v>0</v>
      </c>
      <c r="GE441" s="336">
        <f t="shared" si="2814"/>
        <v>0</v>
      </c>
      <c r="GF441" s="336">
        <f t="shared" si="2815"/>
        <v>0</v>
      </c>
      <c r="GG441" s="336">
        <f t="shared" si="2816"/>
        <v>0</v>
      </c>
      <c r="GH441" s="336">
        <f t="shared" si="2817"/>
        <v>0</v>
      </c>
      <c r="GI441" s="336">
        <f t="shared" si="2818"/>
        <v>0</v>
      </c>
      <c r="GJ441" s="336">
        <f t="shared" si="2819"/>
        <v>0</v>
      </c>
      <c r="GK441" s="336">
        <f t="shared" si="2761"/>
        <v>0</v>
      </c>
      <c r="GL441" s="336">
        <f t="shared" si="2825"/>
        <v>0</v>
      </c>
      <c r="GM441" s="336">
        <f t="shared" si="2820"/>
        <v>0</v>
      </c>
    </row>
    <row r="442" spans="1:195" ht="30.75" customHeight="1">
      <c r="A442" s="337">
        <f t="shared" si="2762"/>
        <v>310</v>
      </c>
      <c r="B442" s="337"/>
      <c r="C442" s="337" t="str">
        <f t="shared" si="2763"/>
        <v>CENTRAL CONTROL BUILDING HVAC DB</v>
      </c>
      <c r="D442" s="372" t="s">
        <v>769</v>
      </c>
      <c r="E442" s="453" t="s">
        <v>555</v>
      </c>
      <c r="F442" s="858"/>
      <c r="G442" s="337" t="s">
        <v>329</v>
      </c>
      <c r="H442" s="583">
        <v>3.5</v>
      </c>
      <c r="I442" s="337" t="s">
        <v>330</v>
      </c>
      <c r="J442" s="337" t="s">
        <v>357</v>
      </c>
      <c r="K442" s="349">
        <v>230</v>
      </c>
      <c r="L442" s="343">
        <v>0.84999999999999987</v>
      </c>
      <c r="M442" s="350">
        <v>0.95099999999999985</v>
      </c>
      <c r="N442" s="342">
        <f t="shared" si="2738"/>
        <v>18.825250577531801</v>
      </c>
      <c r="O442" s="342">
        <f t="shared" si="2739"/>
        <v>0</v>
      </c>
      <c r="P442" s="343" t="str">
        <f t="shared" si="2740"/>
        <v>0.00</v>
      </c>
      <c r="Q442" s="350">
        <v>25</v>
      </c>
      <c r="R442" s="350">
        <v>0</v>
      </c>
      <c r="S442" s="350">
        <f t="shared" si="2741"/>
        <v>0</v>
      </c>
      <c r="T442" s="343" t="s">
        <v>131</v>
      </c>
      <c r="U442" s="350" t="s">
        <v>333</v>
      </c>
      <c r="V442" s="343">
        <v>16</v>
      </c>
      <c r="W442" s="343" t="str">
        <f t="shared" si="2742"/>
        <v>3C X 16</v>
      </c>
      <c r="X442" s="343" t="str">
        <f t="shared" si="2743"/>
        <v>3C X 16</v>
      </c>
      <c r="Y442" s="343" t="s">
        <v>358</v>
      </c>
      <c r="Z442" s="344">
        <f>IF(T442="AIR",VLOOKUP(W442,'Catalogue Aluminium'!$B$9:$G$93,2,FALSE),IF(T442="GROUND",VLOOKUP(W442,'Catalogue Aluminium'!$B$9:$G$93,3,FALSE),IF(T442="DUCT",VLOOKUP(W442,'Catalogue Aluminium'!$B$9:$G$93,4,FALSE),IF(T442="TRENCH",VLOOKUP(W442,'Catalogue Aluminium'!$B$9:$G$93,2,FALSE)))))</f>
        <v>70</v>
      </c>
      <c r="AA442" s="345">
        <f>VLOOKUP(W442,'Catalogue Aluminium'!$B$9:$G$93,5,FALSE)</f>
        <v>2.44</v>
      </c>
      <c r="AB442" s="345">
        <f>VLOOKUP(W442,'Catalogue Aluminium'!$B$9:$G$93,6,FALSE)</f>
        <v>8.1500000000000003E-2</v>
      </c>
      <c r="AC442" s="863">
        <f t="shared" si="2744"/>
        <v>38</v>
      </c>
      <c r="AD442" s="863">
        <v>0</v>
      </c>
      <c r="AE442" s="401">
        <v>5</v>
      </c>
      <c r="AF442" s="401">
        <v>8</v>
      </c>
      <c r="AG442" s="401">
        <f t="shared" si="2745"/>
        <v>6</v>
      </c>
      <c r="AH442" s="347">
        <f t="shared" si="2746"/>
        <v>57</v>
      </c>
      <c r="AI442" s="344">
        <f>IF(T442="AIR",'Catalogue Aluminium'!$K$9,IF(T442="TRENCH",'Catalogue Aluminium'!$K$12,"NA"))</f>
        <v>0.89</v>
      </c>
      <c r="AJ442" s="342">
        <f>IF(T442="Air",(IF(U442="1C",'Catalogue Aluminium'!$L$9,'Catalogue Aluminium'!$M$9)),IF(T442="DUCT",(IF($U442="1C",'Catalogue Aluminium'!$L$10,'Catalogue Aluminium'!$M$10)),IF(T442="GROUND",(IF($U442="1C",'Catalogue Aluminium'!$L$11,'Catalogue Aluminium'!$M$11)),IF(T442="TRENCH",(IF($U442="1C",'Catalogue Aluminium'!$L$12,'Catalogue Aluminium'!$M$12))))))</f>
        <v>0.66</v>
      </c>
      <c r="AK442" s="344" t="str">
        <f>IF(T442="Air",'Catalogue Aluminium'!$N$9,IF(T442="GROUND",'Catalogue Aluminium'!$N$10,IF(T442="DUCT",'Catalogue Aluminium'!$N$11,IF(T442="TRENCH",'Catalogue Aluminium'!$N$12,"NA"))))</f>
        <v>NA</v>
      </c>
      <c r="AL442" s="344" t="str">
        <f>IF(T442="Air",(IF(U442="1C",'Catalogue Aluminium'!$O$9,'Catalogue Aluminium'!$P$9)),IF(T442="DUCT",(IF($U442="1C",'Catalogue Aluminium'!$O$10,'Catalogue Aluminium'!$P$10)),IF(T442="GROUND",(IF($U442="1C",'Catalogue Aluminium'!$O$11,'Catalogue Aluminium'!$P$11)),IF(T442="TRENCH",(IF($U442="1C",'Catalogue Aluminium'!$O$12,'Catalogue Aluminium'!$P$12))))))</f>
        <v>NA</v>
      </c>
      <c r="AM442" s="344" t="str">
        <f>IF(T442="AIR","NA",IF(T442="TRENCH","NA",IF(T442="DUCT",IF(U442="1C",VLOOKUP(V442,'Catalogue Aluminium'!$Q$9:$S$28,2,FALSE),VLOOKUP(V442,'Catalogue Aluminium'!$Q$9:$S$28,3)),IF(T442="GROUND",IF(U442="1C",VLOOKUP(V442,'Catalogue Aluminium'!$Q$9:$S$28,2,FALSE),VLOOKUP(V442,'Catalogue Aluminium'!$Q$9:$S$28,3))))))</f>
        <v>NA</v>
      </c>
      <c r="AN442" s="351">
        <f t="shared" si="2747"/>
        <v>0.58740000000000003</v>
      </c>
      <c r="AO442" s="350">
        <f t="shared" si="2748"/>
        <v>41.118000000000002</v>
      </c>
      <c r="AP442" s="349">
        <f t="shared" si="2749"/>
        <v>1</v>
      </c>
      <c r="AQ442" s="350" t="str">
        <f t="shared" si="2750"/>
        <v>YES</v>
      </c>
      <c r="AR442" s="351">
        <f t="shared" si="2751"/>
        <v>1.7106276298617451</v>
      </c>
      <c r="AS442" s="343" t="str">
        <f t="shared" si="2752"/>
        <v>YES</v>
      </c>
      <c r="AT442" s="351" t="str">
        <f t="shared" si="2753"/>
        <v>NA</v>
      </c>
      <c r="AU442" s="343" t="str">
        <f t="shared" si="2754"/>
        <v>NA</v>
      </c>
      <c r="AV442" s="354" t="str">
        <f t="shared" si="2755"/>
        <v>1R x 0.6/1kV x 3C x 16 Sqmm</v>
      </c>
      <c r="AW442" s="354" t="str">
        <f t="shared" si="2756"/>
        <v>1R x 0.6/1kV x 3C x 16 Sqmm</v>
      </c>
      <c r="AX442" s="343">
        <f>(IF(K442=400,(IF(U442="1C",(4*AH442*AP442),(AH442*AP442))),IF(K442=690,(IF(U442="1C",(3*AH442*AP442),(AH442*AP442))),(AH442*AP442))))</f>
        <v>57</v>
      </c>
      <c r="AY442" s="355"/>
      <c r="AZ442" s="355">
        <f>IF(U442="1C",(3*AP442*2),(AP442*2))</f>
        <v>2</v>
      </c>
      <c r="BA442" s="356" t="str">
        <f t="shared" si="2759"/>
        <v/>
      </c>
      <c r="BB442" s="501">
        <f>VLOOKUP(W442,'Catalogue Aluminium'!$B$9:$H$93,7,FALSE)</f>
        <v>19</v>
      </c>
      <c r="BC442" s="328">
        <f>AP442*BB442</f>
        <v>19</v>
      </c>
      <c r="BE442" s="336"/>
      <c r="BF442" s="336"/>
      <c r="BG442" s="336"/>
      <c r="BH442" s="336"/>
      <c r="BI442" s="336"/>
      <c r="BJ442" s="336"/>
      <c r="BK442" s="336"/>
      <c r="BL442" s="336"/>
      <c r="BM442" s="336"/>
      <c r="BN442" s="336"/>
      <c r="BO442" s="336"/>
      <c r="BP442" s="336"/>
      <c r="BQ442" s="336"/>
      <c r="BR442" s="336"/>
      <c r="BS442" s="336"/>
      <c r="BT442" s="336"/>
      <c r="BU442" s="336"/>
      <c r="BV442" s="336"/>
      <c r="BW442" s="336"/>
      <c r="BX442" s="336"/>
      <c r="BY442" s="336"/>
      <c r="BZ442" s="336"/>
      <c r="CA442" s="336"/>
      <c r="CB442" s="336"/>
      <c r="CC442" s="336"/>
      <c r="CD442" s="336"/>
      <c r="CE442" s="336"/>
      <c r="CF442" s="336"/>
      <c r="CG442" s="336"/>
      <c r="CH442" s="336"/>
      <c r="CI442" s="336"/>
      <c r="CJ442" s="336"/>
      <c r="CK442" s="336"/>
      <c r="CL442" s="336"/>
      <c r="CM442" s="336"/>
      <c r="CN442" s="336"/>
      <c r="CO442" s="336"/>
      <c r="CP442" s="336"/>
      <c r="CQ442" s="336"/>
      <c r="CR442" s="336"/>
      <c r="CS442" s="336"/>
      <c r="CT442" s="336"/>
      <c r="CU442" s="336"/>
      <c r="CV442" s="336"/>
      <c r="CW442" s="336"/>
      <c r="CX442" s="336"/>
      <c r="CY442" s="336"/>
      <c r="CZ442" s="336"/>
      <c r="DA442" s="336"/>
      <c r="DB442" s="336"/>
      <c r="DC442" s="336"/>
      <c r="DD442" s="336"/>
      <c r="DE442" s="336"/>
      <c r="DF442" s="336"/>
      <c r="DG442" s="336"/>
      <c r="DH442" s="336"/>
      <c r="DI442" s="336"/>
      <c r="DJ442" s="336"/>
      <c r="DK442" s="336"/>
      <c r="DL442" s="336"/>
      <c r="DM442" s="336"/>
      <c r="DN442" s="336"/>
      <c r="DO442" s="336"/>
      <c r="DP442" s="336"/>
      <c r="DQ442" s="336"/>
      <c r="DR442" s="336"/>
      <c r="DS442" s="336"/>
      <c r="DT442" s="336"/>
      <c r="DU442" s="336"/>
      <c r="DW442" s="336">
        <f t="shared" si="2731"/>
        <v>0</v>
      </c>
      <c r="DX442" s="336">
        <f t="shared" si="2732"/>
        <v>0</v>
      </c>
      <c r="DY442" s="336">
        <f t="shared" si="2733"/>
        <v>0</v>
      </c>
      <c r="DZ442" s="336">
        <f t="shared" si="2734"/>
        <v>0</v>
      </c>
      <c r="EA442" s="336">
        <f t="shared" si="2735"/>
        <v>0</v>
      </c>
      <c r="EB442" s="336">
        <f t="shared" si="2736"/>
        <v>0</v>
      </c>
      <c r="EC442" s="336">
        <f t="shared" si="2737"/>
        <v>0</v>
      </c>
      <c r="ED442" s="336">
        <f t="shared" si="2766"/>
        <v>0</v>
      </c>
      <c r="EE442" s="336">
        <f t="shared" si="2767"/>
        <v>0</v>
      </c>
      <c r="EF442" s="336">
        <f t="shared" si="2768"/>
        <v>0</v>
      </c>
      <c r="EG442" s="336">
        <f t="shared" si="2769"/>
        <v>0</v>
      </c>
      <c r="EH442" s="336">
        <f t="shared" si="2770"/>
        <v>0</v>
      </c>
      <c r="EI442" s="336">
        <f t="shared" si="2771"/>
        <v>0</v>
      </c>
      <c r="EJ442" s="336">
        <f t="shared" si="2772"/>
        <v>0</v>
      </c>
      <c r="EK442" s="336">
        <f t="shared" si="2773"/>
        <v>0</v>
      </c>
      <c r="EL442" s="336">
        <f t="shared" si="2774"/>
        <v>0</v>
      </c>
      <c r="EM442" s="336">
        <f t="shared" si="2775"/>
        <v>0</v>
      </c>
      <c r="EN442" s="336">
        <f t="shared" si="2776"/>
        <v>0</v>
      </c>
      <c r="EO442" s="336">
        <f t="shared" si="2777"/>
        <v>0</v>
      </c>
      <c r="EP442" s="336">
        <f t="shared" si="2778"/>
        <v>0</v>
      </c>
      <c r="EQ442" s="336">
        <f t="shared" si="2779"/>
        <v>0</v>
      </c>
      <c r="ER442" s="336">
        <f t="shared" si="2780"/>
        <v>0</v>
      </c>
      <c r="ES442" s="336">
        <f t="shared" si="2781"/>
        <v>0</v>
      </c>
      <c r="ET442" s="336">
        <f t="shared" si="2781"/>
        <v>0</v>
      </c>
      <c r="EU442" s="336">
        <f t="shared" si="2782"/>
        <v>0</v>
      </c>
      <c r="EV442" s="336">
        <f t="shared" si="2783"/>
        <v>0</v>
      </c>
      <c r="EW442" s="336">
        <f t="shared" si="2784"/>
        <v>0</v>
      </c>
      <c r="EX442" s="336">
        <f t="shared" si="2785"/>
        <v>0</v>
      </c>
      <c r="EY442" s="336">
        <f t="shared" si="2786"/>
        <v>0</v>
      </c>
      <c r="EZ442" s="336">
        <f t="shared" si="2787"/>
        <v>0</v>
      </c>
      <c r="FA442" s="336">
        <f t="shared" si="2788"/>
        <v>0</v>
      </c>
      <c r="FB442" s="336">
        <f t="shared" si="2789"/>
        <v>0</v>
      </c>
      <c r="FC442" s="336">
        <f t="shared" si="2790"/>
        <v>0</v>
      </c>
      <c r="FD442" s="336">
        <f t="shared" si="2791"/>
        <v>0</v>
      </c>
      <c r="FE442" s="336">
        <f t="shared" si="2792"/>
        <v>0</v>
      </c>
      <c r="FF442" s="336">
        <f t="shared" si="2793"/>
        <v>0</v>
      </c>
      <c r="FG442" s="336">
        <f t="shared" si="2794"/>
        <v>0</v>
      </c>
      <c r="FH442" s="336">
        <f t="shared" si="2795"/>
        <v>0</v>
      </c>
      <c r="FI442" s="336">
        <f t="shared" si="2796"/>
        <v>0</v>
      </c>
      <c r="FJ442" s="336">
        <f t="shared" si="2797"/>
        <v>0</v>
      </c>
      <c r="FK442" s="336">
        <f t="shared" si="2798"/>
        <v>0</v>
      </c>
      <c r="FL442" s="336">
        <f t="shared" si="2799"/>
        <v>0</v>
      </c>
      <c r="FM442" s="336">
        <f t="shared" si="2800"/>
        <v>0</v>
      </c>
      <c r="FN442" s="336">
        <f t="shared" si="2801"/>
        <v>0</v>
      </c>
      <c r="FO442" s="336">
        <f t="shared" si="2802"/>
        <v>0</v>
      </c>
      <c r="FP442" s="336">
        <f t="shared" si="2803"/>
        <v>0</v>
      </c>
      <c r="FQ442" s="336">
        <f t="shared" si="2804"/>
        <v>0</v>
      </c>
      <c r="FR442" s="336">
        <f t="shared" si="2805"/>
        <v>0</v>
      </c>
      <c r="FS442" s="336">
        <f t="shared" si="2806"/>
        <v>0</v>
      </c>
      <c r="FT442" s="336">
        <f t="shared" si="2807"/>
        <v>0</v>
      </c>
      <c r="FU442" s="336">
        <f t="shared" si="2821"/>
        <v>0</v>
      </c>
      <c r="FV442" s="336">
        <f t="shared" si="2822"/>
        <v>0</v>
      </c>
      <c r="FW442" s="336">
        <f t="shared" si="2823"/>
        <v>0</v>
      </c>
      <c r="FX442" s="336">
        <f t="shared" si="2824"/>
        <v>0</v>
      </c>
      <c r="FY442" s="336">
        <f t="shared" si="2808"/>
        <v>0</v>
      </c>
      <c r="FZ442" s="336">
        <f t="shared" si="2809"/>
        <v>0</v>
      </c>
      <c r="GA442" s="336">
        <f t="shared" si="2810"/>
        <v>0</v>
      </c>
      <c r="GB442" s="336">
        <f t="shared" si="2811"/>
        <v>0</v>
      </c>
      <c r="GC442" s="336">
        <f t="shared" si="2812"/>
        <v>0</v>
      </c>
      <c r="GD442" s="336">
        <f t="shared" si="2813"/>
        <v>0</v>
      </c>
      <c r="GE442" s="336">
        <f t="shared" si="2814"/>
        <v>0</v>
      </c>
      <c r="GF442" s="336">
        <f t="shared" si="2815"/>
        <v>0</v>
      </c>
      <c r="GG442" s="336">
        <f t="shared" si="2816"/>
        <v>0</v>
      </c>
      <c r="GH442" s="336">
        <f t="shared" si="2817"/>
        <v>0</v>
      </c>
      <c r="GI442" s="336">
        <f t="shared" si="2818"/>
        <v>0</v>
      </c>
      <c r="GJ442" s="336">
        <f t="shared" si="2819"/>
        <v>0</v>
      </c>
      <c r="GK442" s="336">
        <f t="shared" si="2761"/>
        <v>0</v>
      </c>
      <c r="GL442" s="336">
        <f t="shared" si="2825"/>
        <v>0</v>
      </c>
      <c r="GM442" s="336">
        <f t="shared" si="2820"/>
        <v>0</v>
      </c>
    </row>
    <row r="443" spans="1:195" ht="19.5" customHeight="1">
      <c r="A443" s="337">
        <f t="shared" si="2762"/>
        <v>311</v>
      </c>
      <c r="B443" s="337" t="s">
        <v>752</v>
      </c>
      <c r="C443" s="337" t="str">
        <f>$C$347</f>
        <v>PDB-1</v>
      </c>
      <c r="D443" s="372" t="s">
        <v>916</v>
      </c>
      <c r="E443" s="453" t="s">
        <v>555</v>
      </c>
      <c r="F443" s="858"/>
      <c r="G443" s="340" t="s">
        <v>337</v>
      </c>
      <c r="H443" s="418">
        <v>31.073684210526316</v>
      </c>
      <c r="I443" s="337" t="s">
        <v>330</v>
      </c>
      <c r="J443" s="337" t="s">
        <v>331</v>
      </c>
      <c r="K443" s="349">
        <v>400</v>
      </c>
      <c r="L443" s="343">
        <v>0.84999999999999987</v>
      </c>
      <c r="M443" s="350">
        <v>0.95099999999999985</v>
      </c>
      <c r="N443" s="342">
        <f t="shared" si="2738"/>
        <v>55.486256629395335</v>
      </c>
      <c r="O443" s="399"/>
      <c r="P443" s="400"/>
      <c r="Q443" s="400"/>
      <c r="R443" s="400"/>
      <c r="S443" s="400"/>
      <c r="T443" s="400"/>
      <c r="U443" s="400"/>
      <c r="V443" s="400"/>
      <c r="W443" s="400"/>
      <c r="X443" s="400"/>
      <c r="Y443" s="400"/>
      <c r="Z443" s="400"/>
      <c r="AA443" s="400"/>
      <c r="AB443" s="400"/>
      <c r="AC443" s="913"/>
      <c r="AD443" s="913"/>
      <c r="AE443" s="913"/>
      <c r="AF443" s="913"/>
      <c r="AG443" s="913"/>
      <c r="AH443" s="400"/>
      <c r="AI443" s="400"/>
      <c r="AJ443" s="400"/>
      <c r="AK443" s="400"/>
      <c r="AL443" s="400"/>
      <c r="AM443" s="400"/>
      <c r="AN443" s="400"/>
      <c r="AO443" s="400"/>
      <c r="AP443" s="400"/>
      <c r="AQ443" s="400"/>
      <c r="AR443" s="400"/>
      <c r="AS443" s="400"/>
      <c r="AT443" s="400"/>
      <c r="AU443" s="400"/>
      <c r="AV443" s="400"/>
      <c r="AW443" s="400"/>
      <c r="AX443" s="400"/>
      <c r="AY443" s="400"/>
      <c r="AZ443" s="400"/>
      <c r="BA443" s="400"/>
      <c r="BB443" s="400"/>
      <c r="BC443" s="912"/>
      <c r="BE443" s="530"/>
      <c r="BF443" s="530"/>
      <c r="BG443" s="530"/>
      <c r="BH443" s="530"/>
      <c r="BI443" s="530"/>
      <c r="BJ443" s="530"/>
      <c r="BK443" s="530"/>
      <c r="BL443" s="530"/>
      <c r="BM443" s="530"/>
      <c r="BN443" s="530"/>
      <c r="BO443" s="530"/>
      <c r="BP443" s="530"/>
      <c r="BQ443" s="530"/>
      <c r="BR443" s="530"/>
      <c r="BS443" s="530"/>
      <c r="BT443" s="530"/>
      <c r="BU443" s="530"/>
      <c r="BV443" s="530"/>
      <c r="BW443" s="530"/>
      <c r="BX443" s="530"/>
      <c r="BY443" s="530"/>
      <c r="BZ443" s="530"/>
      <c r="CA443" s="530"/>
      <c r="CB443" s="530"/>
      <c r="CC443" s="530"/>
      <c r="CD443" s="530"/>
      <c r="CE443" s="530"/>
      <c r="CF443" s="530"/>
      <c r="CG443" s="530"/>
      <c r="CH443" s="530"/>
      <c r="CI443" s="530"/>
      <c r="CJ443" s="530"/>
      <c r="CK443" s="530"/>
      <c r="CL443" s="530"/>
      <c r="CM443" s="530"/>
      <c r="CN443" s="530"/>
      <c r="CO443" s="530"/>
      <c r="CP443" s="530"/>
      <c r="CQ443" s="530"/>
      <c r="CR443" s="530"/>
      <c r="CS443" s="530"/>
      <c r="CT443" s="530"/>
      <c r="CU443" s="530"/>
      <c r="CV443" s="530"/>
      <c r="CW443" s="530"/>
      <c r="CX443" s="530"/>
      <c r="CY443" s="530"/>
      <c r="CZ443" s="530"/>
      <c r="DA443" s="530"/>
      <c r="DB443" s="530"/>
      <c r="DC443" s="530"/>
      <c r="DD443" s="530"/>
      <c r="DE443" s="530"/>
      <c r="DF443" s="530"/>
      <c r="DG443" s="530"/>
      <c r="DH443" s="530"/>
      <c r="DI443" s="530"/>
      <c r="DJ443" s="530"/>
      <c r="DK443" s="530"/>
      <c r="DL443" s="530"/>
      <c r="DM443" s="530"/>
      <c r="DN443" s="530"/>
      <c r="DO443" s="530"/>
      <c r="DP443" s="530"/>
      <c r="DQ443" s="530"/>
      <c r="DR443" s="530"/>
      <c r="DS443" s="530"/>
      <c r="DT443" s="530"/>
      <c r="DU443" s="530"/>
      <c r="DW443" s="336">
        <f t="shared" si="2731"/>
        <v>0</v>
      </c>
      <c r="DX443" s="336">
        <f t="shared" si="2732"/>
        <v>0</v>
      </c>
      <c r="DY443" s="336">
        <f t="shared" si="2733"/>
        <v>0</v>
      </c>
      <c r="DZ443" s="336">
        <f t="shared" si="2734"/>
        <v>0</v>
      </c>
      <c r="EA443" s="336">
        <f t="shared" si="2735"/>
        <v>0</v>
      </c>
      <c r="EB443" s="336">
        <f t="shared" si="2736"/>
        <v>0</v>
      </c>
      <c r="EC443" s="336">
        <f t="shared" si="2737"/>
        <v>0</v>
      </c>
      <c r="ED443" s="336">
        <f t="shared" si="2766"/>
        <v>0</v>
      </c>
      <c r="EE443" s="336">
        <f t="shared" si="2767"/>
        <v>0</v>
      </c>
      <c r="EF443" s="336">
        <f t="shared" si="2768"/>
        <v>0</v>
      </c>
      <c r="EG443" s="336">
        <f t="shared" si="2769"/>
        <v>0</v>
      </c>
      <c r="EH443" s="336">
        <f t="shared" si="2770"/>
        <v>0</v>
      </c>
      <c r="EI443" s="336">
        <f t="shared" si="2771"/>
        <v>0</v>
      </c>
      <c r="EJ443" s="336">
        <f t="shared" si="2772"/>
        <v>0</v>
      </c>
      <c r="EK443" s="336">
        <f t="shared" si="2773"/>
        <v>0</v>
      </c>
      <c r="EL443" s="336">
        <f t="shared" si="2774"/>
        <v>0</v>
      </c>
      <c r="EM443" s="336">
        <f t="shared" si="2775"/>
        <v>0</v>
      </c>
      <c r="EN443" s="336">
        <f t="shared" si="2776"/>
        <v>0</v>
      </c>
      <c r="EO443" s="336">
        <f t="shared" si="2777"/>
        <v>0</v>
      </c>
      <c r="EP443" s="336">
        <f t="shared" si="2778"/>
        <v>0</v>
      </c>
      <c r="EQ443" s="336">
        <f t="shared" si="2779"/>
        <v>0</v>
      </c>
      <c r="ER443" s="336">
        <f t="shared" si="2780"/>
        <v>0</v>
      </c>
      <c r="ES443" s="336">
        <f t="shared" si="2781"/>
        <v>0</v>
      </c>
      <c r="ET443" s="336">
        <f t="shared" si="2781"/>
        <v>0</v>
      </c>
      <c r="EU443" s="336">
        <f t="shared" si="2782"/>
        <v>0</v>
      </c>
      <c r="EV443" s="336">
        <f t="shared" si="2783"/>
        <v>0</v>
      </c>
      <c r="EW443" s="336">
        <f t="shared" si="2784"/>
        <v>0</v>
      </c>
      <c r="EX443" s="336">
        <f t="shared" si="2785"/>
        <v>0</v>
      </c>
      <c r="EY443" s="336">
        <f t="shared" si="2786"/>
        <v>0</v>
      </c>
      <c r="EZ443" s="336">
        <f t="shared" si="2787"/>
        <v>0</v>
      </c>
      <c r="FA443" s="336">
        <f t="shared" si="2788"/>
        <v>0</v>
      </c>
      <c r="FB443" s="336">
        <f t="shared" si="2789"/>
        <v>0</v>
      </c>
      <c r="FC443" s="336">
        <f t="shared" si="2790"/>
        <v>0</v>
      </c>
      <c r="FD443" s="336">
        <f t="shared" si="2791"/>
        <v>0</v>
      </c>
      <c r="FE443" s="336">
        <f t="shared" si="2792"/>
        <v>0</v>
      </c>
      <c r="FF443" s="336">
        <f t="shared" si="2793"/>
        <v>0</v>
      </c>
      <c r="FG443" s="336">
        <f t="shared" si="2794"/>
        <v>0</v>
      </c>
      <c r="FH443" s="336">
        <f t="shared" si="2795"/>
        <v>0</v>
      </c>
      <c r="FI443" s="336">
        <f t="shared" si="2796"/>
        <v>0</v>
      </c>
      <c r="FJ443" s="336">
        <f t="shared" si="2797"/>
        <v>0</v>
      </c>
      <c r="FK443" s="336">
        <f t="shared" si="2798"/>
        <v>0</v>
      </c>
      <c r="FL443" s="336">
        <f t="shared" si="2799"/>
        <v>0</v>
      </c>
      <c r="FM443" s="336">
        <f t="shared" si="2800"/>
        <v>0</v>
      </c>
      <c r="FN443" s="336">
        <f t="shared" si="2801"/>
        <v>0</v>
      </c>
      <c r="FO443" s="336">
        <f t="shared" si="2802"/>
        <v>0</v>
      </c>
      <c r="FP443" s="336">
        <f t="shared" si="2803"/>
        <v>0</v>
      </c>
      <c r="FQ443" s="336">
        <f t="shared" si="2804"/>
        <v>0</v>
      </c>
      <c r="FR443" s="336">
        <f t="shared" si="2805"/>
        <v>0</v>
      </c>
      <c r="FS443" s="336">
        <f t="shared" si="2806"/>
        <v>0</v>
      </c>
      <c r="FT443" s="336">
        <f t="shared" si="2807"/>
        <v>0</v>
      </c>
      <c r="FU443" s="336">
        <f t="shared" si="2821"/>
        <v>0</v>
      </c>
      <c r="FV443" s="336">
        <f t="shared" si="2822"/>
        <v>0</v>
      </c>
      <c r="FW443" s="336">
        <f t="shared" si="2823"/>
        <v>0</v>
      </c>
      <c r="FX443" s="336">
        <f t="shared" si="2824"/>
        <v>0</v>
      </c>
      <c r="FY443" s="336">
        <f t="shared" si="2808"/>
        <v>0</v>
      </c>
      <c r="FZ443" s="336">
        <f t="shared" si="2809"/>
        <v>0</v>
      </c>
      <c r="GA443" s="336">
        <f t="shared" si="2810"/>
        <v>0</v>
      </c>
      <c r="GB443" s="336">
        <f t="shared" si="2811"/>
        <v>0</v>
      </c>
      <c r="GC443" s="336">
        <f t="shared" si="2812"/>
        <v>0</v>
      </c>
      <c r="GD443" s="336">
        <f t="shared" si="2813"/>
        <v>0</v>
      </c>
      <c r="GE443" s="336">
        <f t="shared" si="2814"/>
        <v>0</v>
      </c>
      <c r="GF443" s="336">
        <f t="shared" si="2815"/>
        <v>0</v>
      </c>
      <c r="GG443" s="336">
        <f t="shared" si="2816"/>
        <v>0</v>
      </c>
      <c r="GH443" s="336">
        <f t="shared" si="2817"/>
        <v>0</v>
      </c>
      <c r="GI443" s="336">
        <f t="shared" si="2818"/>
        <v>0</v>
      </c>
      <c r="GJ443" s="336">
        <f t="shared" si="2819"/>
        <v>0</v>
      </c>
      <c r="GK443" s="336">
        <f t="shared" si="2761"/>
        <v>0</v>
      </c>
      <c r="GL443" s="336">
        <f t="shared" si="2825"/>
        <v>0</v>
      </c>
      <c r="GM443" s="336">
        <f t="shared" si="2820"/>
        <v>0</v>
      </c>
    </row>
    <row r="444" spans="1:195">
      <c r="A444" s="337"/>
      <c r="B444" s="337"/>
      <c r="C444" s="337"/>
      <c r="D444" s="372"/>
      <c r="E444" s="500"/>
      <c r="F444" s="570"/>
      <c r="G444" s="337"/>
      <c r="H444" s="350"/>
      <c r="I444" s="337"/>
      <c r="J444" s="337"/>
      <c r="K444" s="349"/>
      <c r="L444" s="343"/>
      <c r="M444" s="350"/>
      <c r="N444" s="342"/>
      <c r="O444" s="342"/>
      <c r="P444" s="343"/>
      <c r="Q444" s="350"/>
      <c r="R444" s="350"/>
      <c r="S444" s="350"/>
      <c r="T444" s="343"/>
      <c r="U444" s="350"/>
      <c r="V444" s="343"/>
      <c r="W444" s="343"/>
      <c r="X444" s="343"/>
      <c r="Y444" s="343"/>
      <c r="Z444" s="344"/>
      <c r="AA444" s="345"/>
      <c r="AB444" s="345"/>
      <c r="AC444" s="457"/>
      <c r="AD444" s="457"/>
      <c r="AE444" s="457"/>
      <c r="AF444" s="457"/>
      <c r="AG444" s="457"/>
      <c r="AH444" s="347"/>
      <c r="AI444" s="344"/>
      <c r="AJ444" s="342"/>
      <c r="AK444" s="344"/>
      <c r="AL444" s="344"/>
      <c r="AM444" s="344"/>
      <c r="AN444" s="351"/>
      <c r="AO444" s="350"/>
      <c r="AP444" s="349"/>
      <c r="AQ444" s="350"/>
      <c r="AR444" s="351"/>
      <c r="AS444" s="343"/>
      <c r="AT444" s="351"/>
      <c r="AU444" s="351"/>
      <c r="AV444" s="354"/>
      <c r="AW444" s="354"/>
      <c r="AX444" s="343"/>
      <c r="AY444" s="355"/>
      <c r="AZ444" s="355"/>
      <c r="BA444" s="356" t="str">
        <f t="shared" ref="BA444:BA446" si="2826">CONCATENATE(IF(BE444=1,BE$4,""),IF(BF444=1,BF$4,""),IF(BG444=1,BG$4,""),IF(BH444=1,BH$4,""),IF(BI444=1,BI$4,""),IF(BJ444=1,BJ$4,""),IF(BK444=1,BK$4,""),IF(BL444=1,BL$4,""),IF(BM444=1,BM$4,""),IF(BN444=1,BN$4,""),IF(BO444=1,BO$4,""),IF(BP444=1,BP$4,""),IF(BQ444=1,BQ$4,""),IF(BR444=1,BR$4,""),IF(BS444=1,BS$4,""),IF(BT444=1,BT$4,""),IF(BU444=1,BU$4,""),IF(BV444=1,BV$4,""),IF(BW444=1,BW$4,""),IF(BX444=1,BX$4,""),IF(BY444=1,BY$4,""),IF(BZ444=1,BZ$4,""),IF(CA444=1,CA$4,""),IF(CC444=1,CC$4,""),IF(CD444=1,CD$4,""),IF(CE444=1,CE$4,""),IF(CF444=1,CF$4,""),IF(CG444=1,CG$4,""),IF(CH444=1,CH$4,""),IF(CI444=1,CI$4,""),IF(CJ444=1,CJ$4,""),IF(CK444=1,CK$4,""),IF(CL444=1,CL$4,""),IF(CM444=1,CM$4,""),IF(CN444=1,CN$4,""),IF(CO444=1,CO$4,""),IF(CP444=1,CP$4,""),IF(CQ444=1,CQ$4,""),IF(CR444=1,CR$4,""),IF(CS444=1,CS$4,""),IF(CT444=1,CT$4,""),IF(CU444=1,CU$4,""),IF(CV444=1,CV$4,""),IF(CW444=1,CW$4,""),IF(CX444=1,CX$4,""),IF(CY444=1,CY$4,""),IF(CZ444=1,CZ$4,""),IF(DA444=1,DA$4,""),IF(DB444=1,DB$4,""),IF(DG444=1,DG$4,""),IF(DH444=1,DH$4,""),IF(DI444=1,DI$4,""),IF(DJ444=1,DJ$4,""),IF(DK444=1,DK$4,""),IF(DL444=1,DL$4,""),IF(DM444=1,DM$4,""),IF(DN444=1,DN$4,""),IF(DO444=1,DO$4,""),IF(DP444=1,DP$4,""),IF(DQ444=1,DQ$4,""),IF(DR444=1,DR$4,""),IF(DS444=1,DS$4,""),IF(DU444=1,DU$4,""))</f>
        <v/>
      </c>
      <c r="BB444" s="336"/>
      <c r="BC444" s="336"/>
      <c r="BE444" s="336"/>
      <c r="BF444" s="336"/>
      <c r="BG444" s="336"/>
      <c r="BH444" s="336"/>
      <c r="BI444" s="336"/>
      <c r="BJ444" s="336"/>
      <c r="BK444" s="336"/>
      <c r="BL444" s="336"/>
      <c r="BM444" s="336"/>
      <c r="BN444" s="336"/>
      <c r="BO444" s="336"/>
      <c r="BP444" s="336"/>
      <c r="BQ444" s="336"/>
      <c r="BR444" s="336"/>
      <c r="BS444" s="336"/>
      <c r="BT444" s="336"/>
      <c r="BU444" s="336"/>
      <c r="BV444" s="336"/>
      <c r="BW444" s="336"/>
      <c r="BX444" s="336"/>
      <c r="BY444" s="336"/>
      <c r="BZ444" s="336"/>
      <c r="CA444" s="336"/>
      <c r="CB444" s="336"/>
      <c r="CC444" s="336"/>
      <c r="CD444" s="336"/>
      <c r="CE444" s="336"/>
      <c r="CF444" s="336"/>
      <c r="CG444" s="336"/>
      <c r="CH444" s="336"/>
      <c r="CI444" s="336"/>
      <c r="CJ444" s="336"/>
      <c r="CK444" s="336"/>
      <c r="CL444" s="336"/>
      <c r="CM444" s="336"/>
      <c r="CN444" s="336"/>
      <c r="CO444" s="336"/>
      <c r="CP444" s="336"/>
      <c r="CQ444" s="336"/>
      <c r="CR444" s="336"/>
      <c r="CS444" s="336"/>
      <c r="CT444" s="336"/>
      <c r="CU444" s="336"/>
      <c r="CV444" s="336"/>
      <c r="CW444" s="336"/>
      <c r="CX444" s="336"/>
      <c r="CY444" s="336"/>
      <c r="CZ444" s="336"/>
      <c r="DA444" s="336"/>
      <c r="DB444" s="336"/>
      <c r="DC444" s="336"/>
      <c r="DD444" s="336"/>
      <c r="DE444" s="336"/>
      <c r="DF444" s="336"/>
      <c r="DG444" s="336"/>
      <c r="DH444" s="336"/>
      <c r="DI444" s="336"/>
      <c r="DJ444" s="336"/>
      <c r="DK444" s="336"/>
      <c r="DL444" s="336"/>
      <c r="DM444" s="336"/>
      <c r="DN444" s="336"/>
      <c r="DO444" s="336"/>
      <c r="DP444" s="336"/>
      <c r="DQ444" s="336"/>
      <c r="DR444" s="336"/>
      <c r="DS444" s="336"/>
      <c r="DT444" s="336"/>
      <c r="DU444" s="336"/>
      <c r="DW444" s="336"/>
      <c r="DX444" s="336"/>
      <c r="DY444" s="336"/>
      <c r="DZ444" s="336"/>
      <c r="EA444" s="336"/>
      <c r="EB444" s="336"/>
      <c r="EC444" s="336"/>
      <c r="ED444" s="336"/>
      <c r="EE444" s="336"/>
      <c r="EF444" s="336"/>
      <c r="EG444" s="336"/>
      <c r="EH444" s="336"/>
      <c r="EI444" s="336"/>
      <c r="EJ444" s="336"/>
      <c r="EK444" s="336"/>
      <c r="EL444" s="336"/>
      <c r="EM444" s="336"/>
      <c r="EN444" s="336"/>
      <c r="EO444" s="336"/>
      <c r="EP444" s="336"/>
      <c r="EQ444" s="336"/>
      <c r="ER444" s="336"/>
      <c r="ES444" s="336"/>
      <c r="ET444" s="336"/>
      <c r="EU444" s="336"/>
      <c r="EV444" s="336"/>
      <c r="EW444" s="336"/>
      <c r="EX444" s="336"/>
      <c r="EY444" s="336"/>
      <c r="EZ444" s="336"/>
      <c r="FA444" s="336"/>
      <c r="FB444" s="336"/>
      <c r="FC444" s="336"/>
      <c r="FD444" s="336"/>
      <c r="FE444" s="336"/>
      <c r="FF444" s="336"/>
      <c r="FG444" s="336"/>
      <c r="FH444" s="336"/>
      <c r="FI444" s="336"/>
      <c r="FJ444" s="336"/>
      <c r="FK444" s="336"/>
      <c r="FL444" s="336"/>
      <c r="FM444" s="336"/>
      <c r="FN444" s="336"/>
      <c r="FO444" s="336"/>
      <c r="FP444" s="336"/>
      <c r="FQ444" s="336"/>
      <c r="FR444" s="336"/>
      <c r="FS444" s="336"/>
      <c r="FT444" s="336"/>
      <c r="FU444" s="336"/>
      <c r="FV444" s="336"/>
      <c r="FW444" s="336"/>
      <c r="FX444" s="336"/>
      <c r="FY444" s="336"/>
      <c r="FZ444" s="336"/>
      <c r="GA444" s="336"/>
      <c r="GB444" s="336"/>
      <c r="GC444" s="336"/>
      <c r="GD444" s="336"/>
      <c r="GE444" s="336"/>
      <c r="GF444" s="336"/>
      <c r="GG444" s="336"/>
      <c r="GH444" s="336"/>
      <c r="GI444" s="336"/>
      <c r="GJ444" s="336"/>
      <c r="GK444" s="336"/>
      <c r="GL444" s="336"/>
      <c r="GM444" s="336"/>
    </row>
    <row r="445" spans="1:195">
      <c r="A445" s="337"/>
      <c r="B445" s="337"/>
      <c r="C445" s="337"/>
      <c r="D445" s="372"/>
      <c r="E445" s="500"/>
      <c r="F445" s="570"/>
      <c r="G445" s="337"/>
      <c r="H445" s="350"/>
      <c r="I445" s="337"/>
      <c r="J445" s="337"/>
      <c r="K445" s="349"/>
      <c r="L445" s="343"/>
      <c r="M445" s="350"/>
      <c r="N445" s="342"/>
      <c r="O445" s="342"/>
      <c r="P445" s="343"/>
      <c r="Q445" s="350"/>
      <c r="R445" s="350"/>
      <c r="S445" s="350"/>
      <c r="T445" s="343"/>
      <c r="U445" s="350"/>
      <c r="V445" s="343"/>
      <c r="W445" s="343"/>
      <c r="X445" s="343"/>
      <c r="Y445" s="343"/>
      <c r="Z445" s="344"/>
      <c r="AA445" s="345"/>
      <c r="AB445" s="345"/>
      <c r="AC445" s="457"/>
      <c r="AD445" s="457"/>
      <c r="AE445" s="457"/>
      <c r="AF445" s="457"/>
      <c r="AG445" s="457"/>
      <c r="AH445" s="347"/>
      <c r="AI445" s="344"/>
      <c r="AJ445" s="342"/>
      <c r="AK445" s="344"/>
      <c r="AL445" s="344"/>
      <c r="AM445" s="344"/>
      <c r="AN445" s="351"/>
      <c r="AO445" s="350"/>
      <c r="AP445" s="349"/>
      <c r="AQ445" s="350"/>
      <c r="AR445" s="351"/>
      <c r="AS445" s="343"/>
      <c r="AT445" s="351"/>
      <c r="AU445" s="351"/>
      <c r="AV445" s="354"/>
      <c r="AW445" s="354"/>
      <c r="AX445" s="343"/>
      <c r="AY445" s="355"/>
      <c r="AZ445" s="355"/>
      <c r="BA445" s="356" t="str">
        <f t="shared" si="2826"/>
        <v/>
      </c>
      <c r="BB445" s="336"/>
      <c r="BC445" s="336"/>
      <c r="BE445" s="336"/>
      <c r="BF445" s="336"/>
      <c r="BG445" s="336"/>
      <c r="BH445" s="336"/>
      <c r="BI445" s="336"/>
      <c r="BJ445" s="336"/>
      <c r="BK445" s="336"/>
      <c r="BL445" s="336"/>
      <c r="BM445" s="336"/>
      <c r="BN445" s="336"/>
      <c r="BO445" s="336"/>
      <c r="BP445" s="336"/>
      <c r="BQ445" s="336"/>
      <c r="BR445" s="336"/>
      <c r="BS445" s="336"/>
      <c r="BT445" s="336"/>
      <c r="BU445" s="336"/>
      <c r="BV445" s="336"/>
      <c r="BW445" s="336"/>
      <c r="BX445" s="336"/>
      <c r="BY445" s="336"/>
      <c r="BZ445" s="336"/>
      <c r="CA445" s="336"/>
      <c r="CB445" s="336"/>
      <c r="CC445" s="336"/>
      <c r="CD445" s="336"/>
      <c r="CE445" s="336"/>
      <c r="CF445" s="336"/>
      <c r="CG445" s="336"/>
      <c r="CH445" s="336"/>
      <c r="CI445" s="336"/>
      <c r="CJ445" s="336"/>
      <c r="CK445" s="336"/>
      <c r="CL445" s="336"/>
      <c r="CM445" s="336"/>
      <c r="CN445" s="336"/>
      <c r="CO445" s="336"/>
      <c r="CP445" s="336"/>
      <c r="CQ445" s="336"/>
      <c r="CR445" s="336"/>
      <c r="CS445" s="336"/>
      <c r="CT445" s="336"/>
      <c r="CU445" s="336"/>
      <c r="CV445" s="336"/>
      <c r="CW445" s="336"/>
      <c r="CX445" s="336"/>
      <c r="CY445" s="336"/>
      <c r="CZ445" s="336"/>
      <c r="DA445" s="336"/>
      <c r="DB445" s="336"/>
      <c r="DC445" s="336"/>
      <c r="DD445" s="336"/>
      <c r="DE445" s="336"/>
      <c r="DF445" s="336"/>
      <c r="DG445" s="336"/>
      <c r="DH445" s="336"/>
      <c r="DI445" s="336"/>
      <c r="DJ445" s="336"/>
      <c r="DK445" s="336"/>
      <c r="DL445" s="336"/>
      <c r="DM445" s="336"/>
      <c r="DN445" s="336"/>
      <c r="DO445" s="336"/>
      <c r="DP445" s="336"/>
      <c r="DQ445" s="336"/>
      <c r="DR445" s="336"/>
      <c r="DS445" s="336"/>
      <c r="DT445" s="336"/>
      <c r="DU445" s="336"/>
      <c r="DW445" s="336"/>
      <c r="DX445" s="336"/>
      <c r="DY445" s="336"/>
      <c r="DZ445" s="336"/>
      <c r="EA445" s="336"/>
      <c r="EB445" s="336"/>
      <c r="EC445" s="336"/>
      <c r="ED445" s="336"/>
      <c r="EE445" s="336"/>
      <c r="EF445" s="336"/>
      <c r="EG445" s="336"/>
      <c r="EH445" s="336"/>
      <c r="EI445" s="336"/>
      <c r="EJ445" s="336"/>
      <c r="EK445" s="336"/>
      <c r="EL445" s="336"/>
      <c r="EM445" s="336"/>
      <c r="EN445" s="336"/>
      <c r="EO445" s="336"/>
      <c r="EP445" s="336"/>
      <c r="EQ445" s="336"/>
      <c r="ER445" s="336"/>
      <c r="ES445" s="336"/>
      <c r="ET445" s="336"/>
      <c r="EU445" s="336"/>
      <c r="EV445" s="336"/>
      <c r="EW445" s="336"/>
      <c r="EX445" s="336"/>
      <c r="EY445" s="336"/>
      <c r="EZ445" s="336"/>
      <c r="FA445" s="336"/>
      <c r="FB445" s="336"/>
      <c r="FC445" s="336"/>
      <c r="FD445" s="336"/>
      <c r="FE445" s="336"/>
      <c r="FF445" s="336"/>
      <c r="FG445" s="336"/>
      <c r="FH445" s="336"/>
      <c r="FI445" s="336"/>
      <c r="FJ445" s="336"/>
      <c r="FK445" s="336"/>
      <c r="FL445" s="336"/>
      <c r="FM445" s="336"/>
      <c r="FN445" s="336"/>
      <c r="FO445" s="336"/>
      <c r="FP445" s="336"/>
      <c r="FQ445" s="336"/>
      <c r="FR445" s="336"/>
      <c r="FS445" s="336"/>
      <c r="FT445" s="336"/>
      <c r="FU445" s="336"/>
      <c r="FV445" s="336"/>
      <c r="FW445" s="336"/>
      <c r="FX445" s="336"/>
      <c r="FY445" s="336"/>
      <c r="FZ445" s="336"/>
      <c r="GA445" s="336"/>
      <c r="GB445" s="336"/>
      <c r="GC445" s="336"/>
      <c r="GD445" s="336"/>
      <c r="GE445" s="336"/>
      <c r="GF445" s="336"/>
      <c r="GG445" s="336"/>
      <c r="GH445" s="336"/>
      <c r="GI445" s="336"/>
      <c r="GJ445" s="336"/>
      <c r="GK445" s="336"/>
      <c r="GL445" s="336"/>
      <c r="GM445" s="336"/>
    </row>
    <row r="446" spans="1:195">
      <c r="A446" s="337"/>
      <c r="B446" s="337"/>
      <c r="C446" s="337"/>
      <c r="D446" s="372"/>
      <c r="E446" s="500"/>
      <c r="F446" s="570"/>
      <c r="G446" s="337"/>
      <c r="H446" s="350"/>
      <c r="I446" s="337"/>
      <c r="J446" s="337"/>
      <c r="K446" s="349"/>
      <c r="L446" s="343"/>
      <c r="M446" s="350"/>
      <c r="N446" s="342"/>
      <c r="O446" s="342"/>
      <c r="P446" s="343"/>
      <c r="Q446" s="350"/>
      <c r="R446" s="350"/>
      <c r="S446" s="350"/>
      <c r="T446" s="343"/>
      <c r="U446" s="350"/>
      <c r="V446" s="343"/>
      <c r="W446" s="343"/>
      <c r="X446" s="343"/>
      <c r="Y446" s="343"/>
      <c r="Z446" s="344"/>
      <c r="AA446" s="345"/>
      <c r="AB446" s="345"/>
      <c r="AC446" s="457"/>
      <c r="AD446" s="457"/>
      <c r="AE446" s="457"/>
      <c r="AF446" s="457"/>
      <c r="AG446" s="457"/>
      <c r="AH446" s="347"/>
      <c r="AI446" s="344"/>
      <c r="AJ446" s="342"/>
      <c r="AK446" s="344"/>
      <c r="AL446" s="344"/>
      <c r="AM446" s="344"/>
      <c r="AN446" s="351"/>
      <c r="AO446" s="350"/>
      <c r="AP446" s="349"/>
      <c r="AQ446" s="350"/>
      <c r="AR446" s="351"/>
      <c r="AS446" s="343"/>
      <c r="AT446" s="351"/>
      <c r="AU446" s="351"/>
      <c r="AV446" s="354"/>
      <c r="AW446" s="354"/>
      <c r="AX446" s="343"/>
      <c r="AY446" s="355"/>
      <c r="AZ446" s="355"/>
      <c r="BA446" s="356" t="str">
        <f t="shared" si="2826"/>
        <v/>
      </c>
      <c r="BB446" s="336"/>
      <c r="BC446" s="336"/>
      <c r="BE446" s="336"/>
      <c r="BF446" s="336"/>
      <c r="BG446" s="336"/>
      <c r="BH446" s="336"/>
      <c r="BI446" s="336"/>
      <c r="BJ446" s="336"/>
      <c r="BK446" s="336"/>
      <c r="BL446" s="336"/>
      <c r="BM446" s="336"/>
      <c r="BN446" s="336"/>
      <c r="BO446" s="336"/>
      <c r="BP446" s="336"/>
      <c r="BQ446" s="336"/>
      <c r="BR446" s="336"/>
      <c r="BS446" s="336"/>
      <c r="BT446" s="336"/>
      <c r="BU446" s="336"/>
      <c r="BV446" s="336"/>
      <c r="BW446" s="336"/>
      <c r="BX446" s="336"/>
      <c r="BY446" s="336"/>
      <c r="BZ446" s="336"/>
      <c r="CA446" s="336"/>
      <c r="CB446" s="336"/>
      <c r="CC446" s="336"/>
      <c r="CD446" s="336"/>
      <c r="CE446" s="336"/>
      <c r="CF446" s="336"/>
      <c r="CG446" s="336"/>
      <c r="CH446" s="336"/>
      <c r="CI446" s="336"/>
      <c r="CJ446" s="336"/>
      <c r="CK446" s="336"/>
      <c r="CL446" s="336"/>
      <c r="CM446" s="336"/>
      <c r="CN446" s="336"/>
      <c r="CO446" s="336"/>
      <c r="CP446" s="336"/>
      <c r="CQ446" s="336"/>
      <c r="CR446" s="336"/>
      <c r="CS446" s="336"/>
      <c r="CT446" s="336"/>
      <c r="CU446" s="336"/>
      <c r="CV446" s="336"/>
      <c r="CW446" s="336"/>
      <c r="CX446" s="336"/>
      <c r="CY446" s="336"/>
      <c r="CZ446" s="336"/>
      <c r="DA446" s="336"/>
      <c r="DB446" s="336"/>
      <c r="DC446" s="336"/>
      <c r="DD446" s="336"/>
      <c r="DE446" s="336"/>
      <c r="DF446" s="336"/>
      <c r="DG446" s="336"/>
      <c r="DH446" s="336"/>
      <c r="DI446" s="336"/>
      <c r="DJ446" s="336"/>
      <c r="DK446" s="336"/>
      <c r="DL446" s="336"/>
      <c r="DM446" s="336"/>
      <c r="DN446" s="336"/>
      <c r="DO446" s="336"/>
      <c r="DP446" s="336"/>
      <c r="DQ446" s="336"/>
      <c r="DR446" s="336"/>
      <c r="DS446" s="336"/>
      <c r="DT446" s="336"/>
      <c r="DU446" s="336"/>
      <c r="DW446" s="336"/>
      <c r="DX446" s="336"/>
      <c r="DY446" s="336"/>
      <c r="DZ446" s="336"/>
      <c r="EA446" s="336"/>
      <c r="EB446" s="336"/>
      <c r="EC446" s="336"/>
      <c r="ED446" s="336"/>
      <c r="EE446" s="336"/>
      <c r="EF446" s="336"/>
      <c r="EG446" s="336"/>
      <c r="EH446" s="336"/>
      <c r="EI446" s="336"/>
      <c r="EJ446" s="336"/>
      <c r="EK446" s="336"/>
      <c r="EL446" s="336"/>
      <c r="EM446" s="336"/>
      <c r="EN446" s="336"/>
      <c r="EO446" s="336"/>
      <c r="EP446" s="336"/>
      <c r="EQ446" s="336"/>
      <c r="ER446" s="336"/>
      <c r="ES446" s="336"/>
      <c r="ET446" s="336"/>
      <c r="EU446" s="336"/>
      <c r="EV446" s="336"/>
      <c r="EW446" s="336"/>
      <c r="EX446" s="336"/>
      <c r="EY446" s="336"/>
      <c r="EZ446" s="336"/>
      <c r="FA446" s="336"/>
      <c r="FB446" s="336"/>
      <c r="FC446" s="336"/>
      <c r="FD446" s="336"/>
      <c r="FE446" s="336"/>
      <c r="FF446" s="336"/>
      <c r="FG446" s="336"/>
      <c r="FH446" s="336"/>
      <c r="FI446" s="336"/>
      <c r="FJ446" s="336"/>
      <c r="FK446" s="336"/>
      <c r="FL446" s="336"/>
      <c r="FM446" s="336"/>
      <c r="FN446" s="336"/>
      <c r="FO446" s="336"/>
      <c r="FP446" s="336"/>
      <c r="FQ446" s="336"/>
      <c r="FR446" s="336"/>
      <c r="FS446" s="336"/>
      <c r="FT446" s="336"/>
      <c r="FU446" s="336"/>
      <c r="FV446" s="336"/>
      <c r="FW446" s="336"/>
      <c r="FX446" s="336"/>
      <c r="FY446" s="336"/>
      <c r="FZ446" s="336"/>
      <c r="GA446" s="336"/>
      <c r="GB446" s="336"/>
      <c r="GC446" s="336"/>
      <c r="GD446" s="336"/>
      <c r="GE446" s="336"/>
      <c r="GF446" s="336"/>
      <c r="GG446" s="336"/>
      <c r="GH446" s="336"/>
      <c r="GI446" s="336"/>
      <c r="GJ446" s="336"/>
      <c r="GK446" s="336"/>
      <c r="GL446" s="336"/>
      <c r="GM446" s="336"/>
    </row>
    <row r="447" spans="1:195" s="75" customFormat="1" ht="14.25" customHeight="1">
      <c r="A447" s="388"/>
      <c r="B447" s="388"/>
      <c r="C447" s="388"/>
      <c r="D447" s="338"/>
      <c r="E447" s="578"/>
      <c r="F447" s="571"/>
      <c r="G447" s="388"/>
      <c r="H447" s="401"/>
      <c r="I447" s="388"/>
      <c r="J447" s="388"/>
      <c r="K447" s="401"/>
      <c r="L447" s="401"/>
      <c r="M447" s="401"/>
      <c r="N447" s="401"/>
      <c r="O447" s="392"/>
      <c r="P447" s="401"/>
      <c r="Q447" s="418"/>
      <c r="R447" s="418"/>
      <c r="S447" s="418"/>
      <c r="T447" s="401"/>
      <c r="U447" s="418"/>
      <c r="V447" s="401"/>
      <c r="W447" s="401"/>
      <c r="X447" s="401"/>
      <c r="Y447" s="401"/>
      <c r="Z447" s="393"/>
      <c r="AA447" s="402"/>
      <c r="AB447" s="402"/>
      <c r="AC447" s="402"/>
      <c r="AD447" s="402"/>
      <c r="AE447" s="402"/>
      <c r="AF447" s="402"/>
      <c r="AG447" s="402"/>
      <c r="AH447" s="403"/>
      <c r="AI447" s="393"/>
      <c r="AJ447" s="392"/>
      <c r="AK447" s="393"/>
      <c r="AL447" s="393"/>
      <c r="AM447" s="393"/>
      <c r="AN447" s="437"/>
      <c r="AO447" s="418"/>
      <c r="AP447" s="434"/>
      <c r="AQ447" s="418"/>
      <c r="AR447" s="437"/>
      <c r="AS447" s="401"/>
      <c r="AT447" s="437"/>
      <c r="AU447" s="437"/>
      <c r="AV447" s="503"/>
      <c r="AW447" s="503"/>
      <c r="AX447" s="401"/>
      <c r="AY447" s="401"/>
      <c r="AZ447" s="401"/>
      <c r="BA447" s="579"/>
      <c r="BB447" s="579"/>
      <c r="BC447" s="579"/>
      <c r="BE447" s="336"/>
      <c r="BF447" s="336"/>
      <c r="BG447" s="336"/>
      <c r="BH447" s="336"/>
      <c r="BI447" s="336"/>
      <c r="BJ447" s="336"/>
      <c r="BK447" s="336"/>
      <c r="BL447" s="336"/>
      <c r="BM447" s="336"/>
      <c r="BN447" s="336"/>
      <c r="BO447" s="336"/>
      <c r="BP447" s="336"/>
      <c r="BQ447" s="336"/>
      <c r="BR447" s="336"/>
      <c r="BS447" s="336"/>
      <c r="BT447" s="336"/>
      <c r="BU447" s="336"/>
      <c r="BV447" s="336"/>
      <c r="BW447" s="336"/>
      <c r="BX447" s="336"/>
      <c r="BY447" s="336"/>
      <c r="BZ447" s="336"/>
      <c r="CA447" s="336"/>
      <c r="CB447" s="336"/>
      <c r="CC447" s="336"/>
      <c r="CD447" s="336"/>
      <c r="CE447" s="336"/>
      <c r="CF447" s="336"/>
      <c r="CG447" s="336"/>
      <c r="CH447" s="336"/>
      <c r="CI447" s="336"/>
      <c r="CJ447" s="336"/>
      <c r="CK447" s="336"/>
      <c r="CL447" s="336"/>
      <c r="CM447" s="336"/>
      <c r="CN447" s="336"/>
      <c r="CO447" s="336"/>
      <c r="CP447" s="336"/>
      <c r="CQ447" s="336"/>
      <c r="CR447" s="336"/>
      <c r="CS447" s="336"/>
      <c r="CT447" s="336"/>
      <c r="CU447" s="336"/>
      <c r="CV447" s="336"/>
      <c r="CW447" s="336"/>
      <c r="CX447" s="336"/>
      <c r="CY447" s="336"/>
      <c r="CZ447" s="336"/>
      <c r="DA447" s="336"/>
      <c r="DB447" s="336"/>
      <c r="DC447" s="336"/>
      <c r="DD447" s="336"/>
      <c r="DE447" s="336"/>
      <c r="DF447" s="336"/>
      <c r="DG447" s="336"/>
      <c r="DH447" s="336"/>
      <c r="DI447" s="336"/>
      <c r="DJ447" s="336"/>
      <c r="DK447" s="336"/>
      <c r="DL447" s="336"/>
      <c r="DM447" s="336"/>
      <c r="DN447" s="336"/>
      <c r="DO447" s="336"/>
      <c r="DP447" s="336"/>
      <c r="DQ447" s="336"/>
      <c r="DR447" s="336"/>
      <c r="DS447" s="336"/>
      <c r="DT447" s="336"/>
      <c r="DU447" s="336"/>
      <c r="DV447" s="61"/>
      <c r="DW447" s="336"/>
      <c r="DX447" s="336"/>
      <c r="DY447" s="336"/>
      <c r="DZ447" s="336"/>
      <c r="EA447" s="336"/>
      <c r="EB447" s="336"/>
      <c r="EC447" s="336"/>
      <c r="ED447" s="336"/>
      <c r="EE447" s="336"/>
      <c r="EF447" s="336"/>
      <c r="EG447" s="336"/>
      <c r="EH447" s="336"/>
      <c r="EI447" s="336"/>
      <c r="EJ447" s="336"/>
      <c r="EK447" s="336"/>
      <c r="EL447" s="336"/>
      <c r="EM447" s="336"/>
      <c r="EN447" s="336"/>
      <c r="EO447" s="336"/>
      <c r="EP447" s="336"/>
      <c r="EQ447" s="336"/>
      <c r="ER447" s="336"/>
      <c r="ES447" s="336"/>
      <c r="ET447" s="336"/>
      <c r="EU447" s="336"/>
      <c r="EV447" s="336"/>
      <c r="EW447" s="336"/>
      <c r="EX447" s="336"/>
      <c r="EY447" s="336"/>
      <c r="EZ447" s="336"/>
      <c r="FA447" s="336"/>
      <c r="FB447" s="336"/>
      <c r="FC447" s="336"/>
      <c r="FD447" s="336"/>
      <c r="FE447" s="336"/>
      <c r="FF447" s="336"/>
      <c r="FG447" s="336"/>
      <c r="FH447" s="336"/>
      <c r="FI447" s="336"/>
      <c r="FJ447" s="336"/>
      <c r="FK447" s="336"/>
      <c r="FL447" s="336"/>
      <c r="FM447" s="336"/>
      <c r="FN447" s="336"/>
      <c r="FO447" s="579"/>
      <c r="FP447" s="579"/>
      <c r="FQ447" s="579"/>
      <c r="FR447" s="579"/>
      <c r="FS447" s="579"/>
      <c r="FT447" s="579"/>
      <c r="FU447" s="579"/>
      <c r="FV447" s="579"/>
      <c r="FW447" s="579"/>
      <c r="FX447" s="579"/>
      <c r="FY447" s="579"/>
      <c r="FZ447" s="579"/>
      <c r="GA447" s="579"/>
      <c r="GB447" s="579"/>
      <c r="GC447" s="579"/>
      <c r="GD447" s="579"/>
      <c r="GE447" s="579"/>
      <c r="GF447" s="579"/>
      <c r="GG447" s="579"/>
      <c r="GH447" s="579"/>
      <c r="GI447" s="579"/>
      <c r="GJ447" s="579"/>
      <c r="GK447" s="579"/>
      <c r="GL447" s="579"/>
      <c r="GM447" s="579"/>
    </row>
    <row r="448" spans="1:195" ht="14.25" customHeight="1">
      <c r="A448" s="406"/>
      <c r="B448" s="406"/>
      <c r="C448" s="406"/>
      <c r="D448" s="580"/>
      <c r="E448" s="581"/>
      <c r="F448" s="582"/>
      <c r="G448" s="406"/>
      <c r="H448" s="409"/>
      <c r="I448" s="409"/>
      <c r="J448" s="409"/>
      <c r="K448" s="409"/>
      <c r="L448" s="409"/>
      <c r="M448" s="409"/>
      <c r="N448" s="409"/>
      <c r="O448" s="407"/>
      <c r="P448" s="409"/>
      <c r="Q448" s="583"/>
      <c r="R448" s="583"/>
      <c r="S448" s="583"/>
      <c r="T448" s="409"/>
      <c r="U448" s="583"/>
      <c r="V448" s="409"/>
      <c r="W448" s="409"/>
      <c r="X448" s="409"/>
      <c r="Y448" s="409"/>
      <c r="Z448" s="408"/>
      <c r="AA448" s="410"/>
      <c r="AB448" s="410"/>
      <c r="AC448" s="402"/>
      <c r="AD448" s="402"/>
      <c r="AE448" s="402"/>
      <c r="AF448" s="402"/>
      <c r="AG448" s="402"/>
      <c r="AH448" s="853">
        <f>SUM(AH6:AH447)</f>
        <v>74524.5</v>
      </c>
      <c r="AI448" s="408"/>
      <c r="AJ448" s="407"/>
      <c r="AK448" s="408"/>
      <c r="AL448" s="408"/>
      <c r="AM448" s="408"/>
      <c r="AN448" s="584"/>
      <c r="AO448" s="583"/>
      <c r="AP448" s="585"/>
      <c r="AQ448" s="583"/>
      <c r="AR448" s="584"/>
      <c r="AS448" s="409"/>
      <c r="AT448" s="584"/>
      <c r="AU448" s="584"/>
      <c r="AV448" s="586"/>
      <c r="AW448" s="586"/>
      <c r="AX448" s="409" t="e">
        <f>SUM(AX6:AX447)</f>
        <v>#N/A</v>
      </c>
      <c r="AY448" s="409"/>
      <c r="AZ448" s="409" t="e">
        <f>SUM(AZ6:AZ447)</f>
        <v>#N/A</v>
      </c>
      <c r="BA448" s="587"/>
      <c r="BB448" s="587"/>
      <c r="BC448" s="587"/>
      <c r="BE448" s="336"/>
      <c r="BF448" s="336"/>
      <c r="BG448" s="336"/>
      <c r="BH448" s="336"/>
      <c r="BI448" s="336"/>
      <c r="BJ448" s="336"/>
      <c r="BK448" s="336"/>
      <c r="BL448" s="336"/>
      <c r="BM448" s="336"/>
      <c r="BN448" s="336"/>
      <c r="BO448" s="336"/>
      <c r="BP448" s="336"/>
      <c r="BQ448" s="336"/>
      <c r="BR448" s="336"/>
      <c r="BS448" s="336"/>
      <c r="BT448" s="336"/>
      <c r="BU448" s="336"/>
      <c r="BV448" s="336"/>
      <c r="BW448" s="336"/>
      <c r="BX448" s="336"/>
      <c r="BY448" s="336"/>
      <c r="BZ448" s="336"/>
      <c r="CA448" s="336"/>
      <c r="CB448" s="336"/>
      <c r="CC448" s="336"/>
      <c r="CD448" s="336"/>
      <c r="CE448" s="336"/>
      <c r="CF448" s="336"/>
      <c r="CG448" s="336"/>
      <c r="CH448" s="336"/>
      <c r="CI448" s="336"/>
      <c r="CJ448" s="336"/>
      <c r="CK448" s="336"/>
      <c r="CL448" s="336"/>
      <c r="CM448" s="336"/>
      <c r="CN448" s="336"/>
      <c r="CO448" s="336"/>
      <c r="CP448" s="336"/>
      <c r="CQ448" s="336"/>
      <c r="CR448" s="336"/>
      <c r="CS448" s="336"/>
      <c r="CT448" s="336"/>
      <c r="CU448" s="336"/>
      <c r="CV448" s="336"/>
      <c r="CW448" s="336"/>
      <c r="CX448" s="336"/>
      <c r="CY448" s="336"/>
      <c r="CZ448" s="336"/>
      <c r="DA448" s="336"/>
      <c r="DB448" s="336"/>
      <c r="DC448" s="336"/>
      <c r="DD448" s="336"/>
      <c r="DE448" s="336"/>
      <c r="DF448" s="336"/>
      <c r="DG448" s="336"/>
      <c r="DH448" s="336"/>
      <c r="DI448" s="336"/>
      <c r="DJ448" s="336"/>
      <c r="DK448" s="336"/>
      <c r="DL448" s="336"/>
      <c r="DM448" s="336"/>
      <c r="DN448" s="336"/>
      <c r="DO448" s="336"/>
      <c r="DP448" s="336"/>
      <c r="DQ448" s="336"/>
      <c r="DR448" s="336"/>
      <c r="DS448" s="336"/>
      <c r="DT448" s="336"/>
      <c r="DU448" s="336"/>
      <c r="DW448" s="411">
        <f t="shared" ref="DW448:ES448" si="2827">SUM(DW7:DW447)</f>
        <v>719</v>
      </c>
      <c r="DX448" s="411" t="e">
        <f t="shared" si="2827"/>
        <v>#N/A</v>
      </c>
      <c r="DY448" s="411" t="e">
        <f t="shared" si="2827"/>
        <v>#N/A</v>
      </c>
      <c r="DZ448" s="411">
        <f t="shared" si="2827"/>
        <v>697</v>
      </c>
      <c r="EA448" s="411">
        <f t="shared" si="2827"/>
        <v>3779</v>
      </c>
      <c r="EB448" s="411">
        <f t="shared" si="2827"/>
        <v>3584</v>
      </c>
      <c r="EC448" s="411">
        <f t="shared" si="2827"/>
        <v>95</v>
      </c>
      <c r="ED448" s="411">
        <f t="shared" si="2827"/>
        <v>21</v>
      </c>
      <c r="EE448" s="411">
        <f t="shared" si="2827"/>
        <v>515</v>
      </c>
      <c r="EF448" s="411">
        <f t="shared" si="2827"/>
        <v>3489</v>
      </c>
      <c r="EG448" s="411">
        <f t="shared" si="2827"/>
        <v>0</v>
      </c>
      <c r="EH448" s="411">
        <f t="shared" si="2827"/>
        <v>3196</v>
      </c>
      <c r="EI448" s="411">
        <f t="shared" si="2827"/>
        <v>3066</v>
      </c>
      <c r="EJ448" s="411">
        <f t="shared" si="2827"/>
        <v>2037</v>
      </c>
      <c r="EK448" s="411">
        <f t="shared" si="2827"/>
        <v>991</v>
      </c>
      <c r="EL448" s="411">
        <f t="shared" si="2827"/>
        <v>763</v>
      </c>
      <c r="EM448" s="411">
        <f t="shared" si="2827"/>
        <v>0</v>
      </c>
      <c r="EN448" s="411">
        <f t="shared" si="2827"/>
        <v>293</v>
      </c>
      <c r="EO448" s="411">
        <f t="shared" si="2827"/>
        <v>293</v>
      </c>
      <c r="EP448" s="411">
        <f t="shared" si="2827"/>
        <v>194</v>
      </c>
      <c r="EQ448" s="411">
        <f t="shared" si="2827"/>
        <v>114</v>
      </c>
      <c r="ER448" s="411">
        <f t="shared" si="2827"/>
        <v>179</v>
      </c>
      <c r="ES448" s="411">
        <f t="shared" si="2827"/>
        <v>0</v>
      </c>
      <c r="ET448" s="411"/>
      <c r="EU448" s="411">
        <f t="shared" ref="EU448:GM448" si="2828">SUM(EU7:EU447)</f>
        <v>0</v>
      </c>
      <c r="EV448" s="411">
        <f t="shared" si="2828"/>
        <v>179</v>
      </c>
      <c r="EW448" s="411">
        <f t="shared" si="2828"/>
        <v>0</v>
      </c>
      <c r="EX448" s="411">
        <f t="shared" si="2828"/>
        <v>857</v>
      </c>
      <c r="EY448" s="411">
        <f t="shared" si="2828"/>
        <v>86</v>
      </c>
      <c r="EZ448" s="411">
        <f t="shared" si="2828"/>
        <v>86</v>
      </c>
      <c r="FA448" s="411">
        <f t="shared" si="2828"/>
        <v>36</v>
      </c>
      <c r="FB448" s="411">
        <f t="shared" si="2828"/>
        <v>0</v>
      </c>
      <c r="FC448" s="411">
        <f t="shared" si="2828"/>
        <v>0</v>
      </c>
      <c r="FD448" s="411">
        <f t="shared" si="2828"/>
        <v>0</v>
      </c>
      <c r="FE448" s="411">
        <f t="shared" si="2828"/>
        <v>0</v>
      </c>
      <c r="FF448" s="411">
        <f t="shared" si="2828"/>
        <v>0</v>
      </c>
      <c r="FG448" s="411">
        <f t="shared" si="2828"/>
        <v>0</v>
      </c>
      <c r="FH448" s="411">
        <f t="shared" si="2828"/>
        <v>744</v>
      </c>
      <c r="FI448" s="411">
        <f t="shared" si="2828"/>
        <v>744</v>
      </c>
      <c r="FJ448" s="411">
        <f t="shared" si="2828"/>
        <v>229</v>
      </c>
      <c r="FK448" s="411">
        <f t="shared" si="2828"/>
        <v>0</v>
      </c>
      <c r="FL448" s="411">
        <f t="shared" si="2828"/>
        <v>0</v>
      </c>
      <c r="FM448" s="411">
        <f t="shared" si="2828"/>
        <v>229</v>
      </c>
      <c r="FN448" s="411">
        <f t="shared" si="2828"/>
        <v>196</v>
      </c>
      <c r="FO448" s="411">
        <f t="shared" si="2828"/>
        <v>0</v>
      </c>
      <c r="FP448" s="411">
        <f t="shared" si="2828"/>
        <v>51</v>
      </c>
      <c r="FQ448" s="411">
        <f t="shared" si="2828"/>
        <v>36</v>
      </c>
      <c r="FR448" s="411">
        <f t="shared" si="2828"/>
        <v>15</v>
      </c>
      <c r="FS448" s="411">
        <f t="shared" si="2828"/>
        <v>0</v>
      </c>
      <c r="FT448" s="411">
        <f t="shared" si="2828"/>
        <v>0</v>
      </c>
      <c r="FU448" s="411">
        <f t="shared" si="2828"/>
        <v>0</v>
      </c>
      <c r="FV448" s="411">
        <f t="shared" si="2828"/>
        <v>0</v>
      </c>
      <c r="FW448" s="411">
        <f t="shared" si="2828"/>
        <v>0</v>
      </c>
      <c r="FX448" s="411">
        <f t="shared" si="2828"/>
        <v>0</v>
      </c>
      <c r="FY448" s="411">
        <f t="shared" si="2828"/>
        <v>15</v>
      </c>
      <c r="FZ448" s="411">
        <f t="shared" si="2828"/>
        <v>15</v>
      </c>
      <c r="GA448" s="411">
        <f t="shared" si="2828"/>
        <v>0</v>
      </c>
      <c r="GB448" s="411">
        <f t="shared" si="2828"/>
        <v>15</v>
      </c>
      <c r="GC448" s="411">
        <f t="shared" si="2828"/>
        <v>0</v>
      </c>
      <c r="GD448" s="411">
        <f t="shared" si="2828"/>
        <v>0</v>
      </c>
      <c r="GE448" s="411">
        <f t="shared" si="2828"/>
        <v>0</v>
      </c>
      <c r="GF448" s="411">
        <f t="shared" si="2828"/>
        <v>0</v>
      </c>
      <c r="GG448" s="411">
        <f t="shared" si="2828"/>
        <v>0</v>
      </c>
      <c r="GH448" s="411">
        <f t="shared" si="2828"/>
        <v>0</v>
      </c>
      <c r="GI448" s="411">
        <f t="shared" si="2828"/>
        <v>0</v>
      </c>
      <c r="GJ448" s="411">
        <f t="shared" si="2828"/>
        <v>0</v>
      </c>
      <c r="GK448" s="411">
        <f t="shared" si="2828"/>
        <v>0</v>
      </c>
      <c r="GL448" s="411">
        <f t="shared" si="2828"/>
        <v>0</v>
      </c>
      <c r="GM448" s="411">
        <f t="shared" si="2828"/>
        <v>0</v>
      </c>
    </row>
    <row r="449" spans="14:195" ht="14.25" customHeight="1" thickBot="1">
      <c r="N449" s="61"/>
    </row>
    <row r="450" spans="14:195" ht="24.95" customHeight="1">
      <c r="N450" s="61"/>
      <c r="AV450" s="37"/>
      <c r="AW450" s="37"/>
      <c r="AX450" s="37"/>
      <c r="AY450" s="37"/>
      <c r="AZ450" s="37"/>
      <c r="BA450" s="37"/>
      <c r="BB450" s="37"/>
      <c r="BC450" s="37"/>
      <c r="DV450" s="118">
        <v>600</v>
      </c>
      <c r="DW450" s="85">
        <f>DW448/$DV$450*1.2</f>
        <v>1.4379999999999999</v>
      </c>
      <c r="DX450" s="85" t="e">
        <f t="shared" ref="DX450:FJ450" si="2829">DX448/$DV$450*1.2</f>
        <v>#N/A</v>
      </c>
      <c r="DY450" s="85" t="e">
        <f t="shared" si="2829"/>
        <v>#N/A</v>
      </c>
      <c r="DZ450" s="85">
        <f t="shared" si="2829"/>
        <v>1.3939999999999999</v>
      </c>
      <c r="EA450" s="85">
        <f t="shared" si="2829"/>
        <v>7.5579999999999989</v>
      </c>
      <c r="EB450" s="85">
        <f t="shared" si="2829"/>
        <v>7.1680000000000001</v>
      </c>
      <c r="EC450" s="85">
        <f t="shared" si="2829"/>
        <v>0.18999999999999997</v>
      </c>
      <c r="ED450" s="85">
        <f t="shared" si="2829"/>
        <v>4.2000000000000003E-2</v>
      </c>
      <c r="EE450" s="85">
        <f t="shared" si="2829"/>
        <v>1.0299999999999998</v>
      </c>
      <c r="EF450" s="85">
        <f t="shared" si="2829"/>
        <v>6.9780000000000006</v>
      </c>
      <c r="EG450" s="85">
        <f t="shared" si="2829"/>
        <v>0</v>
      </c>
      <c r="EH450" s="85">
        <f t="shared" si="2829"/>
        <v>6.3920000000000003</v>
      </c>
      <c r="EI450" s="85">
        <f t="shared" si="2829"/>
        <v>6.1320000000000006</v>
      </c>
      <c r="EJ450" s="85">
        <f t="shared" si="2829"/>
        <v>4.0739999999999998</v>
      </c>
      <c r="EK450" s="85">
        <f t="shared" si="2829"/>
        <v>1.9819999999999998</v>
      </c>
      <c r="EL450" s="85">
        <f t="shared" si="2829"/>
        <v>1.526</v>
      </c>
      <c r="EM450" s="85">
        <f t="shared" si="2829"/>
        <v>0</v>
      </c>
      <c r="EN450" s="85">
        <f t="shared" si="2829"/>
        <v>0.58599999999999997</v>
      </c>
      <c r="EO450" s="85">
        <f t="shared" si="2829"/>
        <v>0.58599999999999997</v>
      </c>
      <c r="EP450" s="85">
        <f t="shared" si="2829"/>
        <v>0.38799999999999996</v>
      </c>
      <c r="EQ450" s="85"/>
      <c r="ER450" s="85">
        <f t="shared" ref="ER450" si="2830">ER448/$DV$450*1.2</f>
        <v>0.35799999999999998</v>
      </c>
      <c r="ES450" s="85">
        <f t="shared" si="2829"/>
        <v>0</v>
      </c>
      <c r="ET450" s="85"/>
      <c r="EU450" s="85">
        <f t="shared" si="2829"/>
        <v>0</v>
      </c>
      <c r="EV450" s="85">
        <f t="shared" si="2829"/>
        <v>0.35799999999999998</v>
      </c>
      <c r="EW450" s="85">
        <f t="shared" si="2829"/>
        <v>0</v>
      </c>
      <c r="EX450" s="85">
        <f t="shared" si="2829"/>
        <v>1.7139999999999997</v>
      </c>
      <c r="EY450" s="85">
        <f t="shared" si="2829"/>
        <v>0.17200000000000001</v>
      </c>
      <c r="EZ450" s="85">
        <f t="shared" si="2829"/>
        <v>0.17200000000000001</v>
      </c>
      <c r="FA450" s="85">
        <f t="shared" si="2829"/>
        <v>7.1999999999999995E-2</v>
      </c>
      <c r="FB450" s="85">
        <f t="shared" si="2829"/>
        <v>0</v>
      </c>
      <c r="FC450" s="85">
        <f t="shared" si="2829"/>
        <v>0</v>
      </c>
      <c r="FD450" s="85">
        <f t="shared" si="2829"/>
        <v>0</v>
      </c>
      <c r="FE450" s="85">
        <f t="shared" si="2829"/>
        <v>0</v>
      </c>
      <c r="FF450" s="85">
        <f t="shared" si="2829"/>
        <v>0</v>
      </c>
      <c r="FG450" s="85">
        <f t="shared" si="2829"/>
        <v>0</v>
      </c>
      <c r="FH450" s="85">
        <f t="shared" si="2829"/>
        <v>1.488</v>
      </c>
      <c r="FI450" s="85">
        <f t="shared" si="2829"/>
        <v>1.488</v>
      </c>
      <c r="FJ450" s="85">
        <f t="shared" si="2829"/>
        <v>0.45799999999999996</v>
      </c>
      <c r="FK450" s="85">
        <f t="shared" ref="FK450:FL450" si="2831">FK448/$DV$450*1.2</f>
        <v>0</v>
      </c>
      <c r="FL450" s="85">
        <f t="shared" si="2831"/>
        <v>0</v>
      </c>
      <c r="FM450" s="85">
        <f t="shared" ref="FM450:GK450" si="2832">FM448/$DV$450*1.2</f>
        <v>0.45799999999999996</v>
      </c>
      <c r="FN450" s="85">
        <f t="shared" si="2832"/>
        <v>0.39199999999999996</v>
      </c>
      <c r="FO450" s="85">
        <f t="shared" si="2832"/>
        <v>0</v>
      </c>
      <c r="FP450" s="85">
        <f t="shared" si="2832"/>
        <v>0.10200000000000001</v>
      </c>
      <c r="FQ450" s="85">
        <f t="shared" si="2832"/>
        <v>7.1999999999999995E-2</v>
      </c>
      <c r="FR450" s="85">
        <f t="shared" si="2832"/>
        <v>0.03</v>
      </c>
      <c r="FS450" s="85">
        <f t="shared" si="2832"/>
        <v>0</v>
      </c>
      <c r="FT450" s="85">
        <f t="shared" si="2832"/>
        <v>0</v>
      </c>
      <c r="FU450" s="85">
        <f t="shared" ref="FU450:FX450" si="2833">FU448/$DV$450*1.2</f>
        <v>0</v>
      </c>
      <c r="FV450" s="85">
        <f t="shared" si="2833"/>
        <v>0</v>
      </c>
      <c r="FW450" s="85">
        <f t="shared" si="2833"/>
        <v>0</v>
      </c>
      <c r="FX450" s="85">
        <f t="shared" si="2833"/>
        <v>0</v>
      </c>
      <c r="FY450" s="85">
        <f t="shared" si="2832"/>
        <v>0.03</v>
      </c>
      <c r="FZ450" s="85">
        <f t="shared" si="2832"/>
        <v>0.03</v>
      </c>
      <c r="GA450" s="85">
        <f t="shared" si="2832"/>
        <v>0</v>
      </c>
      <c r="GB450" s="85">
        <f t="shared" si="2832"/>
        <v>0.03</v>
      </c>
      <c r="GC450" s="85">
        <f t="shared" si="2832"/>
        <v>0</v>
      </c>
      <c r="GD450" s="85">
        <f t="shared" si="2832"/>
        <v>0</v>
      </c>
      <c r="GE450" s="85">
        <f t="shared" si="2832"/>
        <v>0</v>
      </c>
      <c r="GF450" s="85">
        <f t="shared" si="2832"/>
        <v>0</v>
      </c>
      <c r="GG450" s="85">
        <f t="shared" si="2832"/>
        <v>0</v>
      </c>
      <c r="GH450" s="85">
        <f t="shared" si="2832"/>
        <v>0</v>
      </c>
      <c r="GI450" s="85">
        <f t="shared" si="2832"/>
        <v>0</v>
      </c>
      <c r="GJ450" s="85">
        <f t="shared" si="2832"/>
        <v>0</v>
      </c>
      <c r="GK450" s="85">
        <f t="shared" si="2832"/>
        <v>0</v>
      </c>
      <c r="GL450" s="85">
        <f t="shared" ref="GL450" si="2834">GL448/$DV$450*1.2</f>
        <v>0</v>
      </c>
      <c r="GM450" s="86">
        <f t="shared" ref="GM450" si="2835">GM445/$DV$453*1.2</f>
        <v>0</v>
      </c>
    </row>
    <row r="451" spans="14:195" ht="24.95" customHeight="1" thickBot="1">
      <c r="N451" s="61"/>
      <c r="AV451" s="37"/>
      <c r="AW451" s="37"/>
      <c r="AX451" s="37"/>
      <c r="AY451" s="37"/>
      <c r="AZ451" s="37"/>
      <c r="BA451" s="37"/>
      <c r="BB451" s="37"/>
      <c r="BC451" s="37"/>
      <c r="DV451" s="87"/>
      <c r="DW451" s="88">
        <f>IF(DW448=0,0,ROUNDUP(DW450,0))</f>
        <v>2</v>
      </c>
      <c r="DX451" s="88" t="e">
        <f t="shared" ref="DX451:FJ451" si="2836">IF(DX448=0,0,ROUNDUP(DX450,0))</f>
        <v>#N/A</v>
      </c>
      <c r="DY451" s="88" t="e">
        <f t="shared" si="2836"/>
        <v>#N/A</v>
      </c>
      <c r="DZ451" s="88">
        <f t="shared" si="2836"/>
        <v>2</v>
      </c>
      <c r="EA451" s="88">
        <f t="shared" si="2836"/>
        <v>8</v>
      </c>
      <c r="EB451" s="88">
        <f t="shared" si="2836"/>
        <v>8</v>
      </c>
      <c r="EC451" s="88">
        <f t="shared" si="2836"/>
        <v>1</v>
      </c>
      <c r="ED451" s="88">
        <f t="shared" si="2836"/>
        <v>1</v>
      </c>
      <c r="EE451" s="88">
        <f t="shared" si="2836"/>
        <v>2</v>
      </c>
      <c r="EF451" s="88">
        <f t="shared" si="2836"/>
        <v>7</v>
      </c>
      <c r="EG451" s="88">
        <f t="shared" si="2836"/>
        <v>0</v>
      </c>
      <c r="EH451" s="88">
        <f t="shared" si="2836"/>
        <v>7</v>
      </c>
      <c r="EI451" s="88">
        <f t="shared" si="2836"/>
        <v>7</v>
      </c>
      <c r="EJ451" s="88">
        <f t="shared" si="2836"/>
        <v>5</v>
      </c>
      <c r="EK451" s="88">
        <f t="shared" si="2836"/>
        <v>2</v>
      </c>
      <c r="EL451" s="88">
        <f t="shared" si="2836"/>
        <v>2</v>
      </c>
      <c r="EM451" s="88">
        <f t="shared" si="2836"/>
        <v>0</v>
      </c>
      <c r="EN451" s="88">
        <f t="shared" si="2836"/>
        <v>1</v>
      </c>
      <c r="EO451" s="88">
        <f t="shared" si="2836"/>
        <v>1</v>
      </c>
      <c r="EP451" s="88">
        <f t="shared" si="2836"/>
        <v>1</v>
      </c>
      <c r="EQ451" s="88"/>
      <c r="ER451" s="88">
        <f t="shared" ref="ER451" si="2837">IF(ER448=0,0,ROUNDUP(ER450,0))</f>
        <v>1</v>
      </c>
      <c r="ES451" s="88">
        <f t="shared" si="2836"/>
        <v>0</v>
      </c>
      <c r="ET451" s="88"/>
      <c r="EU451" s="88">
        <f t="shared" si="2836"/>
        <v>0</v>
      </c>
      <c r="EV451" s="88">
        <f t="shared" si="2836"/>
        <v>1</v>
      </c>
      <c r="EW451" s="88">
        <f t="shared" si="2836"/>
        <v>0</v>
      </c>
      <c r="EX451" s="88">
        <f t="shared" si="2836"/>
        <v>2</v>
      </c>
      <c r="EY451" s="88">
        <f t="shared" si="2836"/>
        <v>1</v>
      </c>
      <c r="EZ451" s="88">
        <f t="shared" si="2836"/>
        <v>1</v>
      </c>
      <c r="FA451" s="88">
        <f t="shared" si="2836"/>
        <v>1</v>
      </c>
      <c r="FB451" s="88">
        <f t="shared" si="2836"/>
        <v>0</v>
      </c>
      <c r="FC451" s="88">
        <f t="shared" si="2836"/>
        <v>0</v>
      </c>
      <c r="FD451" s="88">
        <f t="shared" si="2836"/>
        <v>0</v>
      </c>
      <c r="FE451" s="88">
        <f t="shared" si="2836"/>
        <v>0</v>
      </c>
      <c r="FF451" s="88">
        <f t="shared" si="2836"/>
        <v>0</v>
      </c>
      <c r="FG451" s="88">
        <f t="shared" si="2836"/>
        <v>0</v>
      </c>
      <c r="FH451" s="88">
        <f t="shared" si="2836"/>
        <v>2</v>
      </c>
      <c r="FI451" s="88">
        <f t="shared" si="2836"/>
        <v>2</v>
      </c>
      <c r="FJ451" s="88">
        <f t="shared" si="2836"/>
        <v>1</v>
      </c>
      <c r="FK451" s="88">
        <f t="shared" ref="FK451:FL451" si="2838">IF(FK448=0,0,ROUNDUP(FK450,0))</f>
        <v>0</v>
      </c>
      <c r="FL451" s="88">
        <f t="shared" si="2838"/>
        <v>0</v>
      </c>
      <c r="FM451" s="88">
        <f t="shared" ref="FM451:GK451" si="2839">IF(FM448=0,0,ROUNDUP(FM450,0))</f>
        <v>1</v>
      </c>
      <c r="FN451" s="88">
        <f t="shared" si="2839"/>
        <v>1</v>
      </c>
      <c r="FO451" s="88">
        <f t="shared" si="2839"/>
        <v>0</v>
      </c>
      <c r="FP451" s="88">
        <f t="shared" si="2839"/>
        <v>1</v>
      </c>
      <c r="FQ451" s="88">
        <f t="shared" si="2839"/>
        <v>1</v>
      </c>
      <c r="FR451" s="88">
        <f t="shared" si="2839"/>
        <v>1</v>
      </c>
      <c r="FS451" s="88">
        <f t="shared" si="2839"/>
        <v>0</v>
      </c>
      <c r="FT451" s="88">
        <f t="shared" si="2839"/>
        <v>0</v>
      </c>
      <c r="FU451" s="88">
        <f t="shared" ref="FU451:FX451" si="2840">IF(FU448=0,0,ROUNDUP(FU450,0))</f>
        <v>0</v>
      </c>
      <c r="FV451" s="88">
        <f t="shared" si="2840"/>
        <v>0</v>
      </c>
      <c r="FW451" s="88">
        <f t="shared" si="2840"/>
        <v>0</v>
      </c>
      <c r="FX451" s="88">
        <f t="shared" si="2840"/>
        <v>0</v>
      </c>
      <c r="FY451" s="88">
        <f t="shared" si="2839"/>
        <v>1</v>
      </c>
      <c r="FZ451" s="88">
        <f t="shared" si="2839"/>
        <v>1</v>
      </c>
      <c r="GA451" s="88">
        <f t="shared" si="2839"/>
        <v>0</v>
      </c>
      <c r="GB451" s="88">
        <f t="shared" si="2839"/>
        <v>1</v>
      </c>
      <c r="GC451" s="88">
        <f t="shared" si="2839"/>
        <v>0</v>
      </c>
      <c r="GD451" s="88">
        <f t="shared" si="2839"/>
        <v>0</v>
      </c>
      <c r="GE451" s="88">
        <f t="shared" si="2839"/>
        <v>0</v>
      </c>
      <c r="GF451" s="88">
        <f t="shared" si="2839"/>
        <v>0</v>
      </c>
      <c r="GG451" s="88">
        <f t="shared" si="2839"/>
        <v>0</v>
      </c>
      <c r="GH451" s="88">
        <f t="shared" si="2839"/>
        <v>0</v>
      </c>
      <c r="GI451" s="88">
        <f t="shared" si="2839"/>
        <v>0</v>
      </c>
      <c r="GJ451" s="88">
        <f t="shared" si="2839"/>
        <v>0</v>
      </c>
      <c r="GK451" s="88">
        <f t="shared" si="2839"/>
        <v>0</v>
      </c>
      <c r="GL451" s="88">
        <f t="shared" ref="GL451" si="2841">IF(GL448=0,0,ROUNDUP(GL450,0))</f>
        <v>0</v>
      </c>
      <c r="GM451" s="89">
        <f t="shared" ref="GM451" si="2842">IF(GM445=0,0,ROUNDUP(GM450,0))</f>
        <v>0</v>
      </c>
    </row>
    <row r="452" spans="14:195" ht="15" thickBot="1">
      <c r="N452" s="61"/>
      <c r="AV452" s="37"/>
      <c r="AW452" s="37"/>
      <c r="AX452" s="37"/>
      <c r="AY452" s="37"/>
      <c r="AZ452" s="37"/>
      <c r="BA452" s="37"/>
      <c r="BB452" s="37"/>
      <c r="BC452" s="37"/>
    </row>
    <row r="453" spans="14:195" ht="15">
      <c r="N453" s="61"/>
      <c r="AV453" s="37"/>
      <c r="AW453" s="37"/>
      <c r="AX453" s="37"/>
      <c r="AY453" s="37"/>
      <c r="AZ453" s="37"/>
      <c r="BA453" s="37"/>
      <c r="BB453" s="37"/>
      <c r="BC453" s="37"/>
      <c r="DV453" s="118">
        <v>750</v>
      </c>
      <c r="DW453" s="85">
        <f>DW448/$DV$453*1.2</f>
        <v>1.1503999999999999</v>
      </c>
      <c r="DX453" s="85" t="e">
        <f t="shared" ref="DX453:FJ453" si="2843">DX448/$DV$453*1.2</f>
        <v>#N/A</v>
      </c>
      <c r="DY453" s="85" t="e">
        <f t="shared" si="2843"/>
        <v>#N/A</v>
      </c>
      <c r="DZ453" s="85">
        <f t="shared" si="2843"/>
        <v>1.1152</v>
      </c>
      <c r="EA453" s="85">
        <f t="shared" si="2843"/>
        <v>6.0464000000000002</v>
      </c>
      <c r="EB453" s="85">
        <f t="shared" si="2843"/>
        <v>5.7343999999999999</v>
      </c>
      <c r="EC453" s="85">
        <f t="shared" si="2843"/>
        <v>0.152</v>
      </c>
      <c r="ED453" s="85">
        <f t="shared" si="2843"/>
        <v>3.3599999999999998E-2</v>
      </c>
      <c r="EE453" s="85">
        <f t="shared" si="2843"/>
        <v>0.82399999999999995</v>
      </c>
      <c r="EF453" s="85">
        <f t="shared" si="2843"/>
        <v>5.5823999999999998</v>
      </c>
      <c r="EG453" s="85">
        <f t="shared" si="2843"/>
        <v>0</v>
      </c>
      <c r="EH453" s="85">
        <f t="shared" si="2843"/>
        <v>5.113599999999999</v>
      </c>
      <c r="EI453" s="85">
        <f t="shared" si="2843"/>
        <v>4.9055999999999997</v>
      </c>
      <c r="EJ453" s="85">
        <f t="shared" si="2843"/>
        <v>3.2592000000000003</v>
      </c>
      <c r="EK453" s="85">
        <f t="shared" si="2843"/>
        <v>1.5855999999999999</v>
      </c>
      <c r="EL453" s="85">
        <f t="shared" si="2843"/>
        <v>1.2208000000000001</v>
      </c>
      <c r="EM453" s="85">
        <f t="shared" si="2843"/>
        <v>0</v>
      </c>
      <c r="EN453" s="85">
        <f t="shared" si="2843"/>
        <v>0.46879999999999999</v>
      </c>
      <c r="EO453" s="85">
        <f t="shared" si="2843"/>
        <v>0.46879999999999999</v>
      </c>
      <c r="EP453" s="85">
        <f t="shared" si="2843"/>
        <v>0.31039999999999995</v>
      </c>
      <c r="EQ453" s="85"/>
      <c r="ER453" s="85">
        <f t="shared" ref="ER453" si="2844">ER448/$DV$453*1.2</f>
        <v>0.28639999999999999</v>
      </c>
      <c r="ES453" s="85">
        <f t="shared" si="2843"/>
        <v>0</v>
      </c>
      <c r="ET453" s="85"/>
      <c r="EU453" s="85">
        <f t="shared" si="2843"/>
        <v>0</v>
      </c>
      <c r="EV453" s="85">
        <f t="shared" si="2843"/>
        <v>0.28639999999999999</v>
      </c>
      <c r="EW453" s="85">
        <f t="shared" si="2843"/>
        <v>0</v>
      </c>
      <c r="EX453" s="85">
        <f t="shared" si="2843"/>
        <v>1.3712</v>
      </c>
      <c r="EY453" s="85">
        <f t="shared" si="2843"/>
        <v>0.1376</v>
      </c>
      <c r="EZ453" s="85">
        <f t="shared" si="2843"/>
        <v>0.1376</v>
      </c>
      <c r="FA453" s="85">
        <f t="shared" si="2843"/>
        <v>5.7599999999999998E-2</v>
      </c>
      <c r="FB453" s="85">
        <f t="shared" si="2843"/>
        <v>0</v>
      </c>
      <c r="FC453" s="85">
        <f t="shared" si="2843"/>
        <v>0</v>
      </c>
      <c r="FD453" s="85">
        <f t="shared" si="2843"/>
        <v>0</v>
      </c>
      <c r="FE453" s="85">
        <f t="shared" si="2843"/>
        <v>0</v>
      </c>
      <c r="FF453" s="85">
        <f t="shared" si="2843"/>
        <v>0</v>
      </c>
      <c r="FG453" s="85">
        <f t="shared" si="2843"/>
        <v>0</v>
      </c>
      <c r="FH453" s="85">
        <f t="shared" si="2843"/>
        <v>1.1903999999999999</v>
      </c>
      <c r="FI453" s="85">
        <f t="shared" si="2843"/>
        <v>1.1903999999999999</v>
      </c>
      <c r="FJ453" s="85">
        <f t="shared" si="2843"/>
        <v>0.3664</v>
      </c>
      <c r="FK453" s="85">
        <f t="shared" ref="FK453:FL453" si="2845">FK448/$DV$453*1.2</f>
        <v>0</v>
      </c>
      <c r="FL453" s="85">
        <f t="shared" si="2845"/>
        <v>0</v>
      </c>
      <c r="FM453" s="85">
        <f t="shared" ref="FM453:GM453" si="2846">FM448/$DV$453*1.2</f>
        <v>0.3664</v>
      </c>
      <c r="FN453" s="85">
        <f t="shared" si="2846"/>
        <v>0.31359999999999993</v>
      </c>
      <c r="FO453" s="85">
        <f t="shared" si="2846"/>
        <v>0</v>
      </c>
      <c r="FP453" s="85">
        <f t="shared" si="2846"/>
        <v>8.1600000000000006E-2</v>
      </c>
      <c r="FQ453" s="85">
        <f t="shared" si="2846"/>
        <v>5.7599999999999998E-2</v>
      </c>
      <c r="FR453" s="85">
        <f t="shared" si="2846"/>
        <v>2.4E-2</v>
      </c>
      <c r="FS453" s="85">
        <f t="shared" si="2846"/>
        <v>0</v>
      </c>
      <c r="FT453" s="85">
        <f t="shared" si="2846"/>
        <v>0</v>
      </c>
      <c r="FU453" s="85">
        <f t="shared" ref="FU453:FX453" si="2847">FU448/$DV$453*1.2</f>
        <v>0</v>
      </c>
      <c r="FV453" s="85">
        <f t="shared" si="2847"/>
        <v>0</v>
      </c>
      <c r="FW453" s="85">
        <f t="shared" si="2847"/>
        <v>0</v>
      </c>
      <c r="FX453" s="85">
        <f t="shared" si="2847"/>
        <v>0</v>
      </c>
      <c r="FY453" s="85">
        <f t="shared" si="2846"/>
        <v>2.4E-2</v>
      </c>
      <c r="FZ453" s="85">
        <f t="shared" si="2846"/>
        <v>2.4E-2</v>
      </c>
      <c r="GA453" s="85">
        <f t="shared" si="2846"/>
        <v>0</v>
      </c>
      <c r="GB453" s="85">
        <f t="shared" si="2846"/>
        <v>2.4E-2</v>
      </c>
      <c r="GC453" s="85">
        <f t="shared" si="2846"/>
        <v>0</v>
      </c>
      <c r="GD453" s="85">
        <f t="shared" si="2846"/>
        <v>0</v>
      </c>
      <c r="GE453" s="85">
        <f t="shared" si="2846"/>
        <v>0</v>
      </c>
      <c r="GF453" s="85">
        <f t="shared" si="2846"/>
        <v>0</v>
      </c>
      <c r="GG453" s="85">
        <f t="shared" si="2846"/>
        <v>0</v>
      </c>
      <c r="GH453" s="85">
        <f t="shared" si="2846"/>
        <v>0</v>
      </c>
      <c r="GI453" s="85">
        <f t="shared" si="2846"/>
        <v>0</v>
      </c>
      <c r="GJ453" s="85">
        <f t="shared" si="2846"/>
        <v>0</v>
      </c>
      <c r="GK453" s="85">
        <f t="shared" si="2846"/>
        <v>0</v>
      </c>
      <c r="GL453" s="85">
        <f t="shared" ref="GL453" si="2848">GL448/$DV$453*1.2</f>
        <v>0</v>
      </c>
      <c r="GM453" s="86">
        <f t="shared" si="2846"/>
        <v>0</v>
      </c>
    </row>
    <row r="454" spans="14:195" ht="15" thickBot="1">
      <c r="N454" s="61"/>
      <c r="AV454" s="37"/>
      <c r="AW454" s="37"/>
      <c r="AX454" s="37"/>
      <c r="AY454" s="37"/>
      <c r="AZ454" s="37"/>
      <c r="BA454" s="37"/>
      <c r="BB454" s="37"/>
      <c r="BC454" s="37"/>
      <c r="DV454" s="87"/>
      <c r="DW454" s="88">
        <f>IF(DW448=0,0,ROUNDUP(DW453,0))</f>
        <v>2</v>
      </c>
      <c r="DX454" s="88" t="e">
        <f t="shared" ref="DX454:FJ454" si="2849">IF(DX448=0,0,ROUNDUP(DX453,0))</f>
        <v>#N/A</v>
      </c>
      <c r="DY454" s="88" t="e">
        <f t="shared" si="2849"/>
        <v>#N/A</v>
      </c>
      <c r="DZ454" s="88">
        <f t="shared" si="2849"/>
        <v>2</v>
      </c>
      <c r="EA454" s="88">
        <f t="shared" si="2849"/>
        <v>7</v>
      </c>
      <c r="EB454" s="88">
        <f t="shared" si="2849"/>
        <v>6</v>
      </c>
      <c r="EC454" s="88">
        <f t="shared" si="2849"/>
        <v>1</v>
      </c>
      <c r="ED454" s="88">
        <f t="shared" si="2849"/>
        <v>1</v>
      </c>
      <c r="EE454" s="88">
        <f t="shared" si="2849"/>
        <v>1</v>
      </c>
      <c r="EF454" s="88">
        <f t="shared" si="2849"/>
        <v>6</v>
      </c>
      <c r="EG454" s="88">
        <f t="shared" si="2849"/>
        <v>0</v>
      </c>
      <c r="EH454" s="88">
        <f t="shared" si="2849"/>
        <v>6</v>
      </c>
      <c r="EI454" s="88">
        <f t="shared" si="2849"/>
        <v>5</v>
      </c>
      <c r="EJ454" s="88">
        <f t="shared" si="2849"/>
        <v>4</v>
      </c>
      <c r="EK454" s="88">
        <f t="shared" si="2849"/>
        <v>2</v>
      </c>
      <c r="EL454" s="88">
        <f t="shared" si="2849"/>
        <v>2</v>
      </c>
      <c r="EM454" s="88">
        <f t="shared" si="2849"/>
        <v>0</v>
      </c>
      <c r="EN454" s="88">
        <f t="shared" si="2849"/>
        <v>1</v>
      </c>
      <c r="EO454" s="88">
        <f t="shared" si="2849"/>
        <v>1</v>
      </c>
      <c r="EP454" s="88">
        <f t="shared" si="2849"/>
        <v>1</v>
      </c>
      <c r="EQ454" s="88"/>
      <c r="ER454" s="88">
        <f t="shared" ref="ER454" si="2850">IF(ER448=0,0,ROUNDUP(ER453,0))</f>
        <v>1</v>
      </c>
      <c r="ES454" s="88">
        <f t="shared" si="2849"/>
        <v>0</v>
      </c>
      <c r="ET454" s="88"/>
      <c r="EU454" s="88">
        <f t="shared" si="2849"/>
        <v>0</v>
      </c>
      <c r="EV454" s="88">
        <f t="shared" si="2849"/>
        <v>1</v>
      </c>
      <c r="EW454" s="88">
        <f t="shared" si="2849"/>
        <v>0</v>
      </c>
      <c r="EX454" s="88">
        <f t="shared" si="2849"/>
        <v>2</v>
      </c>
      <c r="EY454" s="88">
        <f t="shared" si="2849"/>
        <v>1</v>
      </c>
      <c r="EZ454" s="88">
        <f t="shared" si="2849"/>
        <v>1</v>
      </c>
      <c r="FA454" s="88">
        <f t="shared" si="2849"/>
        <v>1</v>
      </c>
      <c r="FB454" s="88">
        <f t="shared" si="2849"/>
        <v>0</v>
      </c>
      <c r="FC454" s="88">
        <f t="shared" si="2849"/>
        <v>0</v>
      </c>
      <c r="FD454" s="88">
        <f t="shared" si="2849"/>
        <v>0</v>
      </c>
      <c r="FE454" s="88">
        <f t="shared" si="2849"/>
        <v>0</v>
      </c>
      <c r="FF454" s="88">
        <f t="shared" si="2849"/>
        <v>0</v>
      </c>
      <c r="FG454" s="88">
        <f t="shared" si="2849"/>
        <v>0</v>
      </c>
      <c r="FH454" s="88">
        <f t="shared" si="2849"/>
        <v>2</v>
      </c>
      <c r="FI454" s="88">
        <f t="shared" si="2849"/>
        <v>2</v>
      </c>
      <c r="FJ454" s="88">
        <f t="shared" si="2849"/>
        <v>1</v>
      </c>
      <c r="FK454" s="88">
        <f t="shared" ref="FK454:FL454" si="2851">IF(FK448=0,0,ROUNDUP(FK453,0))</f>
        <v>0</v>
      </c>
      <c r="FL454" s="88">
        <f t="shared" si="2851"/>
        <v>0</v>
      </c>
      <c r="FM454" s="88">
        <f t="shared" ref="FM454:GM454" si="2852">IF(FM448=0,0,ROUNDUP(FM453,0))</f>
        <v>1</v>
      </c>
      <c r="FN454" s="88">
        <f t="shared" si="2852"/>
        <v>1</v>
      </c>
      <c r="FO454" s="88">
        <f t="shared" si="2852"/>
        <v>0</v>
      </c>
      <c r="FP454" s="88">
        <f t="shared" si="2852"/>
        <v>1</v>
      </c>
      <c r="FQ454" s="88">
        <f t="shared" si="2852"/>
        <v>1</v>
      </c>
      <c r="FR454" s="88">
        <f t="shared" si="2852"/>
        <v>1</v>
      </c>
      <c r="FS454" s="88">
        <f t="shared" si="2852"/>
        <v>0</v>
      </c>
      <c r="FT454" s="88">
        <f t="shared" si="2852"/>
        <v>0</v>
      </c>
      <c r="FU454" s="88">
        <f t="shared" ref="FU454:FX454" si="2853">IF(FU448=0,0,ROUNDUP(FU453,0))</f>
        <v>0</v>
      </c>
      <c r="FV454" s="88">
        <f t="shared" si="2853"/>
        <v>0</v>
      </c>
      <c r="FW454" s="88">
        <f t="shared" si="2853"/>
        <v>0</v>
      </c>
      <c r="FX454" s="88">
        <f t="shared" si="2853"/>
        <v>0</v>
      </c>
      <c r="FY454" s="88">
        <f t="shared" si="2852"/>
        <v>1</v>
      </c>
      <c r="FZ454" s="88">
        <f t="shared" si="2852"/>
        <v>1</v>
      </c>
      <c r="GA454" s="88">
        <f t="shared" si="2852"/>
        <v>0</v>
      </c>
      <c r="GB454" s="88">
        <f t="shared" si="2852"/>
        <v>1</v>
      </c>
      <c r="GC454" s="88">
        <f t="shared" si="2852"/>
        <v>0</v>
      </c>
      <c r="GD454" s="88">
        <f t="shared" si="2852"/>
        <v>0</v>
      </c>
      <c r="GE454" s="88">
        <f t="shared" si="2852"/>
        <v>0</v>
      </c>
      <c r="GF454" s="88">
        <f t="shared" si="2852"/>
        <v>0</v>
      </c>
      <c r="GG454" s="88">
        <f t="shared" si="2852"/>
        <v>0</v>
      </c>
      <c r="GH454" s="88">
        <f t="shared" si="2852"/>
        <v>0</v>
      </c>
      <c r="GI454" s="88">
        <f t="shared" si="2852"/>
        <v>0</v>
      </c>
      <c r="GJ454" s="88">
        <f t="shared" si="2852"/>
        <v>0</v>
      </c>
      <c r="GK454" s="88">
        <f t="shared" si="2852"/>
        <v>0</v>
      </c>
      <c r="GL454" s="88">
        <f t="shared" ref="GL454" si="2854">IF(GL448=0,0,ROUNDUP(GL453,0))</f>
        <v>0</v>
      </c>
      <c r="GM454" s="89">
        <f t="shared" si="2852"/>
        <v>0</v>
      </c>
    </row>
    <row r="455" spans="14:195" ht="15" thickBot="1">
      <c r="N455" s="61"/>
      <c r="AV455" s="37"/>
      <c r="AW455" s="37"/>
      <c r="AX455" s="37"/>
      <c r="AY455" s="37"/>
      <c r="AZ455" s="37"/>
      <c r="BA455" s="37"/>
      <c r="BB455" s="37"/>
      <c r="BC455" s="37"/>
    </row>
    <row r="456" spans="14:195" ht="15">
      <c r="N456" s="61"/>
      <c r="AV456" s="37"/>
      <c r="AW456" s="37"/>
      <c r="AX456" s="37"/>
      <c r="AY456" s="37"/>
      <c r="AZ456" s="37"/>
      <c r="BA456" s="37"/>
      <c r="BB456" s="37"/>
      <c r="BC456" s="37"/>
      <c r="DV456" s="118">
        <v>900</v>
      </c>
      <c r="DW456" s="85">
        <f>DW448/$DV$456*1.2</f>
        <v>0.95866666666666656</v>
      </c>
      <c r="DX456" s="85" t="e">
        <f t="shared" ref="DX456:FM456" si="2855">DX448/$DV$456*1.2</f>
        <v>#N/A</v>
      </c>
      <c r="DY456" s="85" t="e">
        <f t="shared" si="2855"/>
        <v>#N/A</v>
      </c>
      <c r="DZ456" s="85">
        <f t="shared" si="2855"/>
        <v>0.92933333333333334</v>
      </c>
      <c r="EA456" s="85">
        <f t="shared" si="2855"/>
        <v>5.0386666666666668</v>
      </c>
      <c r="EB456" s="85">
        <f t="shared" si="2855"/>
        <v>4.7786666666666662</v>
      </c>
      <c r="EC456" s="85">
        <f t="shared" si="2855"/>
        <v>0.12666666666666665</v>
      </c>
      <c r="ED456" s="85">
        <f t="shared" si="2855"/>
        <v>2.8000000000000001E-2</v>
      </c>
      <c r="EE456" s="85">
        <f t="shared" si="2855"/>
        <v>0.68666666666666665</v>
      </c>
      <c r="EF456" s="85">
        <f t="shared" si="2855"/>
        <v>4.6519999999999992</v>
      </c>
      <c r="EG456" s="85">
        <f t="shared" si="2855"/>
        <v>0</v>
      </c>
      <c r="EH456" s="85">
        <f t="shared" si="2855"/>
        <v>4.261333333333333</v>
      </c>
      <c r="EI456" s="85">
        <f t="shared" si="2855"/>
        <v>4.0880000000000001</v>
      </c>
      <c r="EJ456" s="85">
        <f t="shared" si="2855"/>
        <v>2.7159999999999997</v>
      </c>
      <c r="EK456" s="85">
        <f t="shared" si="2855"/>
        <v>1.3213333333333332</v>
      </c>
      <c r="EL456" s="85">
        <f t="shared" si="2855"/>
        <v>1.0173333333333332</v>
      </c>
      <c r="EM456" s="85">
        <f t="shared" si="2855"/>
        <v>0</v>
      </c>
      <c r="EN456" s="85">
        <f t="shared" si="2855"/>
        <v>0.39066666666666666</v>
      </c>
      <c r="EO456" s="85">
        <f t="shared" si="2855"/>
        <v>0.39066666666666666</v>
      </c>
      <c r="EP456" s="85">
        <f t="shared" si="2855"/>
        <v>0.25866666666666666</v>
      </c>
      <c r="EQ456" s="85"/>
      <c r="ER456" s="85">
        <f t="shared" ref="ER456" si="2856">ER448/$DV$456*1.2</f>
        <v>0.23866666666666667</v>
      </c>
      <c r="ES456" s="85">
        <f t="shared" si="2855"/>
        <v>0</v>
      </c>
      <c r="ET456" s="85"/>
      <c r="EU456" s="85">
        <f t="shared" si="2855"/>
        <v>0</v>
      </c>
      <c r="EV456" s="85">
        <f t="shared" si="2855"/>
        <v>0.23866666666666667</v>
      </c>
      <c r="EW456" s="85">
        <f t="shared" si="2855"/>
        <v>0</v>
      </c>
      <c r="EX456" s="85">
        <f t="shared" si="2855"/>
        <v>1.1426666666666665</v>
      </c>
      <c r="EY456" s="85">
        <f t="shared" si="2855"/>
        <v>0.11466666666666667</v>
      </c>
      <c r="EZ456" s="85">
        <f t="shared" si="2855"/>
        <v>0.11466666666666667</v>
      </c>
      <c r="FA456" s="85">
        <f t="shared" si="2855"/>
        <v>4.8000000000000001E-2</v>
      </c>
      <c r="FB456" s="85">
        <f t="shared" si="2855"/>
        <v>0</v>
      </c>
      <c r="FC456" s="85">
        <f t="shared" si="2855"/>
        <v>0</v>
      </c>
      <c r="FD456" s="85">
        <f t="shared" si="2855"/>
        <v>0</v>
      </c>
      <c r="FE456" s="85">
        <f t="shared" si="2855"/>
        <v>0</v>
      </c>
      <c r="FF456" s="85">
        <f t="shared" si="2855"/>
        <v>0</v>
      </c>
      <c r="FG456" s="85">
        <f t="shared" si="2855"/>
        <v>0</v>
      </c>
      <c r="FH456" s="85">
        <f t="shared" si="2855"/>
        <v>0.99199999999999999</v>
      </c>
      <c r="FI456" s="85">
        <f t="shared" si="2855"/>
        <v>0.99199999999999999</v>
      </c>
      <c r="FJ456" s="85">
        <f t="shared" si="2855"/>
        <v>0.30533333333333329</v>
      </c>
      <c r="FK456" s="85">
        <f t="shared" ref="FK456" si="2857">FK448/$DV$456*1.2</f>
        <v>0</v>
      </c>
      <c r="FL456" s="85">
        <f t="shared" ref="FL456:GM456" si="2858">FL451/$DV$453*1.2</f>
        <v>0</v>
      </c>
      <c r="FM456" s="85">
        <f t="shared" si="2855"/>
        <v>0.30533333333333329</v>
      </c>
      <c r="FN456" s="85">
        <f t="shared" si="2858"/>
        <v>1.5999999999999999E-3</v>
      </c>
      <c r="FO456" s="85">
        <f t="shared" si="2858"/>
        <v>0</v>
      </c>
      <c r="FP456" s="85">
        <f t="shared" si="2858"/>
        <v>1.5999999999999999E-3</v>
      </c>
      <c r="FQ456" s="85">
        <f t="shared" si="2858"/>
        <v>1.5999999999999999E-3</v>
      </c>
      <c r="FR456" s="85">
        <f t="shared" si="2858"/>
        <v>1.5999999999999999E-3</v>
      </c>
      <c r="FS456" s="85">
        <f t="shared" si="2858"/>
        <v>0</v>
      </c>
      <c r="FT456" s="85">
        <f t="shared" si="2858"/>
        <v>0</v>
      </c>
      <c r="FU456" s="85">
        <f t="shared" ref="FU456:FX456" si="2859">FU451/$DV$453*1.2</f>
        <v>0</v>
      </c>
      <c r="FV456" s="85">
        <f t="shared" si="2859"/>
        <v>0</v>
      </c>
      <c r="FW456" s="85">
        <f t="shared" si="2859"/>
        <v>0</v>
      </c>
      <c r="FX456" s="85">
        <f t="shared" si="2859"/>
        <v>0</v>
      </c>
      <c r="FY456" s="85">
        <f t="shared" si="2858"/>
        <v>1.5999999999999999E-3</v>
      </c>
      <c r="FZ456" s="85">
        <f t="shared" si="2858"/>
        <v>1.5999999999999999E-3</v>
      </c>
      <c r="GA456" s="85">
        <f t="shared" si="2858"/>
        <v>0</v>
      </c>
      <c r="GB456" s="85">
        <f t="shared" si="2858"/>
        <v>1.5999999999999999E-3</v>
      </c>
      <c r="GC456" s="85">
        <f t="shared" si="2858"/>
        <v>0</v>
      </c>
      <c r="GD456" s="85">
        <f t="shared" si="2858"/>
        <v>0</v>
      </c>
      <c r="GE456" s="85">
        <f t="shared" si="2858"/>
        <v>0</v>
      </c>
      <c r="GF456" s="85">
        <f t="shared" si="2858"/>
        <v>0</v>
      </c>
      <c r="GG456" s="85">
        <f t="shared" si="2858"/>
        <v>0</v>
      </c>
      <c r="GH456" s="85">
        <f t="shared" si="2858"/>
        <v>0</v>
      </c>
      <c r="GI456" s="85">
        <f t="shared" si="2858"/>
        <v>0</v>
      </c>
      <c r="GJ456" s="85">
        <f t="shared" si="2858"/>
        <v>0</v>
      </c>
      <c r="GK456" s="85">
        <f t="shared" si="2858"/>
        <v>0</v>
      </c>
      <c r="GL456" s="85">
        <f t="shared" ref="GL456" si="2860">GL451/$DV$453*1.2</f>
        <v>0</v>
      </c>
      <c r="GM456" s="86">
        <f t="shared" si="2858"/>
        <v>0</v>
      </c>
    </row>
    <row r="457" spans="14:195" ht="15" thickBot="1">
      <c r="N457" s="61"/>
      <c r="AV457" s="37"/>
      <c r="AW457" s="37"/>
      <c r="AX457" s="37"/>
      <c r="AY457" s="37"/>
      <c r="AZ457" s="37"/>
      <c r="BA457" s="37"/>
      <c r="BB457" s="37"/>
      <c r="BC457" s="37"/>
      <c r="DV457" s="87"/>
      <c r="DW457" s="88">
        <f>IF(DW451=0,0,ROUNDUP(DW456,0))</f>
        <v>1</v>
      </c>
      <c r="DX457" s="88" t="e">
        <f t="shared" ref="DX457:GM457" si="2861">IF(DX451=0,0,ROUNDUP(DX456,0))</f>
        <v>#N/A</v>
      </c>
      <c r="DY457" s="88" t="e">
        <f t="shared" si="2861"/>
        <v>#N/A</v>
      </c>
      <c r="DZ457" s="88">
        <f t="shared" si="2861"/>
        <v>1</v>
      </c>
      <c r="EA457" s="88">
        <f t="shared" si="2861"/>
        <v>6</v>
      </c>
      <c r="EB457" s="88">
        <f t="shared" si="2861"/>
        <v>5</v>
      </c>
      <c r="EC457" s="88">
        <f t="shared" si="2861"/>
        <v>1</v>
      </c>
      <c r="ED457" s="88">
        <f t="shared" si="2861"/>
        <v>1</v>
      </c>
      <c r="EE457" s="88">
        <f t="shared" si="2861"/>
        <v>1</v>
      </c>
      <c r="EF457" s="88">
        <f t="shared" si="2861"/>
        <v>5</v>
      </c>
      <c r="EG457" s="88">
        <f t="shared" si="2861"/>
        <v>0</v>
      </c>
      <c r="EH457" s="88">
        <f t="shared" si="2861"/>
        <v>5</v>
      </c>
      <c r="EI457" s="88">
        <f t="shared" si="2861"/>
        <v>5</v>
      </c>
      <c r="EJ457" s="88">
        <f t="shared" si="2861"/>
        <v>3</v>
      </c>
      <c r="EK457" s="88">
        <f t="shared" si="2861"/>
        <v>2</v>
      </c>
      <c r="EL457" s="88">
        <f t="shared" si="2861"/>
        <v>2</v>
      </c>
      <c r="EM457" s="88">
        <f t="shared" si="2861"/>
        <v>0</v>
      </c>
      <c r="EN457" s="88">
        <f t="shared" si="2861"/>
        <v>1</v>
      </c>
      <c r="EO457" s="88">
        <f t="shared" si="2861"/>
        <v>1</v>
      </c>
      <c r="EP457" s="88">
        <f t="shared" si="2861"/>
        <v>1</v>
      </c>
      <c r="EQ457" s="88"/>
      <c r="ER457" s="88">
        <f t="shared" ref="ER457" si="2862">IF(ER451=0,0,ROUNDUP(ER456,0))</f>
        <v>1</v>
      </c>
      <c r="ES457" s="88">
        <f t="shared" si="2861"/>
        <v>0</v>
      </c>
      <c r="ET457" s="88"/>
      <c r="EU457" s="88">
        <f t="shared" si="2861"/>
        <v>0</v>
      </c>
      <c r="EV457" s="88">
        <f t="shared" si="2861"/>
        <v>1</v>
      </c>
      <c r="EW457" s="88">
        <f t="shared" si="2861"/>
        <v>0</v>
      </c>
      <c r="EX457" s="88">
        <f t="shared" si="2861"/>
        <v>2</v>
      </c>
      <c r="EY457" s="88">
        <f t="shared" si="2861"/>
        <v>1</v>
      </c>
      <c r="EZ457" s="88">
        <f t="shared" si="2861"/>
        <v>1</v>
      </c>
      <c r="FA457" s="88">
        <f t="shared" si="2861"/>
        <v>1</v>
      </c>
      <c r="FB457" s="88">
        <f t="shared" si="2861"/>
        <v>0</v>
      </c>
      <c r="FC457" s="88">
        <f t="shared" si="2861"/>
        <v>0</v>
      </c>
      <c r="FD457" s="88">
        <f t="shared" si="2861"/>
        <v>0</v>
      </c>
      <c r="FE457" s="88">
        <f t="shared" si="2861"/>
        <v>0</v>
      </c>
      <c r="FF457" s="88">
        <f t="shared" si="2861"/>
        <v>0</v>
      </c>
      <c r="FG457" s="88">
        <f t="shared" si="2861"/>
        <v>0</v>
      </c>
      <c r="FH457" s="88">
        <f t="shared" si="2861"/>
        <v>1</v>
      </c>
      <c r="FI457" s="88">
        <f t="shared" si="2861"/>
        <v>1</v>
      </c>
      <c r="FJ457" s="88">
        <f t="shared" si="2861"/>
        <v>1</v>
      </c>
      <c r="FK457" s="88">
        <f t="shared" ref="FK457:FL457" si="2863">IF(FK451=0,0,ROUNDUP(FK456,0))</f>
        <v>0</v>
      </c>
      <c r="FL457" s="88">
        <f t="shared" si="2863"/>
        <v>0</v>
      </c>
      <c r="FM457" s="88">
        <f t="shared" si="2861"/>
        <v>1</v>
      </c>
      <c r="FN457" s="88">
        <f t="shared" si="2861"/>
        <v>1</v>
      </c>
      <c r="FO457" s="88">
        <f t="shared" si="2861"/>
        <v>0</v>
      </c>
      <c r="FP457" s="88">
        <f t="shared" si="2861"/>
        <v>1</v>
      </c>
      <c r="FQ457" s="88">
        <f t="shared" si="2861"/>
        <v>1</v>
      </c>
      <c r="FR457" s="88">
        <f t="shared" si="2861"/>
        <v>1</v>
      </c>
      <c r="FS457" s="88">
        <f t="shared" si="2861"/>
        <v>0</v>
      </c>
      <c r="FT457" s="88">
        <f t="shared" si="2861"/>
        <v>0</v>
      </c>
      <c r="FU457" s="88">
        <f t="shared" ref="FU457:FX457" si="2864">IF(FU451=0,0,ROUNDUP(FU456,0))</f>
        <v>0</v>
      </c>
      <c r="FV457" s="88">
        <f t="shared" si="2864"/>
        <v>0</v>
      </c>
      <c r="FW457" s="88">
        <f t="shared" si="2864"/>
        <v>0</v>
      </c>
      <c r="FX457" s="88">
        <f t="shared" si="2864"/>
        <v>0</v>
      </c>
      <c r="FY457" s="88">
        <f t="shared" si="2861"/>
        <v>1</v>
      </c>
      <c r="FZ457" s="88">
        <f t="shared" si="2861"/>
        <v>1</v>
      </c>
      <c r="GA457" s="88">
        <f t="shared" si="2861"/>
        <v>0</v>
      </c>
      <c r="GB457" s="88">
        <f t="shared" si="2861"/>
        <v>1</v>
      </c>
      <c r="GC457" s="88">
        <f t="shared" si="2861"/>
        <v>0</v>
      </c>
      <c r="GD457" s="88">
        <f t="shared" si="2861"/>
        <v>0</v>
      </c>
      <c r="GE457" s="88">
        <f t="shared" si="2861"/>
        <v>0</v>
      </c>
      <c r="GF457" s="88">
        <f t="shared" si="2861"/>
        <v>0</v>
      </c>
      <c r="GG457" s="88">
        <f t="shared" si="2861"/>
        <v>0</v>
      </c>
      <c r="GH457" s="88">
        <f t="shared" si="2861"/>
        <v>0</v>
      </c>
      <c r="GI457" s="88">
        <f t="shared" si="2861"/>
        <v>0</v>
      </c>
      <c r="GJ457" s="88">
        <f t="shared" si="2861"/>
        <v>0</v>
      </c>
      <c r="GK457" s="88">
        <f t="shared" si="2861"/>
        <v>0</v>
      </c>
      <c r="GL457" s="88">
        <f t="shared" ref="GL457" si="2865">IF(GL451=0,0,ROUNDUP(GL456,0))</f>
        <v>0</v>
      </c>
      <c r="GM457" s="89">
        <f t="shared" si="2861"/>
        <v>0</v>
      </c>
    </row>
    <row r="458" spans="14:195">
      <c r="N458" s="61"/>
      <c r="AV458" s="37"/>
      <c r="AW458" s="37"/>
      <c r="AX458" s="37"/>
      <c r="AY458" s="37"/>
      <c r="AZ458" s="37"/>
      <c r="BA458" s="37"/>
      <c r="BB458" s="37"/>
      <c r="BC458" s="37"/>
    </row>
    <row r="459" spans="14:195">
      <c r="N459" s="61"/>
      <c r="AV459" s="37"/>
      <c r="AW459" s="37"/>
      <c r="AX459" s="37"/>
      <c r="AY459" s="37"/>
      <c r="AZ459" s="37"/>
      <c r="BA459" s="37"/>
      <c r="BB459" s="37"/>
      <c r="BC459" s="37"/>
    </row>
    <row r="460" spans="14:195">
      <c r="N460" s="61"/>
      <c r="AV460" s="37"/>
      <c r="AW460" s="37"/>
      <c r="AX460" s="37"/>
      <c r="AY460" s="37"/>
      <c r="AZ460" s="37"/>
      <c r="BA460" s="37"/>
      <c r="BB460" s="37"/>
      <c r="BC460" s="37"/>
    </row>
    <row r="461" spans="14:195">
      <c r="N461" s="61"/>
      <c r="AV461" s="37"/>
      <c r="AW461" s="37"/>
      <c r="AX461" s="37"/>
      <c r="AY461" s="37"/>
      <c r="AZ461" s="37"/>
      <c r="BA461" s="37"/>
      <c r="BB461" s="37"/>
      <c r="BC461" s="37"/>
    </row>
    <row r="462" spans="14:195">
      <c r="N462" s="61"/>
      <c r="AV462" s="37"/>
      <c r="AW462" s="37"/>
      <c r="AX462" s="37"/>
      <c r="AY462" s="37"/>
      <c r="AZ462" s="37"/>
      <c r="BA462" s="37"/>
      <c r="BB462" s="37"/>
      <c r="BC462" s="37"/>
    </row>
    <row r="463" spans="14:195">
      <c r="N463" s="61"/>
      <c r="AV463" s="37"/>
      <c r="AW463" s="37"/>
      <c r="AX463" s="37"/>
      <c r="AY463" s="37"/>
      <c r="AZ463" s="37"/>
      <c r="BA463" s="37"/>
      <c r="BB463" s="37"/>
      <c r="BC463" s="37"/>
    </row>
    <row r="464" spans="14:195">
      <c r="N464" s="61"/>
      <c r="AV464" s="37"/>
      <c r="AW464" s="37"/>
      <c r="AX464" s="37"/>
      <c r="AY464" s="37"/>
      <c r="AZ464" s="37"/>
      <c r="BA464" s="37"/>
      <c r="BB464" s="37"/>
      <c r="BC464" s="37"/>
    </row>
    <row r="465" spans="14:55">
      <c r="N465" s="61"/>
      <c r="AV465" s="37"/>
      <c r="AW465" s="37"/>
      <c r="AX465" s="37"/>
      <c r="AY465" s="37"/>
      <c r="AZ465" s="37"/>
      <c r="BA465" s="37"/>
      <c r="BB465" s="37"/>
      <c r="BC465" s="37"/>
    </row>
    <row r="466" spans="14:55">
      <c r="N466" s="61"/>
    </row>
    <row r="467" spans="14:55">
      <c r="N467" s="61"/>
    </row>
    <row r="468" spans="14:55">
      <c r="N468" s="61"/>
    </row>
    <row r="469" spans="14:55">
      <c r="N469" s="61"/>
    </row>
    <row r="470" spans="14:55">
      <c r="N470" s="61"/>
    </row>
    <row r="471" spans="14:55">
      <c r="N471" s="61"/>
    </row>
    <row r="472" spans="14:55">
      <c r="N472" s="61"/>
    </row>
    <row r="473" spans="14:55">
      <c r="N473" s="61"/>
    </row>
    <row r="474" spans="14:55">
      <c r="N474" s="61"/>
    </row>
    <row r="475" spans="14:55">
      <c r="N475" s="61"/>
    </row>
    <row r="476" spans="14:55">
      <c r="N476" s="61"/>
    </row>
    <row r="477" spans="14:55">
      <c r="N477" s="61"/>
    </row>
    <row r="478" spans="14:55">
      <c r="N478" s="61"/>
    </row>
    <row r="479" spans="14:55">
      <c r="N479" s="61"/>
    </row>
    <row r="480" spans="14:55">
      <c r="N480" s="61"/>
    </row>
    <row r="481" spans="14:14">
      <c r="N481" s="61"/>
    </row>
    <row r="482" spans="14:14">
      <c r="N482" s="61"/>
    </row>
    <row r="483" spans="14:14">
      <c r="N483" s="61"/>
    </row>
    <row r="484" spans="14:14">
      <c r="N484" s="61"/>
    </row>
    <row r="485" spans="14:14">
      <c r="N485" s="61"/>
    </row>
    <row r="486" spans="14:14">
      <c r="N486" s="61"/>
    </row>
    <row r="487" spans="14:14">
      <c r="N487" s="61"/>
    </row>
    <row r="488" spans="14:14">
      <c r="N488" s="61"/>
    </row>
    <row r="489" spans="14:14">
      <c r="N489" s="61"/>
    </row>
    <row r="490" spans="14:14">
      <c r="N490" s="61"/>
    </row>
    <row r="491" spans="14:14">
      <c r="N491" s="61"/>
    </row>
    <row r="492" spans="14:14">
      <c r="N492" s="61"/>
    </row>
    <row r="493" spans="14:14">
      <c r="N493" s="61"/>
    </row>
    <row r="494" spans="14:14">
      <c r="N494" s="61"/>
    </row>
    <row r="495" spans="14:14">
      <c r="N495" s="61"/>
    </row>
    <row r="496" spans="14:14">
      <c r="N496" s="61"/>
    </row>
    <row r="497" spans="14:14">
      <c r="N497" s="61"/>
    </row>
    <row r="498" spans="14:14">
      <c r="N498" s="61"/>
    </row>
    <row r="499" spans="14:14">
      <c r="N499" s="61"/>
    </row>
    <row r="500" spans="14:14">
      <c r="N500" s="61"/>
    </row>
    <row r="501" spans="14:14">
      <c r="N501" s="61"/>
    </row>
    <row r="502" spans="14:14">
      <c r="N502" s="61"/>
    </row>
    <row r="503" spans="14:14">
      <c r="N503" s="61"/>
    </row>
    <row r="504" spans="14:14">
      <c r="N504" s="61"/>
    </row>
    <row r="505" spans="14:14">
      <c r="N505" s="61"/>
    </row>
    <row r="506" spans="14:14">
      <c r="N506" s="61"/>
    </row>
    <row r="507" spans="14:14">
      <c r="N507" s="61"/>
    </row>
    <row r="508" spans="14:14">
      <c r="N508" s="61"/>
    </row>
    <row r="509" spans="14:14">
      <c r="N509" s="61"/>
    </row>
    <row r="510" spans="14:14">
      <c r="N510" s="61"/>
    </row>
    <row r="511" spans="14:14">
      <c r="N511" s="61"/>
    </row>
    <row r="512" spans="14:14">
      <c r="N512" s="61"/>
    </row>
    <row r="513" spans="14:14">
      <c r="N513" s="61"/>
    </row>
    <row r="514" spans="14:14">
      <c r="N514" s="61"/>
    </row>
    <row r="515" spans="14:14">
      <c r="N515" s="61"/>
    </row>
    <row r="516" spans="14:14">
      <c r="N516" s="61"/>
    </row>
    <row r="517" spans="14:14">
      <c r="N517" s="61"/>
    </row>
    <row r="518" spans="14:14">
      <c r="N518" s="61"/>
    </row>
    <row r="519" spans="14:14">
      <c r="N519" s="61"/>
    </row>
    <row r="520" spans="14:14">
      <c r="N520" s="61"/>
    </row>
    <row r="521" spans="14:14">
      <c r="N521" s="61"/>
    </row>
    <row r="522" spans="14:14">
      <c r="N522" s="61"/>
    </row>
    <row r="523" spans="14:14">
      <c r="N523" s="61"/>
    </row>
    <row r="524" spans="14:14">
      <c r="N524" s="61"/>
    </row>
    <row r="525" spans="14:14">
      <c r="N525" s="61"/>
    </row>
    <row r="526" spans="14:14">
      <c r="N526" s="61"/>
    </row>
    <row r="527" spans="14:14">
      <c r="N527" s="61"/>
    </row>
    <row r="528" spans="14:14">
      <c r="N528" s="61"/>
    </row>
    <row r="529" spans="14:14">
      <c r="N529" s="61"/>
    </row>
    <row r="530" spans="14:14">
      <c r="N530" s="61"/>
    </row>
    <row r="531" spans="14:14">
      <c r="N531" s="61"/>
    </row>
    <row r="532" spans="14:14">
      <c r="N532" s="61"/>
    </row>
    <row r="533" spans="14:14">
      <c r="N533" s="61"/>
    </row>
    <row r="534" spans="14:14">
      <c r="N534" s="61"/>
    </row>
    <row r="535" spans="14:14">
      <c r="N535" s="61"/>
    </row>
    <row r="536" spans="14:14">
      <c r="N536" s="61"/>
    </row>
    <row r="537" spans="14:14">
      <c r="N537" s="61"/>
    </row>
    <row r="538" spans="14:14">
      <c r="N538" s="61"/>
    </row>
    <row r="539" spans="14:14">
      <c r="N539" s="61"/>
    </row>
    <row r="540" spans="14:14">
      <c r="N540" s="61"/>
    </row>
    <row r="541" spans="14:14">
      <c r="N541" s="61"/>
    </row>
    <row r="542" spans="14:14">
      <c r="N542" s="61"/>
    </row>
    <row r="543" spans="14:14">
      <c r="N543" s="61"/>
    </row>
    <row r="544" spans="14:14">
      <c r="N544" s="61"/>
    </row>
    <row r="545" spans="14:14">
      <c r="N545" s="61"/>
    </row>
    <row r="546" spans="14:14">
      <c r="N546" s="61"/>
    </row>
    <row r="547" spans="14:14">
      <c r="N547" s="61"/>
    </row>
    <row r="548" spans="14:14">
      <c r="N548" s="61"/>
    </row>
    <row r="549" spans="14:14">
      <c r="N549" s="61"/>
    </row>
    <row r="550" spans="14:14">
      <c r="N550" s="61"/>
    </row>
    <row r="551" spans="14:14">
      <c r="N551" s="61"/>
    </row>
    <row r="552" spans="14:14">
      <c r="N552" s="61"/>
    </row>
    <row r="553" spans="14:14">
      <c r="N553" s="61"/>
    </row>
    <row r="554" spans="14:14">
      <c r="N554" s="61"/>
    </row>
    <row r="555" spans="14:14">
      <c r="N555" s="61"/>
    </row>
    <row r="556" spans="14:14">
      <c r="N556" s="61"/>
    </row>
    <row r="557" spans="14:14">
      <c r="N557" s="61"/>
    </row>
    <row r="558" spans="14:14">
      <c r="N558" s="61"/>
    </row>
    <row r="559" spans="14:14">
      <c r="N559" s="61"/>
    </row>
    <row r="560" spans="14:14">
      <c r="N560" s="61"/>
    </row>
    <row r="561" spans="14:14">
      <c r="N561" s="61"/>
    </row>
    <row r="562" spans="14:14">
      <c r="N562" s="61"/>
    </row>
    <row r="563" spans="14:14">
      <c r="N563" s="61"/>
    </row>
    <row r="564" spans="14:14">
      <c r="N564" s="61"/>
    </row>
    <row r="565" spans="14:14">
      <c r="N565" s="61"/>
    </row>
    <row r="566" spans="14:14">
      <c r="N566" s="61"/>
    </row>
    <row r="567" spans="14:14">
      <c r="N567" s="61"/>
    </row>
    <row r="568" spans="14:14">
      <c r="N568" s="61"/>
    </row>
    <row r="569" spans="14:14">
      <c r="N569" s="61"/>
    </row>
    <row r="570" spans="14:14">
      <c r="N570" s="61"/>
    </row>
    <row r="571" spans="14:14">
      <c r="N571" s="61"/>
    </row>
    <row r="572" spans="14:14">
      <c r="N572" s="61"/>
    </row>
    <row r="573" spans="14:14">
      <c r="N573" s="61"/>
    </row>
    <row r="574" spans="14:14">
      <c r="N574" s="61"/>
    </row>
  </sheetData>
  <protectedRanges>
    <protectedRange sqref="D280:D282" name="Range1_6_2"/>
    <protectedRange sqref="G285:G289" name="Range1_3_1_1_1"/>
    <protectedRange sqref="G165:G166" name="Range1_2_4_10"/>
    <protectedRange sqref="G167:G185" name="Range1_2_4_11"/>
    <protectedRange sqref="G186 G190 G207 G215 G246 G279" name="Range1_2_5_15"/>
    <protectedRange sqref="G187:G188" name="Range1_2_5_16"/>
    <protectedRange sqref="G189" name="Range1_2_5_17"/>
    <protectedRange sqref="G191:G194" name="Range1_3_1_1_1_53"/>
    <protectedRange sqref="G200:G206" name="Range1_1_2_1_35"/>
    <protectedRange sqref="G195:G199" name="Range1_3_1_1_1_54"/>
    <protectedRange sqref="G208:G210" name="Range1_1_2_1_37"/>
    <protectedRange sqref="G211:G213" name="Range1_3_1_1_1_55"/>
    <protectedRange sqref="G216:G217" name="Range1_1_2_1_38"/>
    <protectedRange sqref="G218:G226 G214 G110 G113:G125 G127:G139" name="Range1_3_1_1_1_57"/>
    <protectedRange sqref="G227:G228" name="Range1_1_2_1_39"/>
    <protectedRange sqref="G229:G245" name="Range1_3_1_1_1_58"/>
    <protectedRange sqref="G248" name="Range1_1_2_1_40"/>
    <protectedRange sqref="G247" name="Range1_3_1_1_1_59"/>
    <protectedRange sqref="G249:G256" name="Range1_1_1_17"/>
    <protectedRange sqref="G258" name="Range1_1_2_1_41"/>
    <protectedRange sqref="G257" name="Range1_3_1_1_1_60"/>
    <protectedRange sqref="G259:G278" name="Range1_1_1_18"/>
    <protectedRange sqref="G280:G284" name="Range1_1_2_1_2"/>
    <protectedRange sqref="D347:D348" name="Range1_6"/>
    <protectedRange sqref="H11:H13 H31:H33 H16:H22" name="Range1_1_2_1_2_3"/>
    <protectedRange sqref="H23 H25 H27" name="Range1_2_5"/>
    <protectedRange sqref="H30 H34:H36" name="Range1_6_3"/>
    <protectedRange sqref="H24 H26 H28 H47 H49 H192 H194 H250 H252 H296 H300 H309 H313 H153 H155 H168 H203 H205 H170 H174 H172 H304" name="Range1_2_5_1"/>
  </protectedRanges>
  <autoFilter ref="A5:BC446" xr:uid="{EFB33586-BE0F-4F76-9F0C-2204AFCB2C79}">
    <filterColumn colId="0">
      <filters blank="1">
        <filter val="1"/>
        <filter val="10"/>
        <filter val="100"/>
        <filter val="101"/>
        <filter val="102"/>
        <filter val="103"/>
        <filter val="104"/>
        <filter val="105"/>
        <filter val="106"/>
        <filter val="107"/>
        <filter val="108"/>
        <filter val="109"/>
        <filter val="11"/>
        <filter val="110"/>
        <filter val="111"/>
        <filter val="112"/>
        <filter val="113"/>
        <filter val="114"/>
        <filter val="115"/>
        <filter val="116"/>
        <filter val="117"/>
        <filter val="118"/>
        <filter val="119"/>
        <filter val="12"/>
        <filter val="120"/>
        <filter val="121"/>
        <filter val="122"/>
        <filter val="123"/>
        <filter val="124"/>
        <filter val="125"/>
        <filter val="126"/>
        <filter val="127"/>
        <filter val="128"/>
        <filter val="129"/>
        <filter val="13"/>
        <filter val="130"/>
        <filter val="131"/>
        <filter val="132"/>
        <filter val="133"/>
        <filter val="134"/>
        <filter val="135"/>
        <filter val="136"/>
        <filter val="137"/>
        <filter val="138"/>
        <filter val="139"/>
        <filter val="14"/>
        <filter val="140"/>
        <filter val="141"/>
        <filter val="142"/>
        <filter val="143"/>
        <filter val="144"/>
        <filter val="145"/>
        <filter val="146"/>
        <filter val="147"/>
        <filter val="148"/>
        <filter val="149"/>
        <filter val="15"/>
        <filter val="150"/>
        <filter val="151"/>
        <filter val="152"/>
        <filter val="153"/>
        <filter val="154"/>
        <filter val="155"/>
        <filter val="156"/>
        <filter val="157"/>
        <filter val="158"/>
        <filter val="159"/>
        <filter val="16"/>
        <filter val="160"/>
        <filter val="161"/>
        <filter val="162"/>
        <filter val="163"/>
        <filter val="164"/>
        <filter val="165"/>
        <filter val="166"/>
        <filter val="167"/>
        <filter val="168"/>
        <filter val="169"/>
        <filter val="17"/>
        <filter val="170"/>
        <filter val="171"/>
        <filter val="172"/>
        <filter val="173"/>
        <filter val="174"/>
        <filter val="175"/>
        <filter val="176"/>
        <filter val="177"/>
        <filter val="178"/>
        <filter val="179"/>
        <filter val="18"/>
        <filter val="180"/>
        <filter val="181"/>
        <filter val="182"/>
        <filter val="183"/>
        <filter val="184"/>
        <filter val="185"/>
        <filter val="186"/>
        <filter val="187"/>
        <filter val="188"/>
        <filter val="189"/>
        <filter val="19"/>
        <filter val="190"/>
        <filter val="191"/>
        <filter val="192"/>
        <filter val="193"/>
        <filter val="194"/>
        <filter val="195"/>
        <filter val="196"/>
        <filter val="197"/>
        <filter val="198"/>
        <filter val="199"/>
        <filter val="2"/>
        <filter val="20"/>
        <filter val="200"/>
        <filter val="201"/>
        <filter val="202"/>
        <filter val="203"/>
        <filter val="204"/>
        <filter val="205"/>
        <filter val="206"/>
        <filter val="207"/>
        <filter val="208"/>
        <filter val="209"/>
        <filter val="21"/>
        <filter val="210"/>
        <filter val="211"/>
        <filter val="212"/>
        <filter val="213"/>
        <filter val="214"/>
        <filter val="215"/>
        <filter val="216"/>
        <filter val="217"/>
        <filter val="218"/>
        <filter val="219"/>
        <filter val="22"/>
        <filter val="220"/>
        <filter val="221"/>
        <filter val="222"/>
        <filter val="223"/>
        <filter val="224"/>
        <filter val="225"/>
        <filter val="226"/>
        <filter val="227"/>
        <filter val="228"/>
        <filter val="229"/>
        <filter val="23"/>
        <filter val="230"/>
        <filter val="231"/>
        <filter val="232"/>
        <filter val="233"/>
        <filter val="234"/>
        <filter val="235"/>
        <filter val="236"/>
        <filter val="237"/>
        <filter val="238"/>
        <filter val="239"/>
        <filter val="24"/>
        <filter val="240"/>
        <filter val="241"/>
        <filter val="242"/>
        <filter val="243"/>
        <filter val="244"/>
        <filter val="245"/>
        <filter val="246"/>
        <filter val="247"/>
        <filter val="248"/>
        <filter val="249"/>
        <filter val="25"/>
        <filter val="250"/>
        <filter val="251"/>
        <filter val="252"/>
        <filter val="253"/>
        <filter val="254"/>
        <filter val="255"/>
        <filter val="256"/>
        <filter val="257"/>
        <filter val="258"/>
        <filter val="259"/>
        <filter val="26"/>
        <filter val="260"/>
        <filter val="261"/>
        <filter val="262"/>
        <filter val="263"/>
        <filter val="264"/>
        <filter val="265"/>
        <filter val="266"/>
        <filter val="267"/>
        <filter val="268"/>
        <filter val="269"/>
        <filter val="27"/>
        <filter val="270"/>
        <filter val="271"/>
        <filter val="272"/>
        <filter val="273"/>
        <filter val="274"/>
        <filter val="275"/>
        <filter val="276"/>
        <filter val="277"/>
        <filter val="278"/>
        <filter val="279"/>
        <filter val="28"/>
        <filter val="280"/>
        <filter val="281"/>
        <filter val="282"/>
        <filter val="283"/>
        <filter val="284"/>
        <filter val="285"/>
        <filter val="286"/>
        <filter val="287"/>
        <filter val="288"/>
        <filter val="289"/>
        <filter val="29"/>
        <filter val="290"/>
        <filter val="291"/>
        <filter val="292"/>
        <filter val="293"/>
        <filter val="294"/>
        <filter val="295"/>
        <filter val="296"/>
        <filter val="297"/>
        <filter val="298"/>
        <filter val="299"/>
        <filter val="3"/>
        <filter val="30"/>
        <filter val="300"/>
        <filter val="301"/>
        <filter val="302"/>
        <filter val="303"/>
        <filter val="304"/>
        <filter val="305"/>
        <filter val="306"/>
        <filter val="307"/>
        <filter val="308"/>
        <filter val="309"/>
        <filter val="31"/>
        <filter val="310"/>
        <filter val="311"/>
        <filter val="312"/>
        <filter val="32"/>
        <filter val="33"/>
        <filter val="34"/>
        <filter val="35"/>
        <filter val="36"/>
        <filter val="37"/>
        <filter val="38"/>
        <filter val="39"/>
        <filter val="4"/>
        <filter val="40"/>
        <filter val="41"/>
        <filter val="42"/>
        <filter val="43"/>
        <filter val="44"/>
        <filter val="45"/>
        <filter val="46"/>
        <filter val="47"/>
        <filter val="48"/>
        <filter val="49"/>
        <filter val="5"/>
        <filter val="50"/>
        <filter val="51"/>
        <filter val="52"/>
        <filter val="53"/>
        <filter val="54"/>
        <filter val="55"/>
        <filter val="56"/>
        <filter val="57"/>
        <filter val="58"/>
        <filter val="59"/>
        <filter val="6"/>
        <filter val="60"/>
        <filter val="61"/>
        <filter val="62"/>
        <filter val="63"/>
        <filter val="64"/>
        <filter val="65"/>
        <filter val="66"/>
        <filter val="67"/>
        <filter val="68"/>
        <filter val="69"/>
        <filter val="7"/>
        <filter val="70"/>
        <filter val="71"/>
        <filter val="72"/>
        <filter val="73"/>
        <filter val="74"/>
        <filter val="75"/>
        <filter val="76"/>
        <filter val="77"/>
        <filter val="78"/>
        <filter val="79"/>
        <filter val="8"/>
        <filter val="80"/>
        <filter val="81"/>
        <filter val="82"/>
        <filter val="83"/>
        <filter val="84"/>
        <filter val="85"/>
        <filter val="86"/>
        <filter val="87"/>
        <filter val="88"/>
        <filter val="89"/>
        <filter val="9"/>
        <filter val="90"/>
        <filter val="91"/>
        <filter val="92"/>
        <filter val="93"/>
        <filter val="94"/>
        <filter val="95"/>
        <filter val="96"/>
        <filter val="97"/>
        <filter val="98"/>
        <filter val="99"/>
      </filters>
    </filterColumn>
  </autoFilter>
  <mergeCells count="18">
    <mergeCell ref="AR3:AS3"/>
    <mergeCell ref="AT3:AU3"/>
    <mergeCell ref="AV3:AX3"/>
    <mergeCell ref="A1:K1"/>
    <mergeCell ref="L1:AS1"/>
    <mergeCell ref="AT1:AV1"/>
    <mergeCell ref="A2:BA2"/>
    <mergeCell ref="A3:A4"/>
    <mergeCell ref="D3:P3"/>
    <mergeCell ref="Q3:S3"/>
    <mergeCell ref="T3:AH3"/>
    <mergeCell ref="AI3:AN3"/>
    <mergeCell ref="AO3:AQ3"/>
    <mergeCell ref="O159:BC159"/>
    <mergeCell ref="O160:BC160"/>
    <mergeCell ref="O290:BC290"/>
    <mergeCell ref="O291:BC291"/>
    <mergeCell ref="O292:BC292"/>
  </mergeCells>
  <conditionalFormatting sqref="D6:D161 D164:D447">
    <cfRule type="cellIs" dxfId="58" priority="72" operator="equal">
      <formula>"Total"</formula>
    </cfRule>
  </conditionalFormatting>
  <conditionalFormatting sqref="AQ6:AQ158 AS6:AS158 AU7:AU36 AU38:AU42 AQ161:AQ289 AS161:AS289 AU278 AQ293:AQ348 AS293:AS348 AU295:AU345 AQ351:AQ367 AS351:AS367 AQ370:AQ382 AS370:AS382 AU371:AU382 AQ385:AQ392 AS385:AS392 AU386:AU392 AQ394:AQ404 AS394:AS404 AU395:AU404 AQ406:AQ414 AS406:AS414 AQ417:AQ442 AS417:AS442 AS444:AS446 AQ444:AQ447">
    <cfRule type="containsText" dxfId="57" priority="41" operator="containsText" text="NO">
      <formula>NOT(ISERROR(SEARCH("NO",AQ6)))</formula>
    </cfRule>
  </conditionalFormatting>
  <conditionalFormatting sqref="AU44:AU57">
    <cfRule type="containsText" dxfId="56" priority="37" operator="containsText" text="NO">
      <formula>NOT(ISERROR(SEARCH("NO",AU44)))</formula>
    </cfRule>
  </conditionalFormatting>
  <conditionalFormatting sqref="AU59:AU81 AU83:AU93">
    <cfRule type="containsText" dxfId="55" priority="36" operator="containsText" text="NO">
      <formula>NOT(ISERROR(SEARCH("NO",AU59)))</formula>
    </cfRule>
  </conditionalFormatting>
  <conditionalFormatting sqref="AU95:AU106">
    <cfRule type="containsText" dxfId="54" priority="35" operator="containsText" text="NO">
      <formula>NOT(ISERROR(SEARCH("NO",AU95)))</formula>
    </cfRule>
  </conditionalFormatting>
  <conditionalFormatting sqref="AU108:AU125">
    <cfRule type="containsText" dxfId="53" priority="12" operator="containsText" text="NO">
      <formula>NOT(ISERROR(SEARCH("NO",AU108)))</formula>
    </cfRule>
  </conditionalFormatting>
  <conditionalFormatting sqref="AU127:AU139">
    <cfRule type="containsText" dxfId="52" priority="11" operator="containsText" text="NO">
      <formula>NOT(ISERROR(SEARCH("NO",AU127)))</formula>
    </cfRule>
  </conditionalFormatting>
  <conditionalFormatting sqref="AU141:AU158">
    <cfRule type="containsText" dxfId="51" priority="2" operator="containsText" text="NO">
      <formula>NOT(ISERROR(SEARCH("NO",AU141)))</formula>
    </cfRule>
  </conditionalFormatting>
  <conditionalFormatting sqref="AU162:AU163">
    <cfRule type="containsText" dxfId="50" priority="3" operator="containsText" text="NO">
      <formula>NOT(ISERROR(SEARCH("NO",AU162)))</formula>
    </cfRule>
  </conditionalFormatting>
  <conditionalFormatting sqref="AU165:AU174">
    <cfRule type="containsText" dxfId="49" priority="9" operator="containsText" text="NO">
      <formula>NOT(ISERROR(SEARCH("NO",AU165)))</formula>
    </cfRule>
  </conditionalFormatting>
  <conditionalFormatting sqref="AU176:AU180">
    <cfRule type="containsText" dxfId="48" priority="8" operator="containsText" text="NO">
      <formula>NOT(ISERROR(SEARCH("NO",AU176)))</formula>
    </cfRule>
  </conditionalFormatting>
  <conditionalFormatting sqref="AU182">
    <cfRule type="containsText" dxfId="47" priority="7" operator="containsText" text="NO">
      <formula>NOT(ISERROR(SEARCH("NO",AU182)))</formula>
    </cfRule>
  </conditionalFormatting>
  <conditionalFormatting sqref="AU184:AU185">
    <cfRule type="containsText" dxfId="46" priority="6" operator="containsText" text="NO">
      <formula>NOT(ISERROR(SEARCH("NO",AU184)))</formula>
    </cfRule>
  </conditionalFormatting>
  <conditionalFormatting sqref="AU187:AU189">
    <cfRule type="containsText" dxfId="45" priority="31" operator="containsText" text="NO">
      <formula>NOT(ISERROR(SEARCH("NO",AU187)))</formula>
    </cfRule>
  </conditionalFormatting>
  <conditionalFormatting sqref="AU191:AU200 AU202:AU206">
    <cfRule type="containsText" dxfId="44" priority="29" operator="containsText" text="NO">
      <formula>NOT(ISERROR(SEARCH("NO",AU191)))</formula>
    </cfRule>
  </conditionalFormatting>
  <conditionalFormatting sqref="AU208:AU214">
    <cfRule type="containsText" dxfId="43" priority="28" operator="containsText" text="NO">
      <formula>NOT(ISERROR(SEARCH("NO",AU208)))</formula>
    </cfRule>
  </conditionalFormatting>
  <conditionalFormatting sqref="AU216:AU245">
    <cfRule type="containsText" dxfId="42" priority="5" operator="containsText" text="NO">
      <formula>NOT(ISERROR(SEARCH("NO",AU216)))</formula>
    </cfRule>
  </conditionalFormatting>
  <conditionalFormatting sqref="AU247:AU274 AU276">
    <cfRule type="containsText" dxfId="41" priority="4" operator="containsText" text="NO">
      <formula>NOT(ISERROR(SEARCH("NO",AU247)))</formula>
    </cfRule>
  </conditionalFormatting>
  <conditionalFormatting sqref="AU280:AU289">
    <cfRule type="containsText" dxfId="40" priority="20" operator="containsText" text="NO">
      <formula>NOT(ISERROR(SEARCH("NO",AU280)))</formula>
    </cfRule>
  </conditionalFormatting>
  <conditionalFormatting sqref="AU347:AU348">
    <cfRule type="containsText" dxfId="39" priority="19" operator="containsText" text="NO">
      <formula>NOT(ISERROR(SEARCH("NO",AU347)))</formula>
    </cfRule>
  </conditionalFormatting>
  <conditionalFormatting sqref="AU352:AU367">
    <cfRule type="containsText" dxfId="38" priority="18" operator="containsText" text="NO">
      <formula>NOT(ISERROR(SEARCH("NO",AU352)))</formula>
    </cfRule>
  </conditionalFormatting>
  <conditionalFormatting sqref="AU407:AU414">
    <cfRule type="containsText" dxfId="37" priority="16" operator="containsText" text="NO">
      <formula>NOT(ISERROR(SEARCH("NO",AU407)))</formula>
    </cfRule>
  </conditionalFormatting>
  <conditionalFormatting sqref="AU418:AU442">
    <cfRule type="containsText" dxfId="36" priority="15" operator="containsText" text="NO">
      <formula>NOT(ISERROR(SEARCH("NO",AU418)))</formula>
    </cfRule>
  </conditionalFormatting>
  <dataValidations count="11">
    <dataValidation type="list" allowBlank="1" showInputMessage="1" showErrorMessage="1" sqref="G448" xr:uid="{B6785305-66FF-4B8A-8112-ACC04660AD99}">
      <formula1>"F,M,I"</formula1>
    </dataValidation>
    <dataValidation type="list" allowBlank="1" showInputMessage="1" showErrorMessage="1" sqref="V6 V447:V448" xr:uid="{70F06B78-CD32-4988-839F-61D370BD4864}">
      <formula1>"2.5,4,6,10,16,25,35,50,70,95,120,150,185,240,300,400,500,630"</formula1>
    </dataValidation>
    <dataValidation type="list" allowBlank="1" showInputMessage="1" showErrorMessage="1" sqref="V444:V446 V385:V392 V351:V367 V293:V348 V394:V404 V406:V414 V370:V382 V7:V158 V161:V289 V417:V442" xr:uid="{3C29520D-2DBE-4E11-8633-3A22C5B8D4F2}">
      <formula1>"4,6,10,16,25,35,50,70,95,120,150,185,240,300,400,500,630,800,1000"</formula1>
    </dataValidation>
    <dataValidation type="list" allowBlank="1" showInputMessage="1" showErrorMessage="1" sqref="T351:T367 T406:T414 T417:T442 T444:T447 T370:T382 T385:T392 T394:T404 T161:T289 T6:T158 T293:T348" xr:uid="{CA5DC3D2-DA74-44B6-9314-F4DDA6B2F056}">
      <formula1>"AIR,DUCT,GROUND,TRENCH"</formula1>
    </dataValidation>
    <dataValidation type="list" allowBlank="1" showInputMessage="1" showErrorMessage="1" sqref="U444:U448 U351:U367 U406:U414 U394:U404 U293:U348 U370:U382 U385:U392 U6:U158 U161:U289 U417:U442" xr:uid="{B10CF802-CAA9-4276-9A88-D560DF162075}">
      <formula1>"1C,2C,3C,3.5C,4C,5C"</formula1>
    </dataValidation>
    <dataValidation type="list" allowBlank="1" showInputMessage="1" showErrorMessage="1" sqref="G447 G6" xr:uid="{E3F8D135-20F8-47F8-A510-705AE369BFAD}">
      <formula1>"I,P,M"</formula1>
    </dataValidation>
    <dataValidation type="list" allowBlank="1" showInputMessage="1" showErrorMessage="1" sqref="G444:G446" xr:uid="{B0A293BF-A306-461D-94CA-F2E5C29343FD}">
      <formula1>"INCOMER,MOTOR,POWER"</formula1>
    </dataValidation>
    <dataValidation type="list" allowBlank="1" showInputMessage="1" showErrorMessage="1" sqref="K6:K448" xr:uid="{2A20C873-B7F8-4EA1-A336-EFD920CEB0C7}">
      <formula1>"24,110,125,230,400,690,6600,33000"</formula1>
    </dataValidation>
    <dataValidation type="list" allowBlank="1" showInputMessage="1" showErrorMessage="1" sqref="J6:J448" xr:uid="{7DB1ACF5-089F-4B3A-AC81-96DCB7AFB33B}">
      <formula1>"3Ph,1Ph"</formula1>
    </dataValidation>
    <dataValidation type="list" allowBlank="1" showInputMessage="1" showErrorMessage="1" sqref="I6:I448" xr:uid="{B27B37A3-6330-4103-8691-E444F07E731E}">
      <formula1>"kVA,kW"</formula1>
    </dataValidation>
    <dataValidation type="list" allowBlank="1" showInputMessage="1" showErrorMessage="1" sqref="G7:G443" xr:uid="{FA59794E-38B6-40C6-A5C1-BFA6C7352CAD}">
      <formula1>"INCOMER,MOTOR,POWER,VFD"</formula1>
    </dataValidation>
  </dataValidations>
  <printOptions horizontalCentered="1"/>
  <pageMargins left="0" right="0" top="0.47244094488188998" bottom="0.511811023622047" header="0.511811023622047" footer="0.511811023622047"/>
  <pageSetup paperSize="8" scale="30" fitToHeight="0" orientation="landscape" r:id="rId1"/>
  <headerFooter alignWithMargins="0"/>
  <ignoredErrors>
    <ignoredError sqref="AC8:AC17 AC187:AC189 AC38:AC42 AC195:AC196 AC209:AC214 AC198:AC200 AZ147:AZ151 AS398 AC96:AC100 AC86:AC90 AD87 AC115:AG116 AC23:AD23 AD379:AD380 AC121:AO122 AC117:AC119 AF117:AG119 AC69:AC80 AC216:AD235 AC25:AD25 AC34:AD35 AC27:AD27 AX147:AX151 AG153:AH155 AC128:AC135 AG47:AH50 AC50:AC54 AC62:AD68 BA58 BA94:BA95 AC166 AG205:BA207 BA246 AG250:AH252 AC257:AD261 AC283:AC285 BA287 AG24:AH27 AC18:AD20 AC29:AD30 BA82:BA84 AC84 BA86:BA92 AC120:AG120 AI120:AO120 AI115:AO116 AI117:AO119 AC102:AC105 AC32 AG28:AH28 AC157"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11A18-A343-4382-AE6C-50DB07C33C6E}">
  <sheetPr codeName="Sheet9">
    <tabColor rgb="FFFFFF00"/>
    <pageSetUpPr fitToPage="1"/>
  </sheetPr>
  <dimension ref="A1:BA46"/>
  <sheetViews>
    <sheetView view="pageBreakPreview" zoomScale="70" zoomScaleNormal="70" zoomScaleSheetLayoutView="70" zoomScalePageLayoutView="70" workbookViewId="0">
      <pane xSplit="8" ySplit="5" topLeftCell="P12" activePane="bottomRight" state="frozen"/>
      <selection pane="topRight" activeCell="AZ7" activeCellId="1" sqref="AZ17:AZ18 AZ7:AZ10"/>
      <selection pane="bottomLeft" activeCell="AZ7" activeCellId="1" sqref="AZ17:AZ18 AZ7:AZ10"/>
      <selection pane="bottomRight" activeCell="Y15" sqref="Y15"/>
    </sheetView>
  </sheetViews>
  <sheetFormatPr defaultRowHeight="12.75"/>
  <cols>
    <col min="1" max="1" width="11.5703125" style="38" customWidth="1"/>
    <col min="2" max="2" width="35.28515625" style="42" customWidth="1"/>
    <col min="3" max="3" width="12.5703125" style="42" bestFit="1" customWidth="1"/>
    <col min="4" max="4" width="15.140625" style="42" hidden="1" customWidth="1"/>
    <col min="5" max="5" width="9" style="42" hidden="1" customWidth="1"/>
    <col min="6" max="6" width="8.5703125" style="38" bestFit="1" customWidth="1"/>
    <col min="7" max="7" width="9.28515625" style="38" bestFit="1" customWidth="1"/>
    <col min="8" max="8" width="9.85546875" style="38" bestFit="1" customWidth="1"/>
    <col min="9" max="9" width="10" style="38" customWidth="1"/>
    <col min="10" max="10" width="9" style="38" customWidth="1"/>
    <col min="11" max="11" width="9.28515625" style="38" customWidth="1"/>
    <col min="12" max="12" width="9.85546875" style="38" customWidth="1"/>
    <col min="13" max="13" width="10" style="38" customWidth="1"/>
    <col min="14" max="14" width="11.42578125" style="38" customWidth="1"/>
    <col min="15" max="15" width="12" style="38" customWidth="1"/>
    <col min="16" max="16" width="12.28515625" style="38" customWidth="1"/>
    <col min="17" max="17" width="11.5703125" style="38" customWidth="1"/>
    <col min="18" max="18" width="14.28515625" style="38" customWidth="1"/>
    <col min="19" max="20" width="8.28515625" style="38" customWidth="1"/>
    <col min="21" max="21" width="9" style="38" customWidth="1"/>
    <col min="22" max="22" width="8.5703125" style="38" bestFit="1" customWidth="1"/>
    <col min="23" max="23" width="8.5703125" style="38" hidden="1" customWidth="1"/>
    <col min="24" max="24" width="8.5703125" style="38" customWidth="1"/>
    <col min="25" max="25" width="9.85546875" style="38" customWidth="1"/>
    <col min="26" max="26" width="11.5703125" style="38" customWidth="1"/>
    <col min="27" max="30" width="12.5703125" style="38" customWidth="1"/>
    <col min="31" max="31" width="10" style="38" customWidth="1"/>
    <col min="32" max="32" width="13.140625" style="38" hidden="1" customWidth="1"/>
    <col min="33" max="33" width="10.5703125" style="38" hidden="1" customWidth="1"/>
    <col min="34" max="34" width="13.28515625" style="38" hidden="1" customWidth="1"/>
    <col min="35" max="35" width="8.85546875" style="38" hidden="1" customWidth="1"/>
    <col min="36" max="36" width="12.28515625" style="38" hidden="1" customWidth="1"/>
    <col min="37" max="37" width="16" style="38" customWidth="1"/>
    <col min="38" max="38" width="11.42578125" style="38" customWidth="1"/>
    <col min="39" max="39" width="7.140625" style="39" customWidth="1"/>
    <col min="40" max="40" width="10.28515625" style="38" customWidth="1"/>
    <col min="41" max="41" width="14.7109375" style="38" customWidth="1"/>
    <col min="42" max="42" width="17" style="38" customWidth="1"/>
    <col min="43" max="43" width="11.28515625" style="66" hidden="1" customWidth="1"/>
    <col min="44" max="44" width="12.7109375" style="66" hidden="1" customWidth="1"/>
    <col min="45" max="45" width="14" style="38" customWidth="1"/>
    <col min="46" max="46" width="17.140625" style="38" customWidth="1"/>
    <col min="47" max="47" width="34.5703125" style="38" customWidth="1"/>
    <col min="48" max="49" width="9.28515625" style="38" customWidth="1"/>
    <col min="50" max="50" width="13.28515625" style="38" customWidth="1"/>
    <col min="51" max="51" width="21.85546875" style="38" hidden="1" customWidth="1"/>
    <col min="52" max="52" width="16.140625" style="38" hidden="1" customWidth="1"/>
    <col min="53" max="53" width="23.85546875" style="38" customWidth="1"/>
    <col min="54" max="54" width="12.42578125" style="38" customWidth="1"/>
    <col min="55" max="16384" width="9.140625" style="38"/>
  </cols>
  <sheetData>
    <row r="1" spans="1:53" s="34" customFormat="1" ht="24.75" customHeight="1">
      <c r="A1" s="1004"/>
      <c r="B1" s="1004"/>
      <c r="C1" s="1004"/>
      <c r="D1" s="1004"/>
      <c r="E1" s="1004"/>
      <c r="F1" s="1004"/>
      <c r="G1" s="1004"/>
      <c r="H1" s="1004"/>
      <c r="I1" s="1004"/>
      <c r="J1" s="1004"/>
      <c r="K1" s="1005"/>
      <c r="L1" s="1005"/>
      <c r="M1" s="1005"/>
      <c r="N1" s="1005"/>
      <c r="O1" s="1005"/>
      <c r="P1" s="1005"/>
      <c r="Q1" s="1005"/>
      <c r="R1" s="1005"/>
      <c r="S1" s="1005"/>
      <c r="T1" s="1005"/>
      <c r="U1" s="1005"/>
      <c r="V1" s="1005"/>
      <c r="W1" s="1005"/>
      <c r="X1" s="1005"/>
      <c r="Y1" s="1005"/>
      <c r="Z1" s="1005"/>
      <c r="AA1" s="1005"/>
      <c r="AB1" s="1005"/>
      <c r="AC1" s="1005"/>
      <c r="AD1" s="1005"/>
      <c r="AE1" s="1005"/>
      <c r="AF1" s="1005"/>
      <c r="AG1" s="1005"/>
      <c r="AH1" s="1005"/>
      <c r="AI1" s="1005"/>
      <c r="AJ1" s="1005"/>
      <c r="AK1" s="1005"/>
      <c r="AL1" s="1005"/>
      <c r="AM1" s="1005"/>
      <c r="AN1" s="1005"/>
      <c r="AO1" s="1005"/>
      <c r="AP1" s="1005"/>
      <c r="AQ1" s="65"/>
      <c r="AR1" s="65"/>
      <c r="AS1" s="1004"/>
      <c r="AT1" s="1004"/>
      <c r="AU1" s="1004"/>
    </row>
    <row r="2" spans="1:53" s="34" customFormat="1" ht="24.75" customHeight="1">
      <c r="A2" s="931" t="s">
        <v>339</v>
      </c>
      <c r="B2" s="931"/>
      <c r="C2" s="931"/>
      <c r="D2" s="931"/>
      <c r="E2" s="931"/>
      <c r="F2" s="931"/>
      <c r="G2" s="931"/>
      <c r="H2" s="931"/>
      <c r="I2" s="931"/>
      <c r="J2" s="931"/>
      <c r="K2" s="931"/>
      <c r="L2" s="931"/>
      <c r="M2" s="931"/>
      <c r="N2" s="931"/>
      <c r="O2" s="931"/>
      <c r="P2" s="931"/>
      <c r="Q2" s="931"/>
      <c r="R2" s="931"/>
      <c r="S2" s="931"/>
      <c r="T2" s="931"/>
      <c r="U2" s="931"/>
      <c r="V2" s="931"/>
      <c r="W2" s="931"/>
      <c r="X2" s="931"/>
      <c r="Y2" s="931"/>
      <c r="Z2" s="931"/>
      <c r="AA2" s="931"/>
      <c r="AB2" s="931"/>
      <c r="AC2" s="931"/>
      <c r="AD2" s="931"/>
      <c r="AE2" s="931"/>
      <c r="AF2" s="931"/>
      <c r="AG2" s="931"/>
      <c r="AH2" s="931"/>
      <c r="AI2" s="931"/>
      <c r="AJ2" s="931"/>
      <c r="AK2" s="931"/>
      <c r="AL2" s="931"/>
      <c r="AM2" s="931"/>
      <c r="AN2" s="931"/>
      <c r="AO2" s="931"/>
      <c r="AP2" s="931"/>
      <c r="AQ2" s="931"/>
      <c r="AR2" s="931"/>
      <c r="AS2" s="931"/>
      <c r="AT2" s="931"/>
      <c r="AU2" s="931"/>
      <c r="AV2" s="931"/>
      <c r="AW2" s="931"/>
      <c r="AX2" s="931"/>
    </row>
    <row r="3" spans="1:53" s="11" customFormat="1" ht="25.5" customHeight="1">
      <c r="A3" s="932" t="s">
        <v>240</v>
      </c>
      <c r="B3" s="933" t="s">
        <v>241</v>
      </c>
      <c r="C3" s="933"/>
      <c r="D3" s="933"/>
      <c r="E3" s="933"/>
      <c r="F3" s="933"/>
      <c r="G3" s="933"/>
      <c r="H3" s="933"/>
      <c r="I3" s="933"/>
      <c r="J3" s="933"/>
      <c r="K3" s="933"/>
      <c r="L3" s="933"/>
      <c r="M3" s="933"/>
      <c r="N3" s="933"/>
      <c r="O3" s="933"/>
      <c r="P3" s="928" t="s">
        <v>242</v>
      </c>
      <c r="Q3" s="928"/>
      <c r="R3" s="928"/>
      <c r="S3" s="928" t="s">
        <v>243</v>
      </c>
      <c r="T3" s="928"/>
      <c r="U3" s="928"/>
      <c r="V3" s="928"/>
      <c r="W3" s="928"/>
      <c r="X3" s="928"/>
      <c r="Y3" s="928"/>
      <c r="Z3" s="928"/>
      <c r="AA3" s="928"/>
      <c r="AB3" s="928"/>
      <c r="AC3" s="928"/>
      <c r="AD3" s="928"/>
      <c r="AE3" s="928"/>
      <c r="AF3" s="928" t="s">
        <v>244</v>
      </c>
      <c r="AG3" s="928"/>
      <c r="AH3" s="928"/>
      <c r="AI3" s="928"/>
      <c r="AJ3" s="928"/>
      <c r="AK3" s="928"/>
      <c r="AL3" s="928" t="s">
        <v>245</v>
      </c>
      <c r="AM3" s="928"/>
      <c r="AN3" s="928"/>
      <c r="AO3" s="928" t="s">
        <v>246</v>
      </c>
      <c r="AP3" s="928"/>
      <c r="AQ3" s="928"/>
      <c r="AR3" s="928"/>
      <c r="AS3" s="928" t="s">
        <v>247</v>
      </c>
      <c r="AT3" s="928"/>
      <c r="AU3" s="928" t="s">
        <v>248</v>
      </c>
      <c r="AV3" s="928"/>
      <c r="AW3" s="323"/>
      <c r="AX3" s="323"/>
    </row>
    <row r="4" spans="1:53" s="11" customFormat="1" ht="89.25">
      <c r="A4" s="932"/>
      <c r="B4" s="323" t="s">
        <v>251</v>
      </c>
      <c r="C4" s="323" t="s">
        <v>917</v>
      </c>
      <c r="D4" s="323" t="s">
        <v>252</v>
      </c>
      <c r="E4" s="323" t="s">
        <v>918</v>
      </c>
      <c r="F4" s="323" t="s">
        <v>254</v>
      </c>
      <c r="G4" s="323" t="s">
        <v>255</v>
      </c>
      <c r="H4" s="323" t="s">
        <v>256</v>
      </c>
      <c r="I4" s="323" t="s">
        <v>257</v>
      </c>
      <c r="J4" s="323" t="s">
        <v>258</v>
      </c>
      <c r="K4" s="323" t="s">
        <v>259</v>
      </c>
      <c r="L4" s="323" t="s">
        <v>260</v>
      </c>
      <c r="M4" s="323" t="s">
        <v>261</v>
      </c>
      <c r="N4" s="323" t="s">
        <v>262</v>
      </c>
      <c r="O4" s="323" t="s">
        <v>263</v>
      </c>
      <c r="P4" s="323" t="s">
        <v>264</v>
      </c>
      <c r="Q4" s="323" t="s">
        <v>265</v>
      </c>
      <c r="R4" s="323" t="s">
        <v>266</v>
      </c>
      <c r="S4" s="323" t="s">
        <v>267</v>
      </c>
      <c r="T4" s="323" t="s">
        <v>268</v>
      </c>
      <c r="U4" s="323" t="s">
        <v>269</v>
      </c>
      <c r="V4" s="323" t="s">
        <v>270</v>
      </c>
      <c r="W4" s="323" t="s">
        <v>271</v>
      </c>
      <c r="X4" s="323" t="s">
        <v>272</v>
      </c>
      <c r="Y4" s="323" t="s">
        <v>273</v>
      </c>
      <c r="Z4" s="323" t="s">
        <v>274</v>
      </c>
      <c r="AA4" s="323" t="s">
        <v>275</v>
      </c>
      <c r="AB4" s="323" t="s">
        <v>276</v>
      </c>
      <c r="AC4" s="323" t="s">
        <v>277</v>
      </c>
      <c r="AD4" s="323" t="s">
        <v>279</v>
      </c>
      <c r="AE4" s="323" t="s">
        <v>340</v>
      </c>
      <c r="AF4" s="323" t="s">
        <v>281</v>
      </c>
      <c r="AG4" s="323" t="s">
        <v>282</v>
      </c>
      <c r="AH4" s="323" t="s">
        <v>283</v>
      </c>
      <c r="AI4" s="323" t="s">
        <v>284</v>
      </c>
      <c r="AJ4" s="323" t="s">
        <v>285</v>
      </c>
      <c r="AK4" s="323" t="s">
        <v>286</v>
      </c>
      <c r="AL4" s="323" t="s">
        <v>287</v>
      </c>
      <c r="AM4" s="323" t="s">
        <v>288</v>
      </c>
      <c r="AN4" s="323" t="s">
        <v>289</v>
      </c>
      <c r="AO4" s="323" t="s">
        <v>290</v>
      </c>
      <c r="AP4" s="323" t="s">
        <v>291</v>
      </c>
      <c r="AQ4" s="323" t="s">
        <v>292</v>
      </c>
      <c r="AR4" s="323" t="s">
        <v>293</v>
      </c>
      <c r="AS4" s="323" t="s">
        <v>294</v>
      </c>
      <c r="AT4" s="323" t="s">
        <v>295</v>
      </c>
      <c r="AU4" s="323" t="s">
        <v>296</v>
      </c>
      <c r="AV4" s="323" t="s">
        <v>298</v>
      </c>
      <c r="AW4" s="323" t="s">
        <v>299</v>
      </c>
      <c r="AX4" s="323" t="s">
        <v>297</v>
      </c>
      <c r="AY4" s="588" t="s">
        <v>486</v>
      </c>
      <c r="AZ4" s="337" t="s">
        <v>487</v>
      </c>
    </row>
    <row r="5" spans="1:53" s="62" customFormat="1" ht="15">
      <c r="A5" s="321"/>
      <c r="B5" s="321"/>
      <c r="C5" s="321"/>
      <c r="D5" s="321"/>
      <c r="E5" s="321"/>
      <c r="F5" s="321"/>
      <c r="G5" s="321"/>
      <c r="H5" s="321"/>
      <c r="I5" s="321"/>
      <c r="J5" s="321"/>
      <c r="K5" s="321"/>
      <c r="L5" s="321"/>
      <c r="M5" s="321"/>
      <c r="N5" s="321"/>
      <c r="O5" s="321"/>
      <c r="P5" s="321"/>
      <c r="Q5" s="321"/>
      <c r="R5" s="321"/>
      <c r="S5" s="321"/>
      <c r="T5" s="321"/>
      <c r="U5" s="321"/>
      <c r="V5" s="321"/>
      <c r="W5" s="321"/>
      <c r="X5" s="321"/>
      <c r="Y5" s="321"/>
      <c r="Z5" s="321"/>
      <c r="AA5" s="321"/>
      <c r="AB5" s="321"/>
      <c r="AC5" s="321"/>
      <c r="AD5" s="321"/>
      <c r="AE5" s="321"/>
      <c r="AF5" s="321"/>
      <c r="AG5" s="321"/>
      <c r="AH5" s="321"/>
      <c r="AI5" s="321"/>
      <c r="AJ5" s="321"/>
      <c r="AK5" s="321"/>
      <c r="AL5" s="321" t="s">
        <v>28</v>
      </c>
      <c r="AM5" s="589"/>
      <c r="AN5" s="321"/>
      <c r="AO5" s="321"/>
      <c r="AP5" s="321"/>
      <c r="AQ5" s="326"/>
      <c r="AR5" s="326" t="s">
        <v>327</v>
      </c>
      <c r="AS5" s="321"/>
      <c r="AT5" s="321"/>
      <c r="AU5" s="321"/>
      <c r="AV5" s="321"/>
      <c r="AW5" s="327"/>
      <c r="AX5" s="321"/>
    </row>
    <row r="6" spans="1:53" s="36" customFormat="1" ht="26.25" customHeight="1">
      <c r="A6" s="446"/>
      <c r="B6" s="447" t="s">
        <v>919</v>
      </c>
      <c r="C6" s="446"/>
      <c r="D6" s="446"/>
      <c r="E6" s="446"/>
      <c r="F6" s="450"/>
      <c r="G6" s="382"/>
      <c r="H6" s="373"/>
      <c r="I6" s="373"/>
      <c r="J6" s="373"/>
      <c r="K6" s="446"/>
      <c r="L6" s="446"/>
      <c r="M6" s="446"/>
      <c r="N6" s="446"/>
      <c r="O6" s="446"/>
      <c r="P6" s="446"/>
      <c r="Q6" s="446"/>
      <c r="R6" s="446"/>
      <c r="S6" s="446"/>
      <c r="T6" s="446"/>
      <c r="U6" s="446"/>
      <c r="V6" s="446"/>
      <c r="W6" s="446"/>
      <c r="X6" s="446"/>
      <c r="Y6" s="446"/>
      <c r="Z6" s="446"/>
      <c r="AA6" s="446"/>
      <c r="AB6" s="446"/>
      <c r="AC6" s="446"/>
      <c r="AD6" s="446"/>
      <c r="AE6" s="446"/>
      <c r="AF6" s="446"/>
      <c r="AG6" s="446"/>
      <c r="AH6" s="446"/>
      <c r="AI6" s="446"/>
      <c r="AJ6" s="446"/>
      <c r="AK6" s="446"/>
      <c r="AL6" s="446"/>
      <c r="AM6" s="590"/>
      <c r="AN6" s="446"/>
      <c r="AO6" s="446"/>
      <c r="AP6" s="446"/>
      <c r="AQ6" s="451"/>
      <c r="AR6" s="451"/>
      <c r="AS6" s="446"/>
      <c r="AT6" s="446"/>
      <c r="AU6" s="446"/>
      <c r="AV6" s="446"/>
      <c r="AW6" s="591"/>
      <c r="AX6" s="446"/>
      <c r="AY6" s="41"/>
    </row>
    <row r="7" spans="1:53" ht="35.1" customHeight="1">
      <c r="A7" s="337">
        <f t="shared" ref="A7" si="0">A5+1</f>
        <v>1</v>
      </c>
      <c r="B7" s="372" t="s">
        <v>920</v>
      </c>
      <c r="C7" s="337" t="s">
        <v>921</v>
      </c>
      <c r="D7" s="440"/>
      <c r="E7" s="440"/>
      <c r="F7" s="340" t="s">
        <v>51</v>
      </c>
      <c r="G7" s="350">
        <v>12500</v>
      </c>
      <c r="H7" s="337" t="s">
        <v>414</v>
      </c>
      <c r="I7" s="337" t="s">
        <v>922</v>
      </c>
      <c r="J7" s="341">
        <v>6600</v>
      </c>
      <c r="K7" s="342">
        <v>0.85</v>
      </c>
      <c r="L7" s="342">
        <v>0.95</v>
      </c>
      <c r="M7" s="342">
        <f t="shared" ref="M7:M27" si="1">IF(H7="kVA",IF(I7="3Phase",(G7*1000/(1.732*L7*J7)),(G7*1000/(L7*J7))),IF(H7="kW",IF(I7="3Phase",(G7*1000/(1.732*L7*J7*K7)),(G7*1000/(L7*J7*K7)))))</f>
        <v>1151.0510477327057</v>
      </c>
      <c r="N7" s="342">
        <f t="shared" ref="N7:N27" si="2">IF(F7="M",IF(G7&gt;=600,6*M7,IF(G7&lt;600,6*M7)),0)</f>
        <v>0</v>
      </c>
      <c r="O7" s="344" t="str">
        <f t="shared" ref="O7:O12" si="3">IF(F7="M",0.2,"0.00")</f>
        <v>0.00</v>
      </c>
      <c r="P7" s="342">
        <v>40</v>
      </c>
      <c r="Q7" s="342">
        <v>1</v>
      </c>
      <c r="R7" s="342">
        <f t="shared" ref="R7:R12" si="4">(P7*1000*SQRT(Q7)/143)</f>
        <v>279.72027972027973</v>
      </c>
      <c r="S7" s="344" t="s">
        <v>131</v>
      </c>
      <c r="T7" s="342" t="s">
        <v>333</v>
      </c>
      <c r="U7" s="344">
        <v>185</v>
      </c>
      <c r="V7" s="343" t="str">
        <f t="shared" ref="V7:V12" si="5">CONCATENATE(T7," X ",U7)</f>
        <v>3C X 185</v>
      </c>
      <c r="W7" s="343"/>
      <c r="X7" s="343" t="s">
        <v>923</v>
      </c>
      <c r="Y7" s="592">
        <f>IF(S7="AIR",VLOOKUP(V7,'Catalogue Aluminium'!$B$101:$G$130,2,FALSE),IF(S7="GROUND",VLOOKUP(V7,'Catalogue Aluminium'!$B$101:$G$130,3,FALSE),IF(S7="DUCT",VLOOKUP(V7,'Catalogue Aluminium'!$B$101:$G$130,4,FALSE),IF(S7="TRENCH",VLOOKUP(V7,'Catalogue Aluminium'!$B$101:$G$130,2,FALSE)))))</f>
        <v>354</v>
      </c>
      <c r="Z7" s="593">
        <f>VLOOKUP(V7,'Catalogue Aluminium'!$B$101:$G$130,5,FALSE)</f>
        <v>0.21099999999999999</v>
      </c>
      <c r="AA7" s="593">
        <f>VLOOKUP(V7,'Catalogue Aluminium'!$B$101:$G$130,6,FALSE)</f>
        <v>8.5000000000000006E-2</v>
      </c>
      <c r="AB7" s="346">
        <f>30+15</f>
        <v>45</v>
      </c>
      <c r="AC7" s="346">
        <f>(12+15+32+45+26+16)+20</f>
        <v>166</v>
      </c>
      <c r="AD7" s="346">
        <v>15</v>
      </c>
      <c r="AE7" s="347">
        <f t="shared" ref="AE7" si="6">SUM(AB7:AD7)</f>
        <v>226</v>
      </c>
      <c r="AF7" s="592">
        <f>IF(S7="AIR",'Catalogue Aluminium'!$K$101,IF(S7="TRENCH",'Catalogue Aluminium'!$K$104,"NA"))</f>
        <v>0.91</v>
      </c>
      <c r="AG7" s="594">
        <f>IF(S7="Air",(IF(T7="1C",'Catalogue Aluminium'!$L$101,'Catalogue Aluminium'!$M$101)),IF(S7="DUCT",(IF($T7="1C",'Catalogue Aluminium'!$L$102,'Catalogue Aluminium'!$M$102)),IF(S7="GROUND",(IF($T7="1C",'Catalogue Aluminium'!$L$103,'Catalogue Aluminium'!$M$103)),IF(S7="TRENCH",(IF($T7="1C",'Catalogue Aluminium'!$L$104,'Catalogue Aluminium'!$M$104))))))</f>
        <v>0.73</v>
      </c>
      <c r="AH7" s="592" t="str">
        <f>IF(S7="Air",'Catalogue Aluminium'!$N$101,IF(S7="GROUND",'Catalogue Aluminium'!$N$102,IF(S7="DUCT",'Catalogue Aluminium'!$N$103,IF(S7="TRENCH",'Catalogue Aluminium'!$N$104,"NA"))))</f>
        <v>NA</v>
      </c>
      <c r="AI7" s="592" t="str">
        <f>IF(S7="Air",(IF(T7="1C",'Catalogue Aluminium'!$O$101,'Catalogue Aluminium'!$P$101)),IF(S7="DUCT",(IF($T7="1C",'Catalogue Aluminium'!$O$102,'Catalogue Aluminium'!$P$102)),IF(S7="GROUND",(IF($T7="1C",'Catalogue Aluminium'!$O$103,'Catalogue Aluminium'!$P$103)),IF(S7="TRENCH",(IF($T7="1C",'Catalogue Aluminium'!$O$104,'Catalogue Aluminium'!$P$104))))))</f>
        <v>NA</v>
      </c>
      <c r="AJ7" s="592" t="str">
        <f>IF(S7="AIR","NA",IF(S7="TRENCH","NA",IF(S7="DUCT",IF(T7="1C",VLOOKUP(U7,'Catalogue Aluminium'!$Q$102:$S$113,2,FALSE),VLOOKUP(U7,'Catalogue Aluminium'!$Q$102:$S$113,3)),IF(S7="GROUND",IF(T7="1C",VLOOKUP(U7,'Catalogue Aluminium'!$Q$102:$S$113,2,FALSE),VLOOKUP(U7,'Catalogue Aluminium'!$Q$102:$S$113,3))))))</f>
        <v>NA</v>
      </c>
      <c r="AK7" s="348">
        <f t="shared" ref="AK7:AK12" si="7">IF(S7="AIR",AF7*AG7,IF(S7="TRENCH",AF7*AG7,IF(S7="DUCT",AG7*AH7*AI7*AJ7,IF(S7="GROUND",AG7*AH7*AI7*AJ7))))</f>
        <v>0.6643</v>
      </c>
      <c r="AL7" s="342">
        <f t="shared" ref="AL7:AL12" si="8">Y7*AK7</f>
        <v>235.16220000000001</v>
      </c>
      <c r="AM7" s="595">
        <f>CEILING(((M7)/AL7),1)</f>
        <v>5</v>
      </c>
      <c r="AN7" s="350" t="str">
        <f>IF(AL7*AM7&gt;=M7,"YES","NO")</f>
        <v>YES</v>
      </c>
      <c r="AO7" s="596">
        <f t="shared" ref="AO7:AO31" si="9">SQRT(3)*AE7*M7*((Z7*K7)+(AA7*SIN(ACOS(K7))))*100/(AM7*J7*1000)</f>
        <v>0.30601518356084645</v>
      </c>
      <c r="AP7" s="597" t="str">
        <f t="shared" ref="AP7:AP31" si="10">IF(F7="I",(IF(AO7&lt;=2,"YES","NO")),IF(F7="P",(IF(AO7&lt;=2,"YES","NO")),IF(F7="M",(IF(AO7&lt;=3,"YES","NO")))))</f>
        <v>YES</v>
      </c>
      <c r="AQ7" s="598">
        <f t="shared" ref="AQ7:AQ31" si="11">M7*((Z7*K7) + (AA7*SIN(ACOS(K7))))</f>
        <v>257.98107539663391</v>
      </c>
      <c r="AR7" s="599">
        <f t="shared" ref="AR7:AR31" si="12">(5*1000*AM7*J7*10)/(AQ7)</f>
        <v>6395817.9779784298</v>
      </c>
      <c r="AS7" s="596" t="str">
        <f t="shared" ref="AS7:AS31" si="13">IF(F7="M",(SQRT(3)*AE7*N7*((Z7*K7)+(AA7*SIN(ACOS(K7))))*100/(AM7*J7*1000)),"NA")</f>
        <v>NA</v>
      </c>
      <c r="AT7" s="596" t="str">
        <f t="shared" ref="AT7:AT31" si="14">IF(F7="M",IF(AS7&lt;=10,"YES","NO"),"NA")</f>
        <v>NA</v>
      </c>
      <c r="AU7" s="351" t="str">
        <f t="shared" ref="AU7:AU12" si="15">IF(T7="1C",CONCATENATE(AM7,"R x ",X7,"kV x ",T7," x ",U7," Sqmm/Phase"),CONCATENATE(AM7,"R x ",0.6,"/1kV x ",T7," x ",U7," Sqmm"))</f>
        <v>5R x 0.6/1kV x 3C x 185 Sqmm</v>
      </c>
      <c r="AV7" s="343">
        <f>IF(T7="1C",(3*AE7*AM7),(AE7*AM7))</f>
        <v>1130</v>
      </c>
      <c r="AW7" s="355">
        <f>AM7*2</f>
        <v>10</v>
      </c>
      <c r="AX7" s="348"/>
      <c r="AY7" s="600">
        <v>63</v>
      </c>
      <c r="AZ7" s="344">
        <f>AM7*AY7</f>
        <v>315</v>
      </c>
      <c r="BA7" s="1029">
        <f>SUM(AZ7:AZ10)</f>
        <v>882</v>
      </c>
    </row>
    <row r="8" spans="1:53" ht="35.1" customHeight="1">
      <c r="A8" s="337" t="s">
        <v>924</v>
      </c>
      <c r="B8" s="372" t="s">
        <v>925</v>
      </c>
      <c r="C8" s="337" t="s">
        <v>921</v>
      </c>
      <c r="D8" s="440"/>
      <c r="E8" s="440"/>
      <c r="F8" s="340" t="s">
        <v>51</v>
      </c>
      <c r="G8" s="350"/>
      <c r="H8" s="337" t="s">
        <v>414</v>
      </c>
      <c r="I8" s="337" t="s">
        <v>926</v>
      </c>
      <c r="J8" s="341">
        <v>6600</v>
      </c>
      <c r="K8" s="342">
        <v>0.85</v>
      </c>
      <c r="L8" s="342">
        <v>0.95</v>
      </c>
      <c r="M8" s="342">
        <v>400</v>
      </c>
      <c r="N8" s="342">
        <f t="shared" ref="N8" si="16">IF(F8="M",IF(G8&gt;=600,6*M8,IF(G8&lt;600,6*M8)),0)</f>
        <v>0</v>
      </c>
      <c r="O8" s="344" t="str">
        <f t="shared" ref="O8" si="17">IF(F8="M",0.2,"0.00")</f>
        <v>0.00</v>
      </c>
      <c r="P8" s="601">
        <v>0.3</v>
      </c>
      <c r="Q8" s="342">
        <v>10</v>
      </c>
      <c r="R8" s="342">
        <f t="shared" ref="R8" si="18">(P8*1000*SQRT(Q8)/143)</f>
        <v>6.6341489374161808</v>
      </c>
      <c r="S8" s="344" t="s">
        <v>131</v>
      </c>
      <c r="T8" s="342" t="s">
        <v>336</v>
      </c>
      <c r="U8" s="344">
        <v>185</v>
      </c>
      <c r="V8" s="343" t="str">
        <f t="shared" ref="V8" si="19">CONCATENATE(T8," X ",U8)</f>
        <v>1C X 185</v>
      </c>
      <c r="W8" s="343"/>
      <c r="X8" s="343" t="s">
        <v>923</v>
      </c>
      <c r="Y8" s="592">
        <f>IF(S8="AIR",VLOOKUP(V8,'Catalogue Aluminium'!$B$101:$G$130,2,FALSE),IF(S8="GROUND",VLOOKUP(V8,'Catalogue Aluminium'!$B$101:$G$130,3,FALSE),IF(S8="DUCT",VLOOKUP(V8,'Catalogue Aluminium'!$B$101:$G$130,4,FALSE),IF(S8="TRENCH",VLOOKUP(V8,'Catalogue Aluminium'!$B$101:$G$130,2,FALSE)))))</f>
        <v>424</v>
      </c>
      <c r="Z8" s="593">
        <f>VLOOKUP(V8,'Catalogue Aluminium'!$B$101:$G$130,5,FALSE)</f>
        <v>0.21099999999999999</v>
      </c>
      <c r="AA8" s="593">
        <f>VLOOKUP(V8,'Catalogue Aluminium'!$B$101:$G$130,6,FALSE)</f>
        <v>0.109</v>
      </c>
      <c r="AB8" s="346">
        <v>15</v>
      </c>
      <c r="AC8" s="346">
        <v>0</v>
      </c>
      <c r="AD8" s="346">
        <v>5</v>
      </c>
      <c r="AE8" s="347">
        <f t="shared" ref="AE8" si="20">SUM(AB8:AD8)</f>
        <v>20</v>
      </c>
      <c r="AF8" s="592">
        <f>IF(S8="AIR",'Catalogue Aluminium'!$K$101,IF(S8="TRENCH",'Catalogue Aluminium'!$K$104,"NA"))</f>
        <v>0.91</v>
      </c>
      <c r="AG8" s="594">
        <f>IF(S8="Air",(IF(T8="1C",'Catalogue Aluminium'!$L$101,'Catalogue Aluminium'!$M$101)),IF(S8="DUCT",(IF($T8="1C",'Catalogue Aluminium'!$L$102,'Catalogue Aluminium'!$M$102)),IF(S8="GROUND",(IF($T8="1C",'Catalogue Aluminium'!$L$103,'Catalogue Aluminium'!$M$103)),IF(S8="TRENCH",(IF($T8="1C",'Catalogue Aluminium'!$L$104,'Catalogue Aluminium'!$M$104))))))</f>
        <v>0.9</v>
      </c>
      <c r="AH8" s="592" t="str">
        <f>IF(S8="Air",'Catalogue Aluminium'!$N$101,IF(S8="GROUND",'Catalogue Aluminium'!$N$102,IF(S8="DUCT",'Catalogue Aluminium'!$N$103,IF(S8="TRENCH",'Catalogue Aluminium'!$N$104,"NA"))))</f>
        <v>NA</v>
      </c>
      <c r="AI8" s="592" t="str">
        <f>IF(S8="Air",(IF(T8="1C",'Catalogue Aluminium'!$O$101,'Catalogue Aluminium'!$P$101)),IF(S8="DUCT",(IF($T8="1C",'Catalogue Aluminium'!$O$102,'Catalogue Aluminium'!$P$102)),IF(S8="GROUND",(IF($T8="1C",'Catalogue Aluminium'!$O$103,'Catalogue Aluminium'!$P$103)),IF(S8="TRENCH",(IF($T8="1C",'Catalogue Aluminium'!$O$104,'Catalogue Aluminium'!$P$104))))))</f>
        <v>NA</v>
      </c>
      <c r="AJ8" s="592" t="str">
        <f>IF(S8="AIR","NA",IF(S8="TRENCH","NA",IF(S8="DUCT",IF(T8="1C",VLOOKUP(U8,'Catalogue Aluminium'!$Q$102:$S$113,2,FALSE),VLOOKUP(U8,'Catalogue Aluminium'!$Q$102:$S$113,3)),IF(S8="GROUND",IF(T8="1C",VLOOKUP(U8,'Catalogue Aluminium'!$Q$102:$S$113,2,FALSE),VLOOKUP(U8,'Catalogue Aluminium'!$Q$102:$S$113,3))))))</f>
        <v>NA</v>
      </c>
      <c r="AK8" s="348">
        <f t="shared" ref="AK8" si="21">IF(S8="AIR",AF8*AG8,IF(S8="TRENCH",AF8*AG8,IF(S8="DUCT",AG8*AH8*AI8*AJ8,IF(S8="GROUND",AG8*AH8*AI8*AJ8))))</f>
        <v>0.81900000000000006</v>
      </c>
      <c r="AL8" s="342">
        <f t="shared" ref="AL8" si="22">Y8*AK8</f>
        <v>347.25600000000003</v>
      </c>
      <c r="AM8" s="595">
        <f>CEILING(((M8)/AL8),1)</f>
        <v>2</v>
      </c>
      <c r="AN8" s="350" t="str">
        <f>IF(AL8*AM8&gt;=M8,"YES","NO")</f>
        <v>YES</v>
      </c>
      <c r="AO8" s="596">
        <f t="shared" ref="AO8" si="23">SQRT(3)*AE8*M8*((Z8*K8)+(AA8*SIN(ACOS(K8))))*100/(AM8*J8*1000)</f>
        <v>2.4854332103506301E-2</v>
      </c>
      <c r="AP8" s="597" t="str">
        <f t="shared" ref="AP8" si="24">IF(F8="I",(IF(AO8&lt;=2,"YES","NO")),IF(F8="P",(IF(AO8&lt;=2,"YES","NO")),IF(F8="M",(IF(AO8&lt;=3,"YES","NO")))))</f>
        <v>YES</v>
      </c>
      <c r="AQ8" s="598">
        <f t="shared" ref="AQ8" si="25">M8*((Z8*K8) + (AA8*SIN(ACOS(K8))))</f>
        <v>94.707725181218962</v>
      </c>
      <c r="AR8" s="599">
        <f t="shared" ref="AR8" si="26">(5*1000*AM8*J8*10)/(AQ8)</f>
        <v>6968808.4972700989</v>
      </c>
      <c r="AS8" s="596" t="str">
        <f t="shared" ref="AS8" si="27">IF(F8="M",(SQRT(3)*AE8*N8*((Z8*K8)+(AA8*SIN(ACOS(K8))))*100/(AM8*J8*1000)),"NA")</f>
        <v>NA</v>
      </c>
      <c r="AT8" s="596" t="str">
        <f t="shared" ref="AT8" si="28">IF(F8="M",IF(AS8&lt;=10,"YES","NO"),"NA")</f>
        <v>NA</v>
      </c>
      <c r="AU8" s="351" t="str">
        <f t="shared" si="15"/>
        <v>2R x 3.8/6.6kV x 1C x 185 Sqmm/Phase</v>
      </c>
      <c r="AV8" s="343">
        <f>AE8*AM8</f>
        <v>40</v>
      </c>
      <c r="AW8" s="355">
        <f t="shared" ref="AW8:AW31" si="29">AM8*2</f>
        <v>4</v>
      </c>
      <c r="AX8" s="348"/>
      <c r="AY8" s="600">
        <v>63</v>
      </c>
      <c r="AZ8" s="344">
        <f>AY8*AM8</f>
        <v>126</v>
      </c>
      <c r="BA8" s="1029"/>
    </row>
    <row r="9" spans="1:53" ht="35.1" customHeight="1">
      <c r="A9" s="337">
        <f>A7+1</f>
        <v>2</v>
      </c>
      <c r="B9" s="372" t="s">
        <v>927</v>
      </c>
      <c r="C9" s="337" t="s">
        <v>921</v>
      </c>
      <c r="D9" s="440"/>
      <c r="E9" s="440"/>
      <c r="F9" s="340" t="s">
        <v>51</v>
      </c>
      <c r="G9" s="350">
        <v>12500</v>
      </c>
      <c r="H9" s="337" t="s">
        <v>414</v>
      </c>
      <c r="I9" s="337" t="s">
        <v>922</v>
      </c>
      <c r="J9" s="341">
        <v>6600</v>
      </c>
      <c r="K9" s="342">
        <v>0.85</v>
      </c>
      <c r="L9" s="342">
        <v>0.95</v>
      </c>
      <c r="M9" s="342">
        <f t="shared" si="1"/>
        <v>1151.0510477327057</v>
      </c>
      <c r="N9" s="342">
        <f t="shared" si="2"/>
        <v>0</v>
      </c>
      <c r="O9" s="344" t="str">
        <f t="shared" si="3"/>
        <v>0.00</v>
      </c>
      <c r="P9" s="342">
        <v>40</v>
      </c>
      <c r="Q9" s="342">
        <v>1</v>
      </c>
      <c r="R9" s="342">
        <f t="shared" si="4"/>
        <v>279.72027972027973</v>
      </c>
      <c r="S9" s="344" t="s">
        <v>131</v>
      </c>
      <c r="T9" s="342" t="s">
        <v>333</v>
      </c>
      <c r="U9" s="344">
        <v>185</v>
      </c>
      <c r="V9" s="343" t="str">
        <f t="shared" si="5"/>
        <v>3C X 185</v>
      </c>
      <c r="W9" s="343"/>
      <c r="X9" s="343" t="s">
        <v>923</v>
      </c>
      <c r="Y9" s="592">
        <f>IF(S9="AIR",VLOOKUP(V9,'Catalogue Aluminium'!$B$101:$G$130,2,FALSE),IF(S9="GROUND",VLOOKUP(V9,'Catalogue Aluminium'!$B$101:$G$130,3,FALSE),IF(S9="DUCT",VLOOKUP(V9,'Catalogue Aluminium'!$B$101:$G$130,4,FALSE),IF(S9="TRENCH",VLOOKUP(V9,'Catalogue Aluminium'!$B$101:$G$130,2,FALSE)))))</f>
        <v>354</v>
      </c>
      <c r="Z9" s="593">
        <f>VLOOKUP(V9,'Catalogue Aluminium'!$B$101:$G$130,5,FALSE)</f>
        <v>0.21099999999999999</v>
      </c>
      <c r="AA9" s="593">
        <f>VLOOKUP(V9,'Catalogue Aluminium'!$B$101:$G$130,6,FALSE)</f>
        <v>8.5000000000000006E-2</v>
      </c>
      <c r="AB9" s="346">
        <f>30+15</f>
        <v>45</v>
      </c>
      <c r="AC9" s="346">
        <f>(12+15+32+45+40+26+16)+20</f>
        <v>206</v>
      </c>
      <c r="AD9" s="346">
        <v>15</v>
      </c>
      <c r="AE9" s="347">
        <f t="shared" ref="AE9" si="30">SUM(AB9:AD9)</f>
        <v>266</v>
      </c>
      <c r="AF9" s="592">
        <f>IF(S9="AIR",'Catalogue Aluminium'!$K$101,IF(S9="TRENCH",'Catalogue Aluminium'!$K$104,"NA"))</f>
        <v>0.91</v>
      </c>
      <c r="AG9" s="594">
        <f>IF(S9="Air",(IF(T9="1C",'Catalogue Aluminium'!$L$101,'Catalogue Aluminium'!$M$101)),IF(S9="DUCT",(IF($T9="1C",'Catalogue Aluminium'!$L$102,'Catalogue Aluminium'!$M$102)),IF(S9="GROUND",(IF($T9="1C",'Catalogue Aluminium'!$L$103,'Catalogue Aluminium'!$M$103)),IF(S9="TRENCH",(IF($T9="1C",'Catalogue Aluminium'!$L$104,'Catalogue Aluminium'!$M$104))))))</f>
        <v>0.73</v>
      </c>
      <c r="AH9" s="592" t="str">
        <f>IF(S9="Air",'Catalogue Aluminium'!$N$101,IF(S9="GROUND",'Catalogue Aluminium'!$N$102,IF(S9="DUCT",'Catalogue Aluminium'!$N$103,IF(S9="TRENCH",'Catalogue Aluminium'!$N$104,"NA"))))</f>
        <v>NA</v>
      </c>
      <c r="AI9" s="592" t="str">
        <f>IF(S9="Air",(IF(T9="1C",'Catalogue Aluminium'!$O$101,'Catalogue Aluminium'!$P$101)),IF(S9="DUCT",(IF($T9="1C",'Catalogue Aluminium'!$O$102,'Catalogue Aluminium'!$P$102)),IF(S9="GROUND",(IF($T9="1C",'Catalogue Aluminium'!$O$103,'Catalogue Aluminium'!$P$103)),IF(S9="TRENCH",(IF($T9="1C",'Catalogue Aluminium'!$O$104,'Catalogue Aluminium'!$P$104))))))</f>
        <v>NA</v>
      </c>
      <c r="AJ9" s="592" t="str">
        <f>IF(S9="AIR","NA",IF(S9="TRENCH","NA",IF(S9="DUCT",IF(T9="1C",VLOOKUP(U9,'Catalogue Aluminium'!$Q$102:$S$113,2,FALSE),VLOOKUP(U9,'Catalogue Aluminium'!$Q$102:$S$113,3)),IF(S9="GROUND",IF(T9="1C",VLOOKUP(U9,'Catalogue Aluminium'!$Q$102:$S$113,2,FALSE),VLOOKUP(U9,'Catalogue Aluminium'!$Q$102:$S$113,3))))))</f>
        <v>NA</v>
      </c>
      <c r="AK9" s="348">
        <f t="shared" si="7"/>
        <v>0.6643</v>
      </c>
      <c r="AL9" s="342">
        <f t="shared" si="8"/>
        <v>235.16220000000001</v>
      </c>
      <c r="AM9" s="595">
        <f>CEILING(((M9)/AL9),1)</f>
        <v>5</v>
      </c>
      <c r="AN9" s="350" t="str">
        <f t="shared" ref="AN9:AN12" si="31">IF(AL9*AM9&gt;=M9,"YES","NO")</f>
        <v>YES</v>
      </c>
      <c r="AO9" s="596">
        <f t="shared" si="9"/>
        <v>0.36017716295214669</v>
      </c>
      <c r="AP9" s="597" t="str">
        <f t="shared" si="10"/>
        <v>YES</v>
      </c>
      <c r="AQ9" s="598">
        <f t="shared" si="11"/>
        <v>257.98107539663391</v>
      </c>
      <c r="AR9" s="599">
        <f t="shared" si="12"/>
        <v>6395817.9779784298</v>
      </c>
      <c r="AS9" s="596" t="str">
        <f t="shared" si="13"/>
        <v>NA</v>
      </c>
      <c r="AT9" s="596" t="str">
        <f t="shared" si="14"/>
        <v>NA</v>
      </c>
      <c r="AU9" s="351" t="str">
        <f t="shared" si="15"/>
        <v>5R x 0.6/1kV x 3C x 185 Sqmm</v>
      </c>
      <c r="AV9" s="343">
        <f t="shared" ref="AV9:AV31" si="32">IF(T9="1C",(3*AE9*AM9),(AE9*AM9))</f>
        <v>1330</v>
      </c>
      <c r="AW9" s="355">
        <f t="shared" si="29"/>
        <v>10</v>
      </c>
      <c r="AX9" s="348"/>
      <c r="AY9" s="600">
        <v>63</v>
      </c>
      <c r="AZ9" s="344">
        <f>AY9*AM9</f>
        <v>315</v>
      </c>
      <c r="BA9" s="1029"/>
    </row>
    <row r="10" spans="1:53" ht="35.1" customHeight="1">
      <c r="A10" s="337" t="s">
        <v>928</v>
      </c>
      <c r="B10" s="372" t="s">
        <v>929</v>
      </c>
      <c r="C10" s="337" t="s">
        <v>921</v>
      </c>
      <c r="D10" s="440"/>
      <c r="E10" s="440"/>
      <c r="F10" s="340" t="s">
        <v>51</v>
      </c>
      <c r="G10" s="350"/>
      <c r="H10" s="337" t="s">
        <v>414</v>
      </c>
      <c r="I10" s="337" t="s">
        <v>926</v>
      </c>
      <c r="J10" s="341">
        <v>6600</v>
      </c>
      <c r="K10" s="342">
        <v>0.85</v>
      </c>
      <c r="L10" s="342">
        <v>0.95</v>
      </c>
      <c r="M10" s="342">
        <v>400</v>
      </c>
      <c r="N10" s="342">
        <f t="shared" ref="N10" si="33">IF(F10="M",IF(G10&gt;=600,6*M10,IF(G10&lt;600,6*M10)),0)</f>
        <v>0</v>
      </c>
      <c r="O10" s="344" t="str">
        <f t="shared" ref="O10" si="34">IF(F10="M",0.2,"0.00")</f>
        <v>0.00</v>
      </c>
      <c r="P10" s="601">
        <v>0.3</v>
      </c>
      <c r="Q10" s="342">
        <v>10</v>
      </c>
      <c r="R10" s="342">
        <f t="shared" ref="R10" si="35">(P10*1000*SQRT(Q10)/143)</f>
        <v>6.6341489374161808</v>
      </c>
      <c r="S10" s="344" t="s">
        <v>131</v>
      </c>
      <c r="T10" s="342" t="s">
        <v>336</v>
      </c>
      <c r="U10" s="344">
        <v>185</v>
      </c>
      <c r="V10" s="343" t="str">
        <f t="shared" ref="V10" si="36">CONCATENATE(T10," X ",U10)</f>
        <v>1C X 185</v>
      </c>
      <c r="W10" s="343"/>
      <c r="X10" s="343" t="s">
        <v>923</v>
      </c>
      <c r="Y10" s="592">
        <f>IF(S10="AIR",VLOOKUP(V10,'Catalogue Aluminium'!$B$101:$G$130,2,FALSE),IF(S10="GROUND",VLOOKUP(V10,'Catalogue Aluminium'!$B$101:$G$130,3,FALSE),IF(S10="DUCT",VLOOKUP(V10,'Catalogue Aluminium'!$B$101:$G$130,4,FALSE),IF(S10="TRENCH",VLOOKUP(V10,'Catalogue Aluminium'!$B$101:$G$130,2,FALSE)))))</f>
        <v>424</v>
      </c>
      <c r="Z10" s="593">
        <f>VLOOKUP(V10,'Catalogue Aluminium'!$B$101:$G$130,5,FALSE)</f>
        <v>0.21099999999999999</v>
      </c>
      <c r="AA10" s="593">
        <f>VLOOKUP(V10,'Catalogue Aluminium'!$B$101:$G$130,6,FALSE)</f>
        <v>0.109</v>
      </c>
      <c r="AB10" s="346">
        <v>15</v>
      </c>
      <c r="AC10" s="346">
        <v>0</v>
      </c>
      <c r="AD10" s="346">
        <v>5</v>
      </c>
      <c r="AE10" s="347">
        <f t="shared" ref="AE10" si="37">SUM(AB10:AD10)</f>
        <v>20</v>
      </c>
      <c r="AF10" s="592">
        <f>IF(S10="AIR",'Catalogue Aluminium'!$K$101,IF(S10="TRENCH",'Catalogue Aluminium'!$K$104,"NA"))</f>
        <v>0.91</v>
      </c>
      <c r="AG10" s="594">
        <f>IF(S10="Air",(IF(T10="1C",'Catalogue Aluminium'!$L$101,'Catalogue Aluminium'!$M$101)),IF(S10="DUCT",(IF($T10="1C",'Catalogue Aluminium'!$L$102,'Catalogue Aluminium'!$M$102)),IF(S10="GROUND",(IF($T10="1C",'Catalogue Aluminium'!$L$103,'Catalogue Aluminium'!$M$103)),IF(S10="TRENCH",(IF($T10="1C",'Catalogue Aluminium'!$L$104,'Catalogue Aluminium'!$M$104))))))</f>
        <v>0.9</v>
      </c>
      <c r="AH10" s="592" t="str">
        <f>IF(S10="Air",'Catalogue Aluminium'!$N$101,IF(S10="GROUND",'Catalogue Aluminium'!$N$102,IF(S10="DUCT",'Catalogue Aluminium'!$N$103,IF(S10="TRENCH",'Catalogue Aluminium'!$N$104,"NA"))))</f>
        <v>NA</v>
      </c>
      <c r="AI10" s="592" t="str">
        <f>IF(S10="Air",(IF(T10="1C",'Catalogue Aluminium'!$O$101,'Catalogue Aluminium'!$P$101)),IF(S10="DUCT",(IF($T10="1C",'Catalogue Aluminium'!$O$102,'Catalogue Aluminium'!$P$102)),IF(S10="GROUND",(IF($T10="1C",'Catalogue Aluminium'!$O$103,'Catalogue Aluminium'!$P$103)),IF(S10="TRENCH",(IF($T10="1C",'Catalogue Aluminium'!$O$104,'Catalogue Aluminium'!$P$104))))))</f>
        <v>NA</v>
      </c>
      <c r="AJ10" s="592" t="str">
        <f>IF(S10="AIR","NA",IF(S10="TRENCH","NA",IF(S10="DUCT",IF(T10="1C",VLOOKUP(U10,'Catalogue Aluminium'!$Q$102:$S$113,2,FALSE),VLOOKUP(U10,'Catalogue Aluminium'!$Q$102:$S$113,3)),IF(S10="GROUND",IF(T10="1C",VLOOKUP(U10,'Catalogue Aluminium'!$Q$102:$S$113,2,FALSE),VLOOKUP(U10,'Catalogue Aluminium'!$Q$102:$S$113,3))))))</f>
        <v>NA</v>
      </c>
      <c r="AK10" s="348">
        <f t="shared" ref="AK10" si="38">IF(S10="AIR",AF10*AG10,IF(S10="TRENCH",AF10*AG10,IF(S10="DUCT",AG10*AH10*AI10*AJ10,IF(S10="GROUND",AG10*AH10*AI10*AJ10))))</f>
        <v>0.81900000000000006</v>
      </c>
      <c r="AL10" s="342">
        <f t="shared" ref="AL10" si="39">Y10*AK10</f>
        <v>347.25600000000003</v>
      </c>
      <c r="AM10" s="595">
        <f>CEILING(((M10)/AL10),1)</f>
        <v>2</v>
      </c>
      <c r="AN10" s="350" t="str">
        <f t="shared" ref="AN10" si="40">IF(AL10*AM10&gt;=M10,"YES","NO")</f>
        <v>YES</v>
      </c>
      <c r="AO10" s="596">
        <f t="shared" ref="AO10" si="41">SQRT(3)*AE10*M10*((Z10*K10)+(AA10*SIN(ACOS(K10))))*100/(AM10*J10*1000)</f>
        <v>2.4854332103506301E-2</v>
      </c>
      <c r="AP10" s="597" t="str">
        <f t="shared" ref="AP10" si="42">IF(F10="I",(IF(AO10&lt;=2,"YES","NO")),IF(F10="P",(IF(AO10&lt;=2,"YES","NO")),IF(F10="M",(IF(AO10&lt;=3,"YES","NO")))))</f>
        <v>YES</v>
      </c>
      <c r="AQ10" s="598">
        <f t="shared" ref="AQ10" si="43">M10*((Z10*K10) + (AA10*SIN(ACOS(K10))))</f>
        <v>94.707725181218962</v>
      </c>
      <c r="AR10" s="599">
        <f t="shared" ref="AR10" si="44">(5*1000*AM10*J10*10)/(AQ10)</f>
        <v>6968808.4972700989</v>
      </c>
      <c r="AS10" s="596" t="str">
        <f t="shared" ref="AS10" si="45">IF(F10="M",(SQRT(3)*AE10*N10*((Z10*K10)+(AA10*SIN(ACOS(K10))))*100/(AM10*J10*1000)),"NA")</f>
        <v>NA</v>
      </c>
      <c r="AT10" s="596" t="str">
        <f t="shared" ref="AT10" si="46">IF(F10="M",IF(AS10&lt;=10,"YES","NO"),"NA")</f>
        <v>NA</v>
      </c>
      <c r="AU10" s="351" t="str">
        <f t="shared" si="15"/>
        <v>2R x 3.8/6.6kV x 1C x 185 Sqmm/Phase</v>
      </c>
      <c r="AV10" s="343">
        <f>AE10*AM10</f>
        <v>40</v>
      </c>
      <c r="AW10" s="355">
        <f t="shared" si="29"/>
        <v>4</v>
      </c>
      <c r="AX10" s="348"/>
      <c r="AY10" s="600">
        <v>63</v>
      </c>
      <c r="AZ10" s="344">
        <f>AY10*AM10</f>
        <v>126</v>
      </c>
      <c r="BA10" s="1029"/>
    </row>
    <row r="11" spans="1:53" ht="35.1" customHeight="1">
      <c r="A11" s="337">
        <f>A9+1</f>
        <v>3</v>
      </c>
      <c r="B11" s="372" t="s">
        <v>930</v>
      </c>
      <c r="C11" s="337" t="s">
        <v>921</v>
      </c>
      <c r="D11" s="440"/>
      <c r="E11" s="440"/>
      <c r="F11" s="340" t="s">
        <v>51</v>
      </c>
      <c r="G11" s="350">
        <v>2000</v>
      </c>
      <c r="H11" s="337" t="s">
        <v>414</v>
      </c>
      <c r="I11" s="337" t="s">
        <v>922</v>
      </c>
      <c r="J11" s="341">
        <v>6600</v>
      </c>
      <c r="K11" s="342">
        <v>0.85</v>
      </c>
      <c r="L11" s="342">
        <v>0.95</v>
      </c>
      <c r="M11" s="342">
        <f t="shared" si="1"/>
        <v>184.16816763723293</v>
      </c>
      <c r="N11" s="342">
        <f t="shared" si="2"/>
        <v>0</v>
      </c>
      <c r="O11" s="344" t="str">
        <f t="shared" si="3"/>
        <v>0.00</v>
      </c>
      <c r="P11" s="342">
        <v>40</v>
      </c>
      <c r="Q11" s="342">
        <v>1</v>
      </c>
      <c r="R11" s="342">
        <f t="shared" si="4"/>
        <v>279.72027972027973</v>
      </c>
      <c r="S11" s="344" t="s">
        <v>131</v>
      </c>
      <c r="T11" s="342" t="s">
        <v>333</v>
      </c>
      <c r="U11" s="344">
        <v>150</v>
      </c>
      <c r="V11" s="343" t="str">
        <f t="shared" si="5"/>
        <v>3C X 150</v>
      </c>
      <c r="W11" s="343"/>
      <c r="X11" s="343" t="s">
        <v>923</v>
      </c>
      <c r="Y11" s="592">
        <f>IF(S11="AIR",VLOOKUP(V11,'Catalogue Aluminium'!$B$101:$G$130,2,FALSE),IF(S11="GROUND",VLOOKUP(V11,'Catalogue Aluminium'!$B$101:$G$130,3,FALSE),IF(S11="DUCT",VLOOKUP(V11,'Catalogue Aluminium'!$B$101:$G$130,4,FALSE),IF(S11="TRENCH",VLOOKUP(V11,'Catalogue Aluminium'!$B$101:$G$130,2,FALSE)))))</f>
        <v>309</v>
      </c>
      <c r="Z11" s="593">
        <f>VLOOKUP(V11,'Catalogue Aluminium'!$B$101:$G$130,5,FALSE)</f>
        <v>0.26500000000000001</v>
      </c>
      <c r="AA11" s="593">
        <f>VLOOKUP(V11,'Catalogue Aluminium'!$B$101:$G$130,6,FALSE)</f>
        <v>8.7999999999999995E-2</v>
      </c>
      <c r="AB11" s="346">
        <f t="shared" ref="AB11:AB14" si="47">30+15</f>
        <v>45</v>
      </c>
      <c r="AC11" s="346">
        <f>(12+15+40+58+40)+20</f>
        <v>185</v>
      </c>
      <c r="AD11" s="346">
        <v>15</v>
      </c>
      <c r="AE11" s="347">
        <f t="shared" ref="AE11:AE25" si="48">SUM(AB11:AD11)</f>
        <v>245</v>
      </c>
      <c r="AF11" s="592">
        <f>IF(S11="AIR",'Catalogue Aluminium'!$K$101,IF(S11="TRENCH",'Catalogue Aluminium'!$K$104,"NA"))</f>
        <v>0.91</v>
      </c>
      <c r="AG11" s="594">
        <f>IF(S11="Air",(IF(T11="1C",'Catalogue Aluminium'!$L$101,'Catalogue Aluminium'!$M$101)),IF(S11="DUCT",(IF($T11="1C",'Catalogue Aluminium'!$L$102,'Catalogue Aluminium'!$M$102)),IF(S11="GROUND",(IF($T11="1C",'Catalogue Aluminium'!$L$103,'Catalogue Aluminium'!$M$103)),IF(S11="TRENCH",(IF($T11="1C",'Catalogue Aluminium'!$L$104,'Catalogue Aluminium'!$M$104))))))</f>
        <v>0.73</v>
      </c>
      <c r="AH11" s="592" t="str">
        <f>IF(S11="Air",'Catalogue Aluminium'!$N$101,IF(S11="GROUND",'Catalogue Aluminium'!$N$102,IF(S11="DUCT",'Catalogue Aluminium'!$N$103,IF(S11="TRENCH",'Catalogue Aluminium'!$N$104,"NA"))))</f>
        <v>NA</v>
      </c>
      <c r="AI11" s="592" t="str">
        <f>IF(S11="Air",(IF(T11="1C",'Catalogue Aluminium'!$O$101,'Catalogue Aluminium'!$P$101)),IF(S11="DUCT",(IF($T11="1C",'Catalogue Aluminium'!$O$102,'Catalogue Aluminium'!$P$102)),IF(S11="GROUND",(IF($T11="1C",'Catalogue Aluminium'!$O$103,'Catalogue Aluminium'!$P$103)),IF(S11="TRENCH",(IF($T11="1C",'Catalogue Aluminium'!$O$104,'Catalogue Aluminium'!$P$104))))))</f>
        <v>NA</v>
      </c>
      <c r="AJ11" s="592" t="str">
        <f>IF(S11="AIR","NA",IF(S11="TRENCH","NA",IF(S11="DUCT",IF(T11="1C",VLOOKUP(U11,'Catalogue Aluminium'!$Q$102:$S$113,2,FALSE),VLOOKUP(U11,'Catalogue Aluminium'!$Q$102:$S$113,3)),IF(S11="GROUND",IF(T11="1C",VLOOKUP(U11,'Catalogue Aluminium'!$Q$102:$S$113,2,FALSE),VLOOKUP(U11,'Catalogue Aluminium'!$Q$102:$S$113,3))))))</f>
        <v>NA</v>
      </c>
      <c r="AK11" s="348">
        <f t="shared" si="7"/>
        <v>0.6643</v>
      </c>
      <c r="AL11" s="342">
        <f t="shared" si="8"/>
        <v>205.2687</v>
      </c>
      <c r="AM11" s="595">
        <v>2</v>
      </c>
      <c r="AN11" s="350" t="str">
        <f t="shared" si="31"/>
        <v>YES</v>
      </c>
      <c r="AO11" s="596">
        <f t="shared" si="9"/>
        <v>0.16080816968621872</v>
      </c>
      <c r="AP11" s="597" t="str">
        <f t="shared" si="10"/>
        <v>YES</v>
      </c>
      <c r="AQ11" s="598">
        <f t="shared" si="11"/>
        <v>50.021340764988906</v>
      </c>
      <c r="AR11" s="599">
        <f t="shared" si="12"/>
        <v>13194368.441678181</v>
      </c>
      <c r="AS11" s="596" t="str">
        <f t="shared" si="13"/>
        <v>NA</v>
      </c>
      <c r="AT11" s="596" t="str">
        <f t="shared" si="14"/>
        <v>NA</v>
      </c>
      <c r="AU11" s="351" t="str">
        <f t="shared" si="15"/>
        <v>2R x 0.6/1kV x 3C x 150 Sqmm</v>
      </c>
      <c r="AV11" s="343">
        <f t="shared" si="32"/>
        <v>490</v>
      </c>
      <c r="AW11" s="355">
        <f t="shared" si="29"/>
        <v>4</v>
      </c>
      <c r="AX11" s="348"/>
      <c r="AY11" s="600">
        <v>58</v>
      </c>
      <c r="AZ11" s="344">
        <f>AY11*AM11</f>
        <v>116</v>
      </c>
    </row>
    <row r="12" spans="1:53" ht="35.1" customHeight="1">
      <c r="A12" s="337">
        <f t="shared" ref="A12:A30" si="49">A11+1</f>
        <v>4</v>
      </c>
      <c r="B12" s="372" t="s">
        <v>931</v>
      </c>
      <c r="C12" s="337" t="s">
        <v>921</v>
      </c>
      <c r="D12" s="440"/>
      <c r="E12" s="440"/>
      <c r="F12" s="340" t="s">
        <v>51</v>
      </c>
      <c r="G12" s="350">
        <v>2000</v>
      </c>
      <c r="H12" s="337" t="s">
        <v>414</v>
      </c>
      <c r="I12" s="337" t="s">
        <v>922</v>
      </c>
      <c r="J12" s="341">
        <v>6600</v>
      </c>
      <c r="K12" s="342">
        <v>0.85</v>
      </c>
      <c r="L12" s="342">
        <v>0.95</v>
      </c>
      <c r="M12" s="342">
        <f t="shared" si="1"/>
        <v>184.16816763723293</v>
      </c>
      <c r="N12" s="342">
        <f t="shared" si="2"/>
        <v>0</v>
      </c>
      <c r="O12" s="344" t="str">
        <f t="shared" si="3"/>
        <v>0.00</v>
      </c>
      <c r="P12" s="342">
        <v>40</v>
      </c>
      <c r="Q12" s="342">
        <v>1</v>
      </c>
      <c r="R12" s="342">
        <f t="shared" si="4"/>
        <v>279.72027972027973</v>
      </c>
      <c r="S12" s="344" t="s">
        <v>131</v>
      </c>
      <c r="T12" s="342" t="s">
        <v>333</v>
      </c>
      <c r="U12" s="344">
        <v>150</v>
      </c>
      <c r="V12" s="343" t="str">
        <f t="shared" si="5"/>
        <v>3C X 150</v>
      </c>
      <c r="W12" s="343"/>
      <c r="X12" s="343" t="s">
        <v>923</v>
      </c>
      <c r="Y12" s="592">
        <f>IF(S12="AIR",VLOOKUP(V12,'Catalogue Aluminium'!$B$101:$G$130,2,FALSE),IF(S12="GROUND",VLOOKUP(V12,'Catalogue Aluminium'!$B$101:$G$130,3,FALSE),IF(S12="DUCT",VLOOKUP(V12,'Catalogue Aluminium'!$B$101:$G$130,4,FALSE),IF(S12="TRENCH",VLOOKUP(V12,'Catalogue Aluminium'!$B$101:$G$130,2,FALSE)))))</f>
        <v>309</v>
      </c>
      <c r="Z12" s="593">
        <f>VLOOKUP(V12,'Catalogue Aluminium'!$B$101:$G$130,5,FALSE)</f>
        <v>0.26500000000000001</v>
      </c>
      <c r="AA12" s="593">
        <f>VLOOKUP(V12,'Catalogue Aluminium'!$B$101:$G$130,6,FALSE)</f>
        <v>8.7999999999999995E-2</v>
      </c>
      <c r="AB12" s="346">
        <f t="shared" si="47"/>
        <v>45</v>
      </c>
      <c r="AC12" s="346">
        <f>(12+15+40+58+40)+20</f>
        <v>185</v>
      </c>
      <c r="AD12" s="346">
        <v>15</v>
      </c>
      <c r="AE12" s="347">
        <f t="shared" si="48"/>
        <v>245</v>
      </c>
      <c r="AF12" s="592">
        <f>IF(S12="AIR",'Catalogue Aluminium'!$K$101,IF(S12="TRENCH",'Catalogue Aluminium'!$K$104,"NA"))</f>
        <v>0.91</v>
      </c>
      <c r="AG12" s="594">
        <f>IF(S12="Air",(IF(T12="1C",'Catalogue Aluminium'!$L$101,'Catalogue Aluminium'!$M$101)),IF(S12="DUCT",(IF($T12="1C",'Catalogue Aluminium'!$L$102,'Catalogue Aluminium'!$M$102)),IF(S12="GROUND",(IF($T12="1C",'Catalogue Aluminium'!$L$103,'Catalogue Aluminium'!$M$103)),IF(S12="TRENCH",(IF($T12="1C",'Catalogue Aluminium'!$L$104,'Catalogue Aluminium'!$M$104))))))</f>
        <v>0.73</v>
      </c>
      <c r="AH12" s="592" t="str">
        <f>IF(S12="Air",'Catalogue Aluminium'!$N$101,IF(S12="GROUND",'Catalogue Aluminium'!$N$102,IF(S12="DUCT",'Catalogue Aluminium'!$N$103,IF(S12="TRENCH",'Catalogue Aluminium'!$N$104,"NA"))))</f>
        <v>NA</v>
      </c>
      <c r="AI12" s="592" t="str">
        <f>IF(S12="Air",(IF(T12="1C",'Catalogue Aluminium'!$O$101,'Catalogue Aluminium'!$P$101)),IF(S12="DUCT",(IF($T12="1C",'Catalogue Aluminium'!$O$102,'Catalogue Aluminium'!$P$102)),IF(S12="GROUND",(IF($T12="1C",'Catalogue Aluminium'!$O$103,'Catalogue Aluminium'!$P$103)),IF(S12="TRENCH",(IF($T12="1C",'Catalogue Aluminium'!$O$104,'Catalogue Aluminium'!$P$104))))))</f>
        <v>NA</v>
      </c>
      <c r="AJ12" s="592" t="str">
        <f>IF(S12="AIR","NA",IF(S12="TRENCH","NA",IF(S12="DUCT",IF(T12="1C",VLOOKUP(U12,'Catalogue Aluminium'!$Q$102:$S$113,2,FALSE),VLOOKUP(U12,'Catalogue Aluminium'!$Q$102:$S$113,3)),IF(S12="GROUND",IF(T12="1C",VLOOKUP(U12,'Catalogue Aluminium'!$Q$102:$S$113,2,FALSE),VLOOKUP(U12,'Catalogue Aluminium'!$Q$102:$S$113,3))))))</f>
        <v>NA</v>
      </c>
      <c r="AK12" s="348">
        <f t="shared" si="7"/>
        <v>0.6643</v>
      </c>
      <c r="AL12" s="342">
        <f t="shared" si="8"/>
        <v>205.2687</v>
      </c>
      <c r="AM12" s="595">
        <v>2</v>
      </c>
      <c r="AN12" s="350" t="str">
        <f t="shared" si="31"/>
        <v>YES</v>
      </c>
      <c r="AO12" s="596">
        <f t="shared" si="9"/>
        <v>0.16080816968621872</v>
      </c>
      <c r="AP12" s="597" t="str">
        <f t="shared" si="10"/>
        <v>YES</v>
      </c>
      <c r="AQ12" s="598">
        <f t="shared" si="11"/>
        <v>50.021340764988906</v>
      </c>
      <c r="AR12" s="599">
        <f t="shared" si="12"/>
        <v>13194368.441678181</v>
      </c>
      <c r="AS12" s="596" t="str">
        <f t="shared" si="13"/>
        <v>NA</v>
      </c>
      <c r="AT12" s="596" t="str">
        <f t="shared" si="14"/>
        <v>NA</v>
      </c>
      <c r="AU12" s="351" t="str">
        <f t="shared" si="15"/>
        <v>2R x 0.6/1kV x 3C x 150 Sqmm</v>
      </c>
      <c r="AV12" s="343">
        <f t="shared" si="32"/>
        <v>490</v>
      </c>
      <c r="AW12" s="355">
        <f t="shared" si="29"/>
        <v>4</v>
      </c>
      <c r="AX12" s="348"/>
      <c r="AY12" s="600">
        <v>58</v>
      </c>
      <c r="AZ12" s="344">
        <f t="shared" ref="AZ12:AZ14" si="50">AY12*AM12</f>
        <v>116</v>
      </c>
    </row>
    <row r="13" spans="1:53" ht="35.1" customHeight="1">
      <c r="A13" s="337">
        <f t="shared" si="49"/>
        <v>5</v>
      </c>
      <c r="B13" s="372" t="s">
        <v>932</v>
      </c>
      <c r="C13" s="337" t="s">
        <v>921</v>
      </c>
      <c r="D13" s="440"/>
      <c r="E13" s="440"/>
      <c r="F13" s="340" t="s">
        <v>51</v>
      </c>
      <c r="G13" s="350">
        <v>2000</v>
      </c>
      <c r="H13" s="337" t="s">
        <v>414</v>
      </c>
      <c r="I13" s="337" t="s">
        <v>922</v>
      </c>
      <c r="J13" s="341">
        <v>6600</v>
      </c>
      <c r="K13" s="342">
        <v>0.85</v>
      </c>
      <c r="L13" s="342">
        <v>0.95</v>
      </c>
      <c r="M13" s="342">
        <f t="shared" si="1"/>
        <v>184.16816763723293</v>
      </c>
      <c r="N13" s="342">
        <f t="shared" si="2"/>
        <v>0</v>
      </c>
      <c r="O13" s="344" t="s">
        <v>933</v>
      </c>
      <c r="P13" s="342">
        <v>40</v>
      </c>
      <c r="Q13" s="342">
        <v>1</v>
      </c>
      <c r="R13" s="342">
        <v>111.88811188811189</v>
      </c>
      <c r="S13" s="344" t="s">
        <v>131</v>
      </c>
      <c r="T13" s="342" t="s">
        <v>333</v>
      </c>
      <c r="U13" s="344">
        <v>150</v>
      </c>
      <c r="V13" s="343" t="s">
        <v>171</v>
      </c>
      <c r="W13" s="343"/>
      <c r="X13" s="343" t="s">
        <v>923</v>
      </c>
      <c r="Y13" s="592">
        <v>453</v>
      </c>
      <c r="Z13" s="593">
        <v>0.128</v>
      </c>
      <c r="AA13" s="593">
        <v>8.4000000000000005E-2</v>
      </c>
      <c r="AB13" s="346">
        <f t="shared" si="47"/>
        <v>45</v>
      </c>
      <c r="AC13" s="346">
        <f>(12+15+40+58+40)+20</f>
        <v>185</v>
      </c>
      <c r="AD13" s="346">
        <v>15</v>
      </c>
      <c r="AE13" s="347">
        <f t="shared" si="48"/>
        <v>245</v>
      </c>
      <c r="AF13" s="592">
        <v>0.91</v>
      </c>
      <c r="AG13" s="594">
        <v>0.97</v>
      </c>
      <c r="AH13" s="592" t="s">
        <v>132</v>
      </c>
      <c r="AI13" s="592" t="s">
        <v>132</v>
      </c>
      <c r="AJ13" s="592" t="s">
        <v>132</v>
      </c>
      <c r="AK13" s="348">
        <v>0.88270000000000004</v>
      </c>
      <c r="AL13" s="342">
        <v>399.86310000000003</v>
      </c>
      <c r="AM13" s="595">
        <v>2</v>
      </c>
      <c r="AN13" s="350" t="s">
        <v>934</v>
      </c>
      <c r="AO13" s="596">
        <f t="shared" si="9"/>
        <v>9.0614971914335721E-2</v>
      </c>
      <c r="AP13" s="597" t="str">
        <f t="shared" si="10"/>
        <v>YES</v>
      </c>
      <c r="AQ13" s="598">
        <f t="shared" si="11"/>
        <v>28.186891234328488</v>
      </c>
      <c r="AR13" s="599">
        <f t="shared" si="12"/>
        <v>23415139.843311053</v>
      </c>
      <c r="AS13" s="596" t="str">
        <f t="shared" si="13"/>
        <v>NA</v>
      </c>
      <c r="AT13" s="596" t="str">
        <f t="shared" si="14"/>
        <v>NA</v>
      </c>
      <c r="AU13" s="351" t="str">
        <f t="shared" ref="AU13:AU31" si="51">IF(T13="1C",CONCATENATE(AM13,"R x ",X13,"kV x ",T13," x ",U13," Sqmm/Phase"),CONCATENATE(AM13,"R x ",0.6,"/1kV x ",T13," x ",U13," Sqmm"))</f>
        <v>2R x 0.6/1kV x 3C x 150 Sqmm</v>
      </c>
      <c r="AV13" s="343">
        <f t="shared" si="32"/>
        <v>490</v>
      </c>
      <c r="AW13" s="355">
        <f t="shared" si="29"/>
        <v>4</v>
      </c>
      <c r="AX13" s="348"/>
      <c r="AY13" s="600">
        <v>58</v>
      </c>
      <c r="AZ13" s="344">
        <f t="shared" si="50"/>
        <v>116</v>
      </c>
    </row>
    <row r="14" spans="1:53" ht="35.1" customHeight="1">
      <c r="A14" s="337">
        <f t="shared" si="49"/>
        <v>6</v>
      </c>
      <c r="B14" s="372" t="s">
        <v>935</v>
      </c>
      <c r="C14" s="337" t="s">
        <v>921</v>
      </c>
      <c r="D14" s="440"/>
      <c r="E14" s="440"/>
      <c r="F14" s="340" t="s">
        <v>51</v>
      </c>
      <c r="G14" s="350">
        <v>2000</v>
      </c>
      <c r="H14" s="337" t="s">
        <v>414</v>
      </c>
      <c r="I14" s="337" t="s">
        <v>922</v>
      </c>
      <c r="J14" s="341">
        <v>6600</v>
      </c>
      <c r="K14" s="342">
        <v>0.85</v>
      </c>
      <c r="L14" s="342">
        <v>0.95</v>
      </c>
      <c r="M14" s="342">
        <f t="shared" si="1"/>
        <v>184.16816763723293</v>
      </c>
      <c r="N14" s="342">
        <f t="shared" si="2"/>
        <v>0</v>
      </c>
      <c r="O14" s="344" t="s">
        <v>933</v>
      </c>
      <c r="P14" s="342">
        <v>40</v>
      </c>
      <c r="Q14" s="342">
        <v>1</v>
      </c>
      <c r="R14" s="342">
        <v>111.88811188811189</v>
      </c>
      <c r="S14" s="344" t="s">
        <v>131</v>
      </c>
      <c r="T14" s="342" t="s">
        <v>333</v>
      </c>
      <c r="U14" s="344">
        <v>150</v>
      </c>
      <c r="V14" s="343" t="s">
        <v>171</v>
      </c>
      <c r="W14" s="343"/>
      <c r="X14" s="343" t="s">
        <v>923</v>
      </c>
      <c r="Y14" s="592">
        <v>453</v>
      </c>
      <c r="Z14" s="593">
        <v>0.128</v>
      </c>
      <c r="AA14" s="593">
        <v>8.4000000000000005E-2</v>
      </c>
      <c r="AB14" s="346">
        <f t="shared" si="47"/>
        <v>45</v>
      </c>
      <c r="AC14" s="346">
        <f>(12+15+40+58+40)+20</f>
        <v>185</v>
      </c>
      <c r="AD14" s="346">
        <v>15</v>
      </c>
      <c r="AE14" s="347">
        <f t="shared" si="48"/>
        <v>245</v>
      </c>
      <c r="AF14" s="592">
        <v>0.91</v>
      </c>
      <c r="AG14" s="594">
        <v>0.97</v>
      </c>
      <c r="AH14" s="592" t="s">
        <v>132</v>
      </c>
      <c r="AI14" s="592" t="s">
        <v>132</v>
      </c>
      <c r="AJ14" s="592" t="s">
        <v>132</v>
      </c>
      <c r="AK14" s="348">
        <v>0.88270000000000004</v>
      </c>
      <c r="AL14" s="342">
        <v>399.86310000000003</v>
      </c>
      <c r="AM14" s="595">
        <v>2</v>
      </c>
      <c r="AN14" s="350" t="s">
        <v>934</v>
      </c>
      <c r="AO14" s="596">
        <f t="shared" si="9"/>
        <v>9.0614971914335721E-2</v>
      </c>
      <c r="AP14" s="597" t="str">
        <f t="shared" si="10"/>
        <v>YES</v>
      </c>
      <c r="AQ14" s="598">
        <f t="shared" si="11"/>
        <v>28.186891234328488</v>
      </c>
      <c r="AR14" s="599">
        <f t="shared" si="12"/>
        <v>23415139.843311053</v>
      </c>
      <c r="AS14" s="596" t="str">
        <f t="shared" si="13"/>
        <v>NA</v>
      </c>
      <c r="AT14" s="596" t="str">
        <f t="shared" si="14"/>
        <v>NA</v>
      </c>
      <c r="AU14" s="351" t="str">
        <f t="shared" si="51"/>
        <v>2R x 0.6/1kV x 3C x 150 Sqmm</v>
      </c>
      <c r="AV14" s="343">
        <f t="shared" si="32"/>
        <v>490</v>
      </c>
      <c r="AW14" s="355">
        <f t="shared" si="29"/>
        <v>4</v>
      </c>
      <c r="AX14" s="348"/>
      <c r="AY14" s="600">
        <v>58</v>
      </c>
      <c r="AZ14" s="344">
        <f t="shared" si="50"/>
        <v>116</v>
      </c>
    </row>
    <row r="15" spans="1:53" ht="35.1" customHeight="1">
      <c r="A15" s="337">
        <f t="shared" si="49"/>
        <v>7</v>
      </c>
      <c r="B15" s="372" t="s">
        <v>936</v>
      </c>
      <c r="C15" s="337" t="s">
        <v>921</v>
      </c>
      <c r="D15" s="440"/>
      <c r="E15" s="440"/>
      <c r="F15" s="340" t="s">
        <v>66</v>
      </c>
      <c r="G15" s="350">
        <v>1250</v>
      </c>
      <c r="H15" s="337" t="s">
        <v>414</v>
      </c>
      <c r="I15" s="337" t="s">
        <v>922</v>
      </c>
      <c r="J15" s="341">
        <v>6600</v>
      </c>
      <c r="K15" s="342">
        <v>0.85</v>
      </c>
      <c r="L15" s="342">
        <v>0.95</v>
      </c>
      <c r="M15" s="342">
        <f t="shared" si="1"/>
        <v>115.10510477327057</v>
      </c>
      <c r="N15" s="342">
        <f t="shared" si="2"/>
        <v>0</v>
      </c>
      <c r="O15" s="344" t="str">
        <f t="shared" ref="O15:O25" si="52">IF(F15="M",0.2,"0.00")</f>
        <v>0.00</v>
      </c>
      <c r="P15" s="342">
        <v>40</v>
      </c>
      <c r="Q15" s="342">
        <v>0.16</v>
      </c>
      <c r="R15" s="342">
        <f t="shared" ref="R15:R25" si="53">(P15*1000*SQRT(Q15)/143)</f>
        <v>111.88811188811189</v>
      </c>
      <c r="S15" s="344" t="s">
        <v>131</v>
      </c>
      <c r="T15" s="342" t="s">
        <v>333</v>
      </c>
      <c r="U15" s="344">
        <v>120</v>
      </c>
      <c r="V15" s="343" t="str">
        <f t="shared" ref="V15:V25" si="54">CONCATENATE(T15," X ",U15)</f>
        <v>3C X 120</v>
      </c>
      <c r="W15" s="343"/>
      <c r="X15" s="343" t="s">
        <v>923</v>
      </c>
      <c r="Y15" s="592">
        <f>IF(S15="AIR",VLOOKUP(V15,'Catalogue Aluminium'!$B$101:$G$130,2,FALSE),IF(S15="GROUND",VLOOKUP(V15,'Catalogue Aluminium'!$B$101:$G$130,3,FALSE),IF(S15="DUCT",VLOOKUP(V15,'Catalogue Aluminium'!$B$101:$G$130,4,FALSE),IF(S15="TRENCH",VLOOKUP(V15,'Catalogue Aluminium'!$B$101:$G$130,2,FALSE)))))</f>
        <v>274</v>
      </c>
      <c r="Z15" s="593">
        <f>VLOOKUP(V15,'Catalogue Aluminium'!$B$101:$G$130,5,FALSE)</f>
        <v>0.32500000000000001</v>
      </c>
      <c r="AA15" s="593">
        <f>VLOOKUP(V15,'Catalogue Aluminium'!$B$101:$G$130,6,FALSE)</f>
        <v>0.09</v>
      </c>
      <c r="AB15" s="346">
        <v>15</v>
      </c>
      <c r="AC15" s="346">
        <v>0</v>
      </c>
      <c r="AD15" s="346">
        <v>10</v>
      </c>
      <c r="AE15" s="347">
        <f t="shared" si="48"/>
        <v>25</v>
      </c>
      <c r="AF15" s="592">
        <f>IF(S15="AIR",'Catalogue Aluminium'!$K$101,IF(S15="TRENCH",'Catalogue Aluminium'!$K$104,"NA"))</f>
        <v>0.91</v>
      </c>
      <c r="AG15" s="594">
        <f>IF(S15="Air",(IF(T15="1C",'Catalogue Aluminium'!$L$101,'Catalogue Aluminium'!$M$101)),IF(S15="DUCT",(IF($T15="1C",'Catalogue Aluminium'!$L$102,'Catalogue Aluminium'!$M$102)),IF(S15="GROUND",(IF($T15="1C",'Catalogue Aluminium'!$L$103,'Catalogue Aluminium'!$M$103)),IF(S15="TRENCH",(IF($T15="1C",'Catalogue Aluminium'!$L$104,'Catalogue Aluminium'!$M$104))))))</f>
        <v>0.73</v>
      </c>
      <c r="AH15" s="592" t="str">
        <f>IF(S15="Air",'Catalogue Aluminium'!$N$101,IF(S15="GROUND",'Catalogue Aluminium'!$N$102,IF(S15="DUCT",'Catalogue Aluminium'!$N$103,IF(S15="TRENCH",'Catalogue Aluminium'!$N$104,"NA"))))</f>
        <v>NA</v>
      </c>
      <c r="AI15" s="592" t="str">
        <f>IF(S15="Air",(IF(T15="1C",'Catalogue Aluminium'!$O$101,'Catalogue Aluminium'!$P$101)),IF(S15="DUCT",(IF($T15="1C",'Catalogue Aluminium'!$O$102,'Catalogue Aluminium'!$P$102)),IF(S15="GROUND",(IF($T15="1C",'Catalogue Aluminium'!$O$103,'Catalogue Aluminium'!$P$103)),IF(S15="TRENCH",(IF($T15="1C",'Catalogue Aluminium'!$O$104,'Catalogue Aluminium'!$P$104))))))</f>
        <v>NA</v>
      </c>
      <c r="AJ15" s="592" t="str">
        <f>IF(S15="AIR","NA",IF(S15="TRENCH","NA",IF(S15="DUCT",IF(T15="1C",VLOOKUP(U15,'Catalogue Aluminium'!$Q$102:$S$113,2,FALSE),VLOOKUP(U15,'Catalogue Aluminium'!$Q$102:$S$113,3)),IF(S15="GROUND",IF(T15="1C",VLOOKUP(U15,'Catalogue Aluminium'!$Q$102:$S$113,2,FALSE),VLOOKUP(U15,'Catalogue Aluminium'!$Q$102:$S$113,3))))))</f>
        <v>NA</v>
      </c>
      <c r="AK15" s="348">
        <f t="shared" ref="AK15:AK25" si="55">IF(S15="AIR",AF15*AG15,IF(S15="TRENCH",AF15*AG15,IF(S15="DUCT",AG15*AH15*AI15*AJ15,IF(S15="GROUND",AG15*AH15*AI15*AJ15))))</f>
        <v>0.6643</v>
      </c>
      <c r="AL15" s="342">
        <f t="shared" ref="AL15:AL25" si="56">Y15*AK15</f>
        <v>182.01820000000001</v>
      </c>
      <c r="AM15" s="595">
        <f t="shared" ref="AM15:AM30" si="57">CEILING(((M15)/AL15),1)</f>
        <v>1</v>
      </c>
      <c r="AN15" s="350" t="str">
        <f t="shared" ref="AN15:AN25" si="58">IF(AL15*AM15&gt;=M15,"YES","NO")</f>
        <v>YES</v>
      </c>
      <c r="AO15" s="596">
        <f t="shared" si="9"/>
        <v>2.4442234572491072E-2</v>
      </c>
      <c r="AP15" s="597" t="str">
        <f t="shared" si="10"/>
        <v>YES</v>
      </c>
      <c r="AQ15" s="598">
        <f t="shared" si="11"/>
        <v>37.254969074462565</v>
      </c>
      <c r="AR15" s="599">
        <f t="shared" si="12"/>
        <v>8857878.7796178181</v>
      </c>
      <c r="AS15" s="596" t="str">
        <f t="shared" si="13"/>
        <v>NA</v>
      </c>
      <c r="AT15" s="596" t="str">
        <f t="shared" si="14"/>
        <v>NA</v>
      </c>
      <c r="AU15" s="351" t="str">
        <f t="shared" si="51"/>
        <v>1R x 0.6/1kV x 3C x 120 Sqmm</v>
      </c>
      <c r="AV15" s="343">
        <f>IF(T15="1C",(3*AE15*AM15),(AE15*AM15))</f>
        <v>25</v>
      </c>
      <c r="AW15" s="355">
        <f t="shared" si="29"/>
        <v>2</v>
      </c>
      <c r="AX15" s="348"/>
      <c r="AY15" s="600">
        <v>56</v>
      </c>
      <c r="AZ15" s="344">
        <f>AM15*AY15</f>
        <v>56</v>
      </c>
    </row>
    <row r="16" spans="1:53" ht="35.1" customHeight="1">
      <c r="A16" s="337">
        <f t="shared" si="49"/>
        <v>8</v>
      </c>
      <c r="B16" s="372" t="s">
        <v>937</v>
      </c>
      <c r="C16" s="337" t="s">
        <v>921</v>
      </c>
      <c r="D16" s="440"/>
      <c r="E16" s="440"/>
      <c r="F16" s="340" t="s">
        <v>66</v>
      </c>
      <c r="G16" s="350">
        <v>1250</v>
      </c>
      <c r="H16" s="337" t="s">
        <v>414</v>
      </c>
      <c r="I16" s="337" t="s">
        <v>922</v>
      </c>
      <c r="J16" s="341">
        <v>6600</v>
      </c>
      <c r="K16" s="342">
        <v>0.85</v>
      </c>
      <c r="L16" s="342">
        <v>0.95</v>
      </c>
      <c r="M16" s="342">
        <f t="shared" ref="M16" si="59">IF(H16="kVA",IF(I16="3Phase",(G16*1000/(1.732*L16*J16)),(G16*1000/(L16*J16))),IF(H16="kW",IF(I16="3Phase",(G16*1000/(1.732*L16*J16*K16)),(G16*1000/(L16*J16*K16)))))</f>
        <v>115.10510477327057</v>
      </c>
      <c r="N16" s="342">
        <f t="shared" ref="N16" si="60">IF(F16="M",IF(G16&gt;=600,6*M16,IF(G16&lt;600,6*M16)),0)</f>
        <v>0</v>
      </c>
      <c r="O16" s="344" t="str">
        <f t="shared" si="52"/>
        <v>0.00</v>
      </c>
      <c r="P16" s="342">
        <v>40</v>
      </c>
      <c r="Q16" s="342">
        <v>0.16</v>
      </c>
      <c r="R16" s="342">
        <f t="shared" si="53"/>
        <v>111.88811188811189</v>
      </c>
      <c r="S16" s="344" t="s">
        <v>131</v>
      </c>
      <c r="T16" s="342" t="s">
        <v>333</v>
      </c>
      <c r="U16" s="344">
        <v>120</v>
      </c>
      <c r="V16" s="343" t="str">
        <f t="shared" si="54"/>
        <v>3C X 120</v>
      </c>
      <c r="W16" s="343"/>
      <c r="X16" s="343" t="s">
        <v>923</v>
      </c>
      <c r="Y16" s="592">
        <f>IF(S16="AIR",VLOOKUP(V16,'Catalogue Aluminium'!$B$101:$G$130,2,FALSE),IF(S16="GROUND",VLOOKUP(V16,'Catalogue Aluminium'!$B$101:$G$130,3,FALSE),IF(S16="DUCT",VLOOKUP(V16,'Catalogue Aluminium'!$B$101:$G$130,4,FALSE),IF(S16="TRENCH",VLOOKUP(V16,'Catalogue Aluminium'!$B$101:$G$130,2,FALSE)))))</f>
        <v>274</v>
      </c>
      <c r="Z16" s="593">
        <f>VLOOKUP(V16,'Catalogue Aluminium'!$B$101:$G$130,5,FALSE)</f>
        <v>0.32500000000000001</v>
      </c>
      <c r="AA16" s="593">
        <f>VLOOKUP(V16,'Catalogue Aluminium'!$B$101:$G$130,6,FALSE)</f>
        <v>0.09</v>
      </c>
      <c r="AB16" s="346">
        <v>15</v>
      </c>
      <c r="AC16" s="346">
        <v>0</v>
      </c>
      <c r="AD16" s="346">
        <v>10</v>
      </c>
      <c r="AE16" s="347">
        <f t="shared" si="48"/>
        <v>25</v>
      </c>
      <c r="AF16" s="592">
        <f>IF(S16="AIR",'Catalogue Aluminium'!$K$101,IF(S16="TRENCH",'Catalogue Aluminium'!$K$104,"NA"))</f>
        <v>0.91</v>
      </c>
      <c r="AG16" s="594">
        <f>IF(S16="Air",(IF(T16="1C",'Catalogue Aluminium'!$L$101,'Catalogue Aluminium'!$M$101)),IF(S16="DUCT",(IF($T16="1C",'Catalogue Aluminium'!$L$102,'Catalogue Aluminium'!$M$102)),IF(S16="GROUND",(IF($T16="1C",'Catalogue Aluminium'!$L$103,'Catalogue Aluminium'!$M$103)),IF(S16="TRENCH",(IF($T16="1C",'Catalogue Aluminium'!$L$104,'Catalogue Aluminium'!$M$104))))))</f>
        <v>0.73</v>
      </c>
      <c r="AH16" s="592" t="str">
        <f>IF(S16="Air",'Catalogue Aluminium'!$N$101,IF(S16="GROUND",'Catalogue Aluminium'!$N$102,IF(S16="DUCT",'Catalogue Aluminium'!$N$103,IF(S16="TRENCH",'Catalogue Aluminium'!$N$104,"NA"))))</f>
        <v>NA</v>
      </c>
      <c r="AI16" s="592" t="str">
        <f>IF(S16="Air",(IF(T16="1C",'Catalogue Aluminium'!$O$101,'Catalogue Aluminium'!$P$101)),IF(S16="DUCT",(IF($T16="1C",'Catalogue Aluminium'!$O$102,'Catalogue Aluminium'!$P$102)),IF(S16="GROUND",(IF($T16="1C",'Catalogue Aluminium'!$O$103,'Catalogue Aluminium'!$P$103)),IF(S16="TRENCH",(IF($T16="1C",'Catalogue Aluminium'!$O$104,'Catalogue Aluminium'!$P$104))))))</f>
        <v>NA</v>
      </c>
      <c r="AJ16" s="592" t="str">
        <f>IF(S16="AIR","NA",IF(S16="TRENCH","NA",IF(S16="DUCT",IF(T16="1C",VLOOKUP(U16,'Catalogue Aluminium'!$Q$102:$S$113,2,FALSE),VLOOKUP(U16,'Catalogue Aluminium'!$Q$102:$S$113,3)),IF(S16="GROUND",IF(T16="1C",VLOOKUP(U16,'Catalogue Aluminium'!$Q$102:$S$113,2,FALSE),VLOOKUP(U16,'Catalogue Aluminium'!$Q$102:$S$113,3))))))</f>
        <v>NA</v>
      </c>
      <c r="AK16" s="348">
        <f t="shared" si="55"/>
        <v>0.6643</v>
      </c>
      <c r="AL16" s="342">
        <f t="shared" si="56"/>
        <v>182.01820000000001</v>
      </c>
      <c r="AM16" s="595">
        <f t="shared" si="57"/>
        <v>1</v>
      </c>
      <c r="AN16" s="350" t="str">
        <f t="shared" si="58"/>
        <v>YES</v>
      </c>
      <c r="AO16" s="596">
        <f t="shared" si="9"/>
        <v>2.4442234572491072E-2</v>
      </c>
      <c r="AP16" s="597" t="str">
        <f t="shared" si="10"/>
        <v>YES</v>
      </c>
      <c r="AQ16" s="598">
        <f t="shared" si="11"/>
        <v>37.254969074462565</v>
      </c>
      <c r="AR16" s="599">
        <f t="shared" si="12"/>
        <v>8857878.7796178181</v>
      </c>
      <c r="AS16" s="596" t="str">
        <f t="shared" si="13"/>
        <v>NA</v>
      </c>
      <c r="AT16" s="596" t="str">
        <f t="shared" si="14"/>
        <v>NA</v>
      </c>
      <c r="AU16" s="351" t="str">
        <f t="shared" si="51"/>
        <v>1R x 0.6/1kV x 3C x 120 Sqmm</v>
      </c>
      <c r="AV16" s="343">
        <f t="shared" si="32"/>
        <v>25</v>
      </c>
      <c r="AW16" s="355">
        <f t="shared" si="29"/>
        <v>2</v>
      </c>
      <c r="AX16" s="348"/>
      <c r="AY16" s="600">
        <v>56</v>
      </c>
      <c r="AZ16" s="344">
        <f t="shared" ref="AZ16:AZ31" si="61">AM16*AY16</f>
        <v>56</v>
      </c>
    </row>
    <row r="17" spans="1:53" ht="35.1" customHeight="1">
      <c r="A17" s="337">
        <f t="shared" si="49"/>
        <v>9</v>
      </c>
      <c r="B17" s="372" t="s">
        <v>938</v>
      </c>
      <c r="C17" s="337" t="s">
        <v>921</v>
      </c>
      <c r="D17" s="440"/>
      <c r="E17" s="440"/>
      <c r="F17" s="340" t="s">
        <v>66</v>
      </c>
      <c r="G17" s="350">
        <v>1250</v>
      </c>
      <c r="H17" s="337" t="s">
        <v>414</v>
      </c>
      <c r="I17" s="337" t="s">
        <v>922</v>
      </c>
      <c r="J17" s="341">
        <v>6600</v>
      </c>
      <c r="K17" s="342">
        <v>0.85</v>
      </c>
      <c r="L17" s="342">
        <v>0.95</v>
      </c>
      <c r="M17" s="342">
        <f t="shared" si="1"/>
        <v>115.10510477327057</v>
      </c>
      <c r="N17" s="342">
        <f t="shared" si="2"/>
        <v>0</v>
      </c>
      <c r="O17" s="344" t="str">
        <f t="shared" si="52"/>
        <v>0.00</v>
      </c>
      <c r="P17" s="342">
        <v>40</v>
      </c>
      <c r="Q17" s="342">
        <v>0.16</v>
      </c>
      <c r="R17" s="342">
        <f t="shared" si="53"/>
        <v>111.88811188811189</v>
      </c>
      <c r="S17" s="344" t="s">
        <v>131</v>
      </c>
      <c r="T17" s="342" t="s">
        <v>333</v>
      </c>
      <c r="U17" s="344">
        <v>120</v>
      </c>
      <c r="V17" s="343" t="str">
        <f t="shared" si="54"/>
        <v>3C X 120</v>
      </c>
      <c r="W17" s="343"/>
      <c r="X17" s="343" t="s">
        <v>923</v>
      </c>
      <c r="Y17" s="592">
        <f>IF(S17="AIR",VLOOKUP(V17,'Catalogue Aluminium'!$B$101:$G$130,2,FALSE),IF(S17="GROUND",VLOOKUP(V17,'Catalogue Aluminium'!$B$101:$G$130,3,FALSE),IF(S17="DUCT",VLOOKUP(V17,'Catalogue Aluminium'!$B$101:$G$130,4,FALSE),IF(S17="TRENCH",VLOOKUP(V17,'Catalogue Aluminium'!$B$101:$G$130,2,FALSE)))))</f>
        <v>274</v>
      </c>
      <c r="Z17" s="593">
        <f>VLOOKUP(V17,'Catalogue Aluminium'!$B$101:$G$130,5,FALSE)</f>
        <v>0.32500000000000001</v>
      </c>
      <c r="AA17" s="593">
        <f>VLOOKUP(V17,'Catalogue Aluminium'!$B$101:$G$130,6,FALSE)</f>
        <v>0.09</v>
      </c>
      <c r="AB17" s="346">
        <v>15</v>
      </c>
      <c r="AC17" s="346">
        <v>0</v>
      </c>
      <c r="AD17" s="346">
        <v>10</v>
      </c>
      <c r="AE17" s="347">
        <f t="shared" si="48"/>
        <v>25</v>
      </c>
      <c r="AF17" s="592">
        <f>IF(S17="AIR",'Catalogue Aluminium'!$K$101,IF(S17="TRENCH",'Catalogue Aluminium'!$K$104,"NA"))</f>
        <v>0.91</v>
      </c>
      <c r="AG17" s="594">
        <f>IF(S17="Air",(IF(T17="1C",'Catalogue Aluminium'!$L$101,'Catalogue Aluminium'!$M$101)),IF(S17="DUCT",(IF($T17="1C",'Catalogue Aluminium'!$L$102,'Catalogue Aluminium'!$M$102)),IF(S17="GROUND",(IF($T17="1C",'Catalogue Aluminium'!$L$103,'Catalogue Aluminium'!$M$103)),IF(S17="TRENCH",(IF($T17="1C",'Catalogue Aluminium'!$L$104,'Catalogue Aluminium'!$M$104))))))</f>
        <v>0.73</v>
      </c>
      <c r="AH17" s="592" t="str">
        <f>IF(S17="Air",'Catalogue Aluminium'!$N$101,IF(S17="GROUND",'Catalogue Aluminium'!$N$102,IF(S17="DUCT",'Catalogue Aluminium'!$N$103,IF(S17="TRENCH",'Catalogue Aluminium'!$N$104,"NA"))))</f>
        <v>NA</v>
      </c>
      <c r="AI17" s="592" t="str">
        <f>IF(S17="Air",(IF(T17="1C",'Catalogue Aluminium'!$O$101,'Catalogue Aluminium'!$P$101)),IF(S17="DUCT",(IF($T17="1C",'Catalogue Aluminium'!$O$102,'Catalogue Aluminium'!$P$102)),IF(S17="GROUND",(IF($T17="1C",'Catalogue Aluminium'!$O$103,'Catalogue Aluminium'!$P$103)),IF(S17="TRENCH",(IF($T17="1C",'Catalogue Aluminium'!$O$104,'Catalogue Aluminium'!$P$104))))))</f>
        <v>NA</v>
      </c>
      <c r="AJ17" s="592" t="str">
        <f>IF(S17="AIR","NA",IF(S17="TRENCH","NA",IF(S17="DUCT",IF(T17="1C",VLOOKUP(U17,'Catalogue Aluminium'!$Q$102:$S$113,2,FALSE),VLOOKUP(U17,'Catalogue Aluminium'!$Q$102:$S$113,3)),IF(S17="GROUND",IF(T17="1C",VLOOKUP(U17,'Catalogue Aluminium'!$Q$102:$S$113,2,FALSE),VLOOKUP(U17,'Catalogue Aluminium'!$Q$102:$S$113,3))))))</f>
        <v>NA</v>
      </c>
      <c r="AK17" s="348">
        <f t="shared" si="55"/>
        <v>0.6643</v>
      </c>
      <c r="AL17" s="342">
        <f t="shared" si="56"/>
        <v>182.01820000000001</v>
      </c>
      <c r="AM17" s="595">
        <f t="shared" si="57"/>
        <v>1</v>
      </c>
      <c r="AN17" s="350" t="str">
        <f t="shared" si="58"/>
        <v>YES</v>
      </c>
      <c r="AO17" s="596">
        <f t="shared" si="9"/>
        <v>2.4442234572491072E-2</v>
      </c>
      <c r="AP17" s="597" t="str">
        <f t="shared" si="10"/>
        <v>YES</v>
      </c>
      <c r="AQ17" s="598">
        <f t="shared" si="11"/>
        <v>37.254969074462565</v>
      </c>
      <c r="AR17" s="599">
        <f t="shared" si="12"/>
        <v>8857878.7796178181</v>
      </c>
      <c r="AS17" s="596" t="str">
        <f t="shared" si="13"/>
        <v>NA</v>
      </c>
      <c r="AT17" s="596" t="str">
        <f t="shared" si="14"/>
        <v>NA</v>
      </c>
      <c r="AU17" s="351" t="str">
        <f t="shared" si="51"/>
        <v>1R x 0.6/1kV x 3C x 120 Sqmm</v>
      </c>
      <c r="AV17" s="343">
        <f t="shared" si="32"/>
        <v>25</v>
      </c>
      <c r="AW17" s="355">
        <f t="shared" si="29"/>
        <v>2</v>
      </c>
      <c r="AX17" s="348"/>
      <c r="AY17" s="600">
        <v>56</v>
      </c>
      <c r="AZ17" s="344">
        <f t="shared" si="61"/>
        <v>56</v>
      </c>
    </row>
    <row r="18" spans="1:53" ht="35.1" customHeight="1">
      <c r="A18" s="337">
        <f t="shared" si="49"/>
        <v>10</v>
      </c>
      <c r="B18" s="372" t="s">
        <v>939</v>
      </c>
      <c r="C18" s="337" t="s">
        <v>921</v>
      </c>
      <c r="D18" s="440"/>
      <c r="E18" s="440"/>
      <c r="F18" s="340" t="s">
        <v>66</v>
      </c>
      <c r="G18" s="350">
        <v>1250</v>
      </c>
      <c r="H18" s="337" t="s">
        <v>414</v>
      </c>
      <c r="I18" s="337" t="s">
        <v>922</v>
      </c>
      <c r="J18" s="341">
        <v>6600</v>
      </c>
      <c r="K18" s="342">
        <v>0.85</v>
      </c>
      <c r="L18" s="342">
        <v>0.95</v>
      </c>
      <c r="M18" s="342">
        <f t="shared" si="1"/>
        <v>115.10510477327057</v>
      </c>
      <c r="N18" s="342">
        <f t="shared" si="2"/>
        <v>0</v>
      </c>
      <c r="O18" s="344" t="str">
        <f t="shared" ref="O18:O21" si="62">IF(F18="M",0.2,"0.00")</f>
        <v>0.00</v>
      </c>
      <c r="P18" s="342">
        <v>40</v>
      </c>
      <c r="Q18" s="342">
        <v>0.16</v>
      </c>
      <c r="R18" s="342">
        <f t="shared" ref="R18:R21" si="63">(P18*1000*SQRT(Q18)/143)</f>
        <v>111.88811188811189</v>
      </c>
      <c r="S18" s="344" t="s">
        <v>131</v>
      </c>
      <c r="T18" s="342" t="s">
        <v>333</v>
      </c>
      <c r="U18" s="344">
        <v>120</v>
      </c>
      <c r="V18" s="343" t="str">
        <f t="shared" ref="V18:V21" si="64">CONCATENATE(T18," X ",U18)</f>
        <v>3C X 120</v>
      </c>
      <c r="W18" s="343"/>
      <c r="X18" s="343" t="s">
        <v>923</v>
      </c>
      <c r="Y18" s="592">
        <f>IF(S18="AIR",VLOOKUP(V18,'Catalogue Aluminium'!$B$101:$G$130,2,FALSE),IF(S18="GROUND",VLOOKUP(V18,'Catalogue Aluminium'!$B$101:$G$130,3,FALSE),IF(S18="DUCT",VLOOKUP(V18,'Catalogue Aluminium'!$B$101:$G$130,4,FALSE),IF(S18="TRENCH",VLOOKUP(V18,'Catalogue Aluminium'!$B$101:$G$130,2,FALSE)))))</f>
        <v>274</v>
      </c>
      <c r="Z18" s="593">
        <f>VLOOKUP(V18,'Catalogue Aluminium'!$B$101:$G$130,5,FALSE)</f>
        <v>0.32500000000000001</v>
      </c>
      <c r="AA18" s="593">
        <f>VLOOKUP(V18,'Catalogue Aluminium'!$B$101:$G$130,6,FALSE)</f>
        <v>0.09</v>
      </c>
      <c r="AB18" s="346">
        <v>15</v>
      </c>
      <c r="AC18" s="346">
        <v>0</v>
      </c>
      <c r="AD18" s="346">
        <v>10</v>
      </c>
      <c r="AE18" s="347">
        <f t="shared" si="48"/>
        <v>25</v>
      </c>
      <c r="AF18" s="592">
        <f>IF(S18="AIR",'Catalogue Aluminium'!$K$101,IF(S18="TRENCH",'Catalogue Aluminium'!$K$104,"NA"))</f>
        <v>0.91</v>
      </c>
      <c r="AG18" s="594">
        <f>IF(S18="Air",(IF(T18="1C",'Catalogue Aluminium'!$L$101,'Catalogue Aluminium'!$M$101)),IF(S18="DUCT",(IF($T18="1C",'Catalogue Aluminium'!$L$102,'Catalogue Aluminium'!$M$102)),IF(S18="GROUND",(IF($T18="1C",'Catalogue Aluminium'!$L$103,'Catalogue Aluminium'!$M$103)),IF(S18="TRENCH",(IF($T18="1C",'Catalogue Aluminium'!$L$104,'Catalogue Aluminium'!$M$104))))))</f>
        <v>0.73</v>
      </c>
      <c r="AH18" s="592" t="str">
        <f>IF(S18="Air",'Catalogue Aluminium'!$N$101,IF(S18="GROUND",'Catalogue Aluminium'!$N$102,IF(S18="DUCT",'Catalogue Aluminium'!$N$103,IF(S18="TRENCH",'Catalogue Aluminium'!$N$104,"NA"))))</f>
        <v>NA</v>
      </c>
      <c r="AI18" s="592" t="str">
        <f>IF(S18="Air",(IF(T18="1C",'Catalogue Aluminium'!$O$101,'Catalogue Aluminium'!$P$101)),IF(S18="DUCT",(IF($T18="1C",'Catalogue Aluminium'!$O$102,'Catalogue Aluminium'!$P$102)),IF(S18="GROUND",(IF($T18="1C",'Catalogue Aluminium'!$O$103,'Catalogue Aluminium'!$P$103)),IF(S18="TRENCH",(IF($T18="1C",'Catalogue Aluminium'!$O$104,'Catalogue Aluminium'!$P$104))))))</f>
        <v>NA</v>
      </c>
      <c r="AJ18" s="592" t="str">
        <f>IF(S18="AIR","NA",IF(S18="TRENCH","NA",IF(S18="DUCT",IF(T18="1C",VLOOKUP(U18,'Catalogue Aluminium'!$Q$102:$S$113,2,FALSE),VLOOKUP(U18,'Catalogue Aluminium'!$Q$102:$S$113,3)),IF(S18="GROUND",IF(T18="1C",VLOOKUP(U18,'Catalogue Aluminium'!$Q$102:$S$113,2,FALSE),VLOOKUP(U18,'Catalogue Aluminium'!$Q$102:$S$113,3))))))</f>
        <v>NA</v>
      </c>
      <c r="AK18" s="348">
        <f t="shared" ref="AK18:AK21" si="65">IF(S18="AIR",AF18*AG18,IF(S18="TRENCH",AF18*AG18,IF(S18="DUCT",AG18*AH18*AI18*AJ18,IF(S18="GROUND",AG18*AH18*AI18*AJ18))))</f>
        <v>0.6643</v>
      </c>
      <c r="AL18" s="342">
        <f t="shared" ref="AL18:AL21" si="66">Y18*AK18</f>
        <v>182.01820000000001</v>
      </c>
      <c r="AM18" s="595">
        <f t="shared" si="57"/>
        <v>1</v>
      </c>
      <c r="AN18" s="350" t="str">
        <f t="shared" ref="AN18:AN21" si="67">IF(AL18*AM18&gt;=M18,"YES","NO")</f>
        <v>YES</v>
      </c>
      <c r="AO18" s="596">
        <f t="shared" si="9"/>
        <v>2.4442234572491072E-2</v>
      </c>
      <c r="AP18" s="597" t="str">
        <f t="shared" si="10"/>
        <v>YES</v>
      </c>
      <c r="AQ18" s="598">
        <f t="shared" si="11"/>
        <v>37.254969074462565</v>
      </c>
      <c r="AR18" s="599">
        <f t="shared" si="12"/>
        <v>8857878.7796178181</v>
      </c>
      <c r="AS18" s="596" t="str">
        <f t="shared" si="13"/>
        <v>NA</v>
      </c>
      <c r="AT18" s="596" t="str">
        <f t="shared" si="14"/>
        <v>NA</v>
      </c>
      <c r="AU18" s="351" t="str">
        <f t="shared" si="51"/>
        <v>1R x 0.6/1kV x 3C x 120 Sqmm</v>
      </c>
      <c r="AV18" s="343">
        <f t="shared" si="32"/>
        <v>25</v>
      </c>
      <c r="AW18" s="355">
        <f t="shared" si="29"/>
        <v>2</v>
      </c>
      <c r="AX18" s="348"/>
      <c r="AY18" s="600">
        <v>56</v>
      </c>
      <c r="AZ18" s="344">
        <f t="shared" si="61"/>
        <v>56</v>
      </c>
    </row>
    <row r="19" spans="1:53" s="39" customFormat="1" ht="35.1" customHeight="1">
      <c r="A19" s="394">
        <f t="shared" si="49"/>
        <v>11</v>
      </c>
      <c r="B19" s="602" t="s">
        <v>936</v>
      </c>
      <c r="C19" s="394" t="s">
        <v>921</v>
      </c>
      <c r="D19" s="603"/>
      <c r="E19" s="603"/>
      <c r="F19" s="604" t="s">
        <v>66</v>
      </c>
      <c r="G19" s="576">
        <v>720</v>
      </c>
      <c r="H19" s="394" t="s">
        <v>414</v>
      </c>
      <c r="I19" s="394" t="s">
        <v>922</v>
      </c>
      <c r="J19" s="605">
        <v>6600</v>
      </c>
      <c r="K19" s="606">
        <v>0.86</v>
      </c>
      <c r="L19" s="606">
        <v>1</v>
      </c>
      <c r="M19" s="392">
        <v>55.11</v>
      </c>
      <c r="N19" s="606">
        <f t="shared" ref="N19:N22" si="68">IF(F19="M",IF(G19&gt;=600,6*M19,IF(G19&lt;600,6*M19)),0)</f>
        <v>0</v>
      </c>
      <c r="O19" s="607" t="str">
        <f t="shared" si="62"/>
        <v>0.00</v>
      </c>
      <c r="P19" s="606">
        <v>0</v>
      </c>
      <c r="Q19" s="606">
        <v>0.16</v>
      </c>
      <c r="R19" s="606">
        <f>(P19*1000*SQRT(Q19)/94)</f>
        <v>0</v>
      </c>
      <c r="S19" s="607" t="s">
        <v>131</v>
      </c>
      <c r="T19" s="606" t="s">
        <v>333</v>
      </c>
      <c r="U19" s="607">
        <v>185</v>
      </c>
      <c r="V19" s="524" t="str">
        <f t="shared" si="64"/>
        <v>3C X 185</v>
      </c>
      <c r="W19" s="524"/>
      <c r="X19" s="524" t="s">
        <v>923</v>
      </c>
      <c r="Y19" s="607">
        <f>IF(S19="AIR",VLOOKUP(V19,'Catalogue Aluminium'!$B$101:$G$130,2,FALSE),IF(S19="GROUND",VLOOKUP(V19,'Catalogue Aluminium'!$B$101:$G$130,3,FALSE),IF(S19="DUCT",VLOOKUP(V19,'Catalogue Aluminium'!$B$101:$G$130,4,FALSE),IF(S19="TRENCH",VLOOKUP(V19,'Catalogue Aluminium'!$B$101:$G$130,2,FALSE)))))</f>
        <v>354</v>
      </c>
      <c r="Z19" s="608">
        <v>0.72299999999999998</v>
      </c>
      <c r="AA19" s="608">
        <v>8.4000000000000005E-2</v>
      </c>
      <c r="AB19" s="609">
        <v>15</v>
      </c>
      <c r="AC19" s="609">
        <v>0</v>
      </c>
      <c r="AD19" s="609">
        <v>10</v>
      </c>
      <c r="AE19" s="610">
        <v>225</v>
      </c>
      <c r="AF19" s="607">
        <f>IF(S19="AIR",'Catalogue Aluminium'!$K$101,IF(S19="TRENCH",'Catalogue Aluminium'!$K$104,"NA"))</f>
        <v>0.91</v>
      </c>
      <c r="AG19" s="606">
        <f>IF(S19="Air",(IF(T19="1C",'Catalogue Aluminium'!$L$101,'Catalogue Aluminium'!$M$101)),IF(S19="DUCT",(IF($T19="1C",'Catalogue Aluminium'!$L$102,'Catalogue Aluminium'!$M$102)),IF(S19="GROUND",(IF($T19="1C",'Catalogue Aluminium'!$L$103,'Catalogue Aluminium'!$M$103)),IF(S19="TRENCH",(IF($T19="1C",'Catalogue Aluminium'!$L$104,'Catalogue Aluminium'!$M$104))))))</f>
        <v>0.73</v>
      </c>
      <c r="AH19" s="607" t="str">
        <f>IF(S19="Air",'Catalogue Aluminium'!$N$101,IF(S19="GROUND",'Catalogue Aluminium'!$N$102,IF(S19="DUCT",'Catalogue Aluminium'!$N$103,IF(S19="TRENCH",'Catalogue Aluminium'!$N$104,"NA"))))</f>
        <v>NA</v>
      </c>
      <c r="AI19" s="607" t="str">
        <f>IF(S19="Air",(IF(T19="1C",'Catalogue Aluminium'!$O$101,'Catalogue Aluminium'!$P$101)),IF(S19="DUCT",(IF($T19="1C",'Catalogue Aluminium'!$O$102,'Catalogue Aluminium'!$P$102)),IF(S19="GROUND",(IF($T19="1C",'Catalogue Aluminium'!$O$103,'Catalogue Aluminium'!$P$103)),IF(S19="TRENCH",(IF($T19="1C",'Catalogue Aluminium'!$O$104,'Catalogue Aluminium'!$P$104))))))</f>
        <v>NA</v>
      </c>
      <c r="AJ19" s="607" t="str">
        <f>IF(S19="AIR","NA",IF(S19="TRENCH","NA",IF(S19="DUCT",IF(T19="1C",VLOOKUP(U19,'Catalogue Aluminium'!$Q$102:$S$113,2,FALSE),VLOOKUP(U19,'Catalogue Aluminium'!$Q$102:$S$113,3)),IF(S19="GROUND",IF(T19="1C",VLOOKUP(U19,'Catalogue Aluminium'!$Q$102:$S$113,2,FALSE),VLOOKUP(U19,'Catalogue Aluminium'!$Q$102:$S$113,3))))))</f>
        <v>NA</v>
      </c>
      <c r="AK19" s="611">
        <f t="shared" si="65"/>
        <v>0.6643</v>
      </c>
      <c r="AL19" s="606">
        <v>76.56</v>
      </c>
      <c r="AM19" s="612">
        <f t="shared" ref="AM19:AM22" si="69">CEILING(((M19)/AL19),1)</f>
        <v>1</v>
      </c>
      <c r="AN19" s="576" t="str">
        <f t="shared" si="67"/>
        <v>YES</v>
      </c>
      <c r="AO19" s="497">
        <f t="shared" si="9"/>
        <v>0.21628139700233245</v>
      </c>
      <c r="AP19" s="524" t="str">
        <f t="shared" ref="AP19:AP22" si="70">IF(F19="I",(IF(AO19&lt;=2,"YES","NO")),IF(F19="P",(IF(AO19&lt;=2,"YES","NO")),IF(F19="M",(IF(AO19&lt;=3,"YES","NO")))))</f>
        <v>YES</v>
      </c>
      <c r="AQ19" s="352">
        <f t="shared" ref="AQ19:AQ22" si="71">M19*((Z19*K19) + (AA19*SIN(ACOS(K19))))</f>
        <v>36.628569348801463</v>
      </c>
      <c r="AR19" s="353">
        <f t="shared" ref="AR19:AR22" si="72">(5*1000*AM19*J19*10)/(AQ19)</f>
        <v>9009360.885966409</v>
      </c>
      <c r="AS19" s="497" t="str">
        <f t="shared" ref="AS19:AS22" si="73">IF(F19="M",(SQRT(3)*AE19*N19*((Z19*K19)+(AA19*SIN(ACOS(K19))))*100/(AM19*J19*1000)),"NA")</f>
        <v>NA</v>
      </c>
      <c r="AT19" s="497" t="str">
        <f t="shared" ref="AT19:AT22" si="74">IF(F19="M",IF(AS19&lt;=10,"YES","NO"),"NA")</f>
        <v>NA</v>
      </c>
      <c r="AU19" s="497" t="str">
        <f t="shared" si="51"/>
        <v>1R x 0.6/1kV x 3C x 185 Sqmm</v>
      </c>
      <c r="AV19" s="524">
        <f t="shared" ref="AV19:AV22" si="75">IF(T19="1C",(3*AE19*AM19),(AE19*AM19))</f>
        <v>225</v>
      </c>
      <c r="AW19" s="613">
        <f t="shared" si="29"/>
        <v>2</v>
      </c>
      <c r="AX19" s="611"/>
      <c r="AY19" s="614">
        <v>56</v>
      </c>
      <c r="AZ19" s="607">
        <f t="shared" si="61"/>
        <v>56</v>
      </c>
    </row>
    <row r="20" spans="1:53" ht="35.1" customHeight="1">
      <c r="A20" s="337">
        <f t="shared" si="49"/>
        <v>12</v>
      </c>
      <c r="B20" s="372" t="s">
        <v>937</v>
      </c>
      <c r="C20" s="337" t="s">
        <v>921</v>
      </c>
      <c r="D20" s="440"/>
      <c r="E20" s="440"/>
      <c r="F20" s="340" t="s">
        <v>66</v>
      </c>
      <c r="G20" s="350">
        <v>1250</v>
      </c>
      <c r="H20" s="337" t="s">
        <v>414</v>
      </c>
      <c r="I20" s="337" t="s">
        <v>922</v>
      </c>
      <c r="J20" s="341">
        <v>6600</v>
      </c>
      <c r="K20" s="342">
        <v>0.85</v>
      </c>
      <c r="L20" s="342">
        <v>0.95</v>
      </c>
      <c r="M20" s="342">
        <f t="shared" ref="M20:M22" si="76">IF(H20="kVA",IF(I20="3Phase",(G20*1000/(1.732*L20*J20)),(G20*1000/(L20*J20))),IF(H20="kW",IF(I20="3Phase",(G20*1000/(1.732*L20*J20*K20)),(G20*1000/(L20*J20*K20)))))</f>
        <v>115.10510477327057</v>
      </c>
      <c r="N20" s="342">
        <f t="shared" si="68"/>
        <v>0</v>
      </c>
      <c r="O20" s="344" t="str">
        <f t="shared" si="62"/>
        <v>0.00</v>
      </c>
      <c r="P20" s="342">
        <v>40</v>
      </c>
      <c r="Q20" s="342">
        <v>0.16</v>
      </c>
      <c r="R20" s="342">
        <f t="shared" si="63"/>
        <v>111.88811188811189</v>
      </c>
      <c r="S20" s="344" t="s">
        <v>131</v>
      </c>
      <c r="T20" s="342" t="s">
        <v>333</v>
      </c>
      <c r="U20" s="344">
        <v>120</v>
      </c>
      <c r="V20" s="343" t="str">
        <f t="shared" si="64"/>
        <v>3C X 120</v>
      </c>
      <c r="W20" s="343"/>
      <c r="X20" s="343" t="s">
        <v>923</v>
      </c>
      <c r="Y20" s="344">
        <f>IF(S20="AIR",VLOOKUP(V20,'Catalogue Aluminium'!$B$101:$G$130,2,FALSE),IF(S20="GROUND",VLOOKUP(V20,'Catalogue Aluminium'!$B$101:$G$130,3,FALSE),IF(S20="DUCT",VLOOKUP(V20,'Catalogue Aluminium'!$B$101:$G$130,4,FALSE),IF(S20="TRENCH",VLOOKUP(V20,'Catalogue Aluminium'!$B$101:$G$130,2,FALSE)))))</f>
        <v>274</v>
      </c>
      <c r="Z20" s="345">
        <f>VLOOKUP(V20,'Catalogue Aluminium'!$B$101:$G$130,5,FALSE)</f>
        <v>0.32500000000000001</v>
      </c>
      <c r="AA20" s="345">
        <f>VLOOKUP(V20,'Catalogue Aluminium'!$B$101:$G$130,6,FALSE)</f>
        <v>0.09</v>
      </c>
      <c r="AB20" s="346">
        <v>15</v>
      </c>
      <c r="AC20" s="346">
        <v>0</v>
      </c>
      <c r="AD20" s="346">
        <v>10</v>
      </c>
      <c r="AE20" s="347">
        <f t="shared" ref="AE20:AE22" si="77">SUM(AB20:AD20)</f>
        <v>25</v>
      </c>
      <c r="AF20" s="344">
        <f>IF(S20="AIR",'Catalogue Aluminium'!$K$101,IF(S20="TRENCH",'Catalogue Aluminium'!$K$104,"NA"))</f>
        <v>0.91</v>
      </c>
      <c r="AG20" s="342">
        <f>IF(S20="Air",(IF(T20="1C",'Catalogue Aluminium'!$L$101,'Catalogue Aluminium'!$M$101)),IF(S20="DUCT",(IF($T20="1C",'Catalogue Aluminium'!$L$102,'Catalogue Aluminium'!$M$102)),IF(S20="GROUND",(IF($T20="1C",'Catalogue Aluminium'!$L$103,'Catalogue Aluminium'!$M$103)),IF(S20="TRENCH",(IF($T20="1C",'Catalogue Aluminium'!$L$104,'Catalogue Aluminium'!$M$104))))))</f>
        <v>0.73</v>
      </c>
      <c r="AH20" s="344" t="str">
        <f>IF(S20="Air",'Catalogue Aluminium'!$N$101,IF(S20="GROUND",'Catalogue Aluminium'!$N$102,IF(S20="DUCT",'Catalogue Aluminium'!$N$103,IF(S20="TRENCH",'Catalogue Aluminium'!$N$104,"NA"))))</f>
        <v>NA</v>
      </c>
      <c r="AI20" s="344" t="str">
        <f>IF(S20="Air",(IF(T20="1C",'Catalogue Aluminium'!$O$101,'Catalogue Aluminium'!$P$101)),IF(S20="DUCT",(IF($T20="1C",'Catalogue Aluminium'!$O$102,'Catalogue Aluminium'!$P$102)),IF(S20="GROUND",(IF($T20="1C",'Catalogue Aluminium'!$O$103,'Catalogue Aluminium'!$P$103)),IF(S20="TRENCH",(IF($T20="1C",'Catalogue Aluminium'!$O$104,'Catalogue Aluminium'!$P$104))))))</f>
        <v>NA</v>
      </c>
      <c r="AJ20" s="344" t="str">
        <f>IF(S20="AIR","NA",IF(S20="TRENCH","NA",IF(S20="DUCT",IF(T20="1C",VLOOKUP(U20,'Catalogue Aluminium'!$Q$102:$S$113,2,FALSE),VLOOKUP(U20,'Catalogue Aluminium'!$Q$102:$S$113,3)),IF(S20="GROUND",IF(T20="1C",VLOOKUP(U20,'Catalogue Aluminium'!$Q$102:$S$113,2,FALSE),VLOOKUP(U20,'Catalogue Aluminium'!$Q$102:$S$113,3))))))</f>
        <v>NA</v>
      </c>
      <c r="AK20" s="348">
        <f t="shared" si="65"/>
        <v>0.6643</v>
      </c>
      <c r="AL20" s="342">
        <f t="shared" si="66"/>
        <v>182.01820000000001</v>
      </c>
      <c r="AM20" s="595">
        <f t="shared" si="69"/>
        <v>1</v>
      </c>
      <c r="AN20" s="350" t="str">
        <f t="shared" si="67"/>
        <v>YES</v>
      </c>
      <c r="AO20" s="351">
        <f t="shared" ref="AO20:AO22" si="78">SQRT(3)*AE20*M20*((Z20*K20)+(AA20*SIN(ACOS(K20))))*100/(AM20*J20*1000)</f>
        <v>2.4442234572491072E-2</v>
      </c>
      <c r="AP20" s="343" t="str">
        <f t="shared" si="70"/>
        <v>YES</v>
      </c>
      <c r="AQ20" s="428">
        <f t="shared" si="71"/>
        <v>37.254969074462565</v>
      </c>
      <c r="AR20" s="429">
        <f t="shared" si="72"/>
        <v>8857878.7796178181</v>
      </c>
      <c r="AS20" s="351" t="str">
        <f t="shared" si="73"/>
        <v>NA</v>
      </c>
      <c r="AT20" s="351" t="str">
        <f t="shared" si="74"/>
        <v>NA</v>
      </c>
      <c r="AU20" s="351" t="str">
        <f t="shared" si="51"/>
        <v>1R x 0.6/1kV x 3C x 120 Sqmm</v>
      </c>
      <c r="AV20" s="343">
        <f t="shared" si="75"/>
        <v>25</v>
      </c>
      <c r="AW20" s="355">
        <f t="shared" si="29"/>
        <v>2</v>
      </c>
      <c r="AX20" s="348"/>
      <c r="AY20" s="615">
        <v>56</v>
      </c>
      <c r="AZ20" s="344">
        <f t="shared" si="61"/>
        <v>56</v>
      </c>
    </row>
    <row r="21" spans="1:53" ht="35.1" customHeight="1">
      <c r="A21" s="337">
        <f t="shared" si="49"/>
        <v>13</v>
      </c>
      <c r="B21" s="372" t="s">
        <v>938</v>
      </c>
      <c r="C21" s="337" t="s">
        <v>921</v>
      </c>
      <c r="D21" s="440"/>
      <c r="E21" s="440"/>
      <c r="F21" s="340" t="s">
        <v>66</v>
      </c>
      <c r="G21" s="350">
        <v>1250</v>
      </c>
      <c r="H21" s="337" t="s">
        <v>414</v>
      </c>
      <c r="I21" s="337" t="s">
        <v>922</v>
      </c>
      <c r="J21" s="341">
        <v>6600</v>
      </c>
      <c r="K21" s="342">
        <v>0.85</v>
      </c>
      <c r="L21" s="342">
        <v>0.95</v>
      </c>
      <c r="M21" s="342">
        <f t="shared" si="76"/>
        <v>115.10510477327057</v>
      </c>
      <c r="N21" s="342">
        <f t="shared" si="68"/>
        <v>0</v>
      </c>
      <c r="O21" s="344" t="str">
        <f t="shared" si="62"/>
        <v>0.00</v>
      </c>
      <c r="P21" s="342">
        <v>40</v>
      </c>
      <c r="Q21" s="342">
        <v>0.16</v>
      </c>
      <c r="R21" s="342">
        <f t="shared" si="63"/>
        <v>111.88811188811189</v>
      </c>
      <c r="S21" s="344" t="s">
        <v>131</v>
      </c>
      <c r="T21" s="342" t="s">
        <v>333</v>
      </c>
      <c r="U21" s="344">
        <v>120</v>
      </c>
      <c r="V21" s="343" t="str">
        <f t="shared" si="64"/>
        <v>3C X 120</v>
      </c>
      <c r="W21" s="343"/>
      <c r="X21" s="343" t="s">
        <v>923</v>
      </c>
      <c r="Y21" s="344">
        <f>IF(S21="AIR",VLOOKUP(V21,'Catalogue Aluminium'!$B$101:$G$130,2,FALSE),IF(S21="GROUND",VLOOKUP(V21,'Catalogue Aluminium'!$B$101:$G$130,3,FALSE),IF(S21="DUCT",VLOOKUP(V21,'Catalogue Aluminium'!$B$101:$G$130,4,FALSE),IF(S21="TRENCH",VLOOKUP(V21,'Catalogue Aluminium'!$B$101:$G$130,2,FALSE)))))</f>
        <v>274</v>
      </c>
      <c r="Z21" s="345">
        <f>VLOOKUP(V21,'Catalogue Aluminium'!$B$101:$G$130,5,FALSE)</f>
        <v>0.32500000000000001</v>
      </c>
      <c r="AA21" s="345">
        <f>VLOOKUP(V21,'Catalogue Aluminium'!$B$101:$G$130,6,FALSE)</f>
        <v>0.09</v>
      </c>
      <c r="AB21" s="346">
        <v>15</v>
      </c>
      <c r="AC21" s="346">
        <v>0</v>
      </c>
      <c r="AD21" s="346">
        <v>10</v>
      </c>
      <c r="AE21" s="347">
        <f t="shared" si="77"/>
        <v>25</v>
      </c>
      <c r="AF21" s="344">
        <f>IF(S21="AIR",'Catalogue Aluminium'!$K$101,IF(S21="TRENCH",'Catalogue Aluminium'!$K$104,"NA"))</f>
        <v>0.91</v>
      </c>
      <c r="AG21" s="342">
        <f>IF(S21="Air",(IF(T21="1C",'Catalogue Aluminium'!$L$101,'Catalogue Aluminium'!$M$101)),IF(S21="DUCT",(IF($T21="1C",'Catalogue Aluminium'!$L$102,'Catalogue Aluminium'!$M$102)),IF(S21="GROUND",(IF($T21="1C",'Catalogue Aluminium'!$L$103,'Catalogue Aluminium'!$M$103)),IF(S21="TRENCH",(IF($T21="1C",'Catalogue Aluminium'!$L$104,'Catalogue Aluminium'!$M$104))))))</f>
        <v>0.73</v>
      </c>
      <c r="AH21" s="344" t="str">
        <f>IF(S21="Air",'Catalogue Aluminium'!$N$101,IF(S21="GROUND",'Catalogue Aluminium'!$N$102,IF(S21="DUCT",'Catalogue Aluminium'!$N$103,IF(S21="TRENCH",'Catalogue Aluminium'!$N$104,"NA"))))</f>
        <v>NA</v>
      </c>
      <c r="AI21" s="344" t="str">
        <f>IF(S21="Air",(IF(T21="1C",'Catalogue Aluminium'!$O$101,'Catalogue Aluminium'!$P$101)),IF(S21="DUCT",(IF($T21="1C",'Catalogue Aluminium'!$O$102,'Catalogue Aluminium'!$P$102)),IF(S21="GROUND",(IF($T21="1C",'Catalogue Aluminium'!$O$103,'Catalogue Aluminium'!$P$103)),IF(S21="TRENCH",(IF($T21="1C",'Catalogue Aluminium'!$O$104,'Catalogue Aluminium'!$P$104))))))</f>
        <v>NA</v>
      </c>
      <c r="AJ21" s="344" t="str">
        <f>IF(S21="AIR","NA",IF(S21="TRENCH","NA",IF(S21="DUCT",IF(T21="1C",VLOOKUP(U21,'Catalogue Aluminium'!$Q$102:$S$113,2,FALSE),VLOOKUP(U21,'Catalogue Aluminium'!$Q$102:$S$113,3)),IF(S21="GROUND",IF(T21="1C",VLOOKUP(U21,'Catalogue Aluminium'!$Q$102:$S$113,2,FALSE),VLOOKUP(U21,'Catalogue Aluminium'!$Q$102:$S$113,3))))))</f>
        <v>NA</v>
      </c>
      <c r="AK21" s="348">
        <f t="shared" si="65"/>
        <v>0.6643</v>
      </c>
      <c r="AL21" s="342">
        <f t="shared" si="66"/>
        <v>182.01820000000001</v>
      </c>
      <c r="AM21" s="595">
        <f t="shared" si="69"/>
        <v>1</v>
      </c>
      <c r="AN21" s="350" t="str">
        <f t="shared" si="67"/>
        <v>YES</v>
      </c>
      <c r="AO21" s="351">
        <f t="shared" si="78"/>
        <v>2.4442234572491072E-2</v>
      </c>
      <c r="AP21" s="343" t="str">
        <f t="shared" si="70"/>
        <v>YES</v>
      </c>
      <c r="AQ21" s="428">
        <f t="shared" si="71"/>
        <v>37.254969074462565</v>
      </c>
      <c r="AR21" s="429">
        <f t="shared" si="72"/>
        <v>8857878.7796178181</v>
      </c>
      <c r="AS21" s="351" t="str">
        <f t="shared" si="73"/>
        <v>NA</v>
      </c>
      <c r="AT21" s="351" t="str">
        <f t="shared" si="74"/>
        <v>NA</v>
      </c>
      <c r="AU21" s="351" t="str">
        <f t="shared" si="51"/>
        <v>1R x 0.6/1kV x 3C x 120 Sqmm</v>
      </c>
      <c r="AV21" s="343">
        <f t="shared" si="75"/>
        <v>25</v>
      </c>
      <c r="AW21" s="355">
        <f t="shared" si="29"/>
        <v>2</v>
      </c>
      <c r="AX21" s="348"/>
      <c r="AY21" s="615">
        <v>56</v>
      </c>
      <c r="AZ21" s="344">
        <f t="shared" si="61"/>
        <v>56</v>
      </c>
    </row>
    <row r="22" spans="1:53" ht="35.1" customHeight="1">
      <c r="A22" s="337">
        <f t="shared" si="49"/>
        <v>14</v>
      </c>
      <c r="B22" s="372" t="s">
        <v>940</v>
      </c>
      <c r="C22" s="337" t="s">
        <v>921</v>
      </c>
      <c r="D22" s="440"/>
      <c r="E22" s="440"/>
      <c r="F22" s="340" t="s">
        <v>66</v>
      </c>
      <c r="G22" s="350">
        <v>1250</v>
      </c>
      <c r="H22" s="337" t="s">
        <v>414</v>
      </c>
      <c r="I22" s="337" t="s">
        <v>922</v>
      </c>
      <c r="J22" s="341">
        <v>6600</v>
      </c>
      <c r="K22" s="342">
        <v>0.85</v>
      </c>
      <c r="L22" s="342">
        <v>0.95</v>
      </c>
      <c r="M22" s="342">
        <f t="shared" si="76"/>
        <v>115.10510477327057</v>
      </c>
      <c r="N22" s="342">
        <f t="shared" si="68"/>
        <v>0</v>
      </c>
      <c r="O22" s="344" t="str">
        <f t="shared" ref="O22" si="79">IF(F22="M",0.2,"0.00")</f>
        <v>0.00</v>
      </c>
      <c r="P22" s="342">
        <v>40</v>
      </c>
      <c r="Q22" s="342">
        <v>0.16</v>
      </c>
      <c r="R22" s="342">
        <f t="shared" ref="R22" si="80">(P22*1000*SQRT(Q22)/143)</f>
        <v>111.88811188811189</v>
      </c>
      <c r="S22" s="344" t="s">
        <v>131</v>
      </c>
      <c r="T22" s="342" t="s">
        <v>333</v>
      </c>
      <c r="U22" s="344">
        <v>120</v>
      </c>
      <c r="V22" s="343" t="str">
        <f t="shared" ref="V22" si="81">CONCATENATE(T22," X ",U22)</f>
        <v>3C X 120</v>
      </c>
      <c r="W22" s="343"/>
      <c r="X22" s="343" t="s">
        <v>923</v>
      </c>
      <c r="Y22" s="344">
        <f>IF(S22="AIR",VLOOKUP(V22,'Catalogue Aluminium'!$B$101:$G$130,2,FALSE),IF(S22="GROUND",VLOOKUP(V22,'Catalogue Aluminium'!$B$101:$G$130,3,FALSE),IF(S22="DUCT",VLOOKUP(V22,'Catalogue Aluminium'!$B$101:$G$130,4,FALSE),IF(S22="TRENCH",VLOOKUP(V22,'Catalogue Aluminium'!$B$101:$G$130,2,FALSE)))))</f>
        <v>274</v>
      </c>
      <c r="Z22" s="345">
        <f>VLOOKUP(V22,'Catalogue Aluminium'!$B$101:$G$130,5,FALSE)</f>
        <v>0.32500000000000001</v>
      </c>
      <c r="AA22" s="345">
        <f>VLOOKUP(V22,'Catalogue Aluminium'!$B$101:$G$130,6,FALSE)</f>
        <v>0.09</v>
      </c>
      <c r="AB22" s="346">
        <v>15</v>
      </c>
      <c r="AC22" s="346">
        <v>0</v>
      </c>
      <c r="AD22" s="346">
        <v>10</v>
      </c>
      <c r="AE22" s="347">
        <f t="shared" si="77"/>
        <v>25</v>
      </c>
      <c r="AF22" s="344">
        <f>IF(S22="AIR",'Catalogue Aluminium'!$K$101,IF(S22="TRENCH",'Catalogue Aluminium'!$K$104,"NA"))</f>
        <v>0.91</v>
      </c>
      <c r="AG22" s="342">
        <f>IF(S22="Air",(IF(T22="1C",'Catalogue Aluminium'!$L$101,'Catalogue Aluminium'!$M$101)),IF(S22="DUCT",(IF($T22="1C",'Catalogue Aluminium'!$L$102,'Catalogue Aluminium'!$M$102)),IF(S22="GROUND",(IF($T22="1C",'Catalogue Aluminium'!$L$103,'Catalogue Aluminium'!$M$103)),IF(S22="TRENCH",(IF($T22="1C",'Catalogue Aluminium'!$L$104,'Catalogue Aluminium'!$M$104))))))</f>
        <v>0.73</v>
      </c>
      <c r="AH22" s="344" t="str">
        <f>IF(S22="Air",'Catalogue Aluminium'!$N$101,IF(S22="GROUND",'Catalogue Aluminium'!$N$102,IF(S22="DUCT",'Catalogue Aluminium'!$N$103,IF(S22="TRENCH",'Catalogue Aluminium'!$N$104,"NA"))))</f>
        <v>NA</v>
      </c>
      <c r="AI22" s="344" t="str">
        <f>IF(S22="Air",(IF(T22="1C",'Catalogue Aluminium'!$O$101,'Catalogue Aluminium'!$P$101)),IF(S22="DUCT",(IF($T22="1C",'Catalogue Aluminium'!$O$102,'Catalogue Aluminium'!$P$102)),IF(S22="GROUND",(IF($T22="1C",'Catalogue Aluminium'!$O$103,'Catalogue Aluminium'!$P$103)),IF(S22="TRENCH",(IF($T22="1C",'Catalogue Aluminium'!$O$104,'Catalogue Aluminium'!$P$104))))))</f>
        <v>NA</v>
      </c>
      <c r="AJ22" s="344" t="str">
        <f>IF(S22="AIR","NA",IF(S22="TRENCH","NA",IF(S22="DUCT",IF(T22="1C",VLOOKUP(U22,'Catalogue Aluminium'!$Q$102:$S$113,2,FALSE),VLOOKUP(U22,'Catalogue Aluminium'!$Q$102:$S$113,3)),IF(S22="GROUND",IF(T22="1C",VLOOKUP(U22,'Catalogue Aluminium'!$Q$102:$S$113,2,FALSE),VLOOKUP(U22,'Catalogue Aluminium'!$Q$102:$S$113,3))))))</f>
        <v>NA</v>
      </c>
      <c r="AK22" s="348">
        <f t="shared" ref="AK22" si="82">IF(S22="AIR",AF22*AG22,IF(S22="TRENCH",AF22*AG22,IF(S22="DUCT",AG22*AH22*AI22*AJ22,IF(S22="GROUND",AG22*AH22*AI22*AJ22))))</f>
        <v>0.6643</v>
      </c>
      <c r="AL22" s="342">
        <f t="shared" ref="AL22" si="83">Y22*AK22</f>
        <v>182.01820000000001</v>
      </c>
      <c r="AM22" s="595">
        <f t="shared" si="69"/>
        <v>1</v>
      </c>
      <c r="AN22" s="350" t="str">
        <f t="shared" ref="AN22" si="84">IF(AL22*AM22&gt;=M22,"YES","NO")</f>
        <v>YES</v>
      </c>
      <c r="AO22" s="351">
        <f t="shared" si="78"/>
        <v>2.4442234572491072E-2</v>
      </c>
      <c r="AP22" s="343" t="str">
        <f t="shared" si="70"/>
        <v>YES</v>
      </c>
      <c r="AQ22" s="428">
        <f t="shared" si="71"/>
        <v>37.254969074462565</v>
      </c>
      <c r="AR22" s="429">
        <f t="shared" si="72"/>
        <v>8857878.7796178181</v>
      </c>
      <c r="AS22" s="351" t="str">
        <f t="shared" si="73"/>
        <v>NA</v>
      </c>
      <c r="AT22" s="351" t="str">
        <f t="shared" si="74"/>
        <v>NA</v>
      </c>
      <c r="AU22" s="351" t="str">
        <f t="shared" si="51"/>
        <v>1R x 0.6/1kV x 3C x 120 Sqmm</v>
      </c>
      <c r="AV22" s="343">
        <f t="shared" si="75"/>
        <v>25</v>
      </c>
      <c r="AW22" s="355">
        <f t="shared" si="29"/>
        <v>2</v>
      </c>
      <c r="AX22" s="348"/>
      <c r="AY22" s="615">
        <v>56</v>
      </c>
      <c r="AZ22" s="344">
        <f t="shared" si="61"/>
        <v>56</v>
      </c>
    </row>
    <row r="23" spans="1:53" ht="35.1" customHeight="1">
      <c r="A23" s="337">
        <f>A30+1</f>
        <v>17</v>
      </c>
      <c r="B23" s="372" t="s">
        <v>941</v>
      </c>
      <c r="C23" s="337" t="s">
        <v>921</v>
      </c>
      <c r="D23" s="440"/>
      <c r="E23" s="440"/>
      <c r="F23" s="340" t="s">
        <v>66</v>
      </c>
      <c r="G23" s="350"/>
      <c r="H23" s="337" t="s">
        <v>414</v>
      </c>
      <c r="I23" s="337" t="s">
        <v>922</v>
      </c>
      <c r="J23" s="341">
        <v>6600</v>
      </c>
      <c r="K23" s="342">
        <v>0.85</v>
      </c>
      <c r="L23" s="342">
        <v>0.95</v>
      </c>
      <c r="M23" s="342">
        <f>IF(H23="kVA",IF(I23="3Phase",(G23*1000/(1.732*L23*J23)),(G23*1000/(L23*J23))),IF(H23="kW",IF(I23="3Phase",(G23*1000/(1.732*L23*J23*K23)),(G23*1000/(L23*J23*K23)))))</f>
        <v>0</v>
      </c>
      <c r="N23" s="342">
        <f>IF(F23="M",IF(G23&gt;=600,6*M23,IF(G23&lt;600,6*M23)),0)</f>
        <v>0</v>
      </c>
      <c r="O23" s="344" t="str">
        <f>IF(F23="M",0.2,"0.00")</f>
        <v>0.00</v>
      </c>
      <c r="P23" s="342">
        <v>40</v>
      </c>
      <c r="Q23" s="342">
        <v>0.16</v>
      </c>
      <c r="R23" s="342">
        <f>(P23*1000*SQRT(Q23)/143)</f>
        <v>111.88811188811189</v>
      </c>
      <c r="S23" s="344" t="s">
        <v>131</v>
      </c>
      <c r="T23" s="342" t="s">
        <v>333</v>
      </c>
      <c r="U23" s="344">
        <v>120</v>
      </c>
      <c r="V23" s="343" t="str">
        <f>CONCATENATE(T23," X ",U23)</f>
        <v>3C X 120</v>
      </c>
      <c r="W23" s="343"/>
      <c r="X23" s="343" t="s">
        <v>923</v>
      </c>
      <c r="Y23" s="592">
        <f>IF(S23="AIR",VLOOKUP(V23,'Catalogue Aluminium'!$B$101:$G$130,2,FALSE),IF(S23="GROUND",VLOOKUP(V23,'Catalogue Aluminium'!$B$101:$G$130,3,FALSE),IF(S23="DUCT",VLOOKUP(V23,'Catalogue Aluminium'!$B$101:$G$130,4,FALSE),IF(S23="TRENCH",VLOOKUP(V23,'Catalogue Aluminium'!$B$101:$G$130,2,FALSE)))))</f>
        <v>274</v>
      </c>
      <c r="Z23" s="593">
        <f>VLOOKUP(V23,'Catalogue Aluminium'!$B$101:$G$130,5,FALSE)</f>
        <v>0.32500000000000001</v>
      </c>
      <c r="AA23" s="593">
        <f>VLOOKUP(V23,'Catalogue Aluminium'!$B$101:$G$130,6,FALSE)</f>
        <v>0.09</v>
      </c>
      <c r="AB23" s="346">
        <v>15</v>
      </c>
      <c r="AC23" s="346">
        <v>0</v>
      </c>
      <c r="AD23" s="346">
        <v>10</v>
      </c>
      <c r="AE23" s="347">
        <f>SUM(AB23:AD23)</f>
        <v>25</v>
      </c>
      <c r="AF23" s="592">
        <f>IF(S23="AIR",'Catalogue Aluminium'!$K$101,IF(S23="TRENCH",'Catalogue Aluminium'!$K$104,"NA"))</f>
        <v>0.91</v>
      </c>
      <c r="AG23" s="594">
        <f>IF(S23="Air",(IF(T23="1C",'Catalogue Aluminium'!$L$101,'Catalogue Aluminium'!$M$101)),IF(S23="DUCT",(IF($T23="1C",'Catalogue Aluminium'!$L$102,'Catalogue Aluminium'!$M$102)),IF(S23="GROUND",(IF($T23="1C",'Catalogue Aluminium'!$L$103,'Catalogue Aluminium'!$M$103)),IF(S23="TRENCH",(IF($T23="1C",'Catalogue Aluminium'!$L$104,'Catalogue Aluminium'!$M$104))))))</f>
        <v>0.73</v>
      </c>
      <c r="AH23" s="592" t="str">
        <f>IF(S23="Air",'Catalogue Aluminium'!$N$101,IF(S23="GROUND",'Catalogue Aluminium'!$N$102,IF(S23="DUCT",'Catalogue Aluminium'!$N$103,IF(S23="TRENCH",'Catalogue Aluminium'!$N$104,"NA"))))</f>
        <v>NA</v>
      </c>
      <c r="AI23" s="592" t="str">
        <f>IF(S23="Air",(IF(T23="1C",'Catalogue Aluminium'!$O$101,'Catalogue Aluminium'!$P$101)),IF(S23="DUCT",(IF($T23="1C",'Catalogue Aluminium'!$O$102,'Catalogue Aluminium'!$P$102)),IF(S23="GROUND",(IF($T23="1C",'Catalogue Aluminium'!$O$103,'Catalogue Aluminium'!$P$103)),IF(S23="TRENCH",(IF($T23="1C",'Catalogue Aluminium'!$O$104,'Catalogue Aluminium'!$P$104))))))</f>
        <v>NA</v>
      </c>
      <c r="AJ23" s="592" t="str">
        <f>IF(S23="AIR","NA",IF(S23="TRENCH","NA",IF(S23="DUCT",IF(T23="1C",VLOOKUP(U23,'Catalogue Aluminium'!$Q$102:$S$113,2,FALSE),VLOOKUP(U23,'Catalogue Aluminium'!$Q$102:$S$113,3)),IF(S23="GROUND",IF(T23="1C",VLOOKUP(U23,'Catalogue Aluminium'!$Q$102:$S$113,2,FALSE),VLOOKUP(U23,'Catalogue Aluminium'!$Q$102:$S$113,3))))))</f>
        <v>NA</v>
      </c>
      <c r="AK23" s="348">
        <f>IF(S23="AIR",AF23*AG23,IF(S23="TRENCH",AF23*AG23,IF(S23="DUCT",AG23*AH23*AI23*AJ23,IF(S23="GROUND",AG23*AH23*AI23*AJ23))))</f>
        <v>0.6643</v>
      </c>
      <c r="AL23" s="342">
        <f>Y23*AK23</f>
        <v>182.01820000000001</v>
      </c>
      <c r="AM23" s="595">
        <v>1</v>
      </c>
      <c r="AN23" s="350" t="str">
        <f>IF(AL23*AM23&gt;=M23,"YES","NO")</f>
        <v>YES</v>
      </c>
      <c r="AO23" s="596">
        <f>SQRT(3)*AE23*M23*((Z23*K23)+(AA23*SIN(ACOS(K23))))*100/(AM23*J23*1000)</f>
        <v>0</v>
      </c>
      <c r="AP23" s="597" t="str">
        <f>IF(F23="I",(IF(AO23&lt;=2,"YES","NO")),IF(F23="P",(IF(AO23&lt;=2,"YES","NO")),IF(F23="M",(IF(AO23&lt;=3,"YES","NO")))))</f>
        <v>YES</v>
      </c>
      <c r="AQ23" s="598">
        <f>M23*((Z23*K23) + (AA23*SIN(ACOS(K23))))</f>
        <v>0</v>
      </c>
      <c r="AR23" s="599" t="e">
        <f>(5*1000*AM23*J23*10)/(AQ23)</f>
        <v>#DIV/0!</v>
      </c>
      <c r="AS23" s="596" t="str">
        <f>IF(F23="M",(SQRT(3)*AE23*N23*((Z23*K23)+(AA23*SIN(ACOS(K23))))*100/(AM23*J23*1000)),"NA")</f>
        <v>NA</v>
      </c>
      <c r="AT23" s="596" t="str">
        <f>IF(F23="M",IF(AS23&lt;=10,"YES","NO"),"NA")</f>
        <v>NA</v>
      </c>
      <c r="AU23" s="351" t="str">
        <f t="shared" si="51"/>
        <v>1R x 0.6/1kV x 3C x 120 Sqmm</v>
      </c>
      <c r="AV23" s="343">
        <f>IF(T23="1C",(3*AE23*AM23),(AE23*AM23))</f>
        <v>25</v>
      </c>
      <c r="AW23" s="355">
        <f t="shared" si="29"/>
        <v>2</v>
      </c>
      <c r="AX23" s="348"/>
      <c r="AY23" s="600">
        <v>56</v>
      </c>
      <c r="AZ23" s="344">
        <f>AM23*AY23</f>
        <v>56</v>
      </c>
    </row>
    <row r="24" spans="1:53" ht="35.1" customHeight="1">
      <c r="A24" s="337">
        <f>A23+1</f>
        <v>18</v>
      </c>
      <c r="B24" s="372" t="s">
        <v>942</v>
      </c>
      <c r="C24" s="337" t="s">
        <v>921</v>
      </c>
      <c r="D24" s="440"/>
      <c r="E24" s="440"/>
      <c r="F24" s="340" t="s">
        <v>66</v>
      </c>
      <c r="G24" s="350"/>
      <c r="H24" s="337" t="s">
        <v>414</v>
      </c>
      <c r="I24" s="337" t="s">
        <v>922</v>
      </c>
      <c r="J24" s="341">
        <v>6600</v>
      </c>
      <c r="K24" s="342">
        <v>0.85</v>
      </c>
      <c r="L24" s="342">
        <v>0.95</v>
      </c>
      <c r="M24" s="342">
        <f>IF(H24="kVA",IF(I24="3Phase",(G24*1000/(1.732*L24*J24)),(G24*1000/(L24*J24))),IF(H24="kW",IF(I24="3Phase",(G24*1000/(1.732*L24*J24*K24)),(G24*1000/(L24*J24*K24)))))</f>
        <v>0</v>
      </c>
      <c r="N24" s="342">
        <f>IF(F24="M",IF(G24&gt;=600,6*M24,IF(G24&lt;600,6*M24)),0)</f>
        <v>0</v>
      </c>
      <c r="O24" s="344" t="str">
        <f>IF(F24="M",0.2,"0.00")</f>
        <v>0.00</v>
      </c>
      <c r="P24" s="342">
        <v>40</v>
      </c>
      <c r="Q24" s="342">
        <v>0.16</v>
      </c>
      <c r="R24" s="342">
        <f>(P24*1000*SQRT(Q24)/143)</f>
        <v>111.88811188811189</v>
      </c>
      <c r="S24" s="344" t="s">
        <v>131</v>
      </c>
      <c r="T24" s="342" t="s">
        <v>333</v>
      </c>
      <c r="U24" s="344">
        <v>120</v>
      </c>
      <c r="V24" s="343" t="str">
        <f>CONCATENATE(T24," X ",U24)</f>
        <v>3C X 120</v>
      </c>
      <c r="W24" s="343"/>
      <c r="X24" s="343" t="s">
        <v>923</v>
      </c>
      <c r="Y24" s="592">
        <f>IF(S24="AIR",VLOOKUP(V24,'Catalogue Aluminium'!$B$101:$G$130,2,FALSE),IF(S24="GROUND",VLOOKUP(V24,'Catalogue Aluminium'!$B$101:$G$130,3,FALSE),IF(S24="DUCT",VLOOKUP(V24,'Catalogue Aluminium'!$B$101:$G$130,4,FALSE),IF(S24="TRENCH",VLOOKUP(V24,'Catalogue Aluminium'!$B$101:$G$130,2,FALSE)))))</f>
        <v>274</v>
      </c>
      <c r="Z24" s="593">
        <f>VLOOKUP(V24,'Catalogue Aluminium'!$B$101:$G$130,5,FALSE)</f>
        <v>0.32500000000000001</v>
      </c>
      <c r="AA24" s="593">
        <f>VLOOKUP(V24,'Catalogue Aluminium'!$B$101:$G$130,6,FALSE)</f>
        <v>0.09</v>
      </c>
      <c r="AB24" s="346">
        <v>15</v>
      </c>
      <c r="AC24" s="346">
        <v>0</v>
      </c>
      <c r="AD24" s="346">
        <v>10</v>
      </c>
      <c r="AE24" s="347">
        <f>SUM(AB24:AD24)</f>
        <v>25</v>
      </c>
      <c r="AF24" s="592">
        <f>IF(S24="AIR",'Catalogue Aluminium'!$K$101,IF(S24="TRENCH",'Catalogue Aluminium'!$K$104,"NA"))</f>
        <v>0.91</v>
      </c>
      <c r="AG24" s="594">
        <f>IF(S24="Air",(IF(T24="1C",'Catalogue Aluminium'!$L$101,'Catalogue Aluminium'!$M$101)),IF(S24="DUCT",(IF($T24="1C",'Catalogue Aluminium'!$L$102,'Catalogue Aluminium'!$M$102)),IF(S24="GROUND",(IF($T24="1C",'Catalogue Aluminium'!$L$103,'Catalogue Aluminium'!$M$103)),IF(S24="TRENCH",(IF($T24="1C",'Catalogue Aluminium'!$L$104,'Catalogue Aluminium'!$M$104))))))</f>
        <v>0.73</v>
      </c>
      <c r="AH24" s="592" t="str">
        <f>IF(S24="Air",'Catalogue Aluminium'!$N$101,IF(S24="GROUND",'Catalogue Aluminium'!$N$102,IF(S24="DUCT",'Catalogue Aluminium'!$N$103,IF(S24="TRENCH",'Catalogue Aluminium'!$N$104,"NA"))))</f>
        <v>NA</v>
      </c>
      <c r="AI24" s="592" t="str">
        <f>IF(S24="Air",(IF(T24="1C",'Catalogue Aluminium'!$O$101,'Catalogue Aluminium'!$P$101)),IF(S24="DUCT",(IF($T24="1C",'Catalogue Aluminium'!$O$102,'Catalogue Aluminium'!$P$102)),IF(S24="GROUND",(IF($T24="1C",'Catalogue Aluminium'!$O$103,'Catalogue Aluminium'!$P$103)),IF(S24="TRENCH",(IF($T24="1C",'Catalogue Aluminium'!$O$104,'Catalogue Aluminium'!$P$104))))))</f>
        <v>NA</v>
      </c>
      <c r="AJ24" s="592" t="str">
        <f>IF(S24="AIR","NA",IF(S24="TRENCH","NA",IF(S24="DUCT",IF(T24="1C",VLOOKUP(U24,'Catalogue Aluminium'!$Q$102:$S$113,2,FALSE),VLOOKUP(U24,'Catalogue Aluminium'!$Q$102:$S$113,3)),IF(S24="GROUND",IF(T24="1C",VLOOKUP(U24,'Catalogue Aluminium'!$Q$102:$S$113,2,FALSE),VLOOKUP(U24,'Catalogue Aluminium'!$Q$102:$S$113,3))))))</f>
        <v>NA</v>
      </c>
      <c r="AK24" s="348">
        <f>IF(S24="AIR",AF24*AG24,IF(S24="TRENCH",AF24*AG24,IF(S24="DUCT",AG24*AH24*AI24*AJ24,IF(S24="GROUND",AG24*AH24*AI24*AJ24))))</f>
        <v>0.6643</v>
      </c>
      <c r="AL24" s="342">
        <f>Y24*AK24</f>
        <v>182.01820000000001</v>
      </c>
      <c r="AM24" s="595">
        <v>1</v>
      </c>
      <c r="AN24" s="350" t="str">
        <f>IF(AL24*AM24&gt;=M24,"YES","NO")</f>
        <v>YES</v>
      </c>
      <c r="AO24" s="596">
        <f>SQRT(3)*AE24*M24*((Z24*K24)+(AA24*SIN(ACOS(K24))))*100/(AM24*J24*1000)</f>
        <v>0</v>
      </c>
      <c r="AP24" s="597" t="str">
        <f>IF(F24="I",(IF(AO24&lt;=2,"YES","NO")),IF(F24="P",(IF(AO24&lt;=2,"YES","NO")),IF(F24="M",(IF(AO24&lt;=3,"YES","NO")))))</f>
        <v>YES</v>
      </c>
      <c r="AQ24" s="598">
        <f>M24*((Z24*K24) + (AA24*SIN(ACOS(K24))))</f>
        <v>0</v>
      </c>
      <c r="AR24" s="599" t="e">
        <f>(5*1000*AM24*J24*10)/(AQ24)</f>
        <v>#DIV/0!</v>
      </c>
      <c r="AS24" s="596" t="str">
        <f>IF(F24="M",(SQRT(3)*AE24*N24*((Z24*K24)+(AA24*SIN(ACOS(K24))))*100/(AM24*J24*1000)),"NA")</f>
        <v>NA</v>
      </c>
      <c r="AT24" s="596" t="str">
        <f>IF(F24="M",IF(AS24&lt;=10,"YES","NO"),"NA")</f>
        <v>NA</v>
      </c>
      <c r="AU24" s="351" t="str">
        <f t="shared" si="51"/>
        <v>1R x 0.6/1kV x 3C x 120 Sqmm</v>
      </c>
      <c r="AV24" s="343">
        <f>IF(T24="1C",(3*AE24*AM24),(AE24*AM24))</f>
        <v>25</v>
      </c>
      <c r="AW24" s="355">
        <f t="shared" si="29"/>
        <v>2</v>
      </c>
      <c r="AX24" s="348"/>
      <c r="AY24" s="600">
        <v>56</v>
      </c>
      <c r="AZ24" s="344">
        <f>AM24*AY24</f>
        <v>56</v>
      </c>
    </row>
    <row r="25" spans="1:53" ht="35.1" customHeight="1">
      <c r="A25" s="337">
        <f>A18+1</f>
        <v>11</v>
      </c>
      <c r="B25" s="372" t="s">
        <v>943</v>
      </c>
      <c r="C25" s="337" t="s">
        <v>921</v>
      </c>
      <c r="D25" s="417" t="s">
        <v>944</v>
      </c>
      <c r="E25" s="343">
        <v>25</v>
      </c>
      <c r="F25" s="340" t="s">
        <v>62</v>
      </c>
      <c r="G25" s="350">
        <v>1601.5</v>
      </c>
      <c r="H25" s="337" t="s">
        <v>330</v>
      </c>
      <c r="I25" s="337" t="s">
        <v>922</v>
      </c>
      <c r="J25" s="341">
        <v>6600</v>
      </c>
      <c r="K25" s="342">
        <v>0.85</v>
      </c>
      <c r="L25" s="342">
        <v>0.95</v>
      </c>
      <c r="M25" s="342">
        <f t="shared" si="1"/>
        <v>173.49724733589912</v>
      </c>
      <c r="N25" s="342">
        <f t="shared" si="2"/>
        <v>1040.9834840153947</v>
      </c>
      <c r="O25" s="344">
        <f t="shared" si="52"/>
        <v>0.2</v>
      </c>
      <c r="P25" s="342">
        <v>40</v>
      </c>
      <c r="Q25" s="342">
        <v>0.16</v>
      </c>
      <c r="R25" s="342">
        <f t="shared" si="53"/>
        <v>111.88811188811189</v>
      </c>
      <c r="S25" s="344" t="s">
        <v>131</v>
      </c>
      <c r="T25" s="342" t="s">
        <v>333</v>
      </c>
      <c r="U25" s="344">
        <v>120</v>
      </c>
      <c r="V25" s="343" t="str">
        <f t="shared" si="54"/>
        <v>3C X 120</v>
      </c>
      <c r="W25" s="343"/>
      <c r="X25" s="343" t="s">
        <v>923</v>
      </c>
      <c r="Y25" s="592">
        <f>IF(S25="AIR",VLOOKUP(V25,'Catalogue Aluminium'!$B$101:$G$130,2,FALSE),IF(S25="GROUND",VLOOKUP(V25,'Catalogue Aluminium'!$B$101:$G$130,3,FALSE),IF(S25="DUCT",VLOOKUP(V25,'Catalogue Aluminium'!$B$101:$G$130,4,FALSE),IF(S25="TRENCH",VLOOKUP(V25,'Catalogue Aluminium'!$B$101:$G$130,2,FALSE)))))</f>
        <v>274</v>
      </c>
      <c r="Z25" s="593">
        <f>VLOOKUP(V25,'Catalogue Aluminium'!$B$101:$G$130,5,FALSE)</f>
        <v>0.32500000000000001</v>
      </c>
      <c r="AA25" s="593">
        <f>VLOOKUP(V25,'Catalogue Aluminium'!$B$101:$G$130,6,FALSE)</f>
        <v>0.09</v>
      </c>
      <c r="AB25" s="346">
        <f>30+15</f>
        <v>45</v>
      </c>
      <c r="AC25" s="346">
        <f>(12+32+105+46+36+20)+20</f>
        <v>271</v>
      </c>
      <c r="AD25" s="346">
        <v>15</v>
      </c>
      <c r="AE25" s="347">
        <f t="shared" si="48"/>
        <v>331</v>
      </c>
      <c r="AF25" s="592">
        <f>IF(S25="AIR",'Catalogue Aluminium'!$K$101,IF(S25="TRENCH",'Catalogue Aluminium'!$K$104,"NA"))</f>
        <v>0.91</v>
      </c>
      <c r="AG25" s="594">
        <f>IF(S25="Air",(IF(T25="1C",'Catalogue Aluminium'!$L$101,'Catalogue Aluminium'!$M$101)),IF(S25="DUCT",(IF($T25="1C",'Catalogue Aluminium'!$L$102,'Catalogue Aluminium'!$M$102)),IF(S25="GROUND",(IF($T25="1C",'Catalogue Aluminium'!$L$103,'Catalogue Aluminium'!$M$103)),IF(S25="TRENCH",(IF($T25="1C",'Catalogue Aluminium'!$L$104,'Catalogue Aluminium'!$M$104))))))</f>
        <v>0.73</v>
      </c>
      <c r="AH25" s="592" t="str">
        <f>IF(S25="Air",'Catalogue Aluminium'!$N$101,IF(S25="GROUND",'Catalogue Aluminium'!$N$102,IF(S25="DUCT",'Catalogue Aluminium'!$N$103,IF(S25="TRENCH",'Catalogue Aluminium'!$N$104,"NA"))))</f>
        <v>NA</v>
      </c>
      <c r="AI25" s="592" t="str">
        <f>IF(S25="Air",(IF(T25="1C",'Catalogue Aluminium'!$O$101,'Catalogue Aluminium'!$P$101)),IF(S25="DUCT",(IF($T25="1C",'Catalogue Aluminium'!$O$102,'Catalogue Aluminium'!$P$102)),IF(S25="GROUND",(IF($T25="1C",'Catalogue Aluminium'!$O$103,'Catalogue Aluminium'!$P$103)),IF(S25="TRENCH",(IF($T25="1C",'Catalogue Aluminium'!$O$104,'Catalogue Aluminium'!$P$104))))))</f>
        <v>NA</v>
      </c>
      <c r="AJ25" s="592" t="str">
        <f>IF(S25="AIR","NA",IF(S25="TRENCH","NA",IF(S25="DUCT",IF(T25="1C",VLOOKUP(U25,'Catalogue Aluminium'!$Q$102:$S$113,2,FALSE),VLOOKUP(U25,'Catalogue Aluminium'!$Q$102:$S$113,3)),IF(S25="GROUND",IF(T25="1C",VLOOKUP(U25,'Catalogue Aluminium'!$Q$102:$S$113,2,FALSE),VLOOKUP(U25,'Catalogue Aluminium'!$Q$102:$S$113,3))))))</f>
        <v>NA</v>
      </c>
      <c r="AK25" s="348">
        <f t="shared" si="55"/>
        <v>0.6643</v>
      </c>
      <c r="AL25" s="342">
        <f t="shared" si="56"/>
        <v>182.01820000000001</v>
      </c>
      <c r="AM25" s="595">
        <f t="shared" si="57"/>
        <v>1</v>
      </c>
      <c r="AN25" s="350" t="str">
        <f t="shared" si="58"/>
        <v>YES</v>
      </c>
      <c r="AO25" s="596">
        <f t="shared" si="9"/>
        <v>0.48778326584683351</v>
      </c>
      <c r="AP25" s="597" t="str">
        <f t="shared" si="10"/>
        <v>YES</v>
      </c>
      <c r="AQ25" s="598">
        <f t="shared" si="11"/>
        <v>56.154195739060519</v>
      </c>
      <c r="AR25" s="599">
        <f t="shared" si="12"/>
        <v>5876675.7435803497</v>
      </c>
      <c r="AS25" s="596">
        <f t="shared" si="13"/>
        <v>2.9266995950810006</v>
      </c>
      <c r="AT25" s="596" t="str">
        <f t="shared" si="14"/>
        <v>YES</v>
      </c>
      <c r="AU25" s="351" t="str">
        <f t="shared" si="51"/>
        <v>1R x 0.6/1kV x 3C x 120 Sqmm</v>
      </c>
      <c r="AV25" s="343">
        <f t="shared" si="32"/>
        <v>331</v>
      </c>
      <c r="AW25" s="355">
        <f t="shared" si="29"/>
        <v>2</v>
      </c>
      <c r="AX25" s="348"/>
      <c r="AY25" s="600">
        <v>56</v>
      </c>
      <c r="AZ25" s="344">
        <f t="shared" si="61"/>
        <v>56</v>
      </c>
      <c r="BA25" s="1029">
        <f>SUM(AZ25:AZ30)</f>
        <v>336</v>
      </c>
    </row>
    <row r="26" spans="1:53" ht="35.1" customHeight="1">
      <c r="A26" s="337">
        <f t="shared" si="49"/>
        <v>12</v>
      </c>
      <c r="B26" s="372" t="s">
        <v>945</v>
      </c>
      <c r="C26" s="337" t="s">
        <v>921</v>
      </c>
      <c r="D26" s="417" t="s">
        <v>944</v>
      </c>
      <c r="E26" s="343">
        <v>25</v>
      </c>
      <c r="F26" s="340" t="s">
        <v>62</v>
      </c>
      <c r="G26" s="350">
        <v>1601.5</v>
      </c>
      <c r="H26" s="337" t="s">
        <v>330</v>
      </c>
      <c r="I26" s="337" t="s">
        <v>922</v>
      </c>
      <c r="J26" s="341">
        <v>6600</v>
      </c>
      <c r="K26" s="342">
        <v>0.85</v>
      </c>
      <c r="L26" s="342">
        <v>0.95</v>
      </c>
      <c r="M26" s="342">
        <f t="shared" si="1"/>
        <v>173.49724733589912</v>
      </c>
      <c r="N26" s="342">
        <f t="shared" si="2"/>
        <v>1040.9834840153947</v>
      </c>
      <c r="O26" s="344">
        <f t="shared" ref="O26:O30" si="85">IF(F26="M",0.2,"0.00")</f>
        <v>0.2</v>
      </c>
      <c r="P26" s="342">
        <v>40</v>
      </c>
      <c r="Q26" s="342">
        <v>0.16</v>
      </c>
      <c r="R26" s="342">
        <f t="shared" ref="R26:R30" si="86">(P26*1000*SQRT(Q26)/143)</f>
        <v>111.88811188811189</v>
      </c>
      <c r="S26" s="344" t="s">
        <v>131</v>
      </c>
      <c r="T26" s="342" t="s">
        <v>333</v>
      </c>
      <c r="U26" s="344">
        <v>120</v>
      </c>
      <c r="V26" s="343" t="str">
        <f t="shared" ref="V26:V30" si="87">CONCATENATE(T26," X ",U26)</f>
        <v>3C X 120</v>
      </c>
      <c r="W26" s="343"/>
      <c r="X26" s="343" t="s">
        <v>923</v>
      </c>
      <c r="Y26" s="592">
        <f>IF(S26="AIR",VLOOKUP(V26,'Catalogue Aluminium'!$B$101:$G$130,2,FALSE),IF(S26="GROUND",VLOOKUP(V26,'Catalogue Aluminium'!$B$101:$G$130,3,FALSE),IF(S26="DUCT",VLOOKUP(V26,'Catalogue Aluminium'!$B$101:$G$130,4,FALSE),IF(S26="TRENCH",VLOOKUP(V26,'Catalogue Aluminium'!$B$101:$G$130,2,FALSE)))))</f>
        <v>274</v>
      </c>
      <c r="Z26" s="593">
        <f>VLOOKUP(V26,'Catalogue Aluminium'!$B$101:$G$130,5,FALSE)</f>
        <v>0.32500000000000001</v>
      </c>
      <c r="AA26" s="593">
        <f>VLOOKUP(V26,'Catalogue Aluminium'!$B$101:$G$130,6,FALSE)</f>
        <v>0.09</v>
      </c>
      <c r="AB26" s="346">
        <f>30+15</f>
        <v>45</v>
      </c>
      <c r="AC26" s="346">
        <f>(12+32+105+46+40+36+20)+20</f>
        <v>311</v>
      </c>
      <c r="AD26" s="346">
        <v>15</v>
      </c>
      <c r="AE26" s="347">
        <f t="shared" ref="AE26:AE28" si="88">SUM(AB26:AD26)</f>
        <v>371</v>
      </c>
      <c r="AF26" s="592">
        <f>IF(S26="AIR",'Catalogue Aluminium'!$K$101,IF(S26="TRENCH",'Catalogue Aluminium'!$K$104,"NA"))</f>
        <v>0.91</v>
      </c>
      <c r="AG26" s="594">
        <f>IF(S26="Air",(IF(T26="1C",'Catalogue Aluminium'!$L$101,'Catalogue Aluminium'!$M$101)),IF(S26="DUCT",(IF($T26="1C",'Catalogue Aluminium'!$L$102,'Catalogue Aluminium'!$M$102)),IF(S26="GROUND",(IF($T26="1C",'Catalogue Aluminium'!$L$103,'Catalogue Aluminium'!$M$103)),IF(S26="TRENCH",(IF($T26="1C",'Catalogue Aluminium'!$L$104,'Catalogue Aluminium'!$M$104))))))</f>
        <v>0.73</v>
      </c>
      <c r="AH26" s="592" t="str">
        <f>IF(S26="Air",'Catalogue Aluminium'!$N$101,IF(S26="GROUND",'Catalogue Aluminium'!$N$102,IF(S26="DUCT",'Catalogue Aluminium'!$N$103,IF(S26="TRENCH",'Catalogue Aluminium'!$N$104,"NA"))))</f>
        <v>NA</v>
      </c>
      <c r="AI26" s="592" t="str">
        <f>IF(S26="Air",(IF(T26="1C",'Catalogue Aluminium'!$O$101,'Catalogue Aluminium'!$P$101)),IF(S26="DUCT",(IF($T26="1C",'Catalogue Aluminium'!$O$102,'Catalogue Aluminium'!$P$102)),IF(S26="GROUND",(IF($T26="1C",'Catalogue Aluminium'!$O$103,'Catalogue Aluminium'!$P$103)),IF(S26="TRENCH",(IF($T26="1C",'Catalogue Aluminium'!$O$104,'Catalogue Aluminium'!$P$104))))))</f>
        <v>NA</v>
      </c>
      <c r="AJ26" s="592" t="str">
        <f>IF(S26="AIR","NA",IF(S26="TRENCH","NA",IF(S26="DUCT",IF(T26="1C",VLOOKUP(U26,'Catalogue Aluminium'!$Q$102:$S$113,2,FALSE),VLOOKUP(U26,'Catalogue Aluminium'!$Q$102:$S$113,3)),IF(S26="GROUND",IF(T26="1C",VLOOKUP(U26,'Catalogue Aluminium'!$Q$102:$S$113,2,FALSE),VLOOKUP(U26,'Catalogue Aluminium'!$Q$102:$S$113,3))))))</f>
        <v>NA</v>
      </c>
      <c r="AK26" s="348">
        <f t="shared" ref="AK26:AK30" si="89">IF(S26="AIR",AF26*AG26,IF(S26="TRENCH",AF26*AG26,IF(S26="DUCT",AG26*AH26*AI26*AJ26,IF(S26="GROUND",AG26*AH26*AI26*AJ26))))</f>
        <v>0.6643</v>
      </c>
      <c r="AL26" s="342">
        <f t="shared" ref="AL26:AL30" si="90">Y26*AK26</f>
        <v>182.01820000000001</v>
      </c>
      <c r="AM26" s="595">
        <f t="shared" si="57"/>
        <v>1</v>
      </c>
      <c r="AN26" s="350" t="str">
        <f t="shared" ref="AN26:AN30" si="91">IF(AL26*AM26&gt;=M26,"YES","NO")</f>
        <v>YES</v>
      </c>
      <c r="AO26" s="596">
        <f t="shared" si="9"/>
        <v>0.54672988407605805</v>
      </c>
      <c r="AP26" s="597" t="str">
        <f t="shared" si="10"/>
        <v>YES</v>
      </c>
      <c r="AQ26" s="598">
        <f t="shared" si="11"/>
        <v>56.154195739060519</v>
      </c>
      <c r="AR26" s="599">
        <f t="shared" si="12"/>
        <v>5876675.7435803497</v>
      </c>
      <c r="AS26" s="596">
        <f t="shared" si="13"/>
        <v>3.2803793044563481</v>
      </c>
      <c r="AT26" s="596" t="str">
        <f t="shared" si="14"/>
        <v>YES</v>
      </c>
      <c r="AU26" s="351" t="str">
        <f t="shared" si="51"/>
        <v>1R x 0.6/1kV x 3C x 120 Sqmm</v>
      </c>
      <c r="AV26" s="343">
        <f t="shared" si="32"/>
        <v>371</v>
      </c>
      <c r="AW26" s="355">
        <f t="shared" si="29"/>
        <v>2</v>
      </c>
      <c r="AX26" s="348"/>
      <c r="AY26" s="600">
        <v>56</v>
      </c>
      <c r="AZ26" s="344">
        <f t="shared" si="61"/>
        <v>56</v>
      </c>
      <c r="BA26" s="1029"/>
    </row>
    <row r="27" spans="1:53" ht="35.1" customHeight="1">
      <c r="A27" s="337">
        <f t="shared" si="49"/>
        <v>13</v>
      </c>
      <c r="B27" s="372" t="s">
        <v>946</v>
      </c>
      <c r="C27" s="337" t="s">
        <v>921</v>
      </c>
      <c r="D27" s="417" t="s">
        <v>944</v>
      </c>
      <c r="E27" s="343">
        <v>25</v>
      </c>
      <c r="F27" s="340" t="s">
        <v>62</v>
      </c>
      <c r="G27" s="350">
        <v>1601.5</v>
      </c>
      <c r="H27" s="337" t="s">
        <v>330</v>
      </c>
      <c r="I27" s="337" t="s">
        <v>922</v>
      </c>
      <c r="J27" s="341">
        <v>6600</v>
      </c>
      <c r="K27" s="342">
        <v>0.85</v>
      </c>
      <c r="L27" s="342">
        <v>0.95</v>
      </c>
      <c r="M27" s="342">
        <f t="shared" si="1"/>
        <v>173.49724733589912</v>
      </c>
      <c r="N27" s="342">
        <f t="shared" si="2"/>
        <v>1040.9834840153947</v>
      </c>
      <c r="O27" s="344">
        <f t="shared" si="85"/>
        <v>0.2</v>
      </c>
      <c r="P27" s="342">
        <v>40</v>
      </c>
      <c r="Q27" s="342">
        <v>0.16</v>
      </c>
      <c r="R27" s="342">
        <f t="shared" si="86"/>
        <v>111.88811188811189</v>
      </c>
      <c r="S27" s="344" t="s">
        <v>131</v>
      </c>
      <c r="T27" s="342" t="s">
        <v>333</v>
      </c>
      <c r="U27" s="344">
        <v>120</v>
      </c>
      <c r="V27" s="343" t="str">
        <f t="shared" si="87"/>
        <v>3C X 120</v>
      </c>
      <c r="W27" s="343"/>
      <c r="X27" s="343" t="s">
        <v>923</v>
      </c>
      <c r="Y27" s="592">
        <f>IF(S27="AIR",VLOOKUP(V27,'Catalogue Aluminium'!$B$101:$G$130,2,FALSE),IF(S27="GROUND",VLOOKUP(V27,'Catalogue Aluminium'!$B$101:$G$130,3,FALSE),IF(S27="DUCT",VLOOKUP(V27,'Catalogue Aluminium'!$B$101:$G$130,4,FALSE),IF(S27="TRENCH",VLOOKUP(V27,'Catalogue Aluminium'!$B$101:$G$130,2,FALSE)))))</f>
        <v>274</v>
      </c>
      <c r="Z27" s="593">
        <f>VLOOKUP(V27,'Catalogue Aluminium'!$B$101:$G$130,5,FALSE)</f>
        <v>0.32500000000000001</v>
      </c>
      <c r="AA27" s="593">
        <f>VLOOKUP(V27,'Catalogue Aluminium'!$B$101:$G$130,6,FALSE)</f>
        <v>0.09</v>
      </c>
      <c r="AB27" s="346">
        <f>30+15</f>
        <v>45</v>
      </c>
      <c r="AC27" s="346">
        <f>(12+32+105+46+40+36+20)+20</f>
        <v>311</v>
      </c>
      <c r="AD27" s="346">
        <v>15</v>
      </c>
      <c r="AE27" s="347">
        <f t="shared" si="88"/>
        <v>371</v>
      </c>
      <c r="AF27" s="592">
        <f>IF(S27="AIR",'Catalogue Aluminium'!$K$101,IF(S27="TRENCH",'Catalogue Aluminium'!$K$104,"NA"))</f>
        <v>0.91</v>
      </c>
      <c r="AG27" s="594">
        <f>IF(S27="Air",(IF(T27="1C",'Catalogue Aluminium'!$L$101,'Catalogue Aluminium'!$M$101)),IF(S27="DUCT",(IF($T27="1C",'Catalogue Aluminium'!$L$102,'Catalogue Aluminium'!$M$102)),IF(S27="GROUND",(IF($T27="1C",'Catalogue Aluminium'!$L$103,'Catalogue Aluminium'!$M$103)),IF(S27="TRENCH",(IF($T27="1C",'Catalogue Aluminium'!$L$104,'Catalogue Aluminium'!$M$104))))))</f>
        <v>0.73</v>
      </c>
      <c r="AH27" s="592" t="str">
        <f>IF(S27="Air",'Catalogue Aluminium'!$N$101,IF(S27="GROUND",'Catalogue Aluminium'!$N$102,IF(S27="DUCT",'Catalogue Aluminium'!$N$103,IF(S27="TRENCH",'Catalogue Aluminium'!$N$104,"NA"))))</f>
        <v>NA</v>
      </c>
      <c r="AI27" s="592" t="str">
        <f>IF(S27="Air",(IF(T27="1C",'Catalogue Aluminium'!$O$101,'Catalogue Aluminium'!$P$101)),IF(S27="DUCT",(IF($T27="1C",'Catalogue Aluminium'!$O$102,'Catalogue Aluminium'!$P$102)),IF(S27="GROUND",(IF($T27="1C",'Catalogue Aluminium'!$O$103,'Catalogue Aluminium'!$P$103)),IF(S27="TRENCH",(IF($T27="1C",'Catalogue Aluminium'!$O$104,'Catalogue Aluminium'!$P$104))))))</f>
        <v>NA</v>
      </c>
      <c r="AJ27" s="592" t="str">
        <f>IF(S27="AIR","NA",IF(S27="TRENCH","NA",IF(S27="DUCT",IF(T27="1C",VLOOKUP(U27,'Catalogue Aluminium'!$Q$102:$S$113,2,FALSE),VLOOKUP(U27,'Catalogue Aluminium'!$Q$102:$S$113,3)),IF(S27="GROUND",IF(T27="1C",VLOOKUP(U27,'Catalogue Aluminium'!$Q$102:$S$113,2,FALSE),VLOOKUP(U27,'Catalogue Aluminium'!$Q$102:$S$113,3))))))</f>
        <v>NA</v>
      </c>
      <c r="AK27" s="348">
        <f t="shared" si="89"/>
        <v>0.6643</v>
      </c>
      <c r="AL27" s="342">
        <f t="shared" si="90"/>
        <v>182.01820000000001</v>
      </c>
      <c r="AM27" s="595">
        <f t="shared" si="57"/>
        <v>1</v>
      </c>
      <c r="AN27" s="350" t="str">
        <f t="shared" si="91"/>
        <v>YES</v>
      </c>
      <c r="AO27" s="596">
        <f t="shared" si="9"/>
        <v>0.54672988407605805</v>
      </c>
      <c r="AP27" s="597" t="str">
        <f t="shared" si="10"/>
        <v>YES</v>
      </c>
      <c r="AQ27" s="598">
        <f t="shared" si="11"/>
        <v>56.154195739060519</v>
      </c>
      <c r="AR27" s="599">
        <f t="shared" si="12"/>
        <v>5876675.7435803497</v>
      </c>
      <c r="AS27" s="596">
        <f t="shared" si="13"/>
        <v>3.2803793044563481</v>
      </c>
      <c r="AT27" s="596" t="str">
        <f t="shared" si="14"/>
        <v>YES</v>
      </c>
      <c r="AU27" s="351" t="str">
        <f t="shared" si="51"/>
        <v>1R x 0.6/1kV x 3C x 120 Sqmm</v>
      </c>
      <c r="AV27" s="343">
        <f t="shared" si="32"/>
        <v>371</v>
      </c>
      <c r="AW27" s="355">
        <f t="shared" si="29"/>
        <v>2</v>
      </c>
      <c r="AX27" s="348"/>
      <c r="AY27" s="600">
        <v>56</v>
      </c>
      <c r="AZ27" s="344">
        <f t="shared" si="61"/>
        <v>56</v>
      </c>
      <c r="BA27" s="1029"/>
    </row>
    <row r="28" spans="1:53" ht="35.1" customHeight="1">
      <c r="A28" s="337">
        <f t="shared" si="49"/>
        <v>14</v>
      </c>
      <c r="B28" s="372" t="s">
        <v>947</v>
      </c>
      <c r="C28" s="337" t="s">
        <v>921</v>
      </c>
      <c r="D28" s="417" t="s">
        <v>948</v>
      </c>
      <c r="E28" s="343">
        <v>31</v>
      </c>
      <c r="F28" s="340" t="s">
        <v>62</v>
      </c>
      <c r="G28" s="350">
        <v>713.6</v>
      </c>
      <c r="H28" s="337" t="s">
        <v>330</v>
      </c>
      <c r="I28" s="337" t="s">
        <v>922</v>
      </c>
      <c r="J28" s="341">
        <v>6600</v>
      </c>
      <c r="K28" s="342">
        <v>0.85</v>
      </c>
      <c r="L28" s="342">
        <v>0.95</v>
      </c>
      <c r="M28" s="342">
        <f t="shared" ref="M28:M30" si="92">IF(H28="kVA",IF(I28="3Phase",(G28*1000/(1.732*L28*J28)),(G28*1000/(L28*J28))),IF(H28="kW",IF(I28="3Phase",(G28*1000/(1.732*L28*J28*K28)),(G28*1000/(L28*J28*K28)))))</f>
        <v>77.307296721134946</v>
      </c>
      <c r="N28" s="342">
        <f t="shared" ref="N28:N30" si="93">IF(F28="M",IF(G28&gt;=600,6*M28,IF(G28&lt;600,6*M28)),0)</f>
        <v>463.84378032680968</v>
      </c>
      <c r="O28" s="344">
        <f t="shared" si="85"/>
        <v>0.2</v>
      </c>
      <c r="P28" s="342">
        <v>40</v>
      </c>
      <c r="Q28" s="342">
        <v>0.16</v>
      </c>
      <c r="R28" s="342">
        <f t="shared" si="86"/>
        <v>111.88811188811189</v>
      </c>
      <c r="S28" s="344" t="s">
        <v>131</v>
      </c>
      <c r="T28" s="342" t="s">
        <v>333</v>
      </c>
      <c r="U28" s="344">
        <v>120</v>
      </c>
      <c r="V28" s="343" t="str">
        <f t="shared" si="87"/>
        <v>3C X 120</v>
      </c>
      <c r="W28" s="343"/>
      <c r="X28" s="343" t="s">
        <v>923</v>
      </c>
      <c r="Y28" s="592">
        <f>IF(S28="AIR",VLOOKUP(V28,'Catalogue Aluminium'!$B$101:$G$130,2,FALSE),IF(S28="GROUND",VLOOKUP(V28,'Catalogue Aluminium'!$B$101:$G$130,3,FALSE),IF(S28="DUCT",VLOOKUP(V28,'Catalogue Aluminium'!$B$101:$G$130,4,FALSE),IF(S28="TRENCH",VLOOKUP(V28,'Catalogue Aluminium'!$B$101:$G$130,2,FALSE)))))</f>
        <v>274</v>
      </c>
      <c r="Z28" s="593">
        <f>VLOOKUP(V28,'Catalogue Aluminium'!$B$101:$G$130,5,FALSE)</f>
        <v>0.32500000000000001</v>
      </c>
      <c r="AA28" s="593">
        <f>VLOOKUP(V28,'Catalogue Aluminium'!$B$101:$G$130,6,FALSE)</f>
        <v>0.09</v>
      </c>
      <c r="AB28" s="346">
        <f t="shared" ref="AB28:AB30" si="94">30+15</f>
        <v>45</v>
      </c>
      <c r="AC28" s="346">
        <f>(12+32+105+46+36+20)+20</f>
        <v>271</v>
      </c>
      <c r="AD28" s="346">
        <v>15</v>
      </c>
      <c r="AE28" s="347">
        <f t="shared" si="88"/>
        <v>331</v>
      </c>
      <c r="AF28" s="592">
        <f>IF(S28="AIR",'Catalogue Aluminium'!$K$101,IF(S28="TRENCH",'Catalogue Aluminium'!$K$104,"NA"))</f>
        <v>0.91</v>
      </c>
      <c r="AG28" s="594">
        <f>IF(S28="Air",(IF(T28="1C",'Catalogue Aluminium'!$L$101,'Catalogue Aluminium'!$M$101)),IF(S28="DUCT",(IF($T28="1C",'Catalogue Aluminium'!$L$102,'Catalogue Aluminium'!$M$102)),IF(S28="GROUND",(IF($T28="1C",'Catalogue Aluminium'!$L$103,'Catalogue Aluminium'!$M$103)),IF(S28="TRENCH",(IF($T28="1C",'Catalogue Aluminium'!$L$104,'Catalogue Aluminium'!$M$104))))))</f>
        <v>0.73</v>
      </c>
      <c r="AH28" s="592" t="str">
        <f>IF(S28="Air",'Catalogue Aluminium'!$N$101,IF(S28="GROUND",'Catalogue Aluminium'!$N$102,IF(S28="DUCT",'Catalogue Aluminium'!$N$103,IF(S28="TRENCH",'Catalogue Aluminium'!$N$104,"NA"))))</f>
        <v>NA</v>
      </c>
      <c r="AI28" s="592" t="str">
        <f>IF(S28="Air",(IF(T28="1C",'Catalogue Aluminium'!$O$101,'Catalogue Aluminium'!$P$101)),IF(S28="DUCT",(IF($T28="1C",'Catalogue Aluminium'!$O$102,'Catalogue Aluminium'!$P$102)),IF(S28="GROUND",(IF($T28="1C",'Catalogue Aluminium'!$O$103,'Catalogue Aluminium'!$P$103)),IF(S28="TRENCH",(IF($T28="1C",'Catalogue Aluminium'!$O$104,'Catalogue Aluminium'!$P$104))))))</f>
        <v>NA</v>
      </c>
      <c r="AJ28" s="592" t="str">
        <f>IF(S28="AIR","NA",IF(S28="TRENCH","NA",IF(S28="DUCT",IF(T28="1C",VLOOKUP(U28,'Catalogue Aluminium'!$Q$102:$S$113,2,FALSE),VLOOKUP(U28,'Catalogue Aluminium'!$Q$102:$S$113,3)),IF(S28="GROUND",IF(T28="1C",VLOOKUP(U28,'Catalogue Aluminium'!$Q$102:$S$113,2,FALSE),VLOOKUP(U28,'Catalogue Aluminium'!$Q$102:$S$113,3))))))</f>
        <v>NA</v>
      </c>
      <c r="AK28" s="348">
        <f t="shared" si="89"/>
        <v>0.6643</v>
      </c>
      <c r="AL28" s="342">
        <f t="shared" si="90"/>
        <v>182.01820000000001</v>
      </c>
      <c r="AM28" s="595">
        <f t="shared" si="57"/>
        <v>1</v>
      </c>
      <c r="AN28" s="350" t="str">
        <f t="shared" si="91"/>
        <v>YES</v>
      </c>
      <c r="AO28" s="596">
        <f t="shared" si="9"/>
        <v>0.21734757321779605</v>
      </c>
      <c r="AP28" s="597" t="str">
        <f t="shared" si="10"/>
        <v>YES</v>
      </c>
      <c r="AQ28" s="598">
        <f t="shared" si="11"/>
        <v>25.021313817916695</v>
      </c>
      <c r="AR28" s="599">
        <f t="shared" si="12"/>
        <v>13188755.890336225</v>
      </c>
      <c r="AS28" s="596">
        <f t="shared" si="13"/>
        <v>1.3040854393067765</v>
      </c>
      <c r="AT28" s="596" t="str">
        <f t="shared" si="14"/>
        <v>YES</v>
      </c>
      <c r="AU28" s="351" t="str">
        <f t="shared" si="51"/>
        <v>1R x 0.6/1kV x 3C x 120 Sqmm</v>
      </c>
      <c r="AV28" s="343">
        <f t="shared" si="32"/>
        <v>331</v>
      </c>
      <c r="AW28" s="355">
        <f t="shared" si="29"/>
        <v>2</v>
      </c>
      <c r="AX28" s="348"/>
      <c r="AY28" s="600">
        <v>56</v>
      </c>
      <c r="AZ28" s="344">
        <f t="shared" si="61"/>
        <v>56</v>
      </c>
      <c r="BA28" s="1029"/>
    </row>
    <row r="29" spans="1:53" ht="35.1" customHeight="1">
      <c r="A29" s="337">
        <f t="shared" si="49"/>
        <v>15</v>
      </c>
      <c r="B29" s="372" t="s">
        <v>949</v>
      </c>
      <c r="C29" s="337" t="s">
        <v>921</v>
      </c>
      <c r="D29" s="417" t="s">
        <v>948</v>
      </c>
      <c r="E29" s="343">
        <v>31</v>
      </c>
      <c r="F29" s="340" t="s">
        <v>62</v>
      </c>
      <c r="G29" s="350">
        <v>713.6</v>
      </c>
      <c r="H29" s="337" t="s">
        <v>330</v>
      </c>
      <c r="I29" s="337" t="s">
        <v>922</v>
      </c>
      <c r="J29" s="341">
        <v>6600</v>
      </c>
      <c r="K29" s="342">
        <v>0.85</v>
      </c>
      <c r="L29" s="342">
        <v>0.95</v>
      </c>
      <c r="M29" s="342">
        <f t="shared" si="92"/>
        <v>77.307296721134946</v>
      </c>
      <c r="N29" s="342">
        <f t="shared" si="93"/>
        <v>463.84378032680968</v>
      </c>
      <c r="O29" s="344">
        <f t="shared" si="85"/>
        <v>0.2</v>
      </c>
      <c r="P29" s="342">
        <v>40</v>
      </c>
      <c r="Q29" s="342">
        <v>0.16</v>
      </c>
      <c r="R29" s="342">
        <f t="shared" si="86"/>
        <v>111.88811188811189</v>
      </c>
      <c r="S29" s="344" t="s">
        <v>131</v>
      </c>
      <c r="T29" s="342" t="s">
        <v>333</v>
      </c>
      <c r="U29" s="344">
        <v>120</v>
      </c>
      <c r="V29" s="343" t="str">
        <f t="shared" si="87"/>
        <v>3C X 120</v>
      </c>
      <c r="W29" s="343"/>
      <c r="X29" s="343" t="s">
        <v>923</v>
      </c>
      <c r="Y29" s="592">
        <f>IF(S29="AIR",VLOOKUP(V29,'Catalogue Aluminium'!$B$101:$G$130,2,FALSE),IF(S29="GROUND",VLOOKUP(V29,'Catalogue Aluminium'!$B$101:$G$130,3,FALSE),IF(S29="DUCT",VLOOKUP(V29,'Catalogue Aluminium'!$B$101:$G$130,4,FALSE),IF(S29="TRENCH",VLOOKUP(V29,'Catalogue Aluminium'!$B$101:$G$130,2,FALSE)))))</f>
        <v>274</v>
      </c>
      <c r="Z29" s="593">
        <f>VLOOKUP(V29,'Catalogue Aluminium'!$B$101:$G$130,5,FALSE)</f>
        <v>0.32500000000000001</v>
      </c>
      <c r="AA29" s="593">
        <f>VLOOKUP(V29,'Catalogue Aluminium'!$B$101:$G$130,6,FALSE)</f>
        <v>0.09</v>
      </c>
      <c r="AB29" s="346">
        <f t="shared" si="94"/>
        <v>45</v>
      </c>
      <c r="AC29" s="346">
        <f t="shared" ref="AC29:AC30" si="95">(12+32+105+46+36+20)+20</f>
        <v>271</v>
      </c>
      <c r="AD29" s="346">
        <v>15</v>
      </c>
      <c r="AE29" s="347">
        <f t="shared" ref="AE29:AE31" si="96">SUM(AB29:AD29)</f>
        <v>331</v>
      </c>
      <c r="AF29" s="592">
        <f>IF(S29="AIR",'Catalogue Aluminium'!$K$101,IF(S29="TRENCH",'Catalogue Aluminium'!$K$104,"NA"))</f>
        <v>0.91</v>
      </c>
      <c r="AG29" s="594">
        <f>IF(S29="Air",(IF(T29="1C",'Catalogue Aluminium'!$L$101,'Catalogue Aluminium'!$M$101)),IF(S29="DUCT",(IF($T29="1C",'Catalogue Aluminium'!$L$102,'Catalogue Aluminium'!$M$102)),IF(S29="GROUND",(IF($T29="1C",'Catalogue Aluminium'!$L$103,'Catalogue Aluminium'!$M$103)),IF(S29="TRENCH",(IF($T29="1C",'Catalogue Aluminium'!$L$104,'Catalogue Aluminium'!$M$104))))))</f>
        <v>0.73</v>
      </c>
      <c r="AH29" s="592" t="str">
        <f>IF(S29="Air",'Catalogue Aluminium'!$N$101,IF(S29="GROUND",'Catalogue Aluminium'!$N$102,IF(S29="DUCT",'Catalogue Aluminium'!$N$103,IF(S29="TRENCH",'Catalogue Aluminium'!$N$104,"NA"))))</f>
        <v>NA</v>
      </c>
      <c r="AI29" s="592" t="str">
        <f>IF(S29="Air",(IF(T29="1C",'Catalogue Aluminium'!$O$101,'Catalogue Aluminium'!$P$101)),IF(S29="DUCT",(IF($T29="1C",'Catalogue Aluminium'!$O$102,'Catalogue Aluminium'!$P$102)),IF(S29="GROUND",(IF($T29="1C",'Catalogue Aluminium'!$O$103,'Catalogue Aluminium'!$P$103)),IF(S29="TRENCH",(IF($T29="1C",'Catalogue Aluminium'!$O$104,'Catalogue Aluminium'!$P$104))))))</f>
        <v>NA</v>
      </c>
      <c r="AJ29" s="592" t="str">
        <f>IF(S29="AIR","NA",IF(S29="TRENCH","NA",IF(S29="DUCT",IF(T29="1C",VLOOKUP(U29,'Catalogue Aluminium'!$Q$102:$S$113,2,FALSE),VLOOKUP(U29,'Catalogue Aluminium'!$Q$102:$S$113,3)),IF(S29="GROUND",IF(T29="1C",VLOOKUP(U29,'Catalogue Aluminium'!$Q$102:$S$113,2,FALSE),VLOOKUP(U29,'Catalogue Aluminium'!$Q$102:$S$113,3))))))</f>
        <v>NA</v>
      </c>
      <c r="AK29" s="348">
        <f t="shared" si="89"/>
        <v>0.6643</v>
      </c>
      <c r="AL29" s="342">
        <f t="shared" si="90"/>
        <v>182.01820000000001</v>
      </c>
      <c r="AM29" s="595">
        <f t="shared" si="57"/>
        <v>1</v>
      </c>
      <c r="AN29" s="350" t="str">
        <f t="shared" si="91"/>
        <v>YES</v>
      </c>
      <c r="AO29" s="596">
        <f t="shared" si="9"/>
        <v>0.21734757321779605</v>
      </c>
      <c r="AP29" s="597" t="str">
        <f t="shared" si="10"/>
        <v>YES</v>
      </c>
      <c r="AQ29" s="598">
        <f t="shared" si="11"/>
        <v>25.021313817916695</v>
      </c>
      <c r="AR29" s="599">
        <f t="shared" si="12"/>
        <v>13188755.890336225</v>
      </c>
      <c r="AS29" s="596">
        <f t="shared" si="13"/>
        <v>1.3040854393067765</v>
      </c>
      <c r="AT29" s="596" t="str">
        <f t="shared" si="14"/>
        <v>YES</v>
      </c>
      <c r="AU29" s="351" t="str">
        <f t="shared" si="51"/>
        <v>1R x 0.6/1kV x 3C x 120 Sqmm</v>
      </c>
      <c r="AV29" s="343">
        <f t="shared" si="32"/>
        <v>331</v>
      </c>
      <c r="AW29" s="355">
        <f t="shared" si="29"/>
        <v>2</v>
      </c>
      <c r="AX29" s="348"/>
      <c r="AY29" s="600">
        <v>56</v>
      </c>
      <c r="AZ29" s="344">
        <f t="shared" si="61"/>
        <v>56</v>
      </c>
      <c r="BA29" s="1029"/>
    </row>
    <row r="30" spans="1:53" ht="35.1" customHeight="1">
      <c r="A30" s="337">
        <f t="shared" si="49"/>
        <v>16</v>
      </c>
      <c r="B30" s="372" t="s">
        <v>950</v>
      </c>
      <c r="C30" s="337" t="s">
        <v>921</v>
      </c>
      <c r="D30" s="417" t="s">
        <v>948</v>
      </c>
      <c r="E30" s="343">
        <v>31</v>
      </c>
      <c r="F30" s="340" t="s">
        <v>62</v>
      </c>
      <c r="G30" s="350">
        <v>713.6</v>
      </c>
      <c r="H30" s="337" t="s">
        <v>330</v>
      </c>
      <c r="I30" s="337" t="s">
        <v>922</v>
      </c>
      <c r="J30" s="341">
        <v>6600</v>
      </c>
      <c r="K30" s="342">
        <v>0.85</v>
      </c>
      <c r="L30" s="342">
        <v>0.95</v>
      </c>
      <c r="M30" s="342">
        <f t="shared" si="92"/>
        <v>77.307296721134946</v>
      </c>
      <c r="N30" s="342">
        <f t="shared" si="93"/>
        <v>463.84378032680968</v>
      </c>
      <c r="O30" s="344">
        <f t="shared" si="85"/>
        <v>0.2</v>
      </c>
      <c r="P30" s="342">
        <v>40</v>
      </c>
      <c r="Q30" s="342">
        <v>0.16</v>
      </c>
      <c r="R30" s="342">
        <f t="shared" si="86"/>
        <v>111.88811188811189</v>
      </c>
      <c r="S30" s="344" t="s">
        <v>131</v>
      </c>
      <c r="T30" s="342" t="s">
        <v>333</v>
      </c>
      <c r="U30" s="344">
        <v>120</v>
      </c>
      <c r="V30" s="343" t="str">
        <f t="shared" si="87"/>
        <v>3C X 120</v>
      </c>
      <c r="W30" s="343"/>
      <c r="X30" s="343" t="s">
        <v>923</v>
      </c>
      <c r="Y30" s="592">
        <f>IF(S30="AIR",VLOOKUP(V30,'Catalogue Aluminium'!$B$101:$G$130,2,FALSE),IF(S30="GROUND",VLOOKUP(V30,'Catalogue Aluminium'!$B$101:$G$130,3,FALSE),IF(S30="DUCT",VLOOKUP(V30,'Catalogue Aluminium'!$B$101:$G$130,4,FALSE),IF(S30="TRENCH",VLOOKUP(V30,'Catalogue Aluminium'!$B$101:$G$130,2,FALSE)))))</f>
        <v>274</v>
      </c>
      <c r="Z30" s="593">
        <f>VLOOKUP(V30,'Catalogue Aluminium'!$B$101:$G$130,5,FALSE)</f>
        <v>0.32500000000000001</v>
      </c>
      <c r="AA30" s="593">
        <f>VLOOKUP(V30,'Catalogue Aluminium'!$B$101:$G$130,6,FALSE)</f>
        <v>0.09</v>
      </c>
      <c r="AB30" s="346">
        <f t="shared" si="94"/>
        <v>45</v>
      </c>
      <c r="AC30" s="346">
        <f t="shared" si="95"/>
        <v>271</v>
      </c>
      <c r="AD30" s="346">
        <v>15</v>
      </c>
      <c r="AE30" s="347">
        <f t="shared" si="96"/>
        <v>331</v>
      </c>
      <c r="AF30" s="592">
        <f>IF(S30="AIR",'Catalogue Aluminium'!$K$101,IF(S30="TRENCH",'Catalogue Aluminium'!$K$104,"NA"))</f>
        <v>0.91</v>
      </c>
      <c r="AG30" s="594">
        <f>IF(S30="Air",(IF(T30="1C",'Catalogue Aluminium'!$L$101,'Catalogue Aluminium'!$M$101)),IF(S30="DUCT",(IF($T30="1C",'Catalogue Aluminium'!$L$102,'Catalogue Aluminium'!$M$102)),IF(S30="GROUND",(IF($T30="1C",'Catalogue Aluminium'!$L$103,'Catalogue Aluminium'!$M$103)),IF(S30="TRENCH",(IF($T30="1C",'Catalogue Aluminium'!$L$104,'Catalogue Aluminium'!$M$104))))))</f>
        <v>0.73</v>
      </c>
      <c r="AH30" s="592" t="str">
        <f>IF(S30="Air",'Catalogue Aluminium'!$N$101,IF(S30="GROUND",'Catalogue Aluminium'!$N$102,IF(S30="DUCT",'Catalogue Aluminium'!$N$103,IF(S30="TRENCH",'Catalogue Aluminium'!$N$104,"NA"))))</f>
        <v>NA</v>
      </c>
      <c r="AI30" s="592" t="str">
        <f>IF(S30="Air",(IF(T30="1C",'Catalogue Aluminium'!$O$101,'Catalogue Aluminium'!$P$101)),IF(S30="DUCT",(IF($T30="1C",'Catalogue Aluminium'!$O$102,'Catalogue Aluminium'!$P$102)),IF(S30="GROUND",(IF($T30="1C",'Catalogue Aluminium'!$O$103,'Catalogue Aluminium'!$P$103)),IF(S30="TRENCH",(IF($T30="1C",'Catalogue Aluminium'!$O$104,'Catalogue Aluminium'!$P$104))))))</f>
        <v>NA</v>
      </c>
      <c r="AJ30" s="592" t="str">
        <f>IF(S30="AIR","NA",IF(S30="TRENCH","NA",IF(S30="DUCT",IF(T30="1C",VLOOKUP(U30,'Catalogue Aluminium'!$Q$102:$S$113,2,FALSE),VLOOKUP(U30,'Catalogue Aluminium'!$Q$102:$S$113,3)),IF(S30="GROUND",IF(T30="1C",VLOOKUP(U30,'Catalogue Aluminium'!$Q$102:$S$113,2,FALSE),VLOOKUP(U30,'Catalogue Aluminium'!$Q$102:$S$113,3))))))</f>
        <v>NA</v>
      </c>
      <c r="AK30" s="348">
        <f t="shared" si="89"/>
        <v>0.6643</v>
      </c>
      <c r="AL30" s="342">
        <f t="shared" si="90"/>
        <v>182.01820000000001</v>
      </c>
      <c r="AM30" s="595">
        <f t="shared" si="57"/>
        <v>1</v>
      </c>
      <c r="AN30" s="350" t="str">
        <f t="shared" si="91"/>
        <v>YES</v>
      </c>
      <c r="AO30" s="596">
        <f t="shared" si="9"/>
        <v>0.21734757321779605</v>
      </c>
      <c r="AP30" s="597" t="str">
        <f t="shared" si="10"/>
        <v>YES</v>
      </c>
      <c r="AQ30" s="598">
        <f t="shared" si="11"/>
        <v>25.021313817916695</v>
      </c>
      <c r="AR30" s="599">
        <f t="shared" si="12"/>
        <v>13188755.890336225</v>
      </c>
      <c r="AS30" s="596">
        <f t="shared" si="13"/>
        <v>1.3040854393067765</v>
      </c>
      <c r="AT30" s="596" t="str">
        <f t="shared" si="14"/>
        <v>YES</v>
      </c>
      <c r="AU30" s="351" t="str">
        <f t="shared" si="51"/>
        <v>1R x 0.6/1kV x 3C x 120 Sqmm</v>
      </c>
      <c r="AV30" s="343">
        <f t="shared" si="32"/>
        <v>331</v>
      </c>
      <c r="AW30" s="355">
        <f t="shared" si="29"/>
        <v>2</v>
      </c>
      <c r="AX30" s="348"/>
      <c r="AY30" s="600">
        <v>56</v>
      </c>
      <c r="AZ30" s="344">
        <f t="shared" si="61"/>
        <v>56</v>
      </c>
      <c r="BA30" s="1029"/>
    </row>
    <row r="31" spans="1:53" ht="35.1" customHeight="1">
      <c r="A31" s="337">
        <f>A24+1</f>
        <v>19</v>
      </c>
      <c r="B31" s="372" t="s">
        <v>951</v>
      </c>
      <c r="C31" s="337" t="s">
        <v>921</v>
      </c>
      <c r="D31" s="339"/>
      <c r="E31" s="339"/>
      <c r="F31" s="340" t="s">
        <v>66</v>
      </c>
      <c r="G31" s="343">
        <f>2809.52*0.85</f>
        <v>2388.0920000000001</v>
      </c>
      <c r="H31" s="337" t="s">
        <v>330</v>
      </c>
      <c r="I31" s="337" t="s">
        <v>922</v>
      </c>
      <c r="J31" s="341">
        <v>6600</v>
      </c>
      <c r="K31" s="342">
        <v>0.85</v>
      </c>
      <c r="L31" s="342">
        <v>1</v>
      </c>
      <c r="M31" s="342">
        <f t="shared" ref="M31" si="97">IF(H31="kVA",IF(I31="3Phase",(G31*1000/(1.732*L31*J31)),(G31*1000/(L31*J31))),IF(H31="kW",IF(I31="3Phase",(G31*1000/(1.732*L31*J31*K31)),(G31*1000/(L31*J31*K31)))))</f>
        <v>245.77647141157533</v>
      </c>
      <c r="N31" s="342">
        <f t="shared" ref="N31" si="98">IF(F31="M",IF(G31&gt;=600,6*M31,IF(G31&lt;600,6*M31)),0)</f>
        <v>0</v>
      </c>
      <c r="O31" s="344" t="str">
        <f>IF(F31="M",0.2,"0.00")</f>
        <v>0.00</v>
      </c>
      <c r="P31" s="342">
        <v>40</v>
      </c>
      <c r="Q31" s="342">
        <v>0.16</v>
      </c>
      <c r="R31" s="342">
        <f t="shared" ref="R31" si="99">(P31*1000*SQRT(Q31)/143)</f>
        <v>111.88811188811189</v>
      </c>
      <c r="S31" s="344" t="s">
        <v>131</v>
      </c>
      <c r="T31" s="342" t="s">
        <v>333</v>
      </c>
      <c r="U31" s="344">
        <v>120</v>
      </c>
      <c r="V31" s="343" t="str">
        <f t="shared" ref="V31" si="100">CONCATENATE(T31," X ",U31)</f>
        <v>3C X 120</v>
      </c>
      <c r="W31" s="343"/>
      <c r="X31" s="343" t="s">
        <v>923</v>
      </c>
      <c r="Y31" s="592">
        <f>IF(S31="AIR",VLOOKUP(V31,'Catalogue Aluminium'!$B$101:$G$130,2,FALSE),IF(S31="GROUND",VLOOKUP(V31,'Catalogue Aluminium'!$B$101:$G$130,3,FALSE),IF(S31="DUCT",VLOOKUP(V31,'Catalogue Aluminium'!$B$101:$G$130,4,FALSE),IF(S31="TRENCH",VLOOKUP(V31,'Catalogue Aluminium'!$B$101:$G$130,2,FALSE)))))</f>
        <v>274</v>
      </c>
      <c r="Z31" s="593">
        <f>VLOOKUP(V31,'Catalogue Aluminium'!$B$101:$G$130,5,FALSE)</f>
        <v>0.32500000000000001</v>
      </c>
      <c r="AA31" s="593">
        <f>VLOOKUP(V31,'Catalogue Aluminium'!$B$101:$G$130,6,FALSE)</f>
        <v>0.09</v>
      </c>
      <c r="AB31" s="346">
        <v>15</v>
      </c>
      <c r="AC31" s="346">
        <v>0</v>
      </c>
      <c r="AD31" s="346">
        <v>10</v>
      </c>
      <c r="AE31" s="347">
        <f t="shared" si="96"/>
        <v>25</v>
      </c>
      <c r="AF31" s="592">
        <f>IF(S31="AIR",'Catalogue Aluminium'!$K$101,IF(S31="TRENCH",'Catalogue Aluminium'!$K$104,"NA"))</f>
        <v>0.91</v>
      </c>
      <c r="AG31" s="594">
        <f>IF(S31="Air",(IF(T31="1C",'Catalogue Aluminium'!$L$101,'Catalogue Aluminium'!$M$101)),IF(S31="DUCT",(IF($T31="1C",'Catalogue Aluminium'!$L$102,'Catalogue Aluminium'!$M$102)),IF(S31="GROUND",(IF($T31="1C",'Catalogue Aluminium'!$L$103,'Catalogue Aluminium'!$M$103)),IF(S31="TRENCH",(IF($T31="1C",'Catalogue Aluminium'!$L$104,'Catalogue Aluminium'!$M$104))))))</f>
        <v>0.73</v>
      </c>
      <c r="AH31" s="592" t="str">
        <f>IF(S31="Air",'Catalogue Aluminium'!$N$101,IF(S31="GROUND",'Catalogue Aluminium'!$N$102,IF(S31="DUCT",'Catalogue Aluminium'!$N$103,IF(S31="TRENCH",'Catalogue Aluminium'!$N$104,"NA"))))</f>
        <v>NA</v>
      </c>
      <c r="AI31" s="592" t="str">
        <f>IF(S31="Air",(IF(T31="1C",'Catalogue Aluminium'!$O$101,'Catalogue Aluminium'!$P$101)),IF(S31="DUCT",(IF($T31="1C",'Catalogue Aluminium'!$O$102,'Catalogue Aluminium'!$P$102)),IF(S31="GROUND",(IF($T31="1C",'Catalogue Aluminium'!$O$103,'Catalogue Aluminium'!$P$103)),IF(S31="TRENCH",(IF($T31="1C",'Catalogue Aluminium'!$O$104,'Catalogue Aluminium'!$P$104))))))</f>
        <v>NA</v>
      </c>
      <c r="AJ31" s="592" t="str">
        <f>IF(S31="AIR","NA",IF(S31="TRENCH","NA",IF(S31="DUCT",IF(T31="1C",VLOOKUP(U31,'Catalogue Aluminium'!$Q$102:$S$113,2,FALSE),VLOOKUP(U31,'Catalogue Aluminium'!$Q$102:$S$113,3)),IF(S31="GROUND",IF(T31="1C",VLOOKUP(U31,'Catalogue Aluminium'!$Q$102:$S$113,2,FALSE),VLOOKUP(U31,'Catalogue Aluminium'!$Q$102:$S$113,3))))))</f>
        <v>NA</v>
      </c>
      <c r="AK31" s="348">
        <f t="shared" ref="AK31" si="101">IF(S31="AIR",AF31*AG31,IF(S31="TRENCH",AF31*AG31,IF(S31="DUCT",AG31*AH31*AI31*AJ31,IF(S31="GROUND",AG31*AH31*AI31*AJ31))))</f>
        <v>0.6643</v>
      </c>
      <c r="AL31" s="342">
        <f t="shared" ref="AL31" si="102">Y31*AK31</f>
        <v>182.01820000000001</v>
      </c>
      <c r="AM31" s="595">
        <f>CEILING(((M31)/AL31),1)</f>
        <v>2</v>
      </c>
      <c r="AN31" s="350" t="str">
        <f t="shared" ref="AN31" si="103">IF(AL31*AM31&gt;=M31,"YES","NO")</f>
        <v>YES</v>
      </c>
      <c r="AO31" s="596">
        <f t="shared" si="9"/>
        <v>2.6094959812919948E-2</v>
      </c>
      <c r="AP31" s="597" t="str">
        <f t="shared" si="10"/>
        <v>YES</v>
      </c>
      <c r="AQ31" s="598">
        <f t="shared" si="11"/>
        <v>79.548121342703894</v>
      </c>
      <c r="AR31" s="599">
        <f t="shared" si="12"/>
        <v>8296864.7010107525</v>
      </c>
      <c r="AS31" s="596" t="str">
        <f t="shared" si="13"/>
        <v>NA</v>
      </c>
      <c r="AT31" s="596" t="str">
        <f t="shared" si="14"/>
        <v>NA</v>
      </c>
      <c r="AU31" s="351" t="str">
        <f t="shared" si="51"/>
        <v>2R x 0.6/1kV x 3C x 120 Sqmm</v>
      </c>
      <c r="AV31" s="343">
        <f t="shared" si="32"/>
        <v>50</v>
      </c>
      <c r="AW31" s="355">
        <f t="shared" si="29"/>
        <v>4</v>
      </c>
      <c r="AX31" s="348"/>
      <c r="AY31" s="600">
        <v>56</v>
      </c>
      <c r="AZ31" s="344">
        <f t="shared" si="61"/>
        <v>112</v>
      </c>
    </row>
    <row r="32" spans="1:53" ht="20.100000000000001" customHeight="1">
      <c r="A32" s="616"/>
      <c r="B32" s="372"/>
      <c r="C32" s="339"/>
      <c r="D32" s="339"/>
      <c r="E32" s="339"/>
      <c r="F32" s="340"/>
      <c r="G32" s="342"/>
      <c r="H32" s="337"/>
      <c r="I32" s="337"/>
      <c r="J32" s="341"/>
      <c r="K32" s="342"/>
      <c r="L32" s="342"/>
      <c r="M32" s="342"/>
      <c r="N32" s="606"/>
      <c r="O32" s="344"/>
      <c r="P32" s="342"/>
      <c r="Q32" s="342"/>
      <c r="R32" s="342"/>
      <c r="S32" s="344"/>
      <c r="T32" s="342"/>
      <c r="U32" s="344"/>
      <c r="V32" s="343"/>
      <c r="W32" s="343"/>
      <c r="X32" s="343"/>
      <c r="Y32" s="592"/>
      <c r="Z32" s="593"/>
      <c r="AA32" s="593"/>
      <c r="AB32" s="593"/>
      <c r="AC32" s="593"/>
      <c r="AD32" s="593"/>
      <c r="AE32" s="617"/>
      <c r="AF32" s="592"/>
      <c r="AG32" s="594"/>
      <c r="AH32" s="592"/>
      <c r="AI32" s="592"/>
      <c r="AJ32" s="592"/>
      <c r="AK32" s="348"/>
      <c r="AL32" s="342"/>
      <c r="AM32" s="618"/>
      <c r="AN32" s="342"/>
      <c r="AO32" s="348"/>
      <c r="AP32" s="344"/>
      <c r="AQ32" s="619"/>
      <c r="AR32" s="619"/>
      <c r="AS32" s="348"/>
      <c r="AT32" s="348"/>
      <c r="AU32" s="348"/>
      <c r="AV32" s="348"/>
      <c r="AW32" s="348"/>
      <c r="AX32" s="348"/>
    </row>
    <row r="33" spans="1:51" s="41" customFormat="1" ht="26.25" hidden="1" customHeight="1">
      <c r="A33" s="463"/>
      <c r="B33" s="464"/>
      <c r="C33" s="463"/>
      <c r="D33" s="463"/>
      <c r="E33" s="463"/>
      <c r="F33" s="463"/>
      <c r="G33" s="463"/>
      <c r="H33" s="463"/>
      <c r="I33" s="463"/>
      <c r="J33" s="463"/>
      <c r="K33" s="463"/>
      <c r="L33" s="463"/>
      <c r="M33" s="463"/>
      <c r="N33" s="463"/>
      <c r="O33" s="463"/>
      <c r="P33" s="463"/>
      <c r="Q33" s="463"/>
      <c r="R33" s="463"/>
      <c r="S33" s="463"/>
      <c r="T33" s="463"/>
      <c r="U33" s="463"/>
      <c r="V33" s="463"/>
      <c r="W33" s="463"/>
      <c r="X33" s="463"/>
      <c r="Y33" s="463"/>
      <c r="Z33" s="463"/>
      <c r="AA33" s="463"/>
      <c r="AB33" s="463"/>
      <c r="AC33" s="463"/>
      <c r="AD33" s="463"/>
      <c r="AE33" s="463"/>
      <c r="AF33" s="463"/>
      <c r="AG33" s="463"/>
      <c r="AH33" s="463"/>
      <c r="AI33" s="463"/>
      <c r="AJ33" s="463"/>
      <c r="AK33" s="463"/>
      <c r="AL33" s="463"/>
      <c r="AM33" s="620"/>
      <c r="AN33" s="463"/>
      <c r="AO33" s="463"/>
      <c r="AP33" s="463"/>
      <c r="AQ33" s="468"/>
      <c r="AR33" s="468"/>
      <c r="AS33" s="463"/>
      <c r="AT33" s="463"/>
      <c r="AU33" s="463"/>
      <c r="AV33" s="463">
        <f>SUM(AV7:AV32)</f>
        <v>7066</v>
      </c>
      <c r="AW33" s="463"/>
      <c r="AX33" s="463"/>
      <c r="AY33" s="38"/>
    </row>
    <row r="34" spans="1:51">
      <c r="H34" s="40"/>
      <c r="I34" s="40"/>
    </row>
    <row r="36" spans="1:51">
      <c r="AU36" s="13"/>
      <c r="AV36" s="13"/>
      <c r="AW36" s="13"/>
      <c r="AX36" s="13"/>
    </row>
    <row r="37" spans="1:51">
      <c r="AU37" s="13"/>
      <c r="AV37" s="13"/>
      <c r="AW37" s="13"/>
      <c r="AX37" s="13"/>
    </row>
    <row r="38" spans="1:51">
      <c r="AU38" s="13"/>
      <c r="AV38" s="13"/>
      <c r="AW38" s="13"/>
      <c r="AX38" s="13"/>
    </row>
    <row r="39" spans="1:51">
      <c r="AU39" s="13"/>
      <c r="AV39" s="13"/>
      <c r="AW39" s="13"/>
      <c r="AX39" s="13"/>
    </row>
    <row r="40" spans="1:51">
      <c r="AU40" s="13"/>
      <c r="AV40" s="13"/>
      <c r="AW40" s="13"/>
      <c r="AX40" s="13"/>
    </row>
    <row r="41" spans="1:51">
      <c r="AU41" s="13"/>
      <c r="AV41" s="13"/>
      <c r="AW41" s="13"/>
      <c r="AX41" s="13"/>
    </row>
    <row r="42" spans="1:51">
      <c r="AU42" s="13"/>
      <c r="AV42" s="13"/>
      <c r="AW42" s="13"/>
      <c r="AX42" s="13"/>
    </row>
    <row r="43" spans="1:51">
      <c r="AU43" s="13"/>
      <c r="AV43" s="13"/>
      <c r="AW43" s="13"/>
      <c r="AX43" s="13"/>
    </row>
    <row r="44" spans="1:51">
      <c r="AU44" s="13"/>
      <c r="AV44" s="13"/>
      <c r="AW44" s="13"/>
      <c r="AX44" s="13"/>
    </row>
    <row r="45" spans="1:51">
      <c r="AU45" s="13"/>
      <c r="AV45" s="13"/>
      <c r="AW45" s="13"/>
      <c r="AX45" s="13"/>
    </row>
    <row r="46" spans="1:51">
      <c r="AU46" s="13"/>
      <c r="AV46" s="13"/>
      <c r="AW46" s="13"/>
      <c r="AX46" s="13"/>
    </row>
  </sheetData>
  <autoFilter ref="A5:AU33" xr:uid="{C2F11763-C660-4F47-BC43-47203FE0AE1A}"/>
  <mergeCells count="15">
    <mergeCell ref="BA7:BA10"/>
    <mergeCell ref="BA25:BA30"/>
    <mergeCell ref="A1:J1"/>
    <mergeCell ref="K1:AP1"/>
    <mergeCell ref="AS1:AU1"/>
    <mergeCell ref="P3:R3"/>
    <mergeCell ref="S3:AE3"/>
    <mergeCell ref="AF3:AK3"/>
    <mergeCell ref="AL3:AN3"/>
    <mergeCell ref="AO3:AR3"/>
    <mergeCell ref="AS3:AT3"/>
    <mergeCell ref="B3:O3"/>
    <mergeCell ref="A3:A4"/>
    <mergeCell ref="AU3:AV3"/>
    <mergeCell ref="A2:AX2"/>
  </mergeCells>
  <phoneticPr fontId="49" type="noConversion"/>
  <conditionalFormatting sqref="G7:G31">
    <cfRule type="cellIs" dxfId="35" priority="10" operator="equal">
      <formula>"Total"</formula>
    </cfRule>
  </conditionalFormatting>
  <conditionalFormatting sqref="AN7:AN31 AP7:AP31">
    <cfRule type="containsText" dxfId="34" priority="1" operator="containsText" text="NO">
      <formula>NOT(ISERROR(SEARCH("NO",AN7)))</formula>
    </cfRule>
  </conditionalFormatting>
  <dataValidations count="7">
    <dataValidation allowBlank="1" showInputMessage="1" sqref="F6 G7:G30" xr:uid="{72BEC945-D6C0-479D-9F0A-275B0A744C39}"/>
    <dataValidation type="list" allowBlank="1" showInputMessage="1" showErrorMessage="1" sqref="U7:U32" xr:uid="{6C81660E-64ED-48EE-B0D2-55B761A2CF0A}">
      <formula1>"4,6,10,16,25,35,50,70,95,120,150,185,240,300,400,500,630,800,1000"</formula1>
    </dataValidation>
    <dataValidation type="list" allowBlank="1" showInputMessage="1" showErrorMessage="1" sqref="F7:F32" xr:uid="{AFB71A96-09B7-49A6-906A-84740283AFFF}">
      <formula1>"P,M,I"</formula1>
    </dataValidation>
    <dataValidation type="list" allowBlank="1" showInputMessage="1" showErrorMessage="1" sqref="T7:T32" xr:uid="{2D257A96-C2DF-4CAF-B208-86B5916E8958}">
      <formula1>"1C,2C,3C,4C"</formula1>
    </dataValidation>
    <dataValidation type="list" allowBlank="1" showInputMessage="1" showErrorMessage="1" sqref="I7:I32" xr:uid="{1CC81C83-127F-4573-BF20-8FFB35AACD59}">
      <formula1>"3Phase,1Phase"</formula1>
    </dataValidation>
    <dataValidation type="list" allowBlank="1" showInputMessage="1" showErrorMessage="1" sqref="H7:H32" xr:uid="{B289D938-27FD-4078-BF05-C527FEAEEB8D}">
      <formula1>"kVA,kW"</formula1>
    </dataValidation>
    <dataValidation type="list" allowBlank="1" showInputMessage="1" showErrorMessage="1" sqref="J7:J32" xr:uid="{FC8AB64E-E79B-4596-885A-1086DEBEE162}">
      <formula1>"24,110,125,230,400,690,6600,33000"</formula1>
    </dataValidation>
  </dataValidations>
  <printOptions horizontalCentered="1"/>
  <pageMargins left="0" right="0" top="0.47244094488188981" bottom="0.51181102362204722" header="0.51181102362204722" footer="0.51181102362204722"/>
  <pageSetup paperSize="8" scale="43" fitToHeight="0" orientation="landscape" r:id="rId1"/>
  <headerFooter alignWithMargins="0">
    <oddFooter xml:space="preserve">&amp;R&amp;11          Page &amp;P OF &amp;N
</oddFooter>
  </headerFooter>
  <ignoredErrors>
    <ignoredError sqref="O13:O18" numberStoredAsText="1"/>
    <ignoredError sqref="AV10 AE8:AE10 AV8 AV9 AC28"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56D0-26C4-4925-ACDE-02FC57168D9B}">
  <sheetPr codeName="Sheet10">
    <pageSetUpPr fitToPage="1"/>
  </sheetPr>
  <dimension ref="A1:AR241"/>
  <sheetViews>
    <sheetView view="pageBreakPreview" topLeftCell="A179" zoomScale="70" zoomScaleNormal="25" zoomScaleSheetLayoutView="70" workbookViewId="0">
      <selection activeCell="H213" sqref="H213"/>
    </sheetView>
  </sheetViews>
  <sheetFormatPr defaultRowHeight="15"/>
  <cols>
    <col min="1" max="1" width="9.140625" style="3"/>
    <col min="2" max="2" width="13.7109375" style="2" customWidth="1"/>
    <col min="3" max="3" width="14.28515625" style="2" customWidth="1"/>
    <col min="4" max="4" width="12.42578125" style="2" customWidth="1"/>
    <col min="5" max="5" width="11.28515625" style="2" customWidth="1"/>
    <col min="6" max="6" width="15" style="2" customWidth="1"/>
    <col min="7" max="7" width="15.7109375" style="2" customWidth="1"/>
    <col min="8" max="8" width="13" style="2" customWidth="1"/>
    <col min="9" max="9" width="9.28515625" style="2" customWidth="1"/>
    <col min="10" max="10" width="11.85546875" style="2" customWidth="1"/>
    <col min="11" max="11" width="12.7109375" style="3" customWidth="1"/>
    <col min="12" max="12" width="19.28515625" style="3" customWidth="1"/>
    <col min="13" max="13" width="13.5703125" style="3" customWidth="1"/>
    <col min="14" max="14" width="11.140625" style="3" customWidth="1"/>
    <col min="15" max="16" width="10.5703125" style="2" customWidth="1"/>
    <col min="17" max="18" width="10.28515625" style="2" customWidth="1"/>
    <col min="19" max="19" width="10.28515625" style="3" customWidth="1"/>
    <col min="20" max="20" width="4" style="3" customWidth="1"/>
    <col min="21" max="22" width="21.7109375" style="3" hidden="1" customWidth="1"/>
    <col min="23" max="23" width="4.5703125" style="3" hidden="1" customWidth="1"/>
    <col min="24" max="24" width="21.7109375" style="3" hidden="1" customWidth="1"/>
    <col min="25" max="25" width="16" style="3" hidden="1" customWidth="1"/>
    <col min="26" max="28" width="16" style="3" customWidth="1"/>
    <col min="29" max="29" width="13.28515625" style="3" customWidth="1"/>
    <col min="30" max="31" width="16.7109375" style="3" customWidth="1"/>
    <col min="32" max="32" width="5.28515625" style="3" customWidth="1"/>
    <col min="33" max="35" width="4.85546875" style="3" customWidth="1"/>
    <col min="36" max="36" width="15.7109375" style="3" customWidth="1"/>
    <col min="37" max="37" width="9.140625" style="3" customWidth="1"/>
    <col min="38" max="38" width="16.28515625" style="3" customWidth="1"/>
    <col min="39" max="39" width="9.140625" style="3" customWidth="1"/>
    <col min="40" max="40" width="35.85546875" style="3" customWidth="1"/>
    <col min="41" max="41" width="14.85546875" style="3" customWidth="1"/>
    <col min="42" max="42" width="24.28515625" style="3" bestFit="1" customWidth="1"/>
    <col min="43" max="43" width="9.42578125" bestFit="1" customWidth="1"/>
    <col min="44" max="44" width="9.140625" customWidth="1"/>
    <col min="45" max="16384" width="9.140625" style="3"/>
  </cols>
  <sheetData>
    <row r="1" spans="1:42" s="5" customFormat="1">
      <c r="B1" s="4"/>
      <c r="C1" s="4"/>
      <c r="D1" s="4"/>
      <c r="E1" s="4"/>
      <c r="F1" s="4"/>
      <c r="G1" s="4"/>
      <c r="H1" s="4"/>
      <c r="I1" s="4"/>
      <c r="J1" s="4"/>
      <c r="O1" s="4"/>
      <c r="P1" s="4"/>
      <c r="Q1" s="4"/>
      <c r="R1" s="4"/>
    </row>
    <row r="2" spans="1:42" s="5" customFormat="1" ht="15.75" thickBot="1">
      <c r="B2" s="4"/>
      <c r="C2" s="4"/>
      <c r="D2" s="4"/>
      <c r="E2" s="4"/>
      <c r="F2" s="4"/>
      <c r="G2" s="4"/>
      <c r="H2" s="4"/>
      <c r="I2" s="4"/>
      <c r="J2" s="4"/>
      <c r="O2" s="4"/>
      <c r="P2" s="4"/>
      <c r="Q2" s="4"/>
      <c r="R2" s="4"/>
    </row>
    <row r="3" spans="1:42" ht="39.75" customHeight="1">
      <c r="A3" s="14"/>
      <c r="B3" s="986" t="s">
        <v>105</v>
      </c>
      <c r="C3" s="987"/>
      <c r="D3" s="987"/>
      <c r="E3" s="987"/>
      <c r="F3" s="988"/>
      <c r="G3" s="15"/>
      <c r="H3" s="16"/>
      <c r="I3" s="4"/>
      <c r="J3" s="621" t="s">
        <v>106</v>
      </c>
      <c r="K3" s="621"/>
      <c r="L3" s="5"/>
      <c r="M3" s="5"/>
      <c r="N3" s="5"/>
      <c r="O3" s="5"/>
      <c r="P3" s="5"/>
      <c r="Q3" s="5"/>
      <c r="R3" s="5"/>
      <c r="S3" s="5"/>
    </row>
    <row r="4" spans="1:42" ht="20.100000000000001" customHeight="1">
      <c r="A4" s="17"/>
      <c r="B4" s="995"/>
      <c r="C4" s="995"/>
      <c r="D4" s="995"/>
      <c r="E4" s="4"/>
      <c r="F4" s="4"/>
      <c r="G4" s="4"/>
      <c r="H4" s="18"/>
      <c r="I4" s="4"/>
      <c r="J4" s="5"/>
      <c r="K4" s="5"/>
      <c r="L4" s="5"/>
      <c r="M4" s="5"/>
      <c r="N4" s="5"/>
      <c r="O4" s="5"/>
      <c r="P4" s="5"/>
      <c r="Q4" s="5"/>
      <c r="R4" s="5"/>
      <c r="S4" s="5"/>
    </row>
    <row r="5" spans="1:42" ht="27.75" customHeight="1">
      <c r="A5" s="17"/>
      <c r="B5" s="43" t="s">
        <v>107</v>
      </c>
      <c r="C5" s="44"/>
      <c r="D5" s="44"/>
      <c r="E5" s="44"/>
      <c r="F5" s="44"/>
      <c r="G5" s="44" t="s">
        <v>108</v>
      </c>
      <c r="H5" s="19"/>
      <c r="I5" s="6"/>
      <c r="J5" s="5"/>
      <c r="K5" s="5"/>
      <c r="L5" s="5"/>
      <c r="M5" s="5"/>
      <c r="N5" s="5"/>
      <c r="O5" s="5"/>
      <c r="P5" s="5"/>
      <c r="Q5" s="5"/>
      <c r="R5" s="5"/>
      <c r="S5" s="5"/>
      <c r="AG5" s="57"/>
      <c r="AN5" s="959"/>
    </row>
    <row r="6" spans="1:42" ht="20.100000000000001" customHeight="1">
      <c r="A6" s="17"/>
      <c r="B6" s="4"/>
      <c r="C6" s="6"/>
      <c r="D6" s="4"/>
      <c r="E6" s="4"/>
      <c r="F6" s="4"/>
      <c r="G6" s="4"/>
      <c r="H6" s="18"/>
      <c r="I6" s="4"/>
      <c r="J6" s="5"/>
      <c r="K6" s="5"/>
      <c r="L6" s="5"/>
      <c r="M6" s="5"/>
      <c r="N6" s="5"/>
      <c r="O6" s="5"/>
      <c r="P6" s="5"/>
      <c r="Q6" s="5"/>
      <c r="R6" s="5"/>
      <c r="S6" s="5"/>
      <c r="AG6" s="57"/>
      <c r="AN6" s="959"/>
    </row>
    <row r="7" spans="1:42" ht="96.75" customHeight="1">
      <c r="A7" s="17"/>
      <c r="B7" s="1036" t="s">
        <v>109</v>
      </c>
      <c r="C7" s="1036" t="s">
        <v>110</v>
      </c>
      <c r="D7" s="1036"/>
      <c r="E7" s="1036"/>
      <c r="F7" s="1030" t="s">
        <v>111</v>
      </c>
      <c r="G7" s="1036" t="s">
        <v>112</v>
      </c>
      <c r="H7" s="1039" t="s">
        <v>113</v>
      </c>
      <c r="I7" s="1038" t="s">
        <v>114</v>
      </c>
      <c r="J7" s="1034" t="s">
        <v>115</v>
      </c>
      <c r="K7" s="1036" t="s">
        <v>952</v>
      </c>
      <c r="L7" s="1036" t="s">
        <v>953</v>
      </c>
      <c r="M7" s="1036"/>
      <c r="N7" s="1036" t="s">
        <v>118</v>
      </c>
      <c r="O7" s="1036" t="s">
        <v>119</v>
      </c>
      <c r="P7" s="1036"/>
      <c r="Q7" s="1031" t="s">
        <v>120</v>
      </c>
      <c r="R7" s="1032"/>
      <c r="S7" s="1033"/>
      <c r="AG7" s="57"/>
    </row>
    <row r="8" spans="1:42" ht="75.75" customHeight="1">
      <c r="A8" s="17"/>
      <c r="B8" s="1036"/>
      <c r="C8" s="622" t="s">
        <v>121</v>
      </c>
      <c r="D8" s="622" t="s">
        <v>122</v>
      </c>
      <c r="E8" s="622" t="s">
        <v>123</v>
      </c>
      <c r="F8" s="955"/>
      <c r="G8" s="1036"/>
      <c r="H8" s="1039"/>
      <c r="I8" s="975"/>
      <c r="J8" s="1035"/>
      <c r="K8" s="1030"/>
      <c r="L8" s="623" t="s">
        <v>124</v>
      </c>
      <c r="M8" s="623" t="s">
        <v>125</v>
      </c>
      <c r="N8" s="1030"/>
      <c r="O8" s="623" t="s">
        <v>126</v>
      </c>
      <c r="P8" s="623" t="s">
        <v>127</v>
      </c>
      <c r="Q8" s="623" t="s">
        <v>128</v>
      </c>
      <c r="R8" s="623" t="s">
        <v>126</v>
      </c>
      <c r="S8" s="623" t="s">
        <v>127</v>
      </c>
      <c r="AG8" s="57"/>
    </row>
    <row r="9" spans="1:42" ht="29.25" customHeight="1">
      <c r="A9" s="17"/>
      <c r="B9" s="624" t="s">
        <v>129</v>
      </c>
      <c r="C9" s="624">
        <v>370</v>
      </c>
      <c r="D9" s="624">
        <v>290</v>
      </c>
      <c r="E9" s="624">
        <v>224</v>
      </c>
      <c r="F9" s="624">
        <v>0.21</v>
      </c>
      <c r="G9" s="624">
        <v>8.7499999999999994E-2</v>
      </c>
      <c r="H9" s="625">
        <v>26</v>
      </c>
      <c r="I9" s="1041">
        <v>400</v>
      </c>
      <c r="J9" s="626" t="s">
        <v>131</v>
      </c>
      <c r="K9" s="627">
        <v>1</v>
      </c>
      <c r="L9" s="628">
        <v>0.9</v>
      </c>
      <c r="M9" s="627">
        <v>0.66</v>
      </c>
      <c r="N9" s="627" t="s">
        <v>132</v>
      </c>
      <c r="O9" s="627" t="s">
        <v>132</v>
      </c>
      <c r="P9" s="627" t="s">
        <v>132</v>
      </c>
      <c r="Q9" s="629"/>
      <c r="R9" s="629"/>
      <c r="S9" s="629"/>
      <c r="AJ9" s="959"/>
      <c r="AL9" s="959"/>
      <c r="AN9" s="959"/>
      <c r="AP9" s="959"/>
    </row>
    <row r="10" spans="1:42" ht="29.25" customHeight="1">
      <c r="A10" s="17"/>
      <c r="B10" s="624" t="s">
        <v>133</v>
      </c>
      <c r="C10" s="624">
        <v>445</v>
      </c>
      <c r="D10" s="624">
        <v>340</v>
      </c>
      <c r="E10" s="624">
        <v>283</v>
      </c>
      <c r="F10" s="624">
        <v>0.16</v>
      </c>
      <c r="G10" s="624">
        <v>8.6599999999999996E-2</v>
      </c>
      <c r="H10" s="625">
        <v>28</v>
      </c>
      <c r="I10" s="985"/>
      <c r="J10" s="630" t="s">
        <v>123</v>
      </c>
      <c r="K10" s="631" t="s">
        <v>132</v>
      </c>
      <c r="L10" s="632">
        <v>0.74</v>
      </c>
      <c r="M10" s="631">
        <v>0.71</v>
      </c>
      <c r="N10" s="631">
        <v>0.96</v>
      </c>
      <c r="O10" s="631">
        <v>0.98</v>
      </c>
      <c r="P10" s="631">
        <v>0.98</v>
      </c>
      <c r="Q10" s="633">
        <v>1.5</v>
      </c>
      <c r="R10" s="634">
        <v>1.0900000000000001</v>
      </c>
      <c r="S10" s="318">
        <v>1.05</v>
      </c>
      <c r="AJ10" s="959"/>
      <c r="AL10" s="959"/>
      <c r="AN10" s="959"/>
      <c r="AP10" s="959"/>
    </row>
    <row r="11" spans="1:42" ht="38.25" customHeight="1">
      <c r="A11" s="17"/>
      <c r="B11" s="624" t="s">
        <v>134</v>
      </c>
      <c r="C11" s="624">
        <v>514</v>
      </c>
      <c r="D11" s="624">
        <v>382</v>
      </c>
      <c r="E11" s="624">
        <v>317</v>
      </c>
      <c r="F11" s="624">
        <v>0.128</v>
      </c>
      <c r="G11" s="624">
        <v>8.5699999999999998E-2</v>
      </c>
      <c r="H11" s="625">
        <v>31</v>
      </c>
      <c r="I11" s="4"/>
      <c r="J11" s="635" t="s">
        <v>122</v>
      </c>
      <c r="K11" s="627" t="s">
        <v>132</v>
      </c>
      <c r="L11" s="627">
        <v>0.61</v>
      </c>
      <c r="M11" s="627">
        <v>0.54</v>
      </c>
      <c r="N11" s="627">
        <v>0.96</v>
      </c>
      <c r="O11" s="627">
        <v>0.98</v>
      </c>
      <c r="P11" s="627">
        <v>0.98</v>
      </c>
      <c r="Q11" s="633">
        <v>2.5</v>
      </c>
      <c r="R11" s="634">
        <v>1.0900000000000001</v>
      </c>
      <c r="S11" s="318">
        <v>1.05</v>
      </c>
      <c r="AJ11" s="1"/>
      <c r="AL11" s="2"/>
      <c r="AN11" s="1"/>
      <c r="AP11" s="1"/>
    </row>
    <row r="12" spans="1:42" ht="38.25" customHeight="1">
      <c r="A12" s="17"/>
      <c r="B12" s="624" t="s">
        <v>135</v>
      </c>
      <c r="C12" s="624">
        <v>605</v>
      </c>
      <c r="D12" s="624">
        <v>437</v>
      </c>
      <c r="E12" s="624">
        <v>370</v>
      </c>
      <c r="F12" s="624">
        <v>0.1</v>
      </c>
      <c r="G12" s="624">
        <v>8.5500000000000007E-2</v>
      </c>
      <c r="H12" s="625">
        <v>34</v>
      </c>
      <c r="I12" s="4"/>
      <c r="J12" s="636" t="s">
        <v>136</v>
      </c>
      <c r="K12" s="627">
        <v>1</v>
      </c>
      <c r="L12" s="637">
        <v>0.81</v>
      </c>
      <c r="M12" s="637">
        <v>0.78</v>
      </c>
      <c r="N12" s="627" t="s">
        <v>132</v>
      </c>
      <c r="O12" s="627" t="s">
        <v>132</v>
      </c>
      <c r="P12" s="627" t="s">
        <v>132</v>
      </c>
      <c r="Q12" s="633">
        <v>4</v>
      </c>
      <c r="R12" s="634">
        <v>1.0900000000000001</v>
      </c>
      <c r="S12" s="318">
        <v>1.05</v>
      </c>
      <c r="AJ12" s="1"/>
      <c r="AL12" s="2"/>
      <c r="AN12" s="1"/>
      <c r="AP12" s="1"/>
    </row>
    <row r="13" spans="1:42" ht="49.5" customHeight="1">
      <c r="A13" s="17"/>
      <c r="B13" s="624" t="s">
        <v>137</v>
      </c>
      <c r="C13" s="624">
        <v>704</v>
      </c>
      <c r="D13" s="624">
        <v>500</v>
      </c>
      <c r="E13" s="624">
        <v>428</v>
      </c>
      <c r="F13" s="624">
        <v>7.7399999999999997E-2</v>
      </c>
      <c r="G13" s="624">
        <v>8.5099999999999995E-2</v>
      </c>
      <c r="H13" s="625">
        <v>38</v>
      </c>
      <c r="I13" s="4"/>
      <c r="Q13" s="633">
        <v>6</v>
      </c>
      <c r="R13" s="634">
        <v>1.0900000000000001</v>
      </c>
      <c r="S13" s="318">
        <v>1.05</v>
      </c>
      <c r="AJ13" s="1"/>
      <c r="AL13" s="1"/>
      <c r="AN13" s="1"/>
      <c r="AP13" s="1"/>
    </row>
    <row r="14" spans="1:42" ht="49.5" customHeight="1">
      <c r="A14" s="17"/>
      <c r="B14" s="624" t="s">
        <v>138</v>
      </c>
      <c r="C14" s="624">
        <v>822</v>
      </c>
      <c r="D14" s="624">
        <v>565</v>
      </c>
      <c r="E14" s="624">
        <v>464</v>
      </c>
      <c r="F14" s="624">
        <v>0.06</v>
      </c>
      <c r="G14" s="624">
        <v>8.43E-2</v>
      </c>
      <c r="H14" s="625">
        <v>42</v>
      </c>
      <c r="Q14" s="633">
        <v>10</v>
      </c>
      <c r="R14" s="634">
        <v>1.0900000000000001</v>
      </c>
      <c r="S14" s="318">
        <v>1.06</v>
      </c>
      <c r="AJ14" s="1"/>
      <c r="AL14" s="1"/>
      <c r="AN14" s="1"/>
      <c r="AP14" s="1"/>
    </row>
    <row r="15" spans="1:42" ht="19.5" customHeight="1">
      <c r="A15" s="17"/>
      <c r="B15" s="638"/>
      <c r="C15" s="638"/>
      <c r="D15" s="638"/>
      <c r="E15" s="638"/>
      <c r="F15" s="638"/>
      <c r="G15" s="638"/>
      <c r="H15" s="639"/>
      <c r="Q15" s="633">
        <v>16</v>
      </c>
      <c r="R15" s="634">
        <v>1.0900000000000001</v>
      </c>
      <c r="S15" s="318">
        <v>1.06</v>
      </c>
      <c r="AJ15" s="1"/>
      <c r="AL15" s="2"/>
      <c r="AN15" s="1"/>
      <c r="AP15" s="1"/>
    </row>
    <row r="16" spans="1:42" ht="19.5" customHeight="1">
      <c r="A16" s="17"/>
      <c r="B16" s="43" t="s">
        <v>139</v>
      </c>
      <c r="C16" s="44"/>
      <c r="D16" s="44"/>
      <c r="E16" s="44"/>
      <c r="F16" s="44"/>
      <c r="G16" s="44" t="s">
        <v>108</v>
      </c>
      <c r="H16" s="639"/>
      <c r="Q16" s="633">
        <v>25</v>
      </c>
      <c r="R16" s="634">
        <v>1.0900000000000001</v>
      </c>
      <c r="S16" s="318">
        <v>1.08</v>
      </c>
      <c r="AJ16" s="1"/>
      <c r="AL16" s="2"/>
      <c r="AN16" s="1"/>
      <c r="AP16" s="1"/>
    </row>
    <row r="17" spans="1:42" ht="30.75" customHeight="1">
      <c r="A17" s="17"/>
      <c r="B17" s="1036" t="s">
        <v>109</v>
      </c>
      <c r="C17" s="1036" t="s">
        <v>110</v>
      </c>
      <c r="D17" s="1036"/>
      <c r="E17" s="1036"/>
      <c r="F17" s="1030" t="s">
        <v>111</v>
      </c>
      <c r="G17" s="1036" t="s">
        <v>112</v>
      </c>
      <c r="H17" s="1039" t="s">
        <v>113</v>
      </c>
      <c r="K17" s="2"/>
      <c r="Q17" s="633">
        <v>35</v>
      </c>
      <c r="R17" s="634">
        <v>1.0900000000000001</v>
      </c>
      <c r="S17" s="318">
        <v>1.08</v>
      </c>
      <c r="AJ17" s="1"/>
      <c r="AL17" s="2"/>
      <c r="AN17" s="1"/>
      <c r="AP17" s="1"/>
    </row>
    <row r="18" spans="1:42" ht="30" customHeight="1">
      <c r="A18" s="17"/>
      <c r="B18" s="1036"/>
      <c r="C18" s="622" t="s">
        <v>121</v>
      </c>
      <c r="D18" s="622" t="s">
        <v>122</v>
      </c>
      <c r="E18" s="622" t="s">
        <v>123</v>
      </c>
      <c r="F18" s="955"/>
      <c r="G18" s="1036"/>
      <c r="H18" s="1039"/>
      <c r="I18" s="4"/>
      <c r="K18" s="2"/>
      <c r="Q18" s="633">
        <v>50</v>
      </c>
      <c r="R18" s="634">
        <v>1.0900000000000001</v>
      </c>
      <c r="S18" s="318">
        <v>1.08</v>
      </c>
      <c r="AJ18" s="1"/>
      <c r="AL18" s="2"/>
      <c r="AN18" s="1"/>
      <c r="AP18" s="1"/>
    </row>
    <row r="19" spans="1:42" ht="19.5" customHeight="1">
      <c r="A19" s="17"/>
      <c r="B19" s="640" t="s">
        <v>140</v>
      </c>
      <c r="C19" s="640">
        <v>29</v>
      </c>
      <c r="D19" s="640">
        <v>33</v>
      </c>
      <c r="E19" s="640">
        <v>29</v>
      </c>
      <c r="F19" s="640">
        <v>15.5</v>
      </c>
      <c r="G19" s="640">
        <v>0.108</v>
      </c>
      <c r="H19" s="641">
        <v>12</v>
      </c>
      <c r="I19" s="7"/>
      <c r="K19" s="2"/>
      <c r="Q19" s="633">
        <v>70</v>
      </c>
      <c r="R19" s="642">
        <v>1.1000000000000001</v>
      </c>
      <c r="S19" s="318">
        <v>1.08</v>
      </c>
      <c r="AJ19" s="1"/>
      <c r="AL19" s="2"/>
      <c r="AN19" s="1"/>
      <c r="AP19" s="1"/>
    </row>
    <row r="20" spans="1:42" ht="19.5" customHeight="1">
      <c r="A20" s="17"/>
      <c r="B20" s="624" t="s">
        <v>141</v>
      </c>
      <c r="C20" s="624">
        <v>39</v>
      </c>
      <c r="D20" s="624">
        <v>43</v>
      </c>
      <c r="E20" s="624">
        <v>37</v>
      </c>
      <c r="F20" s="624">
        <v>9.48</v>
      </c>
      <c r="G20" s="624">
        <v>0.1007</v>
      </c>
      <c r="H20" s="643">
        <v>13</v>
      </c>
      <c r="I20" s="7"/>
      <c r="K20" s="2"/>
      <c r="Q20" s="633">
        <v>95</v>
      </c>
      <c r="R20" s="642">
        <v>1.1000000000000001</v>
      </c>
      <c r="S20" s="318">
        <v>1.08</v>
      </c>
      <c r="AJ20" s="1"/>
      <c r="AN20" s="1"/>
      <c r="AP20" s="1"/>
    </row>
    <row r="21" spans="1:42" ht="19.5" customHeight="1">
      <c r="A21" s="17"/>
      <c r="B21" s="624" t="s">
        <v>142</v>
      </c>
      <c r="C21" s="624">
        <v>48</v>
      </c>
      <c r="D21" s="624">
        <v>54</v>
      </c>
      <c r="E21" s="624">
        <v>46</v>
      </c>
      <c r="F21" s="624">
        <v>5.9</v>
      </c>
      <c r="G21" s="624">
        <v>9.4700000000000006E-2</v>
      </c>
      <c r="H21" s="643">
        <v>14</v>
      </c>
      <c r="I21" s="7"/>
      <c r="K21" s="2"/>
      <c r="O21" s="3"/>
      <c r="Q21" s="633">
        <v>120</v>
      </c>
      <c r="R21" s="642">
        <v>1.1000000000000001</v>
      </c>
      <c r="S21" s="318">
        <v>1.08</v>
      </c>
      <c r="AJ21" s="1"/>
      <c r="AN21" s="1"/>
      <c r="AP21" s="1"/>
    </row>
    <row r="22" spans="1:42" ht="19.5" customHeight="1">
      <c r="A22" s="17"/>
      <c r="B22" s="624" t="s">
        <v>143</v>
      </c>
      <c r="C22" s="624">
        <v>59</v>
      </c>
      <c r="D22" s="624">
        <v>66</v>
      </c>
      <c r="E22" s="624">
        <v>58</v>
      </c>
      <c r="F22" s="624">
        <v>3.94</v>
      </c>
      <c r="G22" s="624">
        <v>9.0200000000000002E-2</v>
      </c>
      <c r="H22" s="643">
        <v>15</v>
      </c>
      <c r="I22" s="7"/>
      <c r="O22" s="3"/>
      <c r="Q22" s="633">
        <v>150</v>
      </c>
      <c r="R22" s="642">
        <v>1.1000000000000001</v>
      </c>
      <c r="S22" s="318">
        <v>1.0900000000000001</v>
      </c>
      <c r="AJ22" s="1"/>
      <c r="AN22" s="1"/>
      <c r="AP22" s="1"/>
    </row>
    <row r="23" spans="1:42" ht="19.5" customHeight="1">
      <c r="A23" s="17"/>
      <c r="B23" s="624" t="s">
        <v>144</v>
      </c>
      <c r="C23" s="624">
        <v>62</v>
      </c>
      <c r="D23" s="624">
        <v>70</v>
      </c>
      <c r="E23" s="624">
        <v>57</v>
      </c>
      <c r="F23" s="624">
        <v>3.94</v>
      </c>
      <c r="G23" s="624">
        <v>8.5199999999999998E-2</v>
      </c>
      <c r="H23" s="643">
        <v>17</v>
      </c>
      <c r="I23" s="7"/>
      <c r="O23" s="3"/>
      <c r="Q23" s="633">
        <v>185</v>
      </c>
      <c r="R23" s="642">
        <v>1.1000000000000001</v>
      </c>
      <c r="S23" s="318">
        <v>1.0900000000000001</v>
      </c>
      <c r="AJ23" s="1"/>
      <c r="AN23" s="1"/>
      <c r="AP23" s="1"/>
    </row>
    <row r="24" spans="1:42" ht="19.5" customHeight="1">
      <c r="A24" s="17"/>
      <c r="B24" s="624" t="s">
        <v>145</v>
      </c>
      <c r="C24" s="624">
        <v>79</v>
      </c>
      <c r="D24" s="624">
        <v>90</v>
      </c>
      <c r="E24" s="624">
        <v>75</v>
      </c>
      <c r="F24" s="624">
        <v>2.44</v>
      </c>
      <c r="G24" s="624">
        <v>8.1500000000000003E-2</v>
      </c>
      <c r="H24" s="643">
        <v>18</v>
      </c>
      <c r="I24" s="7"/>
      <c r="Q24" s="633">
        <v>240</v>
      </c>
      <c r="R24" s="642">
        <v>1.1000000000000001</v>
      </c>
      <c r="S24" s="318">
        <v>1.0900000000000001</v>
      </c>
      <c r="AJ24" s="1"/>
      <c r="AN24" s="1"/>
      <c r="AP24" s="1"/>
    </row>
    <row r="25" spans="1:42" ht="19.5" customHeight="1">
      <c r="A25" s="17"/>
      <c r="B25" s="624" t="s">
        <v>146</v>
      </c>
      <c r="C25" s="624">
        <v>108</v>
      </c>
      <c r="D25" s="624">
        <v>117</v>
      </c>
      <c r="E25" s="624">
        <v>99</v>
      </c>
      <c r="F25" s="624">
        <v>1.54</v>
      </c>
      <c r="G25" s="624">
        <v>8.1600000000000006E-2</v>
      </c>
      <c r="H25" s="643">
        <v>20</v>
      </c>
      <c r="I25" s="7"/>
      <c r="Q25" s="633">
        <v>300</v>
      </c>
      <c r="R25" s="642">
        <v>1.1000000000000001</v>
      </c>
      <c r="S25" s="318">
        <v>1.0900000000000001</v>
      </c>
      <c r="AJ25" s="1"/>
      <c r="AN25" s="1"/>
      <c r="AP25" s="1"/>
    </row>
    <row r="26" spans="1:42" ht="19.5" customHeight="1">
      <c r="A26" s="17"/>
      <c r="B26" s="624" t="s">
        <v>147</v>
      </c>
      <c r="C26" s="624">
        <v>143</v>
      </c>
      <c r="D26" s="624">
        <v>140</v>
      </c>
      <c r="E26" s="624">
        <v>117</v>
      </c>
      <c r="F26" s="624">
        <v>1.1100000000000001</v>
      </c>
      <c r="G26" s="624">
        <v>7.9399999999999998E-2</v>
      </c>
      <c r="H26" s="643">
        <v>21</v>
      </c>
      <c r="I26" s="7"/>
      <c r="Q26" s="633">
        <v>400</v>
      </c>
      <c r="R26" s="634">
        <v>1.1100000000000001</v>
      </c>
      <c r="S26" s="644">
        <v>1.1000000000000001</v>
      </c>
      <c r="AJ26" s="1"/>
      <c r="AN26" s="1"/>
      <c r="AP26" s="1"/>
    </row>
    <row r="27" spans="1:42" ht="19.5" customHeight="1">
      <c r="A27" s="17"/>
      <c r="B27" s="624" t="s">
        <v>148</v>
      </c>
      <c r="C27" s="624">
        <v>173</v>
      </c>
      <c r="D27" s="624">
        <v>168</v>
      </c>
      <c r="E27" s="624">
        <v>143</v>
      </c>
      <c r="F27" s="624">
        <v>0.82</v>
      </c>
      <c r="G27" s="624">
        <v>7.9200000000000007E-2</v>
      </c>
      <c r="H27" s="643">
        <v>24</v>
      </c>
      <c r="I27" s="7"/>
      <c r="Q27" s="633">
        <v>500</v>
      </c>
      <c r="R27" s="634">
        <v>1.1100000000000001</v>
      </c>
      <c r="S27" s="644">
        <v>1.1000000000000001</v>
      </c>
      <c r="AJ27" s="1"/>
      <c r="AN27" s="1"/>
      <c r="AP27" s="1"/>
    </row>
    <row r="28" spans="1:42" ht="19.5" customHeight="1">
      <c r="A28" s="17"/>
      <c r="B28" s="624" t="s">
        <v>149</v>
      </c>
      <c r="C28" s="624">
        <v>212</v>
      </c>
      <c r="D28" s="624">
        <v>202</v>
      </c>
      <c r="E28" s="624">
        <v>177</v>
      </c>
      <c r="F28" s="624">
        <v>0.56699999999999995</v>
      </c>
      <c r="G28" s="624">
        <v>7.5200000000000003E-2</v>
      </c>
      <c r="H28" s="643">
        <v>27</v>
      </c>
      <c r="I28" s="7"/>
      <c r="Q28" s="633">
        <v>630</v>
      </c>
      <c r="R28" s="634">
        <v>1.1100000000000001</v>
      </c>
      <c r="S28" s="644">
        <v>1.1000000000000001</v>
      </c>
      <c r="AJ28" s="1"/>
      <c r="AN28" s="1"/>
      <c r="AP28" s="1"/>
    </row>
    <row r="29" spans="1:42" ht="19.5" customHeight="1">
      <c r="A29" s="17"/>
      <c r="B29" s="624" t="s">
        <v>150</v>
      </c>
      <c r="C29" s="624">
        <v>257</v>
      </c>
      <c r="D29" s="624">
        <v>243</v>
      </c>
      <c r="E29" s="624">
        <v>217</v>
      </c>
      <c r="F29" s="624">
        <v>0.41</v>
      </c>
      <c r="G29" s="624">
        <v>7.3400000000000007E-2</v>
      </c>
      <c r="H29" s="643">
        <v>30</v>
      </c>
      <c r="I29" s="7"/>
      <c r="Q29" s="645"/>
      <c r="R29" s="645"/>
      <c r="S29" s="646"/>
      <c r="AJ29" s="1"/>
      <c r="AN29" s="1"/>
      <c r="AP29" s="1"/>
    </row>
    <row r="30" spans="1:42" ht="19.5" customHeight="1">
      <c r="A30" s="17"/>
      <c r="B30" s="624" t="s">
        <v>151</v>
      </c>
      <c r="C30" s="624">
        <v>295</v>
      </c>
      <c r="D30" s="624">
        <v>273</v>
      </c>
      <c r="E30" s="624">
        <v>247</v>
      </c>
      <c r="F30" s="624">
        <v>0.32400000000000001</v>
      </c>
      <c r="G30" s="624">
        <v>7.2599999999999998E-2</v>
      </c>
      <c r="H30" s="643">
        <v>32</v>
      </c>
      <c r="I30" s="7"/>
      <c r="Q30" s="645"/>
      <c r="R30" s="645"/>
      <c r="S30" s="646"/>
      <c r="AJ30" s="1"/>
      <c r="AN30" s="1"/>
      <c r="AP30" s="1"/>
    </row>
    <row r="31" spans="1:42" ht="19.5" customHeight="1">
      <c r="A31" s="17"/>
      <c r="B31" s="624" t="s">
        <v>152</v>
      </c>
      <c r="C31" s="624">
        <v>342</v>
      </c>
      <c r="D31" s="624">
        <v>310</v>
      </c>
      <c r="E31" s="624">
        <v>305</v>
      </c>
      <c r="F31" s="624">
        <v>0.26400000000000001</v>
      </c>
      <c r="G31" s="624">
        <v>7.3200000000000001E-2</v>
      </c>
      <c r="H31" s="643">
        <v>35</v>
      </c>
      <c r="I31" s="7"/>
      <c r="Q31" s="645"/>
      <c r="R31" s="645"/>
      <c r="S31" s="646"/>
      <c r="AJ31" s="1"/>
      <c r="AN31" s="1"/>
      <c r="AP31" s="1"/>
    </row>
    <row r="32" spans="1:42" ht="57" customHeight="1">
      <c r="A32" s="17"/>
      <c r="B32" s="624" t="s">
        <v>153</v>
      </c>
      <c r="C32" s="624">
        <v>395</v>
      </c>
      <c r="D32" s="624">
        <v>350</v>
      </c>
      <c r="E32" s="624">
        <v>345</v>
      </c>
      <c r="F32" s="624">
        <v>0.21</v>
      </c>
      <c r="G32" s="624">
        <v>7.2700000000000001E-2</v>
      </c>
      <c r="H32" s="643">
        <v>39</v>
      </c>
      <c r="I32" s="7"/>
      <c r="Q32" s="645"/>
      <c r="R32" s="645"/>
      <c r="S32" s="646"/>
      <c r="AJ32" s="1"/>
      <c r="AN32" s="1"/>
      <c r="AP32" s="1"/>
    </row>
    <row r="33" spans="1:42" ht="19.5" customHeight="1">
      <c r="A33" s="17"/>
      <c r="B33" s="624" t="s">
        <v>154</v>
      </c>
      <c r="C33" s="624">
        <v>465</v>
      </c>
      <c r="D33" s="624">
        <v>401</v>
      </c>
      <c r="E33" s="624">
        <v>393</v>
      </c>
      <c r="F33" s="624">
        <v>0.16</v>
      </c>
      <c r="G33" s="624">
        <v>7.1900000000000006E-2</v>
      </c>
      <c r="H33" s="643">
        <v>44</v>
      </c>
      <c r="I33" s="7"/>
      <c r="Q33" s="645"/>
      <c r="R33" s="645"/>
      <c r="S33" s="646"/>
      <c r="AN33" s="1"/>
      <c r="AP33" s="1"/>
    </row>
    <row r="34" spans="1:42" ht="19.5" customHeight="1">
      <c r="A34" s="17"/>
      <c r="B34" s="624" t="s">
        <v>155</v>
      </c>
      <c r="C34" s="624">
        <v>532</v>
      </c>
      <c r="D34" s="624">
        <v>458</v>
      </c>
      <c r="E34" s="624">
        <v>453</v>
      </c>
      <c r="F34" s="624">
        <v>0.128</v>
      </c>
      <c r="G34" s="624">
        <v>7.1099999999999997E-2</v>
      </c>
      <c r="H34" s="643">
        <v>48</v>
      </c>
      <c r="I34" s="7"/>
      <c r="Q34" s="645"/>
      <c r="R34" s="645"/>
      <c r="S34" s="646"/>
      <c r="AN34" s="1"/>
      <c r="AP34" s="1"/>
    </row>
    <row r="35" spans="1:42" ht="19.5" customHeight="1">
      <c r="A35" s="17"/>
      <c r="B35" s="624" t="s">
        <v>156</v>
      </c>
      <c r="C35" s="624">
        <v>622</v>
      </c>
      <c r="D35" s="624">
        <v>505</v>
      </c>
      <c r="E35" s="624">
        <v>553</v>
      </c>
      <c r="F35" s="624">
        <v>0.1</v>
      </c>
      <c r="G35" s="624">
        <v>7.0499999999999993E-2</v>
      </c>
      <c r="H35" s="643">
        <v>54</v>
      </c>
      <c r="I35" s="7"/>
      <c r="Q35" s="645"/>
      <c r="R35" s="645"/>
      <c r="S35" s="646"/>
      <c r="AJ35" s="1"/>
      <c r="AN35" s="1"/>
      <c r="AP35" s="1"/>
    </row>
    <row r="36" spans="1:42" ht="19.5" customHeight="1">
      <c r="A36" s="17"/>
      <c r="B36" s="7"/>
      <c r="C36" s="5"/>
      <c r="D36" s="5"/>
      <c r="E36" s="5"/>
      <c r="F36" s="5"/>
      <c r="G36" s="4"/>
      <c r="H36" s="20"/>
      <c r="I36" s="7"/>
      <c r="AN36" s="1"/>
    </row>
    <row r="37" spans="1:42" ht="19.5" customHeight="1">
      <c r="A37" s="17"/>
      <c r="B37" s="647" t="s">
        <v>157</v>
      </c>
      <c r="C37" s="648"/>
      <c r="D37" s="648"/>
      <c r="E37" s="648"/>
      <c r="F37" s="648"/>
      <c r="G37" s="648" t="s">
        <v>108</v>
      </c>
      <c r="H37" s="649"/>
      <c r="I37" s="1"/>
      <c r="AN37" s="1"/>
    </row>
    <row r="38" spans="1:42" ht="32.25" customHeight="1">
      <c r="A38" s="17"/>
      <c r="B38" s="1036" t="s">
        <v>109</v>
      </c>
      <c r="C38" s="1036" t="s">
        <v>110</v>
      </c>
      <c r="D38" s="1036"/>
      <c r="E38" s="1036"/>
      <c r="F38" s="1030" t="s">
        <v>111</v>
      </c>
      <c r="G38" s="1036" t="s">
        <v>112</v>
      </c>
      <c r="H38" s="1039" t="s">
        <v>113</v>
      </c>
      <c r="I38" s="1"/>
      <c r="AN38" s="1"/>
    </row>
    <row r="39" spans="1:42" ht="32.25" customHeight="1">
      <c r="A39" s="17"/>
      <c r="B39" s="1036"/>
      <c r="C39" s="622" t="s">
        <v>121</v>
      </c>
      <c r="D39" s="622" t="s">
        <v>122</v>
      </c>
      <c r="E39" s="622" t="s">
        <v>123</v>
      </c>
      <c r="F39" s="955"/>
      <c r="G39" s="1036"/>
      <c r="H39" s="1039"/>
      <c r="I39" s="1"/>
    </row>
    <row r="40" spans="1:42" ht="19.5" customHeight="1">
      <c r="A40" s="17"/>
      <c r="B40" s="640" t="s">
        <v>158</v>
      </c>
      <c r="C40" s="640">
        <v>22</v>
      </c>
      <c r="D40" s="640">
        <v>25</v>
      </c>
      <c r="E40" s="640">
        <v>22</v>
      </c>
      <c r="F40" s="640">
        <v>15.5</v>
      </c>
      <c r="G40" s="640">
        <v>0.108</v>
      </c>
      <c r="H40" s="641">
        <v>13</v>
      </c>
      <c r="I40" s="1"/>
      <c r="J40" s="79"/>
    </row>
    <row r="41" spans="1:42" ht="19.5" customHeight="1">
      <c r="A41" s="17"/>
      <c r="B41" s="624" t="s">
        <v>159</v>
      </c>
      <c r="C41" s="624">
        <v>28</v>
      </c>
      <c r="D41" s="624">
        <v>34</v>
      </c>
      <c r="E41" s="624">
        <v>28</v>
      </c>
      <c r="F41" s="624">
        <v>9.48</v>
      </c>
      <c r="G41" s="624">
        <v>0.1007</v>
      </c>
      <c r="H41" s="643">
        <v>14</v>
      </c>
      <c r="I41" s="1"/>
      <c r="J41" s="79"/>
      <c r="K41" s="2"/>
      <c r="L41" s="2"/>
      <c r="M41" s="2"/>
      <c r="N41" s="2"/>
      <c r="S41" s="2"/>
      <c r="T41" s="2"/>
    </row>
    <row r="42" spans="1:42" ht="19.5" customHeight="1">
      <c r="A42" s="17"/>
      <c r="B42" s="624" t="s">
        <v>160</v>
      </c>
      <c r="C42" s="624">
        <v>38</v>
      </c>
      <c r="D42" s="624">
        <v>44</v>
      </c>
      <c r="E42" s="624">
        <v>37</v>
      </c>
      <c r="F42" s="624">
        <v>5.9</v>
      </c>
      <c r="G42" s="624">
        <v>9.4700000000000006E-2</v>
      </c>
      <c r="H42" s="643">
        <v>15</v>
      </c>
      <c r="I42" s="1"/>
      <c r="J42" s="79"/>
      <c r="K42" s="2"/>
      <c r="L42" s="2"/>
      <c r="M42" s="2"/>
      <c r="N42" s="2"/>
      <c r="S42" s="2"/>
      <c r="T42" s="2"/>
    </row>
    <row r="43" spans="1:42" ht="19.5" customHeight="1">
      <c r="A43" s="17"/>
      <c r="B43" s="624" t="s">
        <v>161</v>
      </c>
      <c r="C43" s="624">
        <v>51</v>
      </c>
      <c r="D43" s="624">
        <v>55</v>
      </c>
      <c r="E43" s="624">
        <v>46</v>
      </c>
      <c r="F43" s="624">
        <v>3.94</v>
      </c>
      <c r="G43" s="624">
        <v>9.0200000000000002E-2</v>
      </c>
      <c r="H43" s="643">
        <v>16</v>
      </c>
      <c r="I43" s="1"/>
      <c r="J43" s="79"/>
      <c r="K43" s="2"/>
      <c r="L43" s="2"/>
      <c r="M43" s="2"/>
      <c r="N43" s="2"/>
      <c r="S43" s="2"/>
      <c r="T43" s="2"/>
      <c r="V43" s="5"/>
      <c r="W43" s="5"/>
      <c r="X43" s="5"/>
      <c r="Y43" s="5"/>
      <c r="Z43" s="5"/>
      <c r="AA43" s="5"/>
      <c r="AB43" s="5"/>
      <c r="AC43" s="5"/>
      <c r="AD43" s="5"/>
    </row>
    <row r="44" spans="1:42" ht="19.5" customHeight="1">
      <c r="A44" s="17"/>
      <c r="B44" s="624" t="s">
        <v>162</v>
      </c>
      <c r="C44" s="624">
        <v>60</v>
      </c>
      <c r="D44" s="624">
        <v>57</v>
      </c>
      <c r="E44" s="624">
        <v>48</v>
      </c>
      <c r="F44" s="624">
        <v>3.94</v>
      </c>
      <c r="G44" s="624">
        <v>8.5199999999999998E-2</v>
      </c>
      <c r="H44" s="643">
        <v>19</v>
      </c>
      <c r="J44" s="79"/>
      <c r="K44" s="2"/>
      <c r="L44" s="2"/>
      <c r="M44" s="2"/>
      <c r="N44" s="2"/>
      <c r="S44" s="2"/>
      <c r="T44" s="2"/>
      <c r="V44" s="5"/>
      <c r="W44" s="5"/>
      <c r="X44" s="5"/>
      <c r="Y44" s="5"/>
      <c r="Z44" s="5"/>
      <c r="AA44" s="5"/>
      <c r="AB44" s="5"/>
      <c r="AC44" s="5"/>
      <c r="AD44" s="5"/>
    </row>
    <row r="45" spans="1:42" ht="19.5" customHeight="1">
      <c r="A45" s="17"/>
      <c r="B45" s="624" t="s">
        <v>163</v>
      </c>
      <c r="C45" s="624">
        <v>70</v>
      </c>
      <c r="D45" s="624">
        <v>73</v>
      </c>
      <c r="E45" s="624">
        <v>61</v>
      </c>
      <c r="F45" s="624">
        <v>2.44</v>
      </c>
      <c r="G45" s="624">
        <v>8.1500000000000003E-2</v>
      </c>
      <c r="H45" s="643">
        <v>19</v>
      </c>
      <c r="J45" s="79"/>
      <c r="K45" s="2"/>
      <c r="L45" s="2"/>
      <c r="M45" s="2"/>
      <c r="N45" s="2"/>
      <c r="S45" s="2"/>
      <c r="T45" s="2"/>
      <c r="V45" s="5"/>
      <c r="W45" s="5"/>
      <c r="X45" s="5"/>
      <c r="Y45" s="5"/>
      <c r="Z45" s="5"/>
      <c r="AA45" s="5"/>
      <c r="AB45" s="5"/>
      <c r="AC45" s="5"/>
      <c r="AD45" s="5"/>
    </row>
    <row r="46" spans="1:42" ht="19.5" customHeight="1">
      <c r="A46" s="17"/>
      <c r="B46" s="624" t="s">
        <v>164</v>
      </c>
      <c r="C46" s="624">
        <v>95</v>
      </c>
      <c r="D46" s="624">
        <v>96</v>
      </c>
      <c r="E46" s="624">
        <v>80</v>
      </c>
      <c r="F46" s="624">
        <v>1.54</v>
      </c>
      <c r="G46" s="624">
        <v>8.1600000000000006E-2</v>
      </c>
      <c r="H46" s="643">
        <v>21</v>
      </c>
      <c r="J46" s="79"/>
      <c r="O46" s="3"/>
      <c r="P46" s="3"/>
      <c r="Q46" s="3"/>
      <c r="R46" s="3"/>
      <c r="T46" s="5"/>
      <c r="U46" s="5"/>
      <c r="V46" s="5"/>
      <c r="W46" s="5"/>
      <c r="X46" s="5"/>
      <c r="Y46" s="5"/>
      <c r="Z46" s="5"/>
      <c r="AA46" s="5"/>
      <c r="AB46" s="5"/>
      <c r="AC46" s="5"/>
      <c r="AD46" s="5"/>
    </row>
    <row r="47" spans="1:42" ht="19.5" customHeight="1">
      <c r="A47" s="17"/>
      <c r="B47" s="624" t="s">
        <v>165</v>
      </c>
      <c r="C47" s="624">
        <v>117</v>
      </c>
      <c r="D47" s="624">
        <v>115</v>
      </c>
      <c r="E47" s="624">
        <v>96</v>
      </c>
      <c r="F47" s="624">
        <v>1.1100000000000001</v>
      </c>
      <c r="G47" s="624">
        <v>7.9399999999999998E-2</v>
      </c>
      <c r="H47" s="643">
        <v>23</v>
      </c>
      <c r="J47" s="79"/>
      <c r="T47" s="5"/>
      <c r="U47" s="5"/>
      <c r="V47" s="5"/>
      <c r="W47" s="5"/>
      <c r="X47" s="5"/>
      <c r="Y47" s="5"/>
      <c r="Z47" s="5"/>
      <c r="AA47" s="5"/>
      <c r="AB47" s="5"/>
      <c r="AC47" s="5"/>
      <c r="AD47" s="5"/>
    </row>
    <row r="48" spans="1:42" ht="19.5" customHeight="1">
      <c r="A48" s="17"/>
      <c r="B48" s="624" t="s">
        <v>166</v>
      </c>
      <c r="C48" s="624">
        <v>141</v>
      </c>
      <c r="D48" s="624">
        <v>134</v>
      </c>
      <c r="E48" s="624">
        <v>116</v>
      </c>
      <c r="F48" s="624">
        <v>0.82</v>
      </c>
      <c r="G48" s="624">
        <v>7.9200000000000007E-2</v>
      </c>
      <c r="H48" s="643">
        <v>26</v>
      </c>
      <c r="J48" s="79"/>
      <c r="O48" s="3"/>
      <c r="T48" s="5"/>
      <c r="U48" s="5"/>
      <c r="V48" s="5"/>
      <c r="W48" s="5"/>
      <c r="X48" s="5"/>
      <c r="Y48" s="5"/>
      <c r="Z48" s="5"/>
      <c r="AA48" s="5"/>
      <c r="AB48" s="5"/>
      <c r="AC48" s="5"/>
      <c r="AD48" s="5"/>
    </row>
    <row r="49" spans="1:34" ht="19.5" customHeight="1">
      <c r="A49" s="17"/>
      <c r="B49" s="624" t="s">
        <v>167</v>
      </c>
      <c r="C49" s="624">
        <v>177</v>
      </c>
      <c r="D49" s="624">
        <v>165</v>
      </c>
      <c r="E49" s="624">
        <v>141</v>
      </c>
      <c r="F49" s="624">
        <v>0.56699999999999995</v>
      </c>
      <c r="G49" s="624">
        <v>7.5200000000000003E-2</v>
      </c>
      <c r="H49" s="643">
        <v>30</v>
      </c>
      <c r="J49" s="79"/>
      <c r="P49" s="1"/>
      <c r="Q49" s="1"/>
      <c r="R49" s="4"/>
    </row>
    <row r="50" spans="1:34" ht="19.5" customHeight="1">
      <c r="A50" s="17"/>
      <c r="B50" s="624" t="s">
        <v>168</v>
      </c>
      <c r="C50" s="624">
        <v>221</v>
      </c>
      <c r="D50" s="624">
        <v>198</v>
      </c>
      <c r="E50" s="624">
        <v>168</v>
      </c>
      <c r="F50" s="624">
        <v>0.41</v>
      </c>
      <c r="G50" s="624">
        <v>7.3400000000000007E-2</v>
      </c>
      <c r="H50" s="643">
        <v>33</v>
      </c>
      <c r="J50" s="79"/>
      <c r="P50" s="1"/>
      <c r="Q50" s="1"/>
      <c r="R50" s="4"/>
    </row>
    <row r="51" spans="1:34" ht="19.5" customHeight="1">
      <c r="A51" s="17"/>
      <c r="B51" s="624" t="s">
        <v>169</v>
      </c>
      <c r="C51" s="624">
        <v>257</v>
      </c>
      <c r="D51" s="624">
        <v>225</v>
      </c>
      <c r="E51" s="624">
        <v>189</v>
      </c>
      <c r="F51" s="624">
        <v>0.32400000000000001</v>
      </c>
      <c r="G51" s="624">
        <v>7.2599999999999998E-2</v>
      </c>
      <c r="H51" s="643">
        <v>35</v>
      </c>
      <c r="J51" s="79"/>
      <c r="P51" s="1"/>
      <c r="Q51" s="1"/>
      <c r="R51" s="4"/>
    </row>
    <row r="52" spans="1:34" ht="19.5" customHeight="1">
      <c r="A52" s="17"/>
      <c r="B52" s="624" t="s">
        <v>170</v>
      </c>
      <c r="C52" s="624">
        <v>293</v>
      </c>
      <c r="D52" s="624">
        <v>252</v>
      </c>
      <c r="E52" s="624">
        <v>210</v>
      </c>
      <c r="F52" s="624">
        <v>0.26400000000000001</v>
      </c>
      <c r="G52" s="624">
        <v>7.3200000000000001E-2</v>
      </c>
      <c r="H52" s="643">
        <v>39</v>
      </c>
      <c r="J52" s="79"/>
      <c r="P52" s="1"/>
      <c r="Q52" s="1"/>
      <c r="R52" s="4"/>
    </row>
    <row r="53" spans="1:34" ht="19.5" customHeight="1">
      <c r="A53" s="17"/>
      <c r="B53" s="624" t="s">
        <v>171</v>
      </c>
      <c r="C53" s="624">
        <v>338</v>
      </c>
      <c r="D53" s="624">
        <v>285</v>
      </c>
      <c r="E53" s="624">
        <v>243</v>
      </c>
      <c r="F53" s="624">
        <v>0.21</v>
      </c>
      <c r="G53" s="624">
        <v>7.2700000000000001E-2</v>
      </c>
      <c r="H53" s="643">
        <v>43</v>
      </c>
      <c r="J53" s="79"/>
      <c r="P53" s="1"/>
      <c r="Q53" s="1"/>
      <c r="R53" s="4"/>
    </row>
    <row r="54" spans="1:34" ht="19.5" customHeight="1">
      <c r="A54" s="17"/>
      <c r="B54" s="624" t="s">
        <v>172</v>
      </c>
      <c r="C54" s="624">
        <v>401</v>
      </c>
      <c r="D54" s="624">
        <v>330</v>
      </c>
      <c r="E54" s="624">
        <v>282</v>
      </c>
      <c r="F54" s="624">
        <v>0.16</v>
      </c>
      <c r="G54" s="624">
        <v>7.1900000000000006E-2</v>
      </c>
      <c r="H54" s="643">
        <v>48</v>
      </c>
      <c r="I54" s="4"/>
      <c r="J54" s="79"/>
      <c r="P54" s="4"/>
      <c r="Q54" s="4"/>
      <c r="R54" s="4"/>
    </row>
    <row r="55" spans="1:34" ht="19.5" customHeight="1">
      <c r="A55" s="17"/>
      <c r="B55" s="624" t="s">
        <v>173</v>
      </c>
      <c r="C55" s="624">
        <v>459</v>
      </c>
      <c r="D55" s="624">
        <v>371</v>
      </c>
      <c r="E55" s="624">
        <v>316</v>
      </c>
      <c r="F55" s="624">
        <v>0.128</v>
      </c>
      <c r="G55" s="624">
        <v>7.1099999999999997E-2</v>
      </c>
      <c r="H55" s="643">
        <v>53</v>
      </c>
      <c r="I55" s="4"/>
      <c r="J55" s="79"/>
      <c r="P55" s="4"/>
      <c r="Q55" s="4"/>
      <c r="R55" s="4"/>
    </row>
    <row r="56" spans="1:34" ht="29.25" customHeight="1">
      <c r="A56" s="17"/>
      <c r="B56" s="624" t="s">
        <v>174</v>
      </c>
      <c r="C56" s="624">
        <v>536</v>
      </c>
      <c r="D56" s="624">
        <v>423</v>
      </c>
      <c r="E56" s="624">
        <v>282</v>
      </c>
      <c r="F56" s="624">
        <v>0.1</v>
      </c>
      <c r="G56" s="624">
        <v>7.0499999999999993E-2</v>
      </c>
      <c r="H56" s="643">
        <v>59</v>
      </c>
      <c r="I56" s="4"/>
      <c r="J56" s="79"/>
    </row>
    <row r="57" spans="1:34" ht="19.5" customHeight="1">
      <c r="A57" s="17"/>
      <c r="B57" s="4"/>
      <c r="C57" s="6"/>
      <c r="D57" s="4"/>
      <c r="E57" s="4"/>
      <c r="F57" s="4"/>
      <c r="G57" s="4"/>
      <c r="H57" s="18"/>
      <c r="I57" s="4"/>
    </row>
    <row r="58" spans="1:34" ht="19.5" customHeight="1">
      <c r="A58" s="17"/>
      <c r="B58" s="647" t="s">
        <v>175</v>
      </c>
      <c r="C58" s="648"/>
      <c r="D58" s="648"/>
      <c r="E58" s="648"/>
      <c r="F58" s="648"/>
      <c r="G58" s="648" t="s">
        <v>108</v>
      </c>
      <c r="H58" s="650"/>
      <c r="I58" s="4"/>
    </row>
    <row r="59" spans="1:34" ht="32.25" customHeight="1">
      <c r="A59" s="17"/>
      <c r="B59" s="1036" t="s">
        <v>109</v>
      </c>
      <c r="C59" s="1036" t="s">
        <v>110</v>
      </c>
      <c r="D59" s="1036"/>
      <c r="E59" s="1036"/>
      <c r="F59" s="1030" t="s">
        <v>111</v>
      </c>
      <c r="G59" s="1036" t="s">
        <v>112</v>
      </c>
      <c r="H59" s="1039" t="s">
        <v>113</v>
      </c>
      <c r="I59" s="4"/>
    </row>
    <row r="60" spans="1:34" ht="32.25" customHeight="1">
      <c r="A60" s="17"/>
      <c r="B60" s="1036"/>
      <c r="C60" s="622" t="s">
        <v>121</v>
      </c>
      <c r="D60" s="622" t="s">
        <v>122</v>
      </c>
      <c r="E60" s="622" t="s">
        <v>123</v>
      </c>
      <c r="F60" s="955"/>
      <c r="G60" s="1036"/>
      <c r="H60" s="1039"/>
      <c r="I60" s="4"/>
    </row>
    <row r="61" spans="1:34" ht="19.5" customHeight="1">
      <c r="A61" s="17"/>
      <c r="B61" s="633" t="s">
        <v>176</v>
      </c>
      <c r="C61" s="633">
        <v>22</v>
      </c>
      <c r="D61" s="633">
        <v>25</v>
      </c>
      <c r="E61" s="633">
        <v>22</v>
      </c>
      <c r="F61" s="633">
        <v>15.5</v>
      </c>
      <c r="G61" s="633">
        <v>0.108</v>
      </c>
      <c r="H61" s="641">
        <v>13</v>
      </c>
      <c r="I61" s="4"/>
    </row>
    <row r="62" spans="1:34" ht="19.5" customHeight="1">
      <c r="A62" s="17"/>
      <c r="B62" s="651" t="s">
        <v>177</v>
      </c>
      <c r="C62" s="651">
        <v>28</v>
      </c>
      <c r="D62" s="651">
        <v>34</v>
      </c>
      <c r="E62" s="651">
        <v>28</v>
      </c>
      <c r="F62" s="651">
        <v>9.48</v>
      </c>
      <c r="G62" s="651">
        <v>0.1007</v>
      </c>
      <c r="H62" s="643">
        <v>15</v>
      </c>
      <c r="I62" s="4"/>
    </row>
    <row r="63" spans="1:34" ht="19.5" customHeight="1">
      <c r="A63" s="17"/>
      <c r="B63" s="651" t="s">
        <v>178</v>
      </c>
      <c r="C63" s="651">
        <v>38</v>
      </c>
      <c r="D63" s="651">
        <v>44</v>
      </c>
      <c r="E63" s="651">
        <v>37</v>
      </c>
      <c r="F63" s="651">
        <v>5.9</v>
      </c>
      <c r="G63" s="651">
        <v>9.4700000000000006E-2</v>
      </c>
      <c r="H63" s="643">
        <v>16</v>
      </c>
      <c r="I63" s="4"/>
    </row>
    <row r="64" spans="1:34" ht="19.5" customHeight="1">
      <c r="A64" s="17"/>
      <c r="B64" s="651" t="s">
        <v>179</v>
      </c>
      <c r="C64" s="651">
        <v>51</v>
      </c>
      <c r="D64" s="651">
        <v>55</v>
      </c>
      <c r="E64" s="651">
        <v>46</v>
      </c>
      <c r="F64" s="651">
        <v>3.94</v>
      </c>
      <c r="G64" s="651">
        <v>9.0200000000000002E-2</v>
      </c>
      <c r="H64" s="643">
        <v>18</v>
      </c>
      <c r="I64" s="4"/>
      <c r="AH64" s="5"/>
    </row>
    <row r="65" spans="1:34" ht="19.5" customHeight="1">
      <c r="A65" s="17"/>
      <c r="B65" s="651" t="s">
        <v>180</v>
      </c>
      <c r="C65" s="651">
        <v>60</v>
      </c>
      <c r="D65" s="651">
        <v>57</v>
      </c>
      <c r="E65" s="651">
        <v>48</v>
      </c>
      <c r="F65" s="651">
        <v>3.94</v>
      </c>
      <c r="G65" s="651">
        <v>8.5199999999999998E-2</v>
      </c>
      <c r="H65" s="643">
        <v>20</v>
      </c>
      <c r="I65" s="4"/>
      <c r="AH65" s="5"/>
    </row>
    <row r="66" spans="1:34" ht="19.5" customHeight="1">
      <c r="A66" s="17"/>
      <c r="B66" s="651" t="s">
        <v>181</v>
      </c>
      <c r="C66" s="651">
        <v>70</v>
      </c>
      <c r="D66" s="651">
        <v>73</v>
      </c>
      <c r="E66" s="651">
        <v>61</v>
      </c>
      <c r="F66" s="651">
        <v>2.44</v>
      </c>
      <c r="G66" s="651">
        <v>8.1500000000000003E-2</v>
      </c>
      <c r="H66" s="643">
        <v>21</v>
      </c>
      <c r="I66" s="4"/>
      <c r="AH66" s="5"/>
    </row>
    <row r="67" spans="1:34" ht="19.5" customHeight="1">
      <c r="A67" s="17"/>
      <c r="B67" s="651" t="s">
        <v>182</v>
      </c>
      <c r="C67" s="651">
        <v>95</v>
      </c>
      <c r="D67" s="651">
        <v>96</v>
      </c>
      <c r="E67" s="651">
        <v>80</v>
      </c>
      <c r="F67" s="651">
        <v>1.54</v>
      </c>
      <c r="G67" s="651">
        <v>8.1600000000000006E-2</v>
      </c>
      <c r="H67" s="643">
        <v>25</v>
      </c>
      <c r="I67" s="4"/>
      <c r="J67" s="1"/>
      <c r="K67" s="1"/>
      <c r="L67" s="1"/>
      <c r="M67" s="1"/>
      <c r="N67" s="1"/>
      <c r="O67" s="1"/>
      <c r="R67" s="4"/>
      <c r="AH67" s="5"/>
    </row>
    <row r="68" spans="1:34" ht="19.5" customHeight="1">
      <c r="A68" s="17"/>
      <c r="B68" s="651" t="s">
        <v>183</v>
      </c>
      <c r="C68" s="651">
        <v>117</v>
      </c>
      <c r="D68" s="651">
        <v>115</v>
      </c>
      <c r="E68" s="651">
        <v>96</v>
      </c>
      <c r="F68" s="651">
        <v>1.1100000000000001</v>
      </c>
      <c r="G68" s="651">
        <v>7.9399999999999998E-2</v>
      </c>
      <c r="H68" s="643">
        <v>27</v>
      </c>
      <c r="I68" s="4"/>
      <c r="J68" s="1"/>
      <c r="K68" s="1"/>
      <c r="L68" s="1"/>
      <c r="M68" s="1"/>
      <c r="N68" s="1"/>
      <c r="O68" s="1"/>
      <c r="R68" s="4"/>
      <c r="AH68" s="5"/>
    </row>
    <row r="69" spans="1:34" ht="19.5" customHeight="1">
      <c r="A69" s="17"/>
      <c r="B69" s="651" t="s">
        <v>184</v>
      </c>
      <c r="C69" s="651">
        <v>141</v>
      </c>
      <c r="D69" s="651">
        <v>134</v>
      </c>
      <c r="E69" s="651">
        <v>116</v>
      </c>
      <c r="F69" s="651">
        <v>0.82</v>
      </c>
      <c r="G69" s="651">
        <v>7.9200000000000007E-2</v>
      </c>
      <c r="H69" s="643">
        <v>30</v>
      </c>
      <c r="I69" s="4"/>
      <c r="J69" s="1"/>
      <c r="K69" s="1"/>
      <c r="L69" s="1"/>
      <c r="M69" s="1"/>
      <c r="N69" s="1"/>
      <c r="O69" s="1"/>
      <c r="R69" s="4"/>
      <c r="AH69" s="5"/>
    </row>
    <row r="70" spans="1:34" ht="19.5" customHeight="1">
      <c r="A70" s="17"/>
      <c r="B70" s="651" t="s">
        <v>185</v>
      </c>
      <c r="C70" s="651">
        <v>177</v>
      </c>
      <c r="D70" s="651">
        <v>165</v>
      </c>
      <c r="E70" s="651">
        <v>141</v>
      </c>
      <c r="F70" s="651">
        <v>0.56699999999999995</v>
      </c>
      <c r="G70" s="651">
        <v>7.5200000000000003E-2</v>
      </c>
      <c r="H70" s="643">
        <v>36</v>
      </c>
      <c r="I70" s="4"/>
      <c r="J70" s="1"/>
      <c r="K70" s="1"/>
      <c r="L70" s="1"/>
      <c r="M70" s="1"/>
      <c r="N70" s="1"/>
      <c r="O70" s="1"/>
      <c r="R70" s="4"/>
      <c r="AH70" s="5"/>
    </row>
    <row r="71" spans="1:34" ht="19.5" customHeight="1">
      <c r="A71" s="17"/>
      <c r="B71" s="651" t="s">
        <v>186</v>
      </c>
      <c r="C71" s="651">
        <v>221</v>
      </c>
      <c r="D71" s="651">
        <v>198</v>
      </c>
      <c r="E71" s="651">
        <v>168</v>
      </c>
      <c r="F71" s="651">
        <v>0.41</v>
      </c>
      <c r="G71" s="651">
        <v>7.3400000000000007E-2</v>
      </c>
      <c r="H71" s="643">
        <v>39</v>
      </c>
      <c r="I71" s="4"/>
      <c r="J71" s="1"/>
      <c r="K71" s="1"/>
      <c r="L71" s="1"/>
      <c r="M71" s="1"/>
      <c r="N71" s="1"/>
      <c r="O71" s="1"/>
      <c r="R71" s="4"/>
      <c r="AH71" s="5"/>
    </row>
    <row r="72" spans="1:34" ht="19.5" customHeight="1">
      <c r="A72" s="17"/>
      <c r="B72" s="651" t="s">
        <v>187</v>
      </c>
      <c r="C72" s="651">
        <v>257</v>
      </c>
      <c r="D72" s="651">
        <v>225</v>
      </c>
      <c r="E72" s="651">
        <v>189</v>
      </c>
      <c r="F72" s="651">
        <v>0.32400000000000001</v>
      </c>
      <c r="G72" s="651">
        <v>7.2599999999999998E-2</v>
      </c>
      <c r="H72" s="643">
        <v>43</v>
      </c>
      <c r="I72" s="4"/>
      <c r="J72" s="1"/>
      <c r="K72" s="1"/>
      <c r="L72" s="1"/>
      <c r="M72" s="1"/>
      <c r="N72" s="1"/>
      <c r="O72" s="1"/>
      <c r="R72" s="4"/>
      <c r="AH72" s="5"/>
    </row>
    <row r="73" spans="1:34" ht="19.5" customHeight="1">
      <c r="A73" s="17"/>
      <c r="B73" s="651" t="s">
        <v>188</v>
      </c>
      <c r="C73" s="651">
        <v>293</v>
      </c>
      <c r="D73" s="651">
        <v>252</v>
      </c>
      <c r="E73" s="651">
        <v>210</v>
      </c>
      <c r="F73" s="651">
        <v>0.26400000000000001</v>
      </c>
      <c r="G73" s="651">
        <v>7.3200000000000001E-2</v>
      </c>
      <c r="H73" s="643">
        <v>48</v>
      </c>
      <c r="I73" s="4"/>
      <c r="J73" s="1"/>
      <c r="K73" s="1"/>
      <c r="L73" s="1"/>
      <c r="M73" s="1"/>
      <c r="N73" s="1"/>
      <c r="O73" s="1"/>
      <c r="R73" s="4"/>
      <c r="AH73" s="5"/>
    </row>
    <row r="74" spans="1:34">
      <c r="A74" s="17"/>
      <c r="B74" s="651" t="s">
        <v>189</v>
      </c>
      <c r="C74" s="651">
        <v>338</v>
      </c>
      <c r="D74" s="651">
        <v>285</v>
      </c>
      <c r="E74" s="651">
        <v>243</v>
      </c>
      <c r="F74" s="651">
        <v>0.21</v>
      </c>
      <c r="G74" s="651">
        <v>7.2700000000000001E-2</v>
      </c>
      <c r="H74" s="643">
        <v>53</v>
      </c>
      <c r="I74" s="4"/>
      <c r="J74" s="47"/>
      <c r="K74" s="980"/>
      <c r="L74" s="980"/>
      <c r="M74" s="980"/>
      <c r="N74" s="980"/>
      <c r="O74" s="980"/>
      <c r="P74" s="980"/>
      <c r="Q74" s="48"/>
      <c r="R74" s="980"/>
      <c r="S74" s="980"/>
      <c r="T74" s="980"/>
      <c r="U74" s="980"/>
      <c r="AH74" s="5"/>
    </row>
    <row r="75" spans="1:34" ht="19.5" customHeight="1">
      <c r="A75" s="17"/>
      <c r="B75" s="651" t="s">
        <v>190</v>
      </c>
      <c r="C75" s="651">
        <v>401</v>
      </c>
      <c r="D75" s="651">
        <v>330</v>
      </c>
      <c r="E75" s="651">
        <v>282</v>
      </c>
      <c r="F75" s="651">
        <v>0.16</v>
      </c>
      <c r="G75" s="651">
        <v>7.1900000000000006E-2</v>
      </c>
      <c r="H75" s="643">
        <v>58</v>
      </c>
      <c r="I75" s="4"/>
      <c r="J75" s="47"/>
      <c r="K75" s="980"/>
      <c r="L75" s="48"/>
      <c r="M75" s="48"/>
      <c r="N75" s="980"/>
      <c r="O75" s="48"/>
      <c r="P75" s="48"/>
      <c r="Q75" s="48"/>
      <c r="R75" s="48"/>
      <c r="S75" s="48"/>
      <c r="T75" s="48"/>
      <c r="U75" s="48"/>
      <c r="AH75" s="5"/>
    </row>
    <row r="76" spans="1:34" ht="19.5" customHeight="1">
      <c r="A76" s="17"/>
      <c r="B76" s="651" t="s">
        <v>191</v>
      </c>
      <c r="C76" s="651">
        <v>459</v>
      </c>
      <c r="D76" s="651">
        <v>371</v>
      </c>
      <c r="E76" s="651">
        <v>316</v>
      </c>
      <c r="F76" s="651">
        <v>0.128</v>
      </c>
      <c r="G76" s="651">
        <v>7.1099999999999997E-2</v>
      </c>
      <c r="H76" s="643">
        <v>64</v>
      </c>
      <c r="I76" s="4"/>
      <c r="J76" s="47"/>
      <c r="K76" s="47"/>
      <c r="L76" s="49"/>
      <c r="M76" s="49"/>
      <c r="N76" s="47"/>
      <c r="O76" s="49"/>
      <c r="P76" s="49"/>
      <c r="Q76" s="49"/>
      <c r="R76" s="49"/>
      <c r="S76" s="47"/>
      <c r="T76" s="47"/>
      <c r="U76" s="47"/>
      <c r="AH76" s="5"/>
    </row>
    <row r="77" spans="1:34" ht="19.5" customHeight="1">
      <c r="A77" s="17"/>
      <c r="B77" s="651" t="s">
        <v>192</v>
      </c>
      <c r="C77" s="651">
        <v>536</v>
      </c>
      <c r="D77" s="651">
        <v>423</v>
      </c>
      <c r="E77" s="624">
        <v>282</v>
      </c>
      <c r="F77" s="651">
        <v>0.1</v>
      </c>
      <c r="G77" s="651">
        <v>7.0499999999999993E-2</v>
      </c>
      <c r="H77" s="643">
        <v>72</v>
      </c>
      <c r="I77" s="4"/>
      <c r="J77" s="47"/>
      <c r="K77" s="47"/>
      <c r="L77" s="49"/>
      <c r="M77" s="49"/>
      <c r="N77" s="49"/>
      <c r="O77" s="49"/>
      <c r="P77" s="49"/>
      <c r="Q77" s="49"/>
      <c r="R77" s="50"/>
      <c r="S77" s="51"/>
      <c r="T77" s="52"/>
      <c r="U77" s="51"/>
      <c r="AH77" s="5"/>
    </row>
    <row r="78" spans="1:34" ht="19.5" customHeight="1">
      <c r="A78" s="17"/>
      <c r="B78" s="4"/>
      <c r="C78" s="6"/>
      <c r="D78" s="4"/>
      <c r="E78" s="4"/>
      <c r="F78" s="4"/>
      <c r="G78" s="4"/>
      <c r="H78" s="18"/>
      <c r="I78" s="4"/>
      <c r="J78" s="47"/>
      <c r="K78" s="47"/>
      <c r="L78" s="53"/>
      <c r="M78" s="53"/>
      <c r="N78" s="49"/>
      <c r="O78" s="49"/>
      <c r="P78" s="49"/>
      <c r="Q78" s="49"/>
      <c r="R78" s="50"/>
      <c r="S78" s="51"/>
      <c r="T78" s="52"/>
      <c r="U78" s="51"/>
      <c r="V78" s="5"/>
      <c r="W78" s="5"/>
      <c r="X78" s="5"/>
      <c r="Y78" s="5"/>
      <c r="Z78" s="5"/>
      <c r="AA78" s="5"/>
      <c r="AB78" s="5"/>
      <c r="AC78" s="5"/>
      <c r="AD78" s="5"/>
      <c r="AE78" s="5"/>
      <c r="AF78" s="5"/>
      <c r="AG78" s="5"/>
      <c r="AH78" s="5"/>
    </row>
    <row r="79" spans="1:34" ht="19.5" customHeight="1">
      <c r="A79" s="17"/>
      <c r="B79" s="647" t="s">
        <v>193</v>
      </c>
      <c r="C79" s="652"/>
      <c r="D79" s="652"/>
      <c r="E79" s="652"/>
      <c r="F79" s="652"/>
      <c r="G79" s="648" t="s">
        <v>108</v>
      </c>
      <c r="H79" s="653"/>
      <c r="I79" s="4"/>
      <c r="J79" s="54"/>
      <c r="K79" s="54"/>
      <c r="L79" s="54"/>
      <c r="M79" s="54"/>
      <c r="N79" s="54"/>
      <c r="O79" s="54"/>
      <c r="P79" s="54"/>
      <c r="Q79" s="54"/>
      <c r="R79" s="50"/>
      <c r="S79" s="51"/>
      <c r="T79" s="52"/>
      <c r="U79" s="51"/>
      <c r="V79" s="5"/>
      <c r="W79" s="5"/>
      <c r="X79" s="5"/>
      <c r="Y79" s="5"/>
      <c r="Z79" s="5"/>
      <c r="AA79" s="5"/>
      <c r="AB79" s="5"/>
      <c r="AC79" s="5"/>
      <c r="AD79" s="5"/>
      <c r="AE79" s="5"/>
      <c r="AF79" s="5"/>
      <c r="AG79" s="5"/>
      <c r="AH79" s="5"/>
    </row>
    <row r="80" spans="1:34" ht="36" customHeight="1">
      <c r="A80" s="17"/>
      <c r="B80" s="1040" t="s">
        <v>194</v>
      </c>
      <c r="C80" s="1040" t="s">
        <v>110</v>
      </c>
      <c r="D80" s="1040"/>
      <c r="E80" s="1040"/>
      <c r="F80" s="1030" t="s">
        <v>111</v>
      </c>
      <c r="G80" s="1040" t="s">
        <v>112</v>
      </c>
      <c r="H80" s="1039" t="s">
        <v>113</v>
      </c>
      <c r="I80" s="4"/>
      <c r="J80" s="55"/>
      <c r="K80" s="48"/>
      <c r="L80" s="56"/>
      <c r="M80" s="56"/>
      <c r="N80" s="56"/>
      <c r="O80" s="56"/>
      <c r="P80" s="56"/>
      <c r="Q80" s="56"/>
      <c r="R80" s="50"/>
      <c r="S80" s="51"/>
      <c r="T80" s="52"/>
      <c r="U80" s="51"/>
      <c r="V80" s="5"/>
      <c r="W80" s="5"/>
      <c r="X80" s="5"/>
      <c r="Y80" s="5"/>
      <c r="Z80" s="5"/>
      <c r="AA80" s="5"/>
      <c r="AB80" s="5"/>
      <c r="AC80" s="5"/>
      <c r="AD80" s="5"/>
      <c r="AE80" s="5"/>
      <c r="AF80" s="5"/>
      <c r="AG80" s="5"/>
      <c r="AH80" s="5"/>
    </row>
    <row r="81" spans="1:34" ht="36" customHeight="1">
      <c r="A81" s="17"/>
      <c r="B81" s="1040"/>
      <c r="C81" s="622" t="s">
        <v>121</v>
      </c>
      <c r="D81" s="622" t="s">
        <v>122</v>
      </c>
      <c r="E81" s="622" t="s">
        <v>123</v>
      </c>
      <c r="F81" s="955"/>
      <c r="G81" s="1040"/>
      <c r="H81" s="1039"/>
      <c r="I81" s="4"/>
      <c r="J81" s="55"/>
      <c r="K81" s="48"/>
      <c r="L81" s="48"/>
      <c r="M81" s="54"/>
      <c r="N81" s="56"/>
      <c r="O81" s="48"/>
      <c r="P81" s="48"/>
      <c r="Q81" s="48"/>
      <c r="R81" s="50"/>
      <c r="S81" s="51"/>
      <c r="T81" s="52"/>
      <c r="U81" s="51"/>
      <c r="V81" s="5"/>
      <c r="W81" s="5"/>
      <c r="X81" s="5"/>
      <c r="Y81" s="5"/>
      <c r="Z81" s="5"/>
      <c r="AA81" s="5"/>
      <c r="AB81" s="5"/>
      <c r="AC81" s="5"/>
      <c r="AD81" s="5"/>
      <c r="AE81" s="5"/>
      <c r="AF81" s="5"/>
      <c r="AG81" s="5"/>
      <c r="AH81" s="5"/>
    </row>
    <row r="82" spans="1:34" ht="19.5" customHeight="1">
      <c r="A82" s="17"/>
      <c r="B82" s="633" t="s">
        <v>195</v>
      </c>
      <c r="C82" s="633">
        <v>22</v>
      </c>
      <c r="D82" s="633">
        <v>25</v>
      </c>
      <c r="E82" s="633">
        <v>22</v>
      </c>
      <c r="F82" s="633">
        <v>15.5</v>
      </c>
      <c r="G82" s="633">
        <v>0.108</v>
      </c>
      <c r="H82" s="654">
        <v>13</v>
      </c>
      <c r="I82" s="4"/>
      <c r="J82" s="55"/>
      <c r="K82" s="47"/>
      <c r="L82" s="54"/>
      <c r="M82" s="54"/>
      <c r="N82" s="47"/>
      <c r="O82" s="49"/>
      <c r="P82" s="49"/>
      <c r="Q82" s="49"/>
      <c r="R82" s="50"/>
      <c r="S82" s="51"/>
      <c r="T82" s="52"/>
      <c r="U82" s="51"/>
      <c r="V82" s="5"/>
      <c r="W82" s="5"/>
      <c r="X82" s="5"/>
      <c r="Y82" s="5"/>
      <c r="Z82" s="5"/>
      <c r="AA82" s="5"/>
      <c r="AB82" s="5"/>
      <c r="AC82" s="5"/>
      <c r="AD82" s="5"/>
      <c r="AE82" s="5"/>
      <c r="AF82" s="5"/>
      <c r="AG82" s="5"/>
      <c r="AH82" s="5"/>
    </row>
    <row r="83" spans="1:34" ht="19.5" customHeight="1">
      <c r="A83" s="17"/>
      <c r="B83" s="651" t="s">
        <v>196</v>
      </c>
      <c r="C83" s="651">
        <v>28</v>
      </c>
      <c r="D83" s="651">
        <v>34</v>
      </c>
      <c r="E83" s="651">
        <v>28</v>
      </c>
      <c r="F83" s="651">
        <v>9.48</v>
      </c>
      <c r="G83" s="651">
        <v>0.1007</v>
      </c>
      <c r="H83" s="655">
        <v>15</v>
      </c>
      <c r="I83" s="4"/>
      <c r="J83" s="55"/>
      <c r="K83" s="47"/>
      <c r="L83" s="54"/>
      <c r="M83" s="54"/>
      <c r="N83" s="49"/>
      <c r="O83" s="49"/>
      <c r="P83" s="49"/>
      <c r="Q83" s="49"/>
      <c r="R83" s="50"/>
      <c r="S83" s="51"/>
      <c r="T83" s="52"/>
      <c r="U83" s="51"/>
      <c r="V83" s="5"/>
      <c r="W83" s="5"/>
      <c r="X83" s="5"/>
      <c r="Y83" s="5"/>
      <c r="Z83" s="5"/>
      <c r="AA83" s="5"/>
      <c r="AB83" s="5"/>
      <c r="AC83" s="5"/>
      <c r="AD83" s="5"/>
      <c r="AE83" s="5"/>
      <c r="AF83" s="5"/>
      <c r="AG83" s="5"/>
      <c r="AH83" s="5"/>
    </row>
    <row r="84" spans="1:34" ht="19.5" customHeight="1">
      <c r="A84" s="17"/>
      <c r="B84" s="651" t="s">
        <v>197</v>
      </c>
      <c r="C84" s="651">
        <v>38</v>
      </c>
      <c r="D84" s="651">
        <v>44</v>
      </c>
      <c r="E84" s="651">
        <v>37</v>
      </c>
      <c r="F84" s="651">
        <v>5.9</v>
      </c>
      <c r="G84" s="651">
        <v>9.4700000000000006E-2</v>
      </c>
      <c r="H84" s="655">
        <v>16</v>
      </c>
      <c r="I84" s="4"/>
      <c r="J84" s="55"/>
      <c r="K84" s="47"/>
      <c r="L84" s="54"/>
      <c r="M84" s="54"/>
      <c r="N84" s="54"/>
      <c r="O84" s="54"/>
      <c r="P84" s="54"/>
      <c r="Q84" s="54"/>
      <c r="R84" s="50"/>
      <c r="S84" s="51"/>
      <c r="T84" s="50"/>
      <c r="U84" s="51"/>
      <c r="V84" s="5"/>
      <c r="W84" s="5"/>
      <c r="X84" s="5"/>
      <c r="Y84" s="5"/>
      <c r="Z84" s="5"/>
      <c r="AA84" s="5"/>
      <c r="AB84" s="5"/>
      <c r="AC84" s="5"/>
      <c r="AD84" s="5"/>
      <c r="AE84" s="5"/>
      <c r="AF84" s="5"/>
      <c r="AG84" s="5"/>
      <c r="AH84" s="5"/>
    </row>
    <row r="85" spans="1:34" ht="19.5" customHeight="1">
      <c r="A85" s="17"/>
      <c r="B85" s="651" t="s">
        <v>198</v>
      </c>
      <c r="C85" s="651">
        <v>51</v>
      </c>
      <c r="D85" s="651">
        <v>55</v>
      </c>
      <c r="E85" s="651">
        <v>46</v>
      </c>
      <c r="F85" s="651">
        <v>3.94</v>
      </c>
      <c r="G85" s="651">
        <v>9.0200000000000002E-2</v>
      </c>
      <c r="H85" s="655">
        <v>18</v>
      </c>
      <c r="I85" s="4"/>
      <c r="J85" s="4"/>
      <c r="K85" s="4"/>
      <c r="L85" s="4"/>
      <c r="M85" s="4"/>
      <c r="N85" s="4"/>
      <c r="O85" s="4"/>
      <c r="P85" s="4"/>
      <c r="Q85" s="4"/>
      <c r="R85" s="4"/>
      <c r="S85" s="4"/>
      <c r="T85" s="4"/>
      <c r="U85" s="4"/>
      <c r="V85" s="5"/>
      <c r="W85" s="5"/>
      <c r="X85" s="5"/>
      <c r="Y85" s="5"/>
      <c r="Z85" s="5"/>
      <c r="AA85" s="5"/>
      <c r="AB85" s="5"/>
      <c r="AC85" s="5"/>
      <c r="AD85" s="5"/>
      <c r="AE85" s="5"/>
      <c r="AF85" s="5"/>
      <c r="AG85" s="5"/>
      <c r="AH85" s="5"/>
    </row>
    <row r="86" spans="1:34" ht="19.5" customHeight="1">
      <c r="A86" s="17"/>
      <c r="B86" s="651" t="s">
        <v>199</v>
      </c>
      <c r="C86" s="651">
        <v>60</v>
      </c>
      <c r="D86" s="651">
        <v>57</v>
      </c>
      <c r="E86" s="651">
        <v>48</v>
      </c>
      <c r="F86" s="651">
        <v>3.94</v>
      </c>
      <c r="G86" s="651">
        <v>8.5199999999999998E-2</v>
      </c>
      <c r="H86" s="655">
        <v>20</v>
      </c>
      <c r="I86" s="4"/>
      <c r="J86" s="4"/>
      <c r="K86" s="4"/>
      <c r="L86" s="4"/>
      <c r="M86" s="4"/>
      <c r="N86" s="4"/>
      <c r="O86" s="4"/>
      <c r="P86" s="4"/>
      <c r="Q86" s="4"/>
      <c r="R86" s="4"/>
      <c r="S86" s="4"/>
      <c r="T86" s="4"/>
      <c r="U86" s="4"/>
      <c r="V86" s="5"/>
      <c r="W86" s="5"/>
      <c r="X86" s="5"/>
      <c r="Y86" s="5"/>
      <c r="Z86" s="5"/>
      <c r="AA86" s="5"/>
      <c r="AB86" s="5"/>
      <c r="AC86" s="5"/>
      <c r="AD86" s="5"/>
      <c r="AE86" s="5"/>
      <c r="AF86" s="5"/>
      <c r="AG86" s="5"/>
      <c r="AH86" s="5"/>
    </row>
    <row r="87" spans="1:34" ht="19.5" customHeight="1">
      <c r="A87" s="17"/>
      <c r="B87" s="651" t="s">
        <v>200</v>
      </c>
      <c r="C87" s="651">
        <v>70</v>
      </c>
      <c r="D87" s="651">
        <v>73</v>
      </c>
      <c r="E87" s="651">
        <v>61</v>
      </c>
      <c r="F87" s="651">
        <v>2.44</v>
      </c>
      <c r="G87" s="651">
        <v>8.1500000000000003E-2</v>
      </c>
      <c r="H87" s="655">
        <v>20</v>
      </c>
      <c r="I87" s="4"/>
      <c r="J87" s="4"/>
      <c r="K87" s="4"/>
      <c r="L87" s="4"/>
      <c r="M87" s="4"/>
      <c r="N87" s="4"/>
      <c r="O87" s="4"/>
      <c r="P87" s="4"/>
      <c r="Q87" s="4"/>
      <c r="R87" s="4"/>
      <c r="S87" s="4"/>
      <c r="T87" s="4"/>
      <c r="U87" s="4"/>
      <c r="V87" s="5"/>
      <c r="W87" s="5"/>
      <c r="X87" s="5"/>
      <c r="Y87" s="5"/>
      <c r="Z87" s="5"/>
      <c r="AA87" s="5"/>
      <c r="AB87" s="5"/>
      <c r="AC87" s="5"/>
      <c r="AD87" s="5"/>
      <c r="AE87" s="5"/>
      <c r="AF87" s="5"/>
      <c r="AG87" s="5"/>
      <c r="AH87" s="5"/>
    </row>
    <row r="88" spans="1:34" ht="19.5" customHeight="1">
      <c r="A88" s="17"/>
      <c r="B88" s="651" t="s">
        <v>201</v>
      </c>
      <c r="C88" s="651">
        <v>95</v>
      </c>
      <c r="D88" s="651">
        <v>96</v>
      </c>
      <c r="E88" s="651">
        <v>80</v>
      </c>
      <c r="F88" s="651">
        <v>1.54</v>
      </c>
      <c r="G88" s="651">
        <v>8.1600000000000006E-2</v>
      </c>
      <c r="H88" s="655">
        <v>24</v>
      </c>
      <c r="I88" s="4"/>
      <c r="J88" s="4"/>
      <c r="K88" s="4"/>
      <c r="L88" s="4"/>
      <c r="M88" s="4"/>
      <c r="N88" s="4"/>
      <c r="O88" s="4"/>
      <c r="P88" s="4"/>
      <c r="Q88" s="4"/>
      <c r="R88" s="4"/>
      <c r="S88" s="4"/>
      <c r="T88" s="4"/>
      <c r="U88" s="4"/>
      <c r="V88" s="5"/>
      <c r="W88" s="5"/>
      <c r="X88" s="5"/>
      <c r="Y88" s="5"/>
      <c r="Z88" s="5"/>
      <c r="AA88" s="5"/>
      <c r="AB88" s="5"/>
      <c r="AC88" s="5"/>
      <c r="AD88" s="5"/>
      <c r="AE88" s="5"/>
      <c r="AF88" s="5"/>
      <c r="AG88" s="5"/>
      <c r="AH88" s="5"/>
    </row>
    <row r="89" spans="1:34" ht="19.5" customHeight="1">
      <c r="A89" s="17"/>
      <c r="B89" s="651" t="s">
        <v>202</v>
      </c>
      <c r="C89" s="651">
        <v>117</v>
      </c>
      <c r="D89" s="651">
        <v>115</v>
      </c>
      <c r="E89" s="651">
        <v>96</v>
      </c>
      <c r="F89" s="651">
        <v>1.1100000000000001</v>
      </c>
      <c r="G89" s="651">
        <v>7.9399999999999998E-2</v>
      </c>
      <c r="H89" s="655">
        <v>26</v>
      </c>
      <c r="I89" s="4"/>
      <c r="J89" s="4"/>
      <c r="K89" s="4"/>
      <c r="L89" s="4"/>
      <c r="M89" s="4"/>
      <c r="N89" s="4"/>
      <c r="O89" s="4"/>
      <c r="P89" s="4"/>
      <c r="Q89" s="4"/>
      <c r="R89" s="4"/>
      <c r="S89" s="4"/>
      <c r="T89" s="4"/>
      <c r="U89" s="4"/>
      <c r="V89" s="5"/>
      <c r="W89" s="5"/>
      <c r="X89" s="5"/>
      <c r="Y89" s="5"/>
      <c r="Z89" s="5"/>
      <c r="AA89" s="5"/>
      <c r="AB89" s="5"/>
      <c r="AC89" s="5"/>
      <c r="AD89" s="5"/>
      <c r="AE89" s="5"/>
      <c r="AF89" s="5"/>
      <c r="AG89" s="5"/>
      <c r="AH89" s="5"/>
    </row>
    <row r="90" spans="1:34" ht="19.5" customHeight="1">
      <c r="A90" s="17"/>
      <c r="B90" s="651" t="s">
        <v>203</v>
      </c>
      <c r="C90" s="651">
        <v>141</v>
      </c>
      <c r="D90" s="651">
        <v>134</v>
      </c>
      <c r="E90" s="651">
        <v>116</v>
      </c>
      <c r="F90" s="651">
        <v>0.82</v>
      </c>
      <c r="G90" s="651">
        <v>7.9200000000000007E-2</v>
      </c>
      <c r="H90" s="655">
        <v>29</v>
      </c>
      <c r="I90" s="4"/>
      <c r="J90" s="4"/>
      <c r="K90" s="4"/>
      <c r="L90" s="4"/>
      <c r="M90" s="4"/>
      <c r="N90" s="4"/>
      <c r="O90" s="4"/>
      <c r="P90" s="4"/>
      <c r="Q90" s="4"/>
      <c r="R90" s="4"/>
      <c r="S90" s="4"/>
      <c r="T90" s="4"/>
      <c r="U90" s="4"/>
      <c r="V90" s="5"/>
      <c r="W90" s="5"/>
      <c r="X90" s="5"/>
      <c r="Y90" s="5"/>
      <c r="Z90" s="5"/>
      <c r="AA90" s="5"/>
      <c r="AB90" s="5"/>
      <c r="AC90" s="5"/>
      <c r="AD90" s="5"/>
      <c r="AE90" s="5"/>
      <c r="AF90" s="5"/>
      <c r="AG90" s="5"/>
      <c r="AH90" s="5"/>
    </row>
    <row r="91" spans="1:34" ht="19.5" customHeight="1">
      <c r="A91" s="17"/>
      <c r="B91" s="651" t="s">
        <v>204</v>
      </c>
      <c r="C91" s="651">
        <v>177</v>
      </c>
      <c r="D91" s="651">
        <v>165</v>
      </c>
      <c r="E91" s="651">
        <v>141</v>
      </c>
      <c r="F91" s="651">
        <v>0.56699999999999995</v>
      </c>
      <c r="G91" s="651">
        <v>7.5200000000000003E-2</v>
      </c>
      <c r="H91" s="655">
        <v>33</v>
      </c>
      <c r="I91" s="4"/>
      <c r="J91" s="4"/>
      <c r="K91" s="4"/>
      <c r="L91" s="4"/>
      <c r="M91" s="4"/>
      <c r="N91" s="4"/>
      <c r="O91" s="4"/>
      <c r="P91" s="4"/>
      <c r="Q91" s="4"/>
      <c r="R91" s="4"/>
      <c r="S91" s="4"/>
      <c r="T91" s="4"/>
      <c r="U91" s="4"/>
      <c r="V91" s="5"/>
      <c r="W91" s="5"/>
      <c r="X91" s="5"/>
      <c r="Y91" s="5"/>
      <c r="Z91" s="5"/>
      <c r="AA91" s="5"/>
      <c r="AB91" s="5"/>
      <c r="AC91" s="5"/>
      <c r="AD91" s="5"/>
      <c r="AE91" s="5"/>
      <c r="AF91" s="5"/>
      <c r="AG91" s="5"/>
      <c r="AH91" s="5"/>
    </row>
    <row r="92" spans="1:34" ht="19.5" customHeight="1">
      <c r="A92" s="17"/>
      <c r="B92" s="7"/>
      <c r="C92" s="7"/>
      <c r="D92" s="7"/>
      <c r="E92" s="7"/>
      <c r="F92" s="58"/>
      <c r="G92" s="58"/>
      <c r="H92" s="59"/>
      <c r="I92" s="4"/>
      <c r="U92" s="5"/>
      <c r="V92" s="5"/>
      <c r="W92" s="5"/>
      <c r="X92" s="5"/>
      <c r="Y92" s="5"/>
      <c r="Z92" s="5"/>
      <c r="AA92" s="5"/>
      <c r="AB92" s="5"/>
      <c r="AC92" s="5"/>
      <c r="AD92" s="5"/>
      <c r="AE92" s="5"/>
      <c r="AF92" s="5"/>
      <c r="AG92" s="5"/>
      <c r="AH92" s="5"/>
    </row>
    <row r="93" spans="1:34" ht="19.5" customHeight="1" thickBot="1">
      <c r="A93" s="22"/>
      <c r="B93" s="23"/>
      <c r="C93" s="24"/>
      <c r="D93" s="23"/>
      <c r="E93" s="23"/>
      <c r="F93" s="23"/>
      <c r="G93" s="23"/>
      <c r="H93" s="25"/>
      <c r="I93" s="5"/>
      <c r="U93" s="5"/>
      <c r="V93" s="5"/>
      <c r="W93" s="5"/>
      <c r="X93" s="5"/>
      <c r="Y93" s="5"/>
      <c r="Z93" s="5"/>
      <c r="AA93" s="5"/>
      <c r="AB93" s="5"/>
      <c r="AC93" s="5"/>
      <c r="AD93" s="5"/>
      <c r="AE93" s="5"/>
      <c r="AF93" s="5"/>
      <c r="AG93" s="5"/>
      <c r="AH93" s="5"/>
    </row>
    <row r="94" spans="1:34" ht="19.5" customHeight="1" thickBot="1">
      <c r="A94" s="5"/>
      <c r="B94" s="4"/>
      <c r="C94" s="6"/>
      <c r="D94" s="4"/>
      <c r="E94" s="4"/>
      <c r="F94" s="4"/>
      <c r="G94" s="4"/>
      <c r="H94" s="4"/>
      <c r="I94" s="4"/>
      <c r="J94" s="4"/>
      <c r="K94" s="5"/>
      <c r="L94" s="5"/>
      <c r="M94" s="5"/>
      <c r="N94" s="5"/>
      <c r="O94" s="4"/>
      <c r="P94" s="4"/>
      <c r="Q94" s="4"/>
      <c r="R94" s="4"/>
      <c r="S94" s="5"/>
      <c r="T94" s="5"/>
      <c r="U94" s="5"/>
      <c r="V94" s="5"/>
      <c r="W94" s="5"/>
      <c r="X94" s="5"/>
      <c r="Y94" s="5"/>
      <c r="Z94" s="5"/>
      <c r="AA94" s="5"/>
      <c r="AB94" s="5"/>
      <c r="AC94" s="5"/>
      <c r="AD94" s="5"/>
      <c r="AE94" s="5"/>
      <c r="AF94" s="5"/>
      <c r="AG94" s="5"/>
      <c r="AH94" s="5"/>
    </row>
    <row r="95" spans="1:34" ht="19.5" customHeight="1">
      <c r="A95" s="14"/>
      <c r="B95" s="967" t="s">
        <v>205</v>
      </c>
      <c r="C95" s="968"/>
      <c r="D95" s="968"/>
      <c r="E95" s="968"/>
      <c r="F95" s="969"/>
      <c r="G95" s="26"/>
      <c r="H95" s="16"/>
      <c r="I95" s="4"/>
      <c r="J95" s="9"/>
      <c r="K95" s="9"/>
      <c r="L95" s="9"/>
      <c r="M95" s="9"/>
      <c r="N95" s="9"/>
      <c r="O95" s="10"/>
      <c r="P95" s="4"/>
      <c r="Q95" s="4"/>
      <c r="R95" s="4"/>
      <c r="S95" s="5"/>
      <c r="T95" s="5"/>
      <c r="U95" s="5"/>
      <c r="V95" s="5"/>
      <c r="W95" s="5"/>
      <c r="X95" s="5"/>
      <c r="Y95" s="5"/>
      <c r="Z95" s="5"/>
      <c r="AA95" s="5"/>
      <c r="AB95" s="5"/>
      <c r="AC95" s="5"/>
      <c r="AD95" s="5"/>
      <c r="AE95" s="5"/>
      <c r="AF95" s="5"/>
      <c r="AG95" s="5"/>
      <c r="AH95" s="5"/>
    </row>
    <row r="96" spans="1:34" ht="19.5" customHeight="1">
      <c r="A96" s="17"/>
      <c r="B96" s="4"/>
      <c r="C96" s="4"/>
      <c r="D96" s="4"/>
      <c r="E96" s="4"/>
      <c r="F96" s="4"/>
      <c r="G96" s="4"/>
      <c r="H96" s="18"/>
      <c r="I96" s="4"/>
      <c r="J96" s="4"/>
      <c r="K96" s="4"/>
      <c r="L96" s="4"/>
      <c r="M96" s="4"/>
      <c r="N96" s="4"/>
      <c r="O96" s="4"/>
      <c r="P96" s="4"/>
      <c r="Q96" s="4"/>
      <c r="R96" s="4"/>
      <c r="S96" s="5"/>
      <c r="T96" s="5"/>
      <c r="U96" s="5"/>
      <c r="V96" s="5"/>
      <c r="W96" s="5"/>
      <c r="X96" s="5"/>
      <c r="Y96" s="5"/>
      <c r="Z96" s="5"/>
      <c r="AA96" s="5"/>
      <c r="AB96" s="5"/>
      <c r="AC96" s="5"/>
      <c r="AD96" s="5"/>
      <c r="AE96" s="5"/>
      <c r="AF96" s="5"/>
      <c r="AG96" s="5"/>
      <c r="AH96" s="5"/>
    </row>
    <row r="97" spans="1:34" ht="19.5" customHeight="1">
      <c r="A97" s="17"/>
      <c r="B97" s="45" t="s">
        <v>206</v>
      </c>
      <c r="C97" s="44"/>
      <c r="D97" s="45"/>
      <c r="E97" s="45"/>
      <c r="F97" s="45" t="s">
        <v>207</v>
      </c>
      <c r="G97" s="46"/>
      <c r="H97" s="18"/>
      <c r="I97" s="4"/>
      <c r="P97" s="4"/>
      <c r="Q97" s="4"/>
      <c r="R97" s="4"/>
      <c r="S97" s="5"/>
      <c r="T97" s="5"/>
      <c r="U97" s="5"/>
      <c r="V97" s="5"/>
      <c r="W97" s="5"/>
      <c r="X97" s="5"/>
      <c r="Y97" s="5"/>
      <c r="Z97" s="5"/>
      <c r="AA97" s="5"/>
      <c r="AB97" s="5"/>
      <c r="AC97" s="5"/>
      <c r="AD97" s="5"/>
      <c r="AE97" s="5"/>
      <c r="AF97" s="5"/>
      <c r="AG97" s="5"/>
      <c r="AH97" s="5"/>
    </row>
    <row r="98" spans="1:34" ht="19.5" customHeight="1">
      <c r="A98" s="17"/>
      <c r="B98" s="7"/>
      <c r="C98" s="7"/>
      <c r="D98" s="7"/>
      <c r="E98" s="7"/>
      <c r="F98" s="7"/>
      <c r="G98" s="7"/>
      <c r="H98" s="18"/>
      <c r="I98" s="4"/>
      <c r="P98" s="4"/>
      <c r="Q98" s="4"/>
      <c r="R98" s="4"/>
      <c r="S98" s="5"/>
      <c r="T98" s="5"/>
      <c r="U98" s="5"/>
      <c r="V98" s="5"/>
      <c r="W98" s="5"/>
      <c r="X98" s="5"/>
      <c r="Y98" s="5"/>
      <c r="Z98" s="5"/>
      <c r="AA98" s="5"/>
      <c r="AB98" s="5"/>
      <c r="AC98" s="5"/>
      <c r="AD98" s="5"/>
      <c r="AE98" s="5"/>
      <c r="AF98" s="5"/>
      <c r="AG98" s="5"/>
      <c r="AH98" s="5"/>
    </row>
    <row r="99" spans="1:34" ht="73.5" customHeight="1">
      <c r="A99" s="17"/>
      <c r="B99" s="1030" t="s">
        <v>109</v>
      </c>
      <c r="C99" s="1031" t="s">
        <v>110</v>
      </c>
      <c r="D99" s="1032"/>
      <c r="E99" s="1033"/>
      <c r="F99" s="1030" t="s">
        <v>208</v>
      </c>
      <c r="G99" s="1030" t="s">
        <v>209</v>
      </c>
      <c r="H99" s="1037" t="s">
        <v>210</v>
      </c>
      <c r="I99" s="1038" t="s">
        <v>211</v>
      </c>
      <c r="J99" s="1034" t="s">
        <v>115</v>
      </c>
      <c r="K99" s="1036" t="s">
        <v>952</v>
      </c>
      <c r="L99" s="1036" t="s">
        <v>212</v>
      </c>
      <c r="M99" s="1036"/>
      <c r="N99" s="1036" t="s">
        <v>118</v>
      </c>
      <c r="O99" s="1036" t="s">
        <v>213</v>
      </c>
      <c r="P99" s="1036"/>
      <c r="Q99" s="1031" t="s">
        <v>214</v>
      </c>
      <c r="R99" s="1032"/>
      <c r="S99" s="1033"/>
      <c r="U99" s="10"/>
      <c r="V99" s="10"/>
      <c r="X99" s="10"/>
      <c r="Y99" s="10"/>
      <c r="Z99" s="5"/>
      <c r="AA99" s="5"/>
      <c r="AB99" s="5"/>
      <c r="AC99" s="5"/>
      <c r="AD99" s="5"/>
      <c r="AE99" s="5"/>
      <c r="AF99" s="5"/>
      <c r="AG99" s="5"/>
      <c r="AH99" s="5"/>
    </row>
    <row r="100" spans="1:34" ht="60" customHeight="1">
      <c r="A100" s="17"/>
      <c r="B100" s="955"/>
      <c r="C100" s="622" t="s">
        <v>215</v>
      </c>
      <c r="D100" s="622" t="s">
        <v>216</v>
      </c>
      <c r="E100" s="622" t="s">
        <v>217</v>
      </c>
      <c r="F100" s="955"/>
      <c r="G100" s="955"/>
      <c r="H100" s="966"/>
      <c r="I100" s="975"/>
      <c r="J100" s="1035"/>
      <c r="K100" s="1030"/>
      <c r="L100" s="623" t="s">
        <v>218</v>
      </c>
      <c r="M100" s="623" t="s">
        <v>125</v>
      </c>
      <c r="N100" s="1030"/>
      <c r="O100" s="623" t="s">
        <v>126</v>
      </c>
      <c r="P100" s="623" t="s">
        <v>127</v>
      </c>
      <c r="Q100" s="623" t="s">
        <v>128</v>
      </c>
      <c r="R100" s="623" t="s">
        <v>126</v>
      </c>
      <c r="S100" s="623" t="s">
        <v>127</v>
      </c>
      <c r="U100" s="10"/>
      <c r="V100" s="10"/>
      <c r="W100" s="10"/>
      <c r="X100" s="10"/>
      <c r="Y100" s="10"/>
      <c r="Z100" s="5"/>
      <c r="AA100" s="5"/>
      <c r="AB100" s="5"/>
      <c r="AC100" s="5"/>
      <c r="AD100" s="5"/>
      <c r="AE100" s="5"/>
      <c r="AF100" s="5"/>
      <c r="AG100" s="5"/>
      <c r="AH100" s="5"/>
    </row>
    <row r="101" spans="1:34" ht="19.5" customHeight="1">
      <c r="A101" s="17"/>
      <c r="B101" s="651" t="s">
        <v>219</v>
      </c>
      <c r="C101" s="651">
        <v>230</v>
      </c>
      <c r="D101" s="651">
        <v>186</v>
      </c>
      <c r="E101" s="651">
        <v>176</v>
      </c>
      <c r="F101" s="651">
        <v>0.56799999999999995</v>
      </c>
      <c r="G101" s="651">
        <v>0.125</v>
      </c>
      <c r="H101" s="625">
        <v>26</v>
      </c>
      <c r="I101" s="999" t="s">
        <v>220</v>
      </c>
      <c r="J101" s="626" t="s">
        <v>131</v>
      </c>
      <c r="K101" s="627">
        <v>0.91</v>
      </c>
      <c r="L101" s="627">
        <v>0.9</v>
      </c>
      <c r="M101" s="627">
        <v>0.97</v>
      </c>
      <c r="N101" s="627" t="s">
        <v>132</v>
      </c>
      <c r="O101" s="627" t="s">
        <v>132</v>
      </c>
      <c r="P101" s="627" t="s">
        <v>132</v>
      </c>
      <c r="Q101" s="629"/>
      <c r="R101" s="629"/>
      <c r="S101" s="629"/>
      <c r="U101" s="10"/>
      <c r="V101" s="10"/>
      <c r="W101" s="10"/>
      <c r="X101" s="10"/>
      <c r="Y101" s="10"/>
      <c r="Z101" s="5"/>
      <c r="AA101" s="5"/>
      <c r="AB101" s="5"/>
      <c r="AC101" s="5"/>
      <c r="AD101" s="5"/>
      <c r="AE101" s="5"/>
      <c r="AF101" s="5"/>
      <c r="AG101" s="5"/>
      <c r="AH101" s="5"/>
    </row>
    <row r="102" spans="1:34" ht="19.5" customHeight="1">
      <c r="A102" s="17"/>
      <c r="B102" s="651" t="s">
        <v>221</v>
      </c>
      <c r="C102" s="651">
        <v>280</v>
      </c>
      <c r="D102" s="651">
        <v>221</v>
      </c>
      <c r="E102" s="651">
        <v>210</v>
      </c>
      <c r="F102" s="651">
        <v>0.41099999999999998</v>
      </c>
      <c r="G102" s="651">
        <v>0.12</v>
      </c>
      <c r="H102" s="625">
        <v>27</v>
      </c>
      <c r="I102" s="1000"/>
      <c r="J102" s="656" t="s">
        <v>123</v>
      </c>
      <c r="K102" s="627" t="s">
        <v>132</v>
      </c>
      <c r="L102" s="627">
        <v>0.64</v>
      </c>
      <c r="M102" s="627">
        <v>0.8</v>
      </c>
      <c r="N102" s="627">
        <v>0.89</v>
      </c>
      <c r="O102" s="627">
        <v>0.95</v>
      </c>
      <c r="P102" s="627">
        <v>0.97</v>
      </c>
      <c r="Q102" s="633">
        <v>120</v>
      </c>
      <c r="R102" s="634">
        <v>1.0900000000000001</v>
      </c>
      <c r="S102" s="318">
        <v>1.05</v>
      </c>
      <c r="U102" s="10"/>
      <c r="V102" s="10"/>
      <c r="W102" s="10"/>
      <c r="X102" s="10"/>
      <c r="Y102" s="10"/>
      <c r="Z102" s="5"/>
      <c r="AA102" s="5"/>
      <c r="AB102" s="5"/>
      <c r="AC102" s="5"/>
      <c r="AD102" s="5"/>
      <c r="AE102" s="5"/>
      <c r="AF102" s="5"/>
      <c r="AG102" s="5"/>
      <c r="AH102" s="5"/>
    </row>
    <row r="103" spans="1:34" ht="19.5" customHeight="1">
      <c r="A103" s="17"/>
      <c r="B103" s="651" t="s">
        <v>222</v>
      </c>
      <c r="C103" s="651">
        <v>324</v>
      </c>
      <c r="D103" s="651">
        <v>252</v>
      </c>
      <c r="E103" s="651">
        <v>240</v>
      </c>
      <c r="F103" s="651">
        <v>0.32500000000000001</v>
      </c>
      <c r="G103" s="651">
        <v>0.115</v>
      </c>
      <c r="H103" s="625">
        <v>29</v>
      </c>
      <c r="I103" s="4"/>
      <c r="J103" s="656" t="s">
        <v>122</v>
      </c>
      <c r="K103" s="627" t="s">
        <v>132</v>
      </c>
      <c r="L103" s="627">
        <v>0.64</v>
      </c>
      <c r="M103" s="627">
        <v>0.8</v>
      </c>
      <c r="N103" s="627">
        <v>0.89</v>
      </c>
      <c r="O103" s="627">
        <v>0.95</v>
      </c>
      <c r="P103" s="627">
        <v>0.96</v>
      </c>
      <c r="Q103" s="633">
        <v>150</v>
      </c>
      <c r="R103" s="634">
        <v>1.0900000000000001</v>
      </c>
      <c r="S103" s="318">
        <v>1.05</v>
      </c>
      <c r="U103" s="10"/>
      <c r="V103" s="10"/>
      <c r="W103" s="10"/>
      <c r="X103" s="10"/>
      <c r="Y103" s="10"/>
      <c r="Z103" s="5"/>
      <c r="AA103" s="5"/>
      <c r="AB103" s="5"/>
      <c r="AC103" s="5"/>
      <c r="AD103" s="5"/>
      <c r="AE103" s="5"/>
      <c r="AF103" s="5"/>
      <c r="AG103" s="5"/>
      <c r="AH103" s="5"/>
    </row>
    <row r="104" spans="1:34" ht="38.25" customHeight="1">
      <c r="A104" s="17"/>
      <c r="B104" s="651" t="s">
        <v>223</v>
      </c>
      <c r="C104" s="651">
        <v>368</v>
      </c>
      <c r="D104" s="651">
        <v>281</v>
      </c>
      <c r="E104" s="651">
        <v>267</v>
      </c>
      <c r="F104" s="651">
        <v>0.26500000000000001</v>
      </c>
      <c r="G104" s="651">
        <v>0.114</v>
      </c>
      <c r="H104" s="625">
        <v>30</v>
      </c>
      <c r="I104" s="4"/>
      <c r="J104" s="636" t="s">
        <v>136</v>
      </c>
      <c r="K104" s="627">
        <v>0.91</v>
      </c>
      <c r="L104" s="627">
        <v>0.9</v>
      </c>
      <c r="M104" s="627">
        <v>0.97</v>
      </c>
      <c r="N104" s="627" t="s">
        <v>132</v>
      </c>
      <c r="O104" s="627" t="s">
        <v>132</v>
      </c>
      <c r="P104" s="627" t="s">
        <v>132</v>
      </c>
      <c r="Q104" s="633">
        <v>185</v>
      </c>
      <c r="R104" s="634">
        <v>1.0900000000000001</v>
      </c>
      <c r="S104" s="318">
        <v>1.05</v>
      </c>
      <c r="U104" s="10"/>
      <c r="V104" s="10"/>
      <c r="W104" s="10"/>
      <c r="X104" s="10"/>
      <c r="Y104" s="10"/>
      <c r="Z104" s="5"/>
      <c r="AA104" s="5"/>
      <c r="AB104" s="5"/>
      <c r="AC104" s="5"/>
      <c r="AD104" s="5"/>
      <c r="AE104" s="5"/>
      <c r="AF104" s="5"/>
      <c r="AG104" s="5"/>
      <c r="AH104" s="5"/>
    </row>
    <row r="105" spans="1:34" ht="44.25" customHeight="1">
      <c r="A105" s="17"/>
      <c r="B105" s="651" t="s">
        <v>129</v>
      </c>
      <c r="C105" s="651">
        <v>424</v>
      </c>
      <c r="D105" s="651">
        <v>317</v>
      </c>
      <c r="E105" s="651">
        <v>303</v>
      </c>
      <c r="F105" s="651">
        <v>0.21099999999999999</v>
      </c>
      <c r="G105" s="651">
        <v>0.109</v>
      </c>
      <c r="H105" s="625">
        <v>33</v>
      </c>
      <c r="I105" s="4"/>
      <c r="Q105" s="633">
        <v>240</v>
      </c>
      <c r="R105" s="634">
        <v>1.0900000000000001</v>
      </c>
      <c r="S105" s="318">
        <v>1.05</v>
      </c>
      <c r="U105" s="10"/>
      <c r="V105" s="10"/>
      <c r="W105" s="10"/>
      <c r="X105" s="10"/>
      <c r="Y105" s="10"/>
      <c r="Z105" s="5"/>
      <c r="AA105" s="5"/>
      <c r="AB105" s="5"/>
      <c r="AC105" s="5"/>
      <c r="AD105" s="5"/>
      <c r="AE105" s="5"/>
      <c r="AF105" s="5"/>
      <c r="AG105" s="5"/>
      <c r="AH105" s="5"/>
    </row>
    <row r="106" spans="1:34" ht="19.5" customHeight="1">
      <c r="A106" s="17"/>
      <c r="B106" s="651" t="s">
        <v>133</v>
      </c>
      <c r="C106" s="651">
        <v>502</v>
      </c>
      <c r="D106" s="651">
        <v>367</v>
      </c>
      <c r="E106" s="651">
        <v>350</v>
      </c>
      <c r="F106" s="651">
        <v>0.161</v>
      </c>
      <c r="G106" s="651">
        <v>0.105</v>
      </c>
      <c r="H106" s="625">
        <v>35</v>
      </c>
      <c r="Q106" s="633">
        <v>300</v>
      </c>
      <c r="R106" s="634">
        <v>1.0900000000000001</v>
      </c>
      <c r="S106" s="318">
        <v>1.05</v>
      </c>
      <c r="U106" s="10"/>
      <c r="V106" s="10"/>
      <c r="W106" s="10"/>
      <c r="X106" s="10"/>
      <c r="Y106" s="10"/>
      <c r="Z106" s="5"/>
      <c r="AA106" s="5"/>
      <c r="AB106" s="5"/>
      <c r="AC106" s="5"/>
      <c r="AD106" s="5"/>
      <c r="AE106" s="5"/>
      <c r="AF106" s="5"/>
      <c r="AG106" s="5"/>
      <c r="AH106" s="5"/>
    </row>
    <row r="107" spans="1:34" ht="19.5" customHeight="1">
      <c r="A107" s="17"/>
      <c r="B107" s="651" t="s">
        <v>134</v>
      </c>
      <c r="C107" s="651">
        <v>577</v>
      </c>
      <c r="D107" s="651">
        <v>414</v>
      </c>
      <c r="E107" s="651">
        <v>397</v>
      </c>
      <c r="F107" s="651">
        <v>0.13</v>
      </c>
      <c r="G107" s="651">
        <v>0.10199999999999999</v>
      </c>
      <c r="H107" s="625">
        <v>38</v>
      </c>
      <c r="Q107" s="633">
        <v>400</v>
      </c>
      <c r="R107" s="634">
        <v>1.0900000000000001</v>
      </c>
      <c r="S107" s="318">
        <v>1.05</v>
      </c>
      <c r="U107" s="10"/>
      <c r="V107" s="10"/>
      <c r="W107" s="10"/>
      <c r="X107" s="10"/>
      <c r="Y107" s="10"/>
      <c r="Z107" s="5"/>
      <c r="AA107" s="5"/>
      <c r="AB107" s="5"/>
      <c r="AC107" s="5"/>
      <c r="AD107" s="5"/>
      <c r="AE107" s="5"/>
      <c r="AF107" s="5"/>
      <c r="AG107" s="5"/>
      <c r="AH107" s="5"/>
    </row>
    <row r="108" spans="1:34" ht="19.5" customHeight="1">
      <c r="A108" s="17"/>
      <c r="B108" s="651" t="s">
        <v>135</v>
      </c>
      <c r="C108" s="651">
        <v>673</v>
      </c>
      <c r="D108" s="651">
        <v>470</v>
      </c>
      <c r="E108" s="651">
        <v>451</v>
      </c>
      <c r="F108" s="651">
        <v>0.10199999999999999</v>
      </c>
      <c r="G108" s="651">
        <v>9.8000000000000004E-2</v>
      </c>
      <c r="H108" s="625">
        <v>41</v>
      </c>
      <c r="Q108" s="633">
        <v>500</v>
      </c>
      <c r="R108" s="634">
        <v>1.0900000000000001</v>
      </c>
      <c r="S108" s="318">
        <v>1.05</v>
      </c>
      <c r="U108" s="10"/>
      <c r="V108" s="10"/>
      <c r="W108" s="10"/>
      <c r="X108" s="10"/>
      <c r="Y108" s="10"/>
      <c r="Z108" s="5"/>
      <c r="AA108" s="5"/>
      <c r="AB108" s="5"/>
      <c r="AC108" s="5"/>
      <c r="AD108" s="5"/>
      <c r="AE108" s="5"/>
      <c r="AF108" s="5"/>
      <c r="AG108" s="5"/>
      <c r="AH108" s="5"/>
    </row>
    <row r="109" spans="1:34" ht="19.5" customHeight="1">
      <c r="A109" s="17"/>
      <c r="B109" s="651" t="s">
        <v>137</v>
      </c>
      <c r="C109" s="651">
        <v>757</v>
      </c>
      <c r="D109" s="651">
        <v>519</v>
      </c>
      <c r="E109" s="651">
        <v>493</v>
      </c>
      <c r="F109" s="651">
        <v>0.08</v>
      </c>
      <c r="G109" s="651">
        <v>9.6000000000000002E-2</v>
      </c>
      <c r="H109" s="625">
        <v>46</v>
      </c>
      <c r="Q109" s="633">
        <v>630</v>
      </c>
      <c r="R109" s="634">
        <v>1.0900000000000001</v>
      </c>
      <c r="S109" s="318">
        <v>1.05</v>
      </c>
      <c r="U109" s="10"/>
      <c r="V109" s="10"/>
      <c r="W109" s="10"/>
      <c r="X109" s="10"/>
      <c r="Y109" s="10"/>
      <c r="Z109" s="5"/>
      <c r="AA109" s="5"/>
      <c r="AB109" s="5"/>
      <c r="AC109" s="5"/>
      <c r="AD109" s="5"/>
      <c r="AE109" s="5"/>
      <c r="AF109" s="5"/>
      <c r="AG109" s="5"/>
      <c r="AH109" s="5"/>
    </row>
    <row r="110" spans="1:34" ht="19.5" customHeight="1">
      <c r="A110" s="17"/>
      <c r="B110" s="651" t="s">
        <v>138</v>
      </c>
      <c r="C110" s="651">
        <v>876</v>
      </c>
      <c r="D110" s="651">
        <v>586</v>
      </c>
      <c r="E110" s="651">
        <v>557</v>
      </c>
      <c r="F110" s="651">
        <v>6.3E-2</v>
      </c>
      <c r="G110" s="651">
        <v>9.4E-2</v>
      </c>
      <c r="H110" s="625">
        <v>50</v>
      </c>
      <c r="Q110" s="645"/>
      <c r="R110" s="645"/>
      <c r="S110" s="646"/>
      <c r="U110" s="10"/>
      <c r="V110" s="10"/>
      <c r="W110" s="10"/>
      <c r="X110" s="10"/>
      <c r="Y110" s="10"/>
      <c r="Z110" s="5"/>
      <c r="AA110" s="5"/>
      <c r="AB110" s="5"/>
      <c r="AC110" s="5"/>
      <c r="AD110" s="5"/>
      <c r="AE110" s="5"/>
      <c r="AF110" s="5"/>
      <c r="AG110" s="5"/>
      <c r="AH110" s="5"/>
    </row>
    <row r="111" spans="1:34" ht="19.5" customHeight="1">
      <c r="A111" s="17"/>
      <c r="B111" s="651" t="s">
        <v>224</v>
      </c>
      <c r="C111" s="651">
        <v>1005</v>
      </c>
      <c r="D111" s="651">
        <v>655</v>
      </c>
      <c r="E111" s="651">
        <v>622</v>
      </c>
      <c r="F111" s="651">
        <v>5.0999999999999997E-2</v>
      </c>
      <c r="G111" s="651">
        <v>0.09</v>
      </c>
      <c r="H111" s="625">
        <v>54</v>
      </c>
      <c r="Q111" s="645"/>
      <c r="R111" s="645"/>
      <c r="S111" s="646"/>
      <c r="U111" s="10"/>
      <c r="V111" s="10"/>
      <c r="W111" s="10"/>
      <c r="X111" s="10"/>
      <c r="Y111" s="10"/>
      <c r="Z111" s="5"/>
      <c r="AA111" s="5"/>
      <c r="AB111" s="5"/>
      <c r="AC111" s="5"/>
      <c r="AD111" s="5"/>
      <c r="AE111" s="5"/>
      <c r="AF111" s="5"/>
      <c r="AG111" s="5"/>
      <c r="AH111" s="5"/>
    </row>
    <row r="112" spans="1:34" ht="19.5" customHeight="1">
      <c r="A112" s="17"/>
      <c r="B112" s="651" t="s">
        <v>225</v>
      </c>
      <c r="C112" s="651">
        <v>1138</v>
      </c>
      <c r="D112" s="651">
        <v>723</v>
      </c>
      <c r="E112" s="651">
        <v>687</v>
      </c>
      <c r="F112" s="651">
        <v>4.2999999999999997E-2</v>
      </c>
      <c r="G112" s="651">
        <v>8.7999999999999995E-2</v>
      </c>
      <c r="H112" s="625">
        <v>58</v>
      </c>
      <c r="Q112" s="645"/>
      <c r="R112" s="645"/>
      <c r="S112" s="646"/>
      <c r="U112" s="10"/>
      <c r="V112" s="10"/>
      <c r="W112" s="10"/>
      <c r="X112" s="10"/>
      <c r="Y112" s="10"/>
      <c r="Z112" s="5"/>
      <c r="AA112" s="5"/>
      <c r="AB112" s="5"/>
      <c r="AC112" s="5"/>
      <c r="AD112" s="5"/>
      <c r="AE112" s="5"/>
      <c r="AF112" s="5"/>
      <c r="AG112" s="5"/>
      <c r="AH112" s="5"/>
    </row>
    <row r="113" spans="1:34" ht="19.5" customHeight="1">
      <c r="A113" s="17"/>
      <c r="B113" s="651"/>
      <c r="C113" s="651"/>
      <c r="D113" s="651"/>
      <c r="E113" s="651"/>
      <c r="F113" s="651"/>
      <c r="G113" s="651"/>
      <c r="H113" s="657"/>
      <c r="Q113" s="645"/>
      <c r="R113" s="645"/>
      <c r="S113" s="646"/>
      <c r="U113" s="10"/>
      <c r="V113" s="10"/>
      <c r="W113" s="10"/>
      <c r="X113" s="10"/>
      <c r="Y113" s="10"/>
      <c r="Z113" s="5"/>
      <c r="AA113" s="5"/>
      <c r="AB113" s="5"/>
      <c r="AC113" s="5"/>
      <c r="AD113" s="5"/>
      <c r="AE113" s="5"/>
      <c r="AF113" s="5"/>
      <c r="AG113" s="5"/>
      <c r="AH113" s="5"/>
    </row>
    <row r="114" spans="1:34" ht="19.5" customHeight="1">
      <c r="A114" s="17"/>
      <c r="H114" s="18"/>
      <c r="I114" s="7"/>
      <c r="J114" s="3"/>
      <c r="O114" s="3"/>
      <c r="T114" s="5"/>
      <c r="U114" s="5"/>
      <c r="V114" s="5"/>
      <c r="W114" s="5"/>
      <c r="X114" s="5"/>
      <c r="Y114" s="5"/>
      <c r="Z114" s="5"/>
      <c r="AA114" s="5"/>
      <c r="AB114" s="5"/>
      <c r="AC114" s="5"/>
      <c r="AD114" s="5"/>
      <c r="AE114" s="5"/>
      <c r="AF114" s="5"/>
      <c r="AG114" s="5"/>
      <c r="AH114" s="5"/>
    </row>
    <row r="115" spans="1:34" ht="19.5" customHeight="1">
      <c r="A115" s="27"/>
      <c r="H115" s="21"/>
      <c r="I115" s="7"/>
      <c r="J115" s="3"/>
      <c r="O115" s="3"/>
    </row>
    <row r="116" spans="1:34" ht="27.75" customHeight="1">
      <c r="A116" s="27"/>
      <c r="B116" s="45" t="s">
        <v>226</v>
      </c>
      <c r="C116" s="44"/>
      <c r="D116" s="45"/>
      <c r="E116" s="45"/>
      <c r="F116" s="45" t="s">
        <v>207</v>
      </c>
      <c r="G116" s="46"/>
      <c r="H116" s="21"/>
    </row>
    <row r="117" spans="1:34" ht="42" customHeight="1">
      <c r="A117" s="27"/>
      <c r="B117" s="1030" t="s">
        <v>109</v>
      </c>
      <c r="C117" s="1031" t="s">
        <v>110</v>
      </c>
      <c r="D117" s="1032"/>
      <c r="E117" s="1033"/>
      <c r="F117" s="1030" t="s">
        <v>208</v>
      </c>
      <c r="G117" s="1030" t="s">
        <v>209</v>
      </c>
      <c r="H117" s="1037" t="s">
        <v>210</v>
      </c>
    </row>
    <row r="118" spans="1:34" ht="32.25" customHeight="1">
      <c r="A118" s="27"/>
      <c r="B118" s="955"/>
      <c r="C118" s="622" t="s">
        <v>121</v>
      </c>
      <c r="D118" s="622" t="s">
        <v>122</v>
      </c>
      <c r="E118" s="622" t="s">
        <v>123</v>
      </c>
      <c r="F118" s="955"/>
      <c r="G118" s="955"/>
      <c r="H118" s="966"/>
    </row>
    <row r="119" spans="1:34" ht="19.5" customHeight="1">
      <c r="A119" s="27"/>
      <c r="B119" s="651" t="s">
        <v>167</v>
      </c>
      <c r="C119" s="651">
        <v>196</v>
      </c>
      <c r="D119" s="651">
        <v>171</v>
      </c>
      <c r="E119" s="651">
        <v>150</v>
      </c>
      <c r="F119" s="651">
        <v>0.56799999999999995</v>
      </c>
      <c r="G119" s="651">
        <v>9.7000000000000003E-2</v>
      </c>
      <c r="H119" s="658">
        <v>49</v>
      </c>
    </row>
    <row r="120" spans="1:34" ht="32.25" customHeight="1">
      <c r="A120" s="27"/>
      <c r="B120" s="651" t="s">
        <v>168</v>
      </c>
      <c r="C120" s="651">
        <v>238</v>
      </c>
      <c r="D120" s="651">
        <v>24</v>
      </c>
      <c r="E120" s="651">
        <v>180</v>
      </c>
      <c r="F120" s="651">
        <v>0.41099999999999998</v>
      </c>
      <c r="G120" s="651">
        <v>9.2999999999999999E-2</v>
      </c>
      <c r="H120" s="658">
        <v>52</v>
      </c>
    </row>
    <row r="121" spans="1:34" ht="19.5" customHeight="1">
      <c r="A121" s="27"/>
      <c r="B121" s="651" t="s">
        <v>169</v>
      </c>
      <c r="C121" s="651">
        <v>274</v>
      </c>
      <c r="D121" s="651">
        <v>232</v>
      </c>
      <c r="E121" s="651">
        <v>206</v>
      </c>
      <c r="F121" s="651">
        <v>0.32500000000000001</v>
      </c>
      <c r="G121" s="651">
        <v>0.09</v>
      </c>
      <c r="H121" s="658">
        <v>56</v>
      </c>
    </row>
    <row r="122" spans="1:34" ht="19.5" customHeight="1">
      <c r="A122" s="27"/>
      <c r="B122" s="651" t="s">
        <v>170</v>
      </c>
      <c r="C122" s="651">
        <v>309</v>
      </c>
      <c r="D122" s="651">
        <v>259</v>
      </c>
      <c r="E122" s="651">
        <v>231</v>
      </c>
      <c r="F122" s="651">
        <v>0.26500000000000001</v>
      </c>
      <c r="G122" s="651">
        <v>8.7999999999999995E-2</v>
      </c>
      <c r="H122" s="658">
        <v>58</v>
      </c>
    </row>
    <row r="123" spans="1:34" ht="19.5" customHeight="1">
      <c r="A123" s="27"/>
      <c r="B123" s="651" t="s">
        <v>171</v>
      </c>
      <c r="C123" s="651">
        <v>354</v>
      </c>
      <c r="D123" s="651">
        <v>293</v>
      </c>
      <c r="E123" s="651">
        <v>262</v>
      </c>
      <c r="F123" s="651">
        <v>0.21099999999999999</v>
      </c>
      <c r="G123" s="651">
        <v>8.5000000000000006E-2</v>
      </c>
      <c r="H123" s="658">
        <v>63</v>
      </c>
    </row>
    <row r="124" spans="1:34" ht="19.5" customHeight="1">
      <c r="A124" s="27"/>
      <c r="B124" s="651" t="s">
        <v>172</v>
      </c>
      <c r="C124" s="651">
        <v>415</v>
      </c>
      <c r="D124" s="651">
        <v>338</v>
      </c>
      <c r="E124" s="651">
        <v>304</v>
      </c>
      <c r="F124" s="651">
        <v>0.16200000000000001</v>
      </c>
      <c r="G124" s="651">
        <v>8.3000000000000004E-2</v>
      </c>
      <c r="H124" s="658">
        <v>69</v>
      </c>
    </row>
    <row r="125" spans="1:34" ht="19.5" customHeight="1">
      <c r="A125" s="27"/>
      <c r="B125" s="651" t="s">
        <v>173</v>
      </c>
      <c r="C125" s="651">
        <v>472</v>
      </c>
      <c r="D125" s="651">
        <v>380</v>
      </c>
      <c r="E125" s="651">
        <v>343</v>
      </c>
      <c r="F125" s="651">
        <v>0.13</v>
      </c>
      <c r="G125" s="651">
        <v>8.2000000000000003E-2</v>
      </c>
      <c r="H125" s="658">
        <v>75</v>
      </c>
    </row>
    <row r="126" spans="1:34" ht="19.5" customHeight="1">
      <c r="A126" s="27"/>
      <c r="B126" s="651" t="s">
        <v>174</v>
      </c>
      <c r="C126" s="651">
        <v>545</v>
      </c>
      <c r="D126" s="651">
        <v>432</v>
      </c>
      <c r="E126" s="651">
        <v>393</v>
      </c>
      <c r="F126" s="651">
        <v>0.10199999999999999</v>
      </c>
      <c r="G126" s="651">
        <v>0.08</v>
      </c>
      <c r="H126" s="658">
        <v>84</v>
      </c>
    </row>
    <row r="127" spans="1:34" ht="19.5" customHeight="1">
      <c r="A127" s="27"/>
      <c r="H127" s="21"/>
    </row>
    <row r="128" spans="1:34" ht="19.5" customHeight="1">
      <c r="A128" s="27"/>
      <c r="H128" s="21"/>
      <c r="I128" s="8"/>
      <c r="K128" s="2"/>
      <c r="L128" s="2"/>
      <c r="M128" s="2"/>
      <c r="N128" s="2"/>
    </row>
    <row r="129" spans="1:34" ht="19.5" customHeight="1">
      <c r="A129" s="27"/>
      <c r="H129" s="21"/>
      <c r="I129" s="8"/>
      <c r="K129" s="2"/>
      <c r="L129" s="2"/>
      <c r="M129" s="2"/>
      <c r="N129" s="2"/>
    </row>
    <row r="130" spans="1:34" ht="19.5" customHeight="1" thickBot="1">
      <c r="A130" s="28"/>
      <c r="B130" s="29"/>
      <c r="C130" s="29"/>
      <c r="D130" s="29"/>
      <c r="E130" s="29"/>
      <c r="F130" s="29"/>
      <c r="G130" s="29"/>
      <c r="H130" s="30"/>
      <c r="I130" s="8"/>
    </row>
    <row r="131" spans="1:34" ht="19.5" customHeight="1">
      <c r="I131" s="8"/>
    </row>
    <row r="132" spans="1:34" ht="19.5" customHeight="1">
      <c r="I132" s="8"/>
    </row>
    <row r="133" spans="1:34" ht="19.5" customHeight="1">
      <c r="I133" s="8"/>
    </row>
    <row r="134" spans="1:34" ht="19.5" customHeight="1" thickBot="1">
      <c r="I134" s="8"/>
    </row>
    <row r="135" spans="1:34" ht="19.5" customHeight="1">
      <c r="A135" s="14"/>
      <c r="B135" s="967" t="s">
        <v>205</v>
      </c>
      <c r="C135" s="968"/>
      <c r="D135" s="968"/>
      <c r="E135" s="968"/>
      <c r="F135" s="969"/>
      <c r="G135" s="26"/>
      <c r="H135" s="16"/>
      <c r="I135" s="4"/>
      <c r="J135" s="9"/>
      <c r="K135" s="9"/>
      <c r="L135" s="9"/>
      <c r="M135" s="9"/>
      <c r="N135" s="9"/>
      <c r="O135" s="10"/>
      <c r="P135" s="4"/>
      <c r="Q135" s="4"/>
      <c r="R135" s="4"/>
      <c r="S135" s="5"/>
      <c r="T135" s="5"/>
      <c r="U135" s="5"/>
      <c r="V135" s="5"/>
      <c r="W135" s="5"/>
      <c r="X135" s="5"/>
      <c r="Y135" s="5"/>
      <c r="Z135" s="5"/>
      <c r="AA135" s="5"/>
      <c r="AB135" s="5"/>
      <c r="AC135" s="5"/>
      <c r="AD135" s="5"/>
      <c r="AE135" s="5"/>
      <c r="AF135" s="5"/>
      <c r="AG135" s="5"/>
      <c r="AH135" s="5"/>
    </row>
    <row r="136" spans="1:34" ht="19.5" customHeight="1">
      <c r="A136" s="17"/>
      <c r="B136" s="4"/>
      <c r="C136" s="4"/>
      <c r="D136" s="4"/>
      <c r="E136" s="4"/>
      <c r="F136" s="4"/>
      <c r="G136" s="4"/>
      <c r="H136" s="18"/>
      <c r="I136" s="4"/>
      <c r="J136" s="4"/>
      <c r="K136" s="4"/>
      <c r="L136" s="4"/>
      <c r="M136" s="4"/>
      <c r="N136" s="4"/>
      <c r="O136" s="4"/>
      <c r="P136" s="4"/>
      <c r="Q136" s="4"/>
      <c r="R136" s="4"/>
      <c r="S136" s="5"/>
      <c r="T136" s="5"/>
      <c r="U136" s="5"/>
      <c r="V136" s="5"/>
      <c r="W136" s="5"/>
      <c r="X136" s="5"/>
      <c r="Y136" s="5"/>
      <c r="Z136" s="5"/>
      <c r="AA136" s="5"/>
      <c r="AB136" s="5"/>
      <c r="AC136" s="5"/>
      <c r="AD136" s="5"/>
      <c r="AE136" s="5"/>
      <c r="AF136" s="5"/>
      <c r="AG136" s="5"/>
      <c r="AH136" s="5"/>
    </row>
    <row r="137" spans="1:34" ht="19.5" customHeight="1">
      <c r="A137" s="17"/>
      <c r="B137" s="45" t="s">
        <v>206</v>
      </c>
      <c r="C137" s="44"/>
      <c r="D137" s="45"/>
      <c r="E137" s="45"/>
      <c r="F137" s="45" t="s">
        <v>228</v>
      </c>
      <c r="G137" s="46"/>
      <c r="H137" s="18"/>
      <c r="I137" s="4"/>
      <c r="P137" s="4"/>
      <c r="Q137" s="4"/>
      <c r="R137" s="4"/>
      <c r="S137" s="5"/>
      <c r="T137" s="5"/>
      <c r="U137" s="5"/>
      <c r="V137" s="5"/>
      <c r="W137" s="5"/>
      <c r="X137" s="5"/>
      <c r="Y137" s="5"/>
      <c r="Z137" s="5"/>
      <c r="AA137" s="5"/>
      <c r="AB137" s="5"/>
      <c r="AC137" s="5"/>
      <c r="AD137" s="5"/>
      <c r="AE137" s="5"/>
      <c r="AF137" s="5"/>
      <c r="AG137" s="5"/>
      <c r="AH137" s="5"/>
    </row>
    <row r="138" spans="1:34" ht="19.5" customHeight="1">
      <c r="A138" s="17"/>
      <c r="B138" s="7"/>
      <c r="C138" s="7"/>
      <c r="D138" s="7"/>
      <c r="E138" s="7"/>
      <c r="F138" s="7"/>
      <c r="G138" s="7"/>
      <c r="H138" s="18"/>
      <c r="I138" s="4"/>
      <c r="P138" s="4"/>
      <c r="Q138" s="4"/>
      <c r="R138" s="4"/>
      <c r="S138" s="5"/>
      <c r="T138" s="5"/>
      <c r="U138" s="5"/>
      <c r="V138" s="5"/>
      <c r="W138" s="5"/>
      <c r="X138" s="5"/>
      <c r="Y138" s="5"/>
      <c r="Z138" s="5"/>
      <c r="AA138" s="5"/>
      <c r="AB138" s="5"/>
      <c r="AC138" s="5"/>
      <c r="AD138" s="5"/>
      <c r="AE138" s="5"/>
      <c r="AF138" s="5"/>
      <c r="AG138" s="5"/>
      <c r="AH138" s="5"/>
    </row>
    <row r="139" spans="1:34" ht="73.5" customHeight="1">
      <c r="A139" s="17"/>
      <c r="B139" s="1030" t="s">
        <v>109</v>
      </c>
      <c r="C139" s="1031" t="s">
        <v>110</v>
      </c>
      <c r="D139" s="1032"/>
      <c r="E139" s="1033"/>
      <c r="F139" s="1030" t="s">
        <v>208</v>
      </c>
      <c r="G139" s="1030" t="s">
        <v>209</v>
      </c>
      <c r="H139" s="1037" t="s">
        <v>210</v>
      </c>
      <c r="I139" s="1038" t="s">
        <v>211</v>
      </c>
      <c r="J139" s="1034" t="s">
        <v>115</v>
      </c>
      <c r="K139" s="1036" t="s">
        <v>952</v>
      </c>
      <c r="L139" s="1036" t="s">
        <v>212</v>
      </c>
      <c r="M139" s="1036"/>
      <c r="N139" s="1036" t="s">
        <v>118</v>
      </c>
      <c r="O139" s="1036" t="s">
        <v>213</v>
      </c>
      <c r="P139" s="1036"/>
      <c r="Q139" s="1031" t="s">
        <v>214</v>
      </c>
      <c r="R139" s="1032"/>
      <c r="S139" s="1033"/>
      <c r="U139" s="10"/>
      <c r="V139" s="10"/>
      <c r="X139" s="10"/>
      <c r="Y139" s="10"/>
      <c r="Z139" s="5"/>
      <c r="AA139" s="5"/>
      <c r="AB139" s="5"/>
      <c r="AC139" s="5"/>
      <c r="AD139" s="5"/>
      <c r="AE139" s="5"/>
      <c r="AF139" s="5"/>
      <c r="AG139" s="5"/>
      <c r="AH139" s="5"/>
    </row>
    <row r="140" spans="1:34" ht="60" customHeight="1">
      <c r="A140" s="17"/>
      <c r="B140" s="955"/>
      <c r="C140" s="622" t="s">
        <v>215</v>
      </c>
      <c r="D140" s="622" t="s">
        <v>216</v>
      </c>
      <c r="E140" s="622" t="s">
        <v>217</v>
      </c>
      <c r="F140" s="955"/>
      <c r="G140" s="955"/>
      <c r="H140" s="966"/>
      <c r="I140" s="975"/>
      <c r="J140" s="1035"/>
      <c r="K140" s="1030"/>
      <c r="L140" s="623" t="s">
        <v>218</v>
      </c>
      <c r="M140" s="623" t="s">
        <v>125</v>
      </c>
      <c r="N140" s="1030"/>
      <c r="O140" s="623" t="s">
        <v>126</v>
      </c>
      <c r="P140" s="623" t="s">
        <v>127</v>
      </c>
      <c r="Q140" s="623" t="s">
        <v>128</v>
      </c>
      <c r="R140" s="623" t="s">
        <v>126</v>
      </c>
      <c r="S140" s="623" t="s">
        <v>127</v>
      </c>
      <c r="U140" s="10"/>
      <c r="V140" s="10"/>
      <c r="W140" s="10"/>
      <c r="X140" s="10"/>
      <c r="Y140" s="10"/>
      <c r="Z140" s="5"/>
      <c r="AA140" s="5"/>
      <c r="AB140" s="5"/>
      <c r="AC140" s="5"/>
      <c r="AD140" s="5"/>
      <c r="AE140" s="5"/>
      <c r="AF140" s="5"/>
      <c r="AG140" s="5"/>
      <c r="AH140" s="5"/>
    </row>
    <row r="141" spans="1:34" ht="19.5" customHeight="1">
      <c r="A141" s="17"/>
      <c r="B141" s="651" t="s">
        <v>219</v>
      </c>
      <c r="C141" s="651">
        <v>230</v>
      </c>
      <c r="D141" s="651">
        <v>186</v>
      </c>
      <c r="E141" s="651">
        <v>176</v>
      </c>
      <c r="F141" s="651">
        <v>0.56799999999999995</v>
      </c>
      <c r="G141" s="651">
        <v>0.125</v>
      </c>
      <c r="H141" s="625">
        <v>27</v>
      </c>
      <c r="I141" s="999" t="s">
        <v>220</v>
      </c>
      <c r="J141" s="626" t="s">
        <v>131</v>
      </c>
      <c r="K141" s="627">
        <v>0.91</v>
      </c>
      <c r="L141" s="627">
        <v>0.9</v>
      </c>
      <c r="M141" s="627">
        <v>0.97</v>
      </c>
      <c r="N141" s="627" t="s">
        <v>132</v>
      </c>
      <c r="O141" s="627" t="s">
        <v>132</v>
      </c>
      <c r="P141" s="627" t="s">
        <v>132</v>
      </c>
      <c r="Q141" s="629"/>
      <c r="R141" s="629"/>
      <c r="S141" s="629"/>
      <c r="U141" s="10"/>
      <c r="V141" s="10"/>
      <c r="W141" s="10"/>
      <c r="X141" s="10"/>
      <c r="Y141" s="10"/>
      <c r="Z141" s="5"/>
      <c r="AA141" s="5"/>
      <c r="AB141" s="5"/>
      <c r="AC141" s="5"/>
      <c r="AD141" s="5"/>
      <c r="AE141" s="5"/>
      <c r="AF141" s="5"/>
      <c r="AG141" s="5"/>
      <c r="AH141" s="5"/>
    </row>
    <row r="142" spans="1:34" ht="19.5" customHeight="1">
      <c r="A142" s="17"/>
      <c r="B142" s="651" t="s">
        <v>221</v>
      </c>
      <c r="C142" s="651">
        <v>280</v>
      </c>
      <c r="D142" s="651">
        <v>221</v>
      </c>
      <c r="E142" s="651">
        <v>210</v>
      </c>
      <c r="F142" s="651">
        <v>0.41099999999999998</v>
      </c>
      <c r="G142" s="651">
        <v>0.12</v>
      </c>
      <c r="H142" s="625">
        <v>29</v>
      </c>
      <c r="I142" s="1000"/>
      <c r="J142" s="656" t="s">
        <v>123</v>
      </c>
      <c r="K142" s="627" t="s">
        <v>132</v>
      </c>
      <c r="L142" s="627">
        <v>0.64</v>
      </c>
      <c r="M142" s="627">
        <v>0.8</v>
      </c>
      <c r="N142" s="627">
        <v>0.89</v>
      </c>
      <c r="O142" s="627">
        <v>0.95</v>
      </c>
      <c r="P142" s="627">
        <v>0.97</v>
      </c>
      <c r="Q142" s="633">
        <v>120</v>
      </c>
      <c r="R142" s="634">
        <v>1.0900000000000001</v>
      </c>
      <c r="S142" s="318">
        <v>1.05</v>
      </c>
      <c r="U142" s="10"/>
      <c r="V142" s="10"/>
      <c r="W142" s="10"/>
      <c r="X142" s="10"/>
      <c r="Y142" s="10"/>
      <c r="Z142" s="5"/>
      <c r="AA142" s="5"/>
      <c r="AB142" s="5"/>
      <c r="AC142" s="5"/>
      <c r="AD142" s="5"/>
      <c r="AE142" s="5"/>
      <c r="AF142" s="5"/>
      <c r="AG142" s="5"/>
      <c r="AH142" s="5"/>
    </row>
    <row r="143" spans="1:34" ht="19.5" customHeight="1">
      <c r="A143" s="17"/>
      <c r="B143" s="651" t="s">
        <v>222</v>
      </c>
      <c r="C143" s="651">
        <v>324</v>
      </c>
      <c r="D143" s="651">
        <v>252</v>
      </c>
      <c r="E143" s="651">
        <v>240</v>
      </c>
      <c r="F143" s="651">
        <v>0.32500000000000001</v>
      </c>
      <c r="G143" s="651">
        <v>0.115</v>
      </c>
      <c r="H143" s="625">
        <v>30</v>
      </c>
      <c r="I143" s="4"/>
      <c r="J143" s="656" t="s">
        <v>122</v>
      </c>
      <c r="K143" s="627" t="s">
        <v>132</v>
      </c>
      <c r="L143" s="627">
        <v>0.64</v>
      </c>
      <c r="M143" s="627">
        <v>0.8</v>
      </c>
      <c r="N143" s="627">
        <v>0.89</v>
      </c>
      <c r="O143" s="627">
        <v>0.95</v>
      </c>
      <c r="P143" s="627">
        <v>0.96</v>
      </c>
      <c r="Q143" s="633">
        <v>150</v>
      </c>
      <c r="R143" s="634">
        <v>1.0900000000000001</v>
      </c>
      <c r="S143" s="318">
        <v>1.05</v>
      </c>
      <c r="U143" s="10"/>
      <c r="V143" s="10"/>
      <c r="W143" s="10"/>
      <c r="X143" s="10"/>
      <c r="Y143" s="10"/>
      <c r="Z143" s="5"/>
      <c r="AA143" s="5"/>
      <c r="AB143" s="5"/>
      <c r="AC143" s="5"/>
      <c r="AD143" s="5"/>
      <c r="AE143" s="5"/>
      <c r="AF143" s="5"/>
      <c r="AG143" s="5"/>
      <c r="AH143" s="5"/>
    </row>
    <row r="144" spans="1:34" ht="38.25" customHeight="1">
      <c r="A144" s="17"/>
      <c r="B144" s="651" t="s">
        <v>223</v>
      </c>
      <c r="C144" s="651">
        <v>368</v>
      </c>
      <c r="D144" s="651">
        <v>281</v>
      </c>
      <c r="E144" s="651">
        <v>267</v>
      </c>
      <c r="F144" s="651">
        <v>0.26500000000000001</v>
      </c>
      <c r="G144" s="651">
        <v>0.114</v>
      </c>
      <c r="H144" s="625">
        <v>33</v>
      </c>
      <c r="I144" s="4"/>
      <c r="J144" s="636" t="s">
        <v>136</v>
      </c>
      <c r="K144" s="627">
        <v>0.91</v>
      </c>
      <c r="L144" s="627">
        <v>0.9</v>
      </c>
      <c r="M144" s="627">
        <v>0.97</v>
      </c>
      <c r="N144" s="627" t="s">
        <v>132</v>
      </c>
      <c r="O144" s="627" t="s">
        <v>132</v>
      </c>
      <c r="P144" s="627" t="s">
        <v>132</v>
      </c>
      <c r="Q144" s="633">
        <v>185</v>
      </c>
      <c r="R144" s="634">
        <v>1.0900000000000001</v>
      </c>
      <c r="S144" s="318">
        <v>1.05</v>
      </c>
      <c r="U144" s="10"/>
      <c r="V144" s="10"/>
      <c r="W144" s="10"/>
      <c r="X144" s="10"/>
      <c r="Y144" s="10"/>
      <c r="Z144" s="5"/>
      <c r="AA144" s="5"/>
      <c r="AB144" s="5"/>
      <c r="AC144" s="5"/>
      <c r="AD144" s="5"/>
      <c r="AE144" s="5"/>
      <c r="AF144" s="5"/>
      <c r="AG144" s="5"/>
      <c r="AH144" s="5"/>
    </row>
    <row r="145" spans="1:34" ht="44.25" customHeight="1">
      <c r="A145" s="17"/>
      <c r="B145" s="651" t="s">
        <v>129</v>
      </c>
      <c r="C145" s="651">
        <v>424</v>
      </c>
      <c r="D145" s="651">
        <v>317</v>
      </c>
      <c r="E145" s="651">
        <v>303</v>
      </c>
      <c r="F145" s="651">
        <v>0.21099999999999999</v>
      </c>
      <c r="G145" s="651">
        <v>0.109</v>
      </c>
      <c r="H145" s="625">
        <v>34</v>
      </c>
      <c r="I145" s="4"/>
      <c r="Q145" s="633">
        <v>240</v>
      </c>
      <c r="R145" s="634">
        <v>1.0900000000000001</v>
      </c>
      <c r="S145" s="318">
        <v>1.05</v>
      </c>
      <c r="U145" s="10"/>
      <c r="V145" s="10"/>
      <c r="W145" s="10"/>
      <c r="X145" s="10"/>
      <c r="Y145" s="10"/>
      <c r="Z145" s="5"/>
      <c r="AA145" s="5"/>
      <c r="AB145" s="5"/>
      <c r="AC145" s="5"/>
      <c r="AD145" s="5"/>
      <c r="AE145" s="5"/>
      <c r="AF145" s="5"/>
      <c r="AG145" s="5"/>
      <c r="AH145" s="5"/>
    </row>
    <row r="146" spans="1:34" ht="19.5" customHeight="1">
      <c r="A146" s="17"/>
      <c r="B146" s="651" t="s">
        <v>133</v>
      </c>
      <c r="C146" s="651">
        <v>502</v>
      </c>
      <c r="D146" s="651">
        <v>367</v>
      </c>
      <c r="E146" s="651">
        <v>350</v>
      </c>
      <c r="F146" s="651">
        <v>0.161</v>
      </c>
      <c r="G146" s="651">
        <v>0.105</v>
      </c>
      <c r="H146" s="625">
        <v>36</v>
      </c>
      <c r="Q146" s="633">
        <v>300</v>
      </c>
      <c r="R146" s="634">
        <v>1.0900000000000001</v>
      </c>
      <c r="S146" s="318">
        <v>1.05</v>
      </c>
      <c r="U146" s="10"/>
      <c r="V146" s="10"/>
      <c r="W146" s="10"/>
      <c r="X146" s="10"/>
      <c r="Y146" s="10"/>
      <c r="Z146" s="5"/>
      <c r="AA146" s="5"/>
      <c r="AB146" s="5"/>
      <c r="AC146" s="5"/>
      <c r="AD146" s="5"/>
      <c r="AE146" s="5"/>
      <c r="AF146" s="5"/>
      <c r="AG146" s="5"/>
      <c r="AH146" s="5"/>
    </row>
    <row r="147" spans="1:34" ht="19.5" customHeight="1">
      <c r="A147" s="17"/>
      <c r="B147" s="651" t="s">
        <v>134</v>
      </c>
      <c r="C147" s="651">
        <v>577</v>
      </c>
      <c r="D147" s="651">
        <v>414</v>
      </c>
      <c r="E147" s="651">
        <v>397</v>
      </c>
      <c r="F147" s="651">
        <v>0.13</v>
      </c>
      <c r="G147" s="651">
        <v>0.10199999999999999</v>
      </c>
      <c r="H147" s="625">
        <v>39</v>
      </c>
      <c r="Q147" s="633">
        <v>400</v>
      </c>
      <c r="R147" s="634">
        <v>1.0900000000000001</v>
      </c>
      <c r="S147" s="318">
        <v>1.05</v>
      </c>
      <c r="U147" s="10"/>
      <c r="V147" s="10"/>
      <c r="W147" s="10"/>
      <c r="X147" s="10"/>
      <c r="Y147" s="10"/>
      <c r="Z147" s="5"/>
      <c r="AA147" s="5"/>
      <c r="AB147" s="5"/>
      <c r="AC147" s="5"/>
      <c r="AD147" s="5"/>
      <c r="AE147" s="5"/>
      <c r="AF147" s="5"/>
      <c r="AG147" s="5"/>
      <c r="AH147" s="5"/>
    </row>
    <row r="148" spans="1:34" ht="19.5" customHeight="1">
      <c r="A148" s="17"/>
      <c r="B148" s="651" t="s">
        <v>135</v>
      </c>
      <c r="C148" s="651">
        <v>673</v>
      </c>
      <c r="D148" s="651">
        <v>470</v>
      </c>
      <c r="E148" s="651">
        <v>451</v>
      </c>
      <c r="F148" s="651">
        <v>0.10199999999999999</v>
      </c>
      <c r="G148" s="651">
        <v>9.8000000000000004E-2</v>
      </c>
      <c r="H148" s="625">
        <v>42</v>
      </c>
      <c r="Q148" s="633">
        <v>500</v>
      </c>
      <c r="R148" s="634">
        <v>1.0900000000000001</v>
      </c>
      <c r="S148" s="318">
        <v>1.05</v>
      </c>
      <c r="U148" s="10"/>
      <c r="V148" s="10"/>
      <c r="W148" s="10"/>
      <c r="X148" s="10"/>
      <c r="Y148" s="10"/>
      <c r="Z148" s="5"/>
      <c r="AA148" s="5"/>
      <c r="AB148" s="5"/>
      <c r="AC148" s="5"/>
      <c r="AD148" s="5"/>
      <c r="AE148" s="5"/>
      <c r="AF148" s="5"/>
      <c r="AG148" s="5"/>
      <c r="AH148" s="5"/>
    </row>
    <row r="149" spans="1:34" ht="19.5" customHeight="1">
      <c r="A149" s="17"/>
      <c r="B149" s="651" t="s">
        <v>137</v>
      </c>
      <c r="C149" s="651">
        <v>757</v>
      </c>
      <c r="D149" s="651">
        <v>519</v>
      </c>
      <c r="E149" s="651">
        <v>493</v>
      </c>
      <c r="F149" s="651">
        <v>0.08</v>
      </c>
      <c r="G149" s="651">
        <v>9.6000000000000002E-2</v>
      </c>
      <c r="H149" s="625">
        <v>46</v>
      </c>
      <c r="Q149" s="633">
        <v>630</v>
      </c>
      <c r="R149" s="634">
        <v>1.0900000000000001</v>
      </c>
      <c r="S149" s="318">
        <v>1.05</v>
      </c>
      <c r="U149" s="10"/>
      <c r="V149" s="10"/>
      <c r="W149" s="10"/>
      <c r="X149" s="10"/>
      <c r="Y149" s="10"/>
      <c r="Z149" s="5"/>
      <c r="AA149" s="5"/>
      <c r="AB149" s="5"/>
      <c r="AC149" s="5"/>
      <c r="AD149" s="5"/>
      <c r="AE149" s="5"/>
      <c r="AF149" s="5"/>
      <c r="AG149" s="5"/>
      <c r="AH149" s="5"/>
    </row>
    <row r="150" spans="1:34" ht="19.5" customHeight="1">
      <c r="A150" s="17"/>
      <c r="B150" s="651" t="s">
        <v>138</v>
      </c>
      <c r="C150" s="651">
        <v>876</v>
      </c>
      <c r="D150" s="651">
        <v>586</v>
      </c>
      <c r="E150" s="651">
        <v>557</v>
      </c>
      <c r="F150" s="651">
        <v>6.3E-2</v>
      </c>
      <c r="G150" s="651">
        <v>9.4E-2</v>
      </c>
      <c r="H150" s="625">
        <v>50</v>
      </c>
      <c r="Q150" s="645"/>
      <c r="R150" s="645"/>
      <c r="S150" s="646"/>
      <c r="U150" s="10"/>
      <c r="V150" s="10"/>
      <c r="W150" s="10"/>
      <c r="X150" s="10"/>
      <c r="Y150" s="10"/>
      <c r="Z150" s="5"/>
      <c r="AA150" s="5"/>
      <c r="AB150" s="5"/>
      <c r="AC150" s="5"/>
      <c r="AD150" s="5"/>
      <c r="AE150" s="5"/>
      <c r="AF150" s="5"/>
      <c r="AG150" s="5"/>
      <c r="AH150" s="5"/>
    </row>
    <row r="151" spans="1:34" ht="19.5" customHeight="1">
      <c r="A151" s="17"/>
      <c r="B151" s="651" t="s">
        <v>224</v>
      </c>
      <c r="C151" s="651">
        <v>1005</v>
      </c>
      <c r="D151" s="651">
        <v>655</v>
      </c>
      <c r="E151" s="651">
        <v>622</v>
      </c>
      <c r="F151" s="651">
        <v>5.0999999999999997E-2</v>
      </c>
      <c r="G151" s="651">
        <v>0.09</v>
      </c>
      <c r="H151" s="625">
        <v>54</v>
      </c>
      <c r="Q151" s="645"/>
      <c r="R151" s="645"/>
      <c r="S151" s="646"/>
      <c r="U151" s="10"/>
      <c r="V151" s="10"/>
      <c r="W151" s="10"/>
      <c r="X151" s="10"/>
      <c r="Y151" s="10"/>
      <c r="Z151" s="5"/>
      <c r="AA151" s="5"/>
      <c r="AB151" s="5"/>
      <c r="AC151" s="5"/>
      <c r="AD151" s="5"/>
      <c r="AE151" s="5"/>
      <c r="AF151" s="5"/>
      <c r="AG151" s="5"/>
      <c r="AH151" s="5"/>
    </row>
    <row r="152" spans="1:34" ht="19.5" customHeight="1">
      <c r="A152" s="17"/>
      <c r="B152" s="651" t="s">
        <v>225</v>
      </c>
      <c r="C152" s="651">
        <v>1138</v>
      </c>
      <c r="D152" s="651">
        <v>723</v>
      </c>
      <c r="E152" s="651">
        <v>687</v>
      </c>
      <c r="F152" s="651">
        <v>4.2999999999999997E-2</v>
      </c>
      <c r="G152" s="651">
        <v>8.7999999999999995E-2</v>
      </c>
      <c r="H152" s="625">
        <v>59</v>
      </c>
      <c r="Q152" s="645"/>
      <c r="R152" s="645"/>
      <c r="S152" s="646"/>
      <c r="U152" s="10"/>
      <c r="V152" s="10"/>
      <c r="W152" s="10"/>
      <c r="X152" s="10"/>
      <c r="Y152" s="10"/>
      <c r="Z152" s="5"/>
      <c r="AA152" s="5"/>
      <c r="AB152" s="5"/>
      <c r="AC152" s="5"/>
      <c r="AD152" s="5"/>
      <c r="AE152" s="5"/>
      <c r="AF152" s="5"/>
      <c r="AG152" s="5"/>
      <c r="AH152" s="5"/>
    </row>
    <row r="153" spans="1:34" ht="19.5" customHeight="1">
      <c r="A153" s="17"/>
      <c r="B153" s="651"/>
      <c r="C153" s="651"/>
      <c r="D153" s="651"/>
      <c r="E153" s="651"/>
      <c r="F153" s="651"/>
      <c r="G153" s="651"/>
      <c r="H153" s="657"/>
      <c r="Q153" s="645"/>
      <c r="R153" s="645"/>
      <c r="S153" s="646"/>
      <c r="U153" s="10"/>
      <c r="V153" s="10"/>
      <c r="W153" s="10"/>
      <c r="X153" s="10"/>
      <c r="Y153" s="10"/>
      <c r="Z153" s="5"/>
      <c r="AA153" s="5"/>
      <c r="AB153" s="5"/>
      <c r="AC153" s="5"/>
      <c r="AD153" s="5"/>
      <c r="AE153" s="5"/>
      <c r="AF153" s="5"/>
      <c r="AG153" s="5"/>
      <c r="AH153" s="5"/>
    </row>
    <row r="154" spans="1:34" ht="19.5" customHeight="1">
      <c r="A154" s="17"/>
      <c r="H154" s="18"/>
      <c r="I154" s="7"/>
      <c r="J154" s="3"/>
      <c r="O154" s="3"/>
      <c r="T154" s="5"/>
      <c r="U154" s="5"/>
      <c r="V154" s="5"/>
      <c r="W154" s="5"/>
      <c r="X154" s="5"/>
      <c r="Y154" s="5"/>
      <c r="Z154" s="5"/>
      <c r="AA154" s="5"/>
      <c r="AB154" s="5"/>
      <c r="AC154" s="5"/>
      <c r="AD154" s="5"/>
      <c r="AE154" s="5"/>
      <c r="AF154" s="5"/>
      <c r="AG154" s="5"/>
      <c r="AH154" s="5"/>
    </row>
    <row r="155" spans="1:34" ht="19.5" customHeight="1">
      <c r="A155" s="27"/>
      <c r="H155" s="21"/>
      <c r="I155" s="7"/>
      <c r="J155" s="3"/>
      <c r="O155" s="3"/>
    </row>
    <row r="156" spans="1:34" ht="27.75" customHeight="1">
      <c r="A156" s="27"/>
      <c r="B156" s="45" t="s">
        <v>226</v>
      </c>
      <c r="C156" s="44"/>
      <c r="D156" s="45"/>
      <c r="E156" s="45"/>
      <c r="F156" s="45" t="s">
        <v>228</v>
      </c>
      <c r="G156" s="46"/>
      <c r="H156" s="21"/>
    </row>
    <row r="157" spans="1:34" ht="42" customHeight="1">
      <c r="A157" s="27"/>
      <c r="B157" s="1030" t="s">
        <v>109</v>
      </c>
      <c r="C157" s="1031" t="s">
        <v>110</v>
      </c>
      <c r="D157" s="1032"/>
      <c r="E157" s="1033"/>
      <c r="F157" s="1030" t="s">
        <v>208</v>
      </c>
      <c r="G157" s="1030" t="s">
        <v>209</v>
      </c>
      <c r="H157" s="1037" t="s">
        <v>210</v>
      </c>
    </row>
    <row r="158" spans="1:34" ht="32.25" customHeight="1">
      <c r="A158" s="27"/>
      <c r="B158" s="955"/>
      <c r="C158" s="622" t="s">
        <v>121</v>
      </c>
      <c r="D158" s="622" t="s">
        <v>122</v>
      </c>
      <c r="E158" s="622" t="s">
        <v>123</v>
      </c>
      <c r="F158" s="955"/>
      <c r="G158" s="955"/>
      <c r="H158" s="966"/>
    </row>
    <row r="159" spans="1:34" ht="19.5" customHeight="1">
      <c r="A159" s="27"/>
      <c r="B159" s="651" t="s">
        <v>167</v>
      </c>
      <c r="C159" s="651">
        <v>196</v>
      </c>
      <c r="D159" s="651">
        <v>171</v>
      </c>
      <c r="E159" s="651">
        <v>150</v>
      </c>
      <c r="F159" s="651">
        <v>0.56799999999999995</v>
      </c>
      <c r="G159" s="651">
        <v>0.10299999999999999</v>
      </c>
      <c r="H159" s="658">
        <v>52</v>
      </c>
    </row>
    <row r="160" spans="1:34" ht="32.25" customHeight="1">
      <c r="A160" s="27"/>
      <c r="B160" s="651" t="s">
        <v>168</v>
      </c>
      <c r="C160" s="651">
        <v>238</v>
      </c>
      <c r="D160" s="651">
        <v>204</v>
      </c>
      <c r="E160" s="651">
        <v>180</v>
      </c>
      <c r="F160" s="651">
        <v>0.41099999999999998</v>
      </c>
      <c r="G160" s="651">
        <v>9.9000000000000005E-2</v>
      </c>
      <c r="H160" s="658">
        <v>55</v>
      </c>
    </row>
    <row r="161" spans="1:44" s="2" customFormat="1" ht="19.5" customHeight="1">
      <c r="A161" s="27"/>
      <c r="B161" s="651" t="s">
        <v>169</v>
      </c>
      <c r="C161" s="651">
        <v>274</v>
      </c>
      <c r="D161" s="651">
        <v>232</v>
      </c>
      <c r="E161" s="651">
        <v>206</v>
      </c>
      <c r="F161" s="651">
        <v>0.32500000000000001</v>
      </c>
      <c r="G161" s="651">
        <v>9.5000000000000001E-2</v>
      </c>
      <c r="H161" s="658">
        <v>59</v>
      </c>
      <c r="K161" s="3"/>
      <c r="L161" s="3"/>
      <c r="M161" s="3"/>
      <c r="N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c r="AR161"/>
    </row>
    <row r="162" spans="1:44" s="2" customFormat="1" ht="19.5" customHeight="1">
      <c r="A162" s="27"/>
      <c r="B162" s="651" t="s">
        <v>170</v>
      </c>
      <c r="C162" s="651">
        <v>309</v>
      </c>
      <c r="D162" s="651">
        <v>259</v>
      </c>
      <c r="E162" s="651">
        <v>231</v>
      </c>
      <c r="F162" s="651">
        <v>0.26500000000000001</v>
      </c>
      <c r="G162" s="651">
        <v>9.2999999999999999E-2</v>
      </c>
      <c r="H162" s="658">
        <v>62</v>
      </c>
      <c r="K162" s="3"/>
      <c r="L162" s="3"/>
      <c r="M162" s="3"/>
      <c r="N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c r="AR162"/>
    </row>
    <row r="163" spans="1:44" s="2" customFormat="1" ht="19.5" customHeight="1">
      <c r="A163" s="27"/>
      <c r="B163" s="651" t="s">
        <v>171</v>
      </c>
      <c r="C163" s="651">
        <v>354</v>
      </c>
      <c r="D163" s="651">
        <v>293</v>
      </c>
      <c r="E163" s="651">
        <v>262</v>
      </c>
      <c r="F163" s="651">
        <v>0.21099999999999999</v>
      </c>
      <c r="G163" s="651">
        <v>8.8999999999999996E-2</v>
      </c>
      <c r="H163" s="658">
        <v>66</v>
      </c>
      <c r="K163" s="3"/>
      <c r="L163" s="3"/>
      <c r="M163" s="3"/>
      <c r="N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c r="AR163"/>
    </row>
    <row r="164" spans="1:44" s="2" customFormat="1" ht="19.5" customHeight="1">
      <c r="A164" s="27"/>
      <c r="B164" s="651" t="s">
        <v>172</v>
      </c>
      <c r="C164" s="651">
        <v>415</v>
      </c>
      <c r="D164" s="651">
        <v>338</v>
      </c>
      <c r="E164" s="651">
        <v>304</v>
      </c>
      <c r="F164" s="651">
        <v>0.16200000000000001</v>
      </c>
      <c r="G164" s="651">
        <v>8.6999999999999994E-2</v>
      </c>
      <c r="H164" s="658">
        <v>72</v>
      </c>
      <c r="K164" s="3"/>
      <c r="L164" s="3"/>
      <c r="M164" s="3"/>
      <c r="N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c r="AR164"/>
    </row>
    <row r="165" spans="1:44" s="2" customFormat="1" ht="19.5" customHeight="1">
      <c r="A165" s="27"/>
      <c r="B165" s="651" t="s">
        <v>173</v>
      </c>
      <c r="C165" s="651">
        <v>472</v>
      </c>
      <c r="D165" s="651">
        <v>380</v>
      </c>
      <c r="E165" s="651">
        <v>343</v>
      </c>
      <c r="F165" s="651">
        <v>0.13</v>
      </c>
      <c r="G165" s="651">
        <v>8.4000000000000005E-2</v>
      </c>
      <c r="H165" s="658">
        <v>78</v>
      </c>
      <c r="K165" s="3"/>
      <c r="L165" s="3"/>
      <c r="M165" s="3"/>
      <c r="N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c r="AR165"/>
    </row>
    <row r="166" spans="1:44" s="2" customFormat="1" ht="19.5" customHeight="1">
      <c r="A166" s="27"/>
      <c r="B166" s="651" t="s">
        <v>174</v>
      </c>
      <c r="C166" s="651">
        <v>545</v>
      </c>
      <c r="D166" s="651">
        <v>432</v>
      </c>
      <c r="E166" s="651">
        <v>393</v>
      </c>
      <c r="F166" s="651">
        <v>0.10199999999999999</v>
      </c>
      <c r="G166" s="651">
        <v>8.1000000000000003E-2</v>
      </c>
      <c r="H166" s="658">
        <v>84</v>
      </c>
      <c r="K166" s="3"/>
      <c r="L166" s="3"/>
      <c r="M166" s="3"/>
      <c r="N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c r="AR166"/>
    </row>
    <row r="167" spans="1:44" s="2" customFormat="1" ht="19.5" customHeight="1">
      <c r="A167" s="27"/>
      <c r="H167" s="21"/>
      <c r="K167" s="3"/>
      <c r="L167" s="3"/>
      <c r="M167" s="3"/>
      <c r="N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c r="AR167"/>
    </row>
    <row r="168" spans="1:44" s="2" customFormat="1" ht="19.5" customHeight="1">
      <c r="A168" s="27"/>
      <c r="H168" s="21"/>
      <c r="I168" s="8"/>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c r="AR168"/>
    </row>
    <row r="169" spans="1:44" s="2" customFormat="1" ht="19.5" customHeight="1">
      <c r="A169" s="27"/>
      <c r="H169" s="21"/>
      <c r="I169" s="8"/>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c r="AR169"/>
    </row>
    <row r="170" spans="1:44" s="2" customFormat="1" ht="19.5" customHeight="1" thickBot="1">
      <c r="A170" s="28"/>
      <c r="B170" s="29"/>
      <c r="C170" s="29"/>
      <c r="D170" s="29"/>
      <c r="E170" s="29"/>
      <c r="F170" s="29"/>
      <c r="G170" s="29"/>
      <c r="H170" s="30"/>
      <c r="I170" s="8"/>
      <c r="K170" s="3"/>
      <c r="L170" s="3"/>
      <c r="M170" s="3"/>
      <c r="N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c r="AR170"/>
    </row>
    <row r="171" spans="1:44" s="2" customFormat="1" ht="19.5" customHeight="1">
      <c r="A171" s="3"/>
      <c r="I171" s="8"/>
      <c r="K171" s="3"/>
      <c r="L171" s="3"/>
      <c r="M171" s="3"/>
      <c r="N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c r="AR171"/>
    </row>
    <row r="172" spans="1:44" s="2" customFormat="1" ht="19.5" customHeight="1">
      <c r="A172" s="3"/>
      <c r="I172" s="8"/>
      <c r="K172" s="3"/>
      <c r="L172" s="3"/>
      <c r="M172" s="3"/>
      <c r="N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c r="AR172"/>
    </row>
    <row r="173" spans="1:44" s="2" customFormat="1" ht="19.5" customHeight="1">
      <c r="A173" s="3"/>
      <c r="I173" s="8"/>
      <c r="K173" s="3"/>
      <c r="L173" s="3"/>
      <c r="M173" s="3"/>
      <c r="N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c r="AR173"/>
    </row>
    <row r="174" spans="1:44" s="2" customFormat="1" ht="19.5" customHeight="1" thickBot="1">
      <c r="A174" s="3"/>
      <c r="I174" s="8"/>
      <c r="K174" s="82"/>
      <c r="L174" s="3"/>
      <c r="M174" s="3"/>
      <c r="N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c r="AR174"/>
    </row>
    <row r="175" spans="1:44" s="2" customFormat="1" ht="19.5" customHeight="1">
      <c r="A175" s="31"/>
      <c r="B175" s="967" t="s">
        <v>231</v>
      </c>
      <c r="C175" s="968"/>
      <c r="D175" s="968"/>
      <c r="E175" s="968"/>
      <c r="F175" s="969"/>
      <c r="G175" s="32"/>
      <c r="H175" s="33"/>
      <c r="I175" s="8"/>
      <c r="K175" s="3"/>
      <c r="L175" s="3"/>
      <c r="M175" s="3"/>
      <c r="N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c r="AR175"/>
    </row>
    <row r="176" spans="1:44" s="2" customFormat="1" ht="19.5" customHeight="1">
      <c r="A176" s="27"/>
      <c r="H176" s="21"/>
      <c r="I176" s="8"/>
      <c r="K176" s="3"/>
      <c r="L176" s="3"/>
      <c r="M176" s="3"/>
      <c r="N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c r="AR176"/>
    </row>
    <row r="177" spans="1:34" ht="28.5" customHeight="1">
      <c r="A177" s="27"/>
      <c r="B177" s="312" t="s">
        <v>206</v>
      </c>
      <c r="C177" s="648"/>
      <c r="D177" s="313"/>
      <c r="E177" s="313"/>
      <c r="F177" s="313" t="s">
        <v>232</v>
      </c>
      <c r="G177" s="314"/>
      <c r="H177" s="315"/>
    </row>
    <row r="178" spans="1:34" ht="19.5" customHeight="1">
      <c r="A178" s="17"/>
      <c r="B178" s="7"/>
      <c r="C178" s="7"/>
      <c r="D178" s="7"/>
      <c r="E178" s="7"/>
      <c r="F178" s="7"/>
      <c r="G178" s="7"/>
      <c r="H178" s="18"/>
      <c r="I178" s="4"/>
      <c r="P178" s="4"/>
      <c r="Q178" s="4"/>
      <c r="R178" s="4"/>
      <c r="S178" s="5"/>
      <c r="T178" s="5"/>
      <c r="U178" s="5"/>
      <c r="V178" s="5"/>
      <c r="W178" s="5"/>
      <c r="X178" s="5"/>
      <c r="Y178" s="5"/>
      <c r="Z178" s="5"/>
      <c r="AA178" s="5"/>
      <c r="AB178" s="5"/>
      <c r="AC178" s="5"/>
      <c r="AD178" s="5"/>
      <c r="AE178" s="5"/>
      <c r="AF178" s="5"/>
      <c r="AG178" s="5"/>
      <c r="AH178" s="5"/>
    </row>
    <row r="179" spans="1:34" ht="98.25" customHeight="1">
      <c r="A179" s="27"/>
      <c r="B179" s="1030" t="s">
        <v>109</v>
      </c>
      <c r="C179" s="1031" t="s">
        <v>110</v>
      </c>
      <c r="D179" s="1032"/>
      <c r="E179" s="1033"/>
      <c r="F179" s="1030" t="s">
        <v>208</v>
      </c>
      <c r="G179" s="1030" t="s">
        <v>209</v>
      </c>
      <c r="H179" s="1030" t="s">
        <v>210</v>
      </c>
      <c r="I179" s="1001" t="s">
        <v>211</v>
      </c>
      <c r="J179" s="1034" t="s">
        <v>115</v>
      </c>
      <c r="K179" s="1036" t="s">
        <v>952</v>
      </c>
      <c r="L179" s="1036" t="s">
        <v>954</v>
      </c>
      <c r="M179" s="1036"/>
      <c r="N179" s="1036" t="s">
        <v>118</v>
      </c>
      <c r="O179" s="1036" t="s">
        <v>234</v>
      </c>
      <c r="P179" s="1036"/>
      <c r="Q179" s="1031" t="s">
        <v>235</v>
      </c>
      <c r="R179" s="1032"/>
      <c r="S179" s="1033"/>
      <c r="U179" s="623" t="s">
        <v>236</v>
      </c>
      <c r="V179" s="623" t="s">
        <v>237</v>
      </c>
      <c r="X179" s="623" t="s">
        <v>236</v>
      </c>
      <c r="Y179" s="623" t="s">
        <v>237</v>
      </c>
    </row>
    <row r="180" spans="1:34" ht="75" customHeight="1">
      <c r="A180" s="27"/>
      <c r="B180" s="955"/>
      <c r="C180" s="622" t="s">
        <v>238</v>
      </c>
      <c r="D180" s="622" t="s">
        <v>216</v>
      </c>
      <c r="E180" s="622" t="s">
        <v>217</v>
      </c>
      <c r="F180" s="955"/>
      <c r="G180" s="955"/>
      <c r="H180" s="955"/>
      <c r="I180" s="1002"/>
      <c r="J180" s="1035"/>
      <c r="K180" s="1030"/>
      <c r="L180" s="623" t="s">
        <v>218</v>
      </c>
      <c r="M180" s="623" t="s">
        <v>125</v>
      </c>
      <c r="N180" s="1030"/>
      <c r="O180" s="623" t="s">
        <v>126</v>
      </c>
      <c r="P180" s="623" t="s">
        <v>127</v>
      </c>
      <c r="Q180" s="623" t="s">
        <v>128</v>
      </c>
      <c r="R180" s="623" t="s">
        <v>126</v>
      </c>
      <c r="S180" s="623" t="s">
        <v>127</v>
      </c>
      <c r="U180" s="623" t="s">
        <v>126</v>
      </c>
      <c r="V180" s="623" t="s">
        <v>126</v>
      </c>
      <c r="X180" s="623" t="s">
        <v>127</v>
      </c>
      <c r="Y180" s="623" t="s">
        <v>127</v>
      </c>
    </row>
    <row r="181" spans="1:34" ht="20.100000000000001" customHeight="1">
      <c r="A181" s="27"/>
      <c r="B181" s="624" t="s">
        <v>219</v>
      </c>
      <c r="C181" s="624">
        <v>230</v>
      </c>
      <c r="D181" s="624">
        <v>186</v>
      </c>
      <c r="E181" s="624">
        <v>176</v>
      </c>
      <c r="F181" s="651">
        <v>0.56799999999999995</v>
      </c>
      <c r="G181" s="651">
        <v>0.14599999999999999</v>
      </c>
      <c r="H181" s="317">
        <v>38</v>
      </c>
      <c r="I181" s="999" t="s">
        <v>239</v>
      </c>
      <c r="J181" s="626" t="s">
        <v>131</v>
      </c>
      <c r="K181" s="627">
        <v>0.91</v>
      </c>
      <c r="L181" s="627">
        <v>0.9</v>
      </c>
      <c r="M181" s="627">
        <v>0.97</v>
      </c>
      <c r="N181" s="627" t="s">
        <v>132</v>
      </c>
      <c r="O181" s="627" t="s">
        <v>132</v>
      </c>
      <c r="P181" s="627" t="s">
        <v>132</v>
      </c>
      <c r="Q181" s="629"/>
      <c r="R181" s="629"/>
      <c r="S181" s="629"/>
    </row>
    <row r="182" spans="1:34" ht="20.100000000000001" customHeight="1">
      <c r="A182" s="27"/>
      <c r="B182" s="624" t="s">
        <v>221</v>
      </c>
      <c r="C182" s="624">
        <v>280</v>
      </c>
      <c r="D182" s="624">
        <v>221</v>
      </c>
      <c r="E182" s="624">
        <v>210</v>
      </c>
      <c r="F182" s="651">
        <v>0.41099999999999998</v>
      </c>
      <c r="G182" s="651">
        <v>0.14000000000000001</v>
      </c>
      <c r="H182" s="317">
        <v>39</v>
      </c>
      <c r="I182" s="1000"/>
      <c r="J182" s="656" t="s">
        <v>123</v>
      </c>
      <c r="K182" s="627" t="s">
        <v>132</v>
      </c>
      <c r="L182" s="627">
        <v>0.64</v>
      </c>
      <c r="M182" s="627">
        <v>0.8</v>
      </c>
      <c r="N182" s="627">
        <v>0.89</v>
      </c>
      <c r="O182" s="627">
        <v>0.93</v>
      </c>
      <c r="P182" s="627">
        <v>0.95</v>
      </c>
      <c r="Q182" s="633">
        <v>120</v>
      </c>
      <c r="R182" s="634">
        <v>1.0900000000000001</v>
      </c>
      <c r="S182" s="318">
        <v>1.05</v>
      </c>
      <c r="U182" s="634">
        <v>1.1299999999999999</v>
      </c>
      <c r="V182" s="634">
        <v>0.91</v>
      </c>
      <c r="X182" s="318">
        <v>1.0900000000000001</v>
      </c>
      <c r="Y182" s="318">
        <v>0.93</v>
      </c>
    </row>
    <row r="183" spans="1:34" ht="20.100000000000001" customHeight="1">
      <c r="A183" s="27"/>
      <c r="B183" s="624" t="s">
        <v>222</v>
      </c>
      <c r="C183" s="624">
        <v>324</v>
      </c>
      <c r="D183" s="624">
        <v>252</v>
      </c>
      <c r="E183" s="624">
        <v>240</v>
      </c>
      <c r="F183" s="651">
        <v>0.32500000000000001</v>
      </c>
      <c r="G183" s="651">
        <v>0.13400000000000001</v>
      </c>
      <c r="H183" s="317">
        <v>41</v>
      </c>
      <c r="I183" s="4"/>
      <c r="J183" s="656" t="s">
        <v>122</v>
      </c>
      <c r="K183" s="627" t="s">
        <v>132</v>
      </c>
      <c r="L183" s="627">
        <v>0.64</v>
      </c>
      <c r="M183" s="627">
        <v>0.8</v>
      </c>
      <c r="N183" s="627">
        <v>0.89</v>
      </c>
      <c r="O183" s="627">
        <v>0.93</v>
      </c>
      <c r="P183" s="627">
        <v>0.96</v>
      </c>
      <c r="Q183" s="633">
        <v>150</v>
      </c>
      <c r="R183" s="634">
        <v>1.0900000000000001</v>
      </c>
      <c r="S183" s="318">
        <v>1.05</v>
      </c>
      <c r="U183" s="634">
        <v>1.1299999999999999</v>
      </c>
      <c r="V183" s="634">
        <v>0.91</v>
      </c>
      <c r="X183" s="318">
        <v>1.0900000000000001</v>
      </c>
      <c r="Y183" s="318">
        <v>0.93</v>
      </c>
    </row>
    <row r="184" spans="1:34" ht="37.5" customHeight="1">
      <c r="A184" s="27"/>
      <c r="B184" s="624" t="s">
        <v>223</v>
      </c>
      <c r="C184" s="624">
        <v>368</v>
      </c>
      <c r="D184" s="624">
        <v>281</v>
      </c>
      <c r="E184" s="624">
        <v>267</v>
      </c>
      <c r="F184" s="651">
        <v>0.26500000000000001</v>
      </c>
      <c r="G184" s="651">
        <v>0.13200000000000001</v>
      </c>
      <c r="H184" s="317">
        <v>43</v>
      </c>
      <c r="I184" s="4"/>
      <c r="J184" s="636" t="s">
        <v>136</v>
      </c>
      <c r="K184" s="627">
        <v>0.91</v>
      </c>
      <c r="L184" s="627">
        <v>0.9</v>
      </c>
      <c r="M184" s="627">
        <v>0.97</v>
      </c>
      <c r="N184" s="627" t="s">
        <v>132</v>
      </c>
      <c r="O184" s="627" t="s">
        <v>132</v>
      </c>
      <c r="P184" s="627" t="s">
        <v>132</v>
      </c>
      <c r="Q184" s="633">
        <v>185</v>
      </c>
      <c r="R184" s="634">
        <v>1.0900000000000001</v>
      </c>
      <c r="S184" s="318">
        <v>1.05</v>
      </c>
      <c r="U184" s="634">
        <v>1.1299999999999999</v>
      </c>
      <c r="V184" s="634">
        <v>0.91</v>
      </c>
      <c r="X184" s="318">
        <v>1.0900000000000001</v>
      </c>
      <c r="Y184" s="318">
        <v>0.93</v>
      </c>
    </row>
    <row r="185" spans="1:34" ht="20.100000000000001" customHeight="1">
      <c r="A185" s="27"/>
      <c r="B185" s="624" t="s">
        <v>129</v>
      </c>
      <c r="C185" s="624">
        <v>424</v>
      </c>
      <c r="D185" s="624">
        <v>317</v>
      </c>
      <c r="E185" s="624">
        <v>303</v>
      </c>
      <c r="F185" s="651">
        <v>0.21099999999999999</v>
      </c>
      <c r="G185" s="651">
        <v>0.126</v>
      </c>
      <c r="H185" s="317">
        <v>45</v>
      </c>
      <c r="I185" s="4"/>
      <c r="Q185" s="633">
        <v>240</v>
      </c>
      <c r="R185" s="634">
        <v>1.0900000000000001</v>
      </c>
      <c r="S185" s="318">
        <v>1.05</v>
      </c>
      <c r="U185" s="634">
        <v>1.1399999999999999</v>
      </c>
      <c r="V185" s="634">
        <v>0.91</v>
      </c>
      <c r="X185" s="318">
        <v>1.1000000000000001</v>
      </c>
      <c r="Y185" s="318">
        <v>0.93</v>
      </c>
    </row>
    <row r="186" spans="1:34" ht="20.100000000000001" customHeight="1">
      <c r="A186" s="27"/>
      <c r="B186" s="624" t="s">
        <v>133</v>
      </c>
      <c r="C186" s="624">
        <v>502</v>
      </c>
      <c r="D186" s="624">
        <v>367</v>
      </c>
      <c r="E186" s="624">
        <v>350</v>
      </c>
      <c r="F186" s="651">
        <v>0.161</v>
      </c>
      <c r="G186" s="651">
        <v>0.122</v>
      </c>
      <c r="H186" s="317">
        <v>47</v>
      </c>
      <c r="Q186" s="633">
        <v>300</v>
      </c>
      <c r="R186" s="634">
        <v>1.0900000000000001</v>
      </c>
      <c r="S186" s="318">
        <v>1.05</v>
      </c>
      <c r="U186" s="634">
        <v>1.1399999999999999</v>
      </c>
      <c r="V186" s="634">
        <v>0.9</v>
      </c>
      <c r="X186" s="318">
        <v>1.1000000000000001</v>
      </c>
      <c r="Y186" s="318">
        <v>0.92</v>
      </c>
    </row>
    <row r="187" spans="1:34" ht="20.100000000000001" customHeight="1">
      <c r="A187" s="27"/>
      <c r="B187" s="624" t="s">
        <v>134</v>
      </c>
      <c r="C187" s="624">
        <v>577</v>
      </c>
      <c r="D187" s="624">
        <v>414</v>
      </c>
      <c r="E187" s="624">
        <v>397</v>
      </c>
      <c r="F187" s="651">
        <v>0.13</v>
      </c>
      <c r="G187" s="651">
        <v>0.11799999999999999</v>
      </c>
      <c r="H187" s="317">
        <v>50</v>
      </c>
      <c r="Q187" s="633">
        <v>400</v>
      </c>
      <c r="R187" s="634">
        <v>1.0900000000000001</v>
      </c>
      <c r="S187" s="318">
        <v>1.05</v>
      </c>
      <c r="U187" s="634">
        <v>1.1399999999999999</v>
      </c>
      <c r="V187" s="634">
        <v>0.9</v>
      </c>
      <c r="X187" s="318">
        <v>1.1000000000000001</v>
      </c>
      <c r="Y187" s="318">
        <v>0.92</v>
      </c>
    </row>
    <row r="188" spans="1:34" ht="20.100000000000001" customHeight="1">
      <c r="A188" s="27"/>
      <c r="B188" s="624" t="s">
        <v>135</v>
      </c>
      <c r="C188" s="624">
        <v>673</v>
      </c>
      <c r="D188" s="624">
        <v>470</v>
      </c>
      <c r="E188" s="624">
        <v>451</v>
      </c>
      <c r="F188" s="651">
        <v>0.10199999999999999</v>
      </c>
      <c r="G188" s="651">
        <v>0.113</v>
      </c>
      <c r="H188" s="317">
        <v>53</v>
      </c>
      <c r="Q188" s="633">
        <v>500</v>
      </c>
      <c r="R188" s="634">
        <v>1.0900000000000001</v>
      </c>
      <c r="S188" s="318">
        <v>1.05</v>
      </c>
      <c r="U188" s="634">
        <v>1.1399999999999999</v>
      </c>
      <c r="V188" s="634">
        <v>0.9</v>
      </c>
      <c r="X188" s="318">
        <v>1.1000000000000001</v>
      </c>
      <c r="Y188" s="318">
        <v>0.92</v>
      </c>
    </row>
    <row r="189" spans="1:34" ht="20.100000000000001" customHeight="1">
      <c r="A189" s="27"/>
      <c r="B189" s="624" t="s">
        <v>137</v>
      </c>
      <c r="C189" s="624">
        <v>757</v>
      </c>
      <c r="D189" s="624">
        <v>519</v>
      </c>
      <c r="E189" s="624">
        <v>493</v>
      </c>
      <c r="F189" s="651">
        <v>0.08</v>
      </c>
      <c r="G189" s="651">
        <v>0.109</v>
      </c>
      <c r="H189" s="317">
        <v>56</v>
      </c>
      <c r="Q189" s="633">
        <v>630</v>
      </c>
      <c r="R189" s="634">
        <v>1.0900000000000001</v>
      </c>
      <c r="S189" s="318">
        <v>1.05</v>
      </c>
      <c r="U189" s="634">
        <v>1.1399999999999999</v>
      </c>
      <c r="V189" s="634">
        <v>0.9</v>
      </c>
      <c r="X189" s="318">
        <v>1.1000000000000001</v>
      </c>
      <c r="Y189" s="318">
        <v>0.92</v>
      </c>
    </row>
    <row r="190" spans="1:34" ht="20.100000000000001" customHeight="1">
      <c r="A190" s="27"/>
      <c r="B190" s="624" t="s">
        <v>138</v>
      </c>
      <c r="C190" s="624">
        <v>876</v>
      </c>
      <c r="D190" s="624">
        <v>586</v>
      </c>
      <c r="E190" s="624">
        <v>557</v>
      </c>
      <c r="F190" s="651">
        <v>6.3E-2</v>
      </c>
      <c r="G190" s="651">
        <v>0.105</v>
      </c>
      <c r="H190" s="317">
        <v>60</v>
      </c>
      <c r="I190" s="4"/>
      <c r="Q190" s="645"/>
      <c r="R190" s="645"/>
      <c r="S190" s="646"/>
    </row>
    <row r="191" spans="1:34" ht="20.100000000000001" customHeight="1">
      <c r="A191" s="27"/>
      <c r="B191" s="624" t="s">
        <v>224</v>
      </c>
      <c r="C191" s="624">
        <v>1005</v>
      </c>
      <c r="D191" s="624">
        <v>655</v>
      </c>
      <c r="E191" s="624">
        <v>622</v>
      </c>
      <c r="F191" s="651">
        <v>5.0999999999999997E-2</v>
      </c>
      <c r="G191" s="651">
        <v>0.10100000000000001</v>
      </c>
      <c r="H191" s="317">
        <v>65</v>
      </c>
      <c r="I191" s="4"/>
      <c r="Q191" s="645"/>
      <c r="R191" s="645"/>
      <c r="S191" s="646"/>
    </row>
    <row r="192" spans="1:34" ht="20.100000000000001" customHeight="1">
      <c r="A192" s="27"/>
      <c r="B192" s="624" t="s">
        <v>225</v>
      </c>
      <c r="C192" s="624">
        <v>1138</v>
      </c>
      <c r="D192" s="624">
        <v>723</v>
      </c>
      <c r="E192" s="624">
        <v>687</v>
      </c>
      <c r="F192" s="651">
        <v>4.2999999999999997E-2</v>
      </c>
      <c r="G192" s="651">
        <v>9.9000000000000005E-2</v>
      </c>
      <c r="H192" s="317">
        <v>69</v>
      </c>
      <c r="I192" s="4"/>
      <c r="Q192" s="645"/>
      <c r="R192" s="645"/>
      <c r="S192" s="646"/>
    </row>
    <row r="193" spans="1:44" s="2" customFormat="1" ht="20.100000000000001" customHeight="1">
      <c r="A193" s="27"/>
      <c r="B193" s="624"/>
      <c r="C193" s="624"/>
      <c r="D193" s="624"/>
      <c r="E193" s="624"/>
      <c r="F193" s="651"/>
      <c r="G193" s="651"/>
      <c r="H193" s="317"/>
      <c r="I193" s="7"/>
      <c r="K193" s="3"/>
      <c r="L193" s="3"/>
      <c r="M193" s="3"/>
      <c r="N193" s="3"/>
      <c r="Q193" s="645"/>
      <c r="R193" s="645"/>
      <c r="S193" s="646"/>
      <c r="T193" s="3"/>
      <c r="U193" s="3"/>
      <c r="V193" s="3"/>
      <c r="W193" s="3"/>
      <c r="X193" s="3"/>
      <c r="Y193" s="3"/>
      <c r="Z193" s="3"/>
      <c r="AA193" s="3"/>
      <c r="AB193" s="3"/>
      <c r="AC193" s="3"/>
      <c r="AD193" s="3"/>
      <c r="AE193" s="3"/>
      <c r="AF193" s="3"/>
      <c r="AG193" s="3"/>
      <c r="AH193" s="3"/>
      <c r="AI193" s="3"/>
      <c r="AJ193" s="3"/>
      <c r="AK193" s="3"/>
      <c r="AL193" s="3"/>
      <c r="AM193" s="3"/>
      <c r="AN193" s="3"/>
      <c r="AO193" s="3"/>
      <c r="AP193" s="3"/>
      <c r="AQ193"/>
      <c r="AR193"/>
    </row>
    <row r="194" spans="1:44" s="2" customFormat="1">
      <c r="A194" s="27"/>
      <c r="H194" s="21"/>
      <c r="L194" s="3"/>
      <c r="M194" s="3"/>
      <c r="N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c r="AR194"/>
    </row>
    <row r="195" spans="1:44" s="2" customFormat="1">
      <c r="A195" s="27"/>
      <c r="L195" s="3"/>
      <c r="M195" s="3"/>
      <c r="N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c r="AR195"/>
    </row>
    <row r="196" spans="1:44" s="2" customFormat="1">
      <c r="A196" s="27"/>
      <c r="B196" s="312" t="s">
        <v>226</v>
      </c>
      <c r="C196" s="648"/>
      <c r="D196" s="313"/>
      <c r="E196" s="313"/>
      <c r="F196" s="313" t="s">
        <v>232</v>
      </c>
      <c r="G196" s="314"/>
      <c r="H196" s="315"/>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c r="AR196"/>
    </row>
    <row r="197" spans="1:44" s="2" customFormat="1" ht="30" customHeight="1">
      <c r="A197" s="27"/>
      <c r="B197" s="1030" t="s">
        <v>109</v>
      </c>
      <c r="C197" s="1031" t="s">
        <v>110</v>
      </c>
      <c r="D197" s="1032"/>
      <c r="E197" s="1033"/>
      <c r="F197" s="1030" t="s">
        <v>208</v>
      </c>
      <c r="G197" s="1030" t="s">
        <v>209</v>
      </c>
      <c r="H197" s="1030" t="s">
        <v>210</v>
      </c>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c r="AR197"/>
    </row>
    <row r="198" spans="1:44" s="2" customFormat="1" ht="30" customHeight="1">
      <c r="A198" s="27"/>
      <c r="B198" s="955"/>
      <c r="C198" s="622" t="s">
        <v>121</v>
      </c>
      <c r="D198" s="622" t="s">
        <v>122</v>
      </c>
      <c r="E198" s="622" t="s">
        <v>123</v>
      </c>
      <c r="F198" s="955"/>
      <c r="G198" s="955"/>
      <c r="H198" s="955"/>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c r="AR198"/>
    </row>
    <row r="199" spans="1:44" s="2" customFormat="1" ht="15" customHeight="1">
      <c r="A199" s="27"/>
      <c r="B199" s="651" t="s">
        <v>167</v>
      </c>
      <c r="C199" s="651">
        <v>196</v>
      </c>
      <c r="D199" s="651">
        <v>171</v>
      </c>
      <c r="E199" s="651">
        <v>150</v>
      </c>
      <c r="F199" s="651">
        <v>0.56799999999999995</v>
      </c>
      <c r="G199" s="651">
        <v>0.129</v>
      </c>
      <c r="H199" s="317">
        <v>76</v>
      </c>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c r="AR199"/>
    </row>
    <row r="200" spans="1:44" s="2" customFormat="1">
      <c r="A200" s="27"/>
      <c r="B200" s="651" t="s">
        <v>168</v>
      </c>
      <c r="C200" s="651">
        <v>238</v>
      </c>
      <c r="D200" s="651">
        <v>204</v>
      </c>
      <c r="E200" s="651">
        <v>180</v>
      </c>
      <c r="F200" s="651">
        <v>0.41099999999999998</v>
      </c>
      <c r="G200" s="651">
        <v>0.124</v>
      </c>
      <c r="H200" s="317">
        <v>79</v>
      </c>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c r="AR200"/>
    </row>
    <row r="201" spans="1:44" s="2" customFormat="1">
      <c r="A201" s="27"/>
      <c r="B201" s="651" t="s">
        <v>169</v>
      </c>
      <c r="C201" s="651">
        <v>274</v>
      </c>
      <c r="D201" s="651">
        <v>232</v>
      </c>
      <c r="E201" s="651">
        <v>206</v>
      </c>
      <c r="F201" s="651">
        <v>0.32500000000000001</v>
      </c>
      <c r="G201" s="651">
        <v>0.11899999999999999</v>
      </c>
      <c r="H201" s="317">
        <v>83</v>
      </c>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c r="AR201"/>
    </row>
    <row r="202" spans="1:44" s="2" customFormat="1">
      <c r="A202" s="27"/>
      <c r="B202" s="651" t="s">
        <v>170</v>
      </c>
      <c r="C202" s="651">
        <v>309</v>
      </c>
      <c r="D202" s="651">
        <v>259</v>
      </c>
      <c r="E202" s="651">
        <v>231</v>
      </c>
      <c r="F202" s="651">
        <v>0.26500000000000001</v>
      </c>
      <c r="G202" s="651">
        <v>0.115</v>
      </c>
      <c r="H202" s="317">
        <v>86</v>
      </c>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c r="AR202"/>
    </row>
    <row r="203" spans="1:44" s="2" customFormat="1">
      <c r="A203" s="27"/>
      <c r="B203" s="651" t="s">
        <v>171</v>
      </c>
      <c r="C203" s="651">
        <v>354</v>
      </c>
      <c r="D203" s="651">
        <v>293</v>
      </c>
      <c r="E203" s="651">
        <v>262</v>
      </c>
      <c r="F203" s="651">
        <v>0.21099999999999999</v>
      </c>
      <c r="G203" s="651">
        <v>0.11</v>
      </c>
      <c r="H203" s="317">
        <v>90</v>
      </c>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c r="AR203"/>
    </row>
    <row r="204" spans="1:44" s="2" customFormat="1">
      <c r="A204" s="27"/>
      <c r="B204" s="651" t="s">
        <v>172</v>
      </c>
      <c r="C204" s="651">
        <v>415</v>
      </c>
      <c r="D204" s="651">
        <v>338</v>
      </c>
      <c r="E204" s="651">
        <v>304</v>
      </c>
      <c r="F204" s="651">
        <v>0.16200000000000001</v>
      </c>
      <c r="G204" s="651">
        <v>0.106</v>
      </c>
      <c r="H204" s="317">
        <v>88</v>
      </c>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c r="AR204"/>
    </row>
    <row r="205" spans="1:44" s="2" customFormat="1">
      <c r="A205" s="27"/>
      <c r="B205" s="651" t="s">
        <v>173</v>
      </c>
      <c r="C205" s="651">
        <v>472</v>
      </c>
      <c r="D205" s="651">
        <v>380</v>
      </c>
      <c r="E205" s="651">
        <v>343</v>
      </c>
      <c r="F205" s="651">
        <v>0.13</v>
      </c>
      <c r="G205" s="651">
        <v>0.10299999999999999</v>
      </c>
      <c r="H205" s="317">
        <v>93</v>
      </c>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c r="AR205"/>
    </row>
    <row r="206" spans="1:44" s="2" customFormat="1">
      <c r="A206" s="27"/>
      <c r="B206" s="651" t="s">
        <v>174</v>
      </c>
      <c r="C206" s="651">
        <v>545</v>
      </c>
      <c r="D206" s="651">
        <v>432</v>
      </c>
      <c r="E206" s="651">
        <v>393</v>
      </c>
      <c r="F206" s="651">
        <v>0.10199999999999999</v>
      </c>
      <c r="G206" s="651">
        <v>9.8000000000000004E-2</v>
      </c>
      <c r="H206" s="317">
        <v>100</v>
      </c>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c r="AR206"/>
    </row>
    <row r="207" spans="1:44" s="2" customFormat="1">
      <c r="A207" s="27"/>
      <c r="H207" s="21"/>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c r="AR207"/>
    </row>
    <row r="208" spans="1:44" s="2" customFormat="1">
      <c r="A208" s="27"/>
      <c r="H208" s="21"/>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c r="AR208"/>
    </row>
    <row r="209" spans="1:44" s="2" customFormat="1">
      <c r="A209" s="27"/>
      <c r="H209" s="21"/>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c r="AR209"/>
    </row>
    <row r="210" spans="1:44" s="2" customFormat="1" ht="15.75" thickBot="1">
      <c r="A210" s="28"/>
      <c r="B210" s="29"/>
      <c r="C210" s="29"/>
      <c r="D210" s="29"/>
      <c r="E210" s="29"/>
      <c r="F210" s="29"/>
      <c r="G210" s="29"/>
      <c r="H210" s="30"/>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c r="AR210"/>
    </row>
    <row r="211" spans="1:44" s="2" customFormat="1">
      <c r="A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c r="AR211"/>
    </row>
    <row r="212" spans="1:44" s="2" customFormat="1">
      <c r="A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c r="AR212"/>
    </row>
    <row r="230" spans="11:24">
      <c r="K230" s="2"/>
      <c r="L230" s="2"/>
      <c r="M230" s="2"/>
      <c r="N230" s="2"/>
      <c r="S230" s="2"/>
      <c r="T230" s="2"/>
      <c r="U230" s="2"/>
      <c r="V230" s="2"/>
      <c r="W230" s="2"/>
      <c r="X230" s="2"/>
    </row>
    <row r="231" spans="11:24">
      <c r="K231" s="2"/>
      <c r="L231" s="2"/>
      <c r="M231" s="2"/>
      <c r="N231" s="2"/>
      <c r="S231" s="2"/>
      <c r="T231" s="2"/>
      <c r="U231" s="2"/>
      <c r="V231" s="2"/>
      <c r="W231" s="2"/>
      <c r="X231" s="2"/>
    </row>
    <row r="232" spans="11:24">
      <c r="K232" s="2"/>
      <c r="L232" s="2"/>
      <c r="M232" s="2"/>
      <c r="N232" s="2"/>
      <c r="S232" s="2"/>
      <c r="T232" s="2"/>
      <c r="U232" s="2"/>
      <c r="V232" s="2"/>
      <c r="W232" s="2"/>
      <c r="X232" s="2"/>
    </row>
    <row r="233" spans="11:24" ht="15" customHeight="1">
      <c r="K233" s="2"/>
      <c r="L233" s="2"/>
      <c r="M233" s="2"/>
      <c r="N233" s="2"/>
      <c r="S233" s="2"/>
      <c r="T233" s="2"/>
      <c r="U233" s="2"/>
      <c r="V233" s="2"/>
      <c r="W233" s="2"/>
      <c r="X233" s="2"/>
    </row>
    <row r="234" spans="11:24">
      <c r="K234" s="2"/>
      <c r="L234" s="2"/>
      <c r="M234" s="2"/>
      <c r="N234" s="2"/>
      <c r="S234" s="2"/>
      <c r="T234" s="2"/>
      <c r="U234" s="2"/>
      <c r="V234" s="2"/>
      <c r="W234" s="2"/>
      <c r="X234" s="2"/>
    </row>
    <row r="235" spans="11:24">
      <c r="K235" s="2"/>
      <c r="L235" s="2"/>
      <c r="M235" s="2"/>
      <c r="N235" s="2"/>
      <c r="S235" s="2"/>
      <c r="T235" s="2"/>
      <c r="U235" s="2"/>
      <c r="V235" s="2"/>
      <c r="W235" s="2"/>
      <c r="X235" s="2"/>
    </row>
    <row r="236" spans="11:24">
      <c r="K236" s="2"/>
      <c r="L236" s="2"/>
      <c r="M236" s="2"/>
      <c r="N236" s="2"/>
      <c r="S236" s="2"/>
      <c r="T236" s="2"/>
      <c r="U236" s="2"/>
      <c r="V236" s="2"/>
      <c r="W236" s="2"/>
      <c r="X236" s="2"/>
    </row>
    <row r="237" spans="11:24">
      <c r="K237" s="2"/>
      <c r="L237" s="2"/>
      <c r="M237" s="2"/>
      <c r="N237" s="2"/>
      <c r="S237" s="2"/>
      <c r="T237" s="2"/>
      <c r="U237" s="2"/>
      <c r="V237" s="2"/>
      <c r="W237" s="2"/>
      <c r="X237" s="2"/>
    </row>
    <row r="238" spans="11:24">
      <c r="K238" s="2"/>
      <c r="L238" s="2"/>
      <c r="M238" s="2"/>
      <c r="N238" s="2"/>
      <c r="S238" s="2"/>
      <c r="T238" s="2"/>
      <c r="U238" s="2"/>
      <c r="V238" s="2"/>
      <c r="W238" s="2"/>
      <c r="X238" s="2"/>
    </row>
    <row r="239" spans="11:24">
      <c r="K239" s="2"/>
      <c r="L239" s="2"/>
      <c r="M239" s="2"/>
      <c r="N239" s="2"/>
      <c r="S239" s="2"/>
      <c r="T239" s="2"/>
      <c r="U239" s="2"/>
      <c r="V239" s="2"/>
      <c r="W239" s="2"/>
      <c r="X239" s="2"/>
    </row>
    <row r="240" spans="11:24">
      <c r="K240" s="2"/>
      <c r="L240" s="2"/>
      <c r="M240" s="2"/>
      <c r="N240" s="2"/>
      <c r="S240" s="2"/>
      <c r="T240" s="2"/>
      <c r="U240" s="2"/>
      <c r="V240" s="2"/>
      <c r="W240" s="2"/>
      <c r="X240" s="2"/>
    </row>
    <row r="241" spans="11:24">
      <c r="K241" s="2"/>
      <c r="L241" s="2"/>
      <c r="M241" s="2"/>
      <c r="N241" s="2"/>
      <c r="S241" s="2"/>
      <c r="T241" s="2"/>
      <c r="U241" s="2"/>
      <c r="V241" s="2"/>
      <c r="W241" s="2"/>
      <c r="X241" s="2"/>
    </row>
  </sheetData>
  <mergeCells count="102">
    <mergeCell ref="K7:K8"/>
    <mergeCell ref="L7:M7"/>
    <mergeCell ref="N7:N8"/>
    <mergeCell ref="O7:P7"/>
    <mergeCell ref="Q7:S7"/>
    <mergeCell ref="I9:I10"/>
    <mergeCell ref="B3:F3"/>
    <mergeCell ref="B4:D4"/>
    <mergeCell ref="AN5:AN6"/>
    <mergeCell ref="B7:B8"/>
    <mergeCell ref="C7:E7"/>
    <mergeCell ref="F7:F8"/>
    <mergeCell ref="G7:G8"/>
    <mergeCell ref="H7:H8"/>
    <mergeCell ref="I7:I8"/>
    <mergeCell ref="J7:J8"/>
    <mergeCell ref="AJ9:AJ10"/>
    <mergeCell ref="AL9:AL10"/>
    <mergeCell ref="AN9:AN10"/>
    <mergeCell ref="AP9:AP10"/>
    <mergeCell ref="B17:B18"/>
    <mergeCell ref="C17:E17"/>
    <mergeCell ref="F17:F18"/>
    <mergeCell ref="G17:G18"/>
    <mergeCell ref="H17:H18"/>
    <mergeCell ref="O74:P74"/>
    <mergeCell ref="R74:U74"/>
    <mergeCell ref="B80:B81"/>
    <mergeCell ref="C80:E80"/>
    <mergeCell ref="F80:F81"/>
    <mergeCell ref="G80:G81"/>
    <mergeCell ref="H80:H81"/>
    <mergeCell ref="B38:B39"/>
    <mergeCell ref="C38:E38"/>
    <mergeCell ref="F38:F39"/>
    <mergeCell ref="G38:G39"/>
    <mergeCell ref="H38:H39"/>
    <mergeCell ref="B59:B60"/>
    <mergeCell ref="C59:E59"/>
    <mergeCell ref="F59:F60"/>
    <mergeCell ref="G59:G60"/>
    <mergeCell ref="H59:H60"/>
    <mergeCell ref="B95:F95"/>
    <mergeCell ref="B99:B100"/>
    <mergeCell ref="C99:E99"/>
    <mergeCell ref="F99:F100"/>
    <mergeCell ref="G99:G100"/>
    <mergeCell ref="H99:H100"/>
    <mergeCell ref="K74:K75"/>
    <mergeCell ref="L74:M74"/>
    <mergeCell ref="N74:N75"/>
    <mergeCell ref="B135:F135"/>
    <mergeCell ref="B139:B140"/>
    <mergeCell ref="C139:E139"/>
    <mergeCell ref="F139:F140"/>
    <mergeCell ref="G139:G140"/>
    <mergeCell ref="H139:H140"/>
    <mergeCell ref="Q99:S99"/>
    <mergeCell ref="I101:I102"/>
    <mergeCell ref="B117:B118"/>
    <mergeCell ref="C117:E117"/>
    <mergeCell ref="F117:F118"/>
    <mergeCell ref="G117:G118"/>
    <mergeCell ref="H117:H118"/>
    <mergeCell ref="I99:I100"/>
    <mergeCell ref="J99:J100"/>
    <mergeCell ref="K99:K100"/>
    <mergeCell ref="L99:M99"/>
    <mergeCell ref="N99:N100"/>
    <mergeCell ref="O99:P99"/>
    <mergeCell ref="B175:F175"/>
    <mergeCell ref="B179:B180"/>
    <mergeCell ref="C179:E179"/>
    <mergeCell ref="F179:F180"/>
    <mergeCell ref="G179:G180"/>
    <mergeCell ref="H179:H180"/>
    <mergeCell ref="Q139:S139"/>
    <mergeCell ref="I141:I142"/>
    <mergeCell ref="B157:B158"/>
    <mergeCell ref="C157:E157"/>
    <mergeCell ref="F157:F158"/>
    <mergeCell ref="G157:G158"/>
    <mergeCell ref="H157:H158"/>
    <mergeCell ref="I139:I140"/>
    <mergeCell ref="J139:J140"/>
    <mergeCell ref="K139:K140"/>
    <mergeCell ref="L139:M139"/>
    <mergeCell ref="N139:N140"/>
    <mergeCell ref="O139:P139"/>
    <mergeCell ref="Q179:S179"/>
    <mergeCell ref="L179:M179"/>
    <mergeCell ref="N179:N180"/>
    <mergeCell ref="O179:P179"/>
    <mergeCell ref="I181:I182"/>
    <mergeCell ref="B197:B198"/>
    <mergeCell ref="C197:E197"/>
    <mergeCell ref="F197:F198"/>
    <mergeCell ref="G197:G198"/>
    <mergeCell ref="H197:H198"/>
    <mergeCell ref="I179:I180"/>
    <mergeCell ref="J179:J180"/>
    <mergeCell ref="K179:K180"/>
  </mergeCells>
  <pageMargins left="0.7" right="0.7" top="0.75" bottom="0.75" header="0.3" footer="0.3"/>
  <pageSetup paperSize="9" scale="37"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FBED-1018-43F5-BD2D-C20B6354CD3D}">
  <sheetPr codeName="Sheet11"/>
  <dimension ref="A1:AP201"/>
  <sheetViews>
    <sheetView view="pageBreakPreview" topLeftCell="A13" zoomScale="70" zoomScaleNormal="25" zoomScaleSheetLayoutView="70" workbookViewId="0">
      <selection activeCell="M35" sqref="M35"/>
    </sheetView>
  </sheetViews>
  <sheetFormatPr defaultRowHeight="15"/>
  <cols>
    <col min="1" max="1" width="9.140625" style="3"/>
    <col min="2" max="2" width="13.7109375" style="2" customWidth="1"/>
    <col min="3" max="3" width="14.28515625" style="2" customWidth="1"/>
    <col min="4" max="4" width="12.42578125" style="2" customWidth="1"/>
    <col min="5" max="5" width="11.28515625" style="2" customWidth="1"/>
    <col min="6" max="6" width="15" style="2" customWidth="1"/>
    <col min="7" max="7" width="15.7109375" style="2" customWidth="1"/>
    <col min="8" max="8" width="13" style="2" customWidth="1"/>
    <col min="9" max="9" width="9.28515625" style="2" customWidth="1"/>
    <col min="10" max="10" width="11.85546875" style="2" customWidth="1"/>
    <col min="11" max="11" width="12.7109375" style="3" customWidth="1"/>
    <col min="12" max="12" width="19.28515625" style="3" customWidth="1"/>
    <col min="13" max="13" width="13.5703125" style="3" customWidth="1"/>
    <col min="14" max="14" width="11.140625" style="3" customWidth="1"/>
    <col min="15" max="16" width="10.5703125" style="2" customWidth="1"/>
    <col min="17" max="18" width="10.28515625" style="2" customWidth="1"/>
    <col min="19" max="19" width="10.28515625" style="3" customWidth="1"/>
    <col min="20" max="20" width="4" style="3" customWidth="1"/>
    <col min="21" max="22" width="21.7109375" style="3" hidden="1" customWidth="1"/>
    <col min="23" max="23" width="4.5703125" style="3" hidden="1" customWidth="1"/>
    <col min="24" max="24" width="21.7109375" style="3" hidden="1" customWidth="1"/>
    <col min="25" max="25" width="16" style="3" hidden="1" customWidth="1"/>
    <col min="26" max="28" width="16" style="3" customWidth="1"/>
    <col min="29" max="29" width="13.28515625" style="3" customWidth="1"/>
    <col min="30" max="31" width="16.7109375" style="3" customWidth="1"/>
    <col min="32" max="32" width="5.28515625" style="3" customWidth="1"/>
    <col min="33" max="35" width="4.85546875" style="3" customWidth="1"/>
    <col min="36" max="36" width="15.7109375" style="3" customWidth="1"/>
    <col min="37" max="37" width="9.140625" style="3" customWidth="1"/>
    <col min="38" max="38" width="16.28515625" style="3" customWidth="1"/>
    <col min="39" max="39" width="9.140625" style="3" customWidth="1"/>
    <col min="40" max="40" width="35.85546875" style="3" customWidth="1"/>
    <col min="41" max="41" width="14.85546875" style="3" customWidth="1"/>
    <col min="42" max="42" width="24.28515625" style="3" bestFit="1" customWidth="1"/>
    <col min="43" max="43" width="9.42578125" style="3" bestFit="1" customWidth="1"/>
    <col min="44" max="44" width="9.140625" style="3" customWidth="1"/>
    <col min="45" max="16384" width="9.140625" style="3"/>
  </cols>
  <sheetData>
    <row r="1" spans="1:42" s="5" customFormat="1">
      <c r="B1" s="4"/>
      <c r="C1" s="4"/>
      <c r="D1" s="4"/>
      <c r="E1" s="4"/>
      <c r="F1" s="4"/>
      <c r="G1" s="4"/>
      <c r="H1" s="4"/>
      <c r="I1" s="4"/>
      <c r="J1" s="4"/>
      <c r="O1" s="4"/>
      <c r="P1" s="4"/>
      <c r="Q1" s="4"/>
      <c r="R1" s="4"/>
    </row>
    <row r="2" spans="1:42" s="5" customFormat="1" ht="15.75" thickBot="1">
      <c r="B2" s="4"/>
      <c r="C2" s="4"/>
      <c r="D2" s="4"/>
      <c r="E2" s="4"/>
      <c r="F2" s="4"/>
      <c r="G2" s="4"/>
      <c r="H2" s="4"/>
      <c r="I2" s="4"/>
      <c r="J2" s="4"/>
      <c r="O2" s="4"/>
      <c r="P2" s="4"/>
      <c r="Q2" s="4"/>
      <c r="R2" s="4"/>
    </row>
    <row r="3" spans="1:42" ht="39.75" customHeight="1">
      <c r="A3" s="14"/>
      <c r="B3" s="986" t="s">
        <v>105</v>
      </c>
      <c r="C3" s="987"/>
      <c r="D3" s="987"/>
      <c r="E3" s="987"/>
      <c r="F3" s="988"/>
      <c r="G3" s="15"/>
      <c r="H3" s="16"/>
      <c r="I3" s="4"/>
      <c r="J3" s="621" t="s">
        <v>106</v>
      </c>
      <c r="K3" s="621"/>
      <c r="L3" s="5"/>
      <c r="M3" s="5"/>
      <c r="N3" s="5"/>
      <c r="O3" s="5"/>
      <c r="P3" s="5"/>
      <c r="Q3" s="5"/>
      <c r="R3" s="5"/>
      <c r="S3" s="5"/>
    </row>
    <row r="4" spans="1:42" ht="20.100000000000001" customHeight="1">
      <c r="A4" s="17"/>
      <c r="B4" s="995"/>
      <c r="C4" s="995"/>
      <c r="D4" s="995"/>
      <c r="E4" s="4"/>
      <c r="F4" s="4"/>
      <c r="G4" s="4"/>
      <c r="H4" s="18"/>
      <c r="I4" s="4"/>
      <c r="J4" s="5"/>
      <c r="K4" s="5"/>
      <c r="L4" s="5"/>
      <c r="M4" s="5"/>
      <c r="N4" s="5"/>
      <c r="O4" s="5"/>
      <c r="P4" s="5"/>
      <c r="Q4" s="5"/>
      <c r="R4" s="5"/>
      <c r="S4" s="5"/>
    </row>
    <row r="5" spans="1:42" ht="27.75" customHeight="1">
      <c r="A5" s="17"/>
      <c r="B5" s="43" t="s">
        <v>107</v>
      </c>
      <c r="C5" s="44"/>
      <c r="D5" s="44"/>
      <c r="E5" s="44"/>
      <c r="F5" s="44"/>
      <c r="G5" s="44" t="s">
        <v>108</v>
      </c>
      <c r="H5" s="19"/>
      <c r="I5" s="6"/>
      <c r="J5" s="5"/>
      <c r="K5" s="5"/>
      <c r="L5" s="5"/>
      <c r="M5" s="5"/>
      <c r="N5" s="5"/>
      <c r="O5" s="5"/>
      <c r="P5" s="5"/>
      <c r="Q5" s="5"/>
      <c r="R5" s="5"/>
      <c r="S5" s="5"/>
      <c r="AG5" s="57"/>
      <c r="AN5" s="959"/>
    </row>
    <row r="6" spans="1:42" ht="20.100000000000001" customHeight="1">
      <c r="A6" s="17"/>
      <c r="B6" s="4"/>
      <c r="C6" s="6"/>
      <c r="D6" s="4"/>
      <c r="E6" s="4"/>
      <c r="F6" s="4"/>
      <c r="G6" s="4"/>
      <c r="H6" s="18"/>
      <c r="I6" s="4"/>
      <c r="J6" s="5"/>
      <c r="K6" s="5"/>
      <c r="L6" s="5"/>
      <c r="M6" s="5"/>
      <c r="N6" s="5"/>
      <c r="O6" s="5"/>
      <c r="P6" s="5"/>
      <c r="Q6" s="5"/>
      <c r="R6" s="5"/>
      <c r="S6" s="5"/>
      <c r="AG6" s="57"/>
      <c r="AN6" s="959"/>
    </row>
    <row r="7" spans="1:42" ht="96.75" customHeight="1">
      <c r="A7" s="17"/>
      <c r="B7" s="1036" t="s">
        <v>109</v>
      </c>
      <c r="C7" s="1036" t="s">
        <v>110</v>
      </c>
      <c r="D7" s="1036"/>
      <c r="E7" s="1036"/>
      <c r="F7" s="1042" t="s">
        <v>111</v>
      </c>
      <c r="G7" s="1036" t="s">
        <v>112</v>
      </c>
      <c r="H7" s="1039" t="s">
        <v>113</v>
      </c>
      <c r="I7" s="1043" t="s">
        <v>114</v>
      </c>
      <c r="J7" s="1034" t="s">
        <v>115</v>
      </c>
      <c r="K7" s="1036" t="s">
        <v>952</v>
      </c>
      <c r="L7" s="1036" t="s">
        <v>953</v>
      </c>
      <c r="M7" s="1036"/>
      <c r="N7" s="1036" t="s">
        <v>118</v>
      </c>
      <c r="O7" s="1036" t="s">
        <v>119</v>
      </c>
      <c r="P7" s="1036"/>
      <c r="Q7" s="1031" t="s">
        <v>120</v>
      </c>
      <c r="R7" s="1032"/>
      <c r="S7" s="1033"/>
      <c r="AG7" s="57"/>
    </row>
    <row r="8" spans="1:42" ht="75.75" customHeight="1">
      <c r="A8" s="17"/>
      <c r="B8" s="1036"/>
      <c r="C8" s="622" t="s">
        <v>121</v>
      </c>
      <c r="D8" s="622" t="s">
        <v>122</v>
      </c>
      <c r="E8" s="622" t="s">
        <v>123</v>
      </c>
      <c r="F8" s="955"/>
      <c r="G8" s="1036"/>
      <c r="H8" s="1039"/>
      <c r="I8" s="975"/>
      <c r="J8" s="1044"/>
      <c r="K8" s="1042"/>
      <c r="L8" s="659" t="s">
        <v>124</v>
      </c>
      <c r="M8" s="659" t="s">
        <v>125</v>
      </c>
      <c r="N8" s="1042"/>
      <c r="O8" s="659" t="s">
        <v>126</v>
      </c>
      <c r="P8" s="659" t="s">
        <v>127</v>
      </c>
      <c r="Q8" s="659" t="s">
        <v>128</v>
      </c>
      <c r="R8" s="659" t="s">
        <v>126</v>
      </c>
      <c r="S8" s="659" t="s">
        <v>127</v>
      </c>
      <c r="AG8" s="57"/>
    </row>
    <row r="9" spans="1:42" ht="29.25" customHeight="1">
      <c r="A9" s="17"/>
      <c r="B9" s="651" t="s">
        <v>129</v>
      </c>
      <c r="C9" s="660">
        <v>479</v>
      </c>
      <c r="D9" s="660">
        <v>370</v>
      </c>
      <c r="E9" s="660">
        <v>315</v>
      </c>
      <c r="F9" s="660">
        <v>0.127</v>
      </c>
      <c r="G9" s="660">
        <v>8.7499999999999994E-2</v>
      </c>
      <c r="H9" s="625">
        <v>27</v>
      </c>
      <c r="I9" s="1045" t="s">
        <v>130</v>
      </c>
      <c r="J9" s="626" t="s">
        <v>131</v>
      </c>
      <c r="K9" s="627">
        <v>1</v>
      </c>
      <c r="L9" s="628">
        <v>0.9</v>
      </c>
      <c r="M9" s="627">
        <v>0.66</v>
      </c>
      <c r="N9" s="627" t="s">
        <v>132</v>
      </c>
      <c r="O9" s="627" t="s">
        <v>132</v>
      </c>
      <c r="P9" s="627" t="s">
        <v>132</v>
      </c>
      <c r="Q9" s="629"/>
      <c r="R9" s="629"/>
      <c r="S9" s="629"/>
      <c r="AJ9" s="959"/>
      <c r="AL9" s="959"/>
      <c r="AN9" s="959"/>
      <c r="AP9" s="959"/>
    </row>
    <row r="10" spans="1:42" ht="29.25" customHeight="1">
      <c r="A10" s="17"/>
      <c r="B10" s="651" t="s">
        <v>133</v>
      </c>
      <c r="C10" s="660">
        <v>569</v>
      </c>
      <c r="D10" s="660">
        <v>424</v>
      </c>
      <c r="E10" s="660">
        <v>350</v>
      </c>
      <c r="F10" s="660">
        <v>9.6500000000000002E-2</v>
      </c>
      <c r="G10" s="660">
        <v>8.6599999999999996E-2</v>
      </c>
      <c r="H10" s="625">
        <v>29</v>
      </c>
      <c r="I10" s="985"/>
      <c r="J10" s="661" t="s">
        <v>123</v>
      </c>
      <c r="K10" s="662" t="s">
        <v>132</v>
      </c>
      <c r="L10" s="663">
        <v>0.74</v>
      </c>
      <c r="M10" s="662">
        <v>0.71</v>
      </c>
      <c r="N10" s="662">
        <v>0.96</v>
      </c>
      <c r="O10" s="662">
        <v>0.98</v>
      </c>
      <c r="P10" s="662">
        <v>0.98</v>
      </c>
      <c r="Q10" s="633">
        <v>1.5</v>
      </c>
      <c r="R10" s="634">
        <v>1.0900000000000001</v>
      </c>
      <c r="S10" s="318">
        <v>1.05</v>
      </c>
      <c r="AJ10" s="959"/>
      <c r="AL10" s="959"/>
      <c r="AN10" s="959"/>
      <c r="AP10" s="959"/>
    </row>
    <row r="11" spans="1:42" ht="38.25" customHeight="1">
      <c r="A11" s="17"/>
      <c r="B11" s="651" t="s">
        <v>134</v>
      </c>
      <c r="C11" s="660">
        <v>659</v>
      </c>
      <c r="D11" s="660">
        <v>470</v>
      </c>
      <c r="E11" s="660">
        <v>389</v>
      </c>
      <c r="F11" s="660">
        <v>7.6899999999999996E-2</v>
      </c>
      <c r="G11" s="660">
        <v>8.5699999999999998E-2</v>
      </c>
      <c r="H11" s="625">
        <v>32</v>
      </c>
      <c r="I11" s="4"/>
      <c r="J11" s="635" t="s">
        <v>122</v>
      </c>
      <c r="K11" s="627" t="s">
        <v>132</v>
      </c>
      <c r="L11" s="627">
        <v>0.61</v>
      </c>
      <c r="M11" s="627">
        <v>0.54</v>
      </c>
      <c r="N11" s="627">
        <v>0.96</v>
      </c>
      <c r="O11" s="627">
        <v>0.98</v>
      </c>
      <c r="P11" s="627">
        <v>0.98</v>
      </c>
      <c r="Q11" s="633">
        <v>2.5</v>
      </c>
      <c r="R11" s="634">
        <v>1.0900000000000001</v>
      </c>
      <c r="S11" s="318">
        <v>1.05</v>
      </c>
      <c r="AJ11" s="1"/>
      <c r="AL11" s="2"/>
      <c r="AN11" s="1"/>
      <c r="AP11" s="1"/>
    </row>
    <row r="12" spans="1:42" ht="38.25" customHeight="1">
      <c r="A12" s="17"/>
      <c r="B12" s="651" t="s">
        <v>135</v>
      </c>
      <c r="C12" s="660">
        <v>769</v>
      </c>
      <c r="D12" s="660">
        <v>556</v>
      </c>
      <c r="E12" s="660">
        <v>466</v>
      </c>
      <c r="F12" s="660">
        <v>6.0199999999999997E-2</v>
      </c>
      <c r="G12" s="660">
        <v>8.5500000000000007E-2</v>
      </c>
      <c r="H12" s="625">
        <v>36</v>
      </c>
      <c r="I12" s="4"/>
      <c r="J12" s="664" t="s">
        <v>136</v>
      </c>
      <c r="K12" s="627">
        <v>1</v>
      </c>
      <c r="L12" s="637">
        <v>0.81</v>
      </c>
      <c r="M12" s="637">
        <v>0.78</v>
      </c>
      <c r="N12" s="627" t="s">
        <v>132</v>
      </c>
      <c r="O12" s="627" t="s">
        <v>132</v>
      </c>
      <c r="P12" s="627" t="s">
        <v>132</v>
      </c>
      <c r="Q12" s="633">
        <v>4</v>
      </c>
      <c r="R12" s="634">
        <v>1.0900000000000001</v>
      </c>
      <c r="S12" s="318">
        <v>1.05</v>
      </c>
      <c r="AJ12" s="1"/>
      <c r="AL12" s="2"/>
      <c r="AN12" s="1"/>
      <c r="AP12" s="1"/>
    </row>
    <row r="13" spans="1:42" ht="49.5" customHeight="1">
      <c r="A13" s="17"/>
      <c r="B13" s="651" t="s">
        <v>137</v>
      </c>
      <c r="C13" s="660">
        <v>877</v>
      </c>
      <c r="D13" s="660">
        <v>620</v>
      </c>
      <c r="E13" s="660">
        <v>518</v>
      </c>
      <c r="F13" s="660">
        <v>4.6800000000000001E-2</v>
      </c>
      <c r="G13" s="660">
        <v>8.5099999999999995E-2</v>
      </c>
      <c r="H13" s="625">
        <v>40</v>
      </c>
      <c r="I13" s="4"/>
      <c r="Q13" s="633">
        <v>6</v>
      </c>
      <c r="R13" s="634">
        <v>1.0900000000000001</v>
      </c>
      <c r="S13" s="318">
        <v>1.05</v>
      </c>
      <c r="AJ13" s="1"/>
      <c r="AL13" s="1"/>
      <c r="AN13" s="1"/>
      <c r="AP13" s="1"/>
    </row>
    <row r="14" spans="1:42" ht="49.5" customHeight="1">
      <c r="A14" s="17"/>
      <c r="B14" s="651" t="s">
        <v>138</v>
      </c>
      <c r="C14" s="660">
        <v>1013</v>
      </c>
      <c r="D14" s="660">
        <v>695</v>
      </c>
      <c r="E14" s="660">
        <v>555</v>
      </c>
      <c r="F14" s="660">
        <v>3.6200000000000003E-2</v>
      </c>
      <c r="G14" s="660">
        <v>8.43E-2</v>
      </c>
      <c r="H14" s="625">
        <v>44</v>
      </c>
      <c r="Q14" s="633">
        <v>10</v>
      </c>
      <c r="R14" s="634">
        <v>1.0900000000000001</v>
      </c>
      <c r="S14" s="318">
        <v>1.06</v>
      </c>
      <c r="AJ14" s="1"/>
      <c r="AL14" s="1"/>
      <c r="AN14" s="1"/>
      <c r="AP14" s="1"/>
    </row>
    <row r="15" spans="1:42" ht="19.5" customHeight="1">
      <c r="A15" s="17"/>
      <c r="B15" s="638"/>
      <c r="C15" s="638"/>
      <c r="D15" s="638"/>
      <c r="E15" s="638"/>
      <c r="F15" s="638"/>
      <c r="G15" s="638"/>
      <c r="H15" s="639"/>
      <c r="Q15" s="633">
        <v>16</v>
      </c>
      <c r="R15" s="634">
        <v>1.0900000000000001</v>
      </c>
      <c r="S15" s="318">
        <v>1.06</v>
      </c>
      <c r="AJ15" s="1"/>
      <c r="AL15" s="2"/>
      <c r="AN15" s="1"/>
      <c r="AP15" s="1"/>
    </row>
    <row r="16" spans="1:42" ht="19.5" customHeight="1">
      <c r="A16" s="17"/>
      <c r="B16" s="43" t="s">
        <v>139</v>
      </c>
      <c r="C16" s="44"/>
      <c r="D16" s="44"/>
      <c r="E16" s="44"/>
      <c r="F16" s="44"/>
      <c r="G16" s="44" t="s">
        <v>108</v>
      </c>
      <c r="H16" s="639"/>
      <c r="Q16" s="633">
        <v>25</v>
      </c>
      <c r="R16" s="634">
        <v>1.0900000000000001</v>
      </c>
      <c r="S16" s="318">
        <v>1.08</v>
      </c>
      <c r="AJ16" s="1"/>
      <c r="AL16" s="2"/>
      <c r="AN16" s="1"/>
      <c r="AP16" s="1"/>
    </row>
    <row r="17" spans="1:42" ht="30.75" customHeight="1">
      <c r="A17" s="17"/>
      <c r="B17" s="1036" t="s">
        <v>109</v>
      </c>
      <c r="C17" s="1036" t="s">
        <v>110</v>
      </c>
      <c r="D17" s="1036"/>
      <c r="E17" s="1036"/>
      <c r="F17" s="1042" t="s">
        <v>111</v>
      </c>
      <c r="G17" s="1036" t="s">
        <v>112</v>
      </c>
      <c r="H17" s="1039" t="s">
        <v>113</v>
      </c>
      <c r="K17" s="2"/>
      <c r="Q17" s="633">
        <v>35</v>
      </c>
      <c r="R17" s="634">
        <v>1.0900000000000001</v>
      </c>
      <c r="S17" s="318">
        <v>1.08</v>
      </c>
      <c r="AJ17" s="1"/>
      <c r="AL17" s="2"/>
      <c r="AN17" s="1"/>
      <c r="AP17" s="1"/>
    </row>
    <row r="18" spans="1:42" ht="30" customHeight="1">
      <c r="A18" s="17"/>
      <c r="B18" s="1036"/>
      <c r="C18" s="622" t="s">
        <v>121</v>
      </c>
      <c r="D18" s="622" t="s">
        <v>122</v>
      </c>
      <c r="E18" s="622" t="s">
        <v>123</v>
      </c>
      <c r="F18" s="955"/>
      <c r="G18" s="1036"/>
      <c r="H18" s="1039"/>
      <c r="I18" s="4"/>
      <c r="K18" s="2"/>
      <c r="Q18" s="633">
        <v>50</v>
      </c>
      <c r="R18" s="634">
        <v>1.0900000000000001</v>
      </c>
      <c r="S18" s="318">
        <v>1.08</v>
      </c>
      <c r="AJ18" s="1"/>
      <c r="AL18" s="2"/>
      <c r="AN18" s="1"/>
      <c r="AP18" s="1"/>
    </row>
    <row r="19" spans="1:42" ht="19.5" customHeight="1">
      <c r="A19" s="17"/>
      <c r="B19" s="633" t="s">
        <v>140</v>
      </c>
      <c r="C19" s="633">
        <v>29</v>
      </c>
      <c r="D19" s="633">
        <v>33</v>
      </c>
      <c r="E19" s="633">
        <v>29</v>
      </c>
      <c r="F19" s="633">
        <v>15.5</v>
      </c>
      <c r="G19" s="633">
        <v>0.108</v>
      </c>
      <c r="H19" s="641">
        <v>12</v>
      </c>
      <c r="I19" s="7"/>
      <c r="K19" s="2"/>
      <c r="Q19" s="633">
        <v>70</v>
      </c>
      <c r="R19" s="642">
        <v>1.1000000000000001</v>
      </c>
      <c r="S19" s="318">
        <v>1.08</v>
      </c>
      <c r="AJ19" s="1"/>
      <c r="AL19" s="2"/>
      <c r="AN19" s="1"/>
      <c r="AP19" s="1"/>
    </row>
    <row r="20" spans="1:42" ht="19.5" customHeight="1">
      <c r="A20" s="17"/>
      <c r="B20" s="651" t="s">
        <v>141</v>
      </c>
      <c r="C20" s="651">
        <v>39</v>
      </c>
      <c r="D20" s="651">
        <v>43</v>
      </c>
      <c r="E20" s="651">
        <v>37</v>
      </c>
      <c r="F20" s="651">
        <v>9.48</v>
      </c>
      <c r="G20" s="651">
        <v>0.1007</v>
      </c>
      <c r="H20" s="643">
        <v>13</v>
      </c>
      <c r="I20" s="7"/>
      <c r="K20" s="2"/>
      <c r="Q20" s="633">
        <v>95</v>
      </c>
      <c r="R20" s="642">
        <v>1.1000000000000001</v>
      </c>
      <c r="S20" s="318">
        <v>1.08</v>
      </c>
      <c r="AJ20" s="1"/>
      <c r="AN20" s="1"/>
      <c r="AP20" s="1"/>
    </row>
    <row r="21" spans="1:42" ht="19.5" customHeight="1">
      <c r="A21" s="17"/>
      <c r="B21" s="651" t="s">
        <v>142</v>
      </c>
      <c r="C21" s="651">
        <v>48</v>
      </c>
      <c r="D21" s="651">
        <v>54</v>
      </c>
      <c r="E21" s="651">
        <v>46</v>
      </c>
      <c r="F21" s="651">
        <v>5.9</v>
      </c>
      <c r="G21" s="651">
        <v>9.4700000000000006E-2</v>
      </c>
      <c r="H21" s="643">
        <v>14</v>
      </c>
      <c r="I21" s="7"/>
      <c r="K21" s="2"/>
      <c r="O21" s="3"/>
      <c r="Q21" s="633">
        <v>120</v>
      </c>
      <c r="R21" s="642">
        <v>1.1000000000000001</v>
      </c>
      <c r="S21" s="318">
        <v>1.08</v>
      </c>
      <c r="AJ21" s="1"/>
      <c r="AN21" s="1"/>
      <c r="AP21" s="1"/>
    </row>
    <row r="22" spans="1:42" ht="19.5" customHeight="1">
      <c r="A22" s="17"/>
      <c r="B22" s="651" t="s">
        <v>143</v>
      </c>
      <c r="C22" s="651">
        <v>59</v>
      </c>
      <c r="D22" s="651">
        <v>66</v>
      </c>
      <c r="E22" s="651">
        <v>58</v>
      </c>
      <c r="F22" s="651">
        <v>3.94</v>
      </c>
      <c r="G22" s="651">
        <v>9.0200000000000002E-2</v>
      </c>
      <c r="H22" s="643">
        <v>15</v>
      </c>
      <c r="I22" s="7"/>
      <c r="O22" s="3"/>
      <c r="Q22" s="633">
        <v>150</v>
      </c>
      <c r="R22" s="642">
        <v>1.1000000000000001</v>
      </c>
      <c r="S22" s="318">
        <v>1.0900000000000001</v>
      </c>
      <c r="AJ22" s="1"/>
      <c r="AN22" s="1"/>
      <c r="AP22" s="1"/>
    </row>
    <row r="23" spans="1:42" ht="19.5" customHeight="1">
      <c r="A23" s="17"/>
      <c r="B23" s="651" t="s">
        <v>144</v>
      </c>
      <c r="C23" s="660">
        <v>82</v>
      </c>
      <c r="D23" s="660">
        <v>90</v>
      </c>
      <c r="E23" s="660">
        <v>75</v>
      </c>
      <c r="F23" s="660">
        <v>2.34</v>
      </c>
      <c r="G23" s="660">
        <v>8.5199999999999998E-2</v>
      </c>
      <c r="H23" s="643">
        <v>17</v>
      </c>
      <c r="I23" s="7"/>
      <c r="O23" s="3"/>
      <c r="Q23" s="633">
        <v>185</v>
      </c>
      <c r="R23" s="642">
        <v>1.1000000000000001</v>
      </c>
      <c r="S23" s="318">
        <v>1.0900000000000001</v>
      </c>
      <c r="AJ23" s="1"/>
      <c r="AN23" s="1"/>
      <c r="AP23" s="1"/>
    </row>
    <row r="24" spans="1:42" ht="19.5" customHeight="1">
      <c r="A24" s="17"/>
      <c r="B24" s="651" t="s">
        <v>145</v>
      </c>
      <c r="C24" s="660">
        <v>113</v>
      </c>
      <c r="D24" s="660">
        <v>114</v>
      </c>
      <c r="E24" s="660">
        <v>95</v>
      </c>
      <c r="F24" s="660">
        <v>1.47</v>
      </c>
      <c r="G24" s="660">
        <v>8.1500000000000003E-2</v>
      </c>
      <c r="H24" s="643">
        <v>18</v>
      </c>
      <c r="I24" s="7"/>
      <c r="Q24" s="633">
        <v>240</v>
      </c>
      <c r="R24" s="642">
        <v>1.1000000000000001</v>
      </c>
      <c r="S24" s="318">
        <v>1.0900000000000001</v>
      </c>
      <c r="AJ24" s="1"/>
      <c r="AN24" s="1"/>
      <c r="AP24" s="1"/>
    </row>
    <row r="25" spans="1:42" ht="19.5" customHeight="1">
      <c r="A25" s="17"/>
      <c r="B25" s="651" t="s">
        <v>146</v>
      </c>
      <c r="C25" s="660">
        <v>148</v>
      </c>
      <c r="D25" s="660">
        <v>147</v>
      </c>
      <c r="E25" s="660">
        <v>124</v>
      </c>
      <c r="F25" s="660">
        <v>0.93</v>
      </c>
      <c r="G25" s="660">
        <v>8.1000000000000003E-2</v>
      </c>
      <c r="H25" s="643">
        <v>21</v>
      </c>
      <c r="I25" s="7"/>
      <c r="Q25" s="633">
        <v>300</v>
      </c>
      <c r="R25" s="642">
        <v>1.1000000000000001</v>
      </c>
      <c r="S25" s="318">
        <v>1.0900000000000001</v>
      </c>
      <c r="AJ25" s="1"/>
      <c r="AN25" s="1"/>
      <c r="AP25" s="1"/>
    </row>
    <row r="26" spans="1:42" ht="19.5" customHeight="1">
      <c r="A26" s="17"/>
      <c r="B26" s="651" t="s">
        <v>147</v>
      </c>
      <c r="C26" s="660">
        <v>186</v>
      </c>
      <c r="D26" s="660">
        <v>177</v>
      </c>
      <c r="E26" s="660">
        <v>152</v>
      </c>
      <c r="F26" s="660">
        <v>0.67100000000000004</v>
      </c>
      <c r="G26" s="660">
        <v>7.9399999999999998E-2</v>
      </c>
      <c r="H26" s="643">
        <v>23</v>
      </c>
      <c r="I26" s="7"/>
      <c r="Q26" s="633">
        <v>400</v>
      </c>
      <c r="R26" s="634">
        <v>1.1100000000000001</v>
      </c>
      <c r="S26" s="644">
        <v>1.1000000000000001</v>
      </c>
      <c r="AJ26" s="1"/>
      <c r="AN26" s="1"/>
      <c r="AP26" s="1"/>
    </row>
    <row r="27" spans="1:42" ht="19.5" customHeight="1">
      <c r="A27" s="17"/>
      <c r="B27" s="651" t="s">
        <v>148</v>
      </c>
      <c r="C27" s="660">
        <v>221</v>
      </c>
      <c r="D27" s="660">
        <v>210</v>
      </c>
      <c r="E27" s="660">
        <v>185</v>
      </c>
      <c r="F27" s="660">
        <v>0.495</v>
      </c>
      <c r="G27" s="660">
        <v>7.9200000000000007E-2</v>
      </c>
      <c r="H27" s="643">
        <v>25</v>
      </c>
      <c r="I27" s="7"/>
      <c r="Q27" s="633">
        <v>500</v>
      </c>
      <c r="R27" s="634">
        <v>1.1100000000000001</v>
      </c>
      <c r="S27" s="644">
        <v>1.1000000000000001</v>
      </c>
      <c r="AJ27" s="1"/>
      <c r="AN27" s="1"/>
      <c r="AP27" s="1"/>
    </row>
    <row r="28" spans="1:42" ht="19.5" customHeight="1">
      <c r="A28" s="17"/>
      <c r="B28" s="651" t="s">
        <v>149</v>
      </c>
      <c r="C28" s="660">
        <v>278</v>
      </c>
      <c r="D28" s="660">
        <v>260</v>
      </c>
      <c r="E28" s="660">
        <v>228</v>
      </c>
      <c r="F28" s="660">
        <v>0.31900000000000001</v>
      </c>
      <c r="G28" s="660">
        <v>7.5200000000000003E-2</v>
      </c>
      <c r="H28" s="643">
        <v>28</v>
      </c>
      <c r="I28" s="7"/>
      <c r="Q28" s="633">
        <v>630</v>
      </c>
      <c r="R28" s="634">
        <v>1.1100000000000001</v>
      </c>
      <c r="S28" s="644">
        <v>1.1000000000000001</v>
      </c>
      <c r="AJ28" s="1"/>
      <c r="AN28" s="1"/>
      <c r="AP28" s="1"/>
    </row>
    <row r="29" spans="1:42" ht="19.5" customHeight="1">
      <c r="A29" s="17"/>
      <c r="B29" s="651" t="s">
        <v>150</v>
      </c>
      <c r="C29" s="660">
        <v>338</v>
      </c>
      <c r="D29" s="660">
        <v>309</v>
      </c>
      <c r="E29" s="660">
        <v>277</v>
      </c>
      <c r="F29" s="660">
        <v>0.247</v>
      </c>
      <c r="G29" s="660">
        <v>7.3400000000000007E-2</v>
      </c>
      <c r="H29" s="643">
        <v>32</v>
      </c>
      <c r="I29" s="7"/>
      <c r="AJ29" s="1"/>
      <c r="AN29" s="1"/>
      <c r="AP29" s="1"/>
    </row>
    <row r="30" spans="1:42" ht="19.5" customHeight="1">
      <c r="A30" s="17"/>
      <c r="B30" s="651" t="s">
        <v>151</v>
      </c>
      <c r="C30" s="660">
        <v>402</v>
      </c>
      <c r="D30" s="660">
        <v>351</v>
      </c>
      <c r="E30" s="660">
        <v>300</v>
      </c>
      <c r="F30" s="660">
        <v>0.19600000000000001</v>
      </c>
      <c r="G30" s="660">
        <v>7.2599999999999998E-2</v>
      </c>
      <c r="H30" s="643">
        <v>34</v>
      </c>
      <c r="I30" s="7"/>
      <c r="AJ30" s="1"/>
      <c r="AN30" s="1"/>
      <c r="AP30" s="1"/>
    </row>
    <row r="31" spans="1:42" ht="19.5" customHeight="1">
      <c r="A31" s="17"/>
      <c r="B31" s="651" t="s">
        <v>152</v>
      </c>
      <c r="C31" s="660">
        <v>461</v>
      </c>
      <c r="D31" s="660">
        <v>392</v>
      </c>
      <c r="E31" s="660">
        <v>341</v>
      </c>
      <c r="F31" s="660">
        <v>0.159</v>
      </c>
      <c r="G31" s="660">
        <v>7.3200000000000001E-2</v>
      </c>
      <c r="H31" s="643">
        <v>37</v>
      </c>
      <c r="I31" s="7"/>
      <c r="AJ31" s="1"/>
      <c r="AN31" s="1"/>
      <c r="AP31" s="1"/>
    </row>
    <row r="32" spans="1:42" ht="57" customHeight="1">
      <c r="A32" s="17"/>
      <c r="B32" s="651" t="s">
        <v>153</v>
      </c>
      <c r="C32" s="660">
        <v>527</v>
      </c>
      <c r="D32" s="660">
        <v>448</v>
      </c>
      <c r="E32" s="660">
        <v>384</v>
      </c>
      <c r="F32" s="660">
        <v>0.127</v>
      </c>
      <c r="G32" s="660">
        <v>7.1999999999999995E-2</v>
      </c>
      <c r="H32" s="643">
        <v>42</v>
      </c>
      <c r="I32" s="7"/>
      <c r="AJ32" s="1"/>
      <c r="AN32" s="1"/>
      <c r="AP32" s="1"/>
    </row>
    <row r="33" spans="1:42" ht="19.5" customHeight="1">
      <c r="A33" s="17"/>
      <c r="B33" s="651" t="s">
        <v>154</v>
      </c>
      <c r="C33" s="660">
        <v>607</v>
      </c>
      <c r="D33" s="660">
        <v>509</v>
      </c>
      <c r="E33" s="660">
        <v>434</v>
      </c>
      <c r="F33" s="660">
        <v>9.6500000000000002E-2</v>
      </c>
      <c r="G33" s="660">
        <v>7.1900000000000006E-2</v>
      </c>
      <c r="H33" s="643">
        <v>47</v>
      </c>
      <c r="I33" s="7"/>
      <c r="AN33" s="1"/>
      <c r="AP33" s="1"/>
    </row>
    <row r="34" spans="1:42" ht="19.5" customHeight="1">
      <c r="A34" s="17"/>
      <c r="B34" s="651" t="s">
        <v>155</v>
      </c>
      <c r="C34" s="660">
        <v>688</v>
      </c>
      <c r="D34" s="660">
        <v>579</v>
      </c>
      <c r="E34" s="660">
        <v>495</v>
      </c>
      <c r="F34" s="660">
        <v>7.6899999999999996E-2</v>
      </c>
      <c r="G34" s="660">
        <v>7.1099999999999997E-2</v>
      </c>
      <c r="H34" s="643">
        <v>51</v>
      </c>
      <c r="I34" s="7"/>
      <c r="AN34" s="1"/>
      <c r="AP34" s="1"/>
    </row>
    <row r="35" spans="1:42" ht="19.5" customHeight="1">
      <c r="A35" s="17"/>
      <c r="B35" s="651" t="s">
        <v>156</v>
      </c>
      <c r="C35" s="660">
        <v>818</v>
      </c>
      <c r="D35" s="660">
        <v>638</v>
      </c>
      <c r="E35" s="660">
        <v>553</v>
      </c>
      <c r="F35" s="660">
        <v>6.0199999999999997E-2</v>
      </c>
      <c r="G35" s="660">
        <v>7.0499999999999993E-2</v>
      </c>
      <c r="H35" s="643">
        <v>57</v>
      </c>
      <c r="I35" s="7"/>
      <c r="AJ35" s="1"/>
      <c r="AN35" s="1"/>
      <c r="AP35" s="1"/>
    </row>
    <row r="36" spans="1:42" ht="19.5" customHeight="1">
      <c r="A36" s="17"/>
      <c r="B36" s="7"/>
      <c r="C36" s="5"/>
      <c r="D36" s="5"/>
      <c r="E36" s="5"/>
      <c r="F36" s="5"/>
      <c r="G36" s="4"/>
      <c r="H36" s="20"/>
      <c r="I36" s="7"/>
      <c r="AN36" s="1"/>
    </row>
    <row r="37" spans="1:42" ht="19.5" customHeight="1">
      <c r="A37" s="17"/>
      <c r="B37" s="647" t="s">
        <v>157</v>
      </c>
      <c r="C37" s="648"/>
      <c r="D37" s="648"/>
      <c r="E37" s="648"/>
      <c r="F37" s="648"/>
      <c r="G37" s="648" t="s">
        <v>108</v>
      </c>
      <c r="H37" s="649"/>
      <c r="I37" s="1"/>
      <c r="AN37" s="1"/>
    </row>
    <row r="38" spans="1:42" ht="32.25" customHeight="1">
      <c r="A38" s="17"/>
      <c r="B38" s="1036" t="s">
        <v>109</v>
      </c>
      <c r="C38" s="1036" t="s">
        <v>110</v>
      </c>
      <c r="D38" s="1036"/>
      <c r="E38" s="1036"/>
      <c r="F38" s="1042" t="s">
        <v>111</v>
      </c>
      <c r="G38" s="1036" t="s">
        <v>112</v>
      </c>
      <c r="H38" s="1039" t="s">
        <v>113</v>
      </c>
      <c r="I38" s="1"/>
      <c r="AN38" s="1"/>
    </row>
    <row r="39" spans="1:42" ht="32.25" customHeight="1">
      <c r="A39" s="17"/>
      <c r="B39" s="1036"/>
      <c r="C39" s="622" t="s">
        <v>121</v>
      </c>
      <c r="D39" s="622" t="s">
        <v>122</v>
      </c>
      <c r="E39" s="622" t="s">
        <v>123</v>
      </c>
      <c r="F39" s="955"/>
      <c r="G39" s="1036"/>
      <c r="H39" s="1039"/>
      <c r="I39" s="1"/>
    </row>
    <row r="40" spans="1:42" ht="19.5" customHeight="1">
      <c r="A40" s="17"/>
      <c r="B40" s="633" t="s">
        <v>158</v>
      </c>
      <c r="C40" s="633">
        <v>22</v>
      </c>
      <c r="D40" s="665">
        <v>25</v>
      </c>
      <c r="E40" s="633">
        <v>22</v>
      </c>
      <c r="F40" s="633">
        <v>15.5</v>
      </c>
      <c r="G40" s="633">
        <v>0.108</v>
      </c>
      <c r="H40" s="641">
        <v>13</v>
      </c>
      <c r="I40" s="1"/>
    </row>
    <row r="41" spans="1:42" ht="19.5" customHeight="1">
      <c r="A41" s="17"/>
      <c r="B41" s="651" t="s">
        <v>159</v>
      </c>
      <c r="C41" s="651">
        <v>28</v>
      </c>
      <c r="D41" s="660">
        <v>34</v>
      </c>
      <c r="E41" s="651">
        <v>28</v>
      </c>
      <c r="F41" s="651">
        <v>9.48</v>
      </c>
      <c r="G41" s="651">
        <v>0.1007</v>
      </c>
      <c r="H41" s="643">
        <v>14</v>
      </c>
      <c r="I41" s="1"/>
      <c r="K41" s="2"/>
      <c r="L41" s="2"/>
      <c r="M41" s="2"/>
      <c r="N41" s="2"/>
      <c r="S41" s="2"/>
      <c r="T41" s="2"/>
    </row>
    <row r="42" spans="1:42" ht="19.5" customHeight="1">
      <c r="A42" s="17"/>
      <c r="B42" s="651" t="s">
        <v>160</v>
      </c>
      <c r="C42" s="651">
        <v>38</v>
      </c>
      <c r="D42" s="660">
        <v>44</v>
      </c>
      <c r="E42" s="651">
        <v>37</v>
      </c>
      <c r="F42" s="651">
        <v>5.9</v>
      </c>
      <c r="G42" s="651">
        <v>9.4700000000000006E-2</v>
      </c>
      <c r="H42" s="643">
        <v>15</v>
      </c>
      <c r="I42" s="1"/>
      <c r="K42" s="2"/>
      <c r="L42" s="2"/>
      <c r="M42" s="2"/>
      <c r="N42" s="2"/>
      <c r="S42" s="2"/>
      <c r="T42" s="2"/>
    </row>
    <row r="43" spans="1:42" ht="19.5" customHeight="1">
      <c r="A43" s="17"/>
      <c r="B43" s="651" t="s">
        <v>161</v>
      </c>
      <c r="C43" s="651">
        <v>51</v>
      </c>
      <c r="D43" s="660">
        <v>55</v>
      </c>
      <c r="E43" s="651">
        <v>46</v>
      </c>
      <c r="F43" s="651">
        <v>3.94</v>
      </c>
      <c r="G43" s="651">
        <v>9.0200000000000002E-2</v>
      </c>
      <c r="H43" s="643">
        <v>16</v>
      </c>
      <c r="I43" s="1"/>
      <c r="K43" s="2"/>
      <c r="L43" s="2"/>
      <c r="M43" s="2"/>
      <c r="N43" s="2"/>
      <c r="S43" s="2"/>
      <c r="T43" s="2"/>
      <c r="V43" s="5"/>
      <c r="W43" s="5"/>
      <c r="X43" s="5"/>
      <c r="Y43" s="5"/>
      <c r="Z43" s="5"/>
      <c r="AA43" s="5"/>
      <c r="AB43" s="5"/>
      <c r="AC43" s="5"/>
      <c r="AD43" s="5"/>
    </row>
    <row r="44" spans="1:42" ht="19.5" customHeight="1">
      <c r="A44" s="17"/>
      <c r="B44" s="651" t="s">
        <v>162</v>
      </c>
      <c r="C44" s="651">
        <v>66</v>
      </c>
      <c r="D44" s="660">
        <v>72</v>
      </c>
      <c r="E44" s="651">
        <v>60</v>
      </c>
      <c r="F44" s="651">
        <v>2.34</v>
      </c>
      <c r="G44" s="651">
        <v>8.5199999999999998E-2</v>
      </c>
      <c r="H44" s="643">
        <v>19</v>
      </c>
      <c r="K44" s="2"/>
      <c r="L44" s="2"/>
      <c r="M44" s="2"/>
      <c r="N44" s="2"/>
      <c r="S44" s="2"/>
      <c r="T44" s="2"/>
      <c r="V44" s="5"/>
      <c r="W44" s="5"/>
      <c r="X44" s="5"/>
      <c r="Y44" s="5"/>
      <c r="Z44" s="5"/>
      <c r="AA44" s="5"/>
      <c r="AB44" s="5"/>
      <c r="AC44" s="5"/>
      <c r="AD44" s="5"/>
    </row>
    <row r="45" spans="1:42" ht="19.5" customHeight="1">
      <c r="A45" s="17"/>
      <c r="B45" s="651" t="s">
        <v>163</v>
      </c>
      <c r="C45" s="651">
        <v>85</v>
      </c>
      <c r="D45" s="660">
        <v>95</v>
      </c>
      <c r="E45" s="651">
        <v>79</v>
      </c>
      <c r="F45" s="651">
        <v>1.47</v>
      </c>
      <c r="G45" s="651">
        <v>8.1500000000000003E-2</v>
      </c>
      <c r="H45" s="643">
        <v>19</v>
      </c>
      <c r="K45" s="2"/>
      <c r="L45" s="2"/>
      <c r="M45" s="2"/>
      <c r="N45" s="2"/>
      <c r="S45" s="2"/>
      <c r="T45" s="2"/>
      <c r="V45" s="5"/>
      <c r="W45" s="5"/>
      <c r="X45" s="5"/>
      <c r="Y45" s="5"/>
      <c r="Z45" s="5"/>
      <c r="AA45" s="5"/>
      <c r="AB45" s="5"/>
      <c r="AC45" s="5"/>
      <c r="AD45" s="5"/>
    </row>
    <row r="46" spans="1:42" ht="19.5" customHeight="1">
      <c r="A46" s="17"/>
      <c r="B46" s="651" t="s">
        <v>164</v>
      </c>
      <c r="C46" s="651">
        <v>122</v>
      </c>
      <c r="D46" s="660">
        <v>122</v>
      </c>
      <c r="E46" s="651">
        <v>100</v>
      </c>
      <c r="F46" s="651">
        <v>0.93</v>
      </c>
      <c r="G46" s="651">
        <v>8.1000000000000003E-2</v>
      </c>
      <c r="H46" s="643">
        <v>23</v>
      </c>
      <c r="O46" s="3"/>
      <c r="P46" s="3"/>
      <c r="Q46" s="3"/>
      <c r="R46" s="3"/>
      <c r="T46" s="5"/>
      <c r="U46" s="5"/>
      <c r="V46" s="5"/>
      <c r="W46" s="5"/>
      <c r="X46" s="5"/>
      <c r="Y46" s="5"/>
      <c r="Z46" s="5"/>
      <c r="AA46" s="5"/>
      <c r="AB46" s="5"/>
      <c r="AC46" s="5"/>
      <c r="AD46" s="5"/>
    </row>
    <row r="47" spans="1:42" ht="19.5" customHeight="1">
      <c r="A47" s="17"/>
      <c r="B47" s="651" t="s">
        <v>165</v>
      </c>
      <c r="C47" s="651">
        <v>148</v>
      </c>
      <c r="D47" s="651">
        <v>146</v>
      </c>
      <c r="E47" s="651">
        <v>120</v>
      </c>
      <c r="F47" s="651">
        <v>0.67100000000000004</v>
      </c>
      <c r="G47" s="651">
        <v>7.9399999999999998E-2</v>
      </c>
      <c r="H47" s="643">
        <v>24</v>
      </c>
      <c r="T47" s="5"/>
      <c r="U47" s="5"/>
      <c r="V47" s="5"/>
      <c r="W47" s="5"/>
      <c r="X47" s="5"/>
      <c r="Y47" s="5"/>
      <c r="Z47" s="5"/>
      <c r="AA47" s="5"/>
      <c r="AB47" s="5"/>
      <c r="AC47" s="5"/>
      <c r="AD47" s="5"/>
    </row>
    <row r="48" spans="1:42" ht="19.5" customHeight="1">
      <c r="A48" s="17"/>
      <c r="B48" s="651" t="s">
        <v>166</v>
      </c>
      <c r="C48" s="651">
        <v>181</v>
      </c>
      <c r="D48" s="651">
        <v>175</v>
      </c>
      <c r="E48" s="651">
        <v>151</v>
      </c>
      <c r="F48" s="651">
        <v>0.495</v>
      </c>
      <c r="G48" s="651">
        <v>7.9200000000000007E-2</v>
      </c>
      <c r="H48" s="643">
        <v>27</v>
      </c>
      <c r="O48" s="3"/>
      <c r="T48" s="5"/>
      <c r="U48" s="5"/>
      <c r="V48" s="5"/>
      <c r="W48" s="5"/>
      <c r="X48" s="5"/>
      <c r="Y48" s="5"/>
      <c r="Z48" s="5"/>
      <c r="AA48" s="5"/>
      <c r="AB48" s="5"/>
      <c r="AC48" s="5"/>
      <c r="AD48" s="5"/>
    </row>
    <row r="49" spans="1:34" ht="19.5" customHeight="1">
      <c r="A49" s="17"/>
      <c r="B49" s="651" t="s">
        <v>167</v>
      </c>
      <c r="C49" s="651">
        <v>230</v>
      </c>
      <c r="D49" s="651">
        <v>212</v>
      </c>
      <c r="E49" s="651">
        <v>182</v>
      </c>
      <c r="F49" s="651">
        <v>0.31900000000000001</v>
      </c>
      <c r="G49" s="660">
        <v>7.5200000000000003E-2</v>
      </c>
      <c r="H49" s="643">
        <v>32</v>
      </c>
      <c r="P49" s="1"/>
      <c r="Q49" s="1"/>
      <c r="R49" s="4"/>
    </row>
    <row r="50" spans="1:34" ht="19.5" customHeight="1">
      <c r="A50" s="17"/>
      <c r="B50" s="651" t="s">
        <v>168</v>
      </c>
      <c r="C50" s="651">
        <v>284</v>
      </c>
      <c r="D50" s="651">
        <v>253</v>
      </c>
      <c r="E50" s="651">
        <v>211</v>
      </c>
      <c r="F50" s="651">
        <v>0.247</v>
      </c>
      <c r="G50" s="660">
        <v>7.3400000000000007E-2</v>
      </c>
      <c r="H50" s="643">
        <v>35</v>
      </c>
      <c r="P50" s="1"/>
      <c r="Q50" s="1"/>
      <c r="R50" s="4"/>
    </row>
    <row r="51" spans="1:34" ht="19.5" customHeight="1">
      <c r="A51" s="17"/>
      <c r="B51" s="651" t="s">
        <v>169</v>
      </c>
      <c r="C51" s="651">
        <v>330</v>
      </c>
      <c r="D51" s="651">
        <v>290</v>
      </c>
      <c r="E51" s="651">
        <v>236</v>
      </c>
      <c r="F51" s="651">
        <v>0.19600000000000001</v>
      </c>
      <c r="G51" s="660">
        <v>7.2599999999999998E-2</v>
      </c>
      <c r="H51" s="643">
        <v>37</v>
      </c>
      <c r="P51" s="1"/>
      <c r="Q51" s="1"/>
      <c r="R51" s="4"/>
    </row>
    <row r="52" spans="1:34" ht="19.5" customHeight="1">
      <c r="A52" s="17"/>
      <c r="B52" s="651" t="s">
        <v>170</v>
      </c>
      <c r="C52" s="651">
        <v>375</v>
      </c>
      <c r="D52" s="651">
        <v>325</v>
      </c>
      <c r="E52" s="651">
        <v>271</v>
      </c>
      <c r="F52" s="651">
        <v>0.159</v>
      </c>
      <c r="G52" s="660">
        <v>7.3200000000000001E-2</v>
      </c>
      <c r="H52" s="643">
        <v>42</v>
      </c>
      <c r="P52" s="1"/>
      <c r="Q52" s="1"/>
      <c r="R52" s="4"/>
    </row>
    <row r="53" spans="1:34" ht="19.5" customHeight="1">
      <c r="A53" s="17"/>
      <c r="B53" s="651" t="s">
        <v>171</v>
      </c>
      <c r="C53" s="651">
        <v>431</v>
      </c>
      <c r="D53" s="651">
        <v>362</v>
      </c>
      <c r="E53" s="651">
        <v>308</v>
      </c>
      <c r="F53" s="651">
        <v>0.127</v>
      </c>
      <c r="G53" s="660">
        <v>7.1999999999999995E-2</v>
      </c>
      <c r="H53" s="643">
        <v>46</v>
      </c>
      <c r="P53" s="1"/>
      <c r="Q53" s="1"/>
      <c r="R53" s="4"/>
    </row>
    <row r="54" spans="1:34" ht="19.5" customHeight="1">
      <c r="A54" s="17"/>
      <c r="B54" s="651" t="s">
        <v>172</v>
      </c>
      <c r="C54" s="651">
        <v>512</v>
      </c>
      <c r="D54" s="651">
        <v>418</v>
      </c>
      <c r="E54" s="651">
        <v>257</v>
      </c>
      <c r="F54" s="651">
        <v>9.6500000000000002E-2</v>
      </c>
      <c r="G54" s="651">
        <v>7.1900000000000006E-2</v>
      </c>
      <c r="H54" s="643">
        <v>52</v>
      </c>
      <c r="I54" s="4"/>
      <c r="P54" s="4"/>
      <c r="Q54" s="4"/>
      <c r="R54" s="4"/>
    </row>
    <row r="55" spans="1:34" ht="19.5" customHeight="1">
      <c r="A55" s="17"/>
      <c r="B55" s="651" t="s">
        <v>173</v>
      </c>
      <c r="C55" s="651">
        <v>582</v>
      </c>
      <c r="D55" s="651">
        <v>467</v>
      </c>
      <c r="E55" s="651">
        <v>406</v>
      </c>
      <c r="F55" s="651">
        <v>7.6899999999999996E-2</v>
      </c>
      <c r="G55" s="651">
        <v>7.1099999999999997E-2</v>
      </c>
      <c r="H55" s="643">
        <v>56</v>
      </c>
      <c r="I55" s="4"/>
      <c r="P55" s="4"/>
      <c r="Q55" s="4"/>
      <c r="R55" s="4"/>
    </row>
    <row r="56" spans="1:34" ht="29.25" customHeight="1">
      <c r="A56" s="17"/>
      <c r="B56" s="651" t="s">
        <v>174</v>
      </c>
      <c r="C56" s="651">
        <v>661</v>
      </c>
      <c r="D56" s="651">
        <v>518</v>
      </c>
      <c r="E56" s="624">
        <v>439</v>
      </c>
      <c r="F56" s="651">
        <v>6.0199999999999997E-2</v>
      </c>
      <c r="G56" s="651">
        <v>7.0499999999999993E-2</v>
      </c>
      <c r="H56" s="643">
        <v>62</v>
      </c>
      <c r="I56" s="4"/>
    </row>
    <row r="57" spans="1:34" ht="19.5" customHeight="1">
      <c r="A57" s="17"/>
      <c r="B57" s="4"/>
      <c r="C57" s="6"/>
      <c r="D57" s="4"/>
      <c r="E57" s="4"/>
      <c r="F57" s="4"/>
      <c r="G57" s="4"/>
      <c r="H57" s="18"/>
      <c r="I57" s="4"/>
    </row>
    <row r="58" spans="1:34" ht="19.5" customHeight="1">
      <c r="A58" s="17"/>
      <c r="B58" s="647" t="s">
        <v>175</v>
      </c>
      <c r="C58" s="648"/>
      <c r="D58" s="648"/>
      <c r="E58" s="648"/>
      <c r="F58" s="648"/>
      <c r="G58" s="648" t="s">
        <v>108</v>
      </c>
      <c r="H58" s="650"/>
      <c r="I58" s="4"/>
    </row>
    <row r="59" spans="1:34" ht="32.25" customHeight="1">
      <c r="A59" s="17"/>
      <c r="B59" s="1036" t="s">
        <v>109</v>
      </c>
      <c r="C59" s="1036" t="s">
        <v>110</v>
      </c>
      <c r="D59" s="1036"/>
      <c r="E59" s="1036"/>
      <c r="F59" s="1042" t="s">
        <v>111</v>
      </c>
      <c r="G59" s="1036" t="s">
        <v>112</v>
      </c>
      <c r="H59" s="1039" t="s">
        <v>113</v>
      </c>
      <c r="I59" s="4"/>
    </row>
    <row r="60" spans="1:34" ht="32.25" customHeight="1">
      <c r="A60" s="17"/>
      <c r="B60" s="1036"/>
      <c r="C60" s="622" t="s">
        <v>121</v>
      </c>
      <c r="D60" s="622" t="s">
        <v>122</v>
      </c>
      <c r="E60" s="622" t="s">
        <v>123</v>
      </c>
      <c r="F60" s="955"/>
      <c r="G60" s="1036"/>
      <c r="H60" s="1039"/>
      <c r="I60" s="4"/>
    </row>
    <row r="61" spans="1:34" ht="19.5" customHeight="1">
      <c r="A61" s="17"/>
      <c r="B61" s="633" t="s">
        <v>176</v>
      </c>
      <c r="C61" s="633">
        <v>22</v>
      </c>
      <c r="D61" s="665">
        <v>25</v>
      </c>
      <c r="E61" s="633">
        <v>22</v>
      </c>
      <c r="F61" s="633">
        <v>15.5</v>
      </c>
      <c r="G61" s="633">
        <v>0.108</v>
      </c>
      <c r="H61" s="641">
        <v>13</v>
      </c>
      <c r="I61" s="4"/>
    </row>
    <row r="62" spans="1:34" ht="19.5" customHeight="1">
      <c r="A62" s="17"/>
      <c r="B62" s="651" t="s">
        <v>177</v>
      </c>
      <c r="C62" s="651">
        <v>28</v>
      </c>
      <c r="D62" s="660">
        <v>34</v>
      </c>
      <c r="E62" s="651">
        <v>28</v>
      </c>
      <c r="F62" s="651">
        <v>9.48</v>
      </c>
      <c r="G62" s="651">
        <v>0.1007</v>
      </c>
      <c r="H62" s="643">
        <v>15</v>
      </c>
      <c r="I62" s="4"/>
    </row>
    <row r="63" spans="1:34" ht="19.5" customHeight="1">
      <c r="A63" s="17"/>
      <c r="B63" s="651" t="s">
        <v>178</v>
      </c>
      <c r="C63" s="651">
        <v>38</v>
      </c>
      <c r="D63" s="660">
        <v>44</v>
      </c>
      <c r="E63" s="651">
        <v>37</v>
      </c>
      <c r="F63" s="651">
        <v>5.9</v>
      </c>
      <c r="G63" s="651">
        <v>9.4700000000000006E-2</v>
      </c>
      <c r="H63" s="643">
        <v>16</v>
      </c>
      <c r="I63" s="4"/>
    </row>
    <row r="64" spans="1:34" ht="19.5" customHeight="1">
      <c r="A64" s="17"/>
      <c r="B64" s="651" t="s">
        <v>179</v>
      </c>
      <c r="C64" s="651">
        <v>51</v>
      </c>
      <c r="D64" s="660">
        <v>55</v>
      </c>
      <c r="E64" s="651">
        <v>46</v>
      </c>
      <c r="F64" s="651">
        <v>3.94</v>
      </c>
      <c r="G64" s="651">
        <v>9.0200000000000002E-2</v>
      </c>
      <c r="H64" s="643">
        <v>18</v>
      </c>
      <c r="I64" s="4"/>
      <c r="AH64" s="5"/>
    </row>
    <row r="65" spans="1:34" ht="19.5" customHeight="1">
      <c r="A65" s="17"/>
      <c r="B65" s="651" t="s">
        <v>180</v>
      </c>
      <c r="C65" s="651">
        <v>66</v>
      </c>
      <c r="D65" s="660">
        <v>72</v>
      </c>
      <c r="E65" s="651">
        <v>60</v>
      </c>
      <c r="F65" s="651">
        <v>2.34</v>
      </c>
      <c r="G65" s="651">
        <v>8.5199999999999998E-2</v>
      </c>
      <c r="H65" s="643">
        <v>20</v>
      </c>
      <c r="I65" s="4"/>
      <c r="AH65" s="5"/>
    </row>
    <row r="66" spans="1:34" ht="19.5" customHeight="1">
      <c r="A66" s="17"/>
      <c r="B66" s="651" t="s">
        <v>181</v>
      </c>
      <c r="C66" s="651">
        <v>85</v>
      </c>
      <c r="D66" s="660">
        <v>95</v>
      </c>
      <c r="E66" s="651">
        <v>79</v>
      </c>
      <c r="F66" s="651">
        <v>1.47</v>
      </c>
      <c r="G66" s="651">
        <v>8.1500000000000003E-2</v>
      </c>
      <c r="H66" s="643">
        <v>21</v>
      </c>
      <c r="I66" s="4"/>
      <c r="AH66" s="5"/>
    </row>
    <row r="67" spans="1:34" ht="19.5" customHeight="1">
      <c r="A67" s="17"/>
      <c r="B67" s="651" t="s">
        <v>955</v>
      </c>
      <c r="C67" s="651">
        <v>122</v>
      </c>
      <c r="D67" s="660">
        <v>122</v>
      </c>
      <c r="E67" s="651">
        <v>100</v>
      </c>
      <c r="F67" s="651">
        <v>0.93</v>
      </c>
      <c r="G67" s="651">
        <v>8.1000000000000003E-2</v>
      </c>
      <c r="H67" s="643">
        <v>25</v>
      </c>
      <c r="I67" s="4"/>
      <c r="J67" s="1"/>
      <c r="K67" s="1"/>
      <c r="L67" s="1"/>
      <c r="M67" s="1"/>
      <c r="N67" s="1"/>
      <c r="O67" s="1"/>
      <c r="R67" s="4"/>
      <c r="AH67" s="5"/>
    </row>
    <row r="68" spans="1:34" ht="19.5" customHeight="1">
      <c r="A68" s="17"/>
      <c r="B68" s="651" t="s">
        <v>956</v>
      </c>
      <c r="C68" s="651">
        <v>148</v>
      </c>
      <c r="D68" s="651">
        <v>146</v>
      </c>
      <c r="E68" s="651">
        <v>120</v>
      </c>
      <c r="F68" s="651">
        <v>0.67100000000000004</v>
      </c>
      <c r="G68" s="651">
        <v>7.9399999999999998E-2</v>
      </c>
      <c r="H68" s="643">
        <v>27</v>
      </c>
      <c r="I68" s="4"/>
      <c r="J68" s="1"/>
      <c r="K68" s="1"/>
      <c r="L68" s="1"/>
      <c r="M68" s="1"/>
      <c r="N68" s="1"/>
      <c r="O68" s="1"/>
      <c r="R68" s="4"/>
      <c r="AH68" s="5"/>
    </row>
    <row r="69" spans="1:34" ht="19.5" customHeight="1">
      <c r="A69" s="17"/>
      <c r="B69" s="651" t="s">
        <v>957</v>
      </c>
      <c r="C69" s="651">
        <v>181</v>
      </c>
      <c r="D69" s="651">
        <v>175</v>
      </c>
      <c r="E69" s="651">
        <v>151</v>
      </c>
      <c r="F69" s="651">
        <v>0.495</v>
      </c>
      <c r="G69" s="651">
        <v>7.9200000000000007E-2</v>
      </c>
      <c r="H69" s="643">
        <v>30</v>
      </c>
      <c r="I69" s="4"/>
      <c r="J69" s="1"/>
      <c r="K69" s="1"/>
      <c r="L69" s="1"/>
      <c r="M69" s="1"/>
      <c r="N69" s="1"/>
      <c r="O69" s="1"/>
      <c r="R69" s="4"/>
      <c r="AH69" s="5"/>
    </row>
    <row r="70" spans="1:34" ht="19.5" customHeight="1">
      <c r="A70" s="17"/>
      <c r="B70" s="651" t="s">
        <v>958</v>
      </c>
      <c r="C70" s="651">
        <v>230</v>
      </c>
      <c r="D70" s="651">
        <v>212</v>
      </c>
      <c r="E70" s="651">
        <v>182</v>
      </c>
      <c r="F70" s="651">
        <v>0.31900000000000001</v>
      </c>
      <c r="G70" s="660">
        <v>7.5200000000000003E-2</v>
      </c>
      <c r="H70" s="643">
        <v>36</v>
      </c>
      <c r="I70" s="4"/>
      <c r="J70" s="1"/>
      <c r="K70" s="1"/>
      <c r="L70" s="1"/>
      <c r="M70" s="1"/>
      <c r="N70" s="1"/>
      <c r="O70" s="1"/>
      <c r="R70" s="4"/>
      <c r="AH70" s="5"/>
    </row>
    <row r="71" spans="1:34" ht="19.5" customHeight="1">
      <c r="A71" s="17"/>
      <c r="B71" s="651" t="s">
        <v>959</v>
      </c>
      <c r="C71" s="651">
        <v>284</v>
      </c>
      <c r="D71" s="651">
        <v>253</v>
      </c>
      <c r="E71" s="651">
        <v>211</v>
      </c>
      <c r="F71" s="651">
        <v>0.247</v>
      </c>
      <c r="G71" s="660">
        <v>7.3400000000000007E-2</v>
      </c>
      <c r="H71" s="643">
        <v>39</v>
      </c>
      <c r="I71" s="4"/>
      <c r="J71" s="1"/>
      <c r="K71" s="1"/>
      <c r="L71" s="1"/>
      <c r="M71" s="1"/>
      <c r="N71" s="1"/>
      <c r="O71" s="1"/>
      <c r="R71" s="4"/>
      <c r="AH71" s="5"/>
    </row>
    <row r="72" spans="1:34" ht="19.5" customHeight="1">
      <c r="A72" s="17"/>
      <c r="B72" s="651" t="s">
        <v>960</v>
      </c>
      <c r="C72" s="651">
        <v>330</v>
      </c>
      <c r="D72" s="651">
        <v>290</v>
      </c>
      <c r="E72" s="651">
        <v>236</v>
      </c>
      <c r="F72" s="651">
        <v>0.19600000000000001</v>
      </c>
      <c r="G72" s="660">
        <v>7.2599999999999998E-2</v>
      </c>
      <c r="H72" s="643">
        <v>43</v>
      </c>
      <c r="I72" s="4"/>
      <c r="J72" s="1"/>
      <c r="K72" s="1"/>
      <c r="L72" s="1"/>
      <c r="M72" s="1"/>
      <c r="N72" s="1"/>
      <c r="O72" s="1"/>
      <c r="R72" s="4"/>
      <c r="AH72" s="5"/>
    </row>
    <row r="73" spans="1:34" ht="19.5" customHeight="1">
      <c r="A73" s="17"/>
      <c r="B73" s="651" t="s">
        <v>961</v>
      </c>
      <c r="C73" s="651">
        <v>375</v>
      </c>
      <c r="D73" s="651">
        <v>325</v>
      </c>
      <c r="E73" s="651">
        <v>271</v>
      </c>
      <c r="F73" s="651">
        <v>0.159</v>
      </c>
      <c r="G73" s="660">
        <v>7.3200000000000001E-2</v>
      </c>
      <c r="H73" s="643">
        <v>48</v>
      </c>
      <c r="I73" s="4"/>
      <c r="J73" s="1"/>
      <c r="K73" s="1"/>
      <c r="L73" s="1"/>
      <c r="M73" s="1"/>
      <c r="N73" s="1"/>
      <c r="O73" s="1"/>
      <c r="R73" s="4"/>
      <c r="AH73" s="5"/>
    </row>
    <row r="74" spans="1:34">
      <c r="A74" s="17"/>
      <c r="B74" s="651" t="s">
        <v>962</v>
      </c>
      <c r="C74" s="651">
        <v>431</v>
      </c>
      <c r="D74" s="651">
        <v>362</v>
      </c>
      <c r="E74" s="651">
        <v>308</v>
      </c>
      <c r="F74" s="651">
        <v>0.127</v>
      </c>
      <c r="G74" s="660">
        <v>7.1999999999999995E-2</v>
      </c>
      <c r="H74" s="643">
        <v>53</v>
      </c>
      <c r="I74" s="4"/>
      <c r="J74" s="47"/>
      <c r="K74" s="980"/>
      <c r="L74" s="980"/>
      <c r="M74" s="980"/>
      <c r="N74" s="980"/>
      <c r="O74" s="980"/>
      <c r="P74" s="980"/>
      <c r="Q74" s="48"/>
      <c r="R74" s="980"/>
      <c r="S74" s="980"/>
      <c r="T74" s="980"/>
      <c r="U74" s="980"/>
      <c r="AH74" s="5"/>
    </row>
    <row r="75" spans="1:34" ht="19.5" customHeight="1">
      <c r="A75" s="17"/>
      <c r="B75" s="651" t="s">
        <v>963</v>
      </c>
      <c r="C75" s="651">
        <v>512</v>
      </c>
      <c r="D75" s="651">
        <v>418</v>
      </c>
      <c r="E75" s="651">
        <v>257</v>
      </c>
      <c r="F75" s="651">
        <v>9.6500000000000002E-2</v>
      </c>
      <c r="G75" s="651">
        <v>7.1900000000000006E-2</v>
      </c>
      <c r="H75" s="643">
        <v>58</v>
      </c>
      <c r="I75" s="4"/>
      <c r="J75" s="47"/>
      <c r="K75" s="980"/>
      <c r="L75" s="48"/>
      <c r="M75" s="48"/>
      <c r="N75" s="980"/>
      <c r="O75" s="48"/>
      <c r="P75" s="48"/>
      <c r="Q75" s="48"/>
      <c r="R75" s="48"/>
      <c r="S75" s="48"/>
      <c r="T75" s="48"/>
      <c r="U75" s="48"/>
      <c r="AH75" s="5"/>
    </row>
    <row r="76" spans="1:34" ht="19.5" customHeight="1">
      <c r="A76" s="17"/>
      <c r="B76" s="651" t="s">
        <v>964</v>
      </c>
      <c r="C76" s="651">
        <v>582</v>
      </c>
      <c r="D76" s="651">
        <v>467</v>
      </c>
      <c r="E76" s="651">
        <v>406</v>
      </c>
      <c r="F76" s="651">
        <v>7.6899999999999996E-2</v>
      </c>
      <c r="G76" s="651">
        <v>7.1099999999999997E-2</v>
      </c>
      <c r="H76" s="643">
        <v>64</v>
      </c>
      <c r="I76" s="4"/>
      <c r="J76" s="47"/>
      <c r="K76" s="47"/>
      <c r="L76" s="49"/>
      <c r="M76" s="49"/>
      <c r="N76" s="47"/>
      <c r="O76" s="49"/>
      <c r="P76" s="49"/>
      <c r="Q76" s="49"/>
      <c r="R76" s="49"/>
      <c r="S76" s="47"/>
      <c r="T76" s="47"/>
      <c r="U76" s="47"/>
      <c r="AH76" s="5"/>
    </row>
    <row r="77" spans="1:34" ht="19.5" customHeight="1">
      <c r="A77" s="17"/>
      <c r="B77" s="651" t="s">
        <v>965</v>
      </c>
      <c r="C77" s="651">
        <v>661</v>
      </c>
      <c r="D77" s="651">
        <v>518</v>
      </c>
      <c r="E77" s="624">
        <v>439</v>
      </c>
      <c r="F77" s="651">
        <v>6.0199999999999997E-2</v>
      </c>
      <c r="G77" s="651">
        <v>7.0499999999999993E-2</v>
      </c>
      <c r="H77" s="643">
        <v>72</v>
      </c>
      <c r="I77" s="4"/>
      <c r="J77" s="47"/>
      <c r="K77" s="47"/>
      <c r="L77" s="49"/>
      <c r="M77" s="49"/>
      <c r="N77" s="49"/>
      <c r="O77" s="49"/>
      <c r="P77" s="49"/>
      <c r="Q77" s="49"/>
      <c r="R77" s="50"/>
      <c r="S77" s="51"/>
      <c r="T77" s="52"/>
      <c r="U77" s="51"/>
      <c r="AH77" s="5"/>
    </row>
    <row r="78" spans="1:34" ht="19.5" customHeight="1">
      <c r="A78" s="17"/>
      <c r="B78" s="4"/>
      <c r="C78" s="6"/>
      <c r="D78" s="4"/>
      <c r="E78" s="4"/>
      <c r="F78" s="4"/>
      <c r="G78" s="4"/>
      <c r="H78" s="18"/>
      <c r="I78" s="4"/>
      <c r="J78" s="47"/>
      <c r="K78" s="47"/>
      <c r="L78" s="53"/>
      <c r="M78" s="53"/>
      <c r="N78" s="49"/>
      <c r="O78" s="49"/>
      <c r="P78" s="49"/>
      <c r="Q78" s="49"/>
      <c r="R78" s="50"/>
      <c r="S78" s="51"/>
      <c r="T78" s="52"/>
      <c r="U78" s="51"/>
      <c r="V78" s="5"/>
      <c r="W78" s="5"/>
      <c r="X78" s="5"/>
      <c r="Y78" s="5"/>
      <c r="Z78" s="5"/>
      <c r="AA78" s="5"/>
      <c r="AB78" s="5"/>
      <c r="AC78" s="5"/>
      <c r="AD78" s="5"/>
      <c r="AE78" s="5"/>
      <c r="AF78" s="5"/>
      <c r="AG78" s="5"/>
      <c r="AH78" s="5"/>
    </row>
    <row r="79" spans="1:34" ht="19.5" customHeight="1">
      <c r="A79" s="17"/>
      <c r="B79" s="647" t="s">
        <v>193</v>
      </c>
      <c r="C79" s="652"/>
      <c r="D79" s="652"/>
      <c r="E79" s="652"/>
      <c r="F79" s="652"/>
      <c r="G79" s="648" t="s">
        <v>108</v>
      </c>
      <c r="H79" s="653"/>
      <c r="I79" s="4"/>
      <c r="J79" s="54"/>
      <c r="K79" s="54"/>
      <c r="L79" s="54"/>
      <c r="M79" s="54"/>
      <c r="N79" s="54"/>
      <c r="O79" s="54"/>
      <c r="P79" s="54"/>
      <c r="Q79" s="54"/>
      <c r="R79" s="50"/>
      <c r="S79" s="51"/>
      <c r="T79" s="52"/>
      <c r="U79" s="51"/>
      <c r="V79" s="5"/>
      <c r="W79" s="5"/>
      <c r="X79" s="5"/>
      <c r="Y79" s="5"/>
      <c r="Z79" s="5"/>
      <c r="AA79" s="5"/>
      <c r="AB79" s="5"/>
      <c r="AC79" s="5"/>
      <c r="AD79" s="5"/>
      <c r="AE79" s="5"/>
      <c r="AF79" s="5"/>
      <c r="AG79" s="5"/>
      <c r="AH79" s="5"/>
    </row>
    <row r="80" spans="1:34" ht="36" customHeight="1">
      <c r="A80" s="17"/>
      <c r="B80" s="1040" t="s">
        <v>194</v>
      </c>
      <c r="C80" s="1040" t="s">
        <v>110</v>
      </c>
      <c r="D80" s="1040"/>
      <c r="E80" s="1040"/>
      <c r="F80" s="1042" t="s">
        <v>111</v>
      </c>
      <c r="G80" s="1040" t="s">
        <v>112</v>
      </c>
      <c r="H80" s="1039" t="s">
        <v>113</v>
      </c>
      <c r="I80" s="4"/>
      <c r="J80" s="55"/>
      <c r="K80" s="48"/>
      <c r="L80" s="56"/>
      <c r="M80" s="56"/>
      <c r="N80" s="56"/>
      <c r="O80" s="56"/>
      <c r="P80" s="56"/>
      <c r="Q80" s="56"/>
      <c r="R80" s="50"/>
      <c r="S80" s="51"/>
      <c r="T80" s="52"/>
      <c r="U80" s="51"/>
      <c r="V80" s="5"/>
      <c r="W80" s="5"/>
      <c r="X80" s="5"/>
      <c r="Y80" s="5"/>
      <c r="Z80" s="5"/>
      <c r="AA80" s="5"/>
      <c r="AB80" s="5"/>
      <c r="AC80" s="5"/>
      <c r="AD80" s="5"/>
      <c r="AE80" s="5"/>
      <c r="AF80" s="5"/>
      <c r="AG80" s="5"/>
      <c r="AH80" s="5"/>
    </row>
    <row r="81" spans="1:34" ht="36" customHeight="1">
      <c r="A81" s="17"/>
      <c r="B81" s="1040"/>
      <c r="C81" s="622" t="s">
        <v>121</v>
      </c>
      <c r="D81" s="622" t="s">
        <v>122</v>
      </c>
      <c r="E81" s="622" t="s">
        <v>123</v>
      </c>
      <c r="F81" s="955"/>
      <c r="G81" s="1040"/>
      <c r="H81" s="1039"/>
      <c r="I81" s="4"/>
      <c r="J81" s="55"/>
      <c r="K81" s="48"/>
      <c r="L81" s="48"/>
      <c r="M81" s="54"/>
      <c r="N81" s="56"/>
      <c r="O81" s="48"/>
      <c r="P81" s="48"/>
      <c r="Q81" s="48"/>
      <c r="R81" s="50"/>
      <c r="S81" s="51"/>
      <c r="T81" s="52"/>
      <c r="U81" s="51"/>
      <c r="V81" s="5"/>
      <c r="W81" s="5"/>
      <c r="X81" s="5"/>
      <c r="Y81" s="5"/>
      <c r="Z81" s="5"/>
      <c r="AA81" s="5"/>
      <c r="AB81" s="5"/>
      <c r="AC81" s="5"/>
      <c r="AD81" s="5"/>
      <c r="AE81" s="5"/>
      <c r="AF81" s="5"/>
      <c r="AG81" s="5"/>
      <c r="AH81" s="5"/>
    </row>
    <row r="82" spans="1:34" ht="19.5" customHeight="1">
      <c r="A82" s="17"/>
      <c r="B82" s="633" t="s">
        <v>195</v>
      </c>
      <c r="C82" s="633">
        <v>22</v>
      </c>
      <c r="D82" s="665">
        <v>25</v>
      </c>
      <c r="E82" s="633">
        <v>22</v>
      </c>
      <c r="F82" s="633">
        <v>15.5</v>
      </c>
      <c r="G82" s="633">
        <v>0.108</v>
      </c>
      <c r="H82" s="641"/>
      <c r="I82" s="4"/>
      <c r="J82" s="55"/>
      <c r="K82" s="47"/>
      <c r="L82" s="54"/>
      <c r="M82" s="54"/>
      <c r="N82" s="47"/>
      <c r="O82" s="49"/>
      <c r="P82" s="49"/>
      <c r="Q82" s="49"/>
      <c r="R82" s="50"/>
      <c r="S82" s="51"/>
      <c r="T82" s="52"/>
      <c r="U82" s="51"/>
      <c r="V82" s="5"/>
      <c r="W82" s="5"/>
      <c r="X82" s="5"/>
      <c r="Y82" s="5"/>
      <c r="Z82" s="5"/>
      <c r="AA82" s="5"/>
      <c r="AB82" s="5"/>
      <c r="AC82" s="5"/>
      <c r="AD82" s="5"/>
      <c r="AE82" s="5"/>
      <c r="AF82" s="5"/>
      <c r="AG82" s="5"/>
      <c r="AH82" s="5"/>
    </row>
    <row r="83" spans="1:34" ht="19.5" customHeight="1">
      <c r="A83" s="17"/>
      <c r="B83" s="651" t="s">
        <v>196</v>
      </c>
      <c r="C83" s="651">
        <v>28</v>
      </c>
      <c r="D83" s="660">
        <v>34</v>
      </c>
      <c r="E83" s="651">
        <v>28</v>
      </c>
      <c r="F83" s="651">
        <v>9.48</v>
      </c>
      <c r="G83" s="651">
        <v>0.1007</v>
      </c>
      <c r="H83" s="643"/>
      <c r="I83" s="4"/>
      <c r="J83" s="55"/>
      <c r="K83" s="47"/>
      <c r="L83" s="54"/>
      <c r="M83" s="54"/>
      <c r="N83" s="49"/>
      <c r="O83" s="49"/>
      <c r="P83" s="49"/>
      <c r="Q83" s="49"/>
      <c r="R83" s="50"/>
      <c r="S83" s="51"/>
      <c r="T83" s="52"/>
      <c r="U83" s="51"/>
      <c r="V83" s="5"/>
      <c r="W83" s="5"/>
      <c r="X83" s="5"/>
      <c r="Y83" s="5"/>
      <c r="Z83" s="5"/>
      <c r="AA83" s="5"/>
      <c r="AB83" s="5"/>
      <c r="AC83" s="5"/>
      <c r="AD83" s="5"/>
      <c r="AE83" s="5"/>
      <c r="AF83" s="5"/>
      <c r="AG83" s="5"/>
      <c r="AH83" s="5"/>
    </row>
    <row r="84" spans="1:34" ht="19.5" customHeight="1">
      <c r="A84" s="17"/>
      <c r="B84" s="651" t="s">
        <v>197</v>
      </c>
      <c r="C84" s="651">
        <v>38</v>
      </c>
      <c r="D84" s="660">
        <v>44</v>
      </c>
      <c r="E84" s="651">
        <v>37</v>
      </c>
      <c r="F84" s="651">
        <v>5.9</v>
      </c>
      <c r="G84" s="651">
        <v>9.4700000000000006E-2</v>
      </c>
      <c r="H84" s="643"/>
      <c r="I84" s="4"/>
      <c r="J84" s="55"/>
      <c r="K84" s="47"/>
      <c r="L84" s="54"/>
      <c r="M84" s="54"/>
      <c r="N84" s="54"/>
      <c r="O84" s="54"/>
      <c r="P84" s="54"/>
      <c r="Q84" s="54"/>
      <c r="R84" s="50"/>
      <c r="S84" s="51"/>
      <c r="T84" s="50"/>
      <c r="U84" s="51"/>
      <c r="V84" s="5"/>
      <c r="W84" s="5"/>
      <c r="X84" s="5"/>
      <c r="Y84" s="5"/>
      <c r="Z84" s="5"/>
      <c r="AA84" s="5"/>
      <c r="AB84" s="5"/>
      <c r="AC84" s="5"/>
      <c r="AD84" s="5"/>
      <c r="AE84" s="5"/>
      <c r="AF84" s="5"/>
      <c r="AG84" s="5"/>
      <c r="AH84" s="5"/>
    </row>
    <row r="85" spans="1:34" ht="19.5" customHeight="1">
      <c r="A85" s="17"/>
      <c r="B85" s="651" t="s">
        <v>198</v>
      </c>
      <c r="C85" s="651">
        <v>51</v>
      </c>
      <c r="D85" s="660">
        <v>55</v>
      </c>
      <c r="E85" s="651">
        <v>46</v>
      </c>
      <c r="F85" s="651">
        <v>3.94</v>
      </c>
      <c r="G85" s="651">
        <v>9.0200000000000002E-2</v>
      </c>
      <c r="H85" s="643"/>
      <c r="I85" s="4"/>
      <c r="J85" s="4"/>
      <c r="K85" s="4"/>
      <c r="L85" s="4"/>
      <c r="M85" s="4"/>
      <c r="N85" s="4"/>
      <c r="O85" s="4"/>
      <c r="P85" s="4"/>
      <c r="Q85" s="4"/>
      <c r="R85" s="4"/>
      <c r="S85" s="4"/>
      <c r="T85" s="4"/>
      <c r="U85" s="4"/>
      <c r="V85" s="5"/>
      <c r="W85" s="5"/>
      <c r="X85" s="5"/>
      <c r="Y85" s="5"/>
      <c r="Z85" s="5"/>
      <c r="AA85" s="5"/>
      <c r="AB85" s="5"/>
      <c r="AC85" s="5"/>
      <c r="AD85" s="5"/>
      <c r="AE85" s="5"/>
      <c r="AF85" s="5"/>
      <c r="AG85" s="5"/>
      <c r="AH85" s="5"/>
    </row>
    <row r="86" spans="1:34" ht="19.5" customHeight="1">
      <c r="A86" s="17"/>
      <c r="B86" s="651" t="s">
        <v>199</v>
      </c>
      <c r="C86" s="651">
        <v>66</v>
      </c>
      <c r="D86" s="660">
        <v>72</v>
      </c>
      <c r="E86" s="651">
        <v>60</v>
      </c>
      <c r="F86" s="651">
        <v>2.34</v>
      </c>
      <c r="G86" s="651">
        <v>8.5199999999999998E-2</v>
      </c>
      <c r="H86" s="643"/>
      <c r="I86" s="4"/>
      <c r="J86" s="4"/>
      <c r="K86" s="4"/>
      <c r="L86" s="4"/>
      <c r="M86" s="4"/>
      <c r="N86" s="4"/>
      <c r="O86" s="4"/>
      <c r="P86" s="4"/>
      <c r="Q86" s="4"/>
      <c r="R86" s="4"/>
      <c r="S86" s="4"/>
      <c r="T86" s="4"/>
      <c r="U86" s="4"/>
      <c r="V86" s="5"/>
      <c r="W86" s="5"/>
      <c r="X86" s="5"/>
      <c r="Y86" s="5"/>
      <c r="Z86" s="5"/>
      <c r="AA86" s="5"/>
      <c r="AB86" s="5"/>
      <c r="AC86" s="5"/>
      <c r="AD86" s="5"/>
      <c r="AE86" s="5"/>
      <c r="AF86" s="5"/>
      <c r="AG86" s="5"/>
      <c r="AH86" s="5"/>
    </row>
    <row r="87" spans="1:34" ht="19.5" customHeight="1">
      <c r="A87" s="17"/>
      <c r="B87" s="651" t="s">
        <v>200</v>
      </c>
      <c r="C87" s="651">
        <v>85</v>
      </c>
      <c r="D87" s="660">
        <v>95</v>
      </c>
      <c r="E87" s="651">
        <v>79</v>
      </c>
      <c r="F87" s="651">
        <v>1.47</v>
      </c>
      <c r="G87" s="651">
        <v>8.1500000000000003E-2</v>
      </c>
      <c r="H87" s="643"/>
      <c r="I87" s="4"/>
      <c r="J87" s="4"/>
      <c r="K87" s="4"/>
      <c r="L87" s="4"/>
      <c r="M87" s="4"/>
      <c r="N87" s="4"/>
      <c r="O87" s="4"/>
      <c r="P87" s="4"/>
      <c r="Q87" s="4"/>
      <c r="R87" s="4"/>
      <c r="S87" s="4"/>
      <c r="T87" s="4"/>
      <c r="U87" s="4"/>
      <c r="V87" s="5"/>
      <c r="W87" s="5"/>
      <c r="X87" s="5"/>
      <c r="Y87" s="5"/>
      <c r="Z87" s="5"/>
      <c r="AA87" s="5"/>
      <c r="AB87" s="5"/>
      <c r="AC87" s="5"/>
      <c r="AD87" s="5"/>
      <c r="AE87" s="5"/>
      <c r="AF87" s="5"/>
      <c r="AG87" s="5"/>
      <c r="AH87" s="5"/>
    </row>
    <row r="88" spans="1:34" ht="19.5" customHeight="1">
      <c r="A88" s="17"/>
      <c r="B88" s="651" t="s">
        <v>201</v>
      </c>
      <c r="C88" s="651">
        <v>122</v>
      </c>
      <c r="D88" s="660">
        <v>122</v>
      </c>
      <c r="E88" s="651">
        <v>100</v>
      </c>
      <c r="F88" s="651">
        <v>0.93</v>
      </c>
      <c r="G88" s="651">
        <v>8.1000000000000003E-2</v>
      </c>
      <c r="H88" s="643"/>
      <c r="I88" s="4"/>
      <c r="J88" s="4"/>
      <c r="K88" s="4"/>
      <c r="L88" s="4"/>
      <c r="M88" s="4"/>
      <c r="N88" s="4"/>
      <c r="O88" s="4"/>
      <c r="P88" s="4"/>
      <c r="Q88" s="4"/>
      <c r="R88" s="4"/>
      <c r="S88" s="4"/>
      <c r="T88" s="4"/>
      <c r="U88" s="4"/>
      <c r="V88" s="5"/>
      <c r="W88" s="5"/>
      <c r="X88" s="5"/>
      <c r="Y88" s="5"/>
      <c r="Z88" s="5"/>
      <c r="AA88" s="5"/>
      <c r="AB88" s="5"/>
      <c r="AC88" s="5"/>
      <c r="AD88" s="5"/>
      <c r="AE88" s="5"/>
      <c r="AF88" s="5"/>
      <c r="AG88" s="5"/>
      <c r="AH88" s="5"/>
    </row>
    <row r="89" spans="1:34" ht="19.5" customHeight="1">
      <c r="A89" s="17"/>
      <c r="B89" s="651" t="s">
        <v>202</v>
      </c>
      <c r="C89" s="651">
        <v>148</v>
      </c>
      <c r="D89" s="651">
        <v>146</v>
      </c>
      <c r="E89" s="651">
        <v>120</v>
      </c>
      <c r="F89" s="651">
        <v>0.67100000000000004</v>
      </c>
      <c r="G89" s="651">
        <v>7.9399999999999998E-2</v>
      </c>
      <c r="H89" s="643"/>
      <c r="I89" s="4"/>
      <c r="J89" s="4"/>
      <c r="K89" s="4"/>
      <c r="L89" s="4"/>
      <c r="M89" s="4"/>
      <c r="N89" s="4"/>
      <c r="O89" s="4"/>
      <c r="P89" s="4"/>
      <c r="Q89" s="4"/>
      <c r="R89" s="4"/>
      <c r="S89" s="4"/>
      <c r="T89" s="4"/>
      <c r="U89" s="4"/>
      <c r="V89" s="5"/>
      <c r="W89" s="5"/>
      <c r="X89" s="5"/>
      <c r="Y89" s="5"/>
      <c r="Z89" s="5"/>
      <c r="AA89" s="5"/>
      <c r="AB89" s="5"/>
      <c r="AC89" s="5"/>
      <c r="AD89" s="5"/>
      <c r="AE89" s="5"/>
      <c r="AF89" s="5"/>
      <c r="AG89" s="5"/>
      <c r="AH89" s="5"/>
    </row>
    <row r="90" spans="1:34" ht="19.5" customHeight="1">
      <c r="A90" s="17"/>
      <c r="B90" s="651" t="s">
        <v>203</v>
      </c>
      <c r="C90" s="651">
        <v>181</v>
      </c>
      <c r="D90" s="651">
        <v>175</v>
      </c>
      <c r="E90" s="651">
        <v>151</v>
      </c>
      <c r="F90" s="651">
        <v>0.495</v>
      </c>
      <c r="G90" s="651">
        <v>7.9200000000000007E-2</v>
      </c>
      <c r="H90" s="643"/>
      <c r="I90" s="4"/>
      <c r="J90" s="4"/>
      <c r="K90" s="4"/>
      <c r="L90" s="4"/>
      <c r="M90" s="4"/>
      <c r="N90" s="4"/>
      <c r="O90" s="4"/>
      <c r="P90" s="4"/>
      <c r="Q90" s="4"/>
      <c r="R90" s="4"/>
      <c r="S90" s="4"/>
      <c r="T90" s="4"/>
      <c r="U90" s="4"/>
      <c r="V90" s="5"/>
      <c r="W90" s="5"/>
      <c r="X90" s="5"/>
      <c r="Y90" s="5"/>
      <c r="Z90" s="5"/>
      <c r="AA90" s="5"/>
      <c r="AB90" s="5"/>
      <c r="AC90" s="5"/>
      <c r="AD90" s="5"/>
      <c r="AE90" s="5"/>
      <c r="AF90" s="5"/>
      <c r="AG90" s="5"/>
      <c r="AH90" s="5"/>
    </row>
    <row r="91" spans="1:34" ht="19.5" customHeight="1">
      <c r="A91" s="17"/>
      <c r="B91" s="651" t="s">
        <v>204</v>
      </c>
      <c r="C91" s="651">
        <v>230</v>
      </c>
      <c r="D91" s="651">
        <v>212</v>
      </c>
      <c r="E91" s="651">
        <v>182</v>
      </c>
      <c r="F91" s="651">
        <v>0.31900000000000001</v>
      </c>
      <c r="G91" s="660">
        <v>7.5200000000000003E-2</v>
      </c>
      <c r="H91" s="643"/>
      <c r="I91" s="4"/>
      <c r="J91" s="4"/>
      <c r="K91" s="4"/>
      <c r="L91" s="4"/>
      <c r="M91" s="4"/>
      <c r="N91" s="4"/>
      <c r="O91" s="4"/>
      <c r="P91" s="4"/>
      <c r="Q91" s="4"/>
      <c r="R91" s="4"/>
      <c r="S91" s="4"/>
      <c r="T91" s="4"/>
      <c r="U91" s="4"/>
      <c r="V91" s="5"/>
      <c r="W91" s="5"/>
      <c r="X91" s="5"/>
      <c r="Y91" s="5"/>
      <c r="Z91" s="5"/>
      <c r="AA91" s="5"/>
      <c r="AB91" s="5"/>
      <c r="AC91" s="5"/>
      <c r="AD91" s="5"/>
      <c r="AE91" s="5"/>
      <c r="AF91" s="5"/>
      <c r="AG91" s="5"/>
      <c r="AH91" s="5"/>
    </row>
    <row r="92" spans="1:34" ht="19.5" customHeight="1">
      <c r="A92" s="17"/>
      <c r="B92" s="7"/>
      <c r="C92" s="7"/>
      <c r="D92" s="7"/>
      <c r="E92" s="7"/>
      <c r="F92" s="58"/>
      <c r="G92" s="58"/>
      <c r="H92" s="59"/>
      <c r="I92" s="4"/>
      <c r="U92" s="5"/>
      <c r="V92" s="5"/>
      <c r="W92" s="5"/>
      <c r="X92" s="5"/>
      <c r="Y92" s="5"/>
      <c r="Z92" s="5"/>
      <c r="AA92" s="5"/>
      <c r="AB92" s="5"/>
      <c r="AC92" s="5"/>
      <c r="AD92" s="5"/>
      <c r="AE92" s="5"/>
      <c r="AF92" s="5"/>
      <c r="AG92" s="5"/>
      <c r="AH92" s="5"/>
    </row>
    <row r="93" spans="1:34" ht="19.5" customHeight="1" thickBot="1">
      <c r="A93" s="22"/>
      <c r="B93" s="23"/>
      <c r="C93" s="24"/>
      <c r="D93" s="23"/>
      <c r="E93" s="23"/>
      <c r="F93" s="23"/>
      <c r="G93" s="23"/>
      <c r="H93" s="25"/>
      <c r="I93" s="5"/>
      <c r="U93" s="5"/>
      <c r="V93" s="5"/>
      <c r="W93" s="5"/>
      <c r="X93" s="5"/>
      <c r="Y93" s="5"/>
      <c r="Z93" s="5"/>
      <c r="AA93" s="5"/>
      <c r="AB93" s="5"/>
      <c r="AC93" s="5"/>
      <c r="AD93" s="5"/>
      <c r="AE93" s="5"/>
      <c r="AF93" s="5"/>
      <c r="AG93" s="5"/>
      <c r="AH93" s="5"/>
    </row>
    <row r="94" spans="1:34" ht="19.5" customHeight="1" thickBot="1">
      <c r="A94" s="5"/>
      <c r="B94" s="4"/>
      <c r="C94" s="6"/>
      <c r="D94" s="4"/>
      <c r="E94" s="4"/>
      <c r="F94" s="4"/>
      <c r="G94" s="4"/>
      <c r="H94" s="4"/>
      <c r="I94" s="4"/>
      <c r="J94" s="4"/>
      <c r="K94" s="5"/>
      <c r="L94" s="5"/>
      <c r="M94" s="5"/>
      <c r="N94" s="5"/>
      <c r="O94" s="4"/>
      <c r="P94" s="4"/>
      <c r="Q94" s="4"/>
      <c r="R94" s="4"/>
      <c r="S94" s="5"/>
      <c r="T94" s="5"/>
      <c r="U94" s="5"/>
      <c r="V94" s="5"/>
      <c r="W94" s="5"/>
      <c r="X94" s="5"/>
      <c r="Y94" s="5"/>
      <c r="Z94" s="5"/>
      <c r="AA94" s="5"/>
      <c r="AB94" s="5"/>
      <c r="AC94" s="5"/>
      <c r="AD94" s="5"/>
      <c r="AE94" s="5"/>
      <c r="AF94" s="5"/>
      <c r="AG94" s="5"/>
      <c r="AH94" s="5"/>
    </row>
    <row r="95" spans="1:34" ht="19.5" customHeight="1">
      <c r="A95" s="14"/>
      <c r="B95" s="967" t="s">
        <v>205</v>
      </c>
      <c r="C95" s="968"/>
      <c r="D95" s="968"/>
      <c r="E95" s="968"/>
      <c r="F95" s="969"/>
      <c r="G95" s="26"/>
      <c r="H95" s="16"/>
      <c r="I95" s="4"/>
      <c r="J95" s="9"/>
      <c r="K95" s="9"/>
      <c r="L95" s="9"/>
      <c r="M95" s="9"/>
      <c r="N95" s="9"/>
      <c r="O95" s="10"/>
      <c r="P95" s="4"/>
      <c r="Q95" s="4"/>
      <c r="R95" s="4"/>
      <c r="S95" s="5"/>
      <c r="T95" s="5"/>
      <c r="U95" s="5"/>
      <c r="V95" s="5"/>
      <c r="W95" s="5"/>
      <c r="X95" s="5"/>
      <c r="Y95" s="5"/>
      <c r="Z95" s="5"/>
      <c r="AA95" s="5"/>
      <c r="AB95" s="5"/>
      <c r="AC95" s="5"/>
      <c r="AD95" s="5"/>
      <c r="AE95" s="5"/>
      <c r="AF95" s="5"/>
      <c r="AG95" s="5"/>
      <c r="AH95" s="5"/>
    </row>
    <row r="96" spans="1:34" ht="19.5" customHeight="1">
      <c r="A96" s="17"/>
      <c r="B96" s="4"/>
      <c r="C96" s="4"/>
      <c r="D96" s="4"/>
      <c r="E96" s="4"/>
      <c r="F96" s="4"/>
      <c r="G96" s="4"/>
      <c r="H96" s="18"/>
      <c r="I96" s="4"/>
      <c r="J96" s="4"/>
      <c r="K96" s="4"/>
      <c r="L96" s="4"/>
      <c r="M96" s="4"/>
      <c r="N96" s="4"/>
      <c r="O96" s="4"/>
      <c r="P96" s="4"/>
      <c r="Q96" s="4"/>
      <c r="R96" s="4"/>
      <c r="S96" s="5"/>
      <c r="T96" s="5"/>
      <c r="U96" s="5"/>
      <c r="V96" s="5"/>
      <c r="W96" s="5"/>
      <c r="X96" s="5"/>
      <c r="Y96" s="5"/>
      <c r="Z96" s="5"/>
      <c r="AA96" s="5"/>
      <c r="AB96" s="5"/>
      <c r="AC96" s="5"/>
      <c r="AD96" s="5"/>
      <c r="AE96" s="5"/>
      <c r="AF96" s="5"/>
      <c r="AG96" s="5"/>
      <c r="AH96" s="5"/>
    </row>
    <row r="97" spans="1:34" ht="19.5" customHeight="1">
      <c r="A97" s="17"/>
      <c r="B97" s="45" t="s">
        <v>206</v>
      </c>
      <c r="C97" s="44"/>
      <c r="D97" s="45"/>
      <c r="E97" s="45"/>
      <c r="F97" s="45" t="s">
        <v>207</v>
      </c>
      <c r="G97" s="46"/>
      <c r="H97" s="18"/>
      <c r="I97" s="4"/>
      <c r="P97" s="4"/>
      <c r="Q97" s="4"/>
      <c r="R97" s="4"/>
      <c r="S97" s="5"/>
      <c r="T97" s="5"/>
      <c r="U97" s="5"/>
      <c r="V97" s="5"/>
      <c r="W97" s="5"/>
      <c r="X97" s="5"/>
      <c r="Y97" s="5"/>
      <c r="Z97" s="5"/>
      <c r="AA97" s="5"/>
      <c r="AB97" s="5"/>
      <c r="AC97" s="5"/>
      <c r="AD97" s="5"/>
      <c r="AE97" s="5"/>
      <c r="AF97" s="5"/>
      <c r="AG97" s="5"/>
      <c r="AH97" s="5"/>
    </row>
    <row r="98" spans="1:34" ht="19.5" customHeight="1">
      <c r="A98" s="17"/>
      <c r="B98" s="7"/>
      <c r="C98" s="7"/>
      <c r="D98" s="7"/>
      <c r="E98" s="7"/>
      <c r="F98" s="7"/>
      <c r="G98" s="7"/>
      <c r="H98" s="18"/>
      <c r="I98" s="4"/>
      <c r="P98" s="4"/>
      <c r="Q98" s="4"/>
      <c r="R98" s="4"/>
      <c r="S98" s="5"/>
      <c r="T98" s="5"/>
      <c r="U98" s="5"/>
      <c r="V98" s="5"/>
      <c r="W98" s="5"/>
      <c r="X98" s="5"/>
      <c r="Y98" s="5"/>
      <c r="Z98" s="5"/>
      <c r="AA98" s="5"/>
      <c r="AB98" s="5"/>
      <c r="AC98" s="5"/>
      <c r="AD98" s="5"/>
      <c r="AE98" s="5"/>
      <c r="AF98" s="5"/>
      <c r="AG98" s="5"/>
      <c r="AH98" s="5"/>
    </row>
    <row r="99" spans="1:34" ht="73.5" customHeight="1">
      <c r="A99" s="17"/>
      <c r="B99" s="1042" t="s">
        <v>109</v>
      </c>
      <c r="C99" s="1031" t="s">
        <v>110</v>
      </c>
      <c r="D99" s="1032"/>
      <c r="E99" s="1033"/>
      <c r="F99" s="1042" t="s">
        <v>208</v>
      </c>
      <c r="G99" s="1042" t="s">
        <v>209</v>
      </c>
      <c r="H99" s="1037" t="s">
        <v>210</v>
      </c>
      <c r="I99" s="1043" t="s">
        <v>211</v>
      </c>
      <c r="J99" s="1034" t="s">
        <v>115</v>
      </c>
      <c r="K99" s="1036" t="s">
        <v>952</v>
      </c>
      <c r="L99" s="1036" t="s">
        <v>212</v>
      </c>
      <c r="M99" s="1036"/>
      <c r="N99" s="1036" t="s">
        <v>118</v>
      </c>
      <c r="O99" s="1036" t="s">
        <v>213</v>
      </c>
      <c r="P99" s="1036"/>
      <c r="Q99" s="1031" t="s">
        <v>214</v>
      </c>
      <c r="R99" s="1032"/>
      <c r="S99" s="1033"/>
      <c r="U99" s="10"/>
      <c r="V99" s="10"/>
      <c r="X99" s="10"/>
      <c r="Y99" s="10"/>
      <c r="Z99" s="5"/>
      <c r="AA99" s="5"/>
      <c r="AB99" s="5"/>
      <c r="AC99" s="5"/>
      <c r="AD99" s="5"/>
      <c r="AE99" s="5"/>
      <c r="AF99" s="5"/>
      <c r="AG99" s="5"/>
      <c r="AH99" s="5"/>
    </row>
    <row r="100" spans="1:34" ht="60" customHeight="1">
      <c r="A100" s="17"/>
      <c r="B100" s="955"/>
      <c r="C100" s="622" t="s">
        <v>215</v>
      </c>
      <c r="D100" s="622" t="s">
        <v>216</v>
      </c>
      <c r="E100" s="622" t="s">
        <v>217</v>
      </c>
      <c r="F100" s="955"/>
      <c r="G100" s="955"/>
      <c r="H100" s="966"/>
      <c r="I100" s="975"/>
      <c r="J100" s="1044"/>
      <c r="K100" s="1042"/>
      <c r="L100" s="659" t="s">
        <v>218</v>
      </c>
      <c r="M100" s="659" t="s">
        <v>125</v>
      </c>
      <c r="N100" s="1042"/>
      <c r="O100" s="659" t="s">
        <v>126</v>
      </c>
      <c r="P100" s="659" t="s">
        <v>127</v>
      </c>
      <c r="Q100" s="659" t="s">
        <v>128</v>
      </c>
      <c r="R100" s="659" t="s">
        <v>126</v>
      </c>
      <c r="S100" s="659" t="s">
        <v>127</v>
      </c>
      <c r="U100" s="10"/>
      <c r="V100" s="10"/>
      <c r="W100" s="10"/>
      <c r="X100" s="10"/>
      <c r="Y100" s="10"/>
      <c r="Z100" s="5"/>
      <c r="AA100" s="5"/>
      <c r="AB100" s="5"/>
      <c r="AC100" s="5"/>
      <c r="AD100" s="5"/>
      <c r="AE100" s="5"/>
      <c r="AF100" s="5"/>
      <c r="AG100" s="5"/>
      <c r="AH100" s="5"/>
    </row>
    <row r="101" spans="1:34" ht="19.5" customHeight="1">
      <c r="A101" s="17"/>
      <c r="B101" s="651" t="s">
        <v>219</v>
      </c>
      <c r="C101" s="651">
        <v>296</v>
      </c>
      <c r="D101" s="651">
        <v>239</v>
      </c>
      <c r="E101" s="651">
        <v>227</v>
      </c>
      <c r="F101" s="651">
        <v>0.34200000000000003</v>
      </c>
      <c r="G101" s="651">
        <v>0.121</v>
      </c>
      <c r="H101" s="625">
        <v>26</v>
      </c>
      <c r="I101" s="999" t="s">
        <v>220</v>
      </c>
      <c r="J101" s="626" t="s">
        <v>131</v>
      </c>
      <c r="K101" s="627">
        <v>0.91</v>
      </c>
      <c r="L101" s="627">
        <v>0.9</v>
      </c>
      <c r="M101" s="627">
        <v>0.97</v>
      </c>
      <c r="N101" s="627" t="s">
        <v>132</v>
      </c>
      <c r="O101" s="627" t="s">
        <v>132</v>
      </c>
      <c r="P101" s="627" t="s">
        <v>132</v>
      </c>
      <c r="Q101" s="629"/>
      <c r="R101" s="629"/>
      <c r="S101" s="629"/>
      <c r="U101" s="10"/>
      <c r="V101" s="10"/>
      <c r="W101" s="10"/>
      <c r="X101" s="10"/>
      <c r="Y101" s="10"/>
      <c r="Z101" s="5"/>
      <c r="AA101" s="5"/>
      <c r="AB101" s="5"/>
      <c r="AC101" s="5"/>
      <c r="AD101" s="5"/>
      <c r="AE101" s="5"/>
      <c r="AF101" s="5"/>
      <c r="AG101" s="5"/>
      <c r="AH101" s="5"/>
    </row>
    <row r="102" spans="1:34" ht="19.5" customHeight="1">
      <c r="A102" s="17"/>
      <c r="B102" s="651" t="s">
        <v>221</v>
      </c>
      <c r="C102" s="651">
        <v>361</v>
      </c>
      <c r="D102" s="651">
        <v>285</v>
      </c>
      <c r="E102" s="651">
        <v>271</v>
      </c>
      <c r="F102" s="651">
        <v>0.247</v>
      </c>
      <c r="G102" s="651">
        <v>0.11600000000000001</v>
      </c>
      <c r="H102" s="625">
        <v>27</v>
      </c>
      <c r="I102" s="1000"/>
      <c r="J102" s="656" t="s">
        <v>123</v>
      </c>
      <c r="K102" s="627" t="s">
        <v>132</v>
      </c>
      <c r="L102" s="627">
        <v>0.64</v>
      </c>
      <c r="M102" s="627">
        <v>0.8</v>
      </c>
      <c r="N102" s="627">
        <v>0.89</v>
      </c>
      <c r="O102" s="627">
        <v>0.95</v>
      </c>
      <c r="P102" s="627">
        <v>0.97</v>
      </c>
      <c r="Q102" s="633">
        <v>120</v>
      </c>
      <c r="R102" s="634">
        <v>1.0900000000000001</v>
      </c>
      <c r="S102" s="318">
        <v>1.05</v>
      </c>
      <c r="U102" s="10"/>
      <c r="V102" s="10"/>
      <c r="W102" s="10"/>
      <c r="X102" s="10"/>
      <c r="Y102" s="10"/>
      <c r="Z102" s="5"/>
      <c r="AA102" s="5"/>
      <c r="AB102" s="5"/>
      <c r="AC102" s="5"/>
      <c r="AD102" s="5"/>
      <c r="AE102" s="5"/>
      <c r="AF102" s="5"/>
      <c r="AG102" s="5"/>
      <c r="AH102" s="5"/>
    </row>
    <row r="103" spans="1:34" ht="19.5" customHeight="1">
      <c r="A103" s="17"/>
      <c r="B103" s="651" t="s">
        <v>222</v>
      </c>
      <c r="C103" s="651">
        <v>417</v>
      </c>
      <c r="D103" s="651">
        <v>323</v>
      </c>
      <c r="E103" s="651">
        <v>308</v>
      </c>
      <c r="F103" s="651">
        <v>0.19600000000000001</v>
      </c>
      <c r="G103" s="651">
        <v>0.111</v>
      </c>
      <c r="H103" s="625">
        <v>29</v>
      </c>
      <c r="I103" s="4"/>
      <c r="J103" s="656" t="s">
        <v>122</v>
      </c>
      <c r="K103" s="627" t="s">
        <v>132</v>
      </c>
      <c r="L103" s="627">
        <v>0.64</v>
      </c>
      <c r="M103" s="627">
        <v>0.8</v>
      </c>
      <c r="N103" s="627">
        <v>0.89</v>
      </c>
      <c r="O103" s="627">
        <v>0.95</v>
      </c>
      <c r="P103" s="627">
        <v>0.96</v>
      </c>
      <c r="Q103" s="633">
        <v>150</v>
      </c>
      <c r="R103" s="634">
        <v>1.0900000000000001</v>
      </c>
      <c r="S103" s="318">
        <v>1.05</v>
      </c>
      <c r="U103" s="10"/>
      <c r="V103" s="10"/>
      <c r="W103" s="10"/>
      <c r="X103" s="10"/>
      <c r="Y103" s="10"/>
      <c r="Z103" s="5"/>
      <c r="AA103" s="5"/>
      <c r="AB103" s="5"/>
      <c r="AC103" s="5"/>
      <c r="AD103" s="5"/>
      <c r="AE103" s="5"/>
      <c r="AF103" s="5"/>
      <c r="AG103" s="5"/>
      <c r="AH103" s="5"/>
    </row>
    <row r="104" spans="1:34" ht="38.25" customHeight="1">
      <c r="A104" s="17"/>
      <c r="B104" s="651" t="s">
        <v>223</v>
      </c>
      <c r="C104" s="651">
        <v>473</v>
      </c>
      <c r="D104" s="651">
        <v>361</v>
      </c>
      <c r="E104" s="651">
        <v>343</v>
      </c>
      <c r="F104" s="651">
        <v>0.159</v>
      </c>
      <c r="G104" s="651">
        <v>0.109</v>
      </c>
      <c r="H104" s="625">
        <v>30</v>
      </c>
      <c r="I104" s="4"/>
      <c r="J104" s="664" t="s">
        <v>136</v>
      </c>
      <c r="K104" s="627">
        <v>0.91</v>
      </c>
      <c r="L104" s="627">
        <v>0.9</v>
      </c>
      <c r="M104" s="627">
        <v>0.97</v>
      </c>
      <c r="N104" s="627" t="s">
        <v>132</v>
      </c>
      <c r="O104" s="627" t="s">
        <v>132</v>
      </c>
      <c r="P104" s="627" t="s">
        <v>132</v>
      </c>
      <c r="Q104" s="633">
        <v>185</v>
      </c>
      <c r="R104" s="634">
        <v>1.0900000000000001</v>
      </c>
      <c r="S104" s="318">
        <v>1.05</v>
      </c>
      <c r="U104" s="10"/>
      <c r="V104" s="10"/>
      <c r="W104" s="10"/>
      <c r="X104" s="10"/>
      <c r="Y104" s="10"/>
      <c r="Z104" s="5"/>
      <c r="AA104" s="5"/>
      <c r="AB104" s="5"/>
      <c r="AC104" s="5"/>
      <c r="AD104" s="5"/>
      <c r="AE104" s="5"/>
      <c r="AF104" s="5"/>
      <c r="AG104" s="5"/>
      <c r="AH104" s="5"/>
    </row>
    <row r="105" spans="1:34" ht="44.25" customHeight="1">
      <c r="A105" s="17"/>
      <c r="B105" s="651" t="s">
        <v>129</v>
      </c>
      <c r="C105" s="651">
        <v>543</v>
      </c>
      <c r="D105" s="651">
        <v>406</v>
      </c>
      <c r="E105" s="651">
        <v>387</v>
      </c>
      <c r="F105" s="651">
        <v>0.128</v>
      </c>
      <c r="G105" s="651">
        <v>0.105</v>
      </c>
      <c r="H105" s="625">
        <v>33</v>
      </c>
      <c r="I105" s="4"/>
      <c r="Q105" s="633">
        <v>240</v>
      </c>
      <c r="R105" s="634">
        <v>1.0900000000000001</v>
      </c>
      <c r="S105" s="318">
        <v>1.05</v>
      </c>
      <c r="U105" s="10"/>
      <c r="V105" s="10"/>
      <c r="W105" s="10"/>
      <c r="X105" s="10"/>
      <c r="Y105" s="10"/>
      <c r="Z105" s="5"/>
      <c r="AA105" s="5"/>
      <c r="AB105" s="5"/>
      <c r="AC105" s="5"/>
      <c r="AD105" s="5"/>
      <c r="AE105" s="5"/>
      <c r="AF105" s="5"/>
      <c r="AG105" s="5"/>
      <c r="AH105" s="5"/>
    </row>
    <row r="106" spans="1:34" ht="19.5" customHeight="1">
      <c r="A106" s="17"/>
      <c r="B106" s="651" t="s">
        <v>133</v>
      </c>
      <c r="C106" s="651">
        <v>641</v>
      </c>
      <c r="D106" s="651">
        <v>469</v>
      </c>
      <c r="E106" s="651">
        <v>447</v>
      </c>
      <c r="F106" s="651">
        <v>9.8000000000000004E-2</v>
      </c>
      <c r="G106" s="651">
        <v>0.10100000000000001</v>
      </c>
      <c r="H106" s="625">
        <v>35</v>
      </c>
      <c r="Q106" s="633">
        <v>300</v>
      </c>
      <c r="R106" s="634">
        <v>1.0900000000000001</v>
      </c>
      <c r="S106" s="318">
        <v>1.05</v>
      </c>
      <c r="U106" s="10"/>
      <c r="V106" s="10"/>
      <c r="W106" s="10"/>
      <c r="X106" s="10"/>
      <c r="Y106" s="10"/>
      <c r="Z106" s="5"/>
      <c r="AA106" s="5"/>
      <c r="AB106" s="5"/>
      <c r="AC106" s="5"/>
      <c r="AD106" s="5"/>
      <c r="AE106" s="5"/>
      <c r="AF106" s="5"/>
      <c r="AG106" s="5"/>
      <c r="AH106" s="5"/>
    </row>
    <row r="107" spans="1:34" ht="19.5" customHeight="1">
      <c r="A107" s="17"/>
      <c r="B107" s="651" t="s">
        <v>134</v>
      </c>
      <c r="C107" s="651">
        <v>735</v>
      </c>
      <c r="D107" s="651">
        <v>526</v>
      </c>
      <c r="E107" s="651">
        <v>504</v>
      </c>
      <c r="F107" s="651">
        <v>7.9000000000000001E-2</v>
      </c>
      <c r="G107" s="651">
        <v>0.1</v>
      </c>
      <c r="H107" s="625">
        <v>38</v>
      </c>
      <c r="Q107" s="633">
        <v>400</v>
      </c>
      <c r="R107" s="634">
        <v>1.0900000000000001</v>
      </c>
      <c r="S107" s="318">
        <v>1.05</v>
      </c>
      <c r="U107" s="10"/>
      <c r="V107" s="10"/>
      <c r="W107" s="10"/>
      <c r="X107" s="10"/>
      <c r="Y107" s="10"/>
      <c r="Z107" s="5"/>
      <c r="AA107" s="5"/>
      <c r="AB107" s="5"/>
      <c r="AC107" s="5"/>
      <c r="AD107" s="5"/>
      <c r="AE107" s="5"/>
      <c r="AF107" s="5"/>
      <c r="AG107" s="5"/>
      <c r="AH107" s="5"/>
    </row>
    <row r="108" spans="1:34" ht="19.5" customHeight="1">
      <c r="A108" s="17"/>
      <c r="B108" s="651" t="s">
        <v>135</v>
      </c>
      <c r="C108" s="651">
        <v>845</v>
      </c>
      <c r="D108" s="651">
        <v>590</v>
      </c>
      <c r="E108" s="651">
        <v>564</v>
      </c>
      <c r="F108" s="651">
        <v>6.3E-2</v>
      </c>
      <c r="G108" s="651">
        <v>9.6000000000000002E-2</v>
      </c>
      <c r="H108" s="625">
        <v>41</v>
      </c>
      <c r="Q108" s="633">
        <v>500</v>
      </c>
      <c r="R108" s="634">
        <v>1.0900000000000001</v>
      </c>
      <c r="S108" s="318">
        <v>1.05</v>
      </c>
      <c r="U108" s="10"/>
      <c r="V108" s="10"/>
      <c r="W108" s="10"/>
      <c r="X108" s="10"/>
      <c r="Y108" s="10"/>
      <c r="Z108" s="5"/>
      <c r="AA108" s="5"/>
      <c r="AB108" s="5"/>
      <c r="AC108" s="5"/>
      <c r="AD108" s="5"/>
      <c r="AE108" s="5"/>
      <c r="AF108" s="5"/>
      <c r="AG108" s="5"/>
      <c r="AH108" s="5"/>
    </row>
    <row r="109" spans="1:34" ht="19.5" customHeight="1">
      <c r="A109" s="17"/>
      <c r="B109" s="651" t="s">
        <v>137</v>
      </c>
      <c r="C109" s="651">
        <v>942</v>
      </c>
      <c r="D109" s="651">
        <v>640</v>
      </c>
      <c r="E109" s="651">
        <v>608</v>
      </c>
      <c r="F109" s="651">
        <v>0.05</v>
      </c>
      <c r="G109" s="651">
        <v>9.5000000000000001E-2</v>
      </c>
      <c r="H109" s="625">
        <v>47</v>
      </c>
      <c r="Q109" s="633">
        <v>630</v>
      </c>
      <c r="R109" s="634">
        <v>1.0900000000000001</v>
      </c>
      <c r="S109" s="318">
        <v>1.05</v>
      </c>
      <c r="U109" s="10"/>
      <c r="V109" s="10"/>
      <c r="W109" s="10"/>
      <c r="X109" s="10"/>
      <c r="Y109" s="10"/>
      <c r="Z109" s="5"/>
      <c r="AA109" s="5"/>
      <c r="AB109" s="5"/>
      <c r="AC109" s="5"/>
      <c r="AD109" s="5"/>
      <c r="AE109" s="5"/>
      <c r="AF109" s="5"/>
      <c r="AG109" s="5"/>
      <c r="AH109" s="5"/>
    </row>
    <row r="110" spans="1:34" ht="19.5" customHeight="1">
      <c r="A110" s="17"/>
      <c r="B110" s="651" t="s">
        <v>138</v>
      </c>
      <c r="C110" s="651">
        <v>1071</v>
      </c>
      <c r="D110" s="651">
        <v>712</v>
      </c>
      <c r="E110" s="651">
        <v>676.4</v>
      </c>
      <c r="F110" s="651">
        <v>4.1000000000000002E-2</v>
      </c>
      <c r="G110" s="651">
        <v>9.2999999999999999E-2</v>
      </c>
      <c r="H110" s="625">
        <v>51</v>
      </c>
      <c r="U110" s="10"/>
      <c r="V110" s="10"/>
      <c r="W110" s="10"/>
      <c r="X110" s="10"/>
      <c r="Y110" s="10"/>
      <c r="Z110" s="5"/>
      <c r="AA110" s="5"/>
      <c r="AB110" s="5"/>
      <c r="AC110" s="5"/>
      <c r="AD110" s="5"/>
      <c r="AE110" s="5"/>
      <c r="AF110" s="5"/>
      <c r="AG110" s="5"/>
      <c r="AH110" s="5"/>
    </row>
    <row r="111" spans="1:34" ht="19.5" customHeight="1">
      <c r="A111" s="17"/>
      <c r="B111" s="651" t="s">
        <v>224</v>
      </c>
      <c r="C111" s="651">
        <v>1210</v>
      </c>
      <c r="D111" s="651">
        <v>781</v>
      </c>
      <c r="E111" s="651">
        <v>741.95</v>
      </c>
      <c r="F111" s="651">
        <v>3.4000000000000002E-2</v>
      </c>
      <c r="G111" s="651">
        <v>0.09</v>
      </c>
      <c r="H111" s="625">
        <v>55</v>
      </c>
      <c r="U111" s="10"/>
      <c r="V111" s="10"/>
      <c r="W111" s="10"/>
      <c r="X111" s="10"/>
      <c r="Y111" s="10"/>
      <c r="Z111" s="5"/>
      <c r="AA111" s="5"/>
      <c r="AB111" s="5"/>
      <c r="AC111" s="5"/>
      <c r="AD111" s="5"/>
      <c r="AE111" s="5"/>
      <c r="AF111" s="5"/>
      <c r="AG111" s="5"/>
      <c r="AH111" s="5"/>
    </row>
    <row r="112" spans="1:34" ht="19.5" customHeight="1">
      <c r="A112" s="17"/>
      <c r="B112" s="651" t="s">
        <v>225</v>
      </c>
      <c r="C112" s="651">
        <v>1332</v>
      </c>
      <c r="D112" s="651">
        <v>841</v>
      </c>
      <c r="E112" s="651">
        <v>798.95</v>
      </c>
      <c r="F112" s="651">
        <v>2.9000000000000001E-2</v>
      </c>
      <c r="G112" s="651">
        <v>8.7999999999999995E-2</v>
      </c>
      <c r="H112" s="625">
        <v>59</v>
      </c>
      <c r="U112" s="10"/>
      <c r="V112" s="10"/>
      <c r="W112" s="10"/>
      <c r="X112" s="10"/>
      <c r="Y112" s="10"/>
      <c r="Z112" s="5"/>
      <c r="AA112" s="5"/>
      <c r="AB112" s="5"/>
      <c r="AC112" s="5"/>
      <c r="AD112" s="5"/>
      <c r="AE112" s="5"/>
      <c r="AF112" s="5"/>
      <c r="AG112" s="5"/>
      <c r="AH112" s="5"/>
    </row>
    <row r="113" spans="1:34" ht="19.5" customHeight="1">
      <c r="A113" s="17"/>
      <c r="B113" s="651"/>
      <c r="C113" s="651"/>
      <c r="D113" s="651"/>
      <c r="E113" s="651"/>
      <c r="F113" s="651"/>
      <c r="G113" s="651"/>
      <c r="H113" s="657"/>
      <c r="U113" s="10"/>
      <c r="V113" s="10"/>
      <c r="W113" s="10"/>
      <c r="X113" s="10"/>
      <c r="Y113" s="10"/>
      <c r="Z113" s="5"/>
      <c r="AA113" s="5"/>
      <c r="AB113" s="5"/>
      <c r="AC113" s="5"/>
      <c r="AD113" s="5"/>
      <c r="AE113" s="5"/>
      <c r="AF113" s="5"/>
      <c r="AG113" s="5"/>
      <c r="AH113" s="5"/>
    </row>
    <row r="114" spans="1:34" ht="19.5" customHeight="1">
      <c r="A114" s="17"/>
      <c r="H114" s="18"/>
      <c r="I114" s="7"/>
      <c r="J114" s="3"/>
      <c r="O114" s="3"/>
      <c r="T114" s="5"/>
      <c r="U114" s="5"/>
      <c r="V114" s="5"/>
      <c r="W114" s="5"/>
      <c r="X114" s="5"/>
      <c r="Y114" s="5"/>
      <c r="Z114" s="5"/>
      <c r="AA114" s="5"/>
      <c r="AB114" s="5"/>
      <c r="AC114" s="5"/>
      <c r="AD114" s="5"/>
      <c r="AE114" s="5"/>
      <c r="AF114" s="5"/>
      <c r="AG114" s="5"/>
      <c r="AH114" s="5"/>
    </row>
    <row r="115" spans="1:34" ht="19.5" customHeight="1">
      <c r="A115" s="27"/>
      <c r="H115" s="21"/>
      <c r="I115" s="7"/>
      <c r="J115" s="3"/>
      <c r="O115" s="3"/>
    </row>
    <row r="116" spans="1:34" ht="27.75" customHeight="1">
      <c r="A116" s="27"/>
      <c r="B116" s="45" t="s">
        <v>226</v>
      </c>
      <c r="C116" s="44"/>
      <c r="D116" s="45"/>
      <c r="E116" s="45"/>
      <c r="F116" s="45" t="s">
        <v>207</v>
      </c>
      <c r="G116" s="46"/>
      <c r="H116" s="21"/>
    </row>
    <row r="117" spans="1:34" ht="42" customHeight="1">
      <c r="A117" s="27"/>
      <c r="B117" s="1042" t="s">
        <v>109</v>
      </c>
      <c r="C117" s="1031" t="s">
        <v>110</v>
      </c>
      <c r="D117" s="1032"/>
      <c r="E117" s="1033"/>
      <c r="F117" s="1042" t="s">
        <v>208</v>
      </c>
      <c r="G117" s="1042" t="s">
        <v>209</v>
      </c>
      <c r="H117" s="1037" t="s">
        <v>210</v>
      </c>
    </row>
    <row r="118" spans="1:34" ht="32.25" customHeight="1">
      <c r="A118" s="27"/>
      <c r="B118" s="955"/>
      <c r="C118" s="622" t="s">
        <v>121</v>
      </c>
      <c r="D118" s="622" t="s">
        <v>122</v>
      </c>
      <c r="E118" s="622" t="s">
        <v>123</v>
      </c>
      <c r="F118" s="955"/>
      <c r="G118" s="955"/>
      <c r="H118" s="966"/>
    </row>
    <row r="119" spans="1:34" ht="19.5" customHeight="1">
      <c r="A119" s="27"/>
      <c r="B119" s="651" t="s">
        <v>167</v>
      </c>
      <c r="C119" s="651">
        <v>253</v>
      </c>
      <c r="D119" s="651">
        <v>220</v>
      </c>
      <c r="E119" s="651">
        <v>194</v>
      </c>
      <c r="F119" s="651">
        <v>0.34200000000000003</v>
      </c>
      <c r="G119" s="651">
        <v>9.6000000000000002E-2</v>
      </c>
      <c r="H119" s="658">
        <v>49</v>
      </c>
    </row>
    <row r="120" spans="1:34" ht="32.25" customHeight="1">
      <c r="A120" s="27"/>
      <c r="B120" s="651" t="s">
        <v>168</v>
      </c>
      <c r="C120" s="651">
        <v>307</v>
      </c>
      <c r="D120" s="651">
        <v>263</v>
      </c>
      <c r="E120" s="651">
        <v>232</v>
      </c>
      <c r="F120" s="651">
        <v>0.247</v>
      </c>
      <c r="G120" s="651">
        <v>9.2999999999999999E-2</v>
      </c>
      <c r="H120" s="658">
        <v>52</v>
      </c>
    </row>
    <row r="121" spans="1:34" ht="19.5" customHeight="1">
      <c r="A121" s="27"/>
      <c r="B121" s="651" t="s">
        <v>169</v>
      </c>
      <c r="C121" s="651">
        <v>352</v>
      </c>
      <c r="D121" s="651">
        <v>298</v>
      </c>
      <c r="E121" s="651">
        <v>264</v>
      </c>
      <c r="F121" s="651">
        <v>0.19600000000000001</v>
      </c>
      <c r="G121" s="651">
        <v>0.09</v>
      </c>
      <c r="H121" s="658">
        <v>56</v>
      </c>
    </row>
    <row r="122" spans="1:34" ht="19.5" customHeight="1">
      <c r="A122" s="27"/>
      <c r="B122" s="651" t="s">
        <v>170</v>
      </c>
      <c r="C122" s="651">
        <v>397</v>
      </c>
      <c r="D122" s="651">
        <v>332</v>
      </c>
      <c r="E122" s="651">
        <v>296</v>
      </c>
      <c r="F122" s="651">
        <v>0.159</v>
      </c>
      <c r="G122" s="651">
        <v>8.7999999999999995E-2</v>
      </c>
      <c r="H122" s="658">
        <v>58</v>
      </c>
    </row>
    <row r="123" spans="1:34" ht="19.5" customHeight="1">
      <c r="A123" s="27"/>
      <c r="B123" s="651" t="s">
        <v>171</v>
      </c>
      <c r="C123" s="651">
        <v>453</v>
      </c>
      <c r="D123" s="651">
        <v>374</v>
      </c>
      <c r="E123" s="651">
        <v>335</v>
      </c>
      <c r="F123" s="651">
        <v>0.128</v>
      </c>
      <c r="G123" s="651">
        <v>8.4000000000000005E-2</v>
      </c>
      <c r="H123" s="658">
        <v>63</v>
      </c>
    </row>
    <row r="124" spans="1:34" ht="19.5" customHeight="1">
      <c r="A124" s="27"/>
      <c r="B124" s="651" t="s">
        <v>172</v>
      </c>
      <c r="C124" s="651">
        <v>529</v>
      </c>
      <c r="D124" s="651">
        <v>431</v>
      </c>
      <c r="E124" s="651">
        <v>387</v>
      </c>
      <c r="F124" s="651">
        <v>9.9000000000000005E-2</v>
      </c>
      <c r="G124" s="651">
        <v>8.3000000000000004E-2</v>
      </c>
      <c r="H124" s="658">
        <v>69</v>
      </c>
    </row>
    <row r="125" spans="1:34" ht="19.5" customHeight="1">
      <c r="A125" s="27"/>
      <c r="B125" s="651" t="s">
        <v>173</v>
      </c>
      <c r="C125" s="651">
        <v>599</v>
      </c>
      <c r="D125" s="651">
        <v>482</v>
      </c>
      <c r="E125" s="651">
        <v>435</v>
      </c>
      <c r="F125" s="651">
        <v>0.08</v>
      </c>
      <c r="G125" s="651">
        <v>8.2000000000000003E-2</v>
      </c>
      <c r="H125" s="658">
        <v>75</v>
      </c>
    </row>
    <row r="126" spans="1:34" ht="19.5" customHeight="1">
      <c r="A126" s="27"/>
      <c r="B126" s="651" t="s">
        <v>174</v>
      </c>
      <c r="C126" s="651">
        <v>683</v>
      </c>
      <c r="D126" s="651">
        <v>541</v>
      </c>
      <c r="E126" s="651">
        <v>492</v>
      </c>
      <c r="F126" s="651">
        <v>6.4000000000000001E-2</v>
      </c>
      <c r="G126" s="651">
        <v>0.08</v>
      </c>
      <c r="H126" s="658">
        <v>84</v>
      </c>
    </row>
    <row r="127" spans="1:34" ht="19.5" customHeight="1">
      <c r="A127" s="27"/>
      <c r="H127" s="21"/>
    </row>
    <row r="128" spans="1:34" ht="19.5" customHeight="1">
      <c r="A128" s="27"/>
      <c r="H128" s="21"/>
      <c r="I128" s="8"/>
      <c r="K128" s="2"/>
      <c r="L128" s="2"/>
      <c r="M128" s="2"/>
      <c r="N128" s="2"/>
    </row>
    <row r="129" spans="1:25" ht="19.5" customHeight="1">
      <c r="A129" s="27"/>
      <c r="H129" s="21"/>
      <c r="I129" s="8"/>
      <c r="K129" s="2"/>
      <c r="L129" s="2"/>
      <c r="M129" s="2"/>
      <c r="N129" s="2"/>
    </row>
    <row r="130" spans="1:25" ht="19.5" customHeight="1" thickBot="1">
      <c r="A130" s="28"/>
      <c r="B130" s="29"/>
      <c r="C130" s="29"/>
      <c r="D130" s="29"/>
      <c r="E130" s="29"/>
      <c r="F130" s="29"/>
      <c r="G130" s="29"/>
      <c r="H130" s="30"/>
      <c r="I130" s="8"/>
    </row>
    <row r="131" spans="1:25" ht="19.5" customHeight="1">
      <c r="I131" s="8"/>
    </row>
    <row r="132" spans="1:25" ht="19.5" customHeight="1">
      <c r="I132" s="8"/>
    </row>
    <row r="133" spans="1:25" ht="19.5" customHeight="1">
      <c r="I133" s="8"/>
    </row>
    <row r="134" spans="1:25" ht="19.5" customHeight="1">
      <c r="I134" s="8"/>
    </row>
    <row r="135" spans="1:25" ht="19.5" customHeight="1" thickBot="1">
      <c r="I135" s="8"/>
    </row>
    <row r="136" spans="1:25" ht="19.5" customHeight="1">
      <c r="A136" s="31"/>
      <c r="B136" s="967" t="s">
        <v>231</v>
      </c>
      <c r="C136" s="968"/>
      <c r="D136" s="968"/>
      <c r="E136" s="968"/>
      <c r="F136" s="969"/>
      <c r="G136" s="32"/>
      <c r="H136" s="33"/>
      <c r="I136" s="8"/>
    </row>
    <row r="137" spans="1:25" ht="19.5" customHeight="1">
      <c r="A137" s="27"/>
      <c r="H137" s="21"/>
      <c r="I137" s="8"/>
    </row>
    <row r="138" spans="1:25" ht="28.5" customHeight="1">
      <c r="A138" s="27"/>
      <c r="B138" s="312" t="s">
        <v>206</v>
      </c>
      <c r="C138" s="648"/>
      <c r="D138" s="313"/>
      <c r="E138" s="313"/>
      <c r="F138" s="313" t="s">
        <v>232</v>
      </c>
      <c r="G138" s="314"/>
      <c r="H138" s="315"/>
    </row>
    <row r="139" spans="1:25" ht="98.25" customHeight="1">
      <c r="A139" s="27"/>
      <c r="B139" s="1042" t="s">
        <v>109</v>
      </c>
      <c r="C139" s="1031" t="s">
        <v>110</v>
      </c>
      <c r="D139" s="1032"/>
      <c r="E139" s="1033"/>
      <c r="F139" s="1042" t="s">
        <v>208</v>
      </c>
      <c r="G139" s="1042" t="s">
        <v>209</v>
      </c>
      <c r="H139" s="1042" t="s">
        <v>210</v>
      </c>
      <c r="I139" s="1001" t="s">
        <v>211</v>
      </c>
      <c r="J139" s="1034" t="s">
        <v>115</v>
      </c>
      <c r="K139" s="1036" t="s">
        <v>952</v>
      </c>
      <c r="L139" s="1036" t="s">
        <v>954</v>
      </c>
      <c r="M139" s="1036"/>
      <c r="N139" s="1036" t="s">
        <v>118</v>
      </c>
      <c r="O139" s="1036" t="s">
        <v>234</v>
      </c>
      <c r="P139" s="1036"/>
      <c r="Q139" s="1031" t="s">
        <v>235</v>
      </c>
      <c r="R139" s="1032"/>
      <c r="S139" s="1033"/>
      <c r="U139" s="659" t="s">
        <v>236</v>
      </c>
      <c r="V139" s="659" t="s">
        <v>237</v>
      </c>
      <c r="X139" s="659" t="s">
        <v>236</v>
      </c>
      <c r="Y139" s="659" t="s">
        <v>237</v>
      </c>
    </row>
    <row r="140" spans="1:25" ht="75" customHeight="1">
      <c r="A140" s="27"/>
      <c r="B140" s="955"/>
      <c r="C140" s="622" t="s">
        <v>238</v>
      </c>
      <c r="D140" s="622" t="s">
        <v>216</v>
      </c>
      <c r="E140" s="622" t="s">
        <v>217</v>
      </c>
      <c r="F140" s="955"/>
      <c r="G140" s="955"/>
      <c r="H140" s="955"/>
      <c r="I140" s="1002"/>
      <c r="J140" s="1044"/>
      <c r="K140" s="1042"/>
      <c r="L140" s="659" t="s">
        <v>218</v>
      </c>
      <c r="M140" s="659" t="s">
        <v>125</v>
      </c>
      <c r="N140" s="1042"/>
      <c r="O140" s="659" t="s">
        <v>126</v>
      </c>
      <c r="P140" s="659" t="s">
        <v>127</v>
      </c>
      <c r="Q140" s="659" t="s">
        <v>128</v>
      </c>
      <c r="R140" s="659" t="s">
        <v>126</v>
      </c>
      <c r="S140" s="659" t="s">
        <v>127</v>
      </c>
      <c r="U140" s="659" t="s">
        <v>126</v>
      </c>
      <c r="V140" s="659" t="s">
        <v>126</v>
      </c>
      <c r="X140" s="659" t="s">
        <v>127</v>
      </c>
      <c r="Y140" s="659" t="s">
        <v>127</v>
      </c>
    </row>
    <row r="141" spans="1:25" ht="20.100000000000001" customHeight="1">
      <c r="A141" s="27"/>
      <c r="B141" s="624" t="s">
        <v>219</v>
      </c>
      <c r="C141" s="624">
        <v>296</v>
      </c>
      <c r="D141" s="624">
        <v>239</v>
      </c>
      <c r="E141" s="624">
        <v>227</v>
      </c>
      <c r="F141" s="651">
        <v>0.34200000000000003</v>
      </c>
      <c r="G141" s="651">
        <v>0.14499999999999999</v>
      </c>
      <c r="H141" s="317">
        <v>38</v>
      </c>
      <c r="I141" s="999" t="s">
        <v>239</v>
      </c>
      <c r="J141" s="626" t="s">
        <v>131</v>
      </c>
      <c r="K141" s="627">
        <v>0.91</v>
      </c>
      <c r="L141" s="627">
        <v>0.9</v>
      </c>
      <c r="M141" s="627">
        <v>0.97</v>
      </c>
      <c r="N141" s="627" t="s">
        <v>132</v>
      </c>
      <c r="O141" s="627" t="s">
        <v>132</v>
      </c>
      <c r="P141" s="627" t="s">
        <v>132</v>
      </c>
      <c r="Q141" s="629"/>
      <c r="R141" s="629"/>
      <c r="S141" s="629"/>
    </row>
    <row r="142" spans="1:25" ht="20.100000000000001" customHeight="1">
      <c r="A142" s="27"/>
      <c r="B142" s="624" t="s">
        <v>221</v>
      </c>
      <c r="C142" s="624">
        <v>361</v>
      </c>
      <c r="D142" s="624">
        <v>285</v>
      </c>
      <c r="E142" s="624">
        <v>271</v>
      </c>
      <c r="F142" s="651">
        <v>0.247</v>
      </c>
      <c r="G142" s="651">
        <v>0.13900000000000001</v>
      </c>
      <c r="H142" s="317">
        <v>40</v>
      </c>
      <c r="I142" s="1000"/>
      <c r="J142" s="656" t="s">
        <v>123</v>
      </c>
      <c r="K142" s="627" t="s">
        <v>132</v>
      </c>
      <c r="L142" s="627">
        <v>0.64</v>
      </c>
      <c r="M142" s="627">
        <v>0.8</v>
      </c>
      <c r="N142" s="627">
        <v>0.89</v>
      </c>
      <c r="O142" s="627">
        <v>0.93</v>
      </c>
      <c r="P142" s="627">
        <v>0.95</v>
      </c>
      <c r="Q142" s="633">
        <v>120</v>
      </c>
      <c r="R142" s="634">
        <v>1.0900000000000001</v>
      </c>
      <c r="S142" s="318">
        <v>1.05</v>
      </c>
      <c r="U142" s="634">
        <v>1.1299999999999999</v>
      </c>
      <c r="V142" s="634">
        <v>0.91</v>
      </c>
      <c r="X142" s="318">
        <v>1.0900000000000001</v>
      </c>
      <c r="Y142" s="318">
        <v>0.93</v>
      </c>
    </row>
    <row r="143" spans="1:25" ht="20.100000000000001" customHeight="1">
      <c r="A143" s="27"/>
      <c r="B143" s="624" t="s">
        <v>222</v>
      </c>
      <c r="C143" s="624">
        <v>417</v>
      </c>
      <c r="D143" s="624">
        <v>323</v>
      </c>
      <c r="E143" s="624">
        <v>308</v>
      </c>
      <c r="F143" s="651">
        <v>0.19600000000000001</v>
      </c>
      <c r="G143" s="651">
        <v>0.13300000000000001</v>
      </c>
      <c r="H143" s="317">
        <v>41</v>
      </c>
      <c r="I143" s="4"/>
      <c r="J143" s="656" t="s">
        <v>122</v>
      </c>
      <c r="K143" s="627" t="s">
        <v>132</v>
      </c>
      <c r="L143" s="627">
        <v>0.64</v>
      </c>
      <c r="M143" s="627">
        <v>0.8</v>
      </c>
      <c r="N143" s="627">
        <v>0.89</v>
      </c>
      <c r="O143" s="627">
        <v>0.93</v>
      </c>
      <c r="P143" s="627">
        <v>0.96</v>
      </c>
      <c r="Q143" s="633">
        <v>150</v>
      </c>
      <c r="R143" s="634">
        <v>1.0900000000000001</v>
      </c>
      <c r="S143" s="318">
        <v>1.05</v>
      </c>
      <c r="U143" s="634">
        <v>1.1299999999999999</v>
      </c>
      <c r="V143" s="634">
        <v>0.91</v>
      </c>
      <c r="X143" s="318">
        <v>1.0900000000000001</v>
      </c>
      <c r="Y143" s="318">
        <v>0.93</v>
      </c>
    </row>
    <row r="144" spans="1:25" ht="37.5" customHeight="1">
      <c r="A144" s="27"/>
      <c r="B144" s="624" t="s">
        <v>223</v>
      </c>
      <c r="C144" s="624">
        <v>473</v>
      </c>
      <c r="D144" s="624">
        <v>361</v>
      </c>
      <c r="E144" s="624">
        <v>343</v>
      </c>
      <c r="F144" s="651">
        <v>0.159</v>
      </c>
      <c r="G144" s="651">
        <v>0.13200000000000001</v>
      </c>
      <c r="H144" s="317">
        <v>44</v>
      </c>
      <c r="I144" s="4"/>
      <c r="J144" s="664" t="s">
        <v>136</v>
      </c>
      <c r="K144" s="627">
        <v>0.91</v>
      </c>
      <c r="L144" s="627">
        <v>0.9</v>
      </c>
      <c r="M144" s="627">
        <v>0.97</v>
      </c>
      <c r="N144" s="627" t="s">
        <v>132</v>
      </c>
      <c r="O144" s="627" t="s">
        <v>132</v>
      </c>
      <c r="P144" s="627" t="s">
        <v>132</v>
      </c>
      <c r="Q144" s="633">
        <v>185</v>
      </c>
      <c r="R144" s="634">
        <v>1.0900000000000001</v>
      </c>
      <c r="S144" s="318">
        <v>1.05</v>
      </c>
      <c r="U144" s="634">
        <v>1.1299999999999999</v>
      </c>
      <c r="V144" s="634">
        <v>0.91</v>
      </c>
      <c r="X144" s="318">
        <v>1.0900000000000001</v>
      </c>
      <c r="Y144" s="318">
        <v>0.93</v>
      </c>
    </row>
    <row r="145" spans="1:25" ht="20.100000000000001" customHeight="1">
      <c r="A145" s="27"/>
      <c r="B145" s="624" t="s">
        <v>129</v>
      </c>
      <c r="C145" s="624">
        <v>543</v>
      </c>
      <c r="D145" s="624">
        <v>406</v>
      </c>
      <c r="E145" s="624">
        <v>387</v>
      </c>
      <c r="F145" s="651">
        <v>0.128</v>
      </c>
      <c r="G145" s="651">
        <v>0.126</v>
      </c>
      <c r="H145" s="317">
        <v>46</v>
      </c>
      <c r="I145" s="4"/>
      <c r="Q145" s="633">
        <v>240</v>
      </c>
      <c r="R145" s="634">
        <v>1.0900000000000001</v>
      </c>
      <c r="S145" s="318">
        <v>1.05</v>
      </c>
      <c r="U145" s="634">
        <v>1.1399999999999999</v>
      </c>
      <c r="V145" s="634">
        <v>0.91</v>
      </c>
      <c r="X145" s="318">
        <v>1.1000000000000001</v>
      </c>
      <c r="Y145" s="318">
        <v>0.93</v>
      </c>
    </row>
    <row r="146" spans="1:25" ht="20.100000000000001" customHeight="1">
      <c r="A146" s="27"/>
      <c r="B146" s="624" t="s">
        <v>133</v>
      </c>
      <c r="C146" s="624">
        <v>641</v>
      </c>
      <c r="D146" s="624">
        <v>469</v>
      </c>
      <c r="E146" s="624">
        <v>447</v>
      </c>
      <c r="F146" s="651">
        <v>9.8000000000000004E-2</v>
      </c>
      <c r="G146" s="651">
        <v>0.121</v>
      </c>
      <c r="H146" s="317">
        <v>48</v>
      </c>
      <c r="Q146" s="633">
        <v>300</v>
      </c>
      <c r="R146" s="634">
        <v>1.0900000000000001</v>
      </c>
      <c r="S146" s="318">
        <v>1.05</v>
      </c>
      <c r="U146" s="634">
        <v>1.1399999999999999</v>
      </c>
      <c r="V146" s="634">
        <v>0.9</v>
      </c>
      <c r="X146" s="318">
        <v>1.1000000000000001</v>
      </c>
      <c r="Y146" s="318">
        <v>0.92</v>
      </c>
    </row>
    <row r="147" spans="1:25" ht="20.100000000000001" customHeight="1">
      <c r="A147" s="27"/>
      <c r="B147" s="624" t="s">
        <v>134</v>
      </c>
      <c r="C147" s="624">
        <v>735</v>
      </c>
      <c r="D147" s="624">
        <v>526</v>
      </c>
      <c r="E147" s="624">
        <v>504</v>
      </c>
      <c r="F147" s="651">
        <v>7.9000000000000001E-2</v>
      </c>
      <c r="G147" s="651">
        <v>0.11799999999999999</v>
      </c>
      <c r="H147" s="317">
        <v>50</v>
      </c>
      <c r="Q147" s="633">
        <v>400</v>
      </c>
      <c r="R147" s="634">
        <v>1.0900000000000001</v>
      </c>
      <c r="S147" s="318">
        <v>1.05</v>
      </c>
      <c r="U147" s="634">
        <v>1.1399999999999999</v>
      </c>
      <c r="V147" s="634">
        <v>0.9</v>
      </c>
      <c r="X147" s="318">
        <v>1.1000000000000001</v>
      </c>
      <c r="Y147" s="318">
        <v>0.92</v>
      </c>
    </row>
    <row r="148" spans="1:25" ht="20.100000000000001" customHeight="1">
      <c r="A148" s="27"/>
      <c r="B148" s="624" t="s">
        <v>135</v>
      </c>
      <c r="C148" s="624">
        <v>845</v>
      </c>
      <c r="D148" s="624">
        <v>590</v>
      </c>
      <c r="E148" s="624">
        <v>564</v>
      </c>
      <c r="F148" s="651">
        <v>6.3E-2</v>
      </c>
      <c r="G148" s="651">
        <v>0.112</v>
      </c>
      <c r="H148" s="317">
        <v>53</v>
      </c>
      <c r="Q148" s="633">
        <v>500</v>
      </c>
      <c r="R148" s="634">
        <v>1.0900000000000001</v>
      </c>
      <c r="S148" s="318">
        <v>1.05</v>
      </c>
      <c r="U148" s="634">
        <v>1.1399999999999999</v>
      </c>
      <c r="V148" s="634">
        <v>0.9</v>
      </c>
      <c r="X148" s="318">
        <v>1.1000000000000001</v>
      </c>
      <c r="Y148" s="318">
        <v>0.92</v>
      </c>
    </row>
    <row r="149" spans="1:25" ht="20.100000000000001" customHeight="1">
      <c r="A149" s="27"/>
      <c r="B149" s="624" t="s">
        <v>137</v>
      </c>
      <c r="C149" s="624">
        <v>942</v>
      </c>
      <c r="D149" s="624">
        <v>640</v>
      </c>
      <c r="E149" s="624">
        <v>608</v>
      </c>
      <c r="F149" s="651">
        <v>0.05</v>
      </c>
      <c r="G149" s="651">
        <v>0.108</v>
      </c>
      <c r="H149" s="317">
        <v>57</v>
      </c>
      <c r="Q149" s="633">
        <v>630</v>
      </c>
      <c r="R149" s="634">
        <v>1.0900000000000001</v>
      </c>
      <c r="S149" s="318">
        <v>1.05</v>
      </c>
      <c r="U149" s="634">
        <v>1.1399999999999999</v>
      </c>
      <c r="V149" s="634">
        <v>0.9</v>
      </c>
      <c r="X149" s="318">
        <v>1.1000000000000001</v>
      </c>
      <c r="Y149" s="318">
        <v>0.92</v>
      </c>
    </row>
    <row r="150" spans="1:25" ht="20.100000000000001" customHeight="1">
      <c r="A150" s="27"/>
      <c r="B150" s="624" t="s">
        <v>138</v>
      </c>
      <c r="C150" s="624">
        <v>1071</v>
      </c>
      <c r="D150" s="624">
        <v>712</v>
      </c>
      <c r="E150" s="624">
        <v>676.4</v>
      </c>
      <c r="F150" s="651">
        <v>4.1000000000000002E-2</v>
      </c>
      <c r="G150" s="651">
        <v>0.104</v>
      </c>
      <c r="H150" s="317">
        <v>61</v>
      </c>
      <c r="I150" s="4"/>
    </row>
    <row r="151" spans="1:25" ht="20.100000000000001" customHeight="1">
      <c r="A151" s="27"/>
      <c r="B151" s="624" t="s">
        <v>224</v>
      </c>
      <c r="C151" s="624">
        <v>1210</v>
      </c>
      <c r="D151" s="624">
        <v>781</v>
      </c>
      <c r="E151" s="624">
        <v>741.95</v>
      </c>
      <c r="F151" s="651">
        <v>3.4000000000000002E-2</v>
      </c>
      <c r="G151" s="651">
        <v>0.10100000000000001</v>
      </c>
      <c r="H151" s="317">
        <v>66</v>
      </c>
      <c r="I151" s="4"/>
    </row>
    <row r="152" spans="1:25" ht="20.100000000000001" customHeight="1">
      <c r="A152" s="27"/>
      <c r="B152" s="624" t="s">
        <v>225</v>
      </c>
      <c r="C152" s="624">
        <v>1332</v>
      </c>
      <c r="D152" s="624">
        <v>841</v>
      </c>
      <c r="E152" s="624">
        <v>798.95</v>
      </c>
      <c r="F152" s="651">
        <v>2.9000000000000001E-2</v>
      </c>
      <c r="G152" s="651">
        <v>9.8000000000000004E-2</v>
      </c>
      <c r="H152" s="317">
        <v>70</v>
      </c>
      <c r="I152" s="4"/>
    </row>
    <row r="153" spans="1:25" ht="20.100000000000001" customHeight="1">
      <c r="A153" s="27"/>
      <c r="B153" s="624"/>
      <c r="C153" s="624"/>
      <c r="D153" s="624"/>
      <c r="E153" s="624"/>
      <c r="F153" s="651"/>
      <c r="G153" s="651"/>
      <c r="H153" s="317"/>
      <c r="I153" s="7"/>
    </row>
    <row r="154" spans="1:25">
      <c r="A154" s="27"/>
      <c r="H154" s="21"/>
      <c r="K154" s="2"/>
    </row>
    <row r="155" spans="1:25">
      <c r="A155" s="27"/>
      <c r="B155" s="312" t="s">
        <v>226</v>
      </c>
      <c r="C155" s="648"/>
      <c r="D155" s="313"/>
      <c r="E155" s="313"/>
      <c r="F155" s="313" t="s">
        <v>232</v>
      </c>
      <c r="G155" s="314"/>
      <c r="H155" s="315"/>
      <c r="K155" s="2"/>
      <c r="L155" s="2"/>
      <c r="M155" s="2"/>
      <c r="N155" s="2"/>
    </row>
    <row r="156" spans="1:25" ht="30" customHeight="1">
      <c r="A156" s="27"/>
      <c r="B156" s="1042" t="s">
        <v>109</v>
      </c>
      <c r="C156" s="1031" t="s">
        <v>110</v>
      </c>
      <c r="D156" s="1032"/>
      <c r="E156" s="1033"/>
      <c r="F156" s="1042" t="s">
        <v>208</v>
      </c>
      <c r="G156" s="1042" t="s">
        <v>209</v>
      </c>
      <c r="H156" s="1042" t="s">
        <v>210</v>
      </c>
      <c r="K156" s="2"/>
      <c r="L156" s="2"/>
      <c r="M156" s="2"/>
      <c r="N156" s="2"/>
    </row>
    <row r="157" spans="1:25" ht="30" customHeight="1">
      <c r="A157" s="27"/>
      <c r="B157" s="955"/>
      <c r="C157" s="622" t="s">
        <v>121</v>
      </c>
      <c r="D157" s="622" t="s">
        <v>122</v>
      </c>
      <c r="E157" s="622" t="s">
        <v>123</v>
      </c>
      <c r="F157" s="955"/>
      <c r="G157" s="955"/>
      <c r="H157" s="955"/>
      <c r="K157" s="2"/>
      <c r="L157" s="2"/>
      <c r="M157" s="2"/>
      <c r="N157" s="2"/>
    </row>
    <row r="158" spans="1:25" ht="15" customHeight="1">
      <c r="A158" s="27"/>
      <c r="B158" s="651" t="s">
        <v>167</v>
      </c>
      <c r="C158" s="651">
        <v>253</v>
      </c>
      <c r="D158" s="651">
        <v>220</v>
      </c>
      <c r="E158" s="651">
        <v>194</v>
      </c>
      <c r="F158" s="651">
        <v>0.34200000000000003</v>
      </c>
      <c r="G158" s="651">
        <v>0.129</v>
      </c>
      <c r="H158" s="317">
        <v>49</v>
      </c>
      <c r="K158" s="2"/>
      <c r="L158" s="2"/>
      <c r="M158" s="2"/>
      <c r="N158" s="2"/>
    </row>
    <row r="159" spans="1:25">
      <c r="A159" s="27"/>
      <c r="B159" s="651" t="s">
        <v>168</v>
      </c>
      <c r="C159" s="651">
        <v>307</v>
      </c>
      <c r="D159" s="651">
        <v>263</v>
      </c>
      <c r="E159" s="651">
        <v>232</v>
      </c>
      <c r="F159" s="651">
        <v>0.247</v>
      </c>
      <c r="G159" s="651">
        <v>0.123</v>
      </c>
      <c r="H159" s="317">
        <v>52</v>
      </c>
      <c r="K159" s="2"/>
      <c r="L159" s="2"/>
      <c r="M159" s="2"/>
      <c r="N159" s="2"/>
    </row>
    <row r="160" spans="1:25">
      <c r="A160" s="27"/>
      <c r="B160" s="651" t="s">
        <v>169</v>
      </c>
      <c r="C160" s="651">
        <v>352</v>
      </c>
      <c r="D160" s="651">
        <v>298</v>
      </c>
      <c r="E160" s="651">
        <v>264</v>
      </c>
      <c r="F160" s="651">
        <v>0.19600000000000001</v>
      </c>
      <c r="G160" s="651">
        <v>0.11799999999999999</v>
      </c>
      <c r="H160" s="317">
        <v>56</v>
      </c>
      <c r="K160" s="2"/>
      <c r="L160" s="2"/>
      <c r="M160" s="2"/>
      <c r="N160" s="2"/>
    </row>
    <row r="161" spans="1:14">
      <c r="A161" s="27"/>
      <c r="B161" s="651" t="s">
        <v>170</v>
      </c>
      <c r="C161" s="651">
        <v>397</v>
      </c>
      <c r="D161" s="651">
        <v>332</v>
      </c>
      <c r="E161" s="651">
        <v>296</v>
      </c>
      <c r="F161" s="651">
        <v>0.159</v>
      </c>
      <c r="G161" s="651">
        <v>0.115</v>
      </c>
      <c r="H161" s="317">
        <v>58</v>
      </c>
      <c r="K161" s="2"/>
      <c r="L161" s="2"/>
      <c r="M161" s="2"/>
      <c r="N161" s="2"/>
    </row>
    <row r="162" spans="1:14">
      <c r="A162" s="27"/>
      <c r="B162" s="651" t="s">
        <v>171</v>
      </c>
      <c r="C162" s="651">
        <v>453</v>
      </c>
      <c r="D162" s="651">
        <v>374</v>
      </c>
      <c r="E162" s="651">
        <v>335</v>
      </c>
      <c r="F162" s="651">
        <v>0.128</v>
      </c>
      <c r="G162" s="651">
        <v>0.11</v>
      </c>
      <c r="H162" s="317">
        <v>63</v>
      </c>
      <c r="K162" s="2"/>
      <c r="L162" s="2"/>
      <c r="M162" s="2"/>
      <c r="N162" s="2"/>
    </row>
    <row r="163" spans="1:14">
      <c r="A163" s="27"/>
      <c r="B163" s="651" t="s">
        <v>172</v>
      </c>
      <c r="C163" s="651">
        <v>529</v>
      </c>
      <c r="D163" s="651">
        <v>431</v>
      </c>
      <c r="E163" s="651">
        <v>387</v>
      </c>
      <c r="F163" s="651">
        <v>0.99</v>
      </c>
      <c r="G163" s="651">
        <v>0.105</v>
      </c>
      <c r="H163" s="317">
        <v>69</v>
      </c>
      <c r="K163" s="2"/>
      <c r="L163" s="2"/>
      <c r="M163" s="2"/>
      <c r="N163" s="2"/>
    </row>
    <row r="164" spans="1:14">
      <c r="A164" s="27"/>
      <c r="B164" s="651" t="s">
        <v>173</v>
      </c>
      <c r="C164" s="651">
        <v>599</v>
      </c>
      <c r="D164" s="651">
        <v>482</v>
      </c>
      <c r="E164" s="651">
        <v>435</v>
      </c>
      <c r="F164" s="651">
        <v>0.8</v>
      </c>
      <c r="G164" s="651">
        <v>0.10299999999999999</v>
      </c>
      <c r="H164" s="317">
        <v>75</v>
      </c>
      <c r="K164" s="2"/>
      <c r="L164" s="2"/>
      <c r="M164" s="2"/>
      <c r="N164" s="2"/>
    </row>
    <row r="165" spans="1:14">
      <c r="A165" s="27"/>
      <c r="B165" s="651" t="s">
        <v>174</v>
      </c>
      <c r="C165" s="651">
        <v>683</v>
      </c>
      <c r="D165" s="651">
        <v>541</v>
      </c>
      <c r="E165" s="651">
        <v>492</v>
      </c>
      <c r="F165" s="651">
        <v>6.4000000000000001E-2</v>
      </c>
      <c r="G165" s="651">
        <v>9.8000000000000004E-2</v>
      </c>
      <c r="H165" s="317">
        <v>84</v>
      </c>
      <c r="K165" s="2"/>
      <c r="L165" s="2"/>
      <c r="M165" s="2"/>
      <c r="N165" s="2"/>
    </row>
    <row r="166" spans="1:14">
      <c r="A166" s="27"/>
      <c r="H166" s="21"/>
      <c r="K166" s="2"/>
      <c r="L166" s="2"/>
      <c r="M166" s="2"/>
      <c r="N166" s="2"/>
    </row>
    <row r="167" spans="1:14">
      <c r="A167" s="27"/>
      <c r="H167" s="21"/>
      <c r="K167" s="2"/>
      <c r="L167" s="2"/>
      <c r="M167" s="2"/>
      <c r="N167" s="2"/>
    </row>
    <row r="168" spans="1:14">
      <c r="A168" s="27"/>
      <c r="H168" s="21"/>
      <c r="K168" s="2"/>
      <c r="L168" s="2"/>
      <c r="M168" s="2"/>
      <c r="N168" s="2"/>
    </row>
    <row r="169" spans="1:14">
      <c r="A169" s="27"/>
      <c r="H169" s="21"/>
      <c r="K169" s="2"/>
      <c r="L169" s="2"/>
      <c r="M169" s="2"/>
      <c r="N169" s="2"/>
    </row>
    <row r="170" spans="1:14" ht="15.75" thickBot="1">
      <c r="A170" s="28"/>
      <c r="B170" s="29"/>
      <c r="C170" s="29"/>
      <c r="D170" s="29"/>
      <c r="E170" s="29"/>
      <c r="F170" s="29"/>
      <c r="G170" s="29"/>
      <c r="H170" s="30"/>
      <c r="K170" s="2"/>
      <c r="L170" s="2"/>
      <c r="M170" s="2"/>
      <c r="N170" s="2"/>
    </row>
    <row r="171" spans="1:14">
      <c r="K171" s="2"/>
      <c r="L171" s="2"/>
      <c r="M171" s="2"/>
      <c r="N171" s="2"/>
    </row>
    <row r="172" spans="1:14">
      <c r="K172" s="2"/>
      <c r="L172" s="2"/>
      <c r="M172" s="2"/>
      <c r="N172" s="2"/>
    </row>
    <row r="190" spans="11:24">
      <c r="K190" s="2"/>
      <c r="L190" s="2"/>
      <c r="M190" s="2"/>
      <c r="N190" s="2"/>
      <c r="S190" s="2"/>
      <c r="T190" s="2"/>
      <c r="U190" s="2"/>
      <c r="V190" s="2"/>
      <c r="W190" s="2"/>
      <c r="X190" s="2"/>
    </row>
    <row r="191" spans="11:24">
      <c r="K191" s="2"/>
      <c r="L191" s="2"/>
      <c r="M191" s="2"/>
      <c r="N191" s="2"/>
      <c r="S191" s="2"/>
      <c r="T191" s="2"/>
      <c r="U191" s="2"/>
      <c r="V191" s="2"/>
      <c r="W191" s="2"/>
      <c r="X191" s="2"/>
    </row>
    <row r="192" spans="11:24">
      <c r="K192" s="2"/>
      <c r="L192" s="2"/>
      <c r="M192" s="2"/>
      <c r="N192" s="2"/>
      <c r="S192" s="2"/>
      <c r="T192" s="2"/>
      <c r="U192" s="2"/>
      <c r="V192" s="2"/>
      <c r="W192" s="2"/>
      <c r="X192" s="2"/>
    </row>
    <row r="193" spans="11:24" ht="15" customHeight="1">
      <c r="K193" s="2"/>
      <c r="L193" s="2"/>
      <c r="M193" s="2"/>
      <c r="N193" s="2"/>
      <c r="S193" s="2"/>
      <c r="T193" s="2"/>
      <c r="U193" s="2"/>
      <c r="V193" s="2"/>
      <c r="W193" s="2"/>
      <c r="X193" s="2"/>
    </row>
    <row r="194" spans="11:24">
      <c r="K194" s="2"/>
      <c r="L194" s="2"/>
      <c r="M194" s="2"/>
      <c r="N194" s="2"/>
      <c r="S194" s="2"/>
      <c r="T194" s="2"/>
      <c r="U194" s="2"/>
      <c r="V194" s="2"/>
      <c r="W194" s="2"/>
      <c r="X194" s="2"/>
    </row>
    <row r="195" spans="11:24">
      <c r="K195" s="2"/>
      <c r="L195" s="2"/>
      <c r="M195" s="2"/>
      <c r="N195" s="2"/>
      <c r="S195" s="2"/>
      <c r="T195" s="2"/>
      <c r="U195" s="2"/>
      <c r="V195" s="2"/>
      <c r="W195" s="2"/>
      <c r="X195" s="2"/>
    </row>
    <row r="196" spans="11:24">
      <c r="K196" s="2"/>
      <c r="L196" s="2"/>
      <c r="M196" s="2"/>
      <c r="N196" s="2"/>
      <c r="S196" s="2"/>
      <c r="T196" s="2"/>
      <c r="U196" s="2"/>
      <c r="V196" s="2"/>
      <c r="W196" s="2"/>
      <c r="X196" s="2"/>
    </row>
    <row r="197" spans="11:24">
      <c r="K197" s="2"/>
      <c r="L197" s="2"/>
      <c r="M197" s="2"/>
      <c r="N197" s="2"/>
      <c r="S197" s="2"/>
      <c r="T197" s="2"/>
      <c r="U197" s="2"/>
      <c r="V197" s="2"/>
      <c r="W197" s="2"/>
      <c r="X197" s="2"/>
    </row>
    <row r="198" spans="11:24">
      <c r="K198" s="2"/>
      <c r="L198" s="2"/>
      <c r="M198" s="2"/>
      <c r="N198" s="2"/>
      <c r="S198" s="2"/>
      <c r="T198" s="2"/>
      <c r="U198" s="2"/>
      <c r="V198" s="2"/>
      <c r="W198" s="2"/>
      <c r="X198" s="2"/>
    </row>
    <row r="199" spans="11:24">
      <c r="K199" s="2"/>
      <c r="L199" s="2"/>
      <c r="M199" s="2"/>
      <c r="N199" s="2"/>
      <c r="S199" s="2"/>
      <c r="T199" s="2"/>
      <c r="U199" s="2"/>
      <c r="V199" s="2"/>
      <c r="W199" s="2"/>
      <c r="X199" s="2"/>
    </row>
    <row r="200" spans="11:24">
      <c r="K200" s="2"/>
      <c r="L200" s="2"/>
      <c r="M200" s="2"/>
      <c r="N200" s="2"/>
      <c r="S200" s="2"/>
      <c r="T200" s="2"/>
      <c r="U200" s="2"/>
      <c r="V200" s="2"/>
      <c r="W200" s="2"/>
      <c r="X200" s="2"/>
    </row>
    <row r="201" spans="11:24">
      <c r="K201" s="2"/>
      <c r="L201" s="2"/>
      <c r="M201" s="2"/>
      <c r="N201" s="2"/>
      <c r="S201" s="2"/>
      <c r="T201" s="2"/>
      <c r="U201" s="2"/>
      <c r="V201" s="2"/>
      <c r="W201" s="2"/>
      <c r="X201" s="2"/>
    </row>
  </sheetData>
  <mergeCells count="83">
    <mergeCell ref="Q139:S139"/>
    <mergeCell ref="I141:I142"/>
    <mergeCell ref="B156:B157"/>
    <mergeCell ref="C156:E156"/>
    <mergeCell ref="F156:F157"/>
    <mergeCell ref="G156:G157"/>
    <mergeCell ref="H156:H157"/>
    <mergeCell ref="I139:I140"/>
    <mergeCell ref="J139:J140"/>
    <mergeCell ref="K139:K140"/>
    <mergeCell ref="L139:M139"/>
    <mergeCell ref="N139:N140"/>
    <mergeCell ref="O139:P139"/>
    <mergeCell ref="H139:H140"/>
    <mergeCell ref="B136:F136"/>
    <mergeCell ref="B139:B140"/>
    <mergeCell ref="C139:E139"/>
    <mergeCell ref="F139:F140"/>
    <mergeCell ref="G139:G140"/>
    <mergeCell ref="Q99:S99"/>
    <mergeCell ref="I101:I102"/>
    <mergeCell ref="B117:B118"/>
    <mergeCell ref="C117:E117"/>
    <mergeCell ref="F117:F118"/>
    <mergeCell ref="G117:G118"/>
    <mergeCell ref="H117:H118"/>
    <mergeCell ref="I99:I100"/>
    <mergeCell ref="J99:J100"/>
    <mergeCell ref="K99:K100"/>
    <mergeCell ref="L99:M99"/>
    <mergeCell ref="N99:N100"/>
    <mergeCell ref="O99:P99"/>
    <mergeCell ref="H99:H100"/>
    <mergeCell ref="B95:F95"/>
    <mergeCell ref="B99:B100"/>
    <mergeCell ref="C99:E99"/>
    <mergeCell ref="F99:F100"/>
    <mergeCell ref="G99:G100"/>
    <mergeCell ref="K74:K75"/>
    <mergeCell ref="L74:M74"/>
    <mergeCell ref="N74:N75"/>
    <mergeCell ref="O74:P74"/>
    <mergeCell ref="R74:U74"/>
    <mergeCell ref="B80:B81"/>
    <mergeCell ref="C80:E80"/>
    <mergeCell ref="F80:F81"/>
    <mergeCell ref="G80:G81"/>
    <mergeCell ref="H80:H81"/>
    <mergeCell ref="B38:B39"/>
    <mergeCell ref="C38:E38"/>
    <mergeCell ref="F38:F39"/>
    <mergeCell ref="G38:G39"/>
    <mergeCell ref="H38:H39"/>
    <mergeCell ref="B59:B60"/>
    <mergeCell ref="C59:E59"/>
    <mergeCell ref="F59:F60"/>
    <mergeCell ref="G59:G60"/>
    <mergeCell ref="H59:H60"/>
    <mergeCell ref="AJ9:AJ10"/>
    <mergeCell ref="AL9:AL10"/>
    <mergeCell ref="AN9:AN10"/>
    <mergeCell ref="AP9:AP10"/>
    <mergeCell ref="B17:B18"/>
    <mergeCell ref="C17:E17"/>
    <mergeCell ref="F17:F18"/>
    <mergeCell ref="G17:G18"/>
    <mergeCell ref="H17:H18"/>
    <mergeCell ref="I9:I10"/>
    <mergeCell ref="B3:F3"/>
    <mergeCell ref="B4:D4"/>
    <mergeCell ref="AN5:AN6"/>
    <mergeCell ref="B7:B8"/>
    <mergeCell ref="C7:E7"/>
    <mergeCell ref="F7:F8"/>
    <mergeCell ref="G7:G8"/>
    <mergeCell ref="H7:H8"/>
    <mergeCell ref="I7:I8"/>
    <mergeCell ref="J7:J8"/>
    <mergeCell ref="K7:K8"/>
    <mergeCell ref="L7:M7"/>
    <mergeCell ref="N7:N8"/>
    <mergeCell ref="O7:P7"/>
    <mergeCell ref="Q7:S7"/>
  </mergeCells>
  <pageMargins left="0.7" right="0.7" top="0.75" bottom="0.75" header="0.3" footer="0.3"/>
  <pageSetup scale="38"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2E5B8-0C06-4F91-AF1B-5CDAA623C9C4}">
  <sheetPr codeName="Sheet12"/>
  <dimension ref="A1:AP241"/>
  <sheetViews>
    <sheetView view="pageBreakPreview" topLeftCell="A157" zoomScale="70" zoomScaleNormal="25" zoomScaleSheetLayoutView="70" workbookViewId="0">
      <selection activeCell="N168" sqref="N168"/>
    </sheetView>
  </sheetViews>
  <sheetFormatPr defaultRowHeight="15"/>
  <cols>
    <col min="1" max="1" width="9.140625" style="3"/>
    <col min="2" max="2" width="13.7109375" style="2" customWidth="1"/>
    <col min="3" max="3" width="14.28515625" style="2" customWidth="1"/>
    <col min="4" max="4" width="12.42578125" style="2" customWidth="1"/>
    <col min="5" max="5" width="11.28515625" style="2" customWidth="1"/>
    <col min="6" max="6" width="15" style="2" customWidth="1"/>
    <col min="7" max="7" width="15.7109375" style="2" customWidth="1"/>
    <col min="8" max="8" width="13" style="2" customWidth="1"/>
    <col min="9" max="9" width="9.28515625" style="2" customWidth="1"/>
    <col min="10" max="10" width="11.85546875" style="2" customWidth="1"/>
    <col min="11" max="11" width="12.7109375" style="3" customWidth="1"/>
    <col min="12" max="12" width="19.28515625" style="3" customWidth="1"/>
    <col min="13" max="13" width="13.5703125" style="3" customWidth="1"/>
    <col min="14" max="14" width="11.140625" style="3" customWidth="1"/>
    <col min="15" max="16" width="10.5703125" style="2" customWidth="1"/>
    <col min="17" max="18" width="10.28515625" style="2" customWidth="1"/>
    <col min="19" max="19" width="10.28515625" style="3" customWidth="1"/>
    <col min="20" max="20" width="4" style="3" customWidth="1"/>
    <col min="21" max="22" width="21.7109375" style="3" hidden="1" customWidth="1"/>
    <col min="23" max="23" width="4.5703125" style="3" hidden="1" customWidth="1"/>
    <col min="24" max="24" width="21.7109375" style="3" hidden="1" customWidth="1"/>
    <col min="25" max="25" width="16" style="3" hidden="1" customWidth="1"/>
    <col min="26" max="28" width="16" style="3" customWidth="1"/>
    <col min="29" max="29" width="13.28515625" style="3" customWidth="1"/>
    <col min="30" max="31" width="16.7109375" style="3" customWidth="1"/>
    <col min="32" max="32" width="5.28515625" style="3" customWidth="1"/>
    <col min="33" max="35" width="4.85546875" style="3" customWidth="1"/>
    <col min="36" max="36" width="15.7109375" style="3" customWidth="1"/>
    <col min="37" max="37" width="9.140625" style="3" customWidth="1"/>
    <col min="38" max="38" width="16.28515625" style="3" customWidth="1"/>
    <col min="39" max="39" width="9.140625" style="3" customWidth="1"/>
    <col min="40" max="40" width="35.85546875" style="3" customWidth="1"/>
    <col min="41" max="41" width="14.85546875" style="3" customWidth="1"/>
    <col min="42" max="42" width="24.28515625" style="3" bestFit="1" customWidth="1"/>
    <col min="43" max="43" width="9.42578125" style="3" bestFit="1" customWidth="1"/>
    <col min="44" max="44" width="9.140625" style="3" customWidth="1"/>
    <col min="45" max="16384" width="9.140625" style="3"/>
  </cols>
  <sheetData>
    <row r="1" spans="1:42" s="5" customFormat="1">
      <c r="B1" s="4"/>
      <c r="C1" s="4"/>
      <c r="D1" s="4"/>
      <c r="E1" s="4"/>
      <c r="F1" s="4"/>
      <c r="G1" s="4"/>
      <c r="H1" s="4"/>
      <c r="I1" s="4"/>
      <c r="J1" s="4"/>
      <c r="O1" s="4"/>
      <c r="P1" s="4"/>
      <c r="Q1" s="4"/>
      <c r="R1" s="4"/>
    </row>
    <row r="2" spans="1:42" s="5" customFormat="1" ht="15.75" thickBot="1">
      <c r="B2" s="4"/>
      <c r="C2" s="4"/>
      <c r="D2" s="4"/>
      <c r="E2" s="4"/>
      <c r="F2" s="4"/>
      <c r="G2" s="4"/>
      <c r="H2" s="4"/>
      <c r="I2" s="4"/>
      <c r="J2" s="4"/>
      <c r="O2" s="4"/>
      <c r="P2" s="4"/>
      <c r="Q2" s="4"/>
      <c r="R2" s="4"/>
    </row>
    <row r="3" spans="1:42" ht="39.75" customHeight="1">
      <c r="A3" s="14"/>
      <c r="B3" s="986" t="s">
        <v>105</v>
      </c>
      <c r="C3" s="987"/>
      <c r="D3" s="987"/>
      <c r="E3" s="987"/>
      <c r="F3" s="988"/>
      <c r="G3" s="15"/>
      <c r="H3" s="16"/>
      <c r="I3" s="4"/>
      <c r="J3" s="621" t="s">
        <v>106</v>
      </c>
      <c r="K3" s="621"/>
      <c r="L3" s="5"/>
      <c r="M3" s="5"/>
      <c r="N3" s="5"/>
      <c r="O3" s="5"/>
      <c r="P3" s="5"/>
      <c r="Q3" s="5"/>
      <c r="R3" s="5"/>
      <c r="S3" s="5"/>
    </row>
    <row r="4" spans="1:42" ht="20.100000000000001" customHeight="1">
      <c r="A4" s="17"/>
      <c r="B4" s="995"/>
      <c r="C4" s="995"/>
      <c r="D4" s="995"/>
      <c r="E4" s="4"/>
      <c r="F4" s="4"/>
      <c r="G4" s="4"/>
      <c r="H4" s="18"/>
      <c r="I4" s="4"/>
      <c r="J4" s="5"/>
      <c r="K4" s="5"/>
      <c r="L4" s="5"/>
      <c r="M4" s="5"/>
      <c r="N4" s="5"/>
      <c r="O4" s="5"/>
      <c r="P4" s="5"/>
      <c r="Q4" s="5"/>
      <c r="R4" s="5"/>
      <c r="S4" s="5"/>
    </row>
    <row r="5" spans="1:42" ht="27.75" customHeight="1">
      <c r="A5" s="17"/>
      <c r="B5" s="43" t="s">
        <v>107</v>
      </c>
      <c r="C5" s="44"/>
      <c r="D5" s="44"/>
      <c r="E5" s="44"/>
      <c r="F5" s="44"/>
      <c r="G5" s="44" t="s">
        <v>108</v>
      </c>
      <c r="H5" s="19"/>
      <c r="I5" s="6"/>
      <c r="J5" s="5"/>
      <c r="K5" s="5"/>
      <c r="L5" s="5"/>
      <c r="M5" s="5"/>
      <c r="N5" s="5"/>
      <c r="O5" s="5"/>
      <c r="P5" s="5"/>
      <c r="Q5" s="5"/>
      <c r="R5" s="5"/>
      <c r="S5" s="5"/>
      <c r="AG5" s="57"/>
      <c r="AN5" s="959"/>
    </row>
    <row r="6" spans="1:42" ht="20.100000000000001" customHeight="1">
      <c r="A6" s="17"/>
      <c r="B6" s="4"/>
      <c r="C6" s="6"/>
      <c r="D6" s="4"/>
      <c r="E6" s="4"/>
      <c r="F6" s="4"/>
      <c r="G6" s="4"/>
      <c r="H6" s="18"/>
      <c r="I6" s="4"/>
      <c r="J6" s="5"/>
      <c r="K6" s="5"/>
      <c r="L6" s="5"/>
      <c r="M6" s="5"/>
      <c r="N6" s="5"/>
      <c r="O6" s="5"/>
      <c r="P6" s="5"/>
      <c r="Q6" s="5"/>
      <c r="R6" s="5"/>
      <c r="S6" s="5"/>
      <c r="AG6" s="57"/>
      <c r="AN6" s="959"/>
    </row>
    <row r="7" spans="1:42" ht="96.75" customHeight="1">
      <c r="A7" s="17"/>
      <c r="B7" s="1036" t="s">
        <v>109</v>
      </c>
      <c r="C7" s="1036" t="s">
        <v>110</v>
      </c>
      <c r="D7" s="1036"/>
      <c r="E7" s="1036"/>
      <c r="F7" s="1047" t="s">
        <v>111</v>
      </c>
      <c r="G7" s="1036" t="s">
        <v>112</v>
      </c>
      <c r="H7" s="1039" t="s">
        <v>113</v>
      </c>
      <c r="I7" s="1049" t="s">
        <v>114</v>
      </c>
      <c r="J7" s="1034" t="s">
        <v>115</v>
      </c>
      <c r="K7" s="1036" t="s">
        <v>952</v>
      </c>
      <c r="L7" s="1036" t="s">
        <v>953</v>
      </c>
      <c r="M7" s="1036"/>
      <c r="N7" s="1036" t="s">
        <v>118</v>
      </c>
      <c r="O7" s="1036" t="s">
        <v>119</v>
      </c>
      <c r="P7" s="1036"/>
      <c r="Q7" s="1031" t="s">
        <v>120</v>
      </c>
      <c r="R7" s="1032"/>
      <c r="S7" s="1033"/>
      <c r="AG7" s="57"/>
    </row>
    <row r="8" spans="1:42" ht="75.75" customHeight="1">
      <c r="A8" s="17"/>
      <c r="B8" s="1036"/>
      <c r="C8" s="622" t="s">
        <v>121</v>
      </c>
      <c r="D8" s="622" t="s">
        <v>122</v>
      </c>
      <c r="E8" s="622" t="s">
        <v>123</v>
      </c>
      <c r="F8" s="955"/>
      <c r="G8" s="1036"/>
      <c r="H8" s="1039"/>
      <c r="I8" s="975"/>
      <c r="J8" s="1048"/>
      <c r="K8" s="1047"/>
      <c r="L8" s="666" t="s">
        <v>124</v>
      </c>
      <c r="M8" s="666" t="s">
        <v>125</v>
      </c>
      <c r="N8" s="1047"/>
      <c r="O8" s="666" t="s">
        <v>126</v>
      </c>
      <c r="P8" s="666" t="s">
        <v>127</v>
      </c>
      <c r="Q8" s="666" t="s">
        <v>128</v>
      </c>
      <c r="R8" s="666" t="s">
        <v>126</v>
      </c>
      <c r="S8" s="666" t="s">
        <v>127</v>
      </c>
      <c r="AG8" s="57"/>
    </row>
    <row r="9" spans="1:42" ht="29.25" customHeight="1">
      <c r="A9" s="17"/>
      <c r="B9" s="651" t="s">
        <v>129</v>
      </c>
      <c r="C9" s="660">
        <v>479</v>
      </c>
      <c r="D9" s="660">
        <v>370</v>
      </c>
      <c r="E9" s="660">
        <v>315</v>
      </c>
      <c r="F9" s="660">
        <v>0.127</v>
      </c>
      <c r="G9" s="660">
        <v>8.7499999999999994E-2</v>
      </c>
      <c r="H9" s="625">
        <v>27</v>
      </c>
      <c r="I9" s="1050" t="s">
        <v>130</v>
      </c>
      <c r="J9" s="626" t="s">
        <v>131</v>
      </c>
      <c r="K9" s="627">
        <v>1</v>
      </c>
      <c r="L9" s="628">
        <v>0.9</v>
      </c>
      <c r="M9" s="627">
        <v>0.66</v>
      </c>
      <c r="N9" s="627" t="s">
        <v>132</v>
      </c>
      <c r="O9" s="627" t="s">
        <v>132</v>
      </c>
      <c r="P9" s="627" t="s">
        <v>132</v>
      </c>
      <c r="Q9" s="629"/>
      <c r="R9" s="629"/>
      <c r="S9" s="629"/>
      <c r="AJ9" s="959"/>
      <c r="AL9" s="959"/>
      <c r="AN9" s="959"/>
      <c r="AP9" s="959"/>
    </row>
    <row r="10" spans="1:42" ht="29.25" customHeight="1">
      <c r="A10" s="17"/>
      <c r="B10" s="651" t="s">
        <v>133</v>
      </c>
      <c r="C10" s="660">
        <v>569</v>
      </c>
      <c r="D10" s="660">
        <v>424</v>
      </c>
      <c r="E10" s="660">
        <v>350</v>
      </c>
      <c r="F10" s="660">
        <v>9.6500000000000002E-2</v>
      </c>
      <c r="G10" s="660">
        <v>8.6599999999999996E-2</v>
      </c>
      <c r="H10" s="625">
        <v>29</v>
      </c>
      <c r="I10" s="985"/>
      <c r="J10" s="667" t="s">
        <v>123</v>
      </c>
      <c r="K10" s="668" t="s">
        <v>132</v>
      </c>
      <c r="L10" s="669">
        <v>0.74</v>
      </c>
      <c r="M10" s="668">
        <v>0.71</v>
      </c>
      <c r="N10" s="668">
        <v>0.96</v>
      </c>
      <c r="O10" s="668">
        <v>0.98</v>
      </c>
      <c r="P10" s="668">
        <v>0.98</v>
      </c>
      <c r="Q10" s="633">
        <v>1.5</v>
      </c>
      <c r="R10" s="634">
        <v>1.0900000000000001</v>
      </c>
      <c r="S10" s="318">
        <v>1.05</v>
      </c>
      <c r="AJ10" s="959"/>
      <c r="AL10" s="959"/>
      <c r="AN10" s="959"/>
      <c r="AP10" s="959"/>
    </row>
    <row r="11" spans="1:42" ht="38.25" customHeight="1">
      <c r="A11" s="17"/>
      <c r="B11" s="651" t="s">
        <v>134</v>
      </c>
      <c r="C11" s="660">
        <v>659</v>
      </c>
      <c r="D11" s="660">
        <v>470</v>
      </c>
      <c r="E11" s="660">
        <v>389</v>
      </c>
      <c r="F11" s="660">
        <v>7.6899999999999996E-2</v>
      </c>
      <c r="G11" s="660">
        <v>8.5699999999999998E-2</v>
      </c>
      <c r="H11" s="625">
        <v>32</v>
      </c>
      <c r="I11" s="4"/>
      <c r="J11" s="635" t="s">
        <v>122</v>
      </c>
      <c r="K11" s="627" t="s">
        <v>132</v>
      </c>
      <c r="L11" s="627">
        <v>0.61</v>
      </c>
      <c r="M11" s="627">
        <v>0.54</v>
      </c>
      <c r="N11" s="627">
        <v>0.96</v>
      </c>
      <c r="O11" s="627">
        <v>0.98</v>
      </c>
      <c r="P11" s="627">
        <v>0.98</v>
      </c>
      <c r="Q11" s="633">
        <v>2.5</v>
      </c>
      <c r="R11" s="634">
        <v>1.0900000000000001</v>
      </c>
      <c r="S11" s="318">
        <v>1.05</v>
      </c>
      <c r="AJ11" s="1"/>
      <c r="AL11" s="2"/>
      <c r="AN11" s="1"/>
      <c r="AP11" s="1"/>
    </row>
    <row r="12" spans="1:42" ht="38.25" customHeight="1">
      <c r="A12" s="17"/>
      <c r="B12" s="651" t="s">
        <v>135</v>
      </c>
      <c r="C12" s="660">
        <v>769</v>
      </c>
      <c r="D12" s="660">
        <v>556</v>
      </c>
      <c r="E12" s="660">
        <v>466</v>
      </c>
      <c r="F12" s="660">
        <v>6.0199999999999997E-2</v>
      </c>
      <c r="G12" s="660">
        <v>8.5500000000000007E-2</v>
      </c>
      <c r="H12" s="625">
        <v>36</v>
      </c>
      <c r="I12" s="4"/>
      <c r="J12" s="670" t="s">
        <v>136</v>
      </c>
      <c r="K12" s="627">
        <v>1</v>
      </c>
      <c r="L12" s="637">
        <v>0.81</v>
      </c>
      <c r="M12" s="637">
        <v>0.78</v>
      </c>
      <c r="N12" s="627" t="s">
        <v>132</v>
      </c>
      <c r="O12" s="627" t="s">
        <v>132</v>
      </c>
      <c r="P12" s="627" t="s">
        <v>132</v>
      </c>
      <c r="Q12" s="633">
        <v>4</v>
      </c>
      <c r="R12" s="634">
        <v>1.0900000000000001</v>
      </c>
      <c r="S12" s="318">
        <v>1.05</v>
      </c>
      <c r="AJ12" s="1"/>
      <c r="AL12" s="2"/>
      <c r="AN12" s="1"/>
      <c r="AP12" s="1"/>
    </row>
    <row r="13" spans="1:42" ht="49.5" customHeight="1">
      <c r="A13" s="17"/>
      <c r="B13" s="651" t="s">
        <v>137</v>
      </c>
      <c r="C13" s="660">
        <v>877</v>
      </c>
      <c r="D13" s="660">
        <v>620</v>
      </c>
      <c r="E13" s="660">
        <v>518</v>
      </c>
      <c r="F13" s="660">
        <v>4.6800000000000001E-2</v>
      </c>
      <c r="G13" s="660">
        <v>8.5099999999999995E-2</v>
      </c>
      <c r="H13" s="625">
        <v>40</v>
      </c>
      <c r="I13" s="4"/>
      <c r="Q13" s="633">
        <v>6</v>
      </c>
      <c r="R13" s="634">
        <v>1.0900000000000001</v>
      </c>
      <c r="S13" s="318">
        <v>1.05</v>
      </c>
      <c r="AJ13" s="1"/>
      <c r="AL13" s="1"/>
      <c r="AN13" s="1"/>
      <c r="AP13" s="1"/>
    </row>
    <row r="14" spans="1:42" ht="49.5" customHeight="1">
      <c r="A14" s="17"/>
      <c r="B14" s="651" t="s">
        <v>138</v>
      </c>
      <c r="C14" s="660">
        <v>1013</v>
      </c>
      <c r="D14" s="660">
        <v>695</v>
      </c>
      <c r="E14" s="660">
        <v>555</v>
      </c>
      <c r="F14" s="660">
        <v>3.6200000000000003E-2</v>
      </c>
      <c r="G14" s="660">
        <v>8.43E-2</v>
      </c>
      <c r="H14" s="625">
        <v>44</v>
      </c>
      <c r="Q14" s="633">
        <v>10</v>
      </c>
      <c r="R14" s="634">
        <v>1.0900000000000001</v>
      </c>
      <c r="S14" s="318">
        <v>1.06</v>
      </c>
      <c r="AJ14" s="1"/>
      <c r="AL14" s="1"/>
      <c r="AN14" s="1"/>
      <c r="AP14" s="1"/>
    </row>
    <row r="15" spans="1:42" ht="19.5" customHeight="1">
      <c r="A15" s="17"/>
      <c r="B15" s="638"/>
      <c r="C15" s="638"/>
      <c r="D15" s="638"/>
      <c r="E15" s="638"/>
      <c r="F15" s="638"/>
      <c r="G15" s="638"/>
      <c r="H15" s="639"/>
      <c r="Q15" s="633">
        <v>16</v>
      </c>
      <c r="R15" s="634">
        <v>1.0900000000000001</v>
      </c>
      <c r="S15" s="318">
        <v>1.06</v>
      </c>
      <c r="AJ15" s="1"/>
      <c r="AL15" s="2"/>
      <c r="AN15" s="1"/>
      <c r="AP15" s="1"/>
    </row>
    <row r="16" spans="1:42" ht="19.5" customHeight="1">
      <c r="A16" s="17"/>
      <c r="B16" s="43" t="s">
        <v>139</v>
      </c>
      <c r="C16" s="44"/>
      <c r="D16" s="44"/>
      <c r="E16" s="44"/>
      <c r="F16" s="44"/>
      <c r="G16" s="44" t="s">
        <v>108</v>
      </c>
      <c r="H16" s="639"/>
      <c r="Q16" s="633">
        <v>25</v>
      </c>
      <c r="R16" s="634">
        <v>1.0900000000000001</v>
      </c>
      <c r="S16" s="318">
        <v>1.08</v>
      </c>
      <c r="AJ16" s="1"/>
      <c r="AL16" s="2"/>
      <c r="AN16" s="1"/>
      <c r="AP16" s="1"/>
    </row>
    <row r="17" spans="1:42" ht="30.75" customHeight="1">
      <c r="A17" s="17"/>
      <c r="B17" s="1036" t="s">
        <v>109</v>
      </c>
      <c r="C17" s="1036" t="s">
        <v>110</v>
      </c>
      <c r="D17" s="1036"/>
      <c r="E17" s="1036"/>
      <c r="F17" s="1047" t="s">
        <v>111</v>
      </c>
      <c r="G17" s="1036" t="s">
        <v>112</v>
      </c>
      <c r="H17" s="1039" t="s">
        <v>113</v>
      </c>
      <c r="K17" s="2"/>
      <c r="Q17" s="633">
        <v>35</v>
      </c>
      <c r="R17" s="634">
        <v>1.0900000000000001</v>
      </c>
      <c r="S17" s="318">
        <v>1.08</v>
      </c>
      <c r="AJ17" s="1"/>
      <c r="AL17" s="2"/>
      <c r="AN17" s="1"/>
      <c r="AP17" s="1"/>
    </row>
    <row r="18" spans="1:42" ht="30" customHeight="1">
      <c r="A18" s="17"/>
      <c r="B18" s="1036"/>
      <c r="C18" s="622" t="s">
        <v>121</v>
      </c>
      <c r="D18" s="622" t="s">
        <v>122</v>
      </c>
      <c r="E18" s="622" t="s">
        <v>123</v>
      </c>
      <c r="F18" s="955"/>
      <c r="G18" s="1036"/>
      <c r="H18" s="1039"/>
      <c r="I18" s="4"/>
      <c r="K18" s="2"/>
      <c r="Q18" s="633">
        <v>50</v>
      </c>
      <c r="R18" s="634">
        <v>1.0900000000000001</v>
      </c>
      <c r="S18" s="318">
        <v>1.08</v>
      </c>
      <c r="AJ18" s="1"/>
      <c r="AL18" s="2"/>
      <c r="AN18" s="1"/>
      <c r="AP18" s="1"/>
    </row>
    <row r="19" spans="1:42" ht="19.5" customHeight="1">
      <c r="A19" s="17"/>
      <c r="B19" s="633" t="s">
        <v>140</v>
      </c>
      <c r="C19" s="633">
        <v>29</v>
      </c>
      <c r="D19" s="633">
        <v>33</v>
      </c>
      <c r="E19" s="633">
        <v>29</v>
      </c>
      <c r="F19" s="633">
        <v>15.5</v>
      </c>
      <c r="G19" s="633">
        <v>0.108</v>
      </c>
      <c r="H19" s="641">
        <v>12</v>
      </c>
      <c r="I19" s="7"/>
      <c r="K19" s="2"/>
      <c r="Q19" s="633">
        <v>70</v>
      </c>
      <c r="R19" s="642">
        <v>1.1000000000000001</v>
      </c>
      <c r="S19" s="318">
        <v>1.08</v>
      </c>
      <c r="AJ19" s="1"/>
      <c r="AL19" s="2"/>
      <c r="AN19" s="1"/>
      <c r="AP19" s="1"/>
    </row>
    <row r="20" spans="1:42" ht="19.5" customHeight="1">
      <c r="A20" s="17"/>
      <c r="B20" s="651" t="s">
        <v>141</v>
      </c>
      <c r="C20" s="651">
        <v>39</v>
      </c>
      <c r="D20" s="651">
        <v>43</v>
      </c>
      <c r="E20" s="651">
        <v>37</v>
      </c>
      <c r="F20" s="651">
        <v>9.48</v>
      </c>
      <c r="G20" s="651">
        <v>0.1007</v>
      </c>
      <c r="H20" s="643">
        <v>13</v>
      </c>
      <c r="I20" s="7"/>
      <c r="K20" s="2"/>
      <c r="Q20" s="633">
        <v>95</v>
      </c>
      <c r="R20" s="642">
        <v>1.1000000000000001</v>
      </c>
      <c r="S20" s="318">
        <v>1.08</v>
      </c>
      <c r="AJ20" s="1"/>
      <c r="AN20" s="1"/>
      <c r="AP20" s="1"/>
    </row>
    <row r="21" spans="1:42" ht="19.5" customHeight="1">
      <c r="A21" s="17"/>
      <c r="B21" s="651" t="s">
        <v>142</v>
      </c>
      <c r="C21" s="651">
        <v>48</v>
      </c>
      <c r="D21" s="651">
        <v>54</v>
      </c>
      <c r="E21" s="651">
        <v>46</v>
      </c>
      <c r="F21" s="651">
        <v>5.9</v>
      </c>
      <c r="G21" s="651">
        <v>9.4700000000000006E-2</v>
      </c>
      <c r="H21" s="643">
        <v>14</v>
      </c>
      <c r="I21" s="7"/>
      <c r="K21" s="2"/>
      <c r="O21" s="3"/>
      <c r="Q21" s="633">
        <v>120</v>
      </c>
      <c r="R21" s="642">
        <v>1.1000000000000001</v>
      </c>
      <c r="S21" s="318">
        <v>1.08</v>
      </c>
      <c r="AJ21" s="1"/>
      <c r="AN21" s="1"/>
      <c r="AP21" s="1"/>
    </row>
    <row r="22" spans="1:42" ht="19.5" customHeight="1">
      <c r="A22" s="17"/>
      <c r="B22" s="651" t="s">
        <v>143</v>
      </c>
      <c r="C22" s="651">
        <v>59</v>
      </c>
      <c r="D22" s="651">
        <v>66</v>
      </c>
      <c r="E22" s="651">
        <v>58</v>
      </c>
      <c r="F22" s="651">
        <v>3.94</v>
      </c>
      <c r="G22" s="651">
        <v>9.0200000000000002E-2</v>
      </c>
      <c r="H22" s="643">
        <v>15</v>
      </c>
      <c r="I22" s="7"/>
      <c r="O22" s="3"/>
      <c r="Q22" s="633">
        <v>150</v>
      </c>
      <c r="R22" s="642">
        <v>1.1000000000000001</v>
      </c>
      <c r="S22" s="318">
        <v>1.0900000000000001</v>
      </c>
      <c r="AJ22" s="1"/>
      <c r="AN22" s="1"/>
      <c r="AP22" s="1"/>
    </row>
    <row r="23" spans="1:42" ht="19.5" customHeight="1">
      <c r="A23" s="17"/>
      <c r="B23" s="651" t="s">
        <v>144</v>
      </c>
      <c r="C23" s="660">
        <v>82</v>
      </c>
      <c r="D23" s="660">
        <v>90</v>
      </c>
      <c r="E23" s="660">
        <v>75</v>
      </c>
      <c r="F23" s="660">
        <v>2.34</v>
      </c>
      <c r="G23" s="660">
        <v>8.5199999999999998E-2</v>
      </c>
      <c r="H23" s="643">
        <v>17</v>
      </c>
      <c r="I23" s="7"/>
      <c r="O23" s="3"/>
      <c r="Q23" s="633">
        <v>185</v>
      </c>
      <c r="R23" s="642">
        <v>1.1000000000000001</v>
      </c>
      <c r="S23" s="318">
        <v>1.0900000000000001</v>
      </c>
      <c r="AJ23" s="1"/>
      <c r="AN23" s="1"/>
      <c r="AP23" s="1"/>
    </row>
    <row r="24" spans="1:42" ht="19.5" customHeight="1">
      <c r="A24" s="17"/>
      <c r="B24" s="651" t="s">
        <v>145</v>
      </c>
      <c r="C24" s="660">
        <v>113</v>
      </c>
      <c r="D24" s="660">
        <v>114</v>
      </c>
      <c r="E24" s="660">
        <v>95</v>
      </c>
      <c r="F24" s="660">
        <v>1.47</v>
      </c>
      <c r="G24" s="660">
        <v>8.1500000000000003E-2</v>
      </c>
      <c r="H24" s="643">
        <v>18</v>
      </c>
      <c r="I24" s="7"/>
      <c r="Q24" s="633">
        <v>240</v>
      </c>
      <c r="R24" s="642">
        <v>1.1000000000000001</v>
      </c>
      <c r="S24" s="318">
        <v>1.0900000000000001</v>
      </c>
      <c r="AJ24" s="1"/>
      <c r="AN24" s="1"/>
      <c r="AP24" s="1"/>
    </row>
    <row r="25" spans="1:42" ht="19.5" customHeight="1">
      <c r="A25" s="17"/>
      <c r="B25" s="651" t="s">
        <v>146</v>
      </c>
      <c r="C25" s="660">
        <v>148</v>
      </c>
      <c r="D25" s="660">
        <v>147</v>
      </c>
      <c r="E25" s="660">
        <v>124</v>
      </c>
      <c r="F25" s="660">
        <v>0.93</v>
      </c>
      <c r="G25" s="660">
        <v>8.1000000000000003E-2</v>
      </c>
      <c r="H25" s="643">
        <v>21</v>
      </c>
      <c r="I25" s="7"/>
      <c r="Q25" s="633">
        <v>300</v>
      </c>
      <c r="R25" s="642">
        <v>1.1000000000000001</v>
      </c>
      <c r="S25" s="318">
        <v>1.0900000000000001</v>
      </c>
      <c r="AJ25" s="1"/>
      <c r="AN25" s="1"/>
      <c r="AP25" s="1"/>
    </row>
    <row r="26" spans="1:42" ht="19.5" customHeight="1">
      <c r="A26" s="17"/>
      <c r="B26" s="651" t="s">
        <v>147</v>
      </c>
      <c r="C26" s="660">
        <v>186</v>
      </c>
      <c r="D26" s="660">
        <v>177</v>
      </c>
      <c r="E26" s="660">
        <v>152</v>
      </c>
      <c r="F26" s="660">
        <v>0.67100000000000004</v>
      </c>
      <c r="G26" s="660">
        <v>7.9399999999999998E-2</v>
      </c>
      <c r="H26" s="643">
        <v>23</v>
      </c>
      <c r="I26" s="7"/>
      <c r="Q26" s="633">
        <v>400</v>
      </c>
      <c r="R26" s="634">
        <v>1.1100000000000001</v>
      </c>
      <c r="S26" s="644">
        <v>1.1000000000000001</v>
      </c>
      <c r="AJ26" s="1"/>
      <c r="AN26" s="1"/>
      <c r="AP26" s="1"/>
    </row>
    <row r="27" spans="1:42" ht="19.5" customHeight="1">
      <c r="A27" s="17"/>
      <c r="B27" s="651" t="s">
        <v>148</v>
      </c>
      <c r="C27" s="660">
        <v>221</v>
      </c>
      <c r="D27" s="660">
        <v>210</v>
      </c>
      <c r="E27" s="660">
        <v>185</v>
      </c>
      <c r="F27" s="660">
        <v>0.495</v>
      </c>
      <c r="G27" s="660">
        <v>7.9200000000000007E-2</v>
      </c>
      <c r="H27" s="643">
        <v>25</v>
      </c>
      <c r="I27" s="7"/>
      <c r="Q27" s="633">
        <v>500</v>
      </c>
      <c r="R27" s="634">
        <v>1.1100000000000001</v>
      </c>
      <c r="S27" s="644">
        <v>1.1000000000000001</v>
      </c>
      <c r="AJ27" s="1"/>
      <c r="AN27" s="1"/>
      <c r="AP27" s="1"/>
    </row>
    <row r="28" spans="1:42" ht="19.5" customHeight="1">
      <c r="A28" s="17"/>
      <c r="B28" s="651" t="s">
        <v>149</v>
      </c>
      <c r="C28" s="660">
        <v>278</v>
      </c>
      <c r="D28" s="660">
        <v>260</v>
      </c>
      <c r="E28" s="660">
        <v>228</v>
      </c>
      <c r="F28" s="660">
        <v>0.31900000000000001</v>
      </c>
      <c r="G28" s="660">
        <v>7.5200000000000003E-2</v>
      </c>
      <c r="H28" s="643">
        <v>28</v>
      </c>
      <c r="I28" s="7"/>
      <c r="Q28" s="633">
        <v>630</v>
      </c>
      <c r="R28" s="634">
        <v>1.1100000000000001</v>
      </c>
      <c r="S28" s="644">
        <v>1.1000000000000001</v>
      </c>
      <c r="AJ28" s="1"/>
      <c r="AN28" s="1"/>
      <c r="AP28" s="1"/>
    </row>
    <row r="29" spans="1:42" ht="19.5" customHeight="1">
      <c r="A29" s="17"/>
      <c r="B29" s="651" t="s">
        <v>150</v>
      </c>
      <c r="C29" s="660">
        <v>338</v>
      </c>
      <c r="D29" s="660">
        <v>309</v>
      </c>
      <c r="E29" s="660">
        <v>277</v>
      </c>
      <c r="F29" s="660">
        <v>0.247</v>
      </c>
      <c r="G29" s="660">
        <v>7.3400000000000007E-2</v>
      </c>
      <c r="H29" s="643">
        <v>32</v>
      </c>
      <c r="I29" s="7"/>
      <c r="AJ29" s="1"/>
      <c r="AN29" s="1"/>
      <c r="AP29" s="1"/>
    </row>
    <row r="30" spans="1:42" ht="19.5" customHeight="1">
      <c r="A30" s="17"/>
      <c r="B30" s="651" t="s">
        <v>151</v>
      </c>
      <c r="C30" s="660">
        <v>402</v>
      </c>
      <c r="D30" s="660">
        <v>351</v>
      </c>
      <c r="E30" s="660">
        <v>300</v>
      </c>
      <c r="F30" s="660">
        <v>0.19600000000000001</v>
      </c>
      <c r="G30" s="660">
        <v>7.2599999999999998E-2</v>
      </c>
      <c r="H30" s="643">
        <v>34</v>
      </c>
      <c r="I30" s="7"/>
      <c r="AJ30" s="1"/>
      <c r="AN30" s="1"/>
      <c r="AP30" s="1"/>
    </row>
    <row r="31" spans="1:42" ht="19.5" customHeight="1">
      <c r="A31" s="17"/>
      <c r="B31" s="651" t="s">
        <v>152</v>
      </c>
      <c r="C31" s="660">
        <v>461</v>
      </c>
      <c r="D31" s="660">
        <v>392</v>
      </c>
      <c r="E31" s="660">
        <v>341</v>
      </c>
      <c r="F31" s="660">
        <v>0.159</v>
      </c>
      <c r="G31" s="660">
        <v>7.3200000000000001E-2</v>
      </c>
      <c r="H31" s="643">
        <v>37</v>
      </c>
      <c r="I31" s="7"/>
      <c r="AJ31" s="1"/>
      <c r="AN31" s="1"/>
      <c r="AP31" s="1"/>
    </row>
    <row r="32" spans="1:42" ht="57" customHeight="1">
      <c r="A32" s="17"/>
      <c r="B32" s="651" t="s">
        <v>153</v>
      </c>
      <c r="C32" s="660">
        <v>527</v>
      </c>
      <c r="D32" s="660">
        <v>448</v>
      </c>
      <c r="E32" s="660">
        <v>384</v>
      </c>
      <c r="F32" s="660">
        <v>0.127</v>
      </c>
      <c r="G32" s="660">
        <v>7.1999999999999995E-2</v>
      </c>
      <c r="H32" s="643">
        <v>42</v>
      </c>
      <c r="I32" s="7"/>
      <c r="AJ32" s="1"/>
      <c r="AN32" s="1"/>
      <c r="AP32" s="1"/>
    </row>
    <row r="33" spans="1:42" ht="19.5" customHeight="1">
      <c r="A33" s="17"/>
      <c r="B33" s="651" t="s">
        <v>154</v>
      </c>
      <c r="C33" s="660">
        <v>607</v>
      </c>
      <c r="D33" s="660">
        <v>509</v>
      </c>
      <c r="E33" s="660">
        <v>434</v>
      </c>
      <c r="F33" s="660">
        <v>9.6500000000000002E-2</v>
      </c>
      <c r="G33" s="660">
        <v>7.1900000000000006E-2</v>
      </c>
      <c r="H33" s="643">
        <v>47</v>
      </c>
      <c r="I33" s="7"/>
      <c r="AN33" s="1"/>
      <c r="AP33" s="1"/>
    </row>
    <row r="34" spans="1:42" ht="19.5" customHeight="1">
      <c r="A34" s="17"/>
      <c r="B34" s="651" t="s">
        <v>155</v>
      </c>
      <c r="C34" s="660">
        <v>688</v>
      </c>
      <c r="D34" s="660">
        <v>579</v>
      </c>
      <c r="E34" s="660">
        <v>495</v>
      </c>
      <c r="F34" s="660">
        <v>7.6899999999999996E-2</v>
      </c>
      <c r="G34" s="660">
        <v>7.1099999999999997E-2</v>
      </c>
      <c r="H34" s="643">
        <v>51</v>
      </c>
      <c r="I34" s="7"/>
      <c r="AN34" s="1"/>
      <c r="AP34" s="1"/>
    </row>
    <row r="35" spans="1:42" ht="19.5" customHeight="1">
      <c r="A35" s="17"/>
      <c r="B35" s="651" t="s">
        <v>156</v>
      </c>
      <c r="C35" s="660">
        <v>818</v>
      </c>
      <c r="D35" s="660">
        <v>638</v>
      </c>
      <c r="E35" s="660">
        <v>553</v>
      </c>
      <c r="F35" s="660">
        <v>6.0199999999999997E-2</v>
      </c>
      <c r="G35" s="660">
        <v>7.0499999999999993E-2</v>
      </c>
      <c r="H35" s="643">
        <v>57</v>
      </c>
      <c r="I35" s="7"/>
      <c r="AJ35" s="1"/>
      <c r="AN35" s="1"/>
      <c r="AP35" s="1"/>
    </row>
    <row r="36" spans="1:42" ht="19.5" customHeight="1">
      <c r="A36" s="17"/>
      <c r="B36" s="7"/>
      <c r="C36" s="5"/>
      <c r="D36" s="5"/>
      <c r="E36" s="5"/>
      <c r="F36" s="5"/>
      <c r="G36" s="4"/>
      <c r="H36" s="20"/>
      <c r="I36" s="7"/>
      <c r="AN36" s="1"/>
    </row>
    <row r="37" spans="1:42" ht="19.5" customHeight="1">
      <c r="A37" s="17"/>
      <c r="B37" s="647" t="s">
        <v>157</v>
      </c>
      <c r="C37" s="648"/>
      <c r="D37" s="648"/>
      <c r="E37" s="648"/>
      <c r="F37" s="648"/>
      <c r="G37" s="648" t="s">
        <v>108</v>
      </c>
      <c r="H37" s="649"/>
      <c r="I37" s="1"/>
      <c r="AN37" s="1"/>
    </row>
    <row r="38" spans="1:42" ht="32.25" customHeight="1">
      <c r="A38" s="17"/>
      <c r="B38" s="1036" t="s">
        <v>109</v>
      </c>
      <c r="C38" s="1036" t="s">
        <v>110</v>
      </c>
      <c r="D38" s="1036"/>
      <c r="E38" s="1036"/>
      <c r="F38" s="1047" t="s">
        <v>111</v>
      </c>
      <c r="G38" s="1036" t="s">
        <v>112</v>
      </c>
      <c r="H38" s="1039" t="s">
        <v>113</v>
      </c>
      <c r="I38" s="1"/>
      <c r="AN38" s="1"/>
    </row>
    <row r="39" spans="1:42" ht="32.25" customHeight="1">
      <c r="A39" s="17"/>
      <c r="B39" s="1036"/>
      <c r="C39" s="622" t="s">
        <v>121</v>
      </c>
      <c r="D39" s="622" t="s">
        <v>122</v>
      </c>
      <c r="E39" s="622" t="s">
        <v>123</v>
      </c>
      <c r="F39" s="955"/>
      <c r="G39" s="1036"/>
      <c r="H39" s="1039"/>
      <c r="I39" s="1"/>
    </row>
    <row r="40" spans="1:42" ht="19.5" customHeight="1">
      <c r="A40" s="17"/>
      <c r="B40" s="633" t="s">
        <v>158</v>
      </c>
      <c r="C40" s="633">
        <v>22</v>
      </c>
      <c r="D40" s="665">
        <v>25</v>
      </c>
      <c r="E40" s="633">
        <v>22</v>
      </c>
      <c r="F40" s="633">
        <v>15.5</v>
      </c>
      <c r="G40" s="633">
        <v>0.108</v>
      </c>
      <c r="H40" s="641">
        <v>13</v>
      </c>
      <c r="I40" s="1"/>
    </row>
    <row r="41" spans="1:42" ht="19.5" customHeight="1">
      <c r="A41" s="17"/>
      <c r="B41" s="651" t="s">
        <v>159</v>
      </c>
      <c r="C41" s="651">
        <v>28</v>
      </c>
      <c r="D41" s="660">
        <v>34</v>
      </c>
      <c r="E41" s="651">
        <v>28</v>
      </c>
      <c r="F41" s="651">
        <v>9.48</v>
      </c>
      <c r="G41" s="651">
        <v>0.1007</v>
      </c>
      <c r="H41" s="643">
        <v>14</v>
      </c>
      <c r="I41" s="1"/>
      <c r="K41" s="2"/>
      <c r="L41" s="2"/>
      <c r="M41" s="2"/>
      <c r="N41" s="2"/>
      <c r="S41" s="2"/>
      <c r="T41" s="2"/>
    </row>
    <row r="42" spans="1:42" ht="19.5" customHeight="1">
      <c r="A42" s="17"/>
      <c r="B42" s="651" t="s">
        <v>160</v>
      </c>
      <c r="C42" s="651">
        <v>38</v>
      </c>
      <c r="D42" s="660">
        <v>44</v>
      </c>
      <c r="E42" s="651">
        <v>37</v>
      </c>
      <c r="F42" s="651">
        <v>5.9</v>
      </c>
      <c r="G42" s="651">
        <v>9.4700000000000006E-2</v>
      </c>
      <c r="H42" s="643">
        <v>15</v>
      </c>
      <c r="I42" s="1"/>
      <c r="K42" s="2"/>
      <c r="L42" s="2"/>
      <c r="M42" s="2"/>
      <c r="N42" s="2"/>
      <c r="S42" s="2"/>
      <c r="T42" s="2"/>
    </row>
    <row r="43" spans="1:42" ht="19.5" customHeight="1">
      <c r="A43" s="17"/>
      <c r="B43" s="651" t="s">
        <v>161</v>
      </c>
      <c r="C43" s="651">
        <v>51</v>
      </c>
      <c r="D43" s="660">
        <v>55</v>
      </c>
      <c r="E43" s="651">
        <v>46</v>
      </c>
      <c r="F43" s="651">
        <v>3.94</v>
      </c>
      <c r="G43" s="651">
        <v>9.0200000000000002E-2</v>
      </c>
      <c r="H43" s="643">
        <v>16</v>
      </c>
      <c r="I43" s="1"/>
      <c r="K43" s="2"/>
      <c r="L43" s="2"/>
      <c r="M43" s="2"/>
      <c r="N43" s="2"/>
      <c r="S43" s="2"/>
      <c r="T43" s="2"/>
      <c r="V43" s="5"/>
      <c r="W43" s="5"/>
      <c r="X43" s="5"/>
      <c r="Y43" s="5"/>
      <c r="Z43" s="5"/>
      <c r="AA43" s="5"/>
      <c r="AB43" s="5"/>
      <c r="AC43" s="5"/>
      <c r="AD43" s="5"/>
    </row>
    <row r="44" spans="1:42" ht="19.5" customHeight="1">
      <c r="A44" s="17"/>
      <c r="B44" s="651" t="s">
        <v>162</v>
      </c>
      <c r="C44" s="651">
        <v>66</v>
      </c>
      <c r="D44" s="660">
        <v>72</v>
      </c>
      <c r="E44" s="651">
        <v>60</v>
      </c>
      <c r="F44" s="651">
        <v>2.34</v>
      </c>
      <c r="G44" s="651">
        <v>8.5199999999999998E-2</v>
      </c>
      <c r="H44" s="643">
        <v>19</v>
      </c>
      <c r="K44" s="2"/>
      <c r="L44" s="2"/>
      <c r="M44" s="2"/>
      <c r="N44" s="2"/>
      <c r="S44" s="2"/>
      <c r="T44" s="2"/>
      <c r="V44" s="5"/>
      <c r="W44" s="5"/>
      <c r="X44" s="5"/>
      <c r="Y44" s="5"/>
      <c r="Z44" s="5"/>
      <c r="AA44" s="5"/>
      <c r="AB44" s="5"/>
      <c r="AC44" s="5"/>
      <c r="AD44" s="5"/>
    </row>
    <row r="45" spans="1:42" ht="19.5" customHeight="1">
      <c r="A45" s="17"/>
      <c r="B45" s="651" t="s">
        <v>163</v>
      </c>
      <c r="C45" s="651">
        <v>85</v>
      </c>
      <c r="D45" s="660">
        <v>95</v>
      </c>
      <c r="E45" s="651">
        <v>79</v>
      </c>
      <c r="F45" s="651">
        <v>1.47</v>
      </c>
      <c r="G45" s="651">
        <v>8.1500000000000003E-2</v>
      </c>
      <c r="H45" s="643">
        <v>19</v>
      </c>
      <c r="K45" s="2"/>
      <c r="L45" s="2"/>
      <c r="M45" s="2"/>
      <c r="N45" s="2"/>
      <c r="S45" s="2"/>
      <c r="T45" s="2"/>
      <c r="V45" s="5"/>
      <c r="W45" s="5"/>
      <c r="X45" s="5"/>
      <c r="Y45" s="5"/>
      <c r="Z45" s="5"/>
      <c r="AA45" s="5"/>
      <c r="AB45" s="5"/>
      <c r="AC45" s="5"/>
      <c r="AD45" s="5"/>
    </row>
    <row r="46" spans="1:42" ht="19.5" customHeight="1">
      <c r="A46" s="17"/>
      <c r="B46" s="651" t="s">
        <v>164</v>
      </c>
      <c r="C46" s="651">
        <v>122</v>
      </c>
      <c r="D46" s="660">
        <v>122</v>
      </c>
      <c r="E46" s="651">
        <v>100</v>
      </c>
      <c r="F46" s="651">
        <v>0.93</v>
      </c>
      <c r="G46" s="651">
        <v>8.1000000000000003E-2</v>
      </c>
      <c r="H46" s="643">
        <v>23</v>
      </c>
      <c r="O46" s="3"/>
      <c r="P46" s="3"/>
      <c r="Q46" s="3"/>
      <c r="R46" s="3"/>
      <c r="T46" s="5"/>
      <c r="U46" s="5"/>
      <c r="V46" s="5"/>
      <c r="W46" s="5"/>
      <c r="X46" s="5"/>
      <c r="Y46" s="5"/>
      <c r="Z46" s="5"/>
      <c r="AA46" s="5"/>
      <c r="AB46" s="5"/>
      <c r="AC46" s="5"/>
      <c r="AD46" s="5"/>
    </row>
    <row r="47" spans="1:42" ht="19.5" customHeight="1">
      <c r="A47" s="17"/>
      <c r="B47" s="651" t="s">
        <v>165</v>
      </c>
      <c r="C47" s="651">
        <v>148</v>
      </c>
      <c r="D47" s="651">
        <v>146</v>
      </c>
      <c r="E47" s="651">
        <v>120</v>
      </c>
      <c r="F47" s="651">
        <v>0.67100000000000004</v>
      </c>
      <c r="G47" s="651">
        <v>7.9399999999999998E-2</v>
      </c>
      <c r="H47" s="643">
        <v>24</v>
      </c>
      <c r="T47" s="5"/>
      <c r="U47" s="5"/>
      <c r="V47" s="5"/>
      <c r="W47" s="5"/>
      <c r="X47" s="5"/>
      <c r="Y47" s="5"/>
      <c r="Z47" s="5"/>
      <c r="AA47" s="5"/>
      <c r="AB47" s="5"/>
      <c r="AC47" s="5"/>
      <c r="AD47" s="5"/>
    </row>
    <row r="48" spans="1:42" ht="19.5" customHeight="1">
      <c r="A48" s="17"/>
      <c r="B48" s="651" t="s">
        <v>166</v>
      </c>
      <c r="C48" s="651">
        <v>181</v>
      </c>
      <c r="D48" s="651">
        <v>175</v>
      </c>
      <c r="E48" s="651">
        <v>151</v>
      </c>
      <c r="F48" s="651">
        <v>0.495</v>
      </c>
      <c r="G48" s="651">
        <v>7.9200000000000007E-2</v>
      </c>
      <c r="H48" s="643">
        <v>27</v>
      </c>
      <c r="O48" s="3"/>
      <c r="T48" s="5"/>
      <c r="U48" s="5"/>
      <c r="V48" s="5"/>
      <c r="W48" s="5"/>
      <c r="X48" s="5"/>
      <c r="Y48" s="5"/>
      <c r="Z48" s="5"/>
      <c r="AA48" s="5"/>
      <c r="AB48" s="5"/>
      <c r="AC48" s="5"/>
      <c r="AD48" s="5"/>
    </row>
    <row r="49" spans="1:34" ht="19.5" customHeight="1">
      <c r="A49" s="17"/>
      <c r="B49" s="651" t="s">
        <v>167</v>
      </c>
      <c r="C49" s="651">
        <v>230</v>
      </c>
      <c r="D49" s="651">
        <v>212</v>
      </c>
      <c r="E49" s="651">
        <v>182</v>
      </c>
      <c r="F49" s="651">
        <v>0.31900000000000001</v>
      </c>
      <c r="G49" s="660">
        <v>7.5200000000000003E-2</v>
      </c>
      <c r="H49" s="643">
        <v>32</v>
      </c>
      <c r="P49" s="1"/>
      <c r="Q49" s="1"/>
      <c r="R49" s="4"/>
    </row>
    <row r="50" spans="1:34" ht="19.5" customHeight="1">
      <c r="A50" s="17"/>
      <c r="B50" s="651" t="s">
        <v>168</v>
      </c>
      <c r="C50" s="651">
        <v>284</v>
      </c>
      <c r="D50" s="651">
        <v>253</v>
      </c>
      <c r="E50" s="651">
        <v>211</v>
      </c>
      <c r="F50" s="651">
        <v>0.247</v>
      </c>
      <c r="G50" s="660">
        <v>7.3400000000000007E-2</v>
      </c>
      <c r="H50" s="643">
        <v>35</v>
      </c>
      <c r="P50" s="1"/>
      <c r="Q50" s="1"/>
      <c r="R50" s="4"/>
    </row>
    <row r="51" spans="1:34" ht="19.5" customHeight="1">
      <c r="A51" s="17"/>
      <c r="B51" s="651" t="s">
        <v>169</v>
      </c>
      <c r="C51" s="651">
        <v>330</v>
      </c>
      <c r="D51" s="651">
        <v>290</v>
      </c>
      <c r="E51" s="651">
        <v>236</v>
      </c>
      <c r="F51" s="651">
        <v>0.19600000000000001</v>
      </c>
      <c r="G51" s="660">
        <v>7.2599999999999998E-2</v>
      </c>
      <c r="H51" s="643">
        <v>37</v>
      </c>
      <c r="P51" s="1"/>
      <c r="Q51" s="1"/>
      <c r="R51" s="4"/>
    </row>
    <row r="52" spans="1:34" ht="19.5" customHeight="1">
      <c r="A52" s="17"/>
      <c r="B52" s="651" t="s">
        <v>170</v>
      </c>
      <c r="C52" s="651">
        <v>375</v>
      </c>
      <c r="D52" s="651">
        <v>325</v>
      </c>
      <c r="E52" s="651">
        <v>271</v>
      </c>
      <c r="F52" s="651">
        <v>0.159</v>
      </c>
      <c r="G52" s="660">
        <v>7.3200000000000001E-2</v>
      </c>
      <c r="H52" s="643">
        <v>42</v>
      </c>
      <c r="P52" s="1"/>
      <c r="Q52" s="1"/>
      <c r="R52" s="4"/>
    </row>
    <row r="53" spans="1:34" ht="19.5" customHeight="1">
      <c r="A53" s="17"/>
      <c r="B53" s="651" t="s">
        <v>171</v>
      </c>
      <c r="C53" s="651">
        <v>431</v>
      </c>
      <c r="D53" s="651">
        <v>362</v>
      </c>
      <c r="E53" s="651">
        <v>308</v>
      </c>
      <c r="F53" s="651">
        <v>0.127</v>
      </c>
      <c r="G53" s="660">
        <v>7.1999999999999995E-2</v>
      </c>
      <c r="H53" s="643">
        <v>46</v>
      </c>
      <c r="P53" s="1"/>
      <c r="Q53" s="1"/>
      <c r="R53" s="4"/>
    </row>
    <row r="54" spans="1:34" ht="19.5" customHeight="1">
      <c r="A54" s="17"/>
      <c r="B54" s="651" t="s">
        <v>172</v>
      </c>
      <c r="C54" s="651">
        <v>512</v>
      </c>
      <c r="D54" s="651">
        <v>418</v>
      </c>
      <c r="E54" s="651">
        <v>257</v>
      </c>
      <c r="F54" s="651">
        <v>9.6500000000000002E-2</v>
      </c>
      <c r="G54" s="651">
        <v>7.1900000000000006E-2</v>
      </c>
      <c r="H54" s="643">
        <v>52</v>
      </c>
      <c r="I54" s="4"/>
      <c r="P54" s="4"/>
      <c r="Q54" s="4"/>
      <c r="R54" s="4"/>
    </row>
    <row r="55" spans="1:34" ht="19.5" customHeight="1">
      <c r="A55" s="17"/>
      <c r="B55" s="651" t="s">
        <v>173</v>
      </c>
      <c r="C55" s="651">
        <v>582</v>
      </c>
      <c r="D55" s="651">
        <v>467</v>
      </c>
      <c r="E55" s="651">
        <v>406</v>
      </c>
      <c r="F55" s="651">
        <v>7.6899999999999996E-2</v>
      </c>
      <c r="G55" s="651">
        <v>7.1099999999999997E-2</v>
      </c>
      <c r="H55" s="643">
        <v>56</v>
      </c>
      <c r="I55" s="4"/>
      <c r="P55" s="4"/>
      <c r="Q55" s="4"/>
      <c r="R55" s="4"/>
    </row>
    <row r="56" spans="1:34" ht="29.25" customHeight="1">
      <c r="A56" s="17"/>
      <c r="B56" s="651" t="s">
        <v>174</v>
      </c>
      <c r="C56" s="651">
        <v>661</v>
      </c>
      <c r="D56" s="651">
        <v>518</v>
      </c>
      <c r="E56" s="624">
        <v>439</v>
      </c>
      <c r="F56" s="651">
        <v>6.0199999999999997E-2</v>
      </c>
      <c r="G56" s="651">
        <v>7.0499999999999993E-2</v>
      </c>
      <c r="H56" s="643">
        <v>62</v>
      </c>
      <c r="I56" s="4"/>
    </row>
    <row r="57" spans="1:34" ht="19.5" customHeight="1">
      <c r="A57" s="17"/>
      <c r="B57" s="4"/>
      <c r="C57" s="6"/>
      <c r="D57" s="4"/>
      <c r="E57" s="4"/>
      <c r="F57" s="4"/>
      <c r="G57" s="4"/>
      <c r="H57" s="18"/>
      <c r="I57" s="4"/>
    </row>
    <row r="58" spans="1:34" ht="19.5" customHeight="1">
      <c r="A58" s="17"/>
      <c r="B58" s="647" t="s">
        <v>175</v>
      </c>
      <c r="C58" s="648"/>
      <c r="D58" s="648"/>
      <c r="E58" s="648"/>
      <c r="F58" s="648"/>
      <c r="G58" s="648" t="s">
        <v>108</v>
      </c>
      <c r="H58" s="650"/>
      <c r="I58" s="4"/>
    </row>
    <row r="59" spans="1:34" ht="32.25" customHeight="1">
      <c r="A59" s="17"/>
      <c r="B59" s="1036" t="s">
        <v>109</v>
      </c>
      <c r="C59" s="1036" t="s">
        <v>110</v>
      </c>
      <c r="D59" s="1036"/>
      <c r="E59" s="1036"/>
      <c r="F59" s="1047" t="s">
        <v>111</v>
      </c>
      <c r="G59" s="1036" t="s">
        <v>112</v>
      </c>
      <c r="H59" s="1039" t="s">
        <v>113</v>
      </c>
      <c r="I59" s="4"/>
    </row>
    <row r="60" spans="1:34" ht="32.25" customHeight="1">
      <c r="A60" s="17"/>
      <c r="B60" s="1036"/>
      <c r="C60" s="622" t="s">
        <v>121</v>
      </c>
      <c r="D60" s="622" t="s">
        <v>122</v>
      </c>
      <c r="E60" s="622" t="s">
        <v>123</v>
      </c>
      <c r="F60" s="955"/>
      <c r="G60" s="1036"/>
      <c r="H60" s="1039"/>
      <c r="I60" s="4"/>
    </row>
    <row r="61" spans="1:34" ht="19.5" customHeight="1">
      <c r="A61" s="17"/>
      <c r="B61" s="633" t="s">
        <v>176</v>
      </c>
      <c r="C61" s="633">
        <v>22</v>
      </c>
      <c r="D61" s="665">
        <v>25</v>
      </c>
      <c r="E61" s="633">
        <v>22</v>
      </c>
      <c r="F61" s="633">
        <v>15.5</v>
      </c>
      <c r="G61" s="633">
        <v>0.108</v>
      </c>
      <c r="H61" s="641">
        <v>13</v>
      </c>
      <c r="I61" s="4"/>
    </row>
    <row r="62" spans="1:34" ht="19.5" customHeight="1">
      <c r="A62" s="17"/>
      <c r="B62" s="651" t="s">
        <v>177</v>
      </c>
      <c r="C62" s="651">
        <v>28</v>
      </c>
      <c r="D62" s="660">
        <v>34</v>
      </c>
      <c r="E62" s="651">
        <v>28</v>
      </c>
      <c r="F62" s="651">
        <v>9.48</v>
      </c>
      <c r="G62" s="651">
        <v>0.1007</v>
      </c>
      <c r="H62" s="643">
        <v>15</v>
      </c>
      <c r="I62" s="4"/>
    </row>
    <row r="63" spans="1:34" ht="19.5" customHeight="1">
      <c r="A63" s="17"/>
      <c r="B63" s="651" t="s">
        <v>178</v>
      </c>
      <c r="C63" s="651">
        <v>38</v>
      </c>
      <c r="D63" s="660">
        <v>44</v>
      </c>
      <c r="E63" s="651">
        <v>37</v>
      </c>
      <c r="F63" s="651">
        <v>5.9</v>
      </c>
      <c r="G63" s="651">
        <v>9.4700000000000006E-2</v>
      </c>
      <c r="H63" s="643">
        <v>16</v>
      </c>
      <c r="I63" s="4"/>
    </row>
    <row r="64" spans="1:34" ht="19.5" customHeight="1">
      <c r="A64" s="17"/>
      <c r="B64" s="651" t="s">
        <v>179</v>
      </c>
      <c r="C64" s="651">
        <v>51</v>
      </c>
      <c r="D64" s="660">
        <v>55</v>
      </c>
      <c r="E64" s="651">
        <v>46</v>
      </c>
      <c r="F64" s="651">
        <v>3.94</v>
      </c>
      <c r="G64" s="651">
        <v>9.0200000000000002E-2</v>
      </c>
      <c r="H64" s="643">
        <v>18</v>
      </c>
      <c r="I64" s="4"/>
      <c r="AH64" s="5"/>
    </row>
    <row r="65" spans="1:34" ht="19.5" customHeight="1">
      <c r="A65" s="17"/>
      <c r="B65" s="651" t="s">
        <v>180</v>
      </c>
      <c r="C65" s="651">
        <v>66</v>
      </c>
      <c r="D65" s="660">
        <v>72</v>
      </c>
      <c r="E65" s="651">
        <v>60</v>
      </c>
      <c r="F65" s="651">
        <v>2.34</v>
      </c>
      <c r="G65" s="651">
        <v>8.5199999999999998E-2</v>
      </c>
      <c r="H65" s="643">
        <v>20</v>
      </c>
      <c r="I65" s="4"/>
      <c r="AH65" s="5"/>
    </row>
    <row r="66" spans="1:34" ht="19.5" customHeight="1">
      <c r="A66" s="17"/>
      <c r="B66" s="651" t="s">
        <v>181</v>
      </c>
      <c r="C66" s="651">
        <v>85</v>
      </c>
      <c r="D66" s="660">
        <v>95</v>
      </c>
      <c r="E66" s="651">
        <v>79</v>
      </c>
      <c r="F66" s="651">
        <v>1.47</v>
      </c>
      <c r="G66" s="651">
        <v>8.1500000000000003E-2</v>
      </c>
      <c r="H66" s="643">
        <v>21</v>
      </c>
      <c r="I66" s="4"/>
      <c r="AH66" s="5"/>
    </row>
    <row r="67" spans="1:34" ht="19.5" customHeight="1">
      <c r="A67" s="17"/>
      <c r="B67" s="651" t="s">
        <v>955</v>
      </c>
      <c r="C67" s="651">
        <v>122</v>
      </c>
      <c r="D67" s="660">
        <v>122</v>
      </c>
      <c r="E67" s="651">
        <v>100</v>
      </c>
      <c r="F67" s="651">
        <v>0.93</v>
      </c>
      <c r="G67" s="651">
        <v>8.1000000000000003E-2</v>
      </c>
      <c r="H67" s="643">
        <v>25</v>
      </c>
      <c r="I67" s="4"/>
      <c r="J67" s="1"/>
      <c r="K67" s="1"/>
      <c r="L67" s="1"/>
      <c r="M67" s="1"/>
      <c r="N67" s="1"/>
      <c r="O67" s="1"/>
      <c r="R67" s="4"/>
      <c r="AH67" s="5"/>
    </row>
    <row r="68" spans="1:34" ht="19.5" customHeight="1">
      <c r="A68" s="17"/>
      <c r="B68" s="651" t="s">
        <v>956</v>
      </c>
      <c r="C68" s="651">
        <v>148</v>
      </c>
      <c r="D68" s="651">
        <v>146</v>
      </c>
      <c r="E68" s="651">
        <v>120</v>
      </c>
      <c r="F68" s="651">
        <v>0.67100000000000004</v>
      </c>
      <c r="G68" s="651">
        <v>7.9399999999999998E-2</v>
      </c>
      <c r="H68" s="643">
        <v>27</v>
      </c>
      <c r="I68" s="4"/>
      <c r="J68" s="1"/>
      <c r="K68" s="1"/>
      <c r="L68" s="1"/>
      <c r="M68" s="1"/>
      <c r="N68" s="1"/>
      <c r="O68" s="1"/>
      <c r="R68" s="4"/>
      <c r="AH68" s="5"/>
    </row>
    <row r="69" spans="1:34" ht="19.5" customHeight="1">
      <c r="A69" s="17"/>
      <c r="B69" s="651" t="s">
        <v>957</v>
      </c>
      <c r="C69" s="651">
        <v>181</v>
      </c>
      <c r="D69" s="651">
        <v>175</v>
      </c>
      <c r="E69" s="651">
        <v>151</v>
      </c>
      <c r="F69" s="651">
        <v>0.495</v>
      </c>
      <c r="G69" s="651">
        <v>7.9200000000000007E-2</v>
      </c>
      <c r="H69" s="643">
        <v>30</v>
      </c>
      <c r="I69" s="4"/>
      <c r="J69" s="1"/>
      <c r="K69" s="1"/>
      <c r="L69" s="1"/>
      <c r="M69" s="1"/>
      <c r="N69" s="1"/>
      <c r="O69" s="1"/>
      <c r="R69" s="4"/>
      <c r="AH69" s="5"/>
    </row>
    <row r="70" spans="1:34" ht="19.5" customHeight="1">
      <c r="A70" s="17"/>
      <c r="B70" s="651" t="s">
        <v>958</v>
      </c>
      <c r="C70" s="651">
        <v>230</v>
      </c>
      <c r="D70" s="651">
        <v>212</v>
      </c>
      <c r="E70" s="651">
        <v>182</v>
      </c>
      <c r="F70" s="651">
        <v>0.31900000000000001</v>
      </c>
      <c r="G70" s="660">
        <v>7.5200000000000003E-2</v>
      </c>
      <c r="H70" s="643">
        <v>36</v>
      </c>
      <c r="I70" s="4"/>
      <c r="J70" s="1"/>
      <c r="K70" s="1"/>
      <c r="L70" s="1"/>
      <c r="M70" s="1"/>
      <c r="N70" s="1"/>
      <c r="O70" s="1"/>
      <c r="R70" s="4"/>
      <c r="AH70" s="5"/>
    </row>
    <row r="71" spans="1:34" ht="19.5" customHeight="1">
      <c r="A71" s="17"/>
      <c r="B71" s="651" t="s">
        <v>959</v>
      </c>
      <c r="C71" s="651">
        <v>284</v>
      </c>
      <c r="D71" s="651">
        <v>253</v>
      </c>
      <c r="E71" s="651">
        <v>211</v>
      </c>
      <c r="F71" s="651">
        <v>0.247</v>
      </c>
      <c r="G71" s="660">
        <v>7.3400000000000007E-2</v>
      </c>
      <c r="H71" s="643">
        <v>39</v>
      </c>
      <c r="I71" s="4"/>
      <c r="J71" s="1"/>
      <c r="K71" s="1"/>
      <c r="L71" s="1"/>
      <c r="M71" s="1"/>
      <c r="N71" s="1"/>
      <c r="O71" s="1"/>
      <c r="R71" s="4"/>
      <c r="AH71" s="5"/>
    </row>
    <row r="72" spans="1:34" ht="19.5" customHeight="1">
      <c r="A72" s="17"/>
      <c r="B72" s="651" t="s">
        <v>960</v>
      </c>
      <c r="C72" s="651">
        <v>330</v>
      </c>
      <c r="D72" s="651">
        <v>290</v>
      </c>
      <c r="E72" s="651">
        <v>236</v>
      </c>
      <c r="F72" s="651">
        <v>0.19600000000000001</v>
      </c>
      <c r="G72" s="660">
        <v>7.2599999999999998E-2</v>
      </c>
      <c r="H72" s="643">
        <v>43</v>
      </c>
      <c r="I72" s="4"/>
      <c r="J72" s="1"/>
      <c r="K72" s="1"/>
      <c r="L72" s="1"/>
      <c r="M72" s="1"/>
      <c r="N72" s="1"/>
      <c r="O72" s="1"/>
      <c r="R72" s="4"/>
      <c r="AH72" s="5"/>
    </row>
    <row r="73" spans="1:34" ht="19.5" customHeight="1">
      <c r="A73" s="17"/>
      <c r="B73" s="651" t="s">
        <v>961</v>
      </c>
      <c r="C73" s="651">
        <v>375</v>
      </c>
      <c r="D73" s="651">
        <v>325</v>
      </c>
      <c r="E73" s="651">
        <v>271</v>
      </c>
      <c r="F73" s="651">
        <v>0.159</v>
      </c>
      <c r="G73" s="660">
        <v>7.3200000000000001E-2</v>
      </c>
      <c r="H73" s="643">
        <v>48</v>
      </c>
      <c r="I73" s="4"/>
      <c r="J73" s="1"/>
      <c r="K73" s="1"/>
      <c r="L73" s="1"/>
      <c r="M73" s="1"/>
      <c r="N73" s="1"/>
      <c r="O73" s="1"/>
      <c r="R73" s="4"/>
      <c r="AH73" s="5"/>
    </row>
    <row r="74" spans="1:34">
      <c r="A74" s="17"/>
      <c r="B74" s="651" t="s">
        <v>962</v>
      </c>
      <c r="C74" s="651">
        <v>431</v>
      </c>
      <c r="D74" s="651">
        <v>362</v>
      </c>
      <c r="E74" s="651">
        <v>308</v>
      </c>
      <c r="F74" s="651">
        <v>0.127</v>
      </c>
      <c r="G74" s="660">
        <v>7.1999999999999995E-2</v>
      </c>
      <c r="H74" s="643">
        <v>53</v>
      </c>
      <c r="I74" s="4"/>
      <c r="J74" s="47"/>
      <c r="K74" s="980"/>
      <c r="L74" s="980"/>
      <c r="M74" s="980"/>
      <c r="N74" s="980"/>
      <c r="O74" s="980"/>
      <c r="P74" s="980"/>
      <c r="Q74" s="48"/>
      <c r="R74" s="980"/>
      <c r="S74" s="980"/>
      <c r="T74" s="980"/>
      <c r="U74" s="980"/>
      <c r="AH74" s="5"/>
    </row>
    <row r="75" spans="1:34" ht="19.5" customHeight="1">
      <c r="A75" s="17"/>
      <c r="B75" s="651" t="s">
        <v>963</v>
      </c>
      <c r="C75" s="651">
        <v>512</v>
      </c>
      <c r="D75" s="651">
        <v>418</v>
      </c>
      <c r="E75" s="651">
        <v>257</v>
      </c>
      <c r="F75" s="651">
        <v>9.6500000000000002E-2</v>
      </c>
      <c r="G75" s="651">
        <v>7.1900000000000006E-2</v>
      </c>
      <c r="H75" s="643">
        <v>58</v>
      </c>
      <c r="I75" s="4"/>
      <c r="J75" s="47"/>
      <c r="K75" s="980"/>
      <c r="L75" s="48"/>
      <c r="M75" s="48"/>
      <c r="N75" s="980"/>
      <c r="O75" s="48"/>
      <c r="P75" s="48"/>
      <c r="Q75" s="48"/>
      <c r="R75" s="48"/>
      <c r="S75" s="48"/>
      <c r="T75" s="48"/>
      <c r="U75" s="48"/>
      <c r="AH75" s="5"/>
    </row>
    <row r="76" spans="1:34" ht="19.5" customHeight="1">
      <c r="A76" s="17"/>
      <c r="B76" s="651" t="s">
        <v>964</v>
      </c>
      <c r="C76" s="651">
        <v>582</v>
      </c>
      <c r="D76" s="651">
        <v>467</v>
      </c>
      <c r="E76" s="651">
        <v>406</v>
      </c>
      <c r="F76" s="651">
        <v>7.6899999999999996E-2</v>
      </c>
      <c r="G76" s="651">
        <v>7.1099999999999997E-2</v>
      </c>
      <c r="H76" s="643">
        <v>64</v>
      </c>
      <c r="I76" s="4"/>
      <c r="J76" s="47"/>
      <c r="K76" s="47"/>
      <c r="L76" s="49"/>
      <c r="M76" s="49"/>
      <c r="N76" s="47"/>
      <c r="O76" s="49"/>
      <c r="P76" s="49"/>
      <c r="Q76" s="49"/>
      <c r="R76" s="49"/>
      <c r="S76" s="47"/>
      <c r="T76" s="47"/>
      <c r="U76" s="47"/>
      <c r="AH76" s="5"/>
    </row>
    <row r="77" spans="1:34" ht="19.5" customHeight="1">
      <c r="A77" s="17"/>
      <c r="B77" s="651" t="s">
        <v>965</v>
      </c>
      <c r="C77" s="651">
        <v>661</v>
      </c>
      <c r="D77" s="651">
        <v>518</v>
      </c>
      <c r="E77" s="624">
        <v>439</v>
      </c>
      <c r="F77" s="651">
        <v>6.0199999999999997E-2</v>
      </c>
      <c r="G77" s="651">
        <v>7.0499999999999993E-2</v>
      </c>
      <c r="H77" s="643">
        <v>72</v>
      </c>
      <c r="I77" s="4"/>
      <c r="J77" s="47"/>
      <c r="K77" s="47"/>
      <c r="L77" s="49"/>
      <c r="M77" s="49"/>
      <c r="N77" s="49"/>
      <c r="O77" s="49"/>
      <c r="P77" s="49"/>
      <c r="Q77" s="49"/>
      <c r="R77" s="50"/>
      <c r="S77" s="51"/>
      <c r="T77" s="52"/>
      <c r="U77" s="51"/>
      <c r="AH77" s="5"/>
    </row>
    <row r="78" spans="1:34" ht="19.5" customHeight="1">
      <c r="A78" s="17"/>
      <c r="B78" s="4"/>
      <c r="C78" s="6"/>
      <c r="D78" s="4"/>
      <c r="E78" s="4"/>
      <c r="F78" s="4"/>
      <c r="G78" s="4"/>
      <c r="H78" s="18"/>
      <c r="I78" s="4"/>
      <c r="J78" s="47"/>
      <c r="K78" s="47"/>
      <c r="L78" s="53"/>
      <c r="M78" s="53"/>
      <c r="N78" s="49"/>
      <c r="O78" s="49"/>
      <c r="P78" s="49"/>
      <c r="Q78" s="49"/>
      <c r="R78" s="50"/>
      <c r="S78" s="51"/>
      <c r="T78" s="52"/>
      <c r="U78" s="51"/>
      <c r="V78" s="5"/>
      <c r="W78" s="5"/>
      <c r="X78" s="5"/>
      <c r="Y78" s="5"/>
      <c r="Z78" s="5"/>
      <c r="AA78" s="5"/>
      <c r="AB78" s="5"/>
      <c r="AC78" s="5"/>
      <c r="AD78" s="5"/>
      <c r="AE78" s="5"/>
      <c r="AF78" s="5"/>
      <c r="AG78" s="5"/>
      <c r="AH78" s="5"/>
    </row>
    <row r="79" spans="1:34" ht="19.5" customHeight="1">
      <c r="A79" s="17"/>
      <c r="B79" s="647" t="s">
        <v>193</v>
      </c>
      <c r="C79" s="652"/>
      <c r="D79" s="652"/>
      <c r="E79" s="652"/>
      <c r="F79" s="652"/>
      <c r="G79" s="648" t="s">
        <v>108</v>
      </c>
      <c r="H79" s="653"/>
      <c r="I79" s="4"/>
      <c r="J79" s="54"/>
      <c r="K79" s="54"/>
      <c r="L79" s="54"/>
      <c r="M79" s="54"/>
      <c r="N79" s="54"/>
      <c r="O79" s="54"/>
      <c r="P79" s="54"/>
      <c r="Q79" s="54"/>
      <c r="R79" s="50"/>
      <c r="S79" s="51"/>
      <c r="T79" s="52"/>
      <c r="U79" s="51"/>
      <c r="V79" s="5"/>
      <c r="W79" s="5"/>
      <c r="X79" s="5"/>
      <c r="Y79" s="5"/>
      <c r="Z79" s="5"/>
      <c r="AA79" s="5"/>
      <c r="AB79" s="5"/>
      <c r="AC79" s="5"/>
      <c r="AD79" s="5"/>
      <c r="AE79" s="5"/>
      <c r="AF79" s="5"/>
      <c r="AG79" s="5"/>
      <c r="AH79" s="5"/>
    </row>
    <row r="80" spans="1:34" ht="36" customHeight="1">
      <c r="A80" s="17"/>
      <c r="B80" s="1040" t="s">
        <v>194</v>
      </c>
      <c r="C80" s="1040" t="s">
        <v>110</v>
      </c>
      <c r="D80" s="1040"/>
      <c r="E80" s="1040"/>
      <c r="F80" s="1047" t="s">
        <v>111</v>
      </c>
      <c r="G80" s="1040" t="s">
        <v>112</v>
      </c>
      <c r="H80" s="1039" t="s">
        <v>113</v>
      </c>
      <c r="I80" s="4"/>
      <c r="J80" s="55"/>
      <c r="K80" s="48"/>
      <c r="L80" s="56"/>
      <c r="M80" s="56"/>
      <c r="N80" s="56"/>
      <c r="O80" s="56"/>
      <c r="P80" s="56"/>
      <c r="Q80" s="56"/>
      <c r="R80" s="50"/>
      <c r="S80" s="51"/>
      <c r="T80" s="52"/>
      <c r="U80" s="51"/>
      <c r="V80" s="5"/>
      <c r="W80" s="5"/>
      <c r="X80" s="5"/>
      <c r="Y80" s="5"/>
      <c r="Z80" s="5"/>
      <c r="AA80" s="5"/>
      <c r="AB80" s="5"/>
      <c r="AC80" s="5"/>
      <c r="AD80" s="5"/>
      <c r="AE80" s="5"/>
      <c r="AF80" s="5"/>
      <c r="AG80" s="5"/>
      <c r="AH80" s="5"/>
    </row>
    <row r="81" spans="1:34" ht="36" customHeight="1">
      <c r="A81" s="17"/>
      <c r="B81" s="1040"/>
      <c r="C81" s="622" t="s">
        <v>121</v>
      </c>
      <c r="D81" s="622" t="s">
        <v>122</v>
      </c>
      <c r="E81" s="622" t="s">
        <v>123</v>
      </c>
      <c r="F81" s="955"/>
      <c r="G81" s="1040"/>
      <c r="H81" s="1039"/>
      <c r="I81" s="4"/>
      <c r="J81" s="55"/>
      <c r="K81" s="48"/>
      <c r="L81" s="48"/>
      <c r="M81" s="54"/>
      <c r="N81" s="56"/>
      <c r="O81" s="48"/>
      <c r="P81" s="48"/>
      <c r="Q81" s="48"/>
      <c r="R81" s="50"/>
      <c r="S81" s="51"/>
      <c r="T81" s="52"/>
      <c r="U81" s="51"/>
      <c r="V81" s="5"/>
      <c r="W81" s="5"/>
      <c r="X81" s="5"/>
      <c r="Y81" s="5"/>
      <c r="Z81" s="5"/>
      <c r="AA81" s="5"/>
      <c r="AB81" s="5"/>
      <c r="AC81" s="5"/>
      <c r="AD81" s="5"/>
      <c r="AE81" s="5"/>
      <c r="AF81" s="5"/>
      <c r="AG81" s="5"/>
      <c r="AH81" s="5"/>
    </row>
    <row r="82" spans="1:34" ht="19.5" customHeight="1">
      <c r="A82" s="17"/>
      <c r="B82" s="633" t="s">
        <v>195</v>
      </c>
      <c r="C82" s="633">
        <v>22</v>
      </c>
      <c r="D82" s="665">
        <v>25</v>
      </c>
      <c r="E82" s="633">
        <v>22</v>
      </c>
      <c r="F82" s="633">
        <v>15.5</v>
      </c>
      <c r="G82" s="633">
        <v>0.108</v>
      </c>
      <c r="H82" s="641"/>
      <c r="I82" s="4"/>
      <c r="J82" s="55"/>
      <c r="K82" s="47"/>
      <c r="L82" s="54"/>
      <c r="M82" s="54"/>
      <c r="N82" s="47"/>
      <c r="O82" s="49"/>
      <c r="P82" s="49"/>
      <c r="Q82" s="49"/>
      <c r="R82" s="50"/>
      <c r="S82" s="51"/>
      <c r="T82" s="52"/>
      <c r="U82" s="51"/>
      <c r="V82" s="5"/>
      <c r="W82" s="5"/>
      <c r="X82" s="5"/>
      <c r="Y82" s="5"/>
      <c r="Z82" s="5"/>
      <c r="AA82" s="5"/>
      <c r="AB82" s="5"/>
      <c r="AC82" s="5"/>
      <c r="AD82" s="5"/>
      <c r="AE82" s="5"/>
      <c r="AF82" s="5"/>
      <c r="AG82" s="5"/>
      <c r="AH82" s="5"/>
    </row>
    <row r="83" spans="1:34" ht="19.5" customHeight="1">
      <c r="A83" s="17"/>
      <c r="B83" s="651" t="s">
        <v>196</v>
      </c>
      <c r="C83" s="651">
        <v>28</v>
      </c>
      <c r="D83" s="660">
        <v>34</v>
      </c>
      <c r="E83" s="651">
        <v>28</v>
      </c>
      <c r="F83" s="651">
        <v>9.48</v>
      </c>
      <c r="G83" s="651">
        <v>0.1007</v>
      </c>
      <c r="H83" s="643"/>
      <c r="I83" s="4"/>
      <c r="J83" s="55"/>
      <c r="K83" s="47"/>
      <c r="L83" s="54"/>
      <c r="M83" s="54"/>
      <c r="N83" s="49"/>
      <c r="O83" s="49"/>
      <c r="P83" s="49"/>
      <c r="Q83" s="49"/>
      <c r="R83" s="50"/>
      <c r="S83" s="51"/>
      <c r="T83" s="52"/>
      <c r="U83" s="51"/>
      <c r="V83" s="5"/>
      <c r="W83" s="5"/>
      <c r="X83" s="5"/>
      <c r="Y83" s="5"/>
      <c r="Z83" s="5"/>
      <c r="AA83" s="5"/>
      <c r="AB83" s="5"/>
      <c r="AC83" s="5"/>
      <c r="AD83" s="5"/>
      <c r="AE83" s="5"/>
      <c r="AF83" s="5"/>
      <c r="AG83" s="5"/>
      <c r="AH83" s="5"/>
    </row>
    <row r="84" spans="1:34" ht="19.5" customHeight="1">
      <c r="A84" s="17"/>
      <c r="B84" s="651" t="s">
        <v>197</v>
      </c>
      <c r="C84" s="651">
        <v>38</v>
      </c>
      <c r="D84" s="660">
        <v>44</v>
      </c>
      <c r="E84" s="651">
        <v>37</v>
      </c>
      <c r="F84" s="651">
        <v>5.9</v>
      </c>
      <c r="G84" s="651">
        <v>9.4700000000000006E-2</v>
      </c>
      <c r="H84" s="643"/>
      <c r="I84" s="4"/>
      <c r="J84" s="55"/>
      <c r="K84" s="47"/>
      <c r="L84" s="54"/>
      <c r="M84" s="54"/>
      <c r="N84" s="54"/>
      <c r="O84" s="54"/>
      <c r="P84" s="54"/>
      <c r="Q84" s="54"/>
      <c r="R84" s="50"/>
      <c r="S84" s="51"/>
      <c r="T84" s="50"/>
      <c r="U84" s="51"/>
      <c r="V84" s="5"/>
      <c r="W84" s="5"/>
      <c r="X84" s="5"/>
      <c r="Y84" s="5"/>
      <c r="Z84" s="5"/>
      <c r="AA84" s="5"/>
      <c r="AB84" s="5"/>
      <c r="AC84" s="5"/>
      <c r="AD84" s="5"/>
      <c r="AE84" s="5"/>
      <c r="AF84" s="5"/>
      <c r="AG84" s="5"/>
      <c r="AH84" s="5"/>
    </row>
    <row r="85" spans="1:34" ht="19.5" customHeight="1">
      <c r="A85" s="17"/>
      <c r="B85" s="651" t="s">
        <v>198</v>
      </c>
      <c r="C85" s="651">
        <v>51</v>
      </c>
      <c r="D85" s="660">
        <v>55</v>
      </c>
      <c r="E85" s="651">
        <v>46</v>
      </c>
      <c r="F85" s="651">
        <v>3.94</v>
      </c>
      <c r="G85" s="651">
        <v>9.0200000000000002E-2</v>
      </c>
      <c r="H85" s="643"/>
      <c r="I85" s="4"/>
      <c r="J85" s="4"/>
      <c r="K85" s="4"/>
      <c r="L85" s="4"/>
      <c r="M85" s="4"/>
      <c r="N85" s="4"/>
      <c r="O85" s="4"/>
      <c r="P85" s="4"/>
      <c r="Q85" s="4"/>
      <c r="R85" s="4"/>
      <c r="S85" s="4"/>
      <c r="T85" s="4"/>
      <c r="U85" s="4"/>
      <c r="V85" s="5"/>
      <c r="W85" s="5"/>
      <c r="X85" s="5"/>
      <c r="Y85" s="5"/>
      <c r="Z85" s="5"/>
      <c r="AA85" s="5"/>
      <c r="AB85" s="5"/>
      <c r="AC85" s="5"/>
      <c r="AD85" s="5"/>
      <c r="AE85" s="5"/>
      <c r="AF85" s="5"/>
      <c r="AG85" s="5"/>
      <c r="AH85" s="5"/>
    </row>
    <row r="86" spans="1:34" ht="19.5" customHeight="1">
      <c r="A86" s="17"/>
      <c r="B86" s="651" t="s">
        <v>199</v>
      </c>
      <c r="C86" s="651">
        <v>66</v>
      </c>
      <c r="D86" s="660">
        <v>72</v>
      </c>
      <c r="E86" s="651">
        <v>60</v>
      </c>
      <c r="F86" s="651">
        <v>2.34</v>
      </c>
      <c r="G86" s="651">
        <v>8.5199999999999998E-2</v>
      </c>
      <c r="H86" s="643"/>
      <c r="I86" s="4"/>
      <c r="J86" s="4"/>
      <c r="K86" s="4"/>
      <c r="L86" s="4"/>
      <c r="M86" s="4"/>
      <c r="N86" s="4"/>
      <c r="O86" s="4"/>
      <c r="P86" s="4"/>
      <c r="Q86" s="4"/>
      <c r="R86" s="4"/>
      <c r="S86" s="4"/>
      <c r="T86" s="4"/>
      <c r="U86" s="4"/>
      <c r="V86" s="5"/>
      <c r="W86" s="5"/>
      <c r="X86" s="5"/>
      <c r="Y86" s="5"/>
      <c r="Z86" s="5"/>
      <c r="AA86" s="5"/>
      <c r="AB86" s="5"/>
      <c r="AC86" s="5"/>
      <c r="AD86" s="5"/>
      <c r="AE86" s="5"/>
      <c r="AF86" s="5"/>
      <c r="AG86" s="5"/>
      <c r="AH86" s="5"/>
    </row>
    <row r="87" spans="1:34" ht="19.5" customHeight="1">
      <c r="A87" s="17"/>
      <c r="B87" s="651" t="s">
        <v>200</v>
      </c>
      <c r="C87" s="651">
        <v>85</v>
      </c>
      <c r="D87" s="660">
        <v>95</v>
      </c>
      <c r="E87" s="651">
        <v>79</v>
      </c>
      <c r="F87" s="651">
        <v>1.47</v>
      </c>
      <c r="G87" s="651">
        <v>8.1500000000000003E-2</v>
      </c>
      <c r="H87" s="643"/>
      <c r="I87" s="4"/>
      <c r="J87" s="4"/>
      <c r="K87" s="4"/>
      <c r="L87" s="4"/>
      <c r="M87" s="4"/>
      <c r="N87" s="4"/>
      <c r="O87" s="4"/>
      <c r="P87" s="4"/>
      <c r="Q87" s="4"/>
      <c r="R87" s="4"/>
      <c r="S87" s="4"/>
      <c r="T87" s="4"/>
      <c r="U87" s="4"/>
      <c r="V87" s="5"/>
      <c r="W87" s="5"/>
      <c r="X87" s="5"/>
      <c r="Y87" s="5"/>
      <c r="Z87" s="5"/>
      <c r="AA87" s="5"/>
      <c r="AB87" s="5"/>
      <c r="AC87" s="5"/>
      <c r="AD87" s="5"/>
      <c r="AE87" s="5"/>
      <c r="AF87" s="5"/>
      <c r="AG87" s="5"/>
      <c r="AH87" s="5"/>
    </row>
    <row r="88" spans="1:34" ht="19.5" customHeight="1">
      <c r="A88" s="17"/>
      <c r="B88" s="651" t="s">
        <v>201</v>
      </c>
      <c r="C88" s="651">
        <v>122</v>
      </c>
      <c r="D88" s="660">
        <v>122</v>
      </c>
      <c r="E88" s="651">
        <v>100</v>
      </c>
      <c r="F88" s="651">
        <v>0.93</v>
      </c>
      <c r="G88" s="651">
        <v>8.1000000000000003E-2</v>
      </c>
      <c r="H88" s="643"/>
      <c r="I88" s="4"/>
      <c r="J88" s="4"/>
      <c r="K88" s="4"/>
      <c r="L88" s="4"/>
      <c r="M88" s="4"/>
      <c r="N88" s="4"/>
      <c r="O88" s="4"/>
      <c r="P88" s="4"/>
      <c r="Q88" s="4"/>
      <c r="R88" s="4"/>
      <c r="S88" s="4"/>
      <c r="T88" s="4"/>
      <c r="U88" s="4"/>
      <c r="V88" s="5"/>
      <c r="W88" s="5"/>
      <c r="X88" s="5"/>
      <c r="Y88" s="5"/>
      <c r="Z88" s="5"/>
      <c r="AA88" s="5"/>
      <c r="AB88" s="5"/>
      <c r="AC88" s="5"/>
      <c r="AD88" s="5"/>
      <c r="AE88" s="5"/>
      <c r="AF88" s="5"/>
      <c r="AG88" s="5"/>
      <c r="AH88" s="5"/>
    </row>
    <row r="89" spans="1:34" ht="19.5" customHeight="1">
      <c r="A89" s="17"/>
      <c r="B89" s="651" t="s">
        <v>202</v>
      </c>
      <c r="C89" s="651">
        <v>148</v>
      </c>
      <c r="D89" s="651">
        <v>146</v>
      </c>
      <c r="E89" s="651">
        <v>120</v>
      </c>
      <c r="F89" s="651">
        <v>0.67100000000000004</v>
      </c>
      <c r="G89" s="651">
        <v>7.9399999999999998E-2</v>
      </c>
      <c r="H89" s="643"/>
      <c r="I89" s="4"/>
      <c r="J89" s="4"/>
      <c r="K89" s="4"/>
      <c r="L89" s="4"/>
      <c r="M89" s="4"/>
      <c r="N89" s="4"/>
      <c r="O89" s="4"/>
      <c r="P89" s="4"/>
      <c r="Q89" s="4"/>
      <c r="R89" s="4"/>
      <c r="S89" s="4"/>
      <c r="T89" s="4"/>
      <c r="U89" s="4"/>
      <c r="V89" s="5"/>
      <c r="W89" s="5"/>
      <c r="X89" s="5"/>
      <c r="Y89" s="5"/>
      <c r="Z89" s="5"/>
      <c r="AA89" s="5"/>
      <c r="AB89" s="5"/>
      <c r="AC89" s="5"/>
      <c r="AD89" s="5"/>
      <c r="AE89" s="5"/>
      <c r="AF89" s="5"/>
      <c r="AG89" s="5"/>
      <c r="AH89" s="5"/>
    </row>
    <row r="90" spans="1:34" ht="19.5" customHeight="1">
      <c r="A90" s="17"/>
      <c r="B90" s="651" t="s">
        <v>203</v>
      </c>
      <c r="C90" s="651">
        <v>181</v>
      </c>
      <c r="D90" s="651">
        <v>175</v>
      </c>
      <c r="E90" s="651">
        <v>151</v>
      </c>
      <c r="F90" s="651">
        <v>0.495</v>
      </c>
      <c r="G90" s="651">
        <v>7.9200000000000007E-2</v>
      </c>
      <c r="H90" s="643"/>
      <c r="I90" s="4"/>
      <c r="J90" s="4"/>
      <c r="K90" s="4"/>
      <c r="L90" s="4"/>
      <c r="M90" s="4"/>
      <c r="N90" s="4"/>
      <c r="O90" s="4"/>
      <c r="P90" s="4"/>
      <c r="Q90" s="4"/>
      <c r="R90" s="4"/>
      <c r="S90" s="4"/>
      <c r="T90" s="4"/>
      <c r="U90" s="4"/>
      <c r="V90" s="5"/>
      <c r="W90" s="5"/>
      <c r="X90" s="5"/>
      <c r="Y90" s="5"/>
      <c r="Z90" s="5"/>
      <c r="AA90" s="5"/>
      <c r="AB90" s="5"/>
      <c r="AC90" s="5"/>
      <c r="AD90" s="5"/>
      <c r="AE90" s="5"/>
      <c r="AF90" s="5"/>
      <c r="AG90" s="5"/>
      <c r="AH90" s="5"/>
    </row>
    <row r="91" spans="1:34" ht="19.5" customHeight="1">
      <c r="A91" s="17"/>
      <c r="B91" s="651" t="s">
        <v>204</v>
      </c>
      <c r="C91" s="651">
        <v>230</v>
      </c>
      <c r="D91" s="651">
        <v>212</v>
      </c>
      <c r="E91" s="651">
        <v>182</v>
      </c>
      <c r="F91" s="651">
        <v>0.31900000000000001</v>
      </c>
      <c r="G91" s="660">
        <v>7.5200000000000003E-2</v>
      </c>
      <c r="H91" s="643"/>
      <c r="I91" s="4"/>
      <c r="J91" s="4"/>
      <c r="K91" s="4"/>
      <c r="L91" s="4"/>
      <c r="M91" s="4"/>
      <c r="N91" s="4"/>
      <c r="O91" s="4"/>
      <c r="P91" s="4"/>
      <c r="Q91" s="4"/>
      <c r="R91" s="4"/>
      <c r="S91" s="4"/>
      <c r="T91" s="4"/>
      <c r="U91" s="4"/>
      <c r="V91" s="5"/>
      <c r="W91" s="5"/>
      <c r="X91" s="5"/>
      <c r="Y91" s="5"/>
      <c r="Z91" s="5"/>
      <c r="AA91" s="5"/>
      <c r="AB91" s="5"/>
      <c r="AC91" s="5"/>
      <c r="AD91" s="5"/>
      <c r="AE91" s="5"/>
      <c r="AF91" s="5"/>
      <c r="AG91" s="5"/>
      <c r="AH91" s="5"/>
    </row>
    <row r="92" spans="1:34" ht="19.5" customHeight="1">
      <c r="A92" s="17"/>
      <c r="B92" s="7"/>
      <c r="C92" s="7"/>
      <c r="D92" s="7"/>
      <c r="E92" s="7"/>
      <c r="F92" s="58"/>
      <c r="G92" s="58"/>
      <c r="H92" s="59"/>
      <c r="I92" s="4"/>
      <c r="U92" s="5"/>
      <c r="V92" s="5"/>
      <c r="W92" s="5"/>
      <c r="X92" s="5"/>
      <c r="Y92" s="5"/>
      <c r="Z92" s="5"/>
      <c r="AA92" s="5"/>
      <c r="AB92" s="5"/>
      <c r="AC92" s="5"/>
      <c r="AD92" s="5"/>
      <c r="AE92" s="5"/>
      <c r="AF92" s="5"/>
      <c r="AG92" s="5"/>
      <c r="AH92" s="5"/>
    </row>
    <row r="93" spans="1:34" ht="19.5" customHeight="1" thickBot="1">
      <c r="A93" s="22"/>
      <c r="B93" s="23"/>
      <c r="C93" s="24"/>
      <c r="D93" s="23"/>
      <c r="E93" s="23"/>
      <c r="F93" s="23"/>
      <c r="G93" s="23"/>
      <c r="H93" s="25"/>
      <c r="I93" s="5"/>
      <c r="U93" s="5"/>
      <c r="V93" s="5"/>
      <c r="W93" s="5"/>
      <c r="X93" s="5"/>
      <c r="Y93" s="5"/>
      <c r="Z93" s="5"/>
      <c r="AA93" s="5"/>
      <c r="AB93" s="5"/>
      <c r="AC93" s="5"/>
      <c r="AD93" s="5"/>
      <c r="AE93" s="5"/>
      <c r="AF93" s="5"/>
      <c r="AG93" s="5"/>
      <c r="AH93" s="5"/>
    </row>
    <row r="94" spans="1:34" ht="19.5" customHeight="1" thickBot="1">
      <c r="A94" s="5"/>
      <c r="B94" s="4"/>
      <c r="C94" s="6"/>
      <c r="D94" s="4"/>
      <c r="E94" s="4"/>
      <c r="F94" s="4"/>
      <c r="G94" s="4"/>
      <c r="H94" s="4"/>
      <c r="I94" s="4"/>
      <c r="J94" s="4"/>
      <c r="K94" s="5"/>
      <c r="L94" s="5"/>
      <c r="M94" s="5"/>
      <c r="N94" s="5"/>
      <c r="O94" s="4"/>
      <c r="P94" s="4"/>
      <c r="Q94" s="4"/>
      <c r="R94" s="4"/>
      <c r="S94" s="5"/>
      <c r="T94" s="5"/>
      <c r="U94" s="5"/>
      <c r="V94" s="5"/>
      <c r="W94" s="5"/>
      <c r="X94" s="5"/>
      <c r="Y94" s="5"/>
      <c r="Z94" s="5"/>
      <c r="AA94" s="5"/>
      <c r="AB94" s="5"/>
      <c r="AC94" s="5"/>
      <c r="AD94" s="5"/>
      <c r="AE94" s="5"/>
      <c r="AF94" s="5"/>
      <c r="AG94" s="5"/>
      <c r="AH94" s="5"/>
    </row>
    <row r="95" spans="1:34" ht="19.5" customHeight="1">
      <c r="A95" s="14"/>
      <c r="B95" s="967" t="s">
        <v>205</v>
      </c>
      <c r="C95" s="968"/>
      <c r="D95" s="968"/>
      <c r="E95" s="968"/>
      <c r="F95" s="969"/>
      <c r="G95" s="26"/>
      <c r="H95" s="16"/>
      <c r="I95" s="4"/>
      <c r="J95" s="9"/>
      <c r="K95" s="9"/>
      <c r="L95" s="9"/>
      <c r="M95" s="9"/>
      <c r="N95" s="9"/>
      <c r="O95" s="10"/>
      <c r="P95" s="4"/>
      <c r="Q95" s="4"/>
      <c r="R95" s="4"/>
      <c r="S95" s="5"/>
      <c r="T95" s="5"/>
      <c r="U95" s="5"/>
      <c r="V95" s="5"/>
      <c r="W95" s="5"/>
      <c r="X95" s="5"/>
      <c r="Y95" s="5"/>
      <c r="Z95" s="5"/>
      <c r="AA95" s="5"/>
      <c r="AB95" s="5"/>
      <c r="AC95" s="5"/>
      <c r="AD95" s="5"/>
      <c r="AE95" s="5"/>
      <c r="AF95" s="5"/>
      <c r="AG95" s="5"/>
      <c r="AH95" s="5"/>
    </row>
    <row r="96" spans="1:34" ht="19.5" customHeight="1">
      <c r="A96" s="17"/>
      <c r="B96" s="4"/>
      <c r="C96" s="4"/>
      <c r="D96" s="4"/>
      <c r="E96" s="4"/>
      <c r="F96" s="4"/>
      <c r="G96" s="4"/>
      <c r="H96" s="18"/>
      <c r="I96" s="4"/>
      <c r="J96" s="4"/>
      <c r="K96" s="4"/>
      <c r="L96" s="4"/>
      <c r="M96" s="4"/>
      <c r="N96" s="4"/>
      <c r="O96" s="4"/>
      <c r="P96" s="4"/>
      <c r="Q96" s="4"/>
      <c r="R96" s="4"/>
      <c r="S96" s="5"/>
      <c r="T96" s="5"/>
      <c r="U96" s="5"/>
      <c r="V96" s="5"/>
      <c r="W96" s="5"/>
      <c r="X96" s="5"/>
      <c r="Y96" s="5"/>
      <c r="Z96" s="5"/>
      <c r="AA96" s="5"/>
      <c r="AB96" s="5"/>
      <c r="AC96" s="5"/>
      <c r="AD96" s="5"/>
      <c r="AE96" s="5"/>
      <c r="AF96" s="5"/>
      <c r="AG96" s="5"/>
      <c r="AH96" s="5"/>
    </row>
    <row r="97" spans="1:34" ht="19.5" customHeight="1">
      <c r="A97" s="17"/>
      <c r="B97" s="45" t="s">
        <v>206</v>
      </c>
      <c r="C97" s="44"/>
      <c r="D97" s="45"/>
      <c r="E97" s="45"/>
      <c r="F97" s="45" t="s">
        <v>207</v>
      </c>
      <c r="G97" s="46"/>
      <c r="H97" s="18"/>
      <c r="I97" s="4"/>
      <c r="P97" s="4"/>
      <c r="Q97" s="4"/>
      <c r="R97" s="4"/>
      <c r="S97" s="5"/>
      <c r="T97" s="5"/>
      <c r="U97" s="5"/>
      <c r="V97" s="5"/>
      <c r="W97" s="5"/>
      <c r="X97" s="5"/>
      <c r="Y97" s="5"/>
      <c r="Z97" s="5"/>
      <c r="AA97" s="5"/>
      <c r="AB97" s="5"/>
      <c r="AC97" s="5"/>
      <c r="AD97" s="5"/>
      <c r="AE97" s="5"/>
      <c r="AF97" s="5"/>
      <c r="AG97" s="5"/>
      <c r="AH97" s="5"/>
    </row>
    <row r="98" spans="1:34" ht="19.5" customHeight="1">
      <c r="A98" s="17"/>
      <c r="B98" s="7"/>
      <c r="C98" s="7"/>
      <c r="D98" s="7"/>
      <c r="E98" s="7"/>
      <c r="F98" s="7"/>
      <c r="G98" s="7"/>
      <c r="H98" s="18"/>
      <c r="I98" s="4"/>
      <c r="P98" s="4"/>
      <c r="Q98" s="4"/>
      <c r="R98" s="4"/>
      <c r="S98" s="5"/>
      <c r="T98" s="5"/>
      <c r="U98" s="5"/>
      <c r="V98" s="5"/>
      <c r="W98" s="5"/>
      <c r="X98" s="5"/>
      <c r="Y98" s="5"/>
      <c r="Z98" s="5"/>
      <c r="AA98" s="5"/>
      <c r="AB98" s="5"/>
      <c r="AC98" s="5"/>
      <c r="AD98" s="5"/>
      <c r="AE98" s="5"/>
      <c r="AF98" s="5"/>
      <c r="AG98" s="5"/>
      <c r="AH98" s="5"/>
    </row>
    <row r="99" spans="1:34" ht="73.5" customHeight="1">
      <c r="A99" s="17"/>
      <c r="B99" s="1047" t="s">
        <v>109</v>
      </c>
      <c r="C99" s="1031" t="s">
        <v>110</v>
      </c>
      <c r="D99" s="1032"/>
      <c r="E99" s="1033"/>
      <c r="F99" s="1047" t="s">
        <v>208</v>
      </c>
      <c r="G99" s="1047" t="s">
        <v>209</v>
      </c>
      <c r="H99" s="1037" t="s">
        <v>210</v>
      </c>
      <c r="I99" s="1049" t="s">
        <v>211</v>
      </c>
      <c r="J99" s="1034" t="s">
        <v>115</v>
      </c>
      <c r="K99" s="1036" t="s">
        <v>952</v>
      </c>
      <c r="L99" s="1036" t="s">
        <v>212</v>
      </c>
      <c r="M99" s="1036"/>
      <c r="N99" s="1036" t="s">
        <v>118</v>
      </c>
      <c r="O99" s="1036" t="s">
        <v>213</v>
      </c>
      <c r="P99" s="1036"/>
      <c r="Q99" s="1031" t="s">
        <v>214</v>
      </c>
      <c r="R99" s="1032"/>
      <c r="S99" s="1033"/>
      <c r="U99" s="10"/>
      <c r="V99" s="10"/>
      <c r="X99" s="10"/>
      <c r="Y99" s="10"/>
      <c r="Z99" s="5"/>
      <c r="AA99" s="5"/>
      <c r="AB99" s="5"/>
      <c r="AC99" s="5"/>
      <c r="AD99" s="5"/>
      <c r="AE99" s="5"/>
      <c r="AF99" s="5"/>
      <c r="AG99" s="5"/>
      <c r="AH99" s="5"/>
    </row>
    <row r="100" spans="1:34" ht="60" customHeight="1">
      <c r="A100" s="17"/>
      <c r="B100" s="955"/>
      <c r="C100" s="622" t="s">
        <v>215</v>
      </c>
      <c r="D100" s="622" t="s">
        <v>216</v>
      </c>
      <c r="E100" s="622" t="s">
        <v>217</v>
      </c>
      <c r="F100" s="955"/>
      <c r="G100" s="955"/>
      <c r="H100" s="966"/>
      <c r="I100" s="975"/>
      <c r="J100" s="1048"/>
      <c r="K100" s="1047"/>
      <c r="L100" s="666" t="s">
        <v>218</v>
      </c>
      <c r="M100" s="666" t="s">
        <v>125</v>
      </c>
      <c r="N100" s="1047"/>
      <c r="O100" s="666" t="s">
        <v>126</v>
      </c>
      <c r="P100" s="666" t="s">
        <v>127</v>
      </c>
      <c r="Q100" s="666" t="s">
        <v>128</v>
      </c>
      <c r="R100" s="666" t="s">
        <v>126</v>
      </c>
      <c r="S100" s="666" t="s">
        <v>127</v>
      </c>
      <c r="U100" s="10"/>
      <c r="V100" s="10"/>
      <c r="W100" s="10"/>
      <c r="X100" s="10"/>
      <c r="Y100" s="10"/>
      <c r="Z100" s="5"/>
      <c r="AA100" s="5"/>
      <c r="AB100" s="5"/>
      <c r="AC100" s="5"/>
      <c r="AD100" s="5"/>
      <c r="AE100" s="5"/>
      <c r="AF100" s="5"/>
      <c r="AG100" s="5"/>
      <c r="AH100" s="5"/>
    </row>
    <row r="101" spans="1:34" ht="19.5" customHeight="1">
      <c r="A101" s="17"/>
      <c r="B101" s="651" t="s">
        <v>219</v>
      </c>
      <c r="C101" s="651">
        <v>296</v>
      </c>
      <c r="D101" s="651">
        <v>239</v>
      </c>
      <c r="E101" s="651">
        <v>227</v>
      </c>
      <c r="F101" s="651">
        <v>0.34200000000000003</v>
      </c>
      <c r="G101" s="651">
        <v>0.121</v>
      </c>
      <c r="H101" s="625">
        <v>26</v>
      </c>
      <c r="I101" s="1046" t="s">
        <v>220</v>
      </c>
      <c r="J101" s="626" t="s">
        <v>131</v>
      </c>
      <c r="K101" s="627">
        <v>0.91</v>
      </c>
      <c r="L101" s="627">
        <v>0.9</v>
      </c>
      <c r="M101" s="627">
        <v>0.97</v>
      </c>
      <c r="N101" s="627" t="s">
        <v>132</v>
      </c>
      <c r="O101" s="627" t="s">
        <v>132</v>
      </c>
      <c r="P101" s="627" t="s">
        <v>132</v>
      </c>
      <c r="Q101" s="629"/>
      <c r="R101" s="629"/>
      <c r="S101" s="629"/>
      <c r="U101" s="10"/>
      <c r="V101" s="10"/>
      <c r="W101" s="10"/>
      <c r="X101" s="10"/>
      <c r="Y101" s="10"/>
      <c r="Z101" s="5"/>
      <c r="AA101" s="5"/>
      <c r="AB101" s="5"/>
      <c r="AC101" s="5"/>
      <c r="AD101" s="5"/>
      <c r="AE101" s="5"/>
      <c r="AF101" s="5"/>
      <c r="AG101" s="5"/>
      <c r="AH101" s="5"/>
    </row>
    <row r="102" spans="1:34" ht="19.5" customHeight="1">
      <c r="A102" s="17"/>
      <c r="B102" s="651" t="s">
        <v>221</v>
      </c>
      <c r="C102" s="651">
        <v>361</v>
      </c>
      <c r="D102" s="651">
        <v>285</v>
      </c>
      <c r="E102" s="651">
        <v>271</v>
      </c>
      <c r="F102" s="651">
        <v>0.247</v>
      </c>
      <c r="G102" s="651">
        <v>0.11600000000000001</v>
      </c>
      <c r="H102" s="625">
        <v>27</v>
      </c>
      <c r="I102" s="1000"/>
      <c r="J102" s="656" t="s">
        <v>123</v>
      </c>
      <c r="K102" s="627" t="s">
        <v>132</v>
      </c>
      <c r="L102" s="627">
        <v>0.64</v>
      </c>
      <c r="M102" s="627">
        <v>0.8</v>
      </c>
      <c r="N102" s="627">
        <v>0.89</v>
      </c>
      <c r="O102" s="627">
        <v>0.95</v>
      </c>
      <c r="P102" s="627">
        <v>0.97</v>
      </c>
      <c r="Q102" s="633">
        <v>120</v>
      </c>
      <c r="R102" s="634">
        <v>1.0900000000000001</v>
      </c>
      <c r="S102" s="318">
        <v>1.05</v>
      </c>
      <c r="U102" s="10"/>
      <c r="V102" s="10"/>
      <c r="W102" s="10"/>
      <c r="X102" s="10"/>
      <c r="Y102" s="10"/>
      <c r="Z102" s="5"/>
      <c r="AA102" s="5"/>
      <c r="AB102" s="5"/>
      <c r="AC102" s="5"/>
      <c r="AD102" s="5"/>
      <c r="AE102" s="5"/>
      <c r="AF102" s="5"/>
      <c r="AG102" s="5"/>
      <c r="AH102" s="5"/>
    </row>
    <row r="103" spans="1:34" ht="19.5" customHeight="1">
      <c r="A103" s="17"/>
      <c r="B103" s="651" t="s">
        <v>222</v>
      </c>
      <c r="C103" s="651">
        <v>417</v>
      </c>
      <c r="D103" s="651">
        <v>323</v>
      </c>
      <c r="E103" s="651">
        <v>308</v>
      </c>
      <c r="F103" s="651">
        <v>0.19600000000000001</v>
      </c>
      <c r="G103" s="651">
        <v>0.111</v>
      </c>
      <c r="H103" s="625">
        <v>29</v>
      </c>
      <c r="I103" s="4"/>
      <c r="J103" s="656" t="s">
        <v>122</v>
      </c>
      <c r="K103" s="627" t="s">
        <v>132</v>
      </c>
      <c r="L103" s="627">
        <v>0.64</v>
      </c>
      <c r="M103" s="627">
        <v>0.8</v>
      </c>
      <c r="N103" s="627">
        <v>0.89</v>
      </c>
      <c r="O103" s="627">
        <v>0.95</v>
      </c>
      <c r="P103" s="627">
        <v>0.96</v>
      </c>
      <c r="Q103" s="633">
        <v>150</v>
      </c>
      <c r="R103" s="634">
        <v>1.0900000000000001</v>
      </c>
      <c r="S103" s="318">
        <v>1.05</v>
      </c>
      <c r="U103" s="10"/>
      <c r="V103" s="10"/>
      <c r="W103" s="10"/>
      <c r="X103" s="10"/>
      <c r="Y103" s="10"/>
      <c r="Z103" s="5"/>
      <c r="AA103" s="5"/>
      <c r="AB103" s="5"/>
      <c r="AC103" s="5"/>
      <c r="AD103" s="5"/>
      <c r="AE103" s="5"/>
      <c r="AF103" s="5"/>
      <c r="AG103" s="5"/>
      <c r="AH103" s="5"/>
    </row>
    <row r="104" spans="1:34" ht="38.25" customHeight="1">
      <c r="A104" s="17"/>
      <c r="B104" s="651" t="s">
        <v>223</v>
      </c>
      <c r="C104" s="651">
        <v>473</v>
      </c>
      <c r="D104" s="651">
        <v>361</v>
      </c>
      <c r="E104" s="651">
        <v>343</v>
      </c>
      <c r="F104" s="651">
        <v>0.159</v>
      </c>
      <c r="G104" s="651">
        <v>0.109</v>
      </c>
      <c r="H104" s="625">
        <v>30</v>
      </c>
      <c r="I104" s="4"/>
      <c r="J104" s="670" t="s">
        <v>136</v>
      </c>
      <c r="K104" s="627">
        <v>0.91</v>
      </c>
      <c r="L104" s="627">
        <v>0.9</v>
      </c>
      <c r="M104" s="627">
        <v>0.97</v>
      </c>
      <c r="N104" s="627" t="s">
        <v>132</v>
      </c>
      <c r="O104" s="627" t="s">
        <v>132</v>
      </c>
      <c r="P104" s="627" t="s">
        <v>132</v>
      </c>
      <c r="Q104" s="633">
        <v>185</v>
      </c>
      <c r="R104" s="634">
        <v>1.0900000000000001</v>
      </c>
      <c r="S104" s="318">
        <v>1.05</v>
      </c>
      <c r="U104" s="10"/>
      <c r="V104" s="10"/>
      <c r="W104" s="10"/>
      <c r="X104" s="10"/>
      <c r="Y104" s="10"/>
      <c r="Z104" s="5"/>
      <c r="AA104" s="5"/>
      <c r="AB104" s="5"/>
      <c r="AC104" s="5"/>
      <c r="AD104" s="5"/>
      <c r="AE104" s="5"/>
      <c r="AF104" s="5"/>
      <c r="AG104" s="5"/>
      <c r="AH104" s="5"/>
    </row>
    <row r="105" spans="1:34" ht="44.25" customHeight="1">
      <c r="A105" s="17"/>
      <c r="B105" s="651" t="s">
        <v>129</v>
      </c>
      <c r="C105" s="651">
        <v>543</v>
      </c>
      <c r="D105" s="651">
        <v>406</v>
      </c>
      <c r="E105" s="651">
        <v>387</v>
      </c>
      <c r="F105" s="651">
        <v>0.128</v>
      </c>
      <c r="G105" s="651">
        <v>0.105</v>
      </c>
      <c r="H105" s="625">
        <v>33</v>
      </c>
      <c r="I105" s="4"/>
      <c r="Q105" s="633">
        <v>240</v>
      </c>
      <c r="R105" s="634">
        <v>1.0900000000000001</v>
      </c>
      <c r="S105" s="318">
        <v>1.05</v>
      </c>
      <c r="U105" s="10"/>
      <c r="V105" s="10"/>
      <c r="W105" s="10"/>
      <c r="X105" s="10"/>
      <c r="Y105" s="10"/>
      <c r="Z105" s="5"/>
      <c r="AA105" s="5"/>
      <c r="AB105" s="5"/>
      <c r="AC105" s="5"/>
      <c r="AD105" s="5"/>
      <c r="AE105" s="5"/>
      <c r="AF105" s="5"/>
      <c r="AG105" s="5"/>
      <c r="AH105" s="5"/>
    </row>
    <row r="106" spans="1:34" ht="19.5" customHeight="1">
      <c r="A106" s="17"/>
      <c r="B106" s="651" t="s">
        <v>133</v>
      </c>
      <c r="C106" s="651">
        <v>641</v>
      </c>
      <c r="D106" s="651">
        <v>469</v>
      </c>
      <c r="E106" s="651">
        <v>447</v>
      </c>
      <c r="F106" s="651">
        <v>9.8000000000000004E-2</v>
      </c>
      <c r="G106" s="651">
        <v>0.10100000000000001</v>
      </c>
      <c r="H106" s="625">
        <v>35</v>
      </c>
      <c r="Q106" s="633">
        <v>300</v>
      </c>
      <c r="R106" s="634">
        <v>1.0900000000000001</v>
      </c>
      <c r="S106" s="318">
        <v>1.05</v>
      </c>
      <c r="U106" s="10"/>
      <c r="V106" s="10"/>
      <c r="W106" s="10"/>
      <c r="X106" s="10"/>
      <c r="Y106" s="10"/>
      <c r="Z106" s="5"/>
      <c r="AA106" s="5"/>
      <c r="AB106" s="5"/>
      <c r="AC106" s="5"/>
      <c r="AD106" s="5"/>
      <c r="AE106" s="5"/>
      <c r="AF106" s="5"/>
      <c r="AG106" s="5"/>
      <c r="AH106" s="5"/>
    </row>
    <row r="107" spans="1:34" ht="19.5" customHeight="1">
      <c r="A107" s="17"/>
      <c r="B107" s="651" t="s">
        <v>134</v>
      </c>
      <c r="C107" s="651">
        <v>735</v>
      </c>
      <c r="D107" s="651">
        <v>526</v>
      </c>
      <c r="E107" s="651">
        <v>504</v>
      </c>
      <c r="F107" s="651">
        <v>7.9000000000000001E-2</v>
      </c>
      <c r="G107" s="651">
        <v>0.1</v>
      </c>
      <c r="H107" s="625">
        <v>38</v>
      </c>
      <c r="Q107" s="633">
        <v>400</v>
      </c>
      <c r="R107" s="634">
        <v>1.0900000000000001</v>
      </c>
      <c r="S107" s="318">
        <v>1.05</v>
      </c>
      <c r="U107" s="10"/>
      <c r="V107" s="10"/>
      <c r="W107" s="10"/>
      <c r="X107" s="10"/>
      <c r="Y107" s="10"/>
      <c r="Z107" s="5"/>
      <c r="AA107" s="5"/>
      <c r="AB107" s="5"/>
      <c r="AC107" s="5"/>
      <c r="AD107" s="5"/>
      <c r="AE107" s="5"/>
      <c r="AF107" s="5"/>
      <c r="AG107" s="5"/>
      <c r="AH107" s="5"/>
    </row>
    <row r="108" spans="1:34" ht="19.5" customHeight="1">
      <c r="A108" s="17"/>
      <c r="B108" s="651" t="s">
        <v>135</v>
      </c>
      <c r="C108" s="651">
        <v>845</v>
      </c>
      <c r="D108" s="651">
        <v>590</v>
      </c>
      <c r="E108" s="651">
        <v>564</v>
      </c>
      <c r="F108" s="651">
        <v>6.3E-2</v>
      </c>
      <c r="G108" s="651">
        <v>9.6000000000000002E-2</v>
      </c>
      <c r="H108" s="625">
        <v>41</v>
      </c>
      <c r="Q108" s="633">
        <v>500</v>
      </c>
      <c r="R108" s="634">
        <v>1.0900000000000001</v>
      </c>
      <c r="S108" s="318">
        <v>1.05</v>
      </c>
      <c r="U108" s="10"/>
      <c r="V108" s="10"/>
      <c r="W108" s="10"/>
      <c r="X108" s="10"/>
      <c r="Y108" s="10"/>
      <c r="Z108" s="5"/>
      <c r="AA108" s="5"/>
      <c r="AB108" s="5"/>
      <c r="AC108" s="5"/>
      <c r="AD108" s="5"/>
      <c r="AE108" s="5"/>
      <c r="AF108" s="5"/>
      <c r="AG108" s="5"/>
      <c r="AH108" s="5"/>
    </row>
    <row r="109" spans="1:34" ht="19.5" customHeight="1">
      <c r="A109" s="17"/>
      <c r="B109" s="651" t="s">
        <v>137</v>
      </c>
      <c r="C109" s="651">
        <v>942</v>
      </c>
      <c r="D109" s="651">
        <v>640</v>
      </c>
      <c r="E109" s="651">
        <v>608</v>
      </c>
      <c r="F109" s="651">
        <v>0.05</v>
      </c>
      <c r="G109" s="651">
        <v>9.5000000000000001E-2</v>
      </c>
      <c r="H109" s="625">
        <v>47</v>
      </c>
      <c r="Q109" s="633">
        <v>630</v>
      </c>
      <c r="R109" s="634">
        <v>1.0900000000000001</v>
      </c>
      <c r="S109" s="318">
        <v>1.05</v>
      </c>
      <c r="U109" s="10"/>
      <c r="V109" s="10"/>
      <c r="W109" s="10"/>
      <c r="X109" s="10"/>
      <c r="Y109" s="10"/>
      <c r="Z109" s="5"/>
      <c r="AA109" s="5"/>
      <c r="AB109" s="5"/>
      <c r="AC109" s="5"/>
      <c r="AD109" s="5"/>
      <c r="AE109" s="5"/>
      <c r="AF109" s="5"/>
      <c r="AG109" s="5"/>
      <c r="AH109" s="5"/>
    </row>
    <row r="110" spans="1:34" ht="19.5" customHeight="1">
      <c r="A110" s="17"/>
      <c r="B110" s="651" t="s">
        <v>138</v>
      </c>
      <c r="C110" s="651">
        <v>1071</v>
      </c>
      <c r="D110" s="651">
        <v>712</v>
      </c>
      <c r="E110" s="651">
        <v>676.4</v>
      </c>
      <c r="F110" s="651">
        <v>4.1000000000000002E-2</v>
      </c>
      <c r="G110" s="651">
        <v>9.2999999999999999E-2</v>
      </c>
      <c r="H110" s="625">
        <v>51</v>
      </c>
      <c r="U110" s="10"/>
      <c r="V110" s="10"/>
      <c r="W110" s="10"/>
      <c r="X110" s="10"/>
      <c r="Y110" s="10"/>
      <c r="Z110" s="5"/>
      <c r="AA110" s="5"/>
      <c r="AB110" s="5"/>
      <c r="AC110" s="5"/>
      <c r="AD110" s="5"/>
      <c r="AE110" s="5"/>
      <c r="AF110" s="5"/>
      <c r="AG110" s="5"/>
      <c r="AH110" s="5"/>
    </row>
    <row r="111" spans="1:34" ht="19.5" customHeight="1">
      <c r="A111" s="17"/>
      <c r="B111" s="651" t="s">
        <v>224</v>
      </c>
      <c r="C111" s="651">
        <v>1210</v>
      </c>
      <c r="D111" s="651">
        <v>781</v>
      </c>
      <c r="E111" s="651">
        <v>741.95</v>
      </c>
      <c r="F111" s="651">
        <v>3.4000000000000002E-2</v>
      </c>
      <c r="G111" s="651">
        <v>0.09</v>
      </c>
      <c r="H111" s="625">
        <v>55</v>
      </c>
      <c r="U111" s="10"/>
      <c r="V111" s="10"/>
      <c r="W111" s="10"/>
      <c r="X111" s="10"/>
      <c r="Y111" s="10"/>
      <c r="Z111" s="5"/>
      <c r="AA111" s="5"/>
      <c r="AB111" s="5"/>
      <c r="AC111" s="5"/>
      <c r="AD111" s="5"/>
      <c r="AE111" s="5"/>
      <c r="AF111" s="5"/>
      <c r="AG111" s="5"/>
      <c r="AH111" s="5"/>
    </row>
    <row r="112" spans="1:34" ht="19.5" customHeight="1">
      <c r="A112" s="17"/>
      <c r="B112" s="651" t="s">
        <v>225</v>
      </c>
      <c r="C112" s="651">
        <v>1332</v>
      </c>
      <c r="D112" s="651">
        <v>841</v>
      </c>
      <c r="E112" s="651">
        <v>798.95</v>
      </c>
      <c r="F112" s="651">
        <v>2.9000000000000001E-2</v>
      </c>
      <c r="G112" s="651">
        <v>8.7999999999999995E-2</v>
      </c>
      <c r="H112" s="625">
        <v>59</v>
      </c>
      <c r="U112" s="10"/>
      <c r="V112" s="10"/>
      <c r="W112" s="10"/>
      <c r="X112" s="10"/>
      <c r="Y112" s="10"/>
      <c r="Z112" s="5"/>
      <c r="AA112" s="5"/>
      <c r="AB112" s="5"/>
      <c r="AC112" s="5"/>
      <c r="AD112" s="5"/>
      <c r="AE112" s="5"/>
      <c r="AF112" s="5"/>
      <c r="AG112" s="5"/>
      <c r="AH112" s="5"/>
    </row>
    <row r="113" spans="1:34" ht="19.5" customHeight="1">
      <c r="A113" s="17"/>
      <c r="B113" s="651"/>
      <c r="C113" s="651"/>
      <c r="D113" s="651"/>
      <c r="E113" s="651"/>
      <c r="F113" s="651"/>
      <c r="G113" s="651"/>
      <c r="H113" s="657"/>
      <c r="U113" s="10"/>
      <c r="V113" s="10"/>
      <c r="W113" s="10"/>
      <c r="X113" s="10"/>
      <c r="Y113" s="10"/>
      <c r="Z113" s="5"/>
      <c r="AA113" s="5"/>
      <c r="AB113" s="5"/>
      <c r="AC113" s="5"/>
      <c r="AD113" s="5"/>
      <c r="AE113" s="5"/>
      <c r="AF113" s="5"/>
      <c r="AG113" s="5"/>
      <c r="AH113" s="5"/>
    </row>
    <row r="114" spans="1:34" ht="19.5" customHeight="1">
      <c r="A114" s="17"/>
      <c r="H114" s="18"/>
      <c r="I114" s="7"/>
      <c r="J114" s="3"/>
      <c r="O114" s="3"/>
      <c r="T114" s="5"/>
      <c r="U114" s="5"/>
      <c r="V114" s="5"/>
      <c r="W114" s="5"/>
      <c r="X114" s="5"/>
      <c r="Y114" s="5"/>
      <c r="Z114" s="5"/>
      <c r="AA114" s="5"/>
      <c r="AB114" s="5"/>
      <c r="AC114" s="5"/>
      <c r="AD114" s="5"/>
      <c r="AE114" s="5"/>
      <c r="AF114" s="5"/>
      <c r="AG114" s="5"/>
      <c r="AH114" s="5"/>
    </row>
    <row r="115" spans="1:34" ht="19.5" customHeight="1">
      <c r="A115" s="27"/>
      <c r="H115" s="21"/>
      <c r="I115" s="7"/>
      <c r="J115" s="3"/>
      <c r="O115" s="3"/>
    </row>
    <row r="116" spans="1:34" ht="27.75" customHeight="1">
      <c r="A116" s="27"/>
      <c r="B116" s="45" t="s">
        <v>226</v>
      </c>
      <c r="C116" s="44"/>
      <c r="D116" s="45"/>
      <c r="E116" s="45"/>
      <c r="F116" s="45" t="s">
        <v>207</v>
      </c>
      <c r="G116" s="46"/>
      <c r="H116" s="21"/>
    </row>
    <row r="117" spans="1:34" ht="42" customHeight="1">
      <c r="A117" s="27"/>
      <c r="B117" s="1047" t="s">
        <v>109</v>
      </c>
      <c r="C117" s="1031" t="s">
        <v>110</v>
      </c>
      <c r="D117" s="1032"/>
      <c r="E117" s="1033"/>
      <c r="F117" s="1047" t="s">
        <v>208</v>
      </c>
      <c r="G117" s="1047" t="s">
        <v>209</v>
      </c>
      <c r="H117" s="1037" t="s">
        <v>210</v>
      </c>
    </row>
    <row r="118" spans="1:34" ht="32.25" customHeight="1">
      <c r="A118" s="27"/>
      <c r="B118" s="955"/>
      <c r="C118" s="622" t="s">
        <v>121</v>
      </c>
      <c r="D118" s="622" t="s">
        <v>122</v>
      </c>
      <c r="E118" s="622" t="s">
        <v>123</v>
      </c>
      <c r="F118" s="955"/>
      <c r="G118" s="955"/>
      <c r="H118" s="966"/>
    </row>
    <row r="119" spans="1:34" ht="19.5" customHeight="1">
      <c r="A119" s="27"/>
      <c r="B119" s="651" t="s">
        <v>167</v>
      </c>
      <c r="C119" s="651">
        <v>253</v>
      </c>
      <c r="D119" s="651">
        <v>220</v>
      </c>
      <c r="E119" s="651">
        <v>194</v>
      </c>
      <c r="F119" s="651">
        <v>0.34200000000000003</v>
      </c>
      <c r="G119" s="651">
        <v>9.6000000000000002E-2</v>
      </c>
      <c r="H119" s="658">
        <v>49</v>
      </c>
    </row>
    <row r="120" spans="1:34" ht="32.25" customHeight="1">
      <c r="A120" s="27"/>
      <c r="B120" s="651" t="s">
        <v>168</v>
      </c>
      <c r="C120" s="651">
        <v>307</v>
      </c>
      <c r="D120" s="651">
        <v>263</v>
      </c>
      <c r="E120" s="651">
        <v>232</v>
      </c>
      <c r="F120" s="651">
        <v>0.247</v>
      </c>
      <c r="G120" s="651">
        <v>9.2999999999999999E-2</v>
      </c>
      <c r="H120" s="658">
        <v>52</v>
      </c>
    </row>
    <row r="121" spans="1:34" ht="19.5" customHeight="1">
      <c r="A121" s="27"/>
      <c r="B121" s="651" t="s">
        <v>169</v>
      </c>
      <c r="C121" s="651">
        <v>352</v>
      </c>
      <c r="D121" s="651">
        <v>298</v>
      </c>
      <c r="E121" s="651">
        <v>264</v>
      </c>
      <c r="F121" s="651">
        <v>0.19600000000000001</v>
      </c>
      <c r="G121" s="651">
        <v>0.09</v>
      </c>
      <c r="H121" s="658">
        <v>56</v>
      </c>
    </row>
    <row r="122" spans="1:34" ht="19.5" customHeight="1">
      <c r="A122" s="27"/>
      <c r="B122" s="651" t="s">
        <v>170</v>
      </c>
      <c r="C122" s="651">
        <v>397</v>
      </c>
      <c r="D122" s="651">
        <v>332</v>
      </c>
      <c r="E122" s="651">
        <v>296</v>
      </c>
      <c r="F122" s="651">
        <v>0.159</v>
      </c>
      <c r="G122" s="651">
        <v>8.7999999999999995E-2</v>
      </c>
      <c r="H122" s="658">
        <v>58</v>
      </c>
    </row>
    <row r="123" spans="1:34" ht="19.5" customHeight="1">
      <c r="A123" s="27"/>
      <c r="B123" s="651" t="s">
        <v>171</v>
      </c>
      <c r="C123" s="651">
        <v>453</v>
      </c>
      <c r="D123" s="651">
        <v>374</v>
      </c>
      <c r="E123" s="651">
        <v>335</v>
      </c>
      <c r="F123" s="651">
        <v>0.128</v>
      </c>
      <c r="G123" s="651">
        <v>8.4000000000000005E-2</v>
      </c>
      <c r="H123" s="658">
        <v>63</v>
      </c>
    </row>
    <row r="124" spans="1:34" ht="19.5" customHeight="1">
      <c r="A124" s="27"/>
      <c r="B124" s="651" t="s">
        <v>172</v>
      </c>
      <c r="C124" s="651">
        <v>529</v>
      </c>
      <c r="D124" s="651">
        <v>431</v>
      </c>
      <c r="E124" s="651">
        <v>387</v>
      </c>
      <c r="F124" s="651">
        <v>9.9000000000000005E-2</v>
      </c>
      <c r="G124" s="651">
        <v>8.3000000000000004E-2</v>
      </c>
      <c r="H124" s="658">
        <v>69</v>
      </c>
    </row>
    <row r="125" spans="1:34" ht="19.5" customHeight="1">
      <c r="A125" s="27"/>
      <c r="B125" s="651" t="s">
        <v>173</v>
      </c>
      <c r="C125" s="651">
        <v>599</v>
      </c>
      <c r="D125" s="651">
        <v>482</v>
      </c>
      <c r="E125" s="651">
        <v>435</v>
      </c>
      <c r="F125" s="651">
        <v>0.08</v>
      </c>
      <c r="G125" s="651">
        <v>8.2000000000000003E-2</v>
      </c>
      <c r="H125" s="658">
        <v>75</v>
      </c>
    </row>
    <row r="126" spans="1:34" ht="19.5" customHeight="1">
      <c r="A126" s="27"/>
      <c r="B126" s="651" t="s">
        <v>174</v>
      </c>
      <c r="C126" s="651">
        <v>683</v>
      </c>
      <c r="D126" s="651">
        <v>541</v>
      </c>
      <c r="E126" s="651">
        <v>492</v>
      </c>
      <c r="F126" s="651">
        <v>6.4000000000000001E-2</v>
      </c>
      <c r="G126" s="651">
        <v>0.08</v>
      </c>
      <c r="H126" s="658">
        <v>84</v>
      </c>
    </row>
    <row r="127" spans="1:34" ht="19.5" customHeight="1">
      <c r="A127" s="27"/>
      <c r="H127" s="21"/>
    </row>
    <row r="128" spans="1:34" ht="19.5" customHeight="1">
      <c r="A128" s="27"/>
      <c r="H128" s="21"/>
      <c r="I128" s="8"/>
      <c r="K128" s="2"/>
      <c r="L128" s="2"/>
      <c r="M128" s="2"/>
      <c r="N128" s="2"/>
    </row>
    <row r="129" spans="1:34" ht="19.5" customHeight="1">
      <c r="A129" s="27"/>
      <c r="H129" s="21"/>
      <c r="I129" s="8"/>
      <c r="K129" s="2"/>
      <c r="L129" s="2"/>
      <c r="M129" s="2"/>
      <c r="N129" s="2"/>
    </row>
    <row r="130" spans="1:34" ht="19.5" customHeight="1" thickBot="1">
      <c r="A130" s="28"/>
      <c r="B130" s="29"/>
      <c r="C130" s="29"/>
      <c r="D130" s="29"/>
      <c r="E130" s="29"/>
      <c r="F130" s="29"/>
      <c r="G130" s="29"/>
      <c r="H130" s="30"/>
      <c r="I130" s="8"/>
    </row>
    <row r="131" spans="1:34" ht="19.5" customHeight="1">
      <c r="I131" s="8"/>
    </row>
    <row r="132" spans="1:34" ht="19.5" customHeight="1">
      <c r="I132" s="8"/>
    </row>
    <row r="133" spans="1:34" ht="19.5" customHeight="1">
      <c r="I133" s="8"/>
    </row>
    <row r="134" spans="1:34" ht="19.5" customHeight="1" thickBot="1">
      <c r="I134" s="8"/>
    </row>
    <row r="135" spans="1:34" ht="19.5" customHeight="1">
      <c r="A135" s="14"/>
      <c r="B135" s="967" t="s">
        <v>205</v>
      </c>
      <c r="C135" s="968"/>
      <c r="D135" s="968"/>
      <c r="E135" s="968"/>
      <c r="F135" s="969"/>
      <c r="G135" s="26"/>
      <c r="H135" s="16"/>
      <c r="I135" s="4"/>
      <c r="J135" s="9"/>
      <c r="K135" s="9"/>
      <c r="L135" s="9"/>
      <c r="M135" s="9"/>
      <c r="N135" s="9"/>
      <c r="O135" s="10"/>
      <c r="P135" s="4"/>
      <c r="Q135" s="4"/>
      <c r="R135" s="4"/>
      <c r="S135" s="5"/>
      <c r="T135" s="5"/>
      <c r="U135" s="5"/>
      <c r="V135" s="5"/>
      <c r="W135" s="5"/>
      <c r="X135" s="5"/>
      <c r="Y135" s="5"/>
      <c r="Z135" s="5"/>
      <c r="AA135" s="5"/>
      <c r="AB135" s="5"/>
      <c r="AC135" s="5"/>
      <c r="AD135" s="5"/>
      <c r="AE135" s="5"/>
      <c r="AF135" s="5"/>
      <c r="AG135" s="5"/>
      <c r="AH135" s="5"/>
    </row>
    <row r="136" spans="1:34" ht="19.5" customHeight="1">
      <c r="A136" s="17"/>
      <c r="B136" s="4"/>
      <c r="C136" s="4"/>
      <c r="D136" s="4"/>
      <c r="E136" s="4"/>
      <c r="F136" s="4"/>
      <c r="G136" s="4"/>
      <c r="H136" s="18"/>
      <c r="I136" s="4"/>
      <c r="J136" s="4"/>
      <c r="K136" s="4"/>
      <c r="L136" s="4"/>
      <c r="M136" s="4"/>
      <c r="N136" s="4"/>
      <c r="O136" s="4"/>
      <c r="P136" s="4"/>
      <c r="Q136" s="4"/>
      <c r="R136" s="4"/>
      <c r="S136" s="5"/>
      <c r="T136" s="5"/>
      <c r="U136" s="5"/>
      <c r="V136" s="5"/>
      <c r="W136" s="5"/>
      <c r="X136" s="5"/>
      <c r="Y136" s="5"/>
      <c r="Z136" s="5"/>
      <c r="AA136" s="5"/>
      <c r="AB136" s="5"/>
      <c r="AC136" s="5"/>
      <c r="AD136" s="5"/>
      <c r="AE136" s="5"/>
      <c r="AF136" s="5"/>
      <c r="AG136" s="5"/>
      <c r="AH136" s="5"/>
    </row>
    <row r="137" spans="1:34" ht="19.5" customHeight="1">
      <c r="A137" s="17"/>
      <c r="B137" s="45" t="s">
        <v>206</v>
      </c>
      <c r="C137" s="44"/>
      <c r="D137" s="45"/>
      <c r="E137" s="45"/>
      <c r="F137" s="45" t="s">
        <v>207</v>
      </c>
      <c r="G137" s="46"/>
      <c r="H137" s="18"/>
      <c r="I137" s="4"/>
      <c r="P137" s="4"/>
      <c r="Q137" s="4"/>
      <c r="R137" s="4"/>
      <c r="S137" s="5"/>
      <c r="T137" s="5"/>
      <c r="U137" s="5"/>
      <c r="V137" s="5"/>
      <c r="W137" s="5"/>
      <c r="X137" s="5"/>
      <c r="Y137" s="5"/>
      <c r="Z137" s="5"/>
      <c r="AA137" s="5"/>
      <c r="AB137" s="5"/>
      <c r="AC137" s="5"/>
      <c r="AD137" s="5"/>
      <c r="AE137" s="5"/>
      <c r="AF137" s="5"/>
      <c r="AG137" s="5"/>
      <c r="AH137" s="5"/>
    </row>
    <row r="138" spans="1:34" ht="19.5" customHeight="1">
      <c r="A138" s="17"/>
      <c r="B138" s="7"/>
      <c r="C138" s="7"/>
      <c r="D138" s="7"/>
      <c r="E138" s="7"/>
      <c r="F138" s="7"/>
      <c r="G138" s="7"/>
      <c r="H138" s="18"/>
      <c r="I138" s="4"/>
      <c r="P138" s="4"/>
      <c r="Q138" s="4"/>
      <c r="R138" s="4"/>
      <c r="S138" s="5"/>
      <c r="T138" s="5"/>
      <c r="U138" s="5"/>
      <c r="V138" s="5"/>
      <c r="W138" s="5"/>
      <c r="X138" s="5"/>
      <c r="Y138" s="5"/>
      <c r="Z138" s="5"/>
      <c r="AA138" s="5"/>
      <c r="AB138" s="5"/>
      <c r="AC138" s="5"/>
      <c r="AD138" s="5"/>
      <c r="AE138" s="5"/>
      <c r="AF138" s="5"/>
      <c r="AG138" s="5"/>
      <c r="AH138" s="5"/>
    </row>
    <row r="139" spans="1:34" ht="73.5" customHeight="1">
      <c r="A139" s="17"/>
      <c r="B139" s="1047" t="s">
        <v>109</v>
      </c>
      <c r="C139" s="1031" t="s">
        <v>110</v>
      </c>
      <c r="D139" s="1032"/>
      <c r="E139" s="1033"/>
      <c r="F139" s="1047" t="s">
        <v>208</v>
      </c>
      <c r="G139" s="1047" t="s">
        <v>209</v>
      </c>
      <c r="H139" s="1037" t="s">
        <v>210</v>
      </c>
      <c r="I139" s="1049" t="s">
        <v>211</v>
      </c>
      <c r="J139" s="1034" t="s">
        <v>115</v>
      </c>
      <c r="K139" s="1036" t="s">
        <v>952</v>
      </c>
      <c r="L139" s="1036" t="s">
        <v>212</v>
      </c>
      <c r="M139" s="1036"/>
      <c r="N139" s="1036" t="s">
        <v>118</v>
      </c>
      <c r="O139" s="1036" t="s">
        <v>213</v>
      </c>
      <c r="P139" s="1036"/>
      <c r="Q139" s="1031" t="s">
        <v>214</v>
      </c>
      <c r="R139" s="1032"/>
      <c r="S139" s="1033"/>
      <c r="U139" s="10"/>
      <c r="V139" s="10"/>
      <c r="X139" s="10"/>
      <c r="Y139" s="10"/>
      <c r="Z139" s="5"/>
      <c r="AA139" s="5"/>
      <c r="AB139" s="5"/>
      <c r="AC139" s="5"/>
      <c r="AD139" s="5"/>
      <c r="AE139" s="5"/>
      <c r="AF139" s="5"/>
      <c r="AG139" s="5"/>
      <c r="AH139" s="5"/>
    </row>
    <row r="140" spans="1:34" ht="60" customHeight="1">
      <c r="A140" s="17"/>
      <c r="B140" s="955"/>
      <c r="C140" s="622" t="s">
        <v>215</v>
      </c>
      <c r="D140" s="622" t="s">
        <v>216</v>
      </c>
      <c r="E140" s="622" t="s">
        <v>217</v>
      </c>
      <c r="F140" s="955"/>
      <c r="G140" s="955"/>
      <c r="H140" s="966"/>
      <c r="I140" s="975"/>
      <c r="J140" s="1048"/>
      <c r="K140" s="1047"/>
      <c r="L140" s="666" t="s">
        <v>218</v>
      </c>
      <c r="M140" s="666" t="s">
        <v>125</v>
      </c>
      <c r="N140" s="1047"/>
      <c r="O140" s="666" t="s">
        <v>126</v>
      </c>
      <c r="P140" s="666" t="s">
        <v>127</v>
      </c>
      <c r="Q140" s="666" t="s">
        <v>128</v>
      </c>
      <c r="R140" s="666" t="s">
        <v>126</v>
      </c>
      <c r="S140" s="666" t="s">
        <v>127</v>
      </c>
      <c r="U140" s="10"/>
      <c r="V140" s="10"/>
      <c r="W140" s="10"/>
      <c r="X140" s="10"/>
      <c r="Y140" s="10"/>
      <c r="Z140" s="5"/>
      <c r="AA140" s="5"/>
      <c r="AB140" s="5"/>
      <c r="AC140" s="5"/>
      <c r="AD140" s="5"/>
      <c r="AE140" s="5"/>
      <c r="AF140" s="5"/>
      <c r="AG140" s="5"/>
      <c r="AH140" s="5"/>
    </row>
    <row r="141" spans="1:34" ht="19.5" customHeight="1">
      <c r="A141" s="17"/>
      <c r="B141" s="651" t="s">
        <v>219</v>
      </c>
      <c r="C141" s="651">
        <v>296</v>
      </c>
      <c r="D141" s="651">
        <v>239</v>
      </c>
      <c r="E141" s="651">
        <v>227</v>
      </c>
      <c r="F141" s="651">
        <v>0.34200000000000003</v>
      </c>
      <c r="G141" s="651">
        <v>0.121</v>
      </c>
      <c r="H141" s="625">
        <v>26</v>
      </c>
      <c r="I141" s="1046" t="s">
        <v>220</v>
      </c>
      <c r="J141" s="626" t="s">
        <v>131</v>
      </c>
      <c r="K141" s="627">
        <v>0.91</v>
      </c>
      <c r="L141" s="627">
        <v>0.9</v>
      </c>
      <c r="M141" s="627">
        <v>0.97</v>
      </c>
      <c r="N141" s="627" t="s">
        <v>132</v>
      </c>
      <c r="O141" s="627" t="s">
        <v>132</v>
      </c>
      <c r="P141" s="627" t="s">
        <v>132</v>
      </c>
      <c r="Q141" s="629"/>
      <c r="R141" s="629"/>
      <c r="S141" s="629"/>
      <c r="U141" s="10"/>
      <c r="V141" s="10"/>
      <c r="W141" s="10"/>
      <c r="X141" s="10"/>
      <c r="Y141" s="10"/>
      <c r="Z141" s="5"/>
      <c r="AA141" s="5"/>
      <c r="AB141" s="5"/>
      <c r="AC141" s="5"/>
      <c r="AD141" s="5"/>
      <c r="AE141" s="5"/>
      <c r="AF141" s="5"/>
      <c r="AG141" s="5"/>
      <c r="AH141" s="5"/>
    </row>
    <row r="142" spans="1:34" ht="19.5" customHeight="1">
      <c r="A142" s="17"/>
      <c r="B142" s="651" t="s">
        <v>221</v>
      </c>
      <c r="C142" s="651">
        <v>361</v>
      </c>
      <c r="D142" s="651">
        <v>285</v>
      </c>
      <c r="E142" s="651">
        <v>271</v>
      </c>
      <c r="F142" s="651">
        <v>0.247</v>
      </c>
      <c r="G142" s="651">
        <v>0.11600000000000001</v>
      </c>
      <c r="H142" s="625">
        <v>27</v>
      </c>
      <c r="I142" s="1000"/>
      <c r="J142" s="656" t="s">
        <v>123</v>
      </c>
      <c r="K142" s="627" t="s">
        <v>132</v>
      </c>
      <c r="L142" s="627">
        <v>0.64</v>
      </c>
      <c r="M142" s="627">
        <v>0.8</v>
      </c>
      <c r="N142" s="627">
        <v>0.89</v>
      </c>
      <c r="O142" s="627">
        <v>0.95</v>
      </c>
      <c r="P142" s="627">
        <v>0.97</v>
      </c>
      <c r="Q142" s="633">
        <v>120</v>
      </c>
      <c r="R142" s="634">
        <v>1.0900000000000001</v>
      </c>
      <c r="S142" s="318">
        <v>1.05</v>
      </c>
      <c r="U142" s="10"/>
      <c r="V142" s="10"/>
      <c r="W142" s="10"/>
      <c r="X142" s="10"/>
      <c r="Y142" s="10"/>
      <c r="Z142" s="5"/>
      <c r="AA142" s="5"/>
      <c r="AB142" s="5"/>
      <c r="AC142" s="5"/>
      <c r="AD142" s="5"/>
      <c r="AE142" s="5"/>
      <c r="AF142" s="5"/>
      <c r="AG142" s="5"/>
      <c r="AH142" s="5"/>
    </row>
    <row r="143" spans="1:34" ht="19.5" customHeight="1">
      <c r="A143" s="17"/>
      <c r="B143" s="651" t="s">
        <v>222</v>
      </c>
      <c r="C143" s="651">
        <v>417</v>
      </c>
      <c r="D143" s="651">
        <v>323</v>
      </c>
      <c r="E143" s="651">
        <v>308</v>
      </c>
      <c r="F143" s="651">
        <v>0.19600000000000001</v>
      </c>
      <c r="G143" s="651">
        <v>0.111</v>
      </c>
      <c r="H143" s="625">
        <v>29</v>
      </c>
      <c r="I143" s="4"/>
      <c r="J143" s="656" t="s">
        <v>122</v>
      </c>
      <c r="K143" s="627" t="s">
        <v>132</v>
      </c>
      <c r="L143" s="627">
        <v>0.64</v>
      </c>
      <c r="M143" s="627">
        <v>0.8</v>
      </c>
      <c r="N143" s="627">
        <v>0.89</v>
      </c>
      <c r="O143" s="627">
        <v>0.95</v>
      </c>
      <c r="P143" s="627">
        <v>0.96</v>
      </c>
      <c r="Q143" s="633">
        <v>150</v>
      </c>
      <c r="R143" s="634">
        <v>1.0900000000000001</v>
      </c>
      <c r="S143" s="318">
        <v>1.05</v>
      </c>
      <c r="U143" s="10"/>
      <c r="V143" s="10"/>
      <c r="W143" s="10"/>
      <c r="X143" s="10"/>
      <c r="Y143" s="10"/>
      <c r="Z143" s="5"/>
      <c r="AA143" s="5"/>
      <c r="AB143" s="5"/>
      <c r="AC143" s="5"/>
      <c r="AD143" s="5"/>
      <c r="AE143" s="5"/>
      <c r="AF143" s="5"/>
      <c r="AG143" s="5"/>
      <c r="AH143" s="5"/>
    </row>
    <row r="144" spans="1:34" ht="38.25" customHeight="1">
      <c r="A144" s="17"/>
      <c r="B144" s="651" t="s">
        <v>223</v>
      </c>
      <c r="C144" s="651">
        <v>473</v>
      </c>
      <c r="D144" s="651">
        <v>361</v>
      </c>
      <c r="E144" s="651">
        <v>343</v>
      </c>
      <c r="F144" s="651">
        <v>0.159</v>
      </c>
      <c r="G144" s="651">
        <v>0.109</v>
      </c>
      <c r="H144" s="625">
        <v>30</v>
      </c>
      <c r="I144" s="4"/>
      <c r="J144" s="670" t="s">
        <v>136</v>
      </c>
      <c r="K144" s="627">
        <v>0.91</v>
      </c>
      <c r="L144" s="627">
        <v>0.9</v>
      </c>
      <c r="M144" s="627">
        <v>0.97</v>
      </c>
      <c r="N144" s="627" t="s">
        <v>132</v>
      </c>
      <c r="O144" s="627" t="s">
        <v>132</v>
      </c>
      <c r="P144" s="627" t="s">
        <v>132</v>
      </c>
      <c r="Q144" s="633">
        <v>185</v>
      </c>
      <c r="R144" s="634">
        <v>1.0900000000000001</v>
      </c>
      <c r="S144" s="318">
        <v>1.05</v>
      </c>
      <c r="U144" s="10"/>
      <c r="V144" s="10"/>
      <c r="W144" s="10"/>
      <c r="X144" s="10"/>
      <c r="Y144" s="10"/>
      <c r="Z144" s="5"/>
      <c r="AA144" s="5"/>
      <c r="AB144" s="5"/>
      <c r="AC144" s="5"/>
      <c r="AD144" s="5"/>
      <c r="AE144" s="5"/>
      <c r="AF144" s="5"/>
      <c r="AG144" s="5"/>
      <c r="AH144" s="5"/>
    </row>
    <row r="145" spans="1:34" ht="44.25" customHeight="1">
      <c r="A145" s="17"/>
      <c r="B145" s="651" t="s">
        <v>129</v>
      </c>
      <c r="C145" s="651">
        <v>543</v>
      </c>
      <c r="D145" s="651">
        <v>406</v>
      </c>
      <c r="E145" s="651">
        <v>387</v>
      </c>
      <c r="F145" s="651">
        <v>0.128</v>
      </c>
      <c r="G145" s="651">
        <v>0.105</v>
      </c>
      <c r="H145" s="625">
        <v>33</v>
      </c>
      <c r="I145" s="4"/>
      <c r="Q145" s="633">
        <v>240</v>
      </c>
      <c r="R145" s="634">
        <v>1.0900000000000001</v>
      </c>
      <c r="S145" s="318">
        <v>1.05</v>
      </c>
      <c r="U145" s="10"/>
      <c r="V145" s="10"/>
      <c r="W145" s="10"/>
      <c r="X145" s="10"/>
      <c r="Y145" s="10"/>
      <c r="Z145" s="5"/>
      <c r="AA145" s="5"/>
      <c r="AB145" s="5"/>
      <c r="AC145" s="5"/>
      <c r="AD145" s="5"/>
      <c r="AE145" s="5"/>
      <c r="AF145" s="5"/>
      <c r="AG145" s="5"/>
      <c r="AH145" s="5"/>
    </row>
    <row r="146" spans="1:34" ht="19.5" customHeight="1">
      <c r="A146" s="17"/>
      <c r="B146" s="651" t="s">
        <v>133</v>
      </c>
      <c r="C146" s="651">
        <v>641</v>
      </c>
      <c r="D146" s="651">
        <v>469</v>
      </c>
      <c r="E146" s="651">
        <v>447</v>
      </c>
      <c r="F146" s="651">
        <v>9.8000000000000004E-2</v>
      </c>
      <c r="G146" s="651">
        <v>0.10100000000000001</v>
      </c>
      <c r="H146" s="625">
        <v>35</v>
      </c>
      <c r="Q146" s="633">
        <v>300</v>
      </c>
      <c r="R146" s="634">
        <v>1.0900000000000001</v>
      </c>
      <c r="S146" s="318">
        <v>1.05</v>
      </c>
      <c r="U146" s="10"/>
      <c r="V146" s="10"/>
      <c r="W146" s="10"/>
      <c r="X146" s="10"/>
      <c r="Y146" s="10"/>
      <c r="Z146" s="5"/>
      <c r="AA146" s="5"/>
      <c r="AB146" s="5"/>
      <c r="AC146" s="5"/>
      <c r="AD146" s="5"/>
      <c r="AE146" s="5"/>
      <c r="AF146" s="5"/>
      <c r="AG146" s="5"/>
      <c r="AH146" s="5"/>
    </row>
    <row r="147" spans="1:34" ht="19.5" customHeight="1">
      <c r="A147" s="17"/>
      <c r="B147" s="651" t="s">
        <v>134</v>
      </c>
      <c r="C147" s="651">
        <v>735</v>
      </c>
      <c r="D147" s="651">
        <v>526</v>
      </c>
      <c r="E147" s="651">
        <v>504</v>
      </c>
      <c r="F147" s="651">
        <v>7.9000000000000001E-2</v>
      </c>
      <c r="G147" s="651">
        <v>0.1</v>
      </c>
      <c r="H147" s="625">
        <v>38</v>
      </c>
      <c r="Q147" s="633">
        <v>400</v>
      </c>
      <c r="R147" s="634">
        <v>1.0900000000000001</v>
      </c>
      <c r="S147" s="318">
        <v>1.05</v>
      </c>
      <c r="U147" s="10"/>
      <c r="V147" s="10"/>
      <c r="W147" s="10"/>
      <c r="X147" s="10"/>
      <c r="Y147" s="10"/>
      <c r="Z147" s="5"/>
      <c r="AA147" s="5"/>
      <c r="AB147" s="5"/>
      <c r="AC147" s="5"/>
      <c r="AD147" s="5"/>
      <c r="AE147" s="5"/>
      <c r="AF147" s="5"/>
      <c r="AG147" s="5"/>
      <c r="AH147" s="5"/>
    </row>
    <row r="148" spans="1:34" ht="19.5" customHeight="1">
      <c r="A148" s="17"/>
      <c r="B148" s="651" t="s">
        <v>135</v>
      </c>
      <c r="C148" s="651">
        <v>845</v>
      </c>
      <c r="D148" s="651">
        <v>590</v>
      </c>
      <c r="E148" s="651">
        <v>564</v>
      </c>
      <c r="F148" s="651">
        <v>6.3E-2</v>
      </c>
      <c r="G148" s="651">
        <v>9.6000000000000002E-2</v>
      </c>
      <c r="H148" s="625">
        <v>41</v>
      </c>
      <c r="Q148" s="633">
        <v>500</v>
      </c>
      <c r="R148" s="634">
        <v>1.0900000000000001</v>
      </c>
      <c r="S148" s="318">
        <v>1.05</v>
      </c>
      <c r="U148" s="10"/>
      <c r="V148" s="10"/>
      <c r="W148" s="10"/>
      <c r="X148" s="10"/>
      <c r="Y148" s="10"/>
      <c r="Z148" s="5"/>
      <c r="AA148" s="5"/>
      <c r="AB148" s="5"/>
      <c r="AC148" s="5"/>
      <c r="AD148" s="5"/>
      <c r="AE148" s="5"/>
      <c r="AF148" s="5"/>
      <c r="AG148" s="5"/>
      <c r="AH148" s="5"/>
    </row>
    <row r="149" spans="1:34" ht="19.5" customHeight="1">
      <c r="A149" s="17"/>
      <c r="B149" s="651" t="s">
        <v>137</v>
      </c>
      <c r="C149" s="651">
        <v>942</v>
      </c>
      <c r="D149" s="651">
        <v>640</v>
      </c>
      <c r="E149" s="651">
        <v>608</v>
      </c>
      <c r="F149" s="651">
        <v>0.05</v>
      </c>
      <c r="G149" s="651">
        <v>9.5000000000000001E-2</v>
      </c>
      <c r="H149" s="625">
        <v>47</v>
      </c>
      <c r="Q149" s="633">
        <v>630</v>
      </c>
      <c r="R149" s="634">
        <v>1.0900000000000001</v>
      </c>
      <c r="S149" s="318">
        <v>1.05</v>
      </c>
      <c r="U149" s="10"/>
      <c r="V149" s="10"/>
      <c r="W149" s="10"/>
      <c r="X149" s="10"/>
      <c r="Y149" s="10"/>
      <c r="Z149" s="5"/>
      <c r="AA149" s="5"/>
      <c r="AB149" s="5"/>
      <c r="AC149" s="5"/>
      <c r="AD149" s="5"/>
      <c r="AE149" s="5"/>
      <c r="AF149" s="5"/>
      <c r="AG149" s="5"/>
      <c r="AH149" s="5"/>
    </row>
    <row r="150" spans="1:34" ht="19.5" customHeight="1">
      <c r="A150" s="17"/>
      <c r="B150" s="651" t="s">
        <v>138</v>
      </c>
      <c r="C150" s="651">
        <v>1071</v>
      </c>
      <c r="D150" s="651">
        <v>712</v>
      </c>
      <c r="E150" s="651">
        <v>676.4</v>
      </c>
      <c r="F150" s="651">
        <v>4.1000000000000002E-2</v>
      </c>
      <c r="G150" s="651">
        <v>9.2999999999999999E-2</v>
      </c>
      <c r="H150" s="625">
        <v>51</v>
      </c>
      <c r="U150" s="10"/>
      <c r="V150" s="10"/>
      <c r="W150" s="10"/>
      <c r="X150" s="10"/>
      <c r="Y150" s="10"/>
      <c r="Z150" s="5"/>
      <c r="AA150" s="5"/>
      <c r="AB150" s="5"/>
      <c r="AC150" s="5"/>
      <c r="AD150" s="5"/>
      <c r="AE150" s="5"/>
      <c r="AF150" s="5"/>
      <c r="AG150" s="5"/>
      <c r="AH150" s="5"/>
    </row>
    <row r="151" spans="1:34" ht="19.5" customHeight="1">
      <c r="A151" s="17"/>
      <c r="B151" s="651" t="s">
        <v>224</v>
      </c>
      <c r="C151" s="651">
        <v>1210</v>
      </c>
      <c r="D151" s="651">
        <v>781</v>
      </c>
      <c r="E151" s="651">
        <v>741.95</v>
      </c>
      <c r="F151" s="651">
        <v>3.4000000000000002E-2</v>
      </c>
      <c r="G151" s="651">
        <v>0.09</v>
      </c>
      <c r="H151" s="625">
        <v>55</v>
      </c>
      <c r="U151" s="10"/>
      <c r="V151" s="10"/>
      <c r="W151" s="10"/>
      <c r="X151" s="10"/>
      <c r="Y151" s="10"/>
      <c r="Z151" s="5"/>
      <c r="AA151" s="5"/>
      <c r="AB151" s="5"/>
      <c r="AC151" s="5"/>
      <c r="AD151" s="5"/>
      <c r="AE151" s="5"/>
      <c r="AF151" s="5"/>
      <c r="AG151" s="5"/>
      <c r="AH151" s="5"/>
    </row>
    <row r="152" spans="1:34" ht="19.5" customHeight="1">
      <c r="A152" s="17"/>
      <c r="B152" s="651" t="s">
        <v>225</v>
      </c>
      <c r="C152" s="651">
        <v>1332</v>
      </c>
      <c r="D152" s="651">
        <v>841</v>
      </c>
      <c r="E152" s="651">
        <v>798.95</v>
      </c>
      <c r="F152" s="651">
        <v>2.9000000000000001E-2</v>
      </c>
      <c r="G152" s="651">
        <v>8.7999999999999995E-2</v>
      </c>
      <c r="H152" s="625">
        <v>59</v>
      </c>
      <c r="U152" s="10"/>
      <c r="V152" s="10"/>
      <c r="W152" s="10"/>
      <c r="X152" s="10"/>
      <c r="Y152" s="10"/>
      <c r="Z152" s="5"/>
      <c r="AA152" s="5"/>
      <c r="AB152" s="5"/>
      <c r="AC152" s="5"/>
      <c r="AD152" s="5"/>
      <c r="AE152" s="5"/>
      <c r="AF152" s="5"/>
      <c r="AG152" s="5"/>
      <c r="AH152" s="5"/>
    </row>
    <row r="153" spans="1:34" ht="19.5" customHeight="1">
      <c r="A153" s="17"/>
      <c r="B153" s="651"/>
      <c r="C153" s="651"/>
      <c r="D153" s="651"/>
      <c r="E153" s="651"/>
      <c r="F153" s="651"/>
      <c r="G153" s="651"/>
      <c r="H153" s="657"/>
      <c r="U153" s="10"/>
      <c r="V153" s="10"/>
      <c r="W153" s="10"/>
      <c r="X153" s="10"/>
      <c r="Y153" s="10"/>
      <c r="Z153" s="5"/>
      <c r="AA153" s="5"/>
      <c r="AB153" s="5"/>
      <c r="AC153" s="5"/>
      <c r="AD153" s="5"/>
      <c r="AE153" s="5"/>
      <c r="AF153" s="5"/>
      <c r="AG153" s="5"/>
      <c r="AH153" s="5"/>
    </row>
    <row r="154" spans="1:34" ht="19.5" customHeight="1">
      <c r="A154" s="17"/>
      <c r="H154" s="18"/>
      <c r="I154" s="7"/>
      <c r="J154" s="3"/>
      <c r="O154" s="3"/>
      <c r="T154" s="5"/>
      <c r="U154" s="5"/>
      <c r="V154" s="5"/>
      <c r="W154" s="5"/>
      <c r="X154" s="5"/>
      <c r="Y154" s="5"/>
      <c r="Z154" s="5"/>
      <c r="AA154" s="5"/>
      <c r="AB154" s="5"/>
      <c r="AC154" s="5"/>
      <c r="AD154" s="5"/>
      <c r="AE154" s="5"/>
      <c r="AF154" s="5"/>
      <c r="AG154" s="5"/>
      <c r="AH154" s="5"/>
    </row>
    <row r="155" spans="1:34" ht="19.5" customHeight="1">
      <c r="A155" s="27"/>
      <c r="H155" s="21"/>
      <c r="I155" s="7"/>
      <c r="J155" s="3"/>
      <c r="O155" s="3"/>
    </row>
    <row r="156" spans="1:34" ht="27.75" customHeight="1">
      <c r="A156" s="27"/>
      <c r="B156" s="45" t="s">
        <v>226</v>
      </c>
      <c r="C156" s="44"/>
      <c r="D156" s="45"/>
      <c r="E156" s="45"/>
      <c r="F156" s="45" t="s">
        <v>207</v>
      </c>
      <c r="G156" s="46"/>
      <c r="H156" s="21"/>
    </row>
    <row r="157" spans="1:34" ht="42" customHeight="1">
      <c r="A157" s="27"/>
      <c r="B157" s="1047" t="s">
        <v>109</v>
      </c>
      <c r="C157" s="1031" t="s">
        <v>110</v>
      </c>
      <c r="D157" s="1032"/>
      <c r="E157" s="1033"/>
      <c r="F157" s="1047" t="s">
        <v>208</v>
      </c>
      <c r="G157" s="1047" t="s">
        <v>209</v>
      </c>
      <c r="H157" s="1037" t="s">
        <v>210</v>
      </c>
    </row>
    <row r="158" spans="1:34" ht="32.25" customHeight="1">
      <c r="A158" s="27"/>
      <c r="B158" s="955"/>
      <c r="C158" s="622" t="s">
        <v>121</v>
      </c>
      <c r="D158" s="622" t="s">
        <v>122</v>
      </c>
      <c r="E158" s="622" t="s">
        <v>123</v>
      </c>
      <c r="F158" s="955"/>
      <c r="G158" s="955"/>
      <c r="H158" s="966"/>
    </row>
    <row r="159" spans="1:34" ht="19.5" customHeight="1">
      <c r="A159" s="27"/>
      <c r="B159" s="651" t="s">
        <v>167</v>
      </c>
      <c r="C159" s="651">
        <v>253</v>
      </c>
      <c r="D159" s="651">
        <v>220</v>
      </c>
      <c r="E159" s="651">
        <v>194</v>
      </c>
      <c r="F159" s="651">
        <v>0.34200000000000003</v>
      </c>
      <c r="G159" s="651">
        <v>9.6000000000000002E-2</v>
      </c>
      <c r="H159" s="658">
        <v>49</v>
      </c>
    </row>
    <row r="160" spans="1:34" ht="32.25" customHeight="1">
      <c r="A160" s="27"/>
      <c r="B160" s="651" t="s">
        <v>168</v>
      </c>
      <c r="C160" s="651">
        <v>307</v>
      </c>
      <c r="D160" s="651">
        <v>263</v>
      </c>
      <c r="E160" s="651">
        <v>232</v>
      </c>
      <c r="F160" s="651">
        <v>0.247</v>
      </c>
      <c r="G160" s="651">
        <v>9.2999999999999999E-2</v>
      </c>
      <c r="H160" s="658">
        <v>52</v>
      </c>
    </row>
    <row r="161" spans="1:14" ht="19.5" customHeight="1">
      <c r="A161" s="27"/>
      <c r="B161" s="651" t="s">
        <v>169</v>
      </c>
      <c r="C161" s="651">
        <v>352</v>
      </c>
      <c r="D161" s="651">
        <v>298</v>
      </c>
      <c r="E161" s="651">
        <v>264</v>
      </c>
      <c r="F161" s="651">
        <v>0.19600000000000001</v>
      </c>
      <c r="G161" s="651">
        <v>0.09</v>
      </c>
      <c r="H161" s="658">
        <v>56</v>
      </c>
    </row>
    <row r="162" spans="1:14" ht="19.5" customHeight="1">
      <c r="A162" s="27"/>
      <c r="B162" s="651" t="s">
        <v>170</v>
      </c>
      <c r="C162" s="651">
        <v>397</v>
      </c>
      <c r="D162" s="651">
        <v>332</v>
      </c>
      <c r="E162" s="651">
        <v>296</v>
      </c>
      <c r="F162" s="651">
        <v>0.159</v>
      </c>
      <c r="G162" s="651">
        <v>8.7999999999999995E-2</v>
      </c>
      <c r="H162" s="658">
        <v>58</v>
      </c>
    </row>
    <row r="163" spans="1:14" ht="19.5" customHeight="1">
      <c r="A163" s="27"/>
      <c r="B163" s="651" t="s">
        <v>171</v>
      </c>
      <c r="C163" s="651">
        <v>453</v>
      </c>
      <c r="D163" s="651">
        <v>374</v>
      </c>
      <c r="E163" s="651">
        <v>335</v>
      </c>
      <c r="F163" s="651">
        <v>0.128</v>
      </c>
      <c r="G163" s="651">
        <v>8.4000000000000005E-2</v>
      </c>
      <c r="H163" s="658">
        <v>63</v>
      </c>
    </row>
    <row r="164" spans="1:14" ht="19.5" customHeight="1">
      <c r="A164" s="27"/>
      <c r="B164" s="651" t="s">
        <v>172</v>
      </c>
      <c r="C164" s="651">
        <v>529</v>
      </c>
      <c r="D164" s="651">
        <v>431</v>
      </c>
      <c r="E164" s="651">
        <v>387</v>
      </c>
      <c r="F164" s="651">
        <v>9.9000000000000005E-2</v>
      </c>
      <c r="G164" s="651">
        <v>8.3000000000000004E-2</v>
      </c>
      <c r="H164" s="658">
        <v>69</v>
      </c>
    </row>
    <row r="165" spans="1:14" ht="19.5" customHeight="1">
      <c r="A165" s="27"/>
      <c r="B165" s="651" t="s">
        <v>173</v>
      </c>
      <c r="C165" s="651">
        <v>599</v>
      </c>
      <c r="D165" s="651">
        <v>482</v>
      </c>
      <c r="E165" s="651">
        <v>435</v>
      </c>
      <c r="F165" s="651">
        <v>0.08</v>
      </c>
      <c r="G165" s="651">
        <v>8.2000000000000003E-2</v>
      </c>
      <c r="H165" s="658">
        <v>75</v>
      </c>
    </row>
    <row r="166" spans="1:14" ht="19.5" customHeight="1">
      <c r="A166" s="27"/>
      <c r="B166" s="651" t="s">
        <v>174</v>
      </c>
      <c r="C166" s="651">
        <v>683</v>
      </c>
      <c r="D166" s="651">
        <v>541</v>
      </c>
      <c r="E166" s="651">
        <v>492</v>
      </c>
      <c r="F166" s="651">
        <v>6.4000000000000001E-2</v>
      </c>
      <c r="G166" s="651">
        <v>0.08</v>
      </c>
      <c r="H166" s="658">
        <v>84</v>
      </c>
    </row>
    <row r="167" spans="1:14" ht="19.5" customHeight="1">
      <c r="A167" s="27"/>
      <c r="H167" s="21"/>
    </row>
    <row r="168" spans="1:14" ht="19.5" customHeight="1">
      <c r="A168" s="27"/>
      <c r="H168" s="21"/>
      <c r="I168" s="8"/>
      <c r="K168" s="2"/>
      <c r="L168" s="2"/>
      <c r="M168" s="2"/>
      <c r="N168" s="2"/>
    </row>
    <row r="169" spans="1:14" ht="19.5" customHeight="1">
      <c r="A169" s="27"/>
      <c r="H169" s="21"/>
      <c r="I169" s="8"/>
      <c r="K169" s="2"/>
      <c r="L169" s="2"/>
      <c r="M169" s="2"/>
      <c r="N169" s="2"/>
    </row>
    <row r="170" spans="1:14" ht="19.5" customHeight="1" thickBot="1">
      <c r="A170" s="28"/>
      <c r="B170" s="29"/>
      <c r="C170" s="29"/>
      <c r="D170" s="29"/>
      <c r="E170" s="29"/>
      <c r="F170" s="29"/>
      <c r="G170" s="29"/>
      <c r="H170" s="30"/>
      <c r="I170" s="8"/>
    </row>
    <row r="171" spans="1:14" ht="19.5" customHeight="1">
      <c r="I171" s="8"/>
    </row>
    <row r="172" spans="1:14" ht="19.5" customHeight="1">
      <c r="I172" s="8"/>
    </row>
    <row r="173" spans="1:14" ht="19.5" customHeight="1">
      <c r="I173" s="8"/>
    </row>
    <row r="174" spans="1:14" ht="19.5" customHeight="1" thickBot="1">
      <c r="I174" s="8"/>
    </row>
    <row r="175" spans="1:14" ht="19.5" customHeight="1">
      <c r="A175" s="31"/>
      <c r="B175" s="967" t="s">
        <v>231</v>
      </c>
      <c r="C175" s="968"/>
      <c r="D175" s="968"/>
      <c r="E175" s="968"/>
      <c r="F175" s="969"/>
      <c r="G175" s="32"/>
      <c r="H175" s="33"/>
      <c r="I175" s="8"/>
    </row>
    <row r="176" spans="1:14" ht="19.5" customHeight="1">
      <c r="A176" s="27"/>
      <c r="H176" s="21"/>
      <c r="I176" s="8"/>
    </row>
    <row r="177" spans="1:34" ht="28.5" customHeight="1">
      <c r="A177" s="27"/>
      <c r="B177" s="312" t="s">
        <v>206</v>
      </c>
      <c r="C177" s="648"/>
      <c r="D177" s="313"/>
      <c r="E177" s="313"/>
      <c r="F177" s="313" t="s">
        <v>232</v>
      </c>
      <c r="G177" s="314"/>
      <c r="H177" s="315"/>
    </row>
    <row r="178" spans="1:34" ht="19.5" customHeight="1">
      <c r="A178" s="17"/>
      <c r="B178" s="7"/>
      <c r="C178" s="7"/>
      <c r="D178" s="7"/>
      <c r="E178" s="7"/>
      <c r="F178" s="7"/>
      <c r="G178" s="7"/>
      <c r="H178" s="18"/>
      <c r="I178" s="4"/>
      <c r="P178" s="4"/>
      <c r="Q178" s="4"/>
      <c r="R178" s="4"/>
      <c r="S178" s="5"/>
      <c r="T178" s="5"/>
      <c r="U178" s="5"/>
      <c r="V178" s="5"/>
      <c r="W178" s="5"/>
      <c r="X178" s="5"/>
      <c r="Y178" s="5"/>
      <c r="Z178" s="5"/>
      <c r="AA178" s="5"/>
      <c r="AB178" s="5"/>
      <c r="AC178" s="5"/>
      <c r="AD178" s="5"/>
      <c r="AE178" s="5"/>
      <c r="AF178" s="5"/>
      <c r="AG178" s="5"/>
      <c r="AH178" s="5"/>
    </row>
    <row r="179" spans="1:34" ht="98.25" customHeight="1">
      <c r="A179" s="27"/>
      <c r="B179" s="1047" t="s">
        <v>109</v>
      </c>
      <c r="C179" s="1031" t="s">
        <v>110</v>
      </c>
      <c r="D179" s="1032"/>
      <c r="E179" s="1033"/>
      <c r="F179" s="1047" t="s">
        <v>208</v>
      </c>
      <c r="G179" s="1047" t="s">
        <v>209</v>
      </c>
      <c r="H179" s="1047" t="s">
        <v>210</v>
      </c>
      <c r="I179" s="1001" t="s">
        <v>211</v>
      </c>
      <c r="J179" s="1034" t="s">
        <v>115</v>
      </c>
      <c r="K179" s="1036" t="s">
        <v>952</v>
      </c>
      <c r="L179" s="1036" t="s">
        <v>954</v>
      </c>
      <c r="M179" s="1036"/>
      <c r="N179" s="1036" t="s">
        <v>118</v>
      </c>
      <c r="O179" s="1036" t="s">
        <v>234</v>
      </c>
      <c r="P179" s="1036"/>
      <c r="Q179" s="1031" t="s">
        <v>235</v>
      </c>
      <c r="R179" s="1032"/>
      <c r="S179" s="1033"/>
      <c r="U179" s="666" t="s">
        <v>236</v>
      </c>
      <c r="V179" s="666" t="s">
        <v>237</v>
      </c>
      <c r="X179" s="666" t="s">
        <v>236</v>
      </c>
      <c r="Y179" s="666" t="s">
        <v>237</v>
      </c>
    </row>
    <row r="180" spans="1:34" ht="75" customHeight="1">
      <c r="A180" s="27"/>
      <c r="B180" s="955"/>
      <c r="C180" s="622" t="s">
        <v>238</v>
      </c>
      <c r="D180" s="622" t="s">
        <v>216</v>
      </c>
      <c r="E180" s="622" t="s">
        <v>217</v>
      </c>
      <c r="F180" s="955"/>
      <c r="G180" s="955"/>
      <c r="H180" s="955"/>
      <c r="I180" s="1002"/>
      <c r="J180" s="1048"/>
      <c r="K180" s="1047"/>
      <c r="L180" s="666" t="s">
        <v>218</v>
      </c>
      <c r="M180" s="666" t="s">
        <v>125</v>
      </c>
      <c r="N180" s="1047"/>
      <c r="O180" s="666" t="s">
        <v>126</v>
      </c>
      <c r="P180" s="666" t="s">
        <v>127</v>
      </c>
      <c r="Q180" s="666" t="s">
        <v>128</v>
      </c>
      <c r="R180" s="666" t="s">
        <v>126</v>
      </c>
      <c r="S180" s="666" t="s">
        <v>127</v>
      </c>
      <c r="U180" s="666" t="s">
        <v>126</v>
      </c>
      <c r="V180" s="666" t="s">
        <v>126</v>
      </c>
      <c r="X180" s="666" t="s">
        <v>127</v>
      </c>
      <c r="Y180" s="666" t="s">
        <v>127</v>
      </c>
    </row>
    <row r="181" spans="1:34" ht="20.100000000000001" customHeight="1">
      <c r="A181" s="27"/>
      <c r="B181" s="624" t="s">
        <v>219</v>
      </c>
      <c r="C181" s="624">
        <v>296</v>
      </c>
      <c r="D181" s="624">
        <v>239</v>
      </c>
      <c r="E181" s="624">
        <v>227</v>
      </c>
      <c r="F181" s="651">
        <v>0.34200000000000003</v>
      </c>
      <c r="G181" s="651">
        <v>0.14499999999999999</v>
      </c>
      <c r="H181" s="317">
        <v>38</v>
      </c>
      <c r="I181" s="1046" t="s">
        <v>239</v>
      </c>
      <c r="J181" s="626" t="s">
        <v>131</v>
      </c>
      <c r="K181" s="627">
        <v>0.91</v>
      </c>
      <c r="L181" s="627">
        <v>0.9</v>
      </c>
      <c r="M181" s="627">
        <v>0.97</v>
      </c>
      <c r="N181" s="627" t="s">
        <v>132</v>
      </c>
      <c r="O181" s="627" t="s">
        <v>132</v>
      </c>
      <c r="P181" s="627" t="s">
        <v>132</v>
      </c>
      <c r="Q181" s="629"/>
      <c r="R181" s="629"/>
      <c r="S181" s="629"/>
    </row>
    <row r="182" spans="1:34" ht="20.100000000000001" customHeight="1">
      <c r="A182" s="27"/>
      <c r="B182" s="624" t="s">
        <v>221</v>
      </c>
      <c r="C182" s="624">
        <v>361</v>
      </c>
      <c r="D182" s="624">
        <v>285</v>
      </c>
      <c r="E182" s="624">
        <v>271</v>
      </c>
      <c r="F182" s="651">
        <v>0.247</v>
      </c>
      <c r="G182" s="651">
        <v>0.13900000000000001</v>
      </c>
      <c r="H182" s="317">
        <v>40</v>
      </c>
      <c r="I182" s="1000"/>
      <c r="J182" s="656" t="s">
        <v>123</v>
      </c>
      <c r="K182" s="627" t="s">
        <v>132</v>
      </c>
      <c r="L182" s="627">
        <v>0.64</v>
      </c>
      <c r="M182" s="627">
        <v>0.8</v>
      </c>
      <c r="N182" s="627">
        <v>0.89</v>
      </c>
      <c r="O182" s="627">
        <v>0.93</v>
      </c>
      <c r="P182" s="627">
        <v>0.95</v>
      </c>
      <c r="Q182" s="633">
        <v>120</v>
      </c>
      <c r="R182" s="634">
        <v>1.0900000000000001</v>
      </c>
      <c r="S182" s="318">
        <v>1.05</v>
      </c>
      <c r="U182" s="634">
        <v>1.1299999999999999</v>
      </c>
      <c r="V182" s="634">
        <v>0.91</v>
      </c>
      <c r="X182" s="318">
        <v>1.0900000000000001</v>
      </c>
      <c r="Y182" s="318">
        <v>0.93</v>
      </c>
    </row>
    <row r="183" spans="1:34" ht="20.100000000000001" customHeight="1">
      <c r="A183" s="27"/>
      <c r="B183" s="624" t="s">
        <v>222</v>
      </c>
      <c r="C183" s="624">
        <v>417</v>
      </c>
      <c r="D183" s="624">
        <v>323</v>
      </c>
      <c r="E183" s="624">
        <v>308</v>
      </c>
      <c r="F183" s="651">
        <v>0.19600000000000001</v>
      </c>
      <c r="G183" s="651">
        <v>0.13300000000000001</v>
      </c>
      <c r="H183" s="317">
        <v>41</v>
      </c>
      <c r="I183" s="4"/>
      <c r="J183" s="656" t="s">
        <v>122</v>
      </c>
      <c r="K183" s="627" t="s">
        <v>132</v>
      </c>
      <c r="L183" s="627">
        <v>0.64</v>
      </c>
      <c r="M183" s="627">
        <v>0.8</v>
      </c>
      <c r="N183" s="627">
        <v>0.89</v>
      </c>
      <c r="O183" s="627">
        <v>0.93</v>
      </c>
      <c r="P183" s="627">
        <v>0.96</v>
      </c>
      <c r="Q183" s="633">
        <v>150</v>
      </c>
      <c r="R183" s="634">
        <v>1.0900000000000001</v>
      </c>
      <c r="S183" s="318">
        <v>1.05</v>
      </c>
      <c r="U183" s="634">
        <v>1.1299999999999999</v>
      </c>
      <c r="V183" s="634">
        <v>0.91</v>
      </c>
      <c r="X183" s="318">
        <v>1.0900000000000001</v>
      </c>
      <c r="Y183" s="318">
        <v>0.93</v>
      </c>
    </row>
    <row r="184" spans="1:34" ht="37.5" customHeight="1">
      <c r="A184" s="27"/>
      <c r="B184" s="624" t="s">
        <v>223</v>
      </c>
      <c r="C184" s="624">
        <v>473</v>
      </c>
      <c r="D184" s="624">
        <v>361</v>
      </c>
      <c r="E184" s="624">
        <v>343</v>
      </c>
      <c r="F184" s="651">
        <v>0.159</v>
      </c>
      <c r="G184" s="651">
        <v>0.13200000000000001</v>
      </c>
      <c r="H184" s="317">
        <v>44</v>
      </c>
      <c r="I184" s="4"/>
      <c r="J184" s="670" t="s">
        <v>136</v>
      </c>
      <c r="K184" s="627">
        <v>0.91</v>
      </c>
      <c r="L184" s="627">
        <v>0.9</v>
      </c>
      <c r="M184" s="627">
        <v>0.97</v>
      </c>
      <c r="N184" s="627" t="s">
        <v>132</v>
      </c>
      <c r="O184" s="627" t="s">
        <v>132</v>
      </c>
      <c r="P184" s="627" t="s">
        <v>132</v>
      </c>
      <c r="Q184" s="633">
        <v>185</v>
      </c>
      <c r="R184" s="634">
        <v>1.0900000000000001</v>
      </c>
      <c r="S184" s="318">
        <v>1.05</v>
      </c>
      <c r="U184" s="634">
        <v>1.1299999999999999</v>
      </c>
      <c r="V184" s="634">
        <v>0.91</v>
      </c>
      <c r="X184" s="318">
        <v>1.0900000000000001</v>
      </c>
      <c r="Y184" s="318">
        <v>0.93</v>
      </c>
    </row>
    <row r="185" spans="1:34" ht="20.100000000000001" customHeight="1">
      <c r="A185" s="27"/>
      <c r="B185" s="624" t="s">
        <v>129</v>
      </c>
      <c r="C185" s="624">
        <v>543</v>
      </c>
      <c r="D185" s="624">
        <v>406</v>
      </c>
      <c r="E185" s="624">
        <v>387</v>
      </c>
      <c r="F185" s="651">
        <v>0.128</v>
      </c>
      <c r="G185" s="651">
        <v>0.126</v>
      </c>
      <c r="H185" s="317">
        <v>46</v>
      </c>
      <c r="I185" s="4"/>
      <c r="Q185" s="633">
        <v>240</v>
      </c>
      <c r="R185" s="634">
        <v>1.0900000000000001</v>
      </c>
      <c r="S185" s="318">
        <v>1.05</v>
      </c>
      <c r="U185" s="634">
        <v>1.1399999999999999</v>
      </c>
      <c r="V185" s="634">
        <v>0.91</v>
      </c>
      <c r="X185" s="318">
        <v>1.1000000000000001</v>
      </c>
      <c r="Y185" s="318">
        <v>0.93</v>
      </c>
    </row>
    <row r="186" spans="1:34" ht="20.100000000000001" customHeight="1">
      <c r="A186" s="27"/>
      <c r="B186" s="624" t="s">
        <v>133</v>
      </c>
      <c r="C186" s="624">
        <v>641</v>
      </c>
      <c r="D186" s="624">
        <v>469</v>
      </c>
      <c r="E186" s="624">
        <v>447</v>
      </c>
      <c r="F186" s="651">
        <v>9.8000000000000004E-2</v>
      </c>
      <c r="G186" s="651">
        <v>0.121</v>
      </c>
      <c r="H186" s="317">
        <v>48</v>
      </c>
      <c r="Q186" s="633">
        <v>300</v>
      </c>
      <c r="R186" s="634">
        <v>1.0900000000000001</v>
      </c>
      <c r="S186" s="318">
        <v>1.05</v>
      </c>
      <c r="U186" s="634">
        <v>1.1399999999999999</v>
      </c>
      <c r="V186" s="634">
        <v>0.9</v>
      </c>
      <c r="X186" s="318">
        <v>1.1000000000000001</v>
      </c>
      <c r="Y186" s="318">
        <v>0.92</v>
      </c>
    </row>
    <row r="187" spans="1:34" ht="20.100000000000001" customHeight="1">
      <c r="A187" s="27"/>
      <c r="B187" s="624" t="s">
        <v>134</v>
      </c>
      <c r="C187" s="624">
        <v>735</v>
      </c>
      <c r="D187" s="624">
        <v>526</v>
      </c>
      <c r="E187" s="624">
        <v>504</v>
      </c>
      <c r="F187" s="651">
        <v>7.9000000000000001E-2</v>
      </c>
      <c r="G187" s="651">
        <v>0.11799999999999999</v>
      </c>
      <c r="H187" s="317">
        <v>50</v>
      </c>
      <c r="Q187" s="633">
        <v>400</v>
      </c>
      <c r="R187" s="634">
        <v>1.0900000000000001</v>
      </c>
      <c r="S187" s="318">
        <v>1.05</v>
      </c>
      <c r="U187" s="634">
        <v>1.1399999999999999</v>
      </c>
      <c r="V187" s="634">
        <v>0.9</v>
      </c>
      <c r="X187" s="318">
        <v>1.1000000000000001</v>
      </c>
      <c r="Y187" s="318">
        <v>0.92</v>
      </c>
    </row>
    <row r="188" spans="1:34" ht="20.100000000000001" customHeight="1">
      <c r="A188" s="27"/>
      <c r="B188" s="624" t="s">
        <v>135</v>
      </c>
      <c r="C188" s="624">
        <v>845</v>
      </c>
      <c r="D188" s="624">
        <v>590</v>
      </c>
      <c r="E188" s="624">
        <v>564</v>
      </c>
      <c r="F188" s="651">
        <v>6.3E-2</v>
      </c>
      <c r="G188" s="651">
        <v>0.112</v>
      </c>
      <c r="H188" s="317">
        <v>53</v>
      </c>
      <c r="Q188" s="633">
        <v>500</v>
      </c>
      <c r="R188" s="634">
        <v>1.0900000000000001</v>
      </c>
      <c r="S188" s="318">
        <v>1.05</v>
      </c>
      <c r="U188" s="634">
        <v>1.1399999999999999</v>
      </c>
      <c r="V188" s="634">
        <v>0.9</v>
      </c>
      <c r="X188" s="318">
        <v>1.1000000000000001</v>
      </c>
      <c r="Y188" s="318">
        <v>0.92</v>
      </c>
    </row>
    <row r="189" spans="1:34" ht="20.100000000000001" customHeight="1">
      <c r="A189" s="27"/>
      <c r="B189" s="624" t="s">
        <v>137</v>
      </c>
      <c r="C189" s="624">
        <v>942</v>
      </c>
      <c r="D189" s="624">
        <v>640</v>
      </c>
      <c r="E189" s="624">
        <v>608</v>
      </c>
      <c r="F189" s="651">
        <v>0.05</v>
      </c>
      <c r="G189" s="651">
        <v>0.108</v>
      </c>
      <c r="H189" s="317">
        <v>57</v>
      </c>
      <c r="Q189" s="633">
        <v>630</v>
      </c>
      <c r="R189" s="634">
        <v>1.0900000000000001</v>
      </c>
      <c r="S189" s="318">
        <v>1.05</v>
      </c>
      <c r="U189" s="634">
        <v>1.1399999999999999</v>
      </c>
      <c r="V189" s="634">
        <v>0.9</v>
      </c>
      <c r="X189" s="318">
        <v>1.1000000000000001</v>
      </c>
      <c r="Y189" s="318">
        <v>0.92</v>
      </c>
    </row>
    <row r="190" spans="1:34" ht="20.100000000000001" customHeight="1">
      <c r="A190" s="27"/>
      <c r="B190" s="624" t="s">
        <v>138</v>
      </c>
      <c r="C190" s="624">
        <v>1071</v>
      </c>
      <c r="D190" s="624">
        <v>712</v>
      </c>
      <c r="E190" s="624">
        <v>676.4</v>
      </c>
      <c r="F190" s="651">
        <v>4.1000000000000002E-2</v>
      </c>
      <c r="G190" s="651">
        <v>0.104</v>
      </c>
      <c r="H190" s="317">
        <v>61</v>
      </c>
      <c r="I190" s="4"/>
    </row>
    <row r="191" spans="1:34" ht="20.100000000000001" customHeight="1">
      <c r="A191" s="27"/>
      <c r="B191" s="624" t="s">
        <v>224</v>
      </c>
      <c r="C191" s="624">
        <v>1210</v>
      </c>
      <c r="D191" s="624">
        <v>781</v>
      </c>
      <c r="E191" s="624">
        <v>741.95</v>
      </c>
      <c r="F191" s="651">
        <v>3.4000000000000002E-2</v>
      </c>
      <c r="G191" s="651">
        <v>0.10100000000000001</v>
      </c>
      <c r="H191" s="317">
        <v>66</v>
      </c>
      <c r="I191" s="4"/>
    </row>
    <row r="192" spans="1:34" ht="20.100000000000001" customHeight="1">
      <c r="A192" s="27"/>
      <c r="B192" s="624" t="s">
        <v>225</v>
      </c>
      <c r="C192" s="624">
        <v>1332</v>
      </c>
      <c r="D192" s="624">
        <v>841</v>
      </c>
      <c r="E192" s="624">
        <v>798.95</v>
      </c>
      <c r="F192" s="651">
        <v>2.9000000000000001E-2</v>
      </c>
      <c r="G192" s="651">
        <v>9.8000000000000004E-2</v>
      </c>
      <c r="H192" s="317">
        <v>70</v>
      </c>
      <c r="I192" s="4"/>
    </row>
    <row r="193" spans="1:14" ht="20.100000000000001" customHeight="1">
      <c r="A193" s="27"/>
      <c r="B193" s="624"/>
      <c r="C193" s="624"/>
      <c r="D193" s="624"/>
      <c r="E193" s="624"/>
      <c r="F193" s="651"/>
      <c r="G193" s="651"/>
      <c r="H193" s="317"/>
      <c r="I193" s="7"/>
    </row>
    <row r="194" spans="1:14">
      <c r="A194" s="27"/>
      <c r="H194" s="21"/>
      <c r="K194" s="2"/>
    </row>
    <row r="195" spans="1:14">
      <c r="A195" s="27"/>
      <c r="B195" s="312" t="s">
        <v>226</v>
      </c>
      <c r="C195" s="648"/>
      <c r="D195" s="313"/>
      <c r="E195" s="313"/>
      <c r="F195" s="313" t="s">
        <v>232</v>
      </c>
      <c r="G195" s="314"/>
      <c r="H195" s="315"/>
      <c r="K195" s="2"/>
      <c r="L195" s="2"/>
      <c r="M195" s="2"/>
      <c r="N195" s="2"/>
    </row>
    <row r="196" spans="1:14" ht="30" customHeight="1">
      <c r="A196" s="27"/>
      <c r="B196" s="1047" t="s">
        <v>109</v>
      </c>
      <c r="C196" s="1031" t="s">
        <v>110</v>
      </c>
      <c r="D196" s="1032"/>
      <c r="E196" s="1033"/>
      <c r="F196" s="1047" t="s">
        <v>208</v>
      </c>
      <c r="G196" s="1047" t="s">
        <v>209</v>
      </c>
      <c r="H196" s="1047" t="s">
        <v>210</v>
      </c>
      <c r="K196" s="2"/>
      <c r="L196" s="2"/>
      <c r="M196" s="2"/>
      <c r="N196" s="2"/>
    </row>
    <row r="197" spans="1:14" ht="30" customHeight="1">
      <c r="A197" s="27"/>
      <c r="B197" s="955"/>
      <c r="C197" s="622" t="s">
        <v>121</v>
      </c>
      <c r="D197" s="622" t="s">
        <v>122</v>
      </c>
      <c r="E197" s="622" t="s">
        <v>123</v>
      </c>
      <c r="F197" s="955"/>
      <c r="G197" s="955"/>
      <c r="H197" s="955"/>
      <c r="K197" s="2"/>
      <c r="L197" s="2"/>
      <c r="M197" s="2"/>
      <c r="N197" s="2"/>
    </row>
    <row r="198" spans="1:14" ht="15" customHeight="1">
      <c r="A198" s="27"/>
      <c r="B198" s="651" t="s">
        <v>167</v>
      </c>
      <c r="C198" s="651">
        <v>253</v>
      </c>
      <c r="D198" s="651">
        <v>220</v>
      </c>
      <c r="E198" s="651">
        <v>194</v>
      </c>
      <c r="F198" s="651">
        <v>0.34200000000000003</v>
      </c>
      <c r="G198" s="651">
        <v>0.129</v>
      </c>
      <c r="H198" s="317">
        <v>49</v>
      </c>
      <c r="K198" s="2"/>
      <c r="L198" s="2"/>
      <c r="M198" s="2"/>
      <c r="N198" s="2"/>
    </row>
    <row r="199" spans="1:14">
      <c r="A199" s="27"/>
      <c r="B199" s="651" t="s">
        <v>168</v>
      </c>
      <c r="C199" s="651">
        <v>307</v>
      </c>
      <c r="D199" s="651">
        <v>263</v>
      </c>
      <c r="E199" s="651">
        <v>232</v>
      </c>
      <c r="F199" s="651">
        <v>0.247</v>
      </c>
      <c r="G199" s="651">
        <v>0.123</v>
      </c>
      <c r="H199" s="317">
        <v>52</v>
      </c>
      <c r="K199" s="2"/>
      <c r="L199" s="2"/>
      <c r="M199" s="2"/>
      <c r="N199" s="2"/>
    </row>
    <row r="200" spans="1:14">
      <c r="A200" s="27"/>
      <c r="B200" s="651" t="s">
        <v>169</v>
      </c>
      <c r="C200" s="651">
        <v>352</v>
      </c>
      <c r="D200" s="651">
        <v>298</v>
      </c>
      <c r="E200" s="651">
        <v>264</v>
      </c>
      <c r="F200" s="651">
        <v>0.19600000000000001</v>
      </c>
      <c r="G200" s="651">
        <v>0.11799999999999999</v>
      </c>
      <c r="H200" s="317">
        <v>56</v>
      </c>
      <c r="K200" s="2"/>
      <c r="L200" s="2"/>
      <c r="M200" s="2"/>
      <c r="N200" s="2"/>
    </row>
    <row r="201" spans="1:14">
      <c r="A201" s="27"/>
      <c r="B201" s="651" t="s">
        <v>170</v>
      </c>
      <c r="C201" s="651">
        <v>397</v>
      </c>
      <c r="D201" s="651">
        <v>332</v>
      </c>
      <c r="E201" s="651">
        <v>296</v>
      </c>
      <c r="F201" s="651">
        <v>0.159</v>
      </c>
      <c r="G201" s="651">
        <v>0.115</v>
      </c>
      <c r="H201" s="317">
        <v>58</v>
      </c>
      <c r="K201" s="2"/>
      <c r="L201" s="2"/>
      <c r="M201" s="2"/>
      <c r="N201" s="2"/>
    </row>
    <row r="202" spans="1:14">
      <c r="A202" s="27"/>
      <c r="B202" s="651" t="s">
        <v>171</v>
      </c>
      <c r="C202" s="651">
        <v>453</v>
      </c>
      <c r="D202" s="651">
        <v>374</v>
      </c>
      <c r="E202" s="651">
        <v>335</v>
      </c>
      <c r="F202" s="651">
        <v>0.128</v>
      </c>
      <c r="G202" s="651">
        <v>0.11</v>
      </c>
      <c r="H202" s="317">
        <v>63</v>
      </c>
      <c r="K202" s="2"/>
      <c r="L202" s="2"/>
      <c r="M202" s="2"/>
      <c r="N202" s="2"/>
    </row>
    <row r="203" spans="1:14">
      <c r="A203" s="27"/>
      <c r="B203" s="651" t="s">
        <v>172</v>
      </c>
      <c r="C203" s="651">
        <v>529</v>
      </c>
      <c r="D203" s="651">
        <v>431</v>
      </c>
      <c r="E203" s="651">
        <v>387</v>
      </c>
      <c r="F203" s="651">
        <v>0.99</v>
      </c>
      <c r="G203" s="651">
        <v>0.105</v>
      </c>
      <c r="H203" s="317">
        <v>69</v>
      </c>
      <c r="K203" s="2"/>
      <c r="L203" s="2"/>
      <c r="M203" s="2"/>
      <c r="N203" s="2"/>
    </row>
    <row r="204" spans="1:14">
      <c r="A204" s="27"/>
      <c r="B204" s="651" t="s">
        <v>173</v>
      </c>
      <c r="C204" s="651">
        <v>599</v>
      </c>
      <c r="D204" s="651">
        <v>482</v>
      </c>
      <c r="E204" s="651">
        <v>435</v>
      </c>
      <c r="F204" s="651">
        <v>0.8</v>
      </c>
      <c r="G204" s="651">
        <v>0.10299999999999999</v>
      </c>
      <c r="H204" s="317">
        <v>75</v>
      </c>
      <c r="K204" s="2"/>
      <c r="L204" s="2"/>
      <c r="M204" s="2"/>
      <c r="N204" s="2"/>
    </row>
    <row r="205" spans="1:14">
      <c r="A205" s="27"/>
      <c r="B205" s="651" t="s">
        <v>174</v>
      </c>
      <c r="C205" s="651">
        <v>683</v>
      </c>
      <c r="D205" s="651">
        <v>541</v>
      </c>
      <c r="E205" s="651">
        <v>492</v>
      </c>
      <c r="F205" s="651">
        <v>6.4000000000000001E-2</v>
      </c>
      <c r="G205" s="651">
        <v>9.8000000000000004E-2</v>
      </c>
      <c r="H205" s="317">
        <v>84</v>
      </c>
      <c r="K205" s="2"/>
      <c r="L205" s="2"/>
      <c r="M205" s="2"/>
      <c r="N205" s="2"/>
    </row>
    <row r="206" spans="1:14">
      <c r="A206" s="27"/>
      <c r="H206" s="21"/>
      <c r="K206" s="2"/>
      <c r="L206" s="2"/>
      <c r="M206" s="2"/>
      <c r="N206" s="2"/>
    </row>
    <row r="207" spans="1:14">
      <c r="A207" s="27"/>
      <c r="H207" s="21"/>
      <c r="K207" s="2"/>
      <c r="L207" s="2"/>
      <c r="M207" s="2"/>
      <c r="N207" s="2"/>
    </row>
    <row r="208" spans="1:14">
      <c r="A208" s="27"/>
      <c r="H208" s="21"/>
      <c r="K208" s="2"/>
      <c r="L208" s="2"/>
      <c r="M208" s="2"/>
      <c r="N208" s="2"/>
    </row>
    <row r="209" spans="1:14">
      <c r="A209" s="27"/>
      <c r="H209" s="21"/>
      <c r="K209" s="2"/>
      <c r="L209" s="2"/>
      <c r="M209" s="2"/>
      <c r="N209" s="2"/>
    </row>
    <row r="210" spans="1:14" ht="15.75" thickBot="1">
      <c r="A210" s="28"/>
      <c r="B210" s="29"/>
      <c r="C210" s="29"/>
      <c r="D210" s="29"/>
      <c r="E210" s="29"/>
      <c r="F210" s="29"/>
      <c r="G210" s="29"/>
      <c r="H210" s="30"/>
      <c r="K210" s="2"/>
      <c r="L210" s="2"/>
      <c r="M210" s="2"/>
      <c r="N210" s="2"/>
    </row>
    <row r="211" spans="1:14">
      <c r="K211" s="2"/>
      <c r="L211" s="2"/>
      <c r="M211" s="2"/>
      <c r="N211" s="2"/>
    </row>
    <row r="212" spans="1:14">
      <c r="K212" s="2"/>
      <c r="L212" s="2"/>
      <c r="M212" s="2"/>
      <c r="N212" s="2"/>
    </row>
    <row r="230" spans="11:24">
      <c r="K230" s="2"/>
      <c r="L230" s="2"/>
      <c r="M230" s="2"/>
      <c r="N230" s="2"/>
      <c r="S230" s="2"/>
      <c r="T230" s="2"/>
      <c r="U230" s="2"/>
      <c r="V230" s="2"/>
      <c r="W230" s="2"/>
      <c r="X230" s="2"/>
    </row>
    <row r="231" spans="11:24">
      <c r="K231" s="2"/>
      <c r="L231" s="2"/>
      <c r="M231" s="2"/>
      <c r="N231" s="2"/>
      <c r="S231" s="2"/>
      <c r="T231" s="2"/>
      <c r="U231" s="2"/>
      <c r="V231" s="2"/>
      <c r="W231" s="2"/>
      <c r="X231" s="2"/>
    </row>
    <row r="232" spans="11:24">
      <c r="K232" s="2"/>
      <c r="L232" s="2"/>
      <c r="M232" s="2"/>
      <c r="N232" s="2"/>
      <c r="S232" s="2"/>
      <c r="T232" s="2"/>
      <c r="U232" s="2"/>
      <c r="V232" s="2"/>
      <c r="W232" s="2"/>
      <c r="X232" s="2"/>
    </row>
    <row r="233" spans="11:24" ht="15" customHeight="1">
      <c r="K233" s="2"/>
      <c r="L233" s="2"/>
      <c r="M233" s="2"/>
      <c r="N233" s="2"/>
      <c r="S233" s="2"/>
      <c r="T233" s="2"/>
      <c r="U233" s="2"/>
      <c r="V233" s="2"/>
      <c r="W233" s="2"/>
      <c r="X233" s="2"/>
    </row>
    <row r="234" spans="11:24">
      <c r="K234" s="2"/>
      <c r="L234" s="2"/>
      <c r="M234" s="2"/>
      <c r="N234" s="2"/>
      <c r="S234" s="2"/>
      <c r="T234" s="2"/>
      <c r="U234" s="2"/>
      <c r="V234" s="2"/>
      <c r="W234" s="2"/>
      <c r="X234" s="2"/>
    </row>
    <row r="235" spans="11:24">
      <c r="K235" s="2"/>
      <c r="L235" s="2"/>
      <c r="M235" s="2"/>
      <c r="N235" s="2"/>
      <c r="S235" s="2"/>
      <c r="T235" s="2"/>
      <c r="U235" s="2"/>
      <c r="V235" s="2"/>
      <c r="W235" s="2"/>
      <c r="X235" s="2"/>
    </row>
    <row r="236" spans="11:24">
      <c r="K236" s="2"/>
      <c r="L236" s="2"/>
      <c r="M236" s="2"/>
      <c r="N236" s="2"/>
      <c r="S236" s="2"/>
      <c r="T236" s="2"/>
      <c r="U236" s="2"/>
      <c r="V236" s="2"/>
      <c r="W236" s="2"/>
      <c r="X236" s="2"/>
    </row>
    <row r="237" spans="11:24">
      <c r="K237" s="2"/>
      <c r="L237" s="2"/>
      <c r="M237" s="2"/>
      <c r="N237" s="2"/>
      <c r="S237" s="2"/>
      <c r="T237" s="2"/>
      <c r="U237" s="2"/>
      <c r="V237" s="2"/>
      <c r="W237" s="2"/>
      <c r="X237" s="2"/>
    </row>
    <row r="238" spans="11:24">
      <c r="K238" s="2"/>
      <c r="L238" s="2"/>
      <c r="M238" s="2"/>
      <c r="N238" s="2"/>
      <c r="S238" s="2"/>
      <c r="T238" s="2"/>
      <c r="U238" s="2"/>
      <c r="V238" s="2"/>
      <c r="W238" s="2"/>
      <c r="X238" s="2"/>
    </row>
    <row r="239" spans="11:24">
      <c r="K239" s="2"/>
      <c r="L239" s="2"/>
      <c r="M239" s="2"/>
      <c r="N239" s="2"/>
      <c r="S239" s="2"/>
      <c r="T239" s="2"/>
      <c r="U239" s="2"/>
      <c r="V239" s="2"/>
      <c r="W239" s="2"/>
      <c r="X239" s="2"/>
    </row>
    <row r="240" spans="11:24">
      <c r="K240" s="2"/>
      <c r="L240" s="2"/>
      <c r="M240" s="2"/>
      <c r="N240" s="2"/>
      <c r="S240" s="2"/>
      <c r="T240" s="2"/>
      <c r="U240" s="2"/>
      <c r="V240" s="2"/>
      <c r="W240" s="2"/>
      <c r="X240" s="2"/>
    </row>
    <row r="241" spans="11:24">
      <c r="K241" s="2"/>
      <c r="L241" s="2"/>
      <c r="M241" s="2"/>
      <c r="N241" s="2"/>
      <c r="S241" s="2"/>
      <c r="T241" s="2"/>
      <c r="U241" s="2"/>
      <c r="V241" s="2"/>
      <c r="W241" s="2"/>
      <c r="X241" s="2"/>
    </row>
  </sheetData>
  <mergeCells count="102">
    <mergeCell ref="K7:K8"/>
    <mergeCell ref="L7:M7"/>
    <mergeCell ref="N7:N8"/>
    <mergeCell ref="O7:P7"/>
    <mergeCell ref="Q7:S7"/>
    <mergeCell ref="I9:I10"/>
    <mergeCell ref="B3:F3"/>
    <mergeCell ref="B4:D4"/>
    <mergeCell ref="AN5:AN6"/>
    <mergeCell ref="B7:B8"/>
    <mergeCell ref="C7:E7"/>
    <mergeCell ref="F7:F8"/>
    <mergeCell ref="G7:G8"/>
    <mergeCell ref="H7:H8"/>
    <mergeCell ref="I7:I8"/>
    <mergeCell ref="J7:J8"/>
    <mergeCell ref="AJ9:AJ10"/>
    <mergeCell ref="AL9:AL10"/>
    <mergeCell ref="AN9:AN10"/>
    <mergeCell ref="AP9:AP10"/>
    <mergeCell ref="B17:B18"/>
    <mergeCell ref="C17:E17"/>
    <mergeCell ref="F17:F18"/>
    <mergeCell ref="G17:G18"/>
    <mergeCell ref="H17:H18"/>
    <mergeCell ref="O74:P74"/>
    <mergeCell ref="R74:U74"/>
    <mergeCell ref="B80:B81"/>
    <mergeCell ref="C80:E80"/>
    <mergeCell ref="F80:F81"/>
    <mergeCell ref="G80:G81"/>
    <mergeCell ref="H80:H81"/>
    <mergeCell ref="B38:B39"/>
    <mergeCell ref="C38:E38"/>
    <mergeCell ref="F38:F39"/>
    <mergeCell ref="G38:G39"/>
    <mergeCell ref="H38:H39"/>
    <mergeCell ref="B59:B60"/>
    <mergeCell ref="C59:E59"/>
    <mergeCell ref="F59:F60"/>
    <mergeCell ref="G59:G60"/>
    <mergeCell ref="H59:H60"/>
    <mergeCell ref="B95:F95"/>
    <mergeCell ref="B99:B100"/>
    <mergeCell ref="C99:E99"/>
    <mergeCell ref="F99:F100"/>
    <mergeCell ref="G99:G100"/>
    <mergeCell ref="H99:H100"/>
    <mergeCell ref="K74:K75"/>
    <mergeCell ref="L74:M74"/>
    <mergeCell ref="N74:N75"/>
    <mergeCell ref="B135:F135"/>
    <mergeCell ref="B139:B140"/>
    <mergeCell ref="C139:E139"/>
    <mergeCell ref="F139:F140"/>
    <mergeCell ref="G139:G140"/>
    <mergeCell ref="H139:H140"/>
    <mergeCell ref="Q99:S99"/>
    <mergeCell ref="I101:I102"/>
    <mergeCell ref="B117:B118"/>
    <mergeCell ref="C117:E117"/>
    <mergeCell ref="F117:F118"/>
    <mergeCell ref="G117:G118"/>
    <mergeCell ref="H117:H118"/>
    <mergeCell ref="I99:I100"/>
    <mergeCell ref="J99:J100"/>
    <mergeCell ref="K99:K100"/>
    <mergeCell ref="L99:M99"/>
    <mergeCell ref="N99:N100"/>
    <mergeCell ref="O99:P99"/>
    <mergeCell ref="B175:F175"/>
    <mergeCell ref="B179:B180"/>
    <mergeCell ref="C179:E179"/>
    <mergeCell ref="F179:F180"/>
    <mergeCell ref="G179:G180"/>
    <mergeCell ref="H179:H180"/>
    <mergeCell ref="Q139:S139"/>
    <mergeCell ref="I141:I142"/>
    <mergeCell ref="B157:B158"/>
    <mergeCell ref="C157:E157"/>
    <mergeCell ref="F157:F158"/>
    <mergeCell ref="G157:G158"/>
    <mergeCell ref="H157:H158"/>
    <mergeCell ref="I139:I140"/>
    <mergeCell ref="J139:J140"/>
    <mergeCell ref="K139:K140"/>
    <mergeCell ref="L139:M139"/>
    <mergeCell ref="N139:N140"/>
    <mergeCell ref="O139:P139"/>
    <mergeCell ref="Q179:S179"/>
    <mergeCell ref="L179:M179"/>
    <mergeCell ref="N179:N180"/>
    <mergeCell ref="O179:P179"/>
    <mergeCell ref="I181:I182"/>
    <mergeCell ref="B196:B197"/>
    <mergeCell ref="C196:E196"/>
    <mergeCell ref="F196:F197"/>
    <mergeCell ref="G196:G197"/>
    <mergeCell ref="H196:H197"/>
    <mergeCell ref="I179:I180"/>
    <mergeCell ref="J179:J180"/>
    <mergeCell ref="K179:K180"/>
  </mergeCells>
  <pageMargins left="0.7" right="0.7" top="0.75" bottom="0.75" header="0.3" footer="0.3"/>
  <pageSetup scale="38"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2E427-02B6-43F2-9C9A-2B8E932D959D}">
  <sheetPr codeName="Sheet13">
    <pageSetUpPr fitToPage="1"/>
  </sheetPr>
  <dimension ref="B2:AP72"/>
  <sheetViews>
    <sheetView view="pageBreakPreview" zoomScale="85" zoomScaleNormal="55" zoomScaleSheetLayoutView="85" workbookViewId="0">
      <pane xSplit="7" ySplit="7" topLeftCell="U62" activePane="bottomRight" state="frozen"/>
      <selection pane="topRight" activeCell="F1" sqref="F1"/>
      <selection pane="bottomLeft" activeCell="A7" sqref="A7"/>
      <selection pane="bottomRight" activeCell="X75" sqref="X75"/>
    </sheetView>
  </sheetViews>
  <sheetFormatPr defaultRowHeight="15.75"/>
  <cols>
    <col min="1" max="1" width="3.85546875" style="140" customWidth="1"/>
    <col min="2" max="2" width="21.7109375" style="140" customWidth="1"/>
    <col min="3" max="3" width="9.28515625" style="140" customWidth="1"/>
    <col min="4" max="4" width="9.140625" style="140" bestFit="1" customWidth="1"/>
    <col min="5" max="5" width="11" style="140" customWidth="1"/>
    <col min="6" max="6" width="13.7109375" style="140" customWidth="1"/>
    <col min="7" max="7" width="11.140625" style="149" customWidth="1"/>
    <col min="8" max="8" width="13.42578125" style="140" customWidth="1"/>
    <col min="9" max="13" width="14.7109375" style="140" customWidth="1"/>
    <col min="14" max="14" width="9.85546875" style="140" customWidth="1"/>
    <col min="15" max="17" width="14.7109375" style="140" customWidth="1"/>
    <col min="18" max="18" width="9.5703125" style="140" customWidth="1"/>
    <col min="19" max="28" width="12.85546875" style="140" customWidth="1"/>
    <col min="29" max="29" width="1.85546875" style="140" customWidth="1"/>
    <col min="30" max="32" width="12.85546875" style="140" customWidth="1"/>
    <col min="33" max="33" width="9.140625" style="140"/>
    <col min="34" max="34" width="11" style="140" customWidth="1"/>
    <col min="35" max="35" width="12.85546875" style="140" customWidth="1"/>
    <col min="36" max="36" width="2.140625" style="140" customWidth="1"/>
    <col min="37" max="38" width="12.42578125" style="140" customWidth="1"/>
    <col min="39" max="39" width="2" style="150" customWidth="1"/>
    <col min="40" max="40" width="12.140625" style="140" customWidth="1"/>
    <col min="41" max="41" width="2" style="150" customWidth="1"/>
    <col min="42" max="42" width="9" style="150" customWidth="1"/>
    <col min="43" max="16384" width="9.140625" style="140"/>
  </cols>
  <sheetData>
    <row r="2" spans="2:42" ht="27.75" customHeight="1">
      <c r="B2" s="1051" t="s">
        <v>966</v>
      </c>
      <c r="C2" s="1051"/>
      <c r="D2" s="1051"/>
      <c r="E2" s="1051"/>
      <c r="F2" s="1051"/>
      <c r="G2" s="1051"/>
      <c r="H2" s="1051"/>
      <c r="I2" s="1051"/>
      <c r="J2" s="1051"/>
      <c r="K2" s="1051"/>
      <c r="L2" s="1051"/>
      <c r="M2" s="1051"/>
      <c r="N2" s="1051"/>
      <c r="O2" s="1051"/>
      <c r="P2" s="1051"/>
      <c r="Q2" s="1051"/>
      <c r="R2" s="1051"/>
      <c r="S2" s="1051"/>
      <c r="T2" s="1051"/>
      <c r="U2" s="1051"/>
      <c r="V2" s="1051"/>
      <c r="W2" s="1051"/>
      <c r="X2" s="1051"/>
      <c r="Y2" s="1051"/>
      <c r="Z2" s="1051"/>
      <c r="AA2" s="1051"/>
      <c r="AB2" s="1051"/>
      <c r="AC2" s="1051"/>
      <c r="AD2" s="1051"/>
      <c r="AE2" s="1051"/>
      <c r="AF2" s="1051"/>
      <c r="AG2" s="1051"/>
      <c r="AH2" s="1051"/>
      <c r="AI2" s="1051"/>
      <c r="AJ2" s="1051"/>
      <c r="AK2" s="1051"/>
      <c r="AL2" s="1051"/>
      <c r="AM2" s="1051"/>
      <c r="AN2" s="1051"/>
      <c r="AO2" s="1051"/>
      <c r="AP2" s="1051"/>
    </row>
    <row r="3" spans="2:42" s="144" customFormat="1" ht="27.75" customHeight="1">
      <c r="B3" s="141"/>
      <c r="C3" s="141"/>
      <c r="D3" s="141"/>
      <c r="E3" s="141"/>
      <c r="F3" s="141"/>
      <c r="G3" s="142"/>
      <c r="H3" s="1060" t="s">
        <v>967</v>
      </c>
      <c r="I3" s="1061"/>
      <c r="J3" s="1061"/>
      <c r="K3" s="1061"/>
      <c r="L3" s="1061"/>
      <c r="M3" s="1061"/>
      <c r="N3" s="1062"/>
      <c r="O3" s="1057" t="s">
        <v>968</v>
      </c>
      <c r="P3" s="1058"/>
      <c r="Q3" s="1058"/>
      <c r="R3" s="1059"/>
      <c r="S3" s="1053" t="s">
        <v>969</v>
      </c>
      <c r="T3" s="1054"/>
      <c r="U3" s="1054"/>
      <c r="V3" s="1054"/>
      <c r="W3" s="1054"/>
      <c r="X3" s="1054"/>
      <c r="Y3" s="1054"/>
      <c r="Z3" s="1055"/>
      <c r="AA3" s="143"/>
      <c r="AB3" s="143"/>
      <c r="AC3" s="143"/>
      <c r="AD3" s="1052" t="s">
        <v>970</v>
      </c>
      <c r="AE3" s="1052"/>
      <c r="AF3" s="1052"/>
      <c r="AG3" s="1052"/>
      <c r="AH3" s="1052"/>
      <c r="AI3" s="1052"/>
      <c r="AK3" s="1056" t="s">
        <v>971</v>
      </c>
      <c r="AL3" s="1056"/>
      <c r="AM3" s="145"/>
      <c r="AN3" s="146"/>
      <c r="AO3" s="145"/>
      <c r="AP3" s="147"/>
    </row>
    <row r="4" spans="2:42" s="144" customFormat="1" ht="128.25" customHeight="1">
      <c r="B4" s="671" t="s">
        <v>972</v>
      </c>
      <c r="C4" s="671" t="s">
        <v>973</v>
      </c>
      <c r="D4" s="671" t="s">
        <v>974</v>
      </c>
      <c r="E4" s="671" t="s">
        <v>975</v>
      </c>
      <c r="F4" s="671" t="s">
        <v>976</v>
      </c>
      <c r="G4" s="672" t="s">
        <v>977</v>
      </c>
      <c r="H4" s="673" t="s">
        <v>978</v>
      </c>
      <c r="I4" s="673" t="s">
        <v>979</v>
      </c>
      <c r="J4" s="673" t="s">
        <v>980</v>
      </c>
      <c r="K4" s="673" t="s">
        <v>981</v>
      </c>
      <c r="L4" s="673" t="s">
        <v>982</v>
      </c>
      <c r="M4" s="673" t="s">
        <v>983</v>
      </c>
      <c r="N4" s="673" t="s">
        <v>984</v>
      </c>
      <c r="O4" s="673" t="s">
        <v>985</v>
      </c>
      <c r="P4" s="673" t="s">
        <v>986</v>
      </c>
      <c r="Q4" s="673" t="s">
        <v>987</v>
      </c>
      <c r="R4" s="673" t="s">
        <v>988</v>
      </c>
      <c r="S4" s="674" t="s">
        <v>989</v>
      </c>
      <c r="T4" s="674" t="s">
        <v>990</v>
      </c>
      <c r="U4" s="674" t="s">
        <v>989</v>
      </c>
      <c r="V4" s="674" t="s">
        <v>991</v>
      </c>
      <c r="W4" s="674" t="s">
        <v>992</v>
      </c>
      <c r="X4" s="675" t="s">
        <v>993</v>
      </c>
      <c r="Y4" s="674" t="s">
        <v>994</v>
      </c>
      <c r="Z4" s="675" t="s">
        <v>995</v>
      </c>
      <c r="AA4" s="676" t="s">
        <v>996</v>
      </c>
      <c r="AB4" s="676" t="s">
        <v>997</v>
      </c>
      <c r="AC4" s="674"/>
      <c r="AD4" s="677" t="s">
        <v>998</v>
      </c>
      <c r="AE4" s="676" t="s">
        <v>999</v>
      </c>
      <c r="AF4" s="677" t="s">
        <v>1000</v>
      </c>
      <c r="AG4" s="677" t="s">
        <v>1001</v>
      </c>
      <c r="AH4" s="677" t="s">
        <v>1002</v>
      </c>
      <c r="AI4" s="677" t="s">
        <v>1003</v>
      </c>
      <c r="AJ4" s="678"/>
      <c r="AK4" s="679" t="s">
        <v>1004</v>
      </c>
      <c r="AL4" s="679" t="s">
        <v>1005</v>
      </c>
      <c r="AM4" s="680"/>
      <c r="AN4" s="681" t="s">
        <v>1006</v>
      </c>
      <c r="AO4" s="680"/>
      <c r="AP4" s="682" t="s">
        <v>1007</v>
      </c>
    </row>
    <row r="5" spans="2:42" s="144" customFormat="1" ht="26.25" customHeight="1">
      <c r="B5" s="683" t="s">
        <v>1008</v>
      </c>
      <c r="C5" s="683"/>
      <c r="D5" s="683"/>
      <c r="E5" s="683"/>
      <c r="F5" s="683"/>
      <c r="G5" s="684"/>
      <c r="H5" s="683" t="s">
        <v>1009</v>
      </c>
      <c r="I5" s="683" t="s">
        <v>1010</v>
      </c>
      <c r="J5" s="683" t="s">
        <v>1011</v>
      </c>
      <c r="K5" s="683" t="s">
        <v>1012</v>
      </c>
      <c r="L5" s="683" t="s">
        <v>1013</v>
      </c>
      <c r="M5" s="683" t="s">
        <v>1014</v>
      </c>
      <c r="N5" s="683" t="s">
        <v>1015</v>
      </c>
      <c r="O5" s="683" t="s">
        <v>1016</v>
      </c>
      <c r="P5" s="683" t="s">
        <v>1017</v>
      </c>
      <c r="Q5" s="683" t="s">
        <v>1018</v>
      </c>
      <c r="R5" s="683"/>
      <c r="S5" s="683" t="s">
        <v>1019</v>
      </c>
      <c r="T5" s="683" t="s">
        <v>1020</v>
      </c>
      <c r="U5" s="683" t="s">
        <v>1021</v>
      </c>
      <c r="V5" s="683" t="s">
        <v>1022</v>
      </c>
      <c r="W5" s="683" t="s">
        <v>1023</v>
      </c>
      <c r="X5" s="683" t="s">
        <v>1024</v>
      </c>
      <c r="Y5" s="683" t="s">
        <v>1025</v>
      </c>
      <c r="Z5" s="683" t="s">
        <v>1026</v>
      </c>
      <c r="AA5" s="683" t="s">
        <v>1027</v>
      </c>
      <c r="AB5" s="683" t="s">
        <v>1028</v>
      </c>
      <c r="AC5" s="683"/>
      <c r="AD5" s="683" t="s">
        <v>1029</v>
      </c>
      <c r="AE5" s="683" t="s">
        <v>1030</v>
      </c>
      <c r="AF5" s="683" t="s">
        <v>1031</v>
      </c>
      <c r="AG5" s="683" t="s">
        <v>1032</v>
      </c>
      <c r="AH5" s="683" t="s">
        <v>1033</v>
      </c>
      <c r="AI5" s="683" t="s">
        <v>1034</v>
      </c>
      <c r="AJ5" s="685"/>
      <c r="AK5" s="683" t="s">
        <v>1035</v>
      </c>
      <c r="AL5" s="683" t="s">
        <v>1036</v>
      </c>
      <c r="AM5" s="686"/>
      <c r="AN5" s="683"/>
      <c r="AO5" s="680"/>
      <c r="AP5" s="682"/>
    </row>
    <row r="6" spans="2:42" s="144" customFormat="1" ht="23.25" customHeight="1">
      <c r="B6" s="687" t="s">
        <v>1037</v>
      </c>
      <c r="C6" s="687"/>
      <c r="D6" s="687"/>
      <c r="E6" s="687"/>
      <c r="F6" s="687"/>
      <c r="G6" s="688"/>
      <c r="H6" s="687">
        <v>43</v>
      </c>
      <c r="I6" s="687">
        <v>43</v>
      </c>
      <c r="J6" s="687">
        <v>34</v>
      </c>
      <c r="K6" s="687">
        <v>11</v>
      </c>
      <c r="L6" s="687">
        <v>34</v>
      </c>
      <c r="M6" s="687">
        <v>6</v>
      </c>
      <c r="N6" s="687">
        <v>20</v>
      </c>
      <c r="O6" s="687">
        <v>23</v>
      </c>
      <c r="P6" s="687">
        <v>10</v>
      </c>
      <c r="Q6" s="687">
        <v>34</v>
      </c>
      <c r="R6" s="687">
        <v>20</v>
      </c>
      <c r="S6" s="687">
        <v>12</v>
      </c>
      <c r="T6" s="687">
        <v>15</v>
      </c>
      <c r="U6" s="687">
        <v>12</v>
      </c>
      <c r="V6" s="687">
        <v>32</v>
      </c>
      <c r="W6" s="687">
        <v>45</v>
      </c>
      <c r="X6" s="687">
        <v>26</v>
      </c>
      <c r="Y6" s="687">
        <v>40</v>
      </c>
      <c r="Z6" s="687">
        <v>26</v>
      </c>
      <c r="AA6" s="687">
        <v>15</v>
      </c>
      <c r="AB6" s="687">
        <v>25</v>
      </c>
      <c r="AC6" s="687"/>
      <c r="AD6" s="687">
        <v>105</v>
      </c>
      <c r="AE6" s="687">
        <v>35</v>
      </c>
      <c r="AF6" s="687">
        <v>26</v>
      </c>
      <c r="AG6" s="687">
        <v>36</v>
      </c>
      <c r="AH6" s="687">
        <v>40</v>
      </c>
      <c r="AI6" s="687">
        <v>36</v>
      </c>
      <c r="AJ6" s="685"/>
      <c r="AK6" s="687">
        <v>115</v>
      </c>
      <c r="AL6" s="687">
        <v>15</v>
      </c>
      <c r="AM6" s="686"/>
      <c r="AN6" s="687">
        <v>3</v>
      </c>
      <c r="AO6" s="680"/>
      <c r="AP6" s="682"/>
    </row>
    <row r="7" spans="2:42" s="144" customFormat="1" ht="26.25" customHeight="1">
      <c r="B7" s="687" t="s">
        <v>977</v>
      </c>
      <c r="C7" s="687"/>
      <c r="D7" s="687"/>
      <c r="E7" s="687"/>
      <c r="F7" s="687"/>
      <c r="G7" s="688"/>
      <c r="H7" s="686">
        <f>$H$6*E7</f>
        <v>0</v>
      </c>
      <c r="I7" s="686">
        <f>$I$6*$E7</f>
        <v>0</v>
      </c>
      <c r="J7" s="686">
        <f>$J$6*$E7</f>
        <v>0</v>
      </c>
      <c r="K7" s="686">
        <f>$K$6*$E7</f>
        <v>0</v>
      </c>
      <c r="L7" s="686">
        <f>$L$6*$E7</f>
        <v>0</v>
      </c>
      <c r="M7" s="686">
        <f>$M$6*$E7</f>
        <v>0</v>
      </c>
      <c r="N7" s="686">
        <f>$N$6*$E7</f>
        <v>0</v>
      </c>
      <c r="O7" s="686">
        <f>$O$6*$E7</f>
        <v>0</v>
      </c>
      <c r="P7" s="686">
        <f>$P$6*$E7</f>
        <v>0</v>
      </c>
      <c r="Q7" s="686">
        <f>$Q$6*$E7</f>
        <v>0</v>
      </c>
      <c r="R7" s="686">
        <f>$R$6*$E7</f>
        <v>0</v>
      </c>
      <c r="S7" s="686">
        <f>$S$6*$E7</f>
        <v>0</v>
      </c>
      <c r="T7" s="686">
        <f>$T$6*$E7</f>
        <v>0</v>
      </c>
      <c r="U7" s="686">
        <f>$U$6*$E7</f>
        <v>0</v>
      </c>
      <c r="V7" s="686">
        <f>$V$6*$E7</f>
        <v>0</v>
      </c>
      <c r="W7" s="686">
        <f>$W$6*$E7</f>
        <v>0</v>
      </c>
      <c r="X7" s="686">
        <f>$X$6*$E7</f>
        <v>0</v>
      </c>
      <c r="Y7" s="686">
        <f>$Y$6*$E7</f>
        <v>0</v>
      </c>
      <c r="Z7" s="686">
        <f>$Z$6*$E7</f>
        <v>0</v>
      </c>
      <c r="AA7" s="686">
        <f>$AA$6*$E7</f>
        <v>0</v>
      </c>
      <c r="AB7" s="686">
        <f>$AB$6*$E7</f>
        <v>0</v>
      </c>
      <c r="AC7" s="686"/>
      <c r="AD7" s="686">
        <f>$AD$6*$E7</f>
        <v>0</v>
      </c>
      <c r="AE7" s="686">
        <f>$AE$6*$E7</f>
        <v>0</v>
      </c>
      <c r="AF7" s="686">
        <f>$AF$6*$E7</f>
        <v>0</v>
      </c>
      <c r="AG7" s="686">
        <f>$AG$6*$E7</f>
        <v>0</v>
      </c>
      <c r="AH7" s="686">
        <f>$AH$6*$E7</f>
        <v>0</v>
      </c>
      <c r="AI7" s="686">
        <f>$AI$6*$E7</f>
        <v>0</v>
      </c>
      <c r="AJ7" s="685"/>
      <c r="AK7" s="686">
        <f>$AK$6*$E7</f>
        <v>0</v>
      </c>
      <c r="AL7" s="686">
        <f>$AL$6*$E7</f>
        <v>0</v>
      </c>
      <c r="AM7" s="686"/>
      <c r="AN7" s="686">
        <f>$AN$6*$E7*F7</f>
        <v>0</v>
      </c>
      <c r="AO7" s="680"/>
      <c r="AP7" s="682"/>
    </row>
    <row r="8" spans="2:42" ht="35.25" customHeight="1">
      <c r="B8" s="689" t="s">
        <v>1038</v>
      </c>
      <c r="C8" s="689"/>
      <c r="D8" s="690"/>
      <c r="E8" s="690"/>
      <c r="F8" s="690"/>
      <c r="G8" s="691"/>
      <c r="H8" s="692"/>
      <c r="I8" s="690"/>
      <c r="J8" s="690"/>
      <c r="K8" s="690"/>
      <c r="L8" s="690"/>
      <c r="M8" s="690"/>
      <c r="N8" s="690"/>
      <c r="O8" s="690"/>
      <c r="P8" s="690"/>
      <c r="Q8" s="690"/>
      <c r="R8" s="690"/>
      <c r="S8" s="690"/>
      <c r="T8" s="690"/>
      <c r="U8" s="690"/>
      <c r="V8" s="690"/>
      <c r="W8" s="690"/>
      <c r="X8" s="690"/>
      <c r="Y8" s="690"/>
      <c r="Z8" s="690"/>
      <c r="AA8" s="690"/>
      <c r="AB8" s="690"/>
      <c r="AC8" s="690"/>
      <c r="AD8" s="690"/>
      <c r="AE8" s="690"/>
      <c r="AF8" s="690"/>
      <c r="AG8" s="690"/>
      <c r="AH8" s="690"/>
      <c r="AI8" s="690"/>
      <c r="AJ8" s="693"/>
      <c r="AK8" s="690"/>
      <c r="AL8" s="690"/>
      <c r="AM8" s="692"/>
      <c r="AN8" s="692"/>
      <c r="AO8" s="692"/>
      <c r="AP8" s="694"/>
    </row>
    <row r="9" spans="2:42">
      <c r="B9" s="695" t="s">
        <v>1039</v>
      </c>
      <c r="C9" s="695" t="s">
        <v>1040</v>
      </c>
      <c r="D9" s="695" t="s">
        <v>1041</v>
      </c>
      <c r="E9" s="695">
        <v>1</v>
      </c>
      <c r="F9" s="695"/>
      <c r="G9" s="696"/>
      <c r="H9" s="695"/>
      <c r="I9" s="695"/>
      <c r="J9" s="695"/>
      <c r="K9" s="695"/>
      <c r="L9" s="695"/>
      <c r="M9" s="695"/>
      <c r="N9" s="695"/>
      <c r="O9" s="695"/>
      <c r="P9" s="695"/>
      <c r="Q9" s="695"/>
      <c r="R9" s="695"/>
      <c r="S9" s="695"/>
      <c r="T9" s="695"/>
      <c r="U9" s="695"/>
      <c r="V9" s="695"/>
      <c r="W9" s="695"/>
      <c r="X9" s="695"/>
      <c r="Y9" s="695"/>
      <c r="Z9" s="695"/>
      <c r="AA9" s="695"/>
      <c r="AB9" s="695"/>
      <c r="AC9" s="695"/>
      <c r="AD9" s="695"/>
      <c r="AE9" s="695"/>
      <c r="AF9" s="695"/>
      <c r="AG9" s="695"/>
      <c r="AH9" s="695"/>
      <c r="AI9" s="695"/>
      <c r="AJ9" s="697"/>
      <c r="AK9" s="695"/>
      <c r="AL9" s="695"/>
      <c r="AM9" s="695"/>
      <c r="AN9" s="698">
        <f t="shared" ref="AN9:AN48" si="0">$AN$6*$E9*F9</f>
        <v>0</v>
      </c>
      <c r="AO9" s="695"/>
      <c r="AP9" s="682">
        <f t="shared" ref="AP9:AP48" si="1">SUM(H9:AO9)</f>
        <v>0</v>
      </c>
    </row>
    <row r="10" spans="2:42">
      <c r="B10" s="698" t="s">
        <v>1039</v>
      </c>
      <c r="C10" s="695" t="s">
        <v>1040</v>
      </c>
      <c r="D10" s="698" t="s">
        <v>1041</v>
      </c>
      <c r="E10" s="695">
        <v>1</v>
      </c>
      <c r="F10" s="695"/>
      <c r="G10" s="696" t="s">
        <v>1042</v>
      </c>
      <c r="H10" s="680"/>
      <c r="I10" s="680"/>
      <c r="J10" s="695"/>
      <c r="K10" s="695"/>
      <c r="L10" s="695"/>
      <c r="M10" s="695"/>
      <c r="N10" s="695"/>
      <c r="O10" s="698">
        <f>$O$6*$E10</f>
        <v>23</v>
      </c>
      <c r="P10" s="698">
        <f>$P$6*$E10</f>
        <v>10</v>
      </c>
      <c r="Q10" s="695"/>
      <c r="R10" s="699">
        <f>$R$6*$E10</f>
        <v>20</v>
      </c>
      <c r="S10" s="695"/>
      <c r="T10" s="695"/>
      <c r="U10" s="698">
        <f>$U$6*$E10</f>
        <v>12</v>
      </c>
      <c r="V10" s="698">
        <f>$V$6*$E10</f>
        <v>32</v>
      </c>
      <c r="W10" s="698">
        <f>$W$6*$E10</f>
        <v>45</v>
      </c>
      <c r="X10" s="695"/>
      <c r="Y10" s="698">
        <f>$Y$6*$E10</f>
        <v>40</v>
      </c>
      <c r="Z10" s="695"/>
      <c r="AA10" s="695"/>
      <c r="AB10" s="695"/>
      <c r="AC10" s="695"/>
      <c r="AD10" s="695"/>
      <c r="AE10" s="695"/>
      <c r="AF10" s="695"/>
      <c r="AG10" s="695"/>
      <c r="AH10" s="695"/>
      <c r="AI10" s="695"/>
      <c r="AJ10" s="697"/>
      <c r="AK10" s="695"/>
      <c r="AL10" s="695"/>
      <c r="AM10" s="695"/>
      <c r="AN10" s="698">
        <f t="shared" si="0"/>
        <v>0</v>
      </c>
      <c r="AO10" s="695"/>
      <c r="AP10" s="682">
        <f t="shared" si="1"/>
        <v>182</v>
      </c>
    </row>
    <row r="11" spans="2:42">
      <c r="B11" s="695" t="s">
        <v>1039</v>
      </c>
      <c r="C11" s="695" t="s">
        <v>1040</v>
      </c>
      <c r="D11" s="695" t="s">
        <v>1043</v>
      </c>
      <c r="E11" s="695">
        <v>1</v>
      </c>
      <c r="F11" s="695"/>
      <c r="G11" s="696"/>
      <c r="H11" s="695"/>
      <c r="I11" s="695"/>
      <c r="J11" s="695"/>
      <c r="K11" s="695"/>
      <c r="L11" s="695"/>
      <c r="M11" s="695"/>
      <c r="N11" s="695"/>
      <c r="O11" s="695"/>
      <c r="P11" s="695"/>
      <c r="Q11" s="695"/>
      <c r="R11" s="699">
        <f>$R$6*$E11</f>
        <v>20</v>
      </c>
      <c r="S11" s="695"/>
      <c r="T11" s="695"/>
      <c r="U11" s="695"/>
      <c r="V11" s="695"/>
      <c r="W11" s="695"/>
      <c r="X11" s="698">
        <f>$X$6*$E11</f>
        <v>26</v>
      </c>
      <c r="Y11" s="695"/>
      <c r="Z11" s="698">
        <f>$Z$6*$E11</f>
        <v>26</v>
      </c>
      <c r="AA11" s="700"/>
      <c r="AB11" s="700"/>
      <c r="AC11" s="695"/>
      <c r="AD11" s="695"/>
      <c r="AE11" s="695"/>
      <c r="AF11" s="695"/>
      <c r="AG11" s="695"/>
      <c r="AH11" s="695"/>
      <c r="AI11" s="695"/>
      <c r="AJ11" s="697"/>
      <c r="AK11" s="700"/>
      <c r="AL11" s="700"/>
      <c r="AM11" s="695"/>
      <c r="AN11" s="698">
        <f t="shared" si="0"/>
        <v>0</v>
      </c>
      <c r="AO11" s="695"/>
      <c r="AP11" s="682">
        <f t="shared" si="1"/>
        <v>72</v>
      </c>
    </row>
    <row r="12" spans="2:42">
      <c r="B12" s="695" t="s">
        <v>1039</v>
      </c>
      <c r="C12" s="695" t="s">
        <v>1040</v>
      </c>
      <c r="D12" s="695" t="s">
        <v>1043</v>
      </c>
      <c r="E12" s="695">
        <v>1</v>
      </c>
      <c r="F12" s="695"/>
      <c r="G12" s="696"/>
      <c r="H12" s="695"/>
      <c r="I12" s="695"/>
      <c r="J12" s="695"/>
      <c r="K12" s="695"/>
      <c r="L12" s="695"/>
      <c r="M12" s="695"/>
      <c r="N12" s="695"/>
      <c r="O12" s="695"/>
      <c r="P12" s="695"/>
      <c r="Q12" s="695"/>
      <c r="R12" s="695"/>
      <c r="S12" s="695"/>
      <c r="T12" s="695"/>
      <c r="U12" s="695"/>
      <c r="V12" s="695"/>
      <c r="W12" s="695"/>
      <c r="X12" s="695"/>
      <c r="Y12" s="695"/>
      <c r="Z12" s="695"/>
      <c r="AA12" s="695"/>
      <c r="AB12" s="695"/>
      <c r="AC12" s="695"/>
      <c r="AD12" s="695"/>
      <c r="AE12" s="695"/>
      <c r="AF12" s="695"/>
      <c r="AG12" s="695"/>
      <c r="AH12" s="695"/>
      <c r="AI12" s="695"/>
      <c r="AJ12" s="697"/>
      <c r="AK12" s="695"/>
      <c r="AL12" s="695"/>
      <c r="AM12" s="695"/>
      <c r="AN12" s="698">
        <f t="shared" si="0"/>
        <v>0</v>
      </c>
      <c r="AO12" s="695"/>
      <c r="AP12" s="682">
        <f t="shared" si="1"/>
        <v>0</v>
      </c>
    </row>
    <row r="13" spans="2:42">
      <c r="B13" s="695" t="s">
        <v>1039</v>
      </c>
      <c r="C13" s="695" t="s">
        <v>1040</v>
      </c>
      <c r="D13" s="695" t="s">
        <v>1044</v>
      </c>
      <c r="E13" s="695">
        <v>1</v>
      </c>
      <c r="F13" s="695">
        <v>2</v>
      </c>
      <c r="G13" s="696" t="s">
        <v>1042</v>
      </c>
      <c r="H13" s="695"/>
      <c r="I13" s="695"/>
      <c r="J13" s="695"/>
      <c r="K13" s="695"/>
      <c r="L13" s="695"/>
      <c r="M13" s="695"/>
      <c r="N13" s="695"/>
      <c r="O13" s="695"/>
      <c r="P13" s="695"/>
      <c r="Q13" s="695"/>
      <c r="R13" s="695"/>
      <c r="S13" s="695"/>
      <c r="T13" s="695"/>
      <c r="U13" s="695"/>
      <c r="V13" s="695"/>
      <c r="W13" s="701"/>
      <c r="X13" s="695"/>
      <c r="Y13" s="695"/>
      <c r="Z13" s="695"/>
      <c r="AA13" s="695"/>
      <c r="AB13" s="695"/>
      <c r="AC13" s="695"/>
      <c r="AD13" s="695"/>
      <c r="AE13" s="695"/>
      <c r="AF13" s="695"/>
      <c r="AG13" s="695"/>
      <c r="AH13" s="695"/>
      <c r="AI13" s="695"/>
      <c r="AJ13" s="697"/>
      <c r="AK13" s="695"/>
      <c r="AL13" s="695"/>
      <c r="AM13" s="695"/>
      <c r="AN13" s="698">
        <f t="shared" si="0"/>
        <v>6</v>
      </c>
      <c r="AO13" s="695"/>
      <c r="AP13" s="682">
        <f t="shared" si="1"/>
        <v>6</v>
      </c>
    </row>
    <row r="14" spans="2:42">
      <c r="B14" s="695" t="s">
        <v>1039</v>
      </c>
      <c r="C14" s="695" t="s">
        <v>1040</v>
      </c>
      <c r="D14" s="695" t="s">
        <v>1044</v>
      </c>
      <c r="E14" s="695">
        <v>1</v>
      </c>
      <c r="F14" s="695"/>
      <c r="G14" s="696"/>
      <c r="H14" s="695"/>
      <c r="I14" s="695"/>
      <c r="J14" s="695"/>
      <c r="K14" s="695"/>
      <c r="L14" s="695"/>
      <c r="M14" s="695"/>
      <c r="N14" s="695"/>
      <c r="O14" s="695"/>
      <c r="P14" s="695"/>
      <c r="Q14" s="695"/>
      <c r="R14" s="695"/>
      <c r="S14" s="695"/>
      <c r="T14" s="695"/>
      <c r="U14" s="695"/>
      <c r="V14" s="695"/>
      <c r="W14" s="701"/>
      <c r="X14" s="695"/>
      <c r="Y14" s="695"/>
      <c r="Z14" s="695"/>
      <c r="AA14" s="695"/>
      <c r="AB14" s="695"/>
      <c r="AC14" s="695"/>
      <c r="AD14" s="695"/>
      <c r="AE14" s="695"/>
      <c r="AF14" s="695"/>
      <c r="AG14" s="695"/>
      <c r="AH14" s="695"/>
      <c r="AI14" s="695"/>
      <c r="AJ14" s="697"/>
      <c r="AK14" s="695"/>
      <c r="AL14" s="695"/>
      <c r="AM14" s="695"/>
      <c r="AN14" s="698">
        <f t="shared" si="0"/>
        <v>0</v>
      </c>
      <c r="AO14" s="695"/>
      <c r="AP14" s="682">
        <f t="shared" si="1"/>
        <v>0</v>
      </c>
    </row>
    <row r="15" spans="2:42">
      <c r="B15" s="695"/>
      <c r="C15" s="695"/>
      <c r="D15" s="695"/>
      <c r="E15" s="695"/>
      <c r="F15" s="695"/>
      <c r="G15" s="696"/>
      <c r="H15" s="695"/>
      <c r="I15" s="695"/>
      <c r="J15" s="695"/>
      <c r="K15" s="695"/>
      <c r="L15" s="695"/>
      <c r="M15" s="695"/>
      <c r="N15" s="695"/>
      <c r="O15" s="695"/>
      <c r="P15" s="695"/>
      <c r="Q15" s="695"/>
      <c r="R15" s="695"/>
      <c r="S15" s="695"/>
      <c r="T15" s="695"/>
      <c r="U15" s="695"/>
      <c r="V15" s="695"/>
      <c r="W15" s="701"/>
      <c r="X15" s="695"/>
      <c r="Y15" s="695"/>
      <c r="Z15" s="695"/>
      <c r="AA15" s="695"/>
      <c r="AB15" s="695"/>
      <c r="AC15" s="695"/>
      <c r="AD15" s="695"/>
      <c r="AE15" s="695"/>
      <c r="AF15" s="695"/>
      <c r="AG15" s="695"/>
      <c r="AH15" s="695"/>
      <c r="AI15" s="695"/>
      <c r="AJ15" s="697"/>
      <c r="AK15" s="695"/>
      <c r="AL15" s="695"/>
      <c r="AM15" s="695"/>
      <c r="AN15" s="698">
        <f t="shared" si="0"/>
        <v>0</v>
      </c>
      <c r="AO15" s="695"/>
      <c r="AP15" s="682">
        <f t="shared" si="1"/>
        <v>0</v>
      </c>
    </row>
    <row r="16" spans="2:42">
      <c r="B16" s="695"/>
      <c r="C16" s="695"/>
      <c r="D16" s="695"/>
      <c r="E16" s="695"/>
      <c r="F16" s="695"/>
      <c r="G16" s="696"/>
      <c r="H16" s="695"/>
      <c r="I16" s="695"/>
      <c r="J16" s="695"/>
      <c r="K16" s="695"/>
      <c r="L16" s="695"/>
      <c r="M16" s="695"/>
      <c r="N16" s="695"/>
      <c r="O16" s="695"/>
      <c r="P16" s="695"/>
      <c r="Q16" s="695"/>
      <c r="R16" s="695"/>
      <c r="S16" s="695"/>
      <c r="T16" s="695"/>
      <c r="U16" s="695"/>
      <c r="V16" s="695"/>
      <c r="W16" s="701"/>
      <c r="X16" s="695"/>
      <c r="Y16" s="695"/>
      <c r="Z16" s="695"/>
      <c r="AA16" s="695"/>
      <c r="AB16" s="695"/>
      <c r="AC16" s="695"/>
      <c r="AD16" s="695"/>
      <c r="AE16" s="695"/>
      <c r="AF16" s="695"/>
      <c r="AG16" s="695"/>
      <c r="AH16" s="695"/>
      <c r="AI16" s="695"/>
      <c r="AJ16" s="697"/>
      <c r="AK16" s="695"/>
      <c r="AL16" s="695"/>
      <c r="AM16" s="695"/>
      <c r="AN16" s="698">
        <f t="shared" si="0"/>
        <v>0</v>
      </c>
      <c r="AO16" s="695"/>
      <c r="AP16" s="682">
        <f t="shared" si="1"/>
        <v>0</v>
      </c>
    </row>
    <row r="17" spans="2:42">
      <c r="B17" s="695" t="s">
        <v>1045</v>
      </c>
      <c r="C17" s="695" t="s">
        <v>1040</v>
      </c>
      <c r="D17" s="695" t="s">
        <v>1041</v>
      </c>
      <c r="E17" s="695">
        <v>2</v>
      </c>
      <c r="F17" s="695"/>
      <c r="G17" s="696"/>
      <c r="H17" s="702"/>
      <c r="I17" s="702"/>
      <c r="J17" s="702"/>
      <c r="K17" s="703"/>
      <c r="L17" s="699">
        <f>$L$6*$E17</f>
        <v>68</v>
      </c>
      <c r="M17" s="699">
        <f>$M$6*$E17</f>
        <v>12</v>
      </c>
      <c r="N17" s="699"/>
      <c r="O17" s="703"/>
      <c r="P17" s="702"/>
      <c r="Q17" s="702"/>
      <c r="R17" s="702"/>
      <c r="S17" s="702"/>
      <c r="T17" s="702"/>
      <c r="U17" s="702"/>
      <c r="V17" s="695"/>
      <c r="W17" s="701"/>
      <c r="X17" s="695"/>
      <c r="Y17" s="695"/>
      <c r="Z17" s="695"/>
      <c r="AA17" s="695"/>
      <c r="AB17" s="695"/>
      <c r="AC17" s="695"/>
      <c r="AD17" s="695"/>
      <c r="AE17" s="695"/>
      <c r="AF17" s="695"/>
      <c r="AG17" s="695"/>
      <c r="AH17" s="695"/>
      <c r="AI17" s="695"/>
      <c r="AJ17" s="697"/>
      <c r="AK17" s="695"/>
      <c r="AL17" s="695"/>
      <c r="AM17" s="695"/>
      <c r="AN17" s="698">
        <f t="shared" si="0"/>
        <v>0</v>
      </c>
      <c r="AO17" s="695"/>
      <c r="AP17" s="682">
        <f t="shared" si="1"/>
        <v>80</v>
      </c>
    </row>
    <row r="18" spans="2:42">
      <c r="B18" s="695" t="s">
        <v>1045</v>
      </c>
      <c r="C18" s="695" t="s">
        <v>1040</v>
      </c>
      <c r="D18" s="695" t="s">
        <v>1041</v>
      </c>
      <c r="E18" s="695">
        <v>1</v>
      </c>
      <c r="F18" s="695"/>
      <c r="G18" s="696"/>
      <c r="H18" s="680"/>
      <c r="I18" s="680"/>
      <c r="J18" s="695"/>
      <c r="K18" s="703"/>
      <c r="L18" s="703"/>
      <c r="M18" s="680"/>
      <c r="N18" s="680"/>
      <c r="O18" s="695"/>
      <c r="P18" s="695"/>
      <c r="Q18" s="695"/>
      <c r="R18" s="695"/>
      <c r="S18" s="695"/>
      <c r="T18" s="695"/>
      <c r="U18" s="695"/>
      <c r="V18" s="695"/>
      <c r="W18" s="701"/>
      <c r="X18" s="695"/>
      <c r="Y18" s="695"/>
      <c r="Z18" s="695"/>
      <c r="AA18" s="695"/>
      <c r="AB18" s="695"/>
      <c r="AC18" s="695"/>
      <c r="AD18" s="695"/>
      <c r="AE18" s="695"/>
      <c r="AF18" s="695"/>
      <c r="AG18" s="695"/>
      <c r="AH18" s="695"/>
      <c r="AI18" s="695"/>
      <c r="AJ18" s="697"/>
      <c r="AK18" s="695"/>
      <c r="AL18" s="695"/>
      <c r="AM18" s="695"/>
      <c r="AN18" s="698">
        <f t="shared" si="0"/>
        <v>0</v>
      </c>
      <c r="AO18" s="695"/>
      <c r="AP18" s="682">
        <f t="shared" si="1"/>
        <v>0</v>
      </c>
    </row>
    <row r="19" spans="2:42">
      <c r="B19" s="695" t="s">
        <v>1045</v>
      </c>
      <c r="C19" s="695" t="s">
        <v>1040</v>
      </c>
      <c r="D19" s="695" t="s">
        <v>1041</v>
      </c>
      <c r="E19" s="695">
        <v>1</v>
      </c>
      <c r="F19" s="695"/>
      <c r="G19" s="696"/>
      <c r="H19" s="695"/>
      <c r="I19" s="695"/>
      <c r="J19" s="695"/>
      <c r="K19" s="695"/>
      <c r="L19" s="695"/>
      <c r="M19" s="695"/>
      <c r="N19" s="695"/>
      <c r="O19" s="695"/>
      <c r="P19" s="695"/>
      <c r="Q19" s="695"/>
      <c r="R19" s="695"/>
      <c r="S19" s="695"/>
      <c r="T19" s="695"/>
      <c r="U19" s="695"/>
      <c r="V19" s="695"/>
      <c r="W19" s="701"/>
      <c r="X19" s="695"/>
      <c r="Y19" s="695"/>
      <c r="Z19" s="695"/>
      <c r="AA19" s="695"/>
      <c r="AB19" s="695"/>
      <c r="AC19" s="695"/>
      <c r="AD19" s="695"/>
      <c r="AE19" s="695"/>
      <c r="AF19" s="695"/>
      <c r="AG19" s="695"/>
      <c r="AH19" s="695"/>
      <c r="AI19" s="695"/>
      <c r="AJ19" s="697"/>
      <c r="AK19" s="695"/>
      <c r="AL19" s="695"/>
      <c r="AM19" s="695"/>
      <c r="AN19" s="698">
        <f t="shared" si="0"/>
        <v>0</v>
      </c>
      <c r="AO19" s="695"/>
      <c r="AP19" s="682">
        <f t="shared" si="1"/>
        <v>0</v>
      </c>
    </row>
    <row r="20" spans="2:42">
      <c r="B20" s="695" t="s">
        <v>1045</v>
      </c>
      <c r="C20" s="695" t="s">
        <v>1040</v>
      </c>
      <c r="D20" s="695" t="s">
        <v>1043</v>
      </c>
      <c r="E20" s="695">
        <v>1</v>
      </c>
      <c r="F20" s="695"/>
      <c r="G20" s="696"/>
      <c r="H20" s="695"/>
      <c r="I20" s="695"/>
      <c r="J20" s="695"/>
      <c r="K20" s="695"/>
      <c r="L20" s="695"/>
      <c r="M20" s="695"/>
      <c r="N20" s="695"/>
      <c r="O20" s="695"/>
      <c r="P20" s="695"/>
      <c r="Q20" s="695"/>
      <c r="R20" s="695"/>
      <c r="S20" s="695"/>
      <c r="T20" s="695"/>
      <c r="U20" s="695"/>
      <c r="V20" s="695"/>
      <c r="W20" s="701"/>
      <c r="X20" s="695"/>
      <c r="Y20" s="695"/>
      <c r="Z20" s="695"/>
      <c r="AA20" s="695"/>
      <c r="AB20" s="695"/>
      <c r="AC20" s="695"/>
      <c r="AD20" s="695"/>
      <c r="AE20" s="695"/>
      <c r="AF20" s="695"/>
      <c r="AG20" s="695"/>
      <c r="AH20" s="695"/>
      <c r="AI20" s="695"/>
      <c r="AJ20" s="697"/>
      <c r="AK20" s="695"/>
      <c r="AL20" s="695"/>
      <c r="AM20" s="695"/>
      <c r="AN20" s="698">
        <f t="shared" si="0"/>
        <v>0</v>
      </c>
      <c r="AO20" s="695"/>
      <c r="AP20" s="682">
        <f t="shared" si="1"/>
        <v>0</v>
      </c>
    </row>
    <row r="21" spans="2:42">
      <c r="B21" s="695" t="s">
        <v>1045</v>
      </c>
      <c r="C21" s="695" t="s">
        <v>1040</v>
      </c>
      <c r="D21" s="695" t="s">
        <v>1043</v>
      </c>
      <c r="E21" s="695">
        <v>1</v>
      </c>
      <c r="F21" s="695"/>
      <c r="G21" s="696"/>
      <c r="H21" s="695"/>
      <c r="I21" s="695"/>
      <c r="J21" s="695"/>
      <c r="K21" s="695"/>
      <c r="L21" s="695"/>
      <c r="M21" s="695"/>
      <c r="N21" s="695"/>
      <c r="O21" s="695"/>
      <c r="P21" s="695"/>
      <c r="Q21" s="695"/>
      <c r="R21" s="695"/>
      <c r="S21" s="695"/>
      <c r="T21" s="695"/>
      <c r="U21" s="695"/>
      <c r="V21" s="695"/>
      <c r="W21" s="701"/>
      <c r="X21" s="695"/>
      <c r="Y21" s="695"/>
      <c r="Z21" s="695"/>
      <c r="AA21" s="695"/>
      <c r="AB21" s="695"/>
      <c r="AC21" s="695"/>
      <c r="AD21" s="695"/>
      <c r="AE21" s="695"/>
      <c r="AF21" s="695"/>
      <c r="AG21" s="695"/>
      <c r="AH21" s="695"/>
      <c r="AI21" s="695"/>
      <c r="AJ21" s="697"/>
      <c r="AK21" s="695"/>
      <c r="AL21" s="695"/>
      <c r="AM21" s="695"/>
      <c r="AN21" s="698">
        <f t="shared" si="0"/>
        <v>0</v>
      </c>
      <c r="AO21" s="695"/>
      <c r="AP21" s="682">
        <f t="shared" si="1"/>
        <v>0</v>
      </c>
    </row>
    <row r="22" spans="2:42">
      <c r="B22" s="695" t="s">
        <v>1045</v>
      </c>
      <c r="C22" s="695" t="s">
        <v>1040</v>
      </c>
      <c r="D22" s="695" t="s">
        <v>1044</v>
      </c>
      <c r="E22" s="695">
        <v>1</v>
      </c>
      <c r="F22" s="695"/>
      <c r="G22" s="696"/>
      <c r="H22" s="695"/>
      <c r="I22" s="695"/>
      <c r="J22" s="695"/>
      <c r="K22" s="695"/>
      <c r="L22" s="695"/>
      <c r="M22" s="695"/>
      <c r="N22" s="695"/>
      <c r="O22" s="695"/>
      <c r="P22" s="695"/>
      <c r="Q22" s="695"/>
      <c r="R22" s="695"/>
      <c r="S22" s="695"/>
      <c r="T22" s="695"/>
      <c r="U22" s="695"/>
      <c r="V22" s="695"/>
      <c r="W22" s="701"/>
      <c r="X22" s="695"/>
      <c r="Y22" s="695"/>
      <c r="Z22" s="695"/>
      <c r="AA22" s="695"/>
      <c r="AB22" s="695"/>
      <c r="AC22" s="695"/>
      <c r="AD22" s="695"/>
      <c r="AE22" s="695"/>
      <c r="AF22" s="695"/>
      <c r="AG22" s="695"/>
      <c r="AH22" s="695"/>
      <c r="AI22" s="695"/>
      <c r="AJ22" s="697"/>
      <c r="AK22" s="695"/>
      <c r="AL22" s="695"/>
      <c r="AM22" s="695"/>
      <c r="AN22" s="698">
        <f t="shared" si="0"/>
        <v>0</v>
      </c>
      <c r="AO22" s="695"/>
      <c r="AP22" s="682">
        <f t="shared" si="1"/>
        <v>0</v>
      </c>
    </row>
    <row r="23" spans="2:42">
      <c r="B23" s="695" t="s">
        <v>1045</v>
      </c>
      <c r="C23" s="695" t="s">
        <v>1040</v>
      </c>
      <c r="D23" s="695" t="s">
        <v>1044</v>
      </c>
      <c r="E23" s="695">
        <v>1</v>
      </c>
      <c r="F23" s="695"/>
      <c r="G23" s="696"/>
      <c r="H23" s="695"/>
      <c r="I23" s="695"/>
      <c r="J23" s="695"/>
      <c r="K23" s="695"/>
      <c r="L23" s="695"/>
      <c r="M23" s="695"/>
      <c r="N23" s="695"/>
      <c r="O23" s="695"/>
      <c r="P23" s="695"/>
      <c r="Q23" s="695"/>
      <c r="R23" s="695"/>
      <c r="S23" s="695"/>
      <c r="T23" s="695"/>
      <c r="U23" s="695"/>
      <c r="V23" s="695"/>
      <c r="W23" s="701"/>
      <c r="X23" s="695"/>
      <c r="Y23" s="695"/>
      <c r="Z23" s="695"/>
      <c r="AA23" s="695"/>
      <c r="AB23" s="695"/>
      <c r="AC23" s="695"/>
      <c r="AD23" s="695"/>
      <c r="AE23" s="695"/>
      <c r="AF23" s="695"/>
      <c r="AG23" s="695"/>
      <c r="AH23" s="695"/>
      <c r="AI23" s="695"/>
      <c r="AJ23" s="697"/>
      <c r="AK23" s="695"/>
      <c r="AL23" s="695"/>
      <c r="AM23" s="695"/>
      <c r="AN23" s="698">
        <f t="shared" si="0"/>
        <v>0</v>
      </c>
      <c r="AO23" s="695"/>
      <c r="AP23" s="682">
        <f t="shared" si="1"/>
        <v>0</v>
      </c>
    </row>
    <row r="24" spans="2:42">
      <c r="B24" s="697"/>
      <c r="C24" s="697"/>
      <c r="D24" s="697"/>
      <c r="E24" s="697"/>
      <c r="F24" s="697"/>
      <c r="G24" s="696"/>
      <c r="H24" s="697"/>
      <c r="I24" s="697"/>
      <c r="J24" s="697"/>
      <c r="K24" s="697"/>
      <c r="L24" s="697"/>
      <c r="M24" s="697"/>
      <c r="N24" s="697"/>
      <c r="O24" s="697"/>
      <c r="P24" s="697"/>
      <c r="Q24" s="697"/>
      <c r="R24" s="697"/>
      <c r="S24" s="697"/>
      <c r="T24" s="697"/>
      <c r="U24" s="697"/>
      <c r="V24" s="697"/>
      <c r="W24" s="697"/>
      <c r="X24" s="697"/>
      <c r="Y24" s="697"/>
      <c r="Z24" s="697"/>
      <c r="AA24" s="697"/>
      <c r="AB24" s="697"/>
      <c r="AC24" s="697"/>
      <c r="AD24" s="697"/>
      <c r="AE24" s="697"/>
      <c r="AF24" s="697"/>
      <c r="AG24" s="697"/>
      <c r="AH24" s="697"/>
      <c r="AI24" s="697"/>
      <c r="AJ24" s="697"/>
      <c r="AK24" s="697"/>
      <c r="AL24" s="697"/>
      <c r="AM24" s="695"/>
      <c r="AN24" s="698">
        <f t="shared" si="0"/>
        <v>0</v>
      </c>
      <c r="AO24" s="695"/>
      <c r="AP24" s="682">
        <f t="shared" si="1"/>
        <v>0</v>
      </c>
    </row>
    <row r="25" spans="2:42">
      <c r="B25" s="695" t="s">
        <v>1046</v>
      </c>
      <c r="C25" s="695" t="s">
        <v>1040</v>
      </c>
      <c r="D25" s="695" t="s">
        <v>1041</v>
      </c>
      <c r="E25" s="695">
        <v>1</v>
      </c>
      <c r="F25" s="695"/>
      <c r="G25" s="696"/>
      <c r="H25" s="695"/>
      <c r="I25" s="695"/>
      <c r="J25" s="680"/>
      <c r="K25" s="680"/>
      <c r="L25" s="695"/>
      <c r="M25" s="695"/>
      <c r="N25" s="695"/>
      <c r="O25" s="695"/>
      <c r="P25" s="695"/>
      <c r="Q25" s="695"/>
      <c r="R25" s="695"/>
      <c r="S25" s="695"/>
      <c r="T25" s="695"/>
      <c r="U25" s="695"/>
      <c r="V25" s="695"/>
      <c r="W25" s="701"/>
      <c r="X25" s="695"/>
      <c r="Y25" s="695"/>
      <c r="Z25" s="695"/>
      <c r="AA25" s="695"/>
      <c r="AB25" s="695"/>
      <c r="AC25" s="695"/>
      <c r="AD25" s="695"/>
      <c r="AE25" s="695"/>
      <c r="AF25" s="695"/>
      <c r="AG25" s="695"/>
      <c r="AH25" s="695"/>
      <c r="AI25" s="695"/>
      <c r="AJ25" s="697"/>
      <c r="AK25" s="695"/>
      <c r="AL25" s="695"/>
      <c r="AM25" s="695"/>
      <c r="AN25" s="698">
        <f t="shared" si="0"/>
        <v>0</v>
      </c>
      <c r="AO25" s="695"/>
      <c r="AP25" s="682">
        <f t="shared" si="1"/>
        <v>0</v>
      </c>
    </row>
    <row r="26" spans="2:42">
      <c r="B26" s="695" t="s">
        <v>1046</v>
      </c>
      <c r="C26" s="695" t="s">
        <v>1040</v>
      </c>
      <c r="D26" s="695" t="s">
        <v>1041</v>
      </c>
      <c r="E26" s="695">
        <v>1</v>
      </c>
      <c r="F26" s="695"/>
      <c r="G26" s="696"/>
      <c r="H26" s="695"/>
      <c r="I26" s="695"/>
      <c r="J26" s="680"/>
      <c r="K26" s="680"/>
      <c r="L26" s="695"/>
      <c r="M26" s="695"/>
      <c r="N26" s="695"/>
      <c r="O26" s="695"/>
      <c r="P26" s="695"/>
      <c r="Q26" s="695"/>
      <c r="R26" s="695"/>
      <c r="S26" s="680"/>
      <c r="T26" s="680"/>
      <c r="U26" s="680"/>
      <c r="V26" s="680"/>
      <c r="W26" s="701"/>
      <c r="X26" s="695"/>
      <c r="Y26" s="695"/>
      <c r="Z26" s="695"/>
      <c r="AA26" s="695"/>
      <c r="AB26" s="695"/>
      <c r="AC26" s="695"/>
      <c r="AD26" s="695"/>
      <c r="AE26" s="695"/>
      <c r="AF26" s="695"/>
      <c r="AG26" s="695"/>
      <c r="AH26" s="695"/>
      <c r="AI26" s="695"/>
      <c r="AJ26" s="697"/>
      <c r="AK26" s="695"/>
      <c r="AL26" s="695"/>
      <c r="AM26" s="695"/>
      <c r="AN26" s="698">
        <f t="shared" si="0"/>
        <v>0</v>
      </c>
      <c r="AO26" s="695"/>
      <c r="AP26" s="682">
        <f t="shared" si="1"/>
        <v>0</v>
      </c>
    </row>
    <row r="27" spans="2:42">
      <c r="B27" s="695" t="s">
        <v>1046</v>
      </c>
      <c r="C27" s="695" t="s">
        <v>1040</v>
      </c>
      <c r="D27" s="695" t="s">
        <v>1041</v>
      </c>
      <c r="E27" s="695">
        <v>1</v>
      </c>
      <c r="F27" s="695"/>
      <c r="G27" s="696" t="s">
        <v>1047</v>
      </c>
      <c r="H27" s="695"/>
      <c r="I27" s="695"/>
      <c r="J27" s="699">
        <f>$J$6*$E27</f>
        <v>34</v>
      </c>
      <c r="K27" s="699">
        <f>$K$6*$E27</f>
        <v>11</v>
      </c>
      <c r="L27" s="703"/>
      <c r="M27" s="703"/>
      <c r="N27" s="703"/>
      <c r="O27" s="703"/>
      <c r="P27" s="695"/>
      <c r="Q27" s="695"/>
      <c r="R27" s="699">
        <f>$R$6*$E27</f>
        <v>20</v>
      </c>
      <c r="S27" s="699">
        <f>$S$6*$E27</f>
        <v>12</v>
      </c>
      <c r="T27" s="699">
        <f>$T$6*$E27</f>
        <v>15</v>
      </c>
      <c r="U27" s="699">
        <f>$U$6*$E27</f>
        <v>12</v>
      </c>
      <c r="V27" s="699">
        <f>$V$6*$E27</f>
        <v>32</v>
      </c>
      <c r="W27" s="701"/>
      <c r="X27" s="695"/>
      <c r="Y27" s="695"/>
      <c r="Z27" s="695"/>
      <c r="AA27" s="695"/>
      <c r="AB27" s="695"/>
      <c r="AC27" s="695"/>
      <c r="AD27" s="695"/>
      <c r="AE27" s="695"/>
      <c r="AF27" s="695"/>
      <c r="AG27" s="695"/>
      <c r="AH27" s="695"/>
      <c r="AI27" s="695"/>
      <c r="AJ27" s="697"/>
      <c r="AK27" s="699">
        <f>$AD$6*$E27</f>
        <v>105</v>
      </c>
      <c r="AL27" s="699">
        <f>$AF$6*$E27</f>
        <v>26</v>
      </c>
      <c r="AM27" s="695"/>
      <c r="AN27" s="698">
        <f t="shared" si="0"/>
        <v>0</v>
      </c>
      <c r="AO27" s="695"/>
      <c r="AP27" s="682">
        <f t="shared" si="1"/>
        <v>267</v>
      </c>
    </row>
    <row r="28" spans="2:42">
      <c r="B28" s="695" t="s">
        <v>1046</v>
      </c>
      <c r="C28" s="695" t="s">
        <v>1040</v>
      </c>
      <c r="D28" s="695" t="s">
        <v>1041</v>
      </c>
      <c r="E28" s="695">
        <v>1</v>
      </c>
      <c r="F28" s="695"/>
      <c r="G28" s="696" t="s">
        <v>1048</v>
      </c>
      <c r="H28" s="695"/>
      <c r="I28" s="695"/>
      <c r="J28" s="699">
        <f>$J$6*$E28</f>
        <v>34</v>
      </c>
      <c r="K28" s="699">
        <f>$K$6*$E28</f>
        <v>11</v>
      </c>
      <c r="L28" s="703"/>
      <c r="M28" s="703"/>
      <c r="N28" s="703"/>
      <c r="O28" s="703"/>
      <c r="P28" s="695"/>
      <c r="Q28" s="695"/>
      <c r="R28" s="699">
        <f>$R$6*$E28</f>
        <v>20</v>
      </c>
      <c r="S28" s="699">
        <f>$S$6*$E28</f>
        <v>12</v>
      </c>
      <c r="T28" s="699">
        <f>$T$6*$E28</f>
        <v>15</v>
      </c>
      <c r="U28" s="699">
        <f>$U$6*$E28</f>
        <v>12</v>
      </c>
      <c r="V28" s="699">
        <f>$V$6*$E28</f>
        <v>32</v>
      </c>
      <c r="W28" s="701"/>
      <c r="X28" s="695"/>
      <c r="Y28" s="695"/>
      <c r="Z28" s="695"/>
      <c r="AA28" s="695"/>
      <c r="AB28" s="695"/>
      <c r="AC28" s="695"/>
      <c r="AD28" s="695"/>
      <c r="AE28" s="695"/>
      <c r="AF28" s="695"/>
      <c r="AG28" s="695"/>
      <c r="AH28" s="695"/>
      <c r="AI28" s="695"/>
      <c r="AJ28" s="697"/>
      <c r="AK28" s="695"/>
      <c r="AL28" s="695"/>
      <c r="AM28" s="695"/>
      <c r="AN28" s="698">
        <f t="shared" si="0"/>
        <v>0</v>
      </c>
      <c r="AO28" s="695"/>
      <c r="AP28" s="682">
        <f t="shared" si="1"/>
        <v>136</v>
      </c>
    </row>
    <row r="29" spans="2:42">
      <c r="B29" s="695" t="s">
        <v>1046</v>
      </c>
      <c r="C29" s="695" t="s">
        <v>1040</v>
      </c>
      <c r="D29" s="695" t="s">
        <v>1043</v>
      </c>
      <c r="E29" s="695">
        <v>1</v>
      </c>
      <c r="F29" s="695"/>
      <c r="G29" s="696"/>
      <c r="H29" s="695"/>
      <c r="I29" s="695"/>
      <c r="J29" s="695"/>
      <c r="K29" s="695"/>
      <c r="L29" s="695"/>
      <c r="M29" s="695"/>
      <c r="N29" s="695"/>
      <c r="O29" s="695"/>
      <c r="P29" s="695"/>
      <c r="Q29" s="695"/>
      <c r="R29" s="695"/>
      <c r="S29" s="695"/>
      <c r="T29" s="695"/>
      <c r="U29" s="695"/>
      <c r="V29" s="695"/>
      <c r="W29" s="701"/>
      <c r="X29" s="695"/>
      <c r="Y29" s="695"/>
      <c r="Z29" s="695"/>
      <c r="AA29" s="695"/>
      <c r="AB29" s="695"/>
      <c r="AC29" s="695"/>
      <c r="AD29" s="695"/>
      <c r="AE29" s="695"/>
      <c r="AF29" s="695"/>
      <c r="AG29" s="695"/>
      <c r="AH29" s="695"/>
      <c r="AI29" s="695"/>
      <c r="AJ29" s="697"/>
      <c r="AK29" s="695"/>
      <c r="AL29" s="695"/>
      <c r="AM29" s="695"/>
      <c r="AN29" s="698">
        <f t="shared" si="0"/>
        <v>0</v>
      </c>
      <c r="AO29" s="695"/>
      <c r="AP29" s="682">
        <f t="shared" si="1"/>
        <v>0</v>
      </c>
    </row>
    <row r="30" spans="2:42">
      <c r="B30" s="695" t="s">
        <v>1046</v>
      </c>
      <c r="C30" s="695" t="s">
        <v>1040</v>
      </c>
      <c r="D30" s="695" t="s">
        <v>1043</v>
      </c>
      <c r="E30" s="695">
        <v>1</v>
      </c>
      <c r="F30" s="695"/>
      <c r="G30" s="696"/>
      <c r="H30" s="695"/>
      <c r="I30" s="695"/>
      <c r="J30" s="695"/>
      <c r="K30" s="695"/>
      <c r="L30" s="695"/>
      <c r="M30" s="695"/>
      <c r="N30" s="695"/>
      <c r="O30" s="695"/>
      <c r="P30" s="695"/>
      <c r="Q30" s="695"/>
      <c r="R30" s="699">
        <f>$R$6*$E30</f>
        <v>20</v>
      </c>
      <c r="S30" s="695"/>
      <c r="T30" s="695"/>
      <c r="U30" s="695"/>
      <c r="V30" s="695"/>
      <c r="W30" s="701"/>
      <c r="X30" s="699">
        <f>$X$6*$E30</f>
        <v>26</v>
      </c>
      <c r="Y30" s="695"/>
      <c r="Z30" s="699">
        <f>$Z$6*$E30</f>
        <v>26</v>
      </c>
      <c r="AA30" s="699"/>
      <c r="AB30" s="699"/>
      <c r="AC30" s="695"/>
      <c r="AD30" s="695"/>
      <c r="AE30" s="695"/>
      <c r="AF30" s="695"/>
      <c r="AG30" s="695"/>
      <c r="AH30" s="695"/>
      <c r="AI30" s="695"/>
      <c r="AJ30" s="697"/>
      <c r="AK30" s="695"/>
      <c r="AL30" s="695"/>
      <c r="AM30" s="695"/>
      <c r="AN30" s="698">
        <f t="shared" si="0"/>
        <v>0</v>
      </c>
      <c r="AO30" s="695"/>
      <c r="AP30" s="682">
        <f t="shared" si="1"/>
        <v>72</v>
      </c>
    </row>
    <row r="31" spans="2:42">
      <c r="B31" s="695" t="s">
        <v>1046</v>
      </c>
      <c r="C31" s="695" t="s">
        <v>1040</v>
      </c>
      <c r="D31" s="695" t="s">
        <v>1044</v>
      </c>
      <c r="E31" s="695">
        <v>1</v>
      </c>
      <c r="F31" s="695">
        <v>6</v>
      </c>
      <c r="G31" s="696"/>
      <c r="H31" s="695"/>
      <c r="I31" s="695"/>
      <c r="J31" s="695"/>
      <c r="K31" s="695"/>
      <c r="L31" s="695"/>
      <c r="M31" s="695"/>
      <c r="N31" s="695"/>
      <c r="O31" s="695"/>
      <c r="P31" s="695"/>
      <c r="Q31" s="695"/>
      <c r="R31" s="695"/>
      <c r="S31" s="695"/>
      <c r="T31" s="695"/>
      <c r="U31" s="695"/>
      <c r="V31" s="695"/>
      <c r="W31" s="701"/>
      <c r="X31" s="695"/>
      <c r="Y31" s="695"/>
      <c r="Z31" s="695"/>
      <c r="AA31" s="695"/>
      <c r="AB31" s="695"/>
      <c r="AC31" s="695"/>
      <c r="AD31" s="695"/>
      <c r="AE31" s="695"/>
      <c r="AF31" s="695"/>
      <c r="AG31" s="695"/>
      <c r="AH31" s="695"/>
      <c r="AI31" s="695"/>
      <c r="AJ31" s="697"/>
      <c r="AK31" s="695"/>
      <c r="AL31" s="695"/>
      <c r="AM31" s="695"/>
      <c r="AN31" s="698">
        <f t="shared" si="0"/>
        <v>18</v>
      </c>
      <c r="AO31" s="695"/>
      <c r="AP31" s="682">
        <f t="shared" si="1"/>
        <v>18</v>
      </c>
    </row>
    <row r="32" spans="2:42">
      <c r="B32" s="695" t="s">
        <v>1046</v>
      </c>
      <c r="C32" s="695" t="s">
        <v>1040</v>
      </c>
      <c r="D32" s="695" t="s">
        <v>1044</v>
      </c>
      <c r="E32" s="695">
        <v>1</v>
      </c>
      <c r="F32" s="695"/>
      <c r="G32" s="696"/>
      <c r="H32" s="695"/>
      <c r="I32" s="695"/>
      <c r="J32" s="695"/>
      <c r="K32" s="695"/>
      <c r="L32" s="695"/>
      <c r="M32" s="695"/>
      <c r="N32" s="695"/>
      <c r="O32" s="695"/>
      <c r="P32" s="695"/>
      <c r="Q32" s="695"/>
      <c r="R32" s="695"/>
      <c r="S32" s="695"/>
      <c r="T32" s="695"/>
      <c r="U32" s="695"/>
      <c r="V32" s="695"/>
      <c r="W32" s="701"/>
      <c r="X32" s="695"/>
      <c r="Y32" s="695"/>
      <c r="Z32" s="695"/>
      <c r="AA32" s="695"/>
      <c r="AB32" s="695"/>
      <c r="AC32" s="695"/>
      <c r="AD32" s="695"/>
      <c r="AE32" s="695"/>
      <c r="AF32" s="695"/>
      <c r="AG32" s="695"/>
      <c r="AH32" s="695"/>
      <c r="AI32" s="695"/>
      <c r="AJ32" s="697"/>
      <c r="AK32" s="695"/>
      <c r="AL32" s="695"/>
      <c r="AM32" s="695"/>
      <c r="AN32" s="698">
        <f t="shared" si="0"/>
        <v>0</v>
      </c>
      <c r="AO32" s="695"/>
      <c r="AP32" s="682">
        <f t="shared" si="1"/>
        <v>0</v>
      </c>
    </row>
    <row r="33" spans="2:42">
      <c r="B33" s="697"/>
      <c r="C33" s="697"/>
      <c r="D33" s="697"/>
      <c r="E33" s="697"/>
      <c r="F33" s="697"/>
      <c r="G33" s="696"/>
      <c r="H33" s="697"/>
      <c r="I33" s="697"/>
      <c r="J33" s="697"/>
      <c r="K33" s="697"/>
      <c r="L33" s="697"/>
      <c r="M33" s="697"/>
      <c r="N33" s="697"/>
      <c r="O33" s="697"/>
      <c r="P33" s="697"/>
      <c r="Q33" s="697"/>
      <c r="R33" s="697"/>
      <c r="S33" s="697"/>
      <c r="T33" s="697"/>
      <c r="U33" s="697"/>
      <c r="V33" s="697"/>
      <c r="W33" s="697"/>
      <c r="X33" s="697"/>
      <c r="Y33" s="697"/>
      <c r="Z33" s="697"/>
      <c r="AA33" s="697"/>
      <c r="AB33" s="697"/>
      <c r="AC33" s="697"/>
      <c r="AD33" s="697"/>
      <c r="AE33" s="697"/>
      <c r="AF33" s="697"/>
      <c r="AG33" s="697"/>
      <c r="AH33" s="697"/>
      <c r="AI33" s="697"/>
      <c r="AJ33" s="697"/>
      <c r="AK33" s="697"/>
      <c r="AL33" s="697"/>
      <c r="AM33" s="695"/>
      <c r="AN33" s="698">
        <f t="shared" si="0"/>
        <v>0</v>
      </c>
      <c r="AO33" s="695"/>
      <c r="AP33" s="682">
        <f t="shared" si="1"/>
        <v>0</v>
      </c>
    </row>
    <row r="34" spans="2:42">
      <c r="B34" s="695" t="s">
        <v>1049</v>
      </c>
      <c r="C34" s="695" t="s">
        <v>1040</v>
      </c>
      <c r="D34" s="695" t="s">
        <v>1041</v>
      </c>
      <c r="E34" s="695">
        <v>2</v>
      </c>
      <c r="F34" s="695"/>
      <c r="G34" s="696" t="s">
        <v>1050</v>
      </c>
      <c r="H34" s="699">
        <f>$H$6*E34</f>
        <v>86</v>
      </c>
      <c r="I34" s="695"/>
      <c r="J34" s="695"/>
      <c r="K34" s="695"/>
      <c r="L34" s="695"/>
      <c r="M34" s="695"/>
      <c r="N34" s="695"/>
      <c r="O34" s="695"/>
      <c r="P34" s="695"/>
      <c r="Q34" s="695"/>
      <c r="R34" s="699">
        <f>$R$6*$E34</f>
        <v>40</v>
      </c>
      <c r="S34" s="695"/>
      <c r="T34" s="699">
        <f>$U$6*$E34</f>
        <v>24</v>
      </c>
      <c r="U34" s="699">
        <f>$V$6*$E34</f>
        <v>64</v>
      </c>
      <c r="V34" s="699">
        <f>$W$6*$E34</f>
        <v>90</v>
      </c>
      <c r="W34" s="699">
        <f>$X$6*$E34</f>
        <v>52</v>
      </c>
      <c r="X34" s="680"/>
      <c r="Y34" s="680"/>
      <c r="Z34" s="680"/>
      <c r="AA34" s="680"/>
      <c r="AB34" s="680"/>
      <c r="AC34" s="695"/>
      <c r="AD34" s="695"/>
      <c r="AE34" s="695"/>
      <c r="AF34" s="695"/>
      <c r="AG34" s="695"/>
      <c r="AH34" s="695"/>
      <c r="AI34" s="695"/>
      <c r="AJ34" s="697"/>
      <c r="AK34" s="695"/>
      <c r="AL34" s="695"/>
      <c r="AM34" s="695"/>
      <c r="AN34" s="698">
        <f t="shared" si="0"/>
        <v>0</v>
      </c>
      <c r="AO34" s="695"/>
      <c r="AP34" s="682">
        <f t="shared" si="1"/>
        <v>356</v>
      </c>
    </row>
    <row r="35" spans="2:42">
      <c r="B35" s="695" t="s">
        <v>1049</v>
      </c>
      <c r="C35" s="695" t="s">
        <v>1040</v>
      </c>
      <c r="D35" s="695" t="s">
        <v>1041</v>
      </c>
      <c r="E35" s="695">
        <v>1</v>
      </c>
      <c r="F35" s="695"/>
      <c r="G35" s="696"/>
      <c r="H35" s="695"/>
      <c r="I35" s="695"/>
      <c r="J35" s="695"/>
      <c r="K35" s="695"/>
      <c r="L35" s="695"/>
      <c r="M35" s="695"/>
      <c r="N35" s="695"/>
      <c r="O35" s="695"/>
      <c r="P35" s="695"/>
      <c r="Q35" s="695"/>
      <c r="R35" s="699">
        <f>$R$6*$E35</f>
        <v>20</v>
      </c>
      <c r="S35" s="695"/>
      <c r="T35" s="695"/>
      <c r="U35" s="695"/>
      <c r="V35" s="695"/>
      <c r="W35" s="701"/>
      <c r="X35" s="699">
        <f>$Y$6*$E35</f>
        <v>40</v>
      </c>
      <c r="Y35" s="699">
        <f>$Z$6*$E35</f>
        <v>26</v>
      </c>
      <c r="Z35" s="699">
        <f>$Z$6*$E35</f>
        <v>26</v>
      </c>
      <c r="AA35" s="699"/>
      <c r="AB35" s="699"/>
      <c r="AC35" s="695"/>
      <c r="AD35" s="695"/>
      <c r="AE35" s="695"/>
      <c r="AF35" s="695"/>
      <c r="AG35" s="695"/>
      <c r="AH35" s="695"/>
      <c r="AI35" s="695"/>
      <c r="AJ35" s="697"/>
      <c r="AK35" s="695"/>
      <c r="AL35" s="695"/>
      <c r="AM35" s="695"/>
      <c r="AN35" s="698">
        <f t="shared" si="0"/>
        <v>0</v>
      </c>
      <c r="AO35" s="695"/>
      <c r="AP35" s="682">
        <f t="shared" si="1"/>
        <v>112</v>
      </c>
    </row>
    <row r="36" spans="2:42">
      <c r="B36" s="695" t="s">
        <v>1049</v>
      </c>
      <c r="C36" s="695" t="s">
        <v>1040</v>
      </c>
      <c r="D36" s="695" t="s">
        <v>1043</v>
      </c>
      <c r="E36" s="695">
        <v>1</v>
      </c>
      <c r="F36" s="695">
        <v>4</v>
      </c>
      <c r="G36" s="696"/>
      <c r="H36" s="695"/>
      <c r="I36" s="695"/>
      <c r="J36" s="695"/>
      <c r="K36" s="695"/>
      <c r="L36" s="695"/>
      <c r="M36" s="695"/>
      <c r="N36" s="695"/>
      <c r="O36" s="695"/>
      <c r="P36" s="695"/>
      <c r="Q36" s="695"/>
      <c r="R36" s="695"/>
      <c r="S36" s="695"/>
      <c r="T36" s="695"/>
      <c r="U36" s="695"/>
      <c r="V36" s="695"/>
      <c r="W36" s="701"/>
      <c r="X36" s="695"/>
      <c r="Y36" s="680"/>
      <c r="Z36" s="680"/>
      <c r="AA36" s="680"/>
      <c r="AB36" s="680"/>
      <c r="AC36" s="695"/>
      <c r="AD36" s="695"/>
      <c r="AE36" s="695"/>
      <c r="AF36" s="695"/>
      <c r="AG36" s="695"/>
      <c r="AH36" s="695"/>
      <c r="AI36" s="695"/>
      <c r="AJ36" s="697"/>
      <c r="AK36" s="695"/>
      <c r="AL36" s="695"/>
      <c r="AM36" s="695"/>
      <c r="AN36" s="698">
        <f t="shared" si="0"/>
        <v>12</v>
      </c>
      <c r="AO36" s="695"/>
      <c r="AP36" s="682">
        <f t="shared" si="1"/>
        <v>12</v>
      </c>
    </row>
    <row r="37" spans="2:42">
      <c r="B37" s="695" t="s">
        <v>1049</v>
      </c>
      <c r="C37" s="695" t="s">
        <v>1040</v>
      </c>
      <c r="D37" s="695" t="s">
        <v>1043</v>
      </c>
      <c r="E37" s="695">
        <v>1</v>
      </c>
      <c r="F37" s="695"/>
      <c r="G37" s="696"/>
      <c r="H37" s="695"/>
      <c r="I37" s="695"/>
      <c r="J37" s="695"/>
      <c r="K37" s="695"/>
      <c r="L37" s="695"/>
      <c r="M37" s="695"/>
      <c r="N37" s="695"/>
      <c r="O37" s="695"/>
      <c r="P37" s="695"/>
      <c r="Q37" s="695"/>
      <c r="R37" s="695"/>
      <c r="S37" s="695"/>
      <c r="T37" s="695"/>
      <c r="U37" s="695"/>
      <c r="V37" s="695"/>
      <c r="W37" s="701"/>
      <c r="X37" s="695"/>
      <c r="Y37" s="695"/>
      <c r="Z37" s="695"/>
      <c r="AA37" s="695"/>
      <c r="AB37" s="695"/>
      <c r="AC37" s="695"/>
      <c r="AD37" s="695"/>
      <c r="AE37" s="695"/>
      <c r="AF37" s="695"/>
      <c r="AG37" s="695"/>
      <c r="AH37" s="695"/>
      <c r="AI37" s="695"/>
      <c r="AJ37" s="697"/>
      <c r="AK37" s="695"/>
      <c r="AL37" s="695"/>
      <c r="AM37" s="695"/>
      <c r="AN37" s="698">
        <f t="shared" si="0"/>
        <v>0</v>
      </c>
      <c r="AO37" s="695"/>
      <c r="AP37" s="682">
        <f t="shared" si="1"/>
        <v>0</v>
      </c>
    </row>
    <row r="38" spans="2:42">
      <c r="B38" s="695" t="s">
        <v>1049</v>
      </c>
      <c r="C38" s="695" t="s">
        <v>1040</v>
      </c>
      <c r="D38" s="695" t="s">
        <v>1044</v>
      </c>
      <c r="E38" s="695">
        <v>1</v>
      </c>
      <c r="F38" s="695"/>
      <c r="G38" s="696"/>
      <c r="H38" s="695"/>
      <c r="I38" s="695"/>
      <c r="J38" s="695"/>
      <c r="K38" s="695"/>
      <c r="L38" s="695"/>
      <c r="M38" s="695"/>
      <c r="N38" s="695"/>
      <c r="O38" s="695"/>
      <c r="P38" s="695"/>
      <c r="Q38" s="695"/>
      <c r="R38" s="695"/>
      <c r="S38" s="695"/>
      <c r="T38" s="695"/>
      <c r="U38" s="695"/>
      <c r="V38" s="695"/>
      <c r="W38" s="701"/>
      <c r="X38" s="695"/>
      <c r="Y38" s="695"/>
      <c r="Z38" s="695"/>
      <c r="AA38" s="695"/>
      <c r="AB38" s="695"/>
      <c r="AC38" s="695"/>
      <c r="AD38" s="695"/>
      <c r="AE38" s="695"/>
      <c r="AF38" s="695"/>
      <c r="AG38" s="695"/>
      <c r="AH38" s="695"/>
      <c r="AI38" s="695"/>
      <c r="AJ38" s="697"/>
      <c r="AK38" s="695"/>
      <c r="AL38" s="695"/>
      <c r="AM38" s="695"/>
      <c r="AN38" s="698">
        <f t="shared" si="0"/>
        <v>0</v>
      </c>
      <c r="AO38" s="695"/>
      <c r="AP38" s="682">
        <f t="shared" si="1"/>
        <v>0</v>
      </c>
    </row>
    <row r="39" spans="2:42">
      <c r="B39" s="695" t="s">
        <v>1049</v>
      </c>
      <c r="C39" s="695" t="s">
        <v>1040</v>
      </c>
      <c r="D39" s="695" t="s">
        <v>1044</v>
      </c>
      <c r="E39" s="695">
        <v>1</v>
      </c>
      <c r="F39" s="695"/>
      <c r="G39" s="696"/>
      <c r="H39" s="695"/>
      <c r="I39" s="695"/>
      <c r="J39" s="695"/>
      <c r="K39" s="695"/>
      <c r="L39" s="695"/>
      <c r="M39" s="695"/>
      <c r="N39" s="695"/>
      <c r="O39" s="695"/>
      <c r="P39" s="695"/>
      <c r="Q39" s="695"/>
      <c r="R39" s="695"/>
      <c r="S39" s="695"/>
      <c r="T39" s="695"/>
      <c r="U39" s="695"/>
      <c r="V39" s="695"/>
      <c r="W39" s="701"/>
      <c r="X39" s="695"/>
      <c r="Y39" s="695"/>
      <c r="Z39" s="695"/>
      <c r="AA39" s="695"/>
      <c r="AB39" s="695"/>
      <c r="AC39" s="695"/>
      <c r="AD39" s="695"/>
      <c r="AE39" s="695"/>
      <c r="AF39" s="695"/>
      <c r="AG39" s="695"/>
      <c r="AH39" s="695"/>
      <c r="AI39" s="695"/>
      <c r="AJ39" s="697"/>
      <c r="AK39" s="695"/>
      <c r="AL39" s="695"/>
      <c r="AM39" s="695"/>
      <c r="AN39" s="698">
        <f t="shared" si="0"/>
        <v>0</v>
      </c>
      <c r="AO39" s="695"/>
      <c r="AP39" s="682">
        <f t="shared" si="1"/>
        <v>0</v>
      </c>
    </row>
    <row r="40" spans="2:42">
      <c r="B40" s="697"/>
      <c r="C40" s="697"/>
      <c r="D40" s="697"/>
      <c r="E40" s="697"/>
      <c r="F40" s="697"/>
      <c r="G40" s="696"/>
      <c r="H40" s="697"/>
      <c r="I40" s="697"/>
      <c r="J40" s="697"/>
      <c r="K40" s="697"/>
      <c r="L40" s="697"/>
      <c r="M40" s="697"/>
      <c r="N40" s="697"/>
      <c r="O40" s="697"/>
      <c r="P40" s="697"/>
      <c r="Q40" s="697"/>
      <c r="R40" s="697"/>
      <c r="S40" s="697"/>
      <c r="T40" s="697"/>
      <c r="U40" s="697"/>
      <c r="V40" s="697"/>
      <c r="W40" s="697"/>
      <c r="X40" s="697"/>
      <c r="Y40" s="697"/>
      <c r="Z40" s="697"/>
      <c r="AA40" s="697"/>
      <c r="AB40" s="697"/>
      <c r="AC40" s="697"/>
      <c r="AD40" s="697"/>
      <c r="AE40" s="697"/>
      <c r="AF40" s="697"/>
      <c r="AG40" s="697"/>
      <c r="AH40" s="697"/>
      <c r="AI40" s="697"/>
      <c r="AJ40" s="697"/>
      <c r="AK40" s="697"/>
      <c r="AL40" s="697"/>
      <c r="AM40" s="695"/>
      <c r="AN40" s="698">
        <f t="shared" si="0"/>
        <v>0</v>
      </c>
      <c r="AO40" s="695"/>
      <c r="AP40" s="682">
        <f t="shared" si="1"/>
        <v>0</v>
      </c>
    </row>
    <row r="41" spans="2:42">
      <c r="B41" s="695" t="s">
        <v>1051</v>
      </c>
      <c r="C41" s="695" t="s">
        <v>1040</v>
      </c>
      <c r="D41" s="695" t="s">
        <v>1041</v>
      </c>
      <c r="E41" s="695">
        <v>3</v>
      </c>
      <c r="F41" s="695"/>
      <c r="G41" s="696" t="s">
        <v>1052</v>
      </c>
      <c r="H41" s="695"/>
      <c r="I41" s="699">
        <f>$I$6*$E41</f>
        <v>129</v>
      </c>
      <c r="J41" s="695"/>
      <c r="K41" s="695"/>
      <c r="L41" s="695"/>
      <c r="M41" s="695"/>
      <c r="N41" s="695"/>
      <c r="O41" s="695"/>
      <c r="P41" s="695"/>
      <c r="Q41" s="695"/>
      <c r="R41" s="695"/>
      <c r="S41" s="695"/>
      <c r="T41" s="695"/>
      <c r="U41" s="695"/>
      <c r="V41" s="695"/>
      <c r="W41" s="701"/>
      <c r="X41" s="695"/>
      <c r="Y41" s="695"/>
      <c r="Z41" s="695"/>
      <c r="AA41" s="695"/>
      <c r="AB41" s="695"/>
      <c r="AC41" s="695"/>
      <c r="AD41" s="695"/>
      <c r="AE41" s="695"/>
      <c r="AF41" s="695"/>
      <c r="AG41" s="695"/>
      <c r="AH41" s="695"/>
      <c r="AI41" s="695"/>
      <c r="AJ41" s="697"/>
      <c r="AK41" s="695"/>
      <c r="AL41" s="695"/>
      <c r="AM41" s="695"/>
      <c r="AN41" s="698">
        <f t="shared" si="0"/>
        <v>0</v>
      </c>
      <c r="AO41" s="695"/>
      <c r="AP41" s="682">
        <f t="shared" si="1"/>
        <v>129</v>
      </c>
    </row>
    <row r="42" spans="2:42">
      <c r="B42" s="695" t="s">
        <v>1051</v>
      </c>
      <c r="C42" s="695" t="s">
        <v>1040</v>
      </c>
      <c r="D42" s="695" t="s">
        <v>1041</v>
      </c>
      <c r="E42" s="695">
        <v>2</v>
      </c>
      <c r="F42" s="695"/>
      <c r="G42" s="696"/>
      <c r="H42" s="695"/>
      <c r="I42" s="695"/>
      <c r="J42" s="695"/>
      <c r="K42" s="695"/>
      <c r="L42" s="695"/>
      <c r="M42" s="695"/>
      <c r="N42" s="695"/>
      <c r="O42" s="695"/>
      <c r="P42" s="695"/>
      <c r="Q42" s="695"/>
      <c r="R42" s="699">
        <f>$R$6*$E42</f>
        <v>40</v>
      </c>
      <c r="S42" s="699">
        <f>$S$6*$E42</f>
        <v>24</v>
      </c>
      <c r="T42" s="699">
        <f>$T$6*$E42</f>
        <v>30</v>
      </c>
      <c r="U42" s="699">
        <f>$U$6*$E42</f>
        <v>24</v>
      </c>
      <c r="V42" s="699">
        <f>$V$6*$E42</f>
        <v>64</v>
      </c>
      <c r="W42" s="701"/>
      <c r="X42" s="695"/>
      <c r="Y42" s="695"/>
      <c r="Z42" s="695"/>
      <c r="AA42" s="680"/>
      <c r="AB42" s="680"/>
      <c r="AC42" s="695"/>
      <c r="AD42" s="695"/>
      <c r="AE42" s="699">
        <f>$AE$6*$E42</f>
        <v>70</v>
      </c>
      <c r="AF42" s="695"/>
      <c r="AG42" s="695"/>
      <c r="AH42" s="695"/>
      <c r="AI42" s="695"/>
      <c r="AJ42" s="697"/>
      <c r="AK42" s="695"/>
      <c r="AL42" s="695"/>
      <c r="AM42" s="695"/>
      <c r="AN42" s="698">
        <f t="shared" si="0"/>
        <v>0</v>
      </c>
      <c r="AO42" s="695"/>
      <c r="AP42" s="682">
        <f t="shared" si="1"/>
        <v>252</v>
      </c>
    </row>
    <row r="43" spans="2:42">
      <c r="B43" s="695" t="s">
        <v>1051</v>
      </c>
      <c r="C43" s="695" t="s">
        <v>1040</v>
      </c>
      <c r="D43" s="695" t="s">
        <v>1041</v>
      </c>
      <c r="E43" s="695">
        <v>1</v>
      </c>
      <c r="F43" s="695"/>
      <c r="G43" s="696"/>
      <c r="H43" s="695"/>
      <c r="I43" s="695"/>
      <c r="J43" s="695"/>
      <c r="K43" s="695"/>
      <c r="L43" s="695"/>
      <c r="M43" s="695"/>
      <c r="N43" s="695"/>
      <c r="O43" s="695"/>
      <c r="P43" s="695"/>
      <c r="Q43" s="695"/>
      <c r="R43" s="699">
        <f>$R$6*$E43</f>
        <v>20</v>
      </c>
      <c r="S43" s="680"/>
      <c r="T43" s="680"/>
      <c r="U43" s="680"/>
      <c r="V43" s="680"/>
      <c r="W43" s="701"/>
      <c r="X43" s="695"/>
      <c r="Y43" s="695"/>
      <c r="Z43" s="695"/>
      <c r="AA43" s="699">
        <f>$AA$6*$E43</f>
        <v>15</v>
      </c>
      <c r="AB43" s="699">
        <f>$AB$6*$E43</f>
        <v>25</v>
      </c>
      <c r="AC43" s="695"/>
      <c r="AD43" s="695"/>
      <c r="AE43" s="680"/>
      <c r="AF43" s="695"/>
      <c r="AG43" s="695"/>
      <c r="AH43" s="695"/>
      <c r="AI43" s="695"/>
      <c r="AJ43" s="697"/>
      <c r="AK43" s="695"/>
      <c r="AL43" s="695"/>
      <c r="AM43" s="695"/>
      <c r="AN43" s="698">
        <f t="shared" si="0"/>
        <v>0</v>
      </c>
      <c r="AO43" s="695"/>
      <c r="AP43" s="682">
        <f t="shared" si="1"/>
        <v>60</v>
      </c>
    </row>
    <row r="44" spans="2:42">
      <c r="B44" s="695" t="s">
        <v>1051</v>
      </c>
      <c r="C44" s="695" t="s">
        <v>1040</v>
      </c>
      <c r="D44" s="695" t="s">
        <v>1043</v>
      </c>
      <c r="E44" s="695">
        <v>1</v>
      </c>
      <c r="F44" s="695"/>
      <c r="G44" s="696"/>
      <c r="H44" s="695"/>
      <c r="I44" s="695"/>
      <c r="J44" s="695"/>
      <c r="K44" s="695"/>
      <c r="L44" s="695"/>
      <c r="M44" s="695"/>
      <c r="N44" s="695"/>
      <c r="O44" s="695"/>
      <c r="P44" s="695"/>
      <c r="Q44" s="695"/>
      <c r="R44" s="699">
        <f>$R$6*$E44</f>
        <v>20</v>
      </c>
      <c r="S44" s="695"/>
      <c r="T44" s="695"/>
      <c r="U44" s="695"/>
      <c r="V44" s="695"/>
      <c r="W44" s="701"/>
      <c r="X44" s="695"/>
      <c r="Y44" s="695"/>
      <c r="Z44" s="695"/>
      <c r="AA44" s="699">
        <f>$AA$6*$E44</f>
        <v>15</v>
      </c>
      <c r="AB44" s="699">
        <f>$AB$6*$E44</f>
        <v>25</v>
      </c>
      <c r="AC44" s="695"/>
      <c r="AD44" s="695"/>
      <c r="AE44" s="695"/>
      <c r="AF44" s="695"/>
      <c r="AG44" s="695"/>
      <c r="AH44" s="695"/>
      <c r="AI44" s="695"/>
      <c r="AJ44" s="697"/>
      <c r="AK44" s="695"/>
      <c r="AL44" s="695"/>
      <c r="AM44" s="695"/>
      <c r="AN44" s="698">
        <f t="shared" si="0"/>
        <v>0</v>
      </c>
      <c r="AO44" s="695"/>
      <c r="AP44" s="682">
        <f t="shared" si="1"/>
        <v>60</v>
      </c>
    </row>
    <row r="45" spans="2:42">
      <c r="B45" s="695" t="s">
        <v>1051</v>
      </c>
      <c r="C45" s="695" t="s">
        <v>1040</v>
      </c>
      <c r="D45" s="695" t="s">
        <v>1043</v>
      </c>
      <c r="E45" s="695">
        <v>1</v>
      </c>
      <c r="F45" s="695"/>
      <c r="G45" s="696"/>
      <c r="H45" s="695"/>
      <c r="I45" s="695"/>
      <c r="J45" s="695"/>
      <c r="K45" s="695"/>
      <c r="L45" s="695"/>
      <c r="M45" s="695"/>
      <c r="N45" s="695"/>
      <c r="O45" s="695"/>
      <c r="P45" s="695"/>
      <c r="Q45" s="695"/>
      <c r="R45" s="695"/>
      <c r="S45" s="695"/>
      <c r="T45" s="695"/>
      <c r="U45" s="695"/>
      <c r="V45" s="695"/>
      <c r="W45" s="701"/>
      <c r="X45" s="695"/>
      <c r="Y45" s="695"/>
      <c r="Z45" s="695"/>
      <c r="AA45" s="695"/>
      <c r="AB45" s="695"/>
      <c r="AC45" s="695"/>
      <c r="AD45" s="695"/>
      <c r="AE45" s="695"/>
      <c r="AF45" s="695"/>
      <c r="AG45" s="695"/>
      <c r="AH45" s="695"/>
      <c r="AI45" s="695"/>
      <c r="AJ45" s="697"/>
      <c r="AK45" s="695"/>
      <c r="AL45" s="695"/>
      <c r="AM45" s="695"/>
      <c r="AN45" s="698">
        <f t="shared" si="0"/>
        <v>0</v>
      </c>
      <c r="AO45" s="695"/>
      <c r="AP45" s="682">
        <f t="shared" si="1"/>
        <v>0</v>
      </c>
    </row>
    <row r="46" spans="2:42">
      <c r="B46" s="695" t="s">
        <v>1051</v>
      </c>
      <c r="C46" s="695" t="s">
        <v>1040</v>
      </c>
      <c r="D46" s="695" t="s">
        <v>1044</v>
      </c>
      <c r="E46" s="695">
        <v>1</v>
      </c>
      <c r="F46" s="695">
        <f>23</f>
        <v>23</v>
      </c>
      <c r="G46" s="696" t="s">
        <v>1053</v>
      </c>
      <c r="H46" s="695"/>
      <c r="I46" s="695"/>
      <c r="J46" s="695"/>
      <c r="K46" s="695"/>
      <c r="L46" s="695"/>
      <c r="M46" s="695"/>
      <c r="N46" s="695"/>
      <c r="O46" s="695"/>
      <c r="P46" s="695"/>
      <c r="Q46" s="695"/>
      <c r="R46" s="695"/>
      <c r="S46" s="695"/>
      <c r="T46" s="695"/>
      <c r="U46" s="695"/>
      <c r="V46" s="695"/>
      <c r="W46" s="701"/>
      <c r="X46" s="695"/>
      <c r="Y46" s="695"/>
      <c r="Z46" s="695"/>
      <c r="AA46" s="695"/>
      <c r="AB46" s="695"/>
      <c r="AC46" s="695"/>
      <c r="AD46" s="695"/>
      <c r="AE46" s="695"/>
      <c r="AF46" s="695"/>
      <c r="AG46" s="695"/>
      <c r="AH46" s="695"/>
      <c r="AI46" s="695"/>
      <c r="AJ46" s="697"/>
      <c r="AK46" s="695"/>
      <c r="AL46" s="695"/>
      <c r="AM46" s="695"/>
      <c r="AN46" s="698">
        <f t="shared" si="0"/>
        <v>69</v>
      </c>
      <c r="AO46" s="695"/>
      <c r="AP46" s="682">
        <f t="shared" si="1"/>
        <v>69</v>
      </c>
    </row>
    <row r="47" spans="2:42">
      <c r="B47" s="695" t="s">
        <v>1051</v>
      </c>
      <c r="C47" s="695" t="s">
        <v>1040</v>
      </c>
      <c r="D47" s="695" t="s">
        <v>1044</v>
      </c>
      <c r="E47" s="695">
        <v>1</v>
      </c>
      <c r="F47" s="695">
        <v>41</v>
      </c>
      <c r="G47" s="696"/>
      <c r="H47" s="695"/>
      <c r="I47" s="695"/>
      <c r="J47" s="695"/>
      <c r="K47" s="695"/>
      <c r="L47" s="695"/>
      <c r="M47" s="695"/>
      <c r="N47" s="695"/>
      <c r="O47" s="695"/>
      <c r="P47" s="695"/>
      <c r="Q47" s="695"/>
      <c r="R47" s="695"/>
      <c r="S47" s="695"/>
      <c r="T47" s="695"/>
      <c r="U47" s="695"/>
      <c r="V47" s="695"/>
      <c r="W47" s="701"/>
      <c r="X47" s="695"/>
      <c r="Y47" s="695"/>
      <c r="Z47" s="695"/>
      <c r="AA47" s="695"/>
      <c r="AB47" s="695"/>
      <c r="AC47" s="695"/>
      <c r="AD47" s="695"/>
      <c r="AE47" s="695"/>
      <c r="AF47" s="695"/>
      <c r="AG47" s="695"/>
      <c r="AH47" s="695"/>
      <c r="AI47" s="695"/>
      <c r="AJ47" s="697"/>
      <c r="AK47" s="695"/>
      <c r="AL47" s="695"/>
      <c r="AM47" s="695"/>
      <c r="AN47" s="698">
        <f t="shared" si="0"/>
        <v>123</v>
      </c>
      <c r="AO47" s="695"/>
      <c r="AP47" s="682">
        <f t="shared" si="1"/>
        <v>123</v>
      </c>
    </row>
    <row r="48" spans="2:42">
      <c r="B48" s="697"/>
      <c r="C48" s="697"/>
      <c r="D48" s="697"/>
      <c r="E48" s="697"/>
      <c r="F48" s="697"/>
      <c r="G48" s="696"/>
      <c r="H48" s="697"/>
      <c r="I48" s="697"/>
      <c r="J48" s="697"/>
      <c r="K48" s="697"/>
      <c r="L48" s="697"/>
      <c r="M48" s="697"/>
      <c r="N48" s="697"/>
      <c r="O48" s="697"/>
      <c r="P48" s="697"/>
      <c r="Q48" s="697"/>
      <c r="R48" s="697"/>
      <c r="S48" s="697"/>
      <c r="T48" s="697"/>
      <c r="U48" s="697"/>
      <c r="V48" s="697"/>
      <c r="W48" s="697"/>
      <c r="X48" s="697"/>
      <c r="Y48" s="697"/>
      <c r="Z48" s="697"/>
      <c r="AA48" s="697"/>
      <c r="AB48" s="697"/>
      <c r="AC48" s="697"/>
      <c r="AD48" s="697"/>
      <c r="AE48" s="697"/>
      <c r="AF48" s="697"/>
      <c r="AG48" s="697"/>
      <c r="AH48" s="697"/>
      <c r="AI48" s="697"/>
      <c r="AJ48" s="697"/>
      <c r="AK48" s="697"/>
      <c r="AL48" s="697"/>
      <c r="AM48" s="695"/>
      <c r="AN48" s="698">
        <f t="shared" si="0"/>
        <v>0</v>
      </c>
      <c r="AO48" s="695"/>
      <c r="AP48" s="682">
        <f t="shared" si="1"/>
        <v>0</v>
      </c>
    </row>
    <row r="49" spans="2:42" ht="25.5" customHeight="1">
      <c r="B49" s="689" t="s">
        <v>1054</v>
      </c>
      <c r="C49" s="689"/>
      <c r="D49" s="690"/>
      <c r="E49" s="690"/>
      <c r="F49" s="690"/>
      <c r="G49" s="691"/>
      <c r="H49" s="692"/>
      <c r="I49" s="690"/>
      <c r="J49" s="690"/>
      <c r="K49" s="690"/>
      <c r="L49" s="690"/>
      <c r="M49" s="690"/>
      <c r="N49" s="690"/>
      <c r="O49" s="690"/>
      <c r="P49" s="690"/>
      <c r="Q49" s="690"/>
      <c r="R49" s="690"/>
      <c r="S49" s="690"/>
      <c r="T49" s="690"/>
      <c r="U49" s="690"/>
      <c r="V49" s="690"/>
      <c r="W49" s="690"/>
      <c r="X49" s="690"/>
      <c r="Y49" s="690"/>
      <c r="Z49" s="690"/>
      <c r="AA49" s="690"/>
      <c r="AB49" s="693"/>
      <c r="AC49" s="693"/>
      <c r="AD49" s="693"/>
      <c r="AE49" s="693"/>
      <c r="AF49" s="693"/>
      <c r="AG49" s="693"/>
      <c r="AH49" s="693"/>
      <c r="AI49" s="693"/>
      <c r="AJ49" s="693"/>
      <c r="AK49" s="693"/>
      <c r="AL49" s="693"/>
      <c r="AM49" s="692"/>
      <c r="AN49" s="692"/>
      <c r="AO49" s="692"/>
      <c r="AP49" s="694"/>
    </row>
    <row r="50" spans="2:42">
      <c r="B50" s="695" t="s">
        <v>1055</v>
      </c>
      <c r="C50" s="695" t="s">
        <v>477</v>
      </c>
      <c r="D50" s="695" t="s">
        <v>1056</v>
      </c>
      <c r="E50" s="695">
        <v>1</v>
      </c>
      <c r="F50" s="695"/>
      <c r="G50" s="696"/>
      <c r="H50" s="699">
        <f>$H$6*E50</f>
        <v>43</v>
      </c>
      <c r="I50" s="699">
        <f>$I$6*$E50</f>
        <v>43</v>
      </c>
      <c r="J50" s="699">
        <f>$J$6*$E50</f>
        <v>34</v>
      </c>
      <c r="K50" s="699">
        <f>$K$6*$E50</f>
        <v>11</v>
      </c>
      <c r="L50" s="699">
        <f>$L$6*$E50</f>
        <v>34</v>
      </c>
      <c r="M50" s="699">
        <f>$M$6*$E50</f>
        <v>6</v>
      </c>
      <c r="N50" s="699"/>
      <c r="O50" s="699">
        <f>$O$6*$E50</f>
        <v>23</v>
      </c>
      <c r="P50" s="699">
        <f>$P$6*$E50</f>
        <v>10</v>
      </c>
      <c r="Q50" s="699">
        <f>$Q$6*$E50</f>
        <v>34</v>
      </c>
      <c r="R50" s="699">
        <f>$R$6*$E50</f>
        <v>20</v>
      </c>
      <c r="S50" s="699">
        <f>$S$6*$E50</f>
        <v>12</v>
      </c>
      <c r="T50" s="699">
        <f>$T$6*$E50</f>
        <v>15</v>
      </c>
      <c r="U50" s="699">
        <f>$U$6*$E50</f>
        <v>12</v>
      </c>
      <c r="V50" s="699">
        <f>$V$6*$E50</f>
        <v>32</v>
      </c>
      <c r="W50" s="699">
        <f>$W$6*$E50</f>
        <v>45</v>
      </c>
      <c r="X50" s="699"/>
      <c r="Y50" s="699">
        <f>$Y$6*$E50</f>
        <v>40</v>
      </c>
      <c r="Z50" s="699">
        <f>$Z$6*$E50</f>
        <v>26</v>
      </c>
      <c r="AA50" s="680"/>
      <c r="AB50" s="680"/>
      <c r="AC50" s="695"/>
      <c r="AD50" s="695"/>
      <c r="AE50" s="699">
        <f>$AE$6*$E50</f>
        <v>35</v>
      </c>
      <c r="AF50" s="695"/>
      <c r="AG50" s="695"/>
      <c r="AH50" s="695"/>
      <c r="AI50" s="695"/>
      <c r="AJ50" s="678"/>
      <c r="AK50" s="695"/>
      <c r="AL50" s="695"/>
      <c r="AM50" s="695"/>
      <c r="AN50" s="698">
        <f>$AN$6*$E50*F50</f>
        <v>0</v>
      </c>
      <c r="AO50" s="695"/>
      <c r="AP50" s="682">
        <f>SUM(H50:AO50)</f>
        <v>475</v>
      </c>
    </row>
    <row r="51" spans="2:42">
      <c r="B51" s="695" t="s">
        <v>1055</v>
      </c>
      <c r="C51" s="695" t="s">
        <v>477</v>
      </c>
      <c r="D51" s="695" t="s">
        <v>1057</v>
      </c>
      <c r="E51" s="695">
        <v>1</v>
      </c>
      <c r="F51" s="695"/>
      <c r="G51" s="696"/>
      <c r="H51" s="695"/>
      <c r="I51" s="695"/>
      <c r="J51" s="695"/>
      <c r="K51" s="699">
        <f>$K$6*$E52</f>
        <v>11</v>
      </c>
      <c r="L51" s="695"/>
      <c r="M51" s="699">
        <f>$M$6*$E51</f>
        <v>6</v>
      </c>
      <c r="N51" s="699">
        <f>$N$6*$E51</f>
        <v>20</v>
      </c>
      <c r="O51" s="695"/>
      <c r="P51" s="695"/>
      <c r="Q51" s="695"/>
      <c r="R51" s="699">
        <f>$R$6*$E51</f>
        <v>20</v>
      </c>
      <c r="S51" s="695"/>
      <c r="T51" s="695"/>
      <c r="U51" s="695"/>
      <c r="V51" s="695"/>
      <c r="W51" s="701"/>
      <c r="X51" s="699">
        <f>$X$6*$E51</f>
        <v>26</v>
      </c>
      <c r="Y51" s="695"/>
      <c r="Z51" s="699">
        <f>$Z$6*$E51</f>
        <v>26</v>
      </c>
      <c r="AA51" s="699">
        <f>$AA$6*$E51</f>
        <v>15</v>
      </c>
      <c r="AB51" s="699">
        <f>$AB$6*$E51</f>
        <v>25</v>
      </c>
      <c r="AC51" s="695"/>
      <c r="AD51" s="699">
        <f>$AD$6*$E51</f>
        <v>105</v>
      </c>
      <c r="AE51" s="695"/>
      <c r="AF51" s="699">
        <f>$AF$6*$E51</f>
        <v>26</v>
      </c>
      <c r="AG51" s="699">
        <f>$AG$6*$E51</f>
        <v>36</v>
      </c>
      <c r="AH51" s="699">
        <f>$AH$6*$E51</f>
        <v>40</v>
      </c>
      <c r="AI51" s="699">
        <f>$AI$6*$E51</f>
        <v>36</v>
      </c>
      <c r="AJ51" s="697"/>
      <c r="AK51" s="699">
        <f>$AK$6*$E51</f>
        <v>115</v>
      </c>
      <c r="AL51" s="699">
        <f>$AL$6*$E51</f>
        <v>15</v>
      </c>
      <c r="AM51" s="695"/>
      <c r="AN51" s="698">
        <f>$AN$6*$E51*F51</f>
        <v>0</v>
      </c>
      <c r="AO51" s="695"/>
      <c r="AP51" s="682">
        <f>SUM(H51:AO51)</f>
        <v>522</v>
      </c>
    </row>
    <row r="52" spans="2:42">
      <c r="B52" s="695" t="s">
        <v>1055</v>
      </c>
      <c r="C52" s="695" t="s">
        <v>477</v>
      </c>
      <c r="D52" s="695" t="s">
        <v>1057</v>
      </c>
      <c r="E52" s="695">
        <v>1</v>
      </c>
      <c r="F52" s="695"/>
      <c r="G52" s="696"/>
      <c r="H52" s="695"/>
      <c r="I52" s="695"/>
      <c r="J52" s="695"/>
      <c r="L52" s="695"/>
      <c r="M52" s="680"/>
      <c r="N52" s="699"/>
      <c r="O52" s="695"/>
      <c r="P52" s="695"/>
      <c r="Q52" s="695"/>
      <c r="R52" s="695"/>
      <c r="S52" s="695"/>
      <c r="T52" s="695"/>
      <c r="U52" s="695"/>
      <c r="V52" s="695"/>
      <c r="W52" s="701"/>
      <c r="X52" s="695"/>
      <c r="Y52" s="695"/>
      <c r="Z52" s="695"/>
      <c r="AA52" s="695"/>
      <c r="AB52" s="695"/>
      <c r="AC52" s="695"/>
      <c r="AD52" s="695"/>
      <c r="AE52" s="695"/>
      <c r="AF52" s="695"/>
      <c r="AG52" s="695"/>
      <c r="AH52" s="695"/>
      <c r="AI52" s="695"/>
      <c r="AJ52" s="697"/>
      <c r="AK52" s="695"/>
      <c r="AL52" s="695"/>
      <c r="AM52" s="695"/>
      <c r="AN52" s="698">
        <f>$AN$6*$E52*F52</f>
        <v>0</v>
      </c>
      <c r="AO52" s="695"/>
      <c r="AP52" s="682">
        <f>SUM(H52:AO52)</f>
        <v>0</v>
      </c>
    </row>
    <row r="53" spans="2:42">
      <c r="B53" s="695" t="s">
        <v>1055</v>
      </c>
      <c r="C53" s="695" t="s">
        <v>477</v>
      </c>
      <c r="D53" s="695" t="s">
        <v>1058</v>
      </c>
      <c r="E53" s="695">
        <v>1</v>
      </c>
      <c r="F53" s="695"/>
      <c r="G53" s="696"/>
      <c r="H53" s="695"/>
      <c r="I53" s="695"/>
      <c r="J53" s="695"/>
      <c r="K53" s="695"/>
      <c r="L53" s="695"/>
      <c r="M53" s="695"/>
      <c r="N53" s="699">
        <f>$N$6*$E53</f>
        <v>20</v>
      </c>
      <c r="O53" s="695"/>
      <c r="P53" s="695"/>
      <c r="Q53" s="695"/>
      <c r="R53" s="695"/>
      <c r="S53" s="695"/>
      <c r="T53" s="695"/>
      <c r="U53" s="695"/>
      <c r="V53" s="695"/>
      <c r="W53" s="701"/>
      <c r="X53" s="699">
        <f>$X$6*$E53</f>
        <v>26</v>
      </c>
      <c r="Y53" s="695"/>
      <c r="Z53" s="699">
        <f>$Z$6*$E53</f>
        <v>26</v>
      </c>
      <c r="AA53" s="695"/>
      <c r="AB53" s="695"/>
      <c r="AC53" s="695"/>
      <c r="AD53" s="695"/>
      <c r="AE53" s="695"/>
      <c r="AF53" s="695"/>
      <c r="AG53" s="695"/>
      <c r="AH53" s="695"/>
      <c r="AI53" s="695"/>
      <c r="AJ53" s="697"/>
      <c r="AK53" s="695"/>
      <c r="AL53" s="695"/>
      <c r="AM53" s="695"/>
      <c r="AN53" s="698">
        <f>$AN$6*$E53*F53</f>
        <v>0</v>
      </c>
      <c r="AO53" s="695"/>
      <c r="AP53" s="682">
        <f>SUM(H53:AO53)</f>
        <v>72</v>
      </c>
    </row>
    <row r="54" spans="2:42">
      <c r="B54" s="695" t="s">
        <v>1055</v>
      </c>
      <c r="C54" s="695" t="s">
        <v>477</v>
      </c>
      <c r="D54" s="695" t="s">
        <v>1058</v>
      </c>
      <c r="E54" s="695">
        <v>1</v>
      </c>
      <c r="F54" s="695"/>
      <c r="G54" s="696"/>
      <c r="H54" s="695"/>
      <c r="I54" s="695"/>
      <c r="J54" s="695"/>
      <c r="K54" s="695"/>
      <c r="L54" s="695"/>
      <c r="M54" s="695"/>
      <c r="N54" s="695"/>
      <c r="O54" s="695"/>
      <c r="P54" s="695"/>
      <c r="Q54" s="695"/>
      <c r="R54" s="695"/>
      <c r="S54" s="695"/>
      <c r="T54" s="695"/>
      <c r="U54" s="695"/>
      <c r="V54" s="695"/>
      <c r="W54" s="701"/>
      <c r="X54" s="695"/>
      <c r="Y54" s="695"/>
      <c r="Z54" s="695"/>
      <c r="AA54" s="695"/>
      <c r="AB54" s="695"/>
      <c r="AC54" s="695"/>
      <c r="AD54" s="695"/>
      <c r="AE54" s="695"/>
      <c r="AF54" s="695"/>
      <c r="AG54" s="695"/>
      <c r="AH54" s="695"/>
      <c r="AI54" s="695"/>
      <c r="AJ54" s="697"/>
      <c r="AK54" s="695"/>
      <c r="AL54" s="695"/>
      <c r="AM54" s="695"/>
      <c r="AN54" s="698">
        <f>$AN$6*$E54*F54</f>
        <v>0</v>
      </c>
      <c r="AO54" s="695"/>
      <c r="AP54" s="682">
        <f>SUM(H54:AO54)</f>
        <v>0</v>
      </c>
    </row>
    <row r="55" spans="2:42">
      <c r="B55" s="697"/>
      <c r="C55" s="697"/>
      <c r="D55" s="697"/>
      <c r="E55" s="697"/>
      <c r="F55" s="697"/>
      <c r="G55" s="696"/>
      <c r="H55" s="697"/>
      <c r="I55" s="697"/>
      <c r="J55" s="697"/>
      <c r="K55" s="697"/>
      <c r="L55" s="697"/>
      <c r="M55" s="697"/>
      <c r="N55" s="697"/>
      <c r="O55" s="697"/>
      <c r="P55" s="697"/>
      <c r="Q55" s="697"/>
      <c r="R55" s="697"/>
      <c r="S55" s="697"/>
      <c r="T55" s="697"/>
      <c r="U55" s="697"/>
      <c r="V55" s="697"/>
      <c r="W55" s="697"/>
      <c r="X55" s="697"/>
      <c r="Y55" s="697"/>
      <c r="Z55" s="697"/>
      <c r="AA55" s="697"/>
      <c r="AB55" s="697"/>
      <c r="AC55" s="697"/>
      <c r="AD55" s="697"/>
      <c r="AE55" s="697"/>
      <c r="AF55" s="697"/>
      <c r="AG55" s="697"/>
      <c r="AH55" s="697"/>
      <c r="AI55" s="697"/>
      <c r="AJ55" s="697"/>
      <c r="AK55" s="697"/>
      <c r="AL55" s="697"/>
      <c r="AM55" s="695"/>
      <c r="AN55" s="697"/>
      <c r="AO55" s="695"/>
      <c r="AP55" s="695"/>
    </row>
    <row r="56" spans="2:42">
      <c r="B56" s="697"/>
      <c r="C56" s="697"/>
      <c r="D56" s="697"/>
      <c r="E56" s="697"/>
      <c r="F56" s="697"/>
      <c r="G56" s="696"/>
      <c r="H56" s="697"/>
      <c r="I56" s="697"/>
      <c r="J56" s="697"/>
      <c r="K56" s="697"/>
      <c r="L56" s="697"/>
      <c r="M56" s="697"/>
      <c r="N56" s="697"/>
      <c r="O56" s="697"/>
      <c r="P56" s="697"/>
      <c r="Q56" s="697"/>
      <c r="R56" s="697"/>
      <c r="S56" s="697"/>
      <c r="T56" s="697"/>
      <c r="U56" s="697"/>
      <c r="V56" s="697"/>
      <c r="W56" s="697"/>
      <c r="X56" s="697"/>
      <c r="Y56" s="697"/>
      <c r="Z56" s="697"/>
      <c r="AA56" s="697"/>
      <c r="AB56" s="697"/>
      <c r="AC56" s="697"/>
      <c r="AD56" s="697"/>
      <c r="AE56" s="697"/>
      <c r="AF56" s="697"/>
      <c r="AG56" s="697"/>
      <c r="AH56" s="697"/>
      <c r="AI56" s="697"/>
      <c r="AJ56" s="697"/>
      <c r="AK56" s="697"/>
      <c r="AL56" s="697"/>
      <c r="AM56" s="695"/>
      <c r="AN56" s="697"/>
      <c r="AO56" s="695"/>
      <c r="AP56" s="695"/>
    </row>
    <row r="57" spans="2:42">
      <c r="B57" s="697"/>
      <c r="C57" s="697"/>
      <c r="D57" s="697"/>
      <c r="E57" s="697"/>
      <c r="F57" s="697"/>
      <c r="G57" s="696"/>
      <c r="H57" s="697"/>
      <c r="I57" s="697"/>
      <c r="J57" s="697"/>
      <c r="K57" s="697"/>
      <c r="L57" s="697"/>
      <c r="M57" s="697"/>
      <c r="N57" s="697"/>
      <c r="O57" s="697"/>
      <c r="P57" s="697"/>
      <c r="Q57" s="697"/>
      <c r="R57" s="697"/>
      <c r="S57" s="697"/>
      <c r="T57" s="697"/>
      <c r="U57" s="697"/>
      <c r="V57" s="697"/>
      <c r="W57" s="697"/>
      <c r="X57" s="697"/>
      <c r="Y57" s="697"/>
      <c r="Z57" s="697"/>
      <c r="AA57" s="697"/>
      <c r="AB57" s="697"/>
      <c r="AC57" s="697"/>
      <c r="AD57" s="697"/>
      <c r="AE57" s="697"/>
      <c r="AF57" s="697"/>
      <c r="AG57" s="697"/>
      <c r="AH57" s="697"/>
      <c r="AI57" s="697"/>
      <c r="AJ57" s="697"/>
      <c r="AK57" s="697"/>
      <c r="AL57" s="697"/>
      <c r="AM57" s="695"/>
      <c r="AN57" s="697"/>
      <c r="AO57" s="695"/>
      <c r="AP57" s="695"/>
    </row>
    <row r="58" spans="2:42">
      <c r="B58" s="697"/>
      <c r="C58" s="697"/>
      <c r="D58" s="697"/>
      <c r="E58" s="697"/>
      <c r="F58" s="697"/>
      <c r="G58" s="696"/>
      <c r="H58" s="697"/>
      <c r="I58" s="697"/>
      <c r="J58" s="697"/>
      <c r="K58" s="697"/>
      <c r="L58" s="697"/>
      <c r="M58" s="697"/>
      <c r="N58" s="697"/>
      <c r="O58" s="697"/>
      <c r="P58" s="697"/>
      <c r="Q58" s="697"/>
      <c r="R58" s="697"/>
      <c r="S58" s="697"/>
      <c r="T58" s="697"/>
      <c r="U58" s="697"/>
      <c r="V58" s="697"/>
      <c r="W58" s="697"/>
      <c r="X58" s="697"/>
      <c r="Y58" s="697"/>
      <c r="Z58" s="697"/>
      <c r="AA58" s="697"/>
      <c r="AB58" s="697"/>
      <c r="AC58" s="697"/>
      <c r="AD58" s="697"/>
      <c r="AE58" s="697"/>
      <c r="AF58" s="697"/>
      <c r="AG58" s="697"/>
      <c r="AH58" s="697"/>
      <c r="AI58" s="697"/>
      <c r="AJ58" s="697"/>
      <c r="AK58" s="697"/>
      <c r="AL58" s="697"/>
      <c r="AM58" s="695"/>
      <c r="AN58" s="697"/>
      <c r="AO58" s="695"/>
      <c r="AP58" s="695"/>
    </row>
    <row r="59" spans="2:42">
      <c r="B59" s="697"/>
      <c r="C59" s="697"/>
      <c r="D59" s="697"/>
      <c r="E59" s="697"/>
      <c r="F59" s="697"/>
      <c r="G59" s="696"/>
      <c r="H59" s="697"/>
      <c r="I59" s="697"/>
      <c r="J59" s="697"/>
      <c r="K59" s="697"/>
      <c r="L59" s="697"/>
      <c r="M59" s="697"/>
      <c r="N59" s="697"/>
      <c r="O59" s="697"/>
      <c r="P59" s="697"/>
      <c r="Q59" s="697"/>
      <c r="R59" s="697"/>
      <c r="S59" s="697"/>
      <c r="T59" s="697"/>
      <c r="U59" s="697"/>
      <c r="V59" s="697"/>
      <c r="W59" s="697"/>
      <c r="X59" s="697"/>
      <c r="Y59" s="697"/>
      <c r="Z59" s="697"/>
      <c r="AA59" s="697"/>
      <c r="AB59" s="697"/>
      <c r="AC59" s="697"/>
      <c r="AD59" s="697"/>
      <c r="AE59" s="697"/>
      <c r="AF59" s="697"/>
      <c r="AG59" s="697"/>
      <c r="AH59" s="697"/>
      <c r="AI59" s="697"/>
      <c r="AJ59" s="697"/>
      <c r="AK59" s="697"/>
      <c r="AL59" s="697"/>
      <c r="AM59" s="695"/>
      <c r="AN59" s="697"/>
      <c r="AO59" s="695"/>
      <c r="AP59" s="695"/>
    </row>
    <row r="60" spans="2:42">
      <c r="B60" s="148"/>
      <c r="AP60" s="151">
        <f>SUM(AP8:AP59)</f>
        <v>3075</v>
      </c>
    </row>
    <row r="61" spans="2:42">
      <c r="B61" s="148"/>
      <c r="AP61" s="152"/>
    </row>
    <row r="62" spans="2:42" ht="78.75">
      <c r="B62" s="704" t="s">
        <v>973</v>
      </c>
      <c r="C62" s="697"/>
      <c r="D62" s="705" t="s">
        <v>1059</v>
      </c>
      <c r="E62" s="705" t="s">
        <v>1060</v>
      </c>
      <c r="F62" s="705" t="s">
        <v>1061</v>
      </c>
      <c r="G62" s="705" t="s">
        <v>1062</v>
      </c>
      <c r="H62" s="705" t="s">
        <v>1063</v>
      </c>
      <c r="I62" s="705" t="s">
        <v>1064</v>
      </c>
      <c r="J62" s="705" t="s">
        <v>1065</v>
      </c>
      <c r="L62" s="705" t="s">
        <v>1066</v>
      </c>
      <c r="M62" s="705" t="s">
        <v>1067</v>
      </c>
      <c r="AP62" s="152"/>
    </row>
    <row r="63" spans="2:42" ht="31.5" customHeight="1">
      <c r="B63" s="1063" t="s">
        <v>1068</v>
      </c>
      <c r="C63" s="1064"/>
      <c r="D63" s="680" t="s">
        <v>1041</v>
      </c>
      <c r="E63" s="695">
        <f>SUMIF($D$9:$D$59,$D63,$AP$9:$AP$59)</f>
        <v>1574</v>
      </c>
      <c r="F63" s="680">
        <f>CEILING((E63*1.05),1)</f>
        <v>1653</v>
      </c>
      <c r="G63" s="706">
        <f>E63*0.05</f>
        <v>78.7</v>
      </c>
      <c r="H63" s="706">
        <f>E63*0.03</f>
        <v>47.22</v>
      </c>
      <c r="I63" s="706">
        <f>E63*0.03</f>
        <v>47.22</v>
      </c>
      <c r="J63" s="706">
        <f>E63*0.03</f>
        <v>47.22</v>
      </c>
      <c r="L63" s="695">
        <f>ROUNDUP(((SUMIF($D$63:$D$69,$D63,$F$63:$F$69))/2*0.8*1.2),0)</f>
        <v>794</v>
      </c>
      <c r="M63" s="695">
        <f>ROUNDUP(((SUMIF($D$63:$D$69,$D64,$F$63:$F$69)+SUMIF($D$63:$D$69,$D65,$F$63:$F$69))/2*0.8*1.2),0)</f>
        <v>218</v>
      </c>
      <c r="AP63" s="152"/>
    </row>
    <row r="64" spans="2:42" ht="31.5" customHeight="1">
      <c r="B64" s="1063" t="s">
        <v>1068</v>
      </c>
      <c r="C64" s="1064"/>
      <c r="D64" s="680" t="s">
        <v>1043</v>
      </c>
      <c r="E64" s="695">
        <f>SUMIF($D$9:$D$59,$D64,$AP$9:$AP$59)</f>
        <v>216</v>
      </c>
      <c r="F64" s="680">
        <f t="shared" ref="F64:F65" si="2">CEILING((E64*1.05),1)</f>
        <v>227</v>
      </c>
      <c r="G64" s="706">
        <f>E64*0.05</f>
        <v>10.8</v>
      </c>
      <c r="H64" s="706">
        <f>E64*0.03</f>
        <v>6.4799999999999995</v>
      </c>
      <c r="I64" s="706">
        <f t="shared" ref="I64:I65" si="3">E64*0.03</f>
        <v>6.4799999999999995</v>
      </c>
      <c r="J64" s="706">
        <f>E64*0.03</f>
        <v>6.4799999999999995</v>
      </c>
      <c r="AP64" s="152"/>
    </row>
    <row r="65" spans="2:42" ht="31.5" customHeight="1">
      <c r="B65" s="1063" t="s">
        <v>1068</v>
      </c>
      <c r="C65" s="1064"/>
      <c r="D65" s="680" t="s">
        <v>1044</v>
      </c>
      <c r="E65" s="695">
        <f>SUMIF($D$9:$D$59,$D65,$AP$9:$AP$59)</f>
        <v>216</v>
      </c>
      <c r="F65" s="680">
        <f t="shared" si="2"/>
        <v>227</v>
      </c>
      <c r="G65" s="706">
        <f>E65*0.05</f>
        <v>10.8</v>
      </c>
      <c r="H65" s="706">
        <f>E65*0.03</f>
        <v>6.4799999999999995</v>
      </c>
      <c r="I65" s="706">
        <f t="shared" si="3"/>
        <v>6.4799999999999995</v>
      </c>
      <c r="J65" s="706"/>
      <c r="AP65" s="152"/>
    </row>
    <row r="66" spans="2:42" ht="12" customHeight="1">
      <c r="B66" s="1063"/>
      <c r="C66" s="1064"/>
      <c r="D66" s="680"/>
      <c r="E66" s="695"/>
      <c r="F66" s="680"/>
      <c r="G66" s="706"/>
      <c r="H66" s="706"/>
      <c r="I66" s="706"/>
      <c r="J66" s="706"/>
      <c r="AP66" s="152"/>
    </row>
    <row r="67" spans="2:42" ht="31.5" customHeight="1">
      <c r="B67" s="1063" t="s">
        <v>1069</v>
      </c>
      <c r="C67" s="1064"/>
      <c r="D67" s="680" t="s">
        <v>1056</v>
      </c>
      <c r="E67" s="695">
        <f>SUMIF($D$9:$D$59,$D67,$AP$9:$AP$59)</f>
        <v>475</v>
      </c>
      <c r="F67" s="680">
        <f t="shared" ref="F67:F72" si="4">CEILING((E67*1.05),1)</f>
        <v>499</v>
      </c>
      <c r="G67" s="706">
        <f>E67*0.05</f>
        <v>23.75</v>
      </c>
      <c r="H67" s="706">
        <f>E67*0.03</f>
        <v>14.25</v>
      </c>
      <c r="I67" s="706">
        <f t="shared" ref="I67:I69" si="5">E67*0.03</f>
        <v>14.25</v>
      </c>
      <c r="J67" s="706">
        <f t="shared" ref="J67:J68" si="6">E67*0.03</f>
        <v>14.25</v>
      </c>
      <c r="AP67" s="152"/>
    </row>
    <row r="68" spans="2:42" ht="31.5" customHeight="1">
      <c r="B68" s="1063" t="s">
        <v>1069</v>
      </c>
      <c r="C68" s="1064"/>
      <c r="D68" s="680" t="s">
        <v>1057</v>
      </c>
      <c r="E68" s="695">
        <f>SUMIF($D$9:$D$59,$D68,$AP$9:$AP$59)</f>
        <v>522</v>
      </c>
      <c r="F68" s="680">
        <f t="shared" si="4"/>
        <v>549</v>
      </c>
      <c r="G68" s="706">
        <f>E68*0.05</f>
        <v>26.1</v>
      </c>
      <c r="H68" s="706">
        <f>E68*0.03</f>
        <v>15.66</v>
      </c>
      <c r="I68" s="706">
        <f t="shared" si="5"/>
        <v>15.66</v>
      </c>
      <c r="J68" s="706">
        <f t="shared" si="6"/>
        <v>15.66</v>
      </c>
      <c r="AP68" s="152"/>
    </row>
    <row r="69" spans="2:42" ht="31.5" customHeight="1">
      <c r="B69" s="1063" t="s">
        <v>1069</v>
      </c>
      <c r="C69" s="1064"/>
      <c r="D69" s="680" t="s">
        <v>1058</v>
      </c>
      <c r="E69" s="695">
        <f>SUMIF($D$9:$D$59,$D69,$AP$9:$AP$59)</f>
        <v>72</v>
      </c>
      <c r="F69" s="680">
        <f t="shared" si="4"/>
        <v>76</v>
      </c>
      <c r="G69" s="706">
        <f>E69*0.05</f>
        <v>3.6</v>
      </c>
      <c r="H69" s="706">
        <f>E69*0.03</f>
        <v>2.16</v>
      </c>
      <c r="I69" s="706">
        <f t="shared" si="5"/>
        <v>2.16</v>
      </c>
      <c r="J69" s="706"/>
      <c r="AP69" s="152"/>
    </row>
    <row r="70" spans="2:42" ht="13.5" customHeight="1">
      <c r="B70" s="1063"/>
      <c r="C70" s="1064"/>
      <c r="D70" s="680"/>
      <c r="E70" s="680"/>
      <c r="F70" s="706"/>
      <c r="G70" s="706"/>
      <c r="H70" s="706"/>
      <c r="I70" s="697"/>
      <c r="AP70" s="152"/>
    </row>
    <row r="71" spans="2:42" ht="31.5" customHeight="1">
      <c r="B71" s="1063" t="s">
        <v>1070</v>
      </c>
      <c r="C71" s="1064"/>
      <c r="D71" s="680" t="s">
        <v>1056</v>
      </c>
      <c r="E71" s="680">
        <f>E67</f>
        <v>475</v>
      </c>
      <c r="F71" s="680">
        <f t="shared" si="4"/>
        <v>499</v>
      </c>
      <c r="G71" s="706"/>
      <c r="H71" s="706"/>
      <c r="I71" s="697"/>
      <c r="J71" s="706">
        <f t="shared" ref="J71:J72" si="7">E71*0.03</f>
        <v>14.25</v>
      </c>
      <c r="AP71" s="152"/>
    </row>
    <row r="72" spans="2:42" ht="31.5" customHeight="1">
      <c r="B72" s="1063" t="s">
        <v>1070</v>
      </c>
      <c r="C72" s="1064"/>
      <c r="D72" s="680" t="s">
        <v>1057</v>
      </c>
      <c r="E72" s="680">
        <f>SUM(N51,X51,AA51,AB51,AD51,AF51:AI51,AK51:AL51)</f>
        <v>459</v>
      </c>
      <c r="F72" s="680">
        <f t="shared" si="4"/>
        <v>482</v>
      </c>
      <c r="G72" s="678"/>
      <c r="H72" s="707"/>
      <c r="I72" s="697"/>
      <c r="J72" s="706">
        <f t="shared" si="7"/>
        <v>13.77</v>
      </c>
      <c r="K72" s="153"/>
      <c r="L72" s="153"/>
      <c r="M72" s="153"/>
      <c r="N72" s="153"/>
      <c r="O72" s="153"/>
      <c r="P72" s="153"/>
      <c r="Q72" s="153"/>
      <c r="R72" s="153"/>
      <c r="S72" s="153"/>
      <c r="T72" s="153"/>
      <c r="U72" s="153"/>
      <c r="V72" s="153"/>
      <c r="W72" s="153"/>
      <c r="X72" s="153"/>
      <c r="Y72" s="153"/>
      <c r="Z72" s="153"/>
      <c r="AA72" s="153"/>
      <c r="AB72" s="153"/>
      <c r="AC72" s="153"/>
      <c r="AD72" s="153"/>
      <c r="AE72" s="153"/>
      <c r="AF72" s="153"/>
      <c r="AG72" s="153"/>
      <c r="AH72" s="153"/>
      <c r="AI72" s="153"/>
      <c r="AJ72" s="153"/>
      <c r="AK72" s="153"/>
      <c r="AL72" s="153"/>
      <c r="AM72" s="154"/>
      <c r="AN72" s="153"/>
      <c r="AO72" s="154"/>
      <c r="AP72" s="155"/>
    </row>
  </sheetData>
  <autoFilter ref="B5:AP59" xr:uid="{2D92E427-02B6-43F2-9C9A-2B8E932D959D}"/>
  <mergeCells count="16">
    <mergeCell ref="B69:C69"/>
    <mergeCell ref="B71:C71"/>
    <mergeCell ref="B72:C72"/>
    <mergeCell ref="B70:C70"/>
    <mergeCell ref="B66:C66"/>
    <mergeCell ref="B63:C63"/>
    <mergeCell ref="B64:C64"/>
    <mergeCell ref="B65:C65"/>
    <mergeCell ref="B67:C67"/>
    <mergeCell ref="B68:C68"/>
    <mergeCell ref="B2:AP2"/>
    <mergeCell ref="AD3:AI3"/>
    <mergeCell ref="S3:Z3"/>
    <mergeCell ref="AK3:AL3"/>
    <mergeCell ref="O3:R3"/>
    <mergeCell ref="H3:N3"/>
  </mergeCells>
  <phoneticPr fontId="49" type="noConversion"/>
  <pageMargins left="0.7" right="0.7" top="0.75" bottom="0.75" header="0.3" footer="0.3"/>
  <pageSetup paperSize="8" scale="41"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E92F1-4670-4604-AFA9-62040B45A366}">
  <sheetPr codeName="Sheet14"/>
  <dimension ref="C3:I15"/>
  <sheetViews>
    <sheetView workbookViewId="0">
      <selection activeCell="D9" sqref="D9"/>
    </sheetView>
  </sheetViews>
  <sheetFormatPr defaultRowHeight="12.75"/>
  <cols>
    <col min="1" max="2" width="9.140625" style="69"/>
    <col min="3" max="3" width="16.7109375" style="69" customWidth="1"/>
    <col min="4" max="7" width="9.140625" style="69"/>
    <col min="8" max="8" width="2.28515625" style="69" customWidth="1"/>
    <col min="9" max="16384" width="9.140625" style="69"/>
  </cols>
  <sheetData>
    <row r="3" spans="3:9">
      <c r="I3" s="11" t="s">
        <v>1071</v>
      </c>
    </row>
    <row r="4" spans="3:9">
      <c r="D4" s="11" t="s">
        <v>1072</v>
      </c>
      <c r="E4" s="11" t="s">
        <v>1073</v>
      </c>
      <c r="F4" s="11" t="s">
        <v>1073</v>
      </c>
      <c r="G4" s="11" t="s">
        <v>1073</v>
      </c>
      <c r="I4" s="11" t="s">
        <v>1073</v>
      </c>
    </row>
    <row r="6" spans="3:9">
      <c r="C6" s="11" t="s">
        <v>1074</v>
      </c>
      <c r="D6" s="11" t="s">
        <v>1075</v>
      </c>
      <c r="E6" s="69">
        <v>1200</v>
      </c>
      <c r="F6" s="69">
        <v>600</v>
      </c>
      <c r="G6" s="69">
        <v>600</v>
      </c>
    </row>
    <row r="9" spans="3:9">
      <c r="C9" s="11" t="s">
        <v>1076</v>
      </c>
      <c r="D9" s="11" t="s">
        <v>1077</v>
      </c>
      <c r="E9" s="69">
        <v>1800</v>
      </c>
      <c r="F9" s="69">
        <v>900</v>
      </c>
      <c r="G9" s="69">
        <v>900</v>
      </c>
    </row>
    <row r="11" spans="3:9">
      <c r="C11" s="11" t="s">
        <v>1078</v>
      </c>
      <c r="D11" s="69">
        <v>1200</v>
      </c>
      <c r="E11" s="69">
        <v>600</v>
      </c>
      <c r="F11" s="69">
        <v>300</v>
      </c>
      <c r="G11" s="69">
        <v>300</v>
      </c>
      <c r="I11" s="69">
        <v>600</v>
      </c>
    </row>
    <row r="13" spans="3:9">
      <c r="C13" s="11" t="s">
        <v>472</v>
      </c>
      <c r="D13" s="69">
        <v>1200</v>
      </c>
    </row>
    <row r="15" spans="3:9">
      <c r="C15" s="11" t="s">
        <v>1079</v>
      </c>
      <c r="D15" s="69">
        <v>600</v>
      </c>
      <c r="E15" s="69">
        <v>600</v>
      </c>
      <c r="F15" s="69">
        <v>300</v>
      </c>
      <c r="G15" s="69">
        <v>300</v>
      </c>
    </row>
  </sheetData>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274DF-685D-49BE-8E7F-25535E8A5425}">
  <sheetPr codeName="Sheet15" filterMode="1">
    <tabColor rgb="FFFFFF00"/>
    <pageSetUpPr fitToPage="1"/>
  </sheetPr>
  <dimension ref="A1:HU324"/>
  <sheetViews>
    <sheetView view="pageBreakPreview" zoomScale="55" zoomScaleNormal="70" zoomScaleSheetLayoutView="55" zoomScalePageLayoutView="70" workbookViewId="0">
      <pane xSplit="4" ySplit="5" topLeftCell="E40" activePane="bottomRight" state="frozen"/>
      <selection activeCell="D18" sqref="D18"/>
      <selection pane="topRight" activeCell="D18" sqref="D18"/>
      <selection pane="bottomLeft" activeCell="D18" sqref="D18"/>
      <selection pane="bottomRight" activeCell="H87" sqref="H87"/>
    </sheetView>
  </sheetViews>
  <sheetFormatPr defaultRowHeight="14.25"/>
  <cols>
    <col min="1" max="1" width="10.42578125" style="61" customWidth="1"/>
    <col min="2" max="2" width="17.140625" style="61" customWidth="1"/>
    <col min="3" max="3" width="28" style="184" customWidth="1"/>
    <col min="4" max="4" width="63.85546875" style="63" customWidth="1"/>
    <col min="5" max="5" width="32.42578125" style="78" bestFit="1" customWidth="1"/>
    <col min="6" max="6" width="8" style="62" customWidth="1"/>
    <col min="7" max="7" width="13.140625" style="61" customWidth="1"/>
    <col min="8" max="8" width="9" style="61" customWidth="1"/>
    <col min="9" max="9" width="8.5703125" style="61" customWidth="1"/>
    <col min="10" max="10" width="9" style="61" customWidth="1"/>
    <col min="11" max="11" width="9.42578125" style="61" customWidth="1"/>
    <col min="12" max="12" width="7.7109375" style="61" customWidth="1"/>
    <col min="13" max="13" width="9.85546875" style="61" customWidth="1"/>
    <col min="14" max="15" width="9.5703125" style="61" customWidth="1"/>
    <col min="16" max="16" width="9.7109375" style="61" customWidth="1"/>
    <col min="17" max="17" width="13.5703125" style="61" customWidth="1"/>
    <col min="18" max="18" width="12.5703125" style="61" customWidth="1"/>
    <col min="19" max="19" width="15.42578125" style="61" customWidth="1"/>
    <col min="20" max="20" width="11.85546875" style="61" customWidth="1"/>
    <col min="21" max="21" width="8.140625" style="61" customWidth="1"/>
    <col min="22" max="22" width="8" style="61" customWidth="1"/>
    <col min="23" max="23" width="11.85546875" style="61" customWidth="1"/>
    <col min="24" max="24" width="12.85546875" style="61" customWidth="1"/>
    <col min="25" max="25" width="9.7109375" style="61" customWidth="1"/>
    <col min="26" max="26" width="10.85546875" style="61" hidden="1" customWidth="1"/>
    <col min="27" max="27" width="12.7109375" style="61" hidden="1" customWidth="1"/>
    <col min="28" max="28" width="11.85546875" style="61" hidden="1" customWidth="1"/>
    <col min="29" max="29" width="10" style="61" customWidth="1"/>
    <col min="30" max="30" width="11.85546875" style="81" customWidth="1"/>
    <col min="31" max="31" width="9.140625" style="61" customWidth="1"/>
    <col min="32" max="32" width="10.28515625" style="61" customWidth="1"/>
    <col min="33" max="33" width="9.140625" style="61" customWidth="1"/>
    <col min="34" max="34" width="12.42578125" style="61" customWidth="1"/>
    <col min="35" max="35" width="9.85546875" style="61" customWidth="1"/>
    <col min="36" max="36" width="7.85546875" style="61" customWidth="1"/>
    <col min="37" max="37" width="12.28515625" style="61" customWidth="1"/>
    <col min="38" max="38" width="9" style="61" customWidth="1"/>
    <col min="39" max="39" width="12" style="61" customWidth="1"/>
    <col min="40" max="41" width="11.28515625" style="61" customWidth="1"/>
    <col min="42" max="42" width="9.5703125" style="61" customWidth="1"/>
    <col min="43" max="43" width="12" style="61" customWidth="1"/>
    <col min="44" max="44" width="11" style="61" customWidth="1"/>
    <col min="45" max="45" width="14" style="61" customWidth="1"/>
    <col min="46" max="46" width="11" style="61" customWidth="1"/>
    <col min="47" max="47" width="12.5703125" style="61" customWidth="1"/>
    <col min="48" max="49" width="31.42578125" style="61" customWidth="1"/>
    <col min="50" max="50" width="12.5703125" style="61" customWidth="1"/>
    <col min="51" max="51" width="13.85546875" style="61" customWidth="1"/>
    <col min="52" max="52" width="12.5703125" style="61" customWidth="1"/>
    <col min="53" max="53" width="26.140625" style="61" customWidth="1"/>
    <col min="54" max="55" width="12.5703125" style="62" customWidth="1"/>
    <col min="56" max="56" width="9.140625" style="61" customWidth="1"/>
    <col min="57" max="75" width="4.7109375" style="61" customWidth="1"/>
    <col min="76" max="82" width="5.28515625" style="61" customWidth="1"/>
    <col min="83" max="125" width="4.7109375" style="61" customWidth="1"/>
    <col min="126" max="126" width="7.28515625" style="61" customWidth="1"/>
    <col min="127" max="127" width="9.140625" style="61" customWidth="1"/>
    <col min="128" max="181" width="7" style="61" customWidth="1"/>
    <col min="182" max="16384" width="9.140625" style="61"/>
  </cols>
  <sheetData>
    <row r="1" spans="1:195" ht="24.75" customHeight="1">
      <c r="A1" s="929"/>
      <c r="B1" s="929"/>
      <c r="C1" s="929"/>
      <c r="D1" s="929"/>
      <c r="E1" s="1065"/>
      <c r="F1" s="929"/>
      <c r="G1" s="929"/>
      <c r="H1" s="929"/>
      <c r="I1" s="929"/>
      <c r="J1" s="929"/>
      <c r="K1" s="929"/>
      <c r="L1" s="930"/>
      <c r="M1" s="930"/>
      <c r="N1" s="930"/>
      <c r="O1" s="930"/>
      <c r="P1" s="930"/>
      <c r="Q1" s="930"/>
      <c r="R1" s="930"/>
      <c r="S1" s="930"/>
      <c r="T1" s="930"/>
      <c r="U1" s="930"/>
      <c r="V1" s="930"/>
      <c r="W1" s="930"/>
      <c r="X1" s="930"/>
      <c r="Y1" s="930"/>
      <c r="Z1" s="930"/>
      <c r="AA1" s="930"/>
      <c r="AB1" s="930"/>
      <c r="AC1" s="930"/>
      <c r="AD1" s="930"/>
      <c r="AE1" s="930"/>
      <c r="AF1" s="930"/>
      <c r="AG1" s="930"/>
      <c r="AH1" s="930"/>
      <c r="AI1" s="930"/>
      <c r="AJ1" s="930"/>
      <c r="AK1" s="930"/>
      <c r="AL1" s="930"/>
      <c r="AM1" s="930"/>
      <c r="AN1" s="930"/>
      <c r="AO1" s="930"/>
      <c r="AP1" s="930"/>
      <c r="AQ1" s="930"/>
      <c r="AR1" s="930"/>
      <c r="AS1" s="930"/>
      <c r="AT1" s="929"/>
      <c r="AU1" s="929"/>
      <c r="AV1" s="929"/>
    </row>
    <row r="2" spans="1:195" ht="30.75" customHeight="1">
      <c r="A2" s="931" t="s">
        <v>1080</v>
      </c>
      <c r="B2" s="931"/>
      <c r="C2" s="931"/>
      <c r="D2" s="931"/>
      <c r="E2" s="1066"/>
      <c r="F2" s="931"/>
      <c r="G2" s="931"/>
      <c r="H2" s="931"/>
      <c r="I2" s="931"/>
      <c r="J2" s="931"/>
      <c r="K2" s="931"/>
      <c r="L2" s="931"/>
      <c r="M2" s="931"/>
      <c r="N2" s="931"/>
      <c r="O2" s="931"/>
      <c r="P2" s="931"/>
      <c r="Q2" s="931"/>
      <c r="R2" s="931"/>
      <c r="S2" s="931"/>
      <c r="T2" s="931"/>
      <c r="U2" s="931"/>
      <c r="V2" s="931"/>
      <c r="W2" s="931"/>
      <c r="X2" s="931"/>
      <c r="Y2" s="931"/>
      <c r="Z2" s="931"/>
      <c r="AA2" s="931"/>
      <c r="AB2" s="931"/>
      <c r="AC2" s="931"/>
      <c r="AD2" s="931"/>
      <c r="AE2" s="931"/>
      <c r="AF2" s="931"/>
      <c r="AG2" s="931"/>
      <c r="AH2" s="931"/>
      <c r="AI2" s="931"/>
      <c r="AJ2" s="931"/>
      <c r="AK2" s="931"/>
      <c r="AL2" s="931"/>
      <c r="AM2" s="931"/>
      <c r="AN2" s="931"/>
      <c r="AO2" s="931"/>
      <c r="AP2" s="931"/>
      <c r="AQ2" s="931"/>
      <c r="AR2" s="931"/>
      <c r="AS2" s="931"/>
      <c r="AT2" s="931"/>
      <c r="AU2" s="931"/>
      <c r="AV2" s="931"/>
      <c r="AW2" s="931"/>
      <c r="AX2" s="931"/>
      <c r="AY2" s="931"/>
      <c r="AZ2" s="931"/>
      <c r="BA2" s="931"/>
      <c r="BB2" s="320"/>
      <c r="BC2" s="320"/>
    </row>
    <row r="3" spans="1:195" s="11" customFormat="1" ht="25.5" customHeight="1">
      <c r="A3" s="932" t="s">
        <v>240</v>
      </c>
      <c r="B3" s="321"/>
      <c r="C3" s="325"/>
      <c r="D3" s="933" t="s">
        <v>241</v>
      </c>
      <c r="E3" s="1067"/>
      <c r="F3" s="933"/>
      <c r="G3" s="933"/>
      <c r="H3" s="933"/>
      <c r="I3" s="933"/>
      <c r="J3" s="933"/>
      <c r="K3" s="933"/>
      <c r="L3" s="933"/>
      <c r="M3" s="933"/>
      <c r="N3" s="933"/>
      <c r="O3" s="933"/>
      <c r="P3" s="933"/>
      <c r="Q3" s="928" t="s">
        <v>242</v>
      </c>
      <c r="R3" s="928"/>
      <c r="S3" s="928"/>
      <c r="T3" s="928" t="s">
        <v>243</v>
      </c>
      <c r="U3" s="928"/>
      <c r="V3" s="928"/>
      <c r="W3" s="928"/>
      <c r="X3" s="928"/>
      <c r="Y3" s="928"/>
      <c r="Z3" s="928"/>
      <c r="AA3" s="928"/>
      <c r="AB3" s="928"/>
      <c r="AC3" s="928"/>
      <c r="AD3" s="928"/>
      <c r="AE3" s="928"/>
      <c r="AF3" s="928"/>
      <c r="AG3" s="928"/>
      <c r="AH3" s="928"/>
      <c r="AI3" s="928" t="s">
        <v>244</v>
      </c>
      <c r="AJ3" s="928"/>
      <c r="AK3" s="928"/>
      <c r="AL3" s="928"/>
      <c r="AM3" s="928"/>
      <c r="AN3" s="928"/>
      <c r="AO3" s="928" t="s">
        <v>245</v>
      </c>
      <c r="AP3" s="928"/>
      <c r="AQ3" s="928"/>
      <c r="AR3" s="928" t="s">
        <v>246</v>
      </c>
      <c r="AS3" s="928"/>
      <c r="AT3" s="928" t="s">
        <v>247</v>
      </c>
      <c r="AU3" s="928"/>
      <c r="AV3" s="928" t="s">
        <v>248</v>
      </c>
      <c r="AW3" s="928"/>
      <c r="AX3" s="928"/>
      <c r="AY3" s="323"/>
      <c r="AZ3" s="323"/>
      <c r="BA3" s="323"/>
      <c r="BB3" s="708"/>
      <c r="BC3" s="708"/>
    </row>
    <row r="4" spans="1:195" s="11" customFormat="1" ht="80.25" customHeight="1">
      <c r="A4" s="932"/>
      <c r="B4" s="323" t="s">
        <v>249</v>
      </c>
      <c r="C4" s="323" t="s">
        <v>250</v>
      </c>
      <c r="D4" s="323" t="s">
        <v>251</v>
      </c>
      <c r="E4" s="323" t="s">
        <v>252</v>
      </c>
      <c r="F4" s="323" t="s">
        <v>483</v>
      </c>
      <c r="G4" s="323" t="s">
        <v>254</v>
      </c>
      <c r="H4" s="323" t="s">
        <v>255</v>
      </c>
      <c r="I4" s="323" t="s">
        <v>484</v>
      </c>
      <c r="J4" s="323" t="s">
        <v>257</v>
      </c>
      <c r="K4" s="323" t="s">
        <v>258</v>
      </c>
      <c r="L4" s="323" t="s">
        <v>259</v>
      </c>
      <c r="M4" s="323" t="s">
        <v>260</v>
      </c>
      <c r="N4" s="323" t="s">
        <v>261</v>
      </c>
      <c r="O4" s="323" t="s">
        <v>262</v>
      </c>
      <c r="P4" s="323" t="s">
        <v>263</v>
      </c>
      <c r="Q4" s="323" t="s">
        <v>1081</v>
      </c>
      <c r="R4" s="323" t="s">
        <v>265</v>
      </c>
      <c r="S4" s="323" t="s">
        <v>266</v>
      </c>
      <c r="T4" s="323" t="s">
        <v>267</v>
      </c>
      <c r="U4" s="323" t="s">
        <v>268</v>
      </c>
      <c r="V4" s="323" t="s">
        <v>269</v>
      </c>
      <c r="W4" s="323" t="s">
        <v>270</v>
      </c>
      <c r="X4" s="323" t="s">
        <v>271</v>
      </c>
      <c r="Y4" s="323" t="s">
        <v>272</v>
      </c>
      <c r="Z4" s="323" t="s">
        <v>1082</v>
      </c>
      <c r="AA4" s="323" t="s">
        <v>274</v>
      </c>
      <c r="AB4" s="323" t="s">
        <v>275</v>
      </c>
      <c r="AC4" s="323" t="s">
        <v>276</v>
      </c>
      <c r="AD4" s="323" t="s">
        <v>277</v>
      </c>
      <c r="AE4" s="323" t="s">
        <v>278</v>
      </c>
      <c r="AF4" s="323" t="s">
        <v>279</v>
      </c>
      <c r="AG4" s="323" t="s">
        <v>280</v>
      </c>
      <c r="AH4" s="323" t="s">
        <v>485</v>
      </c>
      <c r="AI4" s="323" t="s">
        <v>1083</v>
      </c>
      <c r="AJ4" s="323" t="s">
        <v>282</v>
      </c>
      <c r="AK4" s="323" t="s">
        <v>283</v>
      </c>
      <c r="AL4" s="323" t="s">
        <v>284</v>
      </c>
      <c r="AM4" s="323" t="s">
        <v>285</v>
      </c>
      <c r="AN4" s="323" t="s">
        <v>286</v>
      </c>
      <c r="AO4" s="323" t="s">
        <v>1084</v>
      </c>
      <c r="AP4" s="323" t="s">
        <v>288</v>
      </c>
      <c r="AQ4" s="323" t="s">
        <v>289</v>
      </c>
      <c r="AR4" s="323" t="s">
        <v>1085</v>
      </c>
      <c r="AS4" s="323" t="s">
        <v>1086</v>
      </c>
      <c r="AT4" s="323" t="s">
        <v>1087</v>
      </c>
      <c r="AU4" s="323" t="s">
        <v>1088</v>
      </c>
      <c r="AV4" s="849" t="s">
        <v>296</v>
      </c>
      <c r="AW4" s="323" t="s">
        <v>296</v>
      </c>
      <c r="AX4" s="323" t="s">
        <v>1602</v>
      </c>
      <c r="AY4" s="323" t="s">
        <v>297</v>
      </c>
      <c r="AZ4" s="323" t="s">
        <v>299</v>
      </c>
      <c r="BA4" s="324" t="s">
        <v>300</v>
      </c>
      <c r="BB4" s="323" t="s">
        <v>486</v>
      </c>
      <c r="BC4" s="323" t="s">
        <v>302</v>
      </c>
      <c r="BE4" s="323" t="s">
        <v>27</v>
      </c>
      <c r="BF4" s="323" t="s">
        <v>28</v>
      </c>
      <c r="BG4" s="323" t="s">
        <v>29</v>
      </c>
      <c r="BH4" s="323" t="s">
        <v>30</v>
      </c>
      <c r="BI4" s="323" t="s">
        <v>31</v>
      </c>
      <c r="BJ4" s="323" t="s">
        <v>32</v>
      </c>
      <c r="BK4" s="323" t="s">
        <v>33</v>
      </c>
      <c r="BL4" s="323" t="s">
        <v>34</v>
      </c>
      <c r="BM4" s="323" t="s">
        <v>35</v>
      </c>
      <c r="BN4" s="323" t="s">
        <v>36</v>
      </c>
      <c r="BO4" s="323" t="s">
        <v>37</v>
      </c>
      <c r="BP4" s="323" t="s">
        <v>38</v>
      </c>
      <c r="BQ4" s="323" t="s">
        <v>39</v>
      </c>
      <c r="BR4" s="323" t="s">
        <v>40</v>
      </c>
      <c r="BS4" s="323" t="s">
        <v>41</v>
      </c>
      <c r="BT4" s="323" t="s">
        <v>42</v>
      </c>
      <c r="BU4" s="323" t="s">
        <v>43</v>
      </c>
      <c r="BV4" s="323" t="s">
        <v>44</v>
      </c>
      <c r="BW4" s="323" t="s">
        <v>45</v>
      </c>
      <c r="BX4" s="323" t="s">
        <v>50</v>
      </c>
      <c r="BY4" s="323" t="s">
        <v>303</v>
      </c>
      <c r="BZ4" s="323" t="s">
        <v>51</v>
      </c>
      <c r="CA4" s="323" t="s">
        <v>304</v>
      </c>
      <c r="CB4" s="323" t="s">
        <v>1614</v>
      </c>
      <c r="CC4" s="323" t="s">
        <v>488</v>
      </c>
      <c r="CD4" s="323" t="s">
        <v>52</v>
      </c>
      <c r="CE4" s="323" t="s">
        <v>56</v>
      </c>
      <c r="CF4" s="323" t="s">
        <v>57</v>
      </c>
      <c r="CG4" s="323" t="s">
        <v>58</v>
      </c>
      <c r="CH4" s="323" t="s">
        <v>59</v>
      </c>
      <c r="CI4" s="323" t="s">
        <v>60</v>
      </c>
      <c r="CJ4" s="323" t="s">
        <v>61</v>
      </c>
      <c r="CK4" s="323" t="s">
        <v>306</v>
      </c>
      <c r="CL4" s="323" t="s">
        <v>307</v>
      </c>
      <c r="CM4" s="323" t="s">
        <v>308</v>
      </c>
      <c r="CN4" s="323" t="s">
        <v>309</v>
      </c>
      <c r="CO4" s="323" t="s">
        <v>310</v>
      </c>
      <c r="CP4" s="323" t="s">
        <v>62</v>
      </c>
      <c r="CQ4" s="323" t="s">
        <v>311</v>
      </c>
      <c r="CR4" s="323" t="s">
        <v>63</v>
      </c>
      <c r="CS4" s="323" t="s">
        <v>312</v>
      </c>
      <c r="CT4" s="323" t="s">
        <v>313</v>
      </c>
      <c r="CU4" s="323" t="s">
        <v>64</v>
      </c>
      <c r="CV4" s="323" t="s">
        <v>65</v>
      </c>
      <c r="CW4" s="323" t="s">
        <v>66</v>
      </c>
      <c r="CX4" s="323" t="s">
        <v>67</v>
      </c>
      <c r="CY4" s="323" t="s">
        <v>68</v>
      </c>
      <c r="CZ4" s="323" t="s">
        <v>69</v>
      </c>
      <c r="DA4" s="323" t="s">
        <v>70</v>
      </c>
      <c r="DB4" s="323" t="s">
        <v>314</v>
      </c>
      <c r="DC4" s="323" t="s">
        <v>315</v>
      </c>
      <c r="DD4" s="323" t="s">
        <v>1611</v>
      </c>
      <c r="DE4" s="323" t="s">
        <v>1612</v>
      </c>
      <c r="DF4" s="323" t="s">
        <v>1613</v>
      </c>
      <c r="DG4" s="323" t="s">
        <v>71</v>
      </c>
      <c r="DH4" s="323" t="s">
        <v>72</v>
      </c>
      <c r="DI4" s="323" t="s">
        <v>73</v>
      </c>
      <c r="DJ4" s="323" t="s">
        <v>316</v>
      </c>
      <c r="DK4" s="323" t="s">
        <v>317</v>
      </c>
      <c r="DL4" s="323" t="s">
        <v>74</v>
      </c>
      <c r="DM4" s="323" t="s">
        <v>318</v>
      </c>
      <c r="DN4" s="323" t="s">
        <v>319</v>
      </c>
      <c r="DO4" s="323" t="s">
        <v>320</v>
      </c>
      <c r="DP4" s="323" t="s">
        <v>321</v>
      </c>
      <c r="DQ4" s="323" t="s">
        <v>75</v>
      </c>
      <c r="DR4" s="323" t="s">
        <v>323</v>
      </c>
      <c r="DS4" s="323" t="s">
        <v>341</v>
      </c>
      <c r="DT4" s="323" t="s">
        <v>324</v>
      </c>
      <c r="DU4" s="323" t="s">
        <v>325</v>
      </c>
      <c r="DW4" s="323" t="s">
        <v>27</v>
      </c>
      <c r="DX4" s="323" t="s">
        <v>28</v>
      </c>
      <c r="DY4" s="323" t="s">
        <v>29</v>
      </c>
      <c r="DZ4" s="323" t="s">
        <v>30</v>
      </c>
      <c r="EA4" s="323" t="s">
        <v>31</v>
      </c>
      <c r="EB4" s="323" t="s">
        <v>32</v>
      </c>
      <c r="EC4" s="323" t="s">
        <v>33</v>
      </c>
      <c r="ED4" s="323" t="s">
        <v>34</v>
      </c>
      <c r="EE4" s="323" t="s">
        <v>35</v>
      </c>
      <c r="EF4" s="323" t="s">
        <v>36</v>
      </c>
      <c r="EG4" s="323" t="s">
        <v>37</v>
      </c>
      <c r="EH4" s="323" t="s">
        <v>38</v>
      </c>
      <c r="EI4" s="323" t="s">
        <v>39</v>
      </c>
      <c r="EJ4" s="323" t="s">
        <v>40</v>
      </c>
      <c r="EK4" s="323" t="s">
        <v>41</v>
      </c>
      <c r="EL4" s="323" t="s">
        <v>42</v>
      </c>
      <c r="EM4" s="323" t="s">
        <v>43</v>
      </c>
      <c r="EN4" s="323" t="s">
        <v>44</v>
      </c>
      <c r="EO4" s="323" t="s">
        <v>45</v>
      </c>
      <c r="EP4" s="323" t="s">
        <v>50</v>
      </c>
      <c r="EQ4" s="323" t="s">
        <v>303</v>
      </c>
      <c r="ER4" s="323" t="s">
        <v>51</v>
      </c>
      <c r="ES4" s="323" t="s">
        <v>304</v>
      </c>
      <c r="ET4" s="323" t="s">
        <v>1614</v>
      </c>
      <c r="EU4" s="323" t="s">
        <v>488</v>
      </c>
      <c r="EV4" s="323" t="s">
        <v>52</v>
      </c>
      <c r="EW4" s="323" t="s">
        <v>56</v>
      </c>
      <c r="EX4" s="323" t="s">
        <v>57</v>
      </c>
      <c r="EY4" s="323" t="s">
        <v>58</v>
      </c>
      <c r="EZ4" s="323" t="s">
        <v>59</v>
      </c>
      <c r="FA4" s="323" t="s">
        <v>60</v>
      </c>
      <c r="FB4" s="323" t="s">
        <v>61</v>
      </c>
      <c r="FC4" s="323" t="s">
        <v>306</v>
      </c>
      <c r="FD4" s="323" t="s">
        <v>307</v>
      </c>
      <c r="FE4" s="323" t="s">
        <v>308</v>
      </c>
      <c r="FF4" s="323" t="s">
        <v>309</v>
      </c>
      <c r="FG4" s="323" t="s">
        <v>310</v>
      </c>
      <c r="FH4" s="323" t="s">
        <v>62</v>
      </c>
      <c r="FI4" s="323" t="s">
        <v>311</v>
      </c>
      <c r="FJ4" s="323" t="s">
        <v>63</v>
      </c>
      <c r="FK4" s="323" t="s">
        <v>312</v>
      </c>
      <c r="FL4" s="323" t="s">
        <v>313</v>
      </c>
      <c r="FM4" s="323" t="s">
        <v>64</v>
      </c>
      <c r="FN4" s="323" t="s">
        <v>65</v>
      </c>
      <c r="FO4" s="323" t="s">
        <v>66</v>
      </c>
      <c r="FP4" s="323" t="s">
        <v>67</v>
      </c>
      <c r="FQ4" s="323" t="s">
        <v>68</v>
      </c>
      <c r="FR4" s="323" t="s">
        <v>69</v>
      </c>
      <c r="FS4" s="323" t="s">
        <v>70</v>
      </c>
      <c r="FT4" s="323" t="s">
        <v>314</v>
      </c>
      <c r="FU4" s="323" t="s">
        <v>315</v>
      </c>
      <c r="FV4" s="323" t="s">
        <v>1611</v>
      </c>
      <c r="FW4" s="323" t="s">
        <v>1612</v>
      </c>
      <c r="FX4" s="323" t="s">
        <v>1613</v>
      </c>
      <c r="FY4" s="323" t="s">
        <v>71</v>
      </c>
      <c r="FZ4" s="323" t="s">
        <v>72</v>
      </c>
      <c r="GA4" s="323" t="s">
        <v>73</v>
      </c>
      <c r="GB4" s="323" t="s">
        <v>316</v>
      </c>
      <c r="GC4" s="323" t="s">
        <v>317</v>
      </c>
      <c r="GD4" s="323" t="s">
        <v>74</v>
      </c>
      <c r="GE4" s="323" t="s">
        <v>318</v>
      </c>
      <c r="GF4" s="323" t="s">
        <v>319</v>
      </c>
      <c r="GG4" s="323" t="s">
        <v>320</v>
      </c>
      <c r="GH4" s="323" t="s">
        <v>321</v>
      </c>
      <c r="GI4" s="323" t="s">
        <v>75</v>
      </c>
      <c r="GJ4" s="323" t="s">
        <v>323</v>
      </c>
      <c r="GK4" s="323" t="s">
        <v>341</v>
      </c>
      <c r="GL4" s="323" t="s">
        <v>324</v>
      </c>
      <c r="GM4" s="323" t="s">
        <v>325</v>
      </c>
    </row>
    <row r="5" spans="1:195" s="62" customFormat="1" ht="30.75" customHeight="1">
      <c r="A5" s="321"/>
      <c r="B5" s="321"/>
      <c r="C5" s="325"/>
      <c r="D5" s="325" t="s">
        <v>419</v>
      </c>
      <c r="E5" s="412"/>
      <c r="F5" s="321"/>
      <c r="G5" s="321"/>
      <c r="H5" s="321"/>
      <c r="I5" s="321"/>
      <c r="J5" s="321"/>
      <c r="K5" s="321"/>
      <c r="L5" s="321"/>
      <c r="M5" s="321"/>
      <c r="N5" s="321"/>
      <c r="O5" s="321"/>
      <c r="P5" s="321"/>
      <c r="Q5" s="321"/>
      <c r="R5" s="321"/>
      <c r="S5" s="321"/>
      <c r="T5" s="321"/>
      <c r="U5" s="321"/>
      <c r="V5" s="321"/>
      <c r="W5" s="321"/>
      <c r="X5" s="321"/>
      <c r="Y5" s="321"/>
      <c r="Z5" s="321"/>
      <c r="AA5" s="321"/>
      <c r="AB5" s="321"/>
      <c r="AC5" s="321"/>
      <c r="AD5" s="709"/>
      <c r="AE5" s="321"/>
      <c r="AF5" s="321"/>
      <c r="AG5" s="321"/>
      <c r="AH5" s="321"/>
      <c r="AI5" s="321"/>
      <c r="AJ5" s="321"/>
      <c r="AK5" s="321"/>
      <c r="AL5" s="321"/>
      <c r="AM5" s="321"/>
      <c r="AN5" s="321"/>
      <c r="AO5" s="321"/>
      <c r="AP5" s="321"/>
      <c r="AQ5" s="321"/>
      <c r="AR5" s="321"/>
      <c r="AS5" s="321"/>
      <c r="AT5" s="321"/>
      <c r="AU5" s="321"/>
      <c r="AV5" s="327"/>
      <c r="AW5" s="327"/>
      <c r="AX5" s="321"/>
      <c r="AY5" s="327"/>
      <c r="AZ5" s="327"/>
      <c r="BA5" s="327"/>
      <c r="BB5" s="327"/>
      <c r="BC5" s="321"/>
      <c r="BE5" s="321"/>
      <c r="BF5" s="321"/>
      <c r="BG5" s="321"/>
      <c r="BH5" s="321"/>
      <c r="BI5" s="321"/>
      <c r="BJ5" s="321"/>
      <c r="BK5" s="321"/>
      <c r="BL5" s="321"/>
      <c r="BM5" s="321"/>
      <c r="BN5" s="321"/>
      <c r="BO5" s="321"/>
      <c r="BP5" s="321"/>
      <c r="BQ5" s="321"/>
      <c r="BR5" s="321"/>
      <c r="BS5" s="321"/>
      <c r="BT5" s="321"/>
      <c r="BU5" s="321"/>
      <c r="BV5" s="321"/>
      <c r="BW5" s="321"/>
      <c r="BX5" s="321"/>
      <c r="BY5" s="321"/>
      <c r="BZ5" s="321"/>
      <c r="CA5" s="321"/>
      <c r="CB5" s="321"/>
      <c r="CC5" s="321"/>
      <c r="CD5" s="321"/>
      <c r="CE5" s="321"/>
      <c r="CF5" s="321"/>
      <c r="CG5" s="321"/>
      <c r="CH5" s="321"/>
      <c r="CI5" s="321"/>
      <c r="CJ5" s="321"/>
      <c r="CK5" s="321"/>
      <c r="CL5" s="321"/>
      <c r="CM5" s="321"/>
      <c r="CN5" s="321"/>
      <c r="CO5" s="321"/>
      <c r="CP5" s="321"/>
      <c r="CQ5" s="321"/>
      <c r="CR5" s="321"/>
      <c r="CS5" s="321"/>
      <c r="CT5" s="321"/>
      <c r="CU5" s="321"/>
      <c r="CV5" s="321"/>
      <c r="CW5" s="321"/>
      <c r="CX5" s="321"/>
      <c r="CY5" s="321"/>
      <c r="CZ5" s="321"/>
      <c r="DA5" s="321"/>
      <c r="DB5" s="321"/>
      <c r="DC5" s="321"/>
      <c r="DD5" s="321"/>
      <c r="DE5" s="321"/>
      <c r="DF5" s="321"/>
      <c r="DG5" s="321"/>
      <c r="DH5" s="327"/>
      <c r="DI5" s="327"/>
      <c r="DJ5" s="327"/>
      <c r="DK5" s="327"/>
      <c r="DL5" s="327"/>
      <c r="DM5" s="327"/>
      <c r="DN5" s="327"/>
      <c r="DO5" s="327"/>
      <c r="DP5" s="327"/>
      <c r="DQ5" s="321"/>
      <c r="DR5" s="327"/>
      <c r="DS5" s="327"/>
      <c r="DT5" s="327"/>
      <c r="DU5" s="321"/>
      <c r="DW5" s="336">
        <f t="shared" ref="DW5:DW6" si="0">IF(BE5=1,($BC5*BE5),0)</f>
        <v>0</v>
      </c>
      <c r="DX5" s="336">
        <f t="shared" ref="DX5:DX85" si="1">IF(BF5=1,($BC5*BF5),0)</f>
        <v>0</v>
      </c>
      <c r="DY5" s="336">
        <f t="shared" ref="DY5:DY85" si="2">IF(BG5=1,($BC5*BG5),0)</f>
        <v>0</v>
      </c>
      <c r="DZ5" s="336">
        <f t="shared" ref="DZ5:DZ85" si="3">IF(BH5=1,($BC5*BH5),0)</f>
        <v>0</v>
      </c>
      <c r="EA5" s="336">
        <f t="shared" ref="EA5:EA85" si="4">IF(BI5=1,($BC5*BI5),0)</f>
        <v>0</v>
      </c>
      <c r="EB5" s="336">
        <f t="shared" ref="EB5:EB85" si="5">IF(BJ5=1,($BC5*BJ5),0)</f>
        <v>0</v>
      </c>
      <c r="EC5" s="336">
        <f t="shared" ref="EC5:EC85" si="6">IF(BK5=1,($BC5*BK5),0)</f>
        <v>0</v>
      </c>
      <c r="ED5" s="336">
        <f t="shared" ref="ED5:ED85" si="7">IF(BL5=1,($BC5*BL5),0)</f>
        <v>0</v>
      </c>
      <c r="EE5" s="336">
        <f t="shared" ref="EE5:EE85" si="8">IF(BM5=1,($BC5*BM5),0)</f>
        <v>0</v>
      </c>
      <c r="EF5" s="336">
        <f t="shared" ref="EF5:EF85" si="9">IF(BN5=1,($BC5*BN5),0)</f>
        <v>0</v>
      </c>
      <c r="EG5" s="336">
        <f t="shared" ref="EG5:EG85" si="10">IF(BO5=1,($BC5*BO5),0)</f>
        <v>0</v>
      </c>
      <c r="EH5" s="336">
        <f t="shared" ref="EH5:EH85" si="11">IF(BP5=1,($BC5*BP5),0)</f>
        <v>0</v>
      </c>
      <c r="EI5" s="336">
        <f t="shared" ref="EI5:EI85" si="12">IF(BQ5=1,($BC5*BQ5),0)</f>
        <v>0</v>
      </c>
      <c r="EJ5" s="336">
        <f t="shared" ref="EJ5:EJ85" si="13">IF(BR5=1,($BC5*BR5),0)</f>
        <v>0</v>
      </c>
      <c r="EK5" s="336">
        <f t="shared" ref="EK5:EK85" si="14">IF(BS5=1,($BC5*BS5),0)</f>
        <v>0</v>
      </c>
      <c r="EL5" s="336">
        <f t="shared" ref="EL5:EL85" si="15">IF(BT5=1,($BC5*BT5),0)</f>
        <v>0</v>
      </c>
      <c r="EM5" s="336">
        <f t="shared" ref="EM5:EM85" si="16">IF(BU5=1,($BC5*BU5),0)</f>
        <v>0</v>
      </c>
      <c r="EN5" s="336">
        <f t="shared" ref="EN5:EN85" si="17">IF(BV5=1,($BC5*BV5),0)</f>
        <v>0</v>
      </c>
      <c r="EO5" s="336">
        <f t="shared" ref="EO5:EO85" si="18">IF(BW5=1,($BC5*BW5),0)</f>
        <v>0</v>
      </c>
      <c r="EP5" s="336">
        <f t="shared" ref="EP5:EP85" si="19">IF(BX5=1,($BC5*BX5),0)</f>
        <v>0</v>
      </c>
      <c r="EQ5" s="336">
        <f t="shared" ref="EQ5:EQ85" si="20">IF(BY5=1,($BC5*BY5),0)</f>
        <v>0</v>
      </c>
      <c r="ER5" s="336">
        <f t="shared" ref="ER5:ER85" si="21">IF(BZ5=1,($BC5*BZ5),0)</f>
        <v>0</v>
      </c>
      <c r="ES5" s="336">
        <f t="shared" ref="ES5:ET85" si="22">IF(CA5=1,($BC5*CA5),0)</f>
        <v>0</v>
      </c>
      <c r="ET5" s="336">
        <f t="shared" si="22"/>
        <v>0</v>
      </c>
      <c r="EU5" s="336">
        <f t="shared" ref="EU5:EU85" si="23">IF(CC5=1,($BC5*CC5),0)</f>
        <v>0</v>
      </c>
      <c r="EV5" s="336">
        <f t="shared" ref="EV5:EV85" si="24">IF(CD5=1,($BC5*CD5),0)</f>
        <v>0</v>
      </c>
      <c r="EW5" s="336">
        <f t="shared" ref="EW5:EW85" si="25">IF(CE5=1,($BC5*CE5),0)</f>
        <v>0</v>
      </c>
      <c r="EX5" s="336">
        <f t="shared" ref="EX5:EX85" si="26">IF(CF5=1,($BC5*CF5),0)</f>
        <v>0</v>
      </c>
      <c r="EY5" s="336">
        <f t="shared" ref="EY5:EY85" si="27">IF(CG5=1,($BC5*CG5),0)</f>
        <v>0</v>
      </c>
      <c r="EZ5" s="336">
        <f t="shared" ref="EZ5:EZ85" si="28">IF(CH5=1,($BC5*CH5),0)</f>
        <v>0</v>
      </c>
      <c r="FA5" s="336">
        <f t="shared" ref="FA5:FA85" si="29">IF(CI5=1,($BC5*CI5),0)</f>
        <v>0</v>
      </c>
      <c r="FB5" s="336">
        <f t="shared" ref="FB5:FB85" si="30">IF(CJ5=1,($BC5*CJ5),0)</f>
        <v>0</v>
      </c>
      <c r="FC5" s="336">
        <f t="shared" ref="FC5:FC85" si="31">IF(CK5=1,($BC5*CK5),0)</f>
        <v>0</v>
      </c>
      <c r="FD5" s="336">
        <f t="shared" ref="FD5:FD85" si="32">IF(CL5=1,($BC5*CL5),0)</f>
        <v>0</v>
      </c>
      <c r="FE5" s="336">
        <f t="shared" ref="FE5:FE85" si="33">IF(CM5=1,($BC5*CM5),0)</f>
        <v>0</v>
      </c>
      <c r="FF5" s="336">
        <f t="shared" ref="FF5:FF85" si="34">IF(CN5=1,($BC5*CN5),0)</f>
        <v>0</v>
      </c>
      <c r="FG5" s="336">
        <f t="shared" ref="FG5:FG85" si="35">IF(CO5=1,($BC5*CO5),0)</f>
        <v>0</v>
      </c>
      <c r="FH5" s="336">
        <f t="shared" ref="FH5:FH85" si="36">IF(CP5=1,($BC5*CP5),0)</f>
        <v>0</v>
      </c>
      <c r="FI5" s="336">
        <f t="shared" ref="FI5:FI85" si="37">IF(CQ5=1,($BC5*CQ5),0)</f>
        <v>0</v>
      </c>
      <c r="FJ5" s="336">
        <f t="shared" ref="FJ5:FJ85" si="38">IF(CR5=1,($BC5*CR5),0)</f>
        <v>0</v>
      </c>
      <c r="FK5" s="336">
        <f t="shared" ref="FK5:FK85" si="39">IF(CS5=1,($BC5*CS5),0)</f>
        <v>0</v>
      </c>
      <c r="FL5" s="336">
        <f t="shared" ref="FL5:FL85" si="40">IF(CT5=1,($BC5*CT5),0)</f>
        <v>0</v>
      </c>
      <c r="FM5" s="336">
        <f t="shared" ref="FM5:FM85" si="41">IF(CU5=1,($BC5*CU5),0)</f>
        <v>0</v>
      </c>
      <c r="FN5" s="336">
        <f t="shared" ref="FN5:FN85" si="42">IF(CV5=1,($BC5*CV5),0)</f>
        <v>0</v>
      </c>
      <c r="FO5" s="336">
        <f t="shared" ref="FO5:FO85" si="43">IF(CW5=1,($BC5*CW5),0)</f>
        <v>0</v>
      </c>
      <c r="FP5" s="336">
        <f t="shared" ref="FP5:FP85" si="44">IF(CX5=1,($BC5*CX5),0)</f>
        <v>0</v>
      </c>
      <c r="FQ5" s="336">
        <f t="shared" ref="FQ5:FQ85" si="45">IF(CY5=1,($BC5*CY5),0)</f>
        <v>0</v>
      </c>
      <c r="FR5" s="336">
        <f t="shared" ref="FR5:FR85" si="46">IF(CZ5=1,($BC5*CZ5),0)</f>
        <v>0</v>
      </c>
      <c r="FS5" s="336">
        <f t="shared" ref="FS5:FS85" si="47">IF(DA5=1,($BC5*DA5),0)</f>
        <v>0</v>
      </c>
      <c r="FT5" s="336">
        <f t="shared" ref="FT5:FT85" si="48">IF(DB5=1,($BC5*DB5),0)</f>
        <v>0</v>
      </c>
      <c r="FU5" s="336">
        <f t="shared" ref="FU5:FU43" si="49">IF(DC5=1,($BC5*DC5),0)</f>
        <v>0</v>
      </c>
      <c r="FV5" s="336">
        <f t="shared" ref="FV5:FV43" si="50">IF(DD5=1,($BC5*DD5),0)</f>
        <v>0</v>
      </c>
      <c r="FW5" s="336">
        <f t="shared" ref="FW5:FW43" si="51">IF(DE5=1,($BC5*DE5),0)</f>
        <v>0</v>
      </c>
      <c r="FX5" s="336">
        <f t="shared" ref="FX5:FX43" si="52">IF(DF5=1,($BC5*DF5),0)</f>
        <v>0</v>
      </c>
      <c r="FY5" s="336">
        <f t="shared" ref="FY5:FY85" si="53">IF(DG5=1,($BC5*DG5),0)</f>
        <v>0</v>
      </c>
      <c r="FZ5" s="336">
        <f t="shared" ref="FZ5:FZ85" si="54">IF(DH5=1,($BC5*DH5),0)</f>
        <v>0</v>
      </c>
      <c r="GA5" s="336">
        <f t="shared" ref="GA5:GA85" si="55">IF(DI5=1,($BC5*DI5),0)</f>
        <v>0</v>
      </c>
      <c r="GB5" s="336">
        <f t="shared" ref="GB5:GB85" si="56">IF(DJ5=1,($BC5*DJ5),0)</f>
        <v>0</v>
      </c>
      <c r="GC5" s="336">
        <f t="shared" ref="GC5:GC85" si="57">IF(DK5=1,($BC5*DK5),0)</f>
        <v>0</v>
      </c>
      <c r="GD5" s="336">
        <f t="shared" ref="GD5:GD85" si="58">IF(DL5=1,($BC5*DL5),0)</f>
        <v>0</v>
      </c>
      <c r="GE5" s="336">
        <f t="shared" ref="GE5:GE85" si="59">IF(DM5=1,($BC5*DM5),0)</f>
        <v>0</v>
      </c>
      <c r="GF5" s="336">
        <f t="shared" ref="GF5:GF85" si="60">IF(DN5=1,($BC5*DN5),0)</f>
        <v>0</v>
      </c>
      <c r="GG5" s="336">
        <f t="shared" ref="GG5:GG85" si="61">IF(DO5=1,($BC5*DO5),0)</f>
        <v>0</v>
      </c>
      <c r="GH5" s="336">
        <f t="shared" ref="GH5:GH85" si="62">IF(DP5=1,($BC5*DP5),0)</f>
        <v>0</v>
      </c>
      <c r="GI5" s="336">
        <f t="shared" ref="GI5:GI85" si="63">IF(DQ5=1,($BC5*DQ5),0)</f>
        <v>0</v>
      </c>
      <c r="GJ5" s="336">
        <f t="shared" ref="GJ5:GJ85" si="64">IF(DR5=1,($BC5*DR5),0)</f>
        <v>0</v>
      </c>
      <c r="GK5" s="336">
        <f t="shared" ref="GK5:GK85" si="65">IF(DS5=1,($BC5*DS5),0)</f>
        <v>0</v>
      </c>
      <c r="GL5" s="336"/>
      <c r="GM5" s="336">
        <f t="shared" ref="GM5:GM85" si="66">IF(DU5=1,($BC5*DU5),0)</f>
        <v>0</v>
      </c>
    </row>
    <row r="6" spans="1:195" s="60" customFormat="1" ht="25.5" customHeight="1">
      <c r="A6" s="710"/>
      <c r="B6" s="710"/>
      <c r="C6" s="711"/>
      <c r="D6" s="477" t="s">
        <v>1089</v>
      </c>
      <c r="E6" s="712"/>
      <c r="F6" s="710"/>
      <c r="G6" s="713"/>
      <c r="H6" s="714"/>
      <c r="I6" s="715"/>
      <c r="J6" s="715"/>
      <c r="K6" s="715"/>
      <c r="L6" s="714"/>
      <c r="M6" s="714"/>
      <c r="N6" s="716"/>
      <c r="O6" s="716"/>
      <c r="P6" s="717"/>
      <c r="Q6" s="714"/>
      <c r="R6" s="714"/>
      <c r="S6" s="714"/>
      <c r="T6" s="717"/>
      <c r="U6" s="714"/>
      <c r="V6" s="717"/>
      <c r="W6" s="717"/>
      <c r="X6" s="717"/>
      <c r="Y6" s="717"/>
      <c r="Z6" s="718"/>
      <c r="AA6" s="719"/>
      <c r="AB6" s="719"/>
      <c r="AC6" s="719"/>
      <c r="AD6" s="719"/>
      <c r="AE6" s="719"/>
      <c r="AF6" s="719"/>
      <c r="AG6" s="719"/>
      <c r="AH6" s="720"/>
      <c r="AI6" s="718"/>
      <c r="AJ6" s="716"/>
      <c r="AK6" s="718"/>
      <c r="AL6" s="718"/>
      <c r="AM6" s="718"/>
      <c r="AN6" s="721"/>
      <c r="AO6" s="714"/>
      <c r="AP6" s="722"/>
      <c r="AQ6" s="714"/>
      <c r="AR6" s="721"/>
      <c r="AS6" s="717"/>
      <c r="AT6" s="721"/>
      <c r="AU6" s="721"/>
      <c r="AV6" s="723"/>
      <c r="AW6" s="723"/>
      <c r="AX6" s="717"/>
      <c r="AY6" s="724"/>
      <c r="AZ6" s="724"/>
      <c r="BA6" s="724"/>
      <c r="BB6" s="724"/>
      <c r="BC6" s="724"/>
      <c r="BE6" s="491"/>
      <c r="BF6" s="491"/>
      <c r="BG6" s="491"/>
      <c r="BH6" s="491"/>
      <c r="BI6" s="491"/>
      <c r="BJ6" s="491"/>
      <c r="BK6" s="491"/>
      <c r="BL6" s="491"/>
      <c r="BM6" s="491"/>
      <c r="BN6" s="491"/>
      <c r="BO6" s="491"/>
      <c r="BP6" s="491"/>
      <c r="BQ6" s="491"/>
      <c r="BR6" s="491"/>
      <c r="BS6" s="491"/>
      <c r="BT6" s="491"/>
      <c r="BU6" s="491"/>
      <c r="BV6" s="491"/>
      <c r="BW6" s="491"/>
      <c r="BX6" s="491"/>
      <c r="BY6" s="491"/>
      <c r="BZ6" s="491"/>
      <c r="CA6" s="491"/>
      <c r="CB6" s="491"/>
      <c r="CC6" s="491"/>
      <c r="CD6" s="491"/>
      <c r="CE6" s="491"/>
      <c r="CF6" s="491"/>
      <c r="CG6" s="491"/>
      <c r="CH6" s="491"/>
      <c r="CI6" s="491"/>
      <c r="CJ6" s="491"/>
      <c r="CK6" s="491"/>
      <c r="CL6" s="491"/>
      <c r="CM6" s="491"/>
      <c r="CN6" s="491"/>
      <c r="CO6" s="491"/>
      <c r="CP6" s="491"/>
      <c r="CQ6" s="491"/>
      <c r="CR6" s="491"/>
      <c r="CS6" s="491"/>
      <c r="CT6" s="491"/>
      <c r="CU6" s="491"/>
      <c r="CV6" s="491"/>
      <c r="CW6" s="491"/>
      <c r="CX6" s="491"/>
      <c r="CY6" s="491"/>
      <c r="CZ6" s="491"/>
      <c r="DA6" s="491"/>
      <c r="DB6" s="491"/>
      <c r="DC6" s="491"/>
      <c r="DD6" s="491"/>
      <c r="DE6" s="491"/>
      <c r="DF6" s="491"/>
      <c r="DG6" s="491"/>
      <c r="DH6" s="491"/>
      <c r="DI6" s="491"/>
      <c r="DJ6" s="491"/>
      <c r="DK6" s="491"/>
      <c r="DL6" s="491"/>
      <c r="DM6" s="491"/>
      <c r="DN6" s="491"/>
      <c r="DO6" s="491"/>
      <c r="DP6" s="491"/>
      <c r="DQ6" s="491"/>
      <c r="DR6" s="491"/>
      <c r="DS6" s="491"/>
      <c r="DT6" s="491"/>
      <c r="DU6" s="491"/>
      <c r="DV6" s="61"/>
      <c r="DW6" s="336">
        <f t="shared" si="0"/>
        <v>0</v>
      </c>
      <c r="DX6" s="336">
        <f t="shared" si="1"/>
        <v>0</v>
      </c>
      <c r="DY6" s="336">
        <f t="shared" si="2"/>
        <v>0</v>
      </c>
      <c r="DZ6" s="336">
        <f t="shared" si="3"/>
        <v>0</v>
      </c>
      <c r="EA6" s="336">
        <f t="shared" si="4"/>
        <v>0</v>
      </c>
      <c r="EB6" s="336">
        <f t="shared" si="5"/>
        <v>0</v>
      </c>
      <c r="EC6" s="336">
        <f t="shared" si="6"/>
        <v>0</v>
      </c>
      <c r="ED6" s="336">
        <f t="shared" si="7"/>
        <v>0</v>
      </c>
      <c r="EE6" s="336">
        <f t="shared" si="8"/>
        <v>0</v>
      </c>
      <c r="EF6" s="336">
        <f t="shared" si="9"/>
        <v>0</v>
      </c>
      <c r="EG6" s="336">
        <f t="shared" si="10"/>
        <v>0</v>
      </c>
      <c r="EH6" s="336">
        <f t="shared" si="11"/>
        <v>0</v>
      </c>
      <c r="EI6" s="336">
        <f t="shared" si="12"/>
        <v>0</v>
      </c>
      <c r="EJ6" s="336">
        <f t="shared" si="13"/>
        <v>0</v>
      </c>
      <c r="EK6" s="336">
        <f t="shared" si="14"/>
        <v>0</v>
      </c>
      <c r="EL6" s="336">
        <f t="shared" si="15"/>
        <v>0</v>
      </c>
      <c r="EM6" s="336">
        <f t="shared" si="16"/>
        <v>0</v>
      </c>
      <c r="EN6" s="336">
        <f t="shared" si="17"/>
        <v>0</v>
      </c>
      <c r="EO6" s="336">
        <f t="shared" si="18"/>
        <v>0</v>
      </c>
      <c r="EP6" s="336">
        <f t="shared" si="19"/>
        <v>0</v>
      </c>
      <c r="EQ6" s="336">
        <f t="shared" si="20"/>
        <v>0</v>
      </c>
      <c r="ER6" s="336">
        <f t="shared" si="21"/>
        <v>0</v>
      </c>
      <c r="ES6" s="336">
        <f t="shared" si="22"/>
        <v>0</v>
      </c>
      <c r="ET6" s="336">
        <f t="shared" si="22"/>
        <v>0</v>
      </c>
      <c r="EU6" s="336">
        <f t="shared" si="23"/>
        <v>0</v>
      </c>
      <c r="EV6" s="336">
        <f t="shared" si="24"/>
        <v>0</v>
      </c>
      <c r="EW6" s="336">
        <f t="shared" si="25"/>
        <v>0</v>
      </c>
      <c r="EX6" s="336">
        <f t="shared" si="26"/>
        <v>0</v>
      </c>
      <c r="EY6" s="336">
        <f t="shared" si="27"/>
        <v>0</v>
      </c>
      <c r="EZ6" s="336">
        <f t="shared" si="28"/>
        <v>0</v>
      </c>
      <c r="FA6" s="336">
        <f t="shared" si="29"/>
        <v>0</v>
      </c>
      <c r="FB6" s="336">
        <f t="shared" si="30"/>
        <v>0</v>
      </c>
      <c r="FC6" s="336">
        <f t="shared" si="31"/>
        <v>0</v>
      </c>
      <c r="FD6" s="336">
        <f t="shared" si="32"/>
        <v>0</v>
      </c>
      <c r="FE6" s="336">
        <f t="shared" si="33"/>
        <v>0</v>
      </c>
      <c r="FF6" s="336">
        <f t="shared" si="34"/>
        <v>0</v>
      </c>
      <c r="FG6" s="336">
        <f t="shared" si="35"/>
        <v>0</v>
      </c>
      <c r="FH6" s="336">
        <f t="shared" si="36"/>
        <v>0</v>
      </c>
      <c r="FI6" s="336">
        <f t="shared" si="37"/>
        <v>0</v>
      </c>
      <c r="FJ6" s="336">
        <f t="shared" si="38"/>
        <v>0</v>
      </c>
      <c r="FK6" s="336">
        <f t="shared" si="39"/>
        <v>0</v>
      </c>
      <c r="FL6" s="336">
        <f t="shared" si="40"/>
        <v>0</v>
      </c>
      <c r="FM6" s="336">
        <f t="shared" si="41"/>
        <v>0</v>
      </c>
      <c r="FN6" s="336">
        <f t="shared" si="42"/>
        <v>0</v>
      </c>
      <c r="FO6" s="336">
        <f t="shared" si="43"/>
        <v>0</v>
      </c>
      <c r="FP6" s="336">
        <f t="shared" si="44"/>
        <v>0</v>
      </c>
      <c r="FQ6" s="336">
        <f t="shared" si="45"/>
        <v>0</v>
      </c>
      <c r="FR6" s="336">
        <f t="shared" si="46"/>
        <v>0</v>
      </c>
      <c r="FS6" s="336">
        <f t="shared" si="47"/>
        <v>0</v>
      </c>
      <c r="FT6" s="336">
        <f t="shared" si="48"/>
        <v>0</v>
      </c>
      <c r="FU6" s="336">
        <f t="shared" si="49"/>
        <v>0</v>
      </c>
      <c r="FV6" s="336">
        <f t="shared" si="50"/>
        <v>0</v>
      </c>
      <c r="FW6" s="336">
        <f t="shared" si="51"/>
        <v>0</v>
      </c>
      <c r="FX6" s="336">
        <f t="shared" si="52"/>
        <v>0</v>
      </c>
      <c r="FY6" s="336">
        <f t="shared" si="53"/>
        <v>0</v>
      </c>
      <c r="FZ6" s="336">
        <f t="shared" si="54"/>
        <v>0</v>
      </c>
      <c r="GA6" s="336">
        <f t="shared" si="55"/>
        <v>0</v>
      </c>
      <c r="GB6" s="336">
        <f t="shared" si="56"/>
        <v>0</v>
      </c>
      <c r="GC6" s="336">
        <f t="shared" si="57"/>
        <v>0</v>
      </c>
      <c r="GD6" s="336">
        <f t="shared" si="58"/>
        <v>0</v>
      </c>
      <c r="GE6" s="336">
        <f t="shared" si="59"/>
        <v>0</v>
      </c>
      <c r="GF6" s="336">
        <f t="shared" si="60"/>
        <v>0</v>
      </c>
      <c r="GG6" s="336">
        <f t="shared" si="61"/>
        <v>0</v>
      </c>
      <c r="GH6" s="336">
        <f t="shared" si="62"/>
        <v>0</v>
      </c>
      <c r="GI6" s="336">
        <f t="shared" si="63"/>
        <v>0</v>
      </c>
      <c r="GJ6" s="336">
        <f t="shared" si="64"/>
        <v>0</v>
      </c>
      <c r="GK6" s="336">
        <f t="shared" si="65"/>
        <v>0</v>
      </c>
      <c r="GL6" s="336">
        <f t="shared" ref="GL6:GL43" si="67">IF(DT6=1,($BC6*DT6),0)</f>
        <v>0</v>
      </c>
      <c r="GM6" s="336">
        <f t="shared" si="66"/>
        <v>0</v>
      </c>
    </row>
    <row r="7" spans="1:195" ht="20.25" customHeight="1">
      <c r="A7" s="510"/>
      <c r="B7" s="510"/>
      <c r="C7" s="523"/>
      <c r="D7" s="523" t="s">
        <v>1090</v>
      </c>
      <c r="E7" s="725"/>
      <c r="F7" s="726"/>
      <c r="G7" s="510"/>
      <c r="H7" s="727"/>
      <c r="I7" s="510"/>
      <c r="J7" s="510"/>
      <c r="K7" s="728"/>
      <c r="L7" s="729"/>
      <c r="M7" s="727"/>
      <c r="N7" s="730"/>
      <c r="O7" s="730"/>
      <c r="P7" s="729"/>
      <c r="Q7" s="727"/>
      <c r="R7" s="727"/>
      <c r="S7" s="727"/>
      <c r="T7" s="729"/>
      <c r="U7" s="727"/>
      <c r="V7" s="729"/>
      <c r="W7" s="729"/>
      <c r="X7" s="729"/>
      <c r="Y7" s="729"/>
      <c r="Z7" s="731"/>
      <c r="AA7" s="732"/>
      <c r="AB7" s="732"/>
      <c r="AC7" s="733"/>
      <c r="AD7" s="733"/>
      <c r="AE7" s="733"/>
      <c r="AF7" s="733"/>
      <c r="AG7" s="733"/>
      <c r="AH7" s="734"/>
      <c r="AI7" s="731"/>
      <c r="AJ7" s="730"/>
      <c r="AK7" s="731"/>
      <c r="AL7" s="731"/>
      <c r="AM7" s="731"/>
      <c r="AN7" s="735"/>
      <c r="AO7" s="727"/>
      <c r="AP7" s="728"/>
      <c r="AQ7" s="727"/>
      <c r="AR7" s="735"/>
      <c r="AS7" s="729"/>
      <c r="AT7" s="735"/>
      <c r="AU7" s="735"/>
      <c r="AV7" s="736"/>
      <c r="AW7" s="736"/>
      <c r="AX7" s="729"/>
      <c r="AY7" s="737"/>
      <c r="AZ7" s="737"/>
      <c r="BA7" s="738"/>
      <c r="BB7" s="739"/>
      <c r="BC7" s="740"/>
      <c r="BE7" s="336"/>
      <c r="BF7" s="336"/>
      <c r="BG7" s="336"/>
      <c r="BH7" s="336"/>
      <c r="BI7" s="336"/>
      <c r="BJ7" s="336"/>
      <c r="BK7" s="336"/>
      <c r="BL7" s="336"/>
      <c r="BM7" s="336"/>
      <c r="BN7" s="336"/>
      <c r="BO7" s="336"/>
      <c r="BP7" s="336"/>
      <c r="BQ7" s="336"/>
      <c r="BR7" s="336"/>
      <c r="BS7" s="336"/>
      <c r="BT7" s="336"/>
      <c r="BU7" s="336"/>
      <c r="BV7" s="336"/>
      <c r="BW7" s="336"/>
      <c r="BX7" s="336"/>
      <c r="BY7" s="336"/>
      <c r="BZ7" s="336"/>
      <c r="CA7" s="336"/>
      <c r="CB7" s="336"/>
      <c r="CC7" s="336"/>
      <c r="CD7" s="336"/>
      <c r="CE7" s="336"/>
      <c r="CF7" s="336"/>
      <c r="CG7" s="336"/>
      <c r="CH7" s="336"/>
      <c r="CI7" s="336"/>
      <c r="CJ7" s="336"/>
      <c r="CK7" s="336"/>
      <c r="CL7" s="336"/>
      <c r="CM7" s="336"/>
      <c r="CN7" s="336"/>
      <c r="CO7" s="336"/>
      <c r="CP7" s="336"/>
      <c r="CQ7" s="336"/>
      <c r="CR7" s="336"/>
      <c r="CS7" s="336"/>
      <c r="CT7" s="336"/>
      <c r="CU7" s="336"/>
      <c r="CV7" s="336"/>
      <c r="CW7" s="336"/>
      <c r="CX7" s="336"/>
      <c r="CY7" s="336"/>
      <c r="CZ7" s="336"/>
      <c r="DA7" s="336"/>
      <c r="DB7" s="336"/>
      <c r="DC7" s="336"/>
      <c r="DD7" s="336"/>
      <c r="DE7" s="336"/>
      <c r="DF7" s="336"/>
      <c r="DG7" s="336"/>
      <c r="DH7" s="336"/>
      <c r="DI7" s="336"/>
      <c r="DJ7" s="336"/>
      <c r="DK7" s="336"/>
      <c r="DL7" s="336"/>
      <c r="DM7" s="336"/>
      <c r="DN7" s="336"/>
      <c r="DO7" s="336"/>
      <c r="DP7" s="336"/>
      <c r="DQ7" s="336"/>
      <c r="DR7" s="336"/>
      <c r="DS7" s="336"/>
      <c r="DT7" s="336"/>
      <c r="DU7" s="336"/>
      <c r="DW7" s="336">
        <f>IF(BE7=1,($BC7*BE7),0)</f>
        <v>0</v>
      </c>
      <c r="DX7" s="336">
        <f t="shared" si="1"/>
        <v>0</v>
      </c>
      <c r="DY7" s="336">
        <f t="shared" si="2"/>
        <v>0</v>
      </c>
      <c r="DZ7" s="336">
        <f t="shared" si="3"/>
        <v>0</v>
      </c>
      <c r="EA7" s="336">
        <f t="shared" si="4"/>
        <v>0</v>
      </c>
      <c r="EB7" s="336">
        <f t="shared" si="5"/>
        <v>0</v>
      </c>
      <c r="EC7" s="336">
        <f t="shared" si="6"/>
        <v>0</v>
      </c>
      <c r="ED7" s="336">
        <f t="shared" si="7"/>
        <v>0</v>
      </c>
      <c r="EE7" s="336">
        <f t="shared" si="8"/>
        <v>0</v>
      </c>
      <c r="EF7" s="336">
        <f t="shared" si="9"/>
        <v>0</v>
      </c>
      <c r="EG7" s="336">
        <f t="shared" si="10"/>
        <v>0</v>
      </c>
      <c r="EH7" s="336">
        <f t="shared" si="11"/>
        <v>0</v>
      </c>
      <c r="EI7" s="336">
        <f t="shared" si="12"/>
        <v>0</v>
      </c>
      <c r="EJ7" s="336">
        <f t="shared" si="13"/>
        <v>0</v>
      </c>
      <c r="EK7" s="336">
        <f t="shared" si="14"/>
        <v>0</v>
      </c>
      <c r="EL7" s="336">
        <f t="shared" si="15"/>
        <v>0</v>
      </c>
      <c r="EM7" s="336">
        <f t="shared" si="16"/>
        <v>0</v>
      </c>
      <c r="EN7" s="336">
        <f t="shared" si="17"/>
        <v>0</v>
      </c>
      <c r="EO7" s="336">
        <f t="shared" si="18"/>
        <v>0</v>
      </c>
      <c r="EP7" s="336">
        <f t="shared" si="19"/>
        <v>0</v>
      </c>
      <c r="EQ7" s="336">
        <f t="shared" si="20"/>
        <v>0</v>
      </c>
      <c r="ER7" s="336">
        <f t="shared" si="21"/>
        <v>0</v>
      </c>
      <c r="ES7" s="336">
        <f t="shared" si="22"/>
        <v>0</v>
      </c>
      <c r="ET7" s="336">
        <f t="shared" si="22"/>
        <v>0</v>
      </c>
      <c r="EU7" s="336">
        <f t="shared" si="23"/>
        <v>0</v>
      </c>
      <c r="EV7" s="336">
        <f t="shared" si="24"/>
        <v>0</v>
      </c>
      <c r="EW7" s="336">
        <f t="shared" si="25"/>
        <v>0</v>
      </c>
      <c r="EX7" s="336">
        <f t="shared" si="26"/>
        <v>0</v>
      </c>
      <c r="EY7" s="336">
        <f t="shared" si="27"/>
        <v>0</v>
      </c>
      <c r="EZ7" s="336">
        <f t="shared" si="28"/>
        <v>0</v>
      </c>
      <c r="FA7" s="336">
        <f t="shared" si="29"/>
        <v>0</v>
      </c>
      <c r="FB7" s="336">
        <f t="shared" si="30"/>
        <v>0</v>
      </c>
      <c r="FC7" s="336">
        <f t="shared" si="31"/>
        <v>0</v>
      </c>
      <c r="FD7" s="336">
        <f t="shared" si="32"/>
        <v>0</v>
      </c>
      <c r="FE7" s="336">
        <f t="shared" si="33"/>
        <v>0</v>
      </c>
      <c r="FF7" s="336">
        <f t="shared" si="34"/>
        <v>0</v>
      </c>
      <c r="FG7" s="336">
        <f t="shared" si="35"/>
        <v>0</v>
      </c>
      <c r="FH7" s="336">
        <f t="shared" si="36"/>
        <v>0</v>
      </c>
      <c r="FI7" s="336">
        <f t="shared" si="37"/>
        <v>0</v>
      </c>
      <c r="FJ7" s="336">
        <f t="shared" si="38"/>
        <v>0</v>
      </c>
      <c r="FK7" s="336">
        <f t="shared" si="39"/>
        <v>0</v>
      </c>
      <c r="FL7" s="336">
        <f t="shared" si="40"/>
        <v>0</v>
      </c>
      <c r="FM7" s="336">
        <f t="shared" si="41"/>
        <v>0</v>
      </c>
      <c r="FN7" s="336">
        <f t="shared" si="42"/>
        <v>0</v>
      </c>
      <c r="FO7" s="336">
        <f t="shared" si="43"/>
        <v>0</v>
      </c>
      <c r="FP7" s="336">
        <f t="shared" si="44"/>
        <v>0</v>
      </c>
      <c r="FQ7" s="336">
        <f t="shared" si="45"/>
        <v>0</v>
      </c>
      <c r="FR7" s="336">
        <f t="shared" si="46"/>
        <v>0</v>
      </c>
      <c r="FS7" s="336">
        <f t="shared" si="47"/>
        <v>0</v>
      </c>
      <c r="FT7" s="336">
        <f t="shared" si="48"/>
        <v>0</v>
      </c>
      <c r="FU7" s="336">
        <f t="shared" si="49"/>
        <v>0</v>
      </c>
      <c r="FV7" s="336">
        <f t="shared" si="50"/>
        <v>0</v>
      </c>
      <c r="FW7" s="336">
        <f t="shared" si="51"/>
        <v>0</v>
      </c>
      <c r="FX7" s="336">
        <f t="shared" si="52"/>
        <v>0</v>
      </c>
      <c r="FY7" s="336">
        <f t="shared" si="53"/>
        <v>0</v>
      </c>
      <c r="FZ7" s="336">
        <f t="shared" si="54"/>
        <v>0</v>
      </c>
      <c r="GA7" s="336">
        <f t="shared" si="55"/>
        <v>0</v>
      </c>
      <c r="GB7" s="336">
        <f t="shared" si="56"/>
        <v>0</v>
      </c>
      <c r="GC7" s="336">
        <f t="shared" si="57"/>
        <v>0</v>
      </c>
      <c r="GD7" s="336">
        <f t="shared" si="58"/>
        <v>0</v>
      </c>
      <c r="GE7" s="336">
        <f t="shared" si="59"/>
        <v>0</v>
      </c>
      <c r="GF7" s="336">
        <f t="shared" si="60"/>
        <v>0</v>
      </c>
      <c r="GG7" s="336">
        <f t="shared" si="61"/>
        <v>0</v>
      </c>
      <c r="GH7" s="336">
        <f t="shared" si="62"/>
        <v>0</v>
      </c>
      <c r="GI7" s="336">
        <f t="shared" si="63"/>
        <v>0</v>
      </c>
      <c r="GJ7" s="336">
        <f t="shared" si="64"/>
        <v>0</v>
      </c>
      <c r="GK7" s="336">
        <f t="shared" si="65"/>
        <v>0</v>
      </c>
      <c r="GL7" s="336">
        <f t="shared" si="67"/>
        <v>0</v>
      </c>
      <c r="GM7" s="336">
        <f t="shared" si="66"/>
        <v>0</v>
      </c>
    </row>
    <row r="8" spans="1:195" ht="20.100000000000001" customHeight="1">
      <c r="A8" s="337">
        <f>1+A6</f>
        <v>1</v>
      </c>
      <c r="B8" s="500" t="s">
        <v>1091</v>
      </c>
      <c r="C8" s="372" t="str">
        <f>$D$6</f>
        <v>PMCC-2</v>
      </c>
      <c r="D8" s="372" t="s">
        <v>1092</v>
      </c>
      <c r="E8" s="440" t="s">
        <v>349</v>
      </c>
      <c r="F8" s="337" t="s">
        <v>28</v>
      </c>
      <c r="G8" s="337" t="s">
        <v>350</v>
      </c>
      <c r="H8" s="418">
        <v>55</v>
      </c>
      <c r="I8" s="337" t="s">
        <v>330</v>
      </c>
      <c r="J8" s="337" t="s">
        <v>331</v>
      </c>
      <c r="K8" s="349">
        <v>400</v>
      </c>
      <c r="L8" s="343">
        <v>0.85</v>
      </c>
      <c r="M8" s="350">
        <v>0.95400000000000007</v>
      </c>
      <c r="N8" s="342">
        <f>IF(I8="kVA=",IF(J8="3Ph",(H8*1000/(1.732*M8*K8)),(H8*1000/(M8*K8))),IF(I8="kW",IF(J8="3Ph",(H8*1000/(1.732*M8*K8*L8)),(H8*1000/(M8*K8*L8)))))</f>
        <v>97.901086153810226</v>
      </c>
      <c r="O8" s="342">
        <f t="shared" ref="O8:O11" si="68">IF(G8="MOTOR",(6*N8),IF(G8="VFD",(1*N8),0))</f>
        <v>587.40651692286133</v>
      </c>
      <c r="P8" s="343">
        <f t="shared" ref="P8:P11" si="69">IF(G8="MOTOR",0.2,"0.00")</f>
        <v>0.2</v>
      </c>
      <c r="Q8" s="350">
        <v>65</v>
      </c>
      <c r="R8" s="350">
        <v>0</v>
      </c>
      <c r="S8" s="350">
        <f t="shared" ref="S8:S11" si="70">(Q8*1000*SQRT(R8)/143)</f>
        <v>0</v>
      </c>
      <c r="T8" s="343" t="s">
        <v>332</v>
      </c>
      <c r="U8" s="350" t="s">
        <v>333</v>
      </c>
      <c r="V8" s="343">
        <v>95</v>
      </c>
      <c r="W8" s="343" t="str">
        <f t="shared" ref="W8:W9" si="71">CONCATENATE(U8," X ",V8)</f>
        <v>3C X 95</v>
      </c>
      <c r="X8" s="343" t="str">
        <f>(IF(J8="1Ph",W8,IF(J8="3Ph",(IF(G8="MOTOR",(CONCATENATE(W8,"+PE")),W8)))))</f>
        <v>3C X 95+PE</v>
      </c>
      <c r="Y8" s="343" t="s">
        <v>358</v>
      </c>
      <c r="Z8" s="344">
        <f>IF(T8="AIR",VLOOKUP(W8,'Catalogue Aluminium'!$B$9:$G$93,2,FALSE),IF(T8="GROUND",VLOOKUP(W8,'Catalogue Aluminium'!$B$9:$G$93,3,FALSE),IF(T8="DUCT",VLOOKUP(W8,'Catalogue Aluminium'!$B$9:$G$93,4,FALSE),IF(T8="TRENCH",VLOOKUP(W8,'Catalogue Aluminium'!$B$9:$G$93,2,FALSE)))))</f>
        <v>221</v>
      </c>
      <c r="AA8" s="345">
        <f>VLOOKUP(W8,'Catalogue Aluminium'!$B$9:$G$93,5,FALSE)</f>
        <v>0.41</v>
      </c>
      <c r="AB8" s="345">
        <f>VLOOKUP(W8,'Catalogue Aluminium'!$B$9:$G$93,6,FALSE)</f>
        <v>7.3400000000000007E-2</v>
      </c>
      <c r="AC8" s="343">
        <v>22</v>
      </c>
      <c r="AD8" s="343">
        <f>6+6.7+4.7+87</f>
        <v>104.4</v>
      </c>
      <c r="AE8" s="343">
        <v>8</v>
      </c>
      <c r="AF8" s="343">
        <v>5</v>
      </c>
      <c r="AG8" s="343">
        <f>ROUNDUP((SUM(AC8:AF8)*0.1),0)</f>
        <v>14</v>
      </c>
      <c r="AH8" s="347">
        <f>SUM(AC8:AG8)</f>
        <v>153.4</v>
      </c>
      <c r="AI8" s="344">
        <f>IF(T8="AIR",'Catalogue Aluminium'!$K$9,IF(T8="TRENCH",'Catalogue Aluminium'!$K$12,"NA"))</f>
        <v>0.89</v>
      </c>
      <c r="AJ8" s="342">
        <f>IF(T8="Air",(IF(U8="1C",'Catalogue Aluminium'!$L$9,'Catalogue Aluminium'!$M$9)),IF(T8="DUCT",(IF($U8="1C",'Catalogue Aluminium'!$L$10,'Catalogue Aluminium'!$M$10)),IF(T8="GROUND",(IF($U8="1C",'Catalogue Aluminium'!$L$11,'Catalogue Aluminium'!$M$11)),IF(T8="TRENCH",(IF($U8="1C",'Catalogue Aluminium'!$L$12,'Catalogue Aluminium'!$M$12))))))</f>
        <v>0.66</v>
      </c>
      <c r="AK8" s="344" t="str">
        <f>IF(T8="Air",'Catalogue Aluminium'!$N$9,IF(T8="GROUND",'Catalogue Aluminium'!$N$10,IF(T8="DUCT",'Catalogue Aluminium'!$N$11,IF(T8="TRENCH",'Catalogue Aluminium'!$N$12,"NA"))))</f>
        <v>NA</v>
      </c>
      <c r="AL8" s="344" t="str">
        <f>IF(T8="Air",(IF(U8="1C",'Catalogue Aluminium'!$O$9,'Catalogue Aluminium'!$P$9)),IF(T8="DUCT",(IF($U8="1C",'Catalogue Aluminium'!$O$10,'Catalogue Aluminium'!$P$10)),IF(T8="GROUND",(IF($U8="1C",'Catalogue Aluminium'!$O$11,'Catalogue Aluminium'!$P$11)),IF(T8="TRENCH",(IF($U8="1C",'Catalogue Aluminium'!$O$12,'Catalogue Aluminium'!$P$12))))))</f>
        <v>NA</v>
      </c>
      <c r="AM8" s="344" t="str">
        <f>IF(T8="AIR","NA",IF(T8="TRENCH","NA",IF(T8="DUCT",IF(U8="1C",VLOOKUP(V8,'Catalogue Aluminium'!$Q$9:$S$28,2,FALSE),VLOOKUP(V8,'Catalogue Aluminium'!$Q$9:$S$28,3)),IF(T8="GROUND",IF(U8="1C",VLOOKUP(V8,'Catalogue Aluminium'!$Q$9:$S$28,2,FALSE),VLOOKUP(V8,'Catalogue Aluminium'!$Q$9:$S$28,3))))))</f>
        <v>NA</v>
      </c>
      <c r="AN8" s="351">
        <f>IF(T8="AIR",AI8*AJ8,IF(T8="TRENCH",AI8*AJ8,IF(T8="DUCT",AJ8*AK8*AL8*AM8,IF(T8="GROUND",AJ8*AK8*AL8*AM8))))</f>
        <v>0.58740000000000003</v>
      </c>
      <c r="AO8" s="350">
        <f>Z8*AN8</f>
        <v>129.81540000000001</v>
      </c>
      <c r="AP8" s="349">
        <f>CEILING(((N8)/AO8),1)</f>
        <v>1</v>
      </c>
      <c r="AQ8" s="350" t="str">
        <f>IF(AO8*AP8&gt;=N8,"YES","NO")</f>
        <v>YES</v>
      </c>
      <c r="AR8" s="351">
        <f>SQRT(3)*AH8*N8*((AA8*L8)+(AB8*SIN(ACOS(L8))))*100/(AP8*K8*1000)</f>
        <v>2.517738078370868</v>
      </c>
      <c r="AS8" s="343" t="str">
        <f>IF(G8="INCOMER",(IF(AR8&lt;=2,"YES","NO")),IF(G8="POWER",(IF(AR8&lt;=2.5,"YES","NO")),IF(G8="MOTOR",(IF(AR8&lt;=3,"YES","NO")))))</f>
        <v>YES</v>
      </c>
      <c r="AT8" s="351">
        <f t="shared" ref="AT8:AT15" si="72">IF(G8="MOTOR",(SQRT(3)*AH8*O8*((AA8*P8)+(AB8*SIN(ACOS(P8))))*100/(AP8*K8*1000)),"NA")</f>
        <v>6.0055308079096976</v>
      </c>
      <c r="AU8" s="343" t="str">
        <f t="shared" ref="AU8:AU15" si="73">IF(G8="MOTOR",IF(AT8&lt;=15,"YES","NO"),"NA")</f>
        <v>YES</v>
      </c>
      <c r="AV8" s="354" t="str">
        <f t="shared" ref="AV8:AV15" si="74">IF(U8="1C",CONCATENATE(AP8,"R x ",Y8,"kV x ",U8," x ",V8," Sqmm/Phase"),CONCATENATE(AP8,"R x ",0.6,"/1kV x ",U8," x ",V8," Sqmm"))</f>
        <v>1R x 0.6/1kV x 3C x 95 Sqmm</v>
      </c>
      <c r="AW8" s="354" t="str">
        <f t="shared" ref="AW8:AW15" si="75">IF(U8="1C",CONCATENATE(AP8,"R x ",Y8,"kV x ",U8," x ",V8," Sqmm/Phase"),CONCATENATE(AP8,"R x ",0.6,"/1kV x ",U8," x ",V8,(IF(G8="MOTOR","+PE",""))," Sqmm"))</f>
        <v>1R x 0.6/1kV x 3C x 95+PE Sqmm</v>
      </c>
      <c r="AX8" s="343">
        <f t="shared" ref="AX8:AX15" si="76">(IF(K8=400,(IF(U8="1C",(4*AH8*AP8),(AH8*AP8))),IF(K8=230,(AH8*AP8))))</f>
        <v>153.4</v>
      </c>
      <c r="AY8" s="355"/>
      <c r="AZ8" s="355">
        <f t="shared" ref="AZ8:AZ15" si="77">IF(U8="1C",(3*AP8*2),(AP8*2))</f>
        <v>2</v>
      </c>
      <c r="BA8" s="356" t="str">
        <f t="shared" ref="BA8:BA15" si="78">CONCATENATE(IF(BE8=1,BE$4,""),IF(BF8=1,BF$4,""),IF(BG8=1,BG$4,""),IF(BH8=1,BH$4,""),IF(BI8=1,BI$4,""),IF(BJ8=1,BJ$4,""),IF(BK8=1,BK$4,""),IF(BL8=1,BL$4,""),IF(BM8=1,BM$4,""),IF(BN8=1,BN$4,""),IF(BO8=1,BO$4,""),IF(BP8=1,BP$4,""),IF(BQ8=1,BQ$4,""),IF(BR8=1,BR$4,""),IF(BS8=1,BS$4,""),IF(BT8=1,BT$4,""),IF(BU8=1,BU$4,""),IF(BV8=1,BV$4,""),IF(BW8=1,BW$4,""),IF(BX8=1,BX$4,""),IF(BY8=1,BY$4,""),IF(BZ8=1,BZ$4,""),IF(CA8=1,CA$4,""),IF(CB8=1,CB$4,""),IF(CC8=1,CC$4,""),IF(CD8=1,CD$4,""),IF(CE8=1,CE$4,""),IF(CF8=1,CF$4,""),IF(CG8=1,CG$4,""),IF(CH8=1,CH$4,""),IF(CI8=1,CI$4,""),IF(CJ8=1,CJ$4,""),IF(CK8=1,CK$4,""),IF(CL8=1,CL$4,""),IF(CM8=1,CM$4,""),IF(CN8=1,CN$4,""),IF(CO8=1,CO$4,""),IF(CP8=1,CP$4,""),IF(CQ8=1,CQ$4,""),IF(CR8=1,CR$4,""),IF(CS8=1,CS$4,""),IF(CT8=1,CT$4,""),IF(CU8=1,CU$4,""),IF(CV8=1,CV$4,""),IF(CW8=1,CW$4,""),IF(CX8=1,CX$4,""),IF(CY8=1,CY$4,""),IF(CZ8=1,CZ$4,""),IF(DA8=1,DA$4,""),IF(DB8=1,DB$4,""),IF(DC8=1,DC$4,""),IF(DD8=1,DD$4,""),IF(DE8=1,DE$4,""),IF(DF8=1,DF$4,""),IF(DG8=1,DG$4,""),IF(DH8=1,DH$4,""),IF(DI8=1,DI$4,""),IF(DJ8=1,DJ$4,""),IF(DK8=1,DK$4,""),IF(DL8=1,DL$4,""),IF(DM8=1,DM$4,""),IF(DN8=1,DN$4,""),IF(DO8=1,DO$4,""),IF(DP8=1,DP$4,""),IF(DQ8=1,DQ$4,""),IF(DR8=1,DR$4,""),IF(DS8=1,DS$4,""),IF(DT8=1,DT$4,""),IF(DU8=1,DU$4,""))</f>
        <v>Q4Q5Q6Q7Q8</v>
      </c>
      <c r="BB8" s="501">
        <f>VLOOKUP(W8,'Catalogue Aluminium'!$B$9:$H$93,7,FALSE)</f>
        <v>33</v>
      </c>
      <c r="BC8" s="328">
        <f t="shared" ref="BC8:BC15" si="79">AP8*BB8</f>
        <v>33</v>
      </c>
      <c r="BE8" s="336"/>
      <c r="BF8" s="336"/>
      <c r="BG8" s="336"/>
      <c r="BH8" s="336"/>
      <c r="BI8" s="336"/>
      <c r="BJ8" s="336"/>
      <c r="BK8" s="336"/>
      <c r="BL8" s="336"/>
      <c r="BM8" s="336"/>
      <c r="BN8" s="336"/>
      <c r="BO8" s="336"/>
      <c r="BP8" s="336"/>
      <c r="BQ8" s="336"/>
      <c r="BR8" s="336"/>
      <c r="BS8" s="336"/>
      <c r="BT8" s="336"/>
      <c r="BU8" s="336"/>
      <c r="BV8" s="336"/>
      <c r="BW8" s="336"/>
      <c r="BX8" s="336"/>
      <c r="BY8" s="336"/>
      <c r="BZ8" s="336"/>
      <c r="CA8" s="336"/>
      <c r="CB8" s="336"/>
      <c r="CC8" s="336"/>
      <c r="CD8" s="336"/>
      <c r="CE8" s="336"/>
      <c r="CF8" s="336"/>
      <c r="CG8" s="336"/>
      <c r="CH8" s="336"/>
      <c r="CI8" s="336"/>
      <c r="CJ8" s="336"/>
      <c r="CK8" s="336"/>
      <c r="CL8" s="336"/>
      <c r="CM8" s="336"/>
      <c r="CN8" s="336"/>
      <c r="CO8" s="336"/>
      <c r="CP8" s="336"/>
      <c r="CQ8" s="336"/>
      <c r="CR8" s="336"/>
      <c r="CS8" s="336"/>
      <c r="CT8" s="336"/>
      <c r="CU8" s="336"/>
      <c r="CV8" s="336"/>
      <c r="CW8" s="336"/>
      <c r="CX8" s="336"/>
      <c r="CY8" s="336"/>
      <c r="CZ8" s="336"/>
      <c r="DA8" s="336"/>
      <c r="DB8" s="336">
        <v>1</v>
      </c>
      <c r="DC8" s="336">
        <v>1</v>
      </c>
      <c r="DD8" s="336">
        <v>1</v>
      </c>
      <c r="DE8" s="336">
        <v>1</v>
      </c>
      <c r="DF8" s="336">
        <v>1</v>
      </c>
      <c r="DG8" s="336"/>
      <c r="DH8" s="336"/>
      <c r="DI8" s="336"/>
      <c r="DJ8" s="741"/>
      <c r="DK8" s="741"/>
      <c r="DL8" s="741"/>
      <c r="DM8" s="741"/>
      <c r="DN8" s="741"/>
      <c r="DO8" s="741"/>
      <c r="DP8" s="741"/>
      <c r="DQ8" s="336"/>
      <c r="DR8" s="741"/>
      <c r="DS8" s="741"/>
      <c r="DT8" s="741"/>
      <c r="DU8" s="336"/>
      <c r="DW8" s="336">
        <f t="shared" ref="DW8:DW88" si="80">IF(BE8=1,($BC8*BE8),0)</f>
        <v>0</v>
      </c>
      <c r="DX8" s="336">
        <f t="shared" si="1"/>
        <v>0</v>
      </c>
      <c r="DY8" s="336">
        <f t="shared" si="2"/>
        <v>0</v>
      </c>
      <c r="DZ8" s="336">
        <f t="shared" si="3"/>
        <v>0</v>
      </c>
      <c r="EA8" s="336">
        <f t="shared" si="4"/>
        <v>0</v>
      </c>
      <c r="EB8" s="336">
        <f t="shared" si="5"/>
        <v>0</v>
      </c>
      <c r="EC8" s="336">
        <f t="shared" si="6"/>
        <v>0</v>
      </c>
      <c r="ED8" s="336">
        <f t="shared" si="7"/>
        <v>0</v>
      </c>
      <c r="EE8" s="336">
        <f t="shared" si="8"/>
        <v>0</v>
      </c>
      <c r="EF8" s="336">
        <f t="shared" si="9"/>
        <v>0</v>
      </c>
      <c r="EG8" s="336">
        <f t="shared" si="10"/>
        <v>0</v>
      </c>
      <c r="EH8" s="336">
        <f t="shared" si="11"/>
        <v>0</v>
      </c>
      <c r="EI8" s="336">
        <f t="shared" si="12"/>
        <v>0</v>
      </c>
      <c r="EJ8" s="336">
        <f t="shared" si="13"/>
        <v>0</v>
      </c>
      <c r="EK8" s="336">
        <f t="shared" si="14"/>
        <v>0</v>
      </c>
      <c r="EL8" s="336">
        <f t="shared" si="15"/>
        <v>0</v>
      </c>
      <c r="EM8" s="336">
        <f t="shared" si="16"/>
        <v>0</v>
      </c>
      <c r="EN8" s="336">
        <f t="shared" si="17"/>
        <v>0</v>
      </c>
      <c r="EO8" s="336">
        <f t="shared" si="18"/>
        <v>0</v>
      </c>
      <c r="EP8" s="336">
        <f t="shared" si="19"/>
        <v>0</v>
      </c>
      <c r="EQ8" s="336">
        <f t="shared" si="20"/>
        <v>0</v>
      </c>
      <c r="ER8" s="336">
        <f t="shared" si="21"/>
        <v>0</v>
      </c>
      <c r="ES8" s="336">
        <f t="shared" si="22"/>
        <v>0</v>
      </c>
      <c r="ET8" s="336">
        <f t="shared" si="22"/>
        <v>0</v>
      </c>
      <c r="EU8" s="336">
        <f t="shared" si="23"/>
        <v>0</v>
      </c>
      <c r="EV8" s="336">
        <f t="shared" si="24"/>
        <v>0</v>
      </c>
      <c r="EW8" s="336">
        <f t="shared" si="25"/>
        <v>0</v>
      </c>
      <c r="EX8" s="336">
        <f t="shared" si="26"/>
        <v>0</v>
      </c>
      <c r="EY8" s="336">
        <f t="shared" si="27"/>
        <v>0</v>
      </c>
      <c r="EZ8" s="336">
        <f t="shared" si="28"/>
        <v>0</v>
      </c>
      <c r="FA8" s="336">
        <f t="shared" si="29"/>
        <v>0</v>
      </c>
      <c r="FB8" s="336">
        <f t="shared" si="30"/>
        <v>0</v>
      </c>
      <c r="FC8" s="336">
        <f t="shared" si="31"/>
        <v>0</v>
      </c>
      <c r="FD8" s="336">
        <f t="shared" si="32"/>
        <v>0</v>
      </c>
      <c r="FE8" s="336">
        <f t="shared" si="33"/>
        <v>0</v>
      </c>
      <c r="FF8" s="336">
        <f t="shared" si="34"/>
        <v>0</v>
      </c>
      <c r="FG8" s="336">
        <f t="shared" si="35"/>
        <v>0</v>
      </c>
      <c r="FH8" s="336">
        <f t="shared" si="36"/>
        <v>0</v>
      </c>
      <c r="FI8" s="336">
        <f t="shared" si="37"/>
        <v>0</v>
      </c>
      <c r="FJ8" s="336">
        <f t="shared" si="38"/>
        <v>0</v>
      </c>
      <c r="FK8" s="336">
        <f t="shared" si="39"/>
        <v>0</v>
      </c>
      <c r="FL8" s="336">
        <f t="shared" si="40"/>
        <v>0</v>
      </c>
      <c r="FM8" s="336">
        <f t="shared" si="41"/>
        <v>0</v>
      </c>
      <c r="FN8" s="336">
        <f t="shared" si="42"/>
        <v>0</v>
      </c>
      <c r="FO8" s="336">
        <f t="shared" si="43"/>
        <v>0</v>
      </c>
      <c r="FP8" s="336">
        <f t="shared" si="44"/>
        <v>0</v>
      </c>
      <c r="FQ8" s="336">
        <f t="shared" si="45"/>
        <v>0</v>
      </c>
      <c r="FR8" s="336">
        <f t="shared" si="46"/>
        <v>0</v>
      </c>
      <c r="FS8" s="336">
        <f t="shared" si="47"/>
        <v>0</v>
      </c>
      <c r="FT8" s="336">
        <f t="shared" si="48"/>
        <v>33</v>
      </c>
      <c r="FU8" s="336">
        <f t="shared" si="49"/>
        <v>33</v>
      </c>
      <c r="FV8" s="336">
        <f t="shared" si="50"/>
        <v>33</v>
      </c>
      <c r="FW8" s="336">
        <f t="shared" si="51"/>
        <v>33</v>
      </c>
      <c r="FX8" s="336">
        <f t="shared" si="52"/>
        <v>33</v>
      </c>
      <c r="FY8" s="336">
        <f t="shared" si="53"/>
        <v>0</v>
      </c>
      <c r="FZ8" s="336">
        <f t="shared" si="54"/>
        <v>0</v>
      </c>
      <c r="GA8" s="336">
        <f t="shared" si="55"/>
        <v>0</v>
      </c>
      <c r="GB8" s="336">
        <f t="shared" si="56"/>
        <v>0</v>
      </c>
      <c r="GC8" s="336">
        <f t="shared" si="57"/>
        <v>0</v>
      </c>
      <c r="GD8" s="336">
        <f t="shared" si="58"/>
        <v>0</v>
      </c>
      <c r="GE8" s="336">
        <f t="shared" si="59"/>
        <v>0</v>
      </c>
      <c r="GF8" s="336">
        <f t="shared" si="60"/>
        <v>0</v>
      </c>
      <c r="GG8" s="336">
        <f t="shared" si="61"/>
        <v>0</v>
      </c>
      <c r="GH8" s="336">
        <f t="shared" si="62"/>
        <v>0</v>
      </c>
      <c r="GI8" s="336">
        <f t="shared" si="63"/>
        <v>0</v>
      </c>
      <c r="GJ8" s="336">
        <f t="shared" si="64"/>
        <v>0</v>
      </c>
      <c r="GK8" s="336">
        <f t="shared" si="65"/>
        <v>0</v>
      </c>
      <c r="GL8" s="336">
        <f t="shared" si="67"/>
        <v>0</v>
      </c>
      <c r="GM8" s="336">
        <f t="shared" si="66"/>
        <v>0</v>
      </c>
    </row>
    <row r="9" spans="1:195" s="869" customFormat="1" ht="20.100000000000001" customHeight="1">
      <c r="A9" s="406">
        <f t="shared" ref="A9:A14" si="81">1+A8</f>
        <v>2</v>
      </c>
      <c r="B9" s="581" t="s">
        <v>527</v>
      </c>
      <c r="C9" s="787" t="str">
        <f>$D$6</f>
        <v>PMCC-2</v>
      </c>
      <c r="D9" s="787" t="s">
        <v>1093</v>
      </c>
      <c r="E9" s="904" t="s">
        <v>349</v>
      </c>
      <c r="F9" s="406" t="s">
        <v>28</v>
      </c>
      <c r="G9" s="406" t="s">
        <v>329</v>
      </c>
      <c r="H9" s="905">
        <v>0.12</v>
      </c>
      <c r="I9" s="406" t="s">
        <v>330</v>
      </c>
      <c r="J9" s="406" t="s">
        <v>331</v>
      </c>
      <c r="K9" s="585">
        <v>400</v>
      </c>
      <c r="L9" s="409">
        <v>0.85</v>
      </c>
      <c r="M9" s="583">
        <v>0.95</v>
      </c>
      <c r="N9" s="407">
        <f t="shared" ref="N9" si="82">IF(I9="kVA",IF(J9="3Ph",(H9*1000/(1.732*M9*K9)),(H9*1000/(M9*K9))),IF(I9="kW",IF(J9="3Ph",(H9*1000/(1.732*M9*K9*L9)),(H9*1000/(M9*K9*L9)))))</f>
        <v>0.21450174818924778</v>
      </c>
      <c r="O9" s="407">
        <f t="shared" si="68"/>
        <v>0</v>
      </c>
      <c r="P9" s="409" t="str">
        <f t="shared" si="69"/>
        <v>0.00</v>
      </c>
      <c r="Q9" s="583">
        <v>65</v>
      </c>
      <c r="R9" s="583">
        <v>0</v>
      </c>
      <c r="S9" s="583">
        <f t="shared" si="70"/>
        <v>0</v>
      </c>
      <c r="T9" s="409" t="s">
        <v>332</v>
      </c>
      <c r="U9" s="583" t="s">
        <v>333</v>
      </c>
      <c r="V9" s="409">
        <v>2.5</v>
      </c>
      <c r="W9" s="409" t="str">
        <f t="shared" si="71"/>
        <v>3C X 2.5</v>
      </c>
      <c r="X9" s="409" t="str">
        <f>(IF(J9="1Ph",W9,IF(J9="3Ph",(IF(G9="MOTOR",(CONCATENATE(W9,"+PE")),W9)))))</f>
        <v>3C X 2.5</v>
      </c>
      <c r="Y9" s="409" t="s">
        <v>358</v>
      </c>
      <c r="Z9" s="408">
        <f>IF(T9="AIR",VLOOKUP(W9,'Catalogue Aluminium'!$B$9:$G$93,2,FALSE),IF(T9="GROUND",VLOOKUP(W9,'Catalogue Aluminium'!$B$9:$G$93,3,FALSE),IF(T9="DUCT",VLOOKUP(W9,'Catalogue Aluminium'!$B$9:$G$93,4,FALSE),IF(T9="TRENCH",VLOOKUP(W9,'Catalogue Aluminium'!$B$9:$G$93,2,FALSE)))))</f>
        <v>28</v>
      </c>
      <c r="AA9" s="410">
        <f>VLOOKUP(W9,'Catalogue Aluminium'!$B$9:$G$93,5,FALSE)</f>
        <v>9.48</v>
      </c>
      <c r="AB9" s="410">
        <f>VLOOKUP(W9,'Catalogue Aluminium'!$B$9:$G$93,6,FALSE)</f>
        <v>0.1007</v>
      </c>
      <c r="AC9" s="409">
        <v>22</v>
      </c>
      <c r="AD9" s="409">
        <f>6+6.7+4.7+87</f>
        <v>104.4</v>
      </c>
      <c r="AE9" s="409">
        <v>8</v>
      </c>
      <c r="AF9" s="409">
        <v>5</v>
      </c>
      <c r="AG9" s="409">
        <f>ROUNDUP((SUM(AC9:AF9)*0.1),0)</f>
        <v>14</v>
      </c>
      <c r="AH9" s="865">
        <f>SUM(AC9:AG9)</f>
        <v>153.4</v>
      </c>
      <c r="AI9" s="408">
        <f>IF(T9="AIR",'Catalogue Aluminium'!$K$9,IF(T9="TRENCH",'Catalogue Aluminium'!$K$12,"NA"))</f>
        <v>0.89</v>
      </c>
      <c r="AJ9" s="407">
        <f>IF(T9="Air",(IF(U9="1C",'Catalogue Aluminium'!$L$9,'Catalogue Aluminium'!$M$9)),IF(T9="DUCT",(IF($U9="1C",'Catalogue Aluminium'!$L$10,'Catalogue Aluminium'!$M$10)),IF(T9="GROUND",(IF($U9="1C",'Catalogue Aluminium'!$L$11,'Catalogue Aluminium'!$M$11)),IF(T9="TRENCH",(IF($U9="1C",'Catalogue Aluminium'!$L$12,'Catalogue Aluminium'!$M$12))))))</f>
        <v>0.66</v>
      </c>
      <c r="AK9" s="408" t="str">
        <f>IF(T9="Air",'Catalogue Aluminium'!$N$9,IF(T9="GROUND",'Catalogue Aluminium'!$N$10,IF(T9="DUCT",'Catalogue Aluminium'!$N$11,IF(T9="TRENCH",'Catalogue Aluminium'!$N$12,"NA"))))</f>
        <v>NA</v>
      </c>
      <c r="AL9" s="408" t="str">
        <f>IF(T9="Air",(IF(U9="1C",'Catalogue Aluminium'!$O$9,'Catalogue Aluminium'!$P$9)),IF(T9="DUCT",(IF($U9="1C",'Catalogue Aluminium'!$O$10,'Catalogue Aluminium'!$P$10)),IF(T9="GROUND",(IF($U9="1C",'Catalogue Aluminium'!$O$11,'Catalogue Aluminium'!$P$11)),IF(T9="TRENCH",(IF($U9="1C",'Catalogue Aluminium'!$O$12,'Catalogue Aluminium'!$P$12))))))</f>
        <v>NA</v>
      </c>
      <c r="AM9" s="408" t="str">
        <f>IF(T9="AIR","NA",IF(T9="TRENCH","NA",IF(T9="DUCT",IF(U9="1C",VLOOKUP(V9,'Catalogue Aluminium'!$Q$9:$S$28,2,FALSE),VLOOKUP(V9,'Catalogue Aluminium'!$Q$9:$S$28,3)),IF(T9="GROUND",IF(U9="1C",VLOOKUP(V9,'Catalogue Aluminium'!$Q$9:$S$28,2,FALSE),VLOOKUP(V9,'Catalogue Aluminium'!$Q$9:$S$28,3))))))</f>
        <v>NA</v>
      </c>
      <c r="AN9" s="584">
        <f>IF(T9="AIR",AI9*AJ9,IF(T9="TRENCH",AI9*AJ9,IF(T9="DUCT",AJ9*AK9*AL9*AM9,IF(T9="GROUND",AJ9*AK9*AL9*AM9))))</f>
        <v>0.58740000000000003</v>
      </c>
      <c r="AO9" s="583">
        <f>Z9*AN9</f>
        <v>16.447200000000002</v>
      </c>
      <c r="AP9" s="585">
        <f>CEILING(((N9)/AO9),1)</f>
        <v>1</v>
      </c>
      <c r="AQ9" s="583" t="str">
        <f>IF(AO9*AP9&gt;=N9,"YES","NO")</f>
        <v>YES</v>
      </c>
      <c r="AR9" s="584">
        <f>SQRT(3)*AH9*N9*((AA9*L9)+(AB9*SIN(ACOS(L9))))*100/(AP9*K9*1000)</f>
        <v>0.11556697630105607</v>
      </c>
      <c r="AS9" s="409" t="str">
        <f>IF(G9="INCOMER",(IF(AR9&lt;=2,"YES","NO")),IF(G9="POWER",(IF(AR9&lt;=2.5,"YES","NO")),IF(G9="MOTOR",(IF(AR9&lt;=3,"YES","NO")))))</f>
        <v>YES</v>
      </c>
      <c r="AT9" s="584" t="str">
        <f t="shared" si="72"/>
        <v>NA</v>
      </c>
      <c r="AU9" s="409" t="str">
        <f t="shared" si="73"/>
        <v>NA</v>
      </c>
      <c r="AV9" s="586" t="str">
        <f t="shared" si="74"/>
        <v>1R x 0.6/1kV x 3C x 2.5 Sqmm</v>
      </c>
      <c r="AW9" s="586" t="str">
        <f t="shared" si="75"/>
        <v>1R x 0.6/1kV x 3C x 2.5 Sqmm</v>
      </c>
      <c r="AX9" s="409">
        <f t="shared" si="76"/>
        <v>153.4</v>
      </c>
      <c r="AY9" s="866"/>
      <c r="AZ9" s="866">
        <f t="shared" si="77"/>
        <v>2</v>
      </c>
      <c r="BA9" s="867" t="str">
        <f t="shared" si="78"/>
        <v>Q4Q5Q6Q7Q8</v>
      </c>
      <c r="BB9" s="868">
        <f>VLOOKUP(W9,'Catalogue Aluminium'!$B$9:$H$93,7,FALSE)</f>
        <v>14</v>
      </c>
      <c r="BC9" s="789">
        <f t="shared" si="79"/>
        <v>14</v>
      </c>
      <c r="BE9" s="587"/>
      <c r="BF9" s="587"/>
      <c r="BG9" s="587"/>
      <c r="BH9" s="587"/>
      <c r="BI9" s="587"/>
      <c r="BJ9" s="587"/>
      <c r="BK9" s="587"/>
      <c r="BL9" s="587"/>
      <c r="BM9" s="587"/>
      <c r="BN9" s="587"/>
      <c r="BO9" s="587"/>
      <c r="BP9" s="587"/>
      <c r="BQ9" s="587"/>
      <c r="BR9" s="587"/>
      <c r="BS9" s="587"/>
      <c r="BT9" s="587"/>
      <c r="BU9" s="587"/>
      <c r="BV9" s="587"/>
      <c r="BW9" s="587"/>
      <c r="BX9" s="587"/>
      <c r="BY9" s="587"/>
      <c r="BZ9" s="587"/>
      <c r="CA9" s="587"/>
      <c r="CB9" s="587"/>
      <c r="CC9" s="587"/>
      <c r="CD9" s="587"/>
      <c r="CE9" s="587"/>
      <c r="CF9" s="587"/>
      <c r="CG9" s="587"/>
      <c r="CH9" s="587"/>
      <c r="CI9" s="587"/>
      <c r="CJ9" s="587"/>
      <c r="CK9" s="587"/>
      <c r="CL9" s="587"/>
      <c r="CM9" s="587"/>
      <c r="CN9" s="587"/>
      <c r="CO9" s="587"/>
      <c r="CP9" s="587"/>
      <c r="CQ9" s="587"/>
      <c r="CR9" s="587"/>
      <c r="CS9" s="587"/>
      <c r="CT9" s="587"/>
      <c r="CU9" s="587"/>
      <c r="CV9" s="587"/>
      <c r="CW9" s="587"/>
      <c r="CX9" s="587"/>
      <c r="CY9" s="587"/>
      <c r="CZ9" s="587"/>
      <c r="DA9" s="587"/>
      <c r="DB9" s="587">
        <v>1</v>
      </c>
      <c r="DC9" s="587">
        <v>1</v>
      </c>
      <c r="DD9" s="587">
        <v>1</v>
      </c>
      <c r="DE9" s="587">
        <v>1</v>
      </c>
      <c r="DF9" s="587">
        <v>1</v>
      </c>
      <c r="DG9" s="587"/>
      <c r="DH9" s="587"/>
      <c r="DI9" s="587"/>
      <c r="DJ9" s="906"/>
      <c r="DK9" s="906"/>
      <c r="DL9" s="906"/>
      <c r="DM9" s="906"/>
      <c r="DN9" s="906"/>
      <c r="DO9" s="906"/>
      <c r="DP9" s="906"/>
      <c r="DQ9" s="587"/>
      <c r="DR9" s="906"/>
      <c r="DS9" s="906"/>
      <c r="DT9" s="906"/>
      <c r="DU9" s="587"/>
      <c r="DW9" s="587">
        <f t="shared" ref="DW9" si="83">IF(BE9=1,($BC9*BE9),0)</f>
        <v>0</v>
      </c>
      <c r="DX9" s="587">
        <f t="shared" ref="DX9" si="84">IF(BF9=1,($BC9*BF9),0)</f>
        <v>0</v>
      </c>
      <c r="DY9" s="587">
        <f t="shared" ref="DY9" si="85">IF(BG9=1,($BC9*BG9),0)</f>
        <v>0</v>
      </c>
      <c r="DZ9" s="587">
        <f t="shared" ref="DZ9" si="86">IF(BH9=1,($BC9*BH9),0)</f>
        <v>0</v>
      </c>
      <c r="EA9" s="587">
        <f t="shared" ref="EA9" si="87">IF(BI9=1,($BC9*BI9),0)</f>
        <v>0</v>
      </c>
      <c r="EB9" s="587">
        <f t="shared" ref="EB9" si="88">IF(BJ9=1,($BC9*BJ9),0)</f>
        <v>0</v>
      </c>
      <c r="EC9" s="587">
        <f t="shared" ref="EC9" si="89">IF(BK9=1,($BC9*BK9),0)</f>
        <v>0</v>
      </c>
      <c r="ED9" s="587">
        <f t="shared" ref="ED9" si="90">IF(BL9=1,($BC9*BL9),0)</f>
        <v>0</v>
      </c>
      <c r="EE9" s="587">
        <f t="shared" ref="EE9" si="91">IF(BM9=1,($BC9*BM9),0)</f>
        <v>0</v>
      </c>
      <c r="EF9" s="587">
        <f t="shared" ref="EF9" si="92">IF(BN9=1,($BC9*BN9),0)</f>
        <v>0</v>
      </c>
      <c r="EG9" s="587">
        <f t="shared" ref="EG9" si="93">IF(BO9=1,($BC9*BO9),0)</f>
        <v>0</v>
      </c>
      <c r="EH9" s="587">
        <f t="shared" ref="EH9" si="94">IF(BP9=1,($BC9*BP9),0)</f>
        <v>0</v>
      </c>
      <c r="EI9" s="587">
        <f t="shared" ref="EI9" si="95">IF(BQ9=1,($BC9*BQ9),0)</f>
        <v>0</v>
      </c>
      <c r="EJ9" s="587">
        <f t="shared" ref="EJ9" si="96">IF(BR9=1,($BC9*BR9),0)</f>
        <v>0</v>
      </c>
      <c r="EK9" s="587">
        <f t="shared" ref="EK9" si="97">IF(BS9=1,($BC9*BS9),0)</f>
        <v>0</v>
      </c>
      <c r="EL9" s="587">
        <f t="shared" ref="EL9" si="98">IF(BT9=1,($BC9*BT9),0)</f>
        <v>0</v>
      </c>
      <c r="EM9" s="587">
        <f t="shared" ref="EM9" si="99">IF(BU9=1,($BC9*BU9),0)</f>
        <v>0</v>
      </c>
      <c r="EN9" s="587">
        <f t="shared" ref="EN9" si="100">IF(BV9=1,($BC9*BV9),0)</f>
        <v>0</v>
      </c>
      <c r="EO9" s="587">
        <f t="shared" ref="EO9" si="101">IF(BW9=1,($BC9*BW9),0)</f>
        <v>0</v>
      </c>
      <c r="EP9" s="587">
        <f t="shared" ref="EP9" si="102">IF(BX9=1,($BC9*BX9),0)</f>
        <v>0</v>
      </c>
      <c r="EQ9" s="587">
        <f t="shared" ref="EQ9" si="103">IF(BY9=1,($BC9*BY9),0)</f>
        <v>0</v>
      </c>
      <c r="ER9" s="587">
        <f t="shared" ref="ER9" si="104">IF(BZ9=1,($BC9*BZ9),0)</f>
        <v>0</v>
      </c>
      <c r="ES9" s="587">
        <f t="shared" ref="ES9" si="105">IF(CA9=1,($BC9*CA9),0)</f>
        <v>0</v>
      </c>
      <c r="ET9" s="587">
        <f t="shared" si="22"/>
        <v>0</v>
      </c>
      <c r="EU9" s="587">
        <f t="shared" ref="EU9" si="106">IF(CC9=1,($BC9*CC9),0)</f>
        <v>0</v>
      </c>
      <c r="EV9" s="587">
        <f t="shared" ref="EV9" si="107">IF(CD9=1,($BC9*CD9),0)</f>
        <v>0</v>
      </c>
      <c r="EW9" s="587">
        <f t="shared" ref="EW9" si="108">IF(CE9=1,($BC9*CE9),0)</f>
        <v>0</v>
      </c>
      <c r="EX9" s="587">
        <f t="shared" ref="EX9" si="109">IF(CF9=1,($BC9*CF9),0)</f>
        <v>0</v>
      </c>
      <c r="EY9" s="587">
        <f t="shared" ref="EY9" si="110">IF(CG9=1,($BC9*CG9),0)</f>
        <v>0</v>
      </c>
      <c r="EZ9" s="587">
        <f t="shared" ref="EZ9" si="111">IF(CH9=1,($BC9*CH9),0)</f>
        <v>0</v>
      </c>
      <c r="FA9" s="587">
        <f t="shared" ref="FA9" si="112">IF(CI9=1,($BC9*CI9),0)</f>
        <v>0</v>
      </c>
      <c r="FB9" s="587">
        <f t="shared" ref="FB9" si="113">IF(CJ9=1,($BC9*CJ9),0)</f>
        <v>0</v>
      </c>
      <c r="FC9" s="587">
        <f t="shared" ref="FC9" si="114">IF(CK9=1,($BC9*CK9),0)</f>
        <v>0</v>
      </c>
      <c r="FD9" s="587">
        <f t="shared" ref="FD9" si="115">IF(CL9=1,($BC9*CL9),0)</f>
        <v>0</v>
      </c>
      <c r="FE9" s="587">
        <f t="shared" ref="FE9" si="116">IF(CM9=1,($BC9*CM9),0)</f>
        <v>0</v>
      </c>
      <c r="FF9" s="587">
        <f t="shared" ref="FF9" si="117">IF(CN9=1,($BC9*CN9),0)</f>
        <v>0</v>
      </c>
      <c r="FG9" s="587">
        <f t="shared" ref="FG9" si="118">IF(CO9=1,($BC9*CO9),0)</f>
        <v>0</v>
      </c>
      <c r="FH9" s="587">
        <f t="shared" ref="FH9" si="119">IF(CP9=1,($BC9*CP9),0)</f>
        <v>0</v>
      </c>
      <c r="FI9" s="587">
        <f t="shared" ref="FI9" si="120">IF(CQ9=1,($BC9*CQ9),0)</f>
        <v>0</v>
      </c>
      <c r="FJ9" s="587">
        <f t="shared" ref="FJ9" si="121">IF(CR9=1,($BC9*CR9),0)</f>
        <v>0</v>
      </c>
      <c r="FK9" s="587">
        <f t="shared" ref="FK9" si="122">IF(CS9=1,($BC9*CS9),0)</f>
        <v>0</v>
      </c>
      <c r="FL9" s="587">
        <f t="shared" ref="FL9" si="123">IF(CT9=1,($BC9*CT9),0)</f>
        <v>0</v>
      </c>
      <c r="FM9" s="587">
        <f t="shared" ref="FM9" si="124">IF(CU9=1,($BC9*CU9),0)</f>
        <v>0</v>
      </c>
      <c r="FN9" s="587">
        <f t="shared" ref="FN9" si="125">IF(CV9=1,($BC9*CV9),0)</f>
        <v>0</v>
      </c>
      <c r="FO9" s="587">
        <f t="shared" ref="FO9" si="126">IF(CW9=1,($BC9*CW9),0)</f>
        <v>0</v>
      </c>
      <c r="FP9" s="587">
        <f t="shared" ref="FP9" si="127">IF(CX9=1,($BC9*CX9),0)</f>
        <v>0</v>
      </c>
      <c r="FQ9" s="587">
        <f t="shared" ref="FQ9" si="128">IF(CY9=1,($BC9*CY9),0)</f>
        <v>0</v>
      </c>
      <c r="FR9" s="587">
        <f t="shared" ref="FR9" si="129">IF(CZ9=1,($BC9*CZ9),0)</f>
        <v>0</v>
      </c>
      <c r="FS9" s="587">
        <f t="shared" ref="FS9" si="130">IF(DA9=1,($BC9*DA9),0)</f>
        <v>0</v>
      </c>
      <c r="FT9" s="587">
        <f t="shared" ref="FT9" si="131">IF(DB9=1,($BC9*DB9),0)</f>
        <v>14</v>
      </c>
      <c r="FU9" s="587">
        <f t="shared" si="49"/>
        <v>14</v>
      </c>
      <c r="FV9" s="587">
        <f t="shared" si="50"/>
        <v>14</v>
      </c>
      <c r="FW9" s="587">
        <f t="shared" si="51"/>
        <v>14</v>
      </c>
      <c r="FX9" s="587">
        <f t="shared" si="52"/>
        <v>14</v>
      </c>
      <c r="FY9" s="587">
        <f t="shared" si="53"/>
        <v>0</v>
      </c>
      <c r="FZ9" s="587">
        <f t="shared" si="54"/>
        <v>0</v>
      </c>
      <c r="GA9" s="587">
        <f t="shared" si="55"/>
        <v>0</v>
      </c>
      <c r="GB9" s="587">
        <f t="shared" si="56"/>
        <v>0</v>
      </c>
      <c r="GC9" s="587">
        <f t="shared" si="57"/>
        <v>0</v>
      </c>
      <c r="GD9" s="587">
        <f t="shared" si="58"/>
        <v>0</v>
      </c>
      <c r="GE9" s="587">
        <f t="shared" si="59"/>
        <v>0</v>
      </c>
      <c r="GF9" s="587">
        <f t="shared" si="60"/>
        <v>0</v>
      </c>
      <c r="GG9" s="587">
        <f t="shared" si="61"/>
        <v>0</v>
      </c>
      <c r="GH9" s="587">
        <f t="shared" si="62"/>
        <v>0</v>
      </c>
      <c r="GI9" s="587">
        <f t="shared" si="63"/>
        <v>0</v>
      </c>
      <c r="GJ9" s="587">
        <f t="shared" si="64"/>
        <v>0</v>
      </c>
      <c r="GK9" s="587">
        <f t="shared" si="65"/>
        <v>0</v>
      </c>
      <c r="GL9" s="587">
        <f t="shared" si="67"/>
        <v>0</v>
      </c>
      <c r="GM9" s="587">
        <f t="shared" si="66"/>
        <v>0</v>
      </c>
    </row>
    <row r="10" spans="1:195" ht="20.100000000000001" customHeight="1">
      <c r="A10" s="337">
        <f t="shared" si="81"/>
        <v>3</v>
      </c>
      <c r="B10" s="502" t="s">
        <v>1094</v>
      </c>
      <c r="C10" s="372" t="str">
        <f>$D$6</f>
        <v>PMCC-2</v>
      </c>
      <c r="D10" s="338" t="s">
        <v>1095</v>
      </c>
      <c r="E10" s="440" t="s">
        <v>349</v>
      </c>
      <c r="F10" s="337" t="s">
        <v>29</v>
      </c>
      <c r="G10" s="337" t="s">
        <v>350</v>
      </c>
      <c r="H10" s="418">
        <v>55</v>
      </c>
      <c r="I10" s="337" t="s">
        <v>330</v>
      </c>
      <c r="J10" s="337" t="s">
        <v>331</v>
      </c>
      <c r="K10" s="349">
        <v>400</v>
      </c>
      <c r="L10" s="343">
        <v>0.85</v>
      </c>
      <c r="M10" s="350">
        <v>0.95400000000000007</v>
      </c>
      <c r="N10" s="342">
        <f t="shared" ref="N10:N11" si="132">IF(I10="kVA",IF(J10="3Ph",(H10*1000/(1.732*M10*K10)),(H10*1000/(M10*K10))),IF(I10="kW",IF(J10="3Ph",(H10*1000/(1.732*M10*K10*L10)),(H10*1000/(M10*K10*L10)))))</f>
        <v>97.901086153810226</v>
      </c>
      <c r="O10" s="342">
        <f t="shared" si="68"/>
        <v>587.40651692286133</v>
      </c>
      <c r="P10" s="343">
        <f t="shared" si="69"/>
        <v>0.2</v>
      </c>
      <c r="Q10" s="350">
        <v>65</v>
      </c>
      <c r="R10" s="350">
        <v>0</v>
      </c>
      <c r="S10" s="350">
        <f t="shared" si="70"/>
        <v>0</v>
      </c>
      <c r="T10" s="343" t="s">
        <v>332</v>
      </c>
      <c r="U10" s="350" t="s">
        <v>333</v>
      </c>
      <c r="V10" s="343">
        <v>95</v>
      </c>
      <c r="W10" s="343" t="str">
        <f t="shared" ref="W10:W11" si="133">CONCATENATE(U10," X ",V10)</f>
        <v>3C X 95</v>
      </c>
      <c r="X10" s="343" t="str">
        <f>(IF(J10="1Ph",W10,IF(J10="3Ph",(IF(G10="MOTOR",(CONCATENATE(W10,"+PE")),W10)))))</f>
        <v>3C X 95+PE</v>
      </c>
      <c r="Y10" s="343" t="s">
        <v>358</v>
      </c>
      <c r="Z10" s="344">
        <f>IF(T10="AIR",VLOOKUP(W10,'Catalogue Aluminium'!$B$9:$G$93,2,FALSE),IF(T10="GROUND",VLOOKUP(W10,'Catalogue Aluminium'!$B$9:$G$93,3,FALSE),IF(T10="DUCT",VLOOKUP(W10,'Catalogue Aluminium'!$B$9:$G$93,4,FALSE),IF(T10="TRENCH",VLOOKUP(W10,'Catalogue Aluminium'!$B$9:$G$93,2,FALSE)))))</f>
        <v>221</v>
      </c>
      <c r="AA10" s="345">
        <f>VLOOKUP(W10,'Catalogue Aluminium'!$B$9:$G$93,5,FALSE)</f>
        <v>0.41</v>
      </c>
      <c r="AB10" s="345">
        <f>VLOOKUP(W10,'Catalogue Aluminium'!$B$9:$G$93,6,FALSE)</f>
        <v>7.3400000000000007E-2</v>
      </c>
      <c r="AC10" s="343">
        <f>9.5+2.5</f>
        <v>12</v>
      </c>
      <c r="AD10" s="343">
        <f>6+6.7+4.7+87</f>
        <v>104.4</v>
      </c>
      <c r="AE10" s="343">
        <v>8</v>
      </c>
      <c r="AF10" s="343">
        <v>5</v>
      </c>
      <c r="AG10" s="343">
        <f t="shared" ref="AG10:AG107" si="134">ROUNDUP((SUM(AC10:AF10)*0.1),0)</f>
        <v>13</v>
      </c>
      <c r="AH10" s="347">
        <f t="shared" ref="AH10" si="135">SUM(AC10:AG10)</f>
        <v>142.4</v>
      </c>
      <c r="AI10" s="344">
        <f>IF(T10="AIR",'Catalogue Aluminium'!$K$9,IF(T10="TRENCH",'Catalogue Aluminium'!$K$12,"NA"))</f>
        <v>0.89</v>
      </c>
      <c r="AJ10" s="342">
        <f>IF(T10="Air",(IF(U10="1C",'Catalogue Aluminium'!$L$9,'Catalogue Aluminium'!$M$9)),IF(T10="DUCT",(IF($U10="1C",'Catalogue Aluminium'!$L$10,'Catalogue Aluminium'!$M$10)),IF(T10="GROUND",(IF($U10="1C",'Catalogue Aluminium'!$L$11,'Catalogue Aluminium'!$M$11)),IF(T10="TRENCH",(IF($U10="1C",'Catalogue Aluminium'!$L$12,'Catalogue Aluminium'!$M$12))))))</f>
        <v>0.66</v>
      </c>
      <c r="AK10" s="344" t="str">
        <f>IF(T10="Air",'Catalogue Aluminium'!$N$9,IF(T10="GROUND",'Catalogue Aluminium'!$N$10,IF(T10="DUCT",'Catalogue Aluminium'!$N$11,IF(T10="TRENCH",'Catalogue Aluminium'!$N$12,"NA"))))</f>
        <v>NA</v>
      </c>
      <c r="AL10" s="344" t="str">
        <f>IF(T10="Air",(IF(U10="1C",'Catalogue Aluminium'!$O$9,'Catalogue Aluminium'!$P$9)),IF(T10="DUCT",(IF($U10="1C",'Catalogue Aluminium'!$O$10,'Catalogue Aluminium'!$P$10)),IF(T10="GROUND",(IF($U10="1C",'Catalogue Aluminium'!$O$11,'Catalogue Aluminium'!$P$11)),IF(T10="TRENCH",(IF($U10="1C",'Catalogue Aluminium'!$O$12,'Catalogue Aluminium'!$P$12))))))</f>
        <v>NA</v>
      </c>
      <c r="AM10" s="344" t="str">
        <f>IF(T10="AIR","NA",IF(T10="TRENCH","NA",IF(T10="DUCT",IF(U10="1C",VLOOKUP(V10,'Catalogue Aluminium'!$Q$9:$S$28,2,FALSE),VLOOKUP(V10,'Catalogue Aluminium'!$Q$9:$S$28,3)),IF(T10="GROUND",IF(U10="1C",VLOOKUP(V10,'Catalogue Aluminium'!$Q$9:$S$28,2,FALSE),VLOOKUP(V10,'Catalogue Aluminium'!$Q$9:$S$28,3))))))</f>
        <v>NA</v>
      </c>
      <c r="AN10" s="351">
        <f>IF(T10="AIR",AI10*AJ10,IF(T10="TRENCH",AI10*AJ10,IF(T10="DUCT",AJ10*AK10*AL10*AM10,IF(T10="GROUND",AJ10*AK10*AL10*AM10))))</f>
        <v>0.58740000000000003</v>
      </c>
      <c r="AO10" s="350">
        <f>Z10*AN10</f>
        <v>129.81540000000001</v>
      </c>
      <c r="AP10" s="349">
        <f>CEILING(((N10)/AO10),1)</f>
        <v>1</v>
      </c>
      <c r="AQ10" s="350" t="str">
        <f>IF(AO10*AP10&gt;=N10,"YES","NO")</f>
        <v>YES</v>
      </c>
      <c r="AR10" s="351">
        <f t="shared" ref="AR10:AR107" si="136">SQRT(3)*AH10*N10*((AA10*L10)+(AB10*SIN(ACOS(L10))))*100/(AP10*K10*1000)</f>
        <v>2.3371962344198933</v>
      </c>
      <c r="AS10" s="343" t="str">
        <f t="shared" ref="AS10:AS107" si="137">IF(G10="INCOMER",(IF(AR10&lt;=2,"YES","NO")),IF(G10="POWER",(IF(AR10&lt;=2.5,"YES","NO")),IF(G10="MOTOR",(IF(AR10&lt;=3,"YES","NO")))))</f>
        <v>YES</v>
      </c>
      <c r="AT10" s="351">
        <f t="shared" si="72"/>
        <v>5.5748864866123906</v>
      </c>
      <c r="AU10" s="343" t="str">
        <f t="shared" si="73"/>
        <v>YES</v>
      </c>
      <c r="AV10" s="354" t="str">
        <f t="shared" si="74"/>
        <v>1R x 0.6/1kV x 3C x 95 Sqmm</v>
      </c>
      <c r="AW10" s="354" t="str">
        <f t="shared" si="75"/>
        <v>1R x 0.6/1kV x 3C x 95+PE Sqmm</v>
      </c>
      <c r="AX10" s="343">
        <f t="shared" si="76"/>
        <v>142.4</v>
      </c>
      <c r="AY10" s="355"/>
      <c r="AZ10" s="355">
        <f t="shared" si="77"/>
        <v>2</v>
      </c>
      <c r="BA10" s="356" t="str">
        <f t="shared" si="78"/>
        <v>Q4Q5Q6Q7Q8</v>
      </c>
      <c r="BB10" s="501">
        <f>VLOOKUP(W10,'Catalogue Aluminium'!$B$9:$H$93,7,FALSE)</f>
        <v>33</v>
      </c>
      <c r="BC10" s="328">
        <f t="shared" si="79"/>
        <v>33</v>
      </c>
      <c r="BE10" s="336"/>
      <c r="BF10" s="336"/>
      <c r="BG10" s="336"/>
      <c r="BH10" s="336"/>
      <c r="BI10" s="336"/>
      <c r="BJ10" s="336"/>
      <c r="BK10" s="336"/>
      <c r="BL10" s="336"/>
      <c r="BM10" s="336"/>
      <c r="BN10" s="336"/>
      <c r="BO10" s="336"/>
      <c r="BP10" s="336"/>
      <c r="BQ10" s="336"/>
      <c r="BR10" s="336"/>
      <c r="BS10" s="336"/>
      <c r="BT10" s="336"/>
      <c r="BU10" s="336"/>
      <c r="BV10" s="336"/>
      <c r="BW10" s="336"/>
      <c r="BX10" s="336"/>
      <c r="BY10" s="336"/>
      <c r="BZ10" s="336"/>
      <c r="CA10" s="336"/>
      <c r="CB10" s="336"/>
      <c r="CC10" s="336"/>
      <c r="CD10" s="336"/>
      <c r="CE10" s="336"/>
      <c r="CF10" s="336"/>
      <c r="CG10" s="336"/>
      <c r="CH10" s="336"/>
      <c r="CI10" s="336"/>
      <c r="CJ10" s="336"/>
      <c r="CK10" s="336"/>
      <c r="CL10" s="336"/>
      <c r="CM10" s="336"/>
      <c r="CN10" s="336"/>
      <c r="CO10" s="336"/>
      <c r="CP10" s="336"/>
      <c r="CQ10" s="336"/>
      <c r="CR10" s="336"/>
      <c r="CS10" s="336"/>
      <c r="CT10" s="336"/>
      <c r="CU10" s="336"/>
      <c r="CV10" s="336"/>
      <c r="CW10" s="336"/>
      <c r="CX10" s="336"/>
      <c r="CY10" s="336"/>
      <c r="CZ10" s="336"/>
      <c r="DA10" s="336"/>
      <c r="DB10" s="336">
        <v>1</v>
      </c>
      <c r="DC10" s="336">
        <v>1</v>
      </c>
      <c r="DD10" s="336">
        <v>1</v>
      </c>
      <c r="DE10" s="336">
        <v>1</v>
      </c>
      <c r="DF10" s="336">
        <v>1</v>
      </c>
      <c r="DG10" s="336"/>
      <c r="DH10" s="336"/>
      <c r="DI10" s="336"/>
      <c r="DJ10" s="741"/>
      <c r="DK10" s="741"/>
      <c r="DL10" s="741"/>
      <c r="DM10" s="741"/>
      <c r="DN10" s="741"/>
      <c r="DO10" s="741"/>
      <c r="DP10" s="741"/>
      <c r="DQ10" s="336"/>
      <c r="DR10" s="741"/>
      <c r="DS10" s="741"/>
      <c r="DT10" s="741"/>
      <c r="DU10" s="336"/>
      <c r="DW10" s="336">
        <f t="shared" si="80"/>
        <v>0</v>
      </c>
      <c r="DX10" s="336">
        <f t="shared" si="1"/>
        <v>0</v>
      </c>
      <c r="DY10" s="336">
        <f t="shared" si="2"/>
        <v>0</v>
      </c>
      <c r="DZ10" s="336">
        <f t="shared" si="3"/>
        <v>0</v>
      </c>
      <c r="EA10" s="336">
        <f t="shared" si="4"/>
        <v>0</v>
      </c>
      <c r="EB10" s="336">
        <f t="shared" si="5"/>
        <v>0</v>
      </c>
      <c r="EC10" s="336">
        <f t="shared" si="6"/>
        <v>0</v>
      </c>
      <c r="ED10" s="336">
        <f t="shared" si="7"/>
        <v>0</v>
      </c>
      <c r="EE10" s="336">
        <f t="shared" si="8"/>
        <v>0</v>
      </c>
      <c r="EF10" s="336">
        <f t="shared" si="9"/>
        <v>0</v>
      </c>
      <c r="EG10" s="336">
        <f t="shared" si="10"/>
        <v>0</v>
      </c>
      <c r="EH10" s="336">
        <f t="shared" si="11"/>
        <v>0</v>
      </c>
      <c r="EI10" s="336">
        <f t="shared" si="12"/>
        <v>0</v>
      </c>
      <c r="EJ10" s="336">
        <f t="shared" si="13"/>
        <v>0</v>
      </c>
      <c r="EK10" s="336">
        <f t="shared" si="14"/>
        <v>0</v>
      </c>
      <c r="EL10" s="336">
        <f t="shared" si="15"/>
        <v>0</v>
      </c>
      <c r="EM10" s="336">
        <f t="shared" si="16"/>
        <v>0</v>
      </c>
      <c r="EN10" s="336">
        <f t="shared" si="17"/>
        <v>0</v>
      </c>
      <c r="EO10" s="336">
        <f t="shared" si="18"/>
        <v>0</v>
      </c>
      <c r="EP10" s="336">
        <f t="shared" si="19"/>
        <v>0</v>
      </c>
      <c r="EQ10" s="336">
        <f t="shared" si="20"/>
        <v>0</v>
      </c>
      <c r="ER10" s="336">
        <f t="shared" si="21"/>
        <v>0</v>
      </c>
      <c r="ES10" s="336">
        <f t="shared" si="22"/>
        <v>0</v>
      </c>
      <c r="ET10" s="336">
        <f t="shared" si="22"/>
        <v>0</v>
      </c>
      <c r="EU10" s="336">
        <f t="shared" si="23"/>
        <v>0</v>
      </c>
      <c r="EV10" s="336">
        <f t="shared" si="24"/>
        <v>0</v>
      </c>
      <c r="EW10" s="336">
        <f t="shared" si="25"/>
        <v>0</v>
      </c>
      <c r="EX10" s="336">
        <f t="shared" si="26"/>
        <v>0</v>
      </c>
      <c r="EY10" s="336">
        <f t="shared" si="27"/>
        <v>0</v>
      </c>
      <c r="EZ10" s="336">
        <f t="shared" si="28"/>
        <v>0</v>
      </c>
      <c r="FA10" s="336">
        <f t="shared" si="29"/>
        <v>0</v>
      </c>
      <c r="FB10" s="336">
        <f t="shared" si="30"/>
        <v>0</v>
      </c>
      <c r="FC10" s="336">
        <f t="shared" si="31"/>
        <v>0</v>
      </c>
      <c r="FD10" s="336">
        <f t="shared" si="32"/>
        <v>0</v>
      </c>
      <c r="FE10" s="336">
        <f t="shared" si="33"/>
        <v>0</v>
      </c>
      <c r="FF10" s="336">
        <f t="shared" si="34"/>
        <v>0</v>
      </c>
      <c r="FG10" s="336">
        <f t="shared" si="35"/>
        <v>0</v>
      </c>
      <c r="FH10" s="336">
        <f t="shared" si="36"/>
        <v>0</v>
      </c>
      <c r="FI10" s="336">
        <f t="shared" si="37"/>
        <v>0</v>
      </c>
      <c r="FJ10" s="336">
        <f t="shared" si="38"/>
        <v>0</v>
      </c>
      <c r="FK10" s="336">
        <f t="shared" si="39"/>
        <v>0</v>
      </c>
      <c r="FL10" s="336">
        <f t="shared" si="40"/>
        <v>0</v>
      </c>
      <c r="FM10" s="336">
        <f t="shared" si="41"/>
        <v>0</v>
      </c>
      <c r="FN10" s="336">
        <f t="shared" si="42"/>
        <v>0</v>
      </c>
      <c r="FO10" s="336">
        <f t="shared" si="43"/>
        <v>0</v>
      </c>
      <c r="FP10" s="336">
        <f t="shared" si="44"/>
        <v>0</v>
      </c>
      <c r="FQ10" s="336">
        <f t="shared" si="45"/>
        <v>0</v>
      </c>
      <c r="FR10" s="336">
        <f t="shared" si="46"/>
        <v>0</v>
      </c>
      <c r="FS10" s="336">
        <f t="shared" si="47"/>
        <v>0</v>
      </c>
      <c r="FT10" s="336">
        <f t="shared" si="48"/>
        <v>33</v>
      </c>
      <c r="FU10" s="336">
        <f t="shared" si="49"/>
        <v>33</v>
      </c>
      <c r="FV10" s="336">
        <f t="shared" si="50"/>
        <v>33</v>
      </c>
      <c r="FW10" s="336">
        <f t="shared" si="51"/>
        <v>33</v>
      </c>
      <c r="FX10" s="336">
        <f t="shared" si="52"/>
        <v>33</v>
      </c>
      <c r="FY10" s="336">
        <f t="shared" si="53"/>
        <v>0</v>
      </c>
      <c r="FZ10" s="336">
        <f t="shared" si="54"/>
        <v>0</v>
      </c>
      <c r="GA10" s="336">
        <f t="shared" si="55"/>
        <v>0</v>
      </c>
      <c r="GB10" s="336">
        <f t="shared" si="56"/>
        <v>0</v>
      </c>
      <c r="GC10" s="336">
        <f t="shared" si="57"/>
        <v>0</v>
      </c>
      <c r="GD10" s="336">
        <f t="shared" si="58"/>
        <v>0</v>
      </c>
      <c r="GE10" s="336">
        <f t="shared" si="59"/>
        <v>0</v>
      </c>
      <c r="GF10" s="336">
        <f t="shared" si="60"/>
        <v>0</v>
      </c>
      <c r="GG10" s="336">
        <f t="shared" si="61"/>
        <v>0</v>
      </c>
      <c r="GH10" s="336">
        <f t="shared" si="62"/>
        <v>0</v>
      </c>
      <c r="GI10" s="336">
        <f t="shared" si="63"/>
        <v>0</v>
      </c>
      <c r="GJ10" s="336">
        <f t="shared" si="64"/>
        <v>0</v>
      </c>
      <c r="GK10" s="336">
        <f t="shared" si="65"/>
        <v>0</v>
      </c>
      <c r="GL10" s="336">
        <f t="shared" si="67"/>
        <v>0</v>
      </c>
      <c r="GM10" s="336">
        <f t="shared" si="66"/>
        <v>0</v>
      </c>
    </row>
    <row r="11" spans="1:195" s="869" customFormat="1" ht="20.100000000000001" customHeight="1">
      <c r="A11" s="406">
        <f t="shared" si="81"/>
        <v>4</v>
      </c>
      <c r="B11" s="581" t="s">
        <v>527</v>
      </c>
      <c r="C11" s="787" t="str">
        <f>$D$6</f>
        <v>PMCC-2</v>
      </c>
      <c r="D11" s="787" t="s">
        <v>1096</v>
      </c>
      <c r="E11" s="904" t="s">
        <v>349</v>
      </c>
      <c r="F11" s="406" t="s">
        <v>29</v>
      </c>
      <c r="G11" s="406" t="s">
        <v>329</v>
      </c>
      <c r="H11" s="905">
        <v>0.12</v>
      </c>
      <c r="I11" s="406" t="s">
        <v>330</v>
      </c>
      <c r="J11" s="406" t="s">
        <v>331</v>
      </c>
      <c r="K11" s="585">
        <v>400</v>
      </c>
      <c r="L11" s="409">
        <v>0.85</v>
      </c>
      <c r="M11" s="583">
        <v>0.95</v>
      </c>
      <c r="N11" s="407">
        <f t="shared" si="132"/>
        <v>0.21450174818924778</v>
      </c>
      <c r="O11" s="407">
        <f t="shared" si="68"/>
        <v>0</v>
      </c>
      <c r="P11" s="409" t="str">
        <f t="shared" si="69"/>
        <v>0.00</v>
      </c>
      <c r="Q11" s="583">
        <v>65</v>
      </c>
      <c r="R11" s="583">
        <v>0</v>
      </c>
      <c r="S11" s="583">
        <f t="shared" si="70"/>
        <v>0</v>
      </c>
      <c r="T11" s="409" t="s">
        <v>332</v>
      </c>
      <c r="U11" s="583" t="s">
        <v>333</v>
      </c>
      <c r="V11" s="409">
        <v>2.5</v>
      </c>
      <c r="W11" s="409" t="str">
        <f t="shared" si="133"/>
        <v>3C X 2.5</v>
      </c>
      <c r="X11" s="409" t="str">
        <f>(IF(J11="1Ph",W11,IF(J11="3Ph",(IF(G11="MOTOR",(CONCATENATE(W11,"+PE")),W11)))))</f>
        <v>3C X 2.5</v>
      </c>
      <c r="Y11" s="409" t="s">
        <v>358</v>
      </c>
      <c r="Z11" s="408">
        <f>IF(T11="AIR",VLOOKUP(W11,'Catalogue Aluminium'!$B$9:$G$93,2,FALSE),IF(T11="GROUND",VLOOKUP(W11,'Catalogue Aluminium'!$B$9:$G$93,3,FALSE),IF(T11="DUCT",VLOOKUP(W11,'Catalogue Aluminium'!$B$9:$G$93,4,FALSE),IF(T11="TRENCH",VLOOKUP(W11,'Catalogue Aluminium'!$B$9:$G$93,2,FALSE)))))</f>
        <v>28</v>
      </c>
      <c r="AA11" s="410">
        <f>VLOOKUP(W11,'Catalogue Aluminium'!$B$9:$G$93,5,FALSE)</f>
        <v>9.48</v>
      </c>
      <c r="AB11" s="410">
        <f>VLOOKUP(W11,'Catalogue Aluminium'!$B$9:$G$93,6,FALSE)</f>
        <v>0.1007</v>
      </c>
      <c r="AC11" s="409">
        <f>9.5+2.5</f>
        <v>12</v>
      </c>
      <c r="AD11" s="409">
        <f>6+6.7+4.7+87</f>
        <v>104.4</v>
      </c>
      <c r="AE11" s="409">
        <v>8</v>
      </c>
      <c r="AF11" s="409">
        <v>5</v>
      </c>
      <c r="AG11" s="409">
        <f t="shared" ref="AG11" si="138">ROUNDUP((SUM(AC11:AF11)*0.1),0)</f>
        <v>13</v>
      </c>
      <c r="AH11" s="865">
        <f t="shared" ref="AH11" si="139">SUM(AC11:AG11)</f>
        <v>142.4</v>
      </c>
      <c r="AI11" s="408">
        <f>IF(T11="AIR",'Catalogue Aluminium'!$K$9,IF(T11="TRENCH",'Catalogue Aluminium'!$K$12,"NA"))</f>
        <v>0.89</v>
      </c>
      <c r="AJ11" s="407">
        <f>IF(T11="Air",(IF(U11="1C",'Catalogue Aluminium'!$L$9,'Catalogue Aluminium'!$M$9)),IF(T11="DUCT",(IF($U11="1C",'Catalogue Aluminium'!$L$10,'Catalogue Aluminium'!$M$10)),IF(T11="GROUND",(IF($U11="1C",'Catalogue Aluminium'!$L$11,'Catalogue Aluminium'!$M$11)),IF(T11="TRENCH",(IF($U11="1C",'Catalogue Aluminium'!$L$12,'Catalogue Aluminium'!$M$12))))))</f>
        <v>0.66</v>
      </c>
      <c r="AK11" s="408" t="str">
        <f>IF(T11="Air",'Catalogue Aluminium'!$N$9,IF(T11="GROUND",'Catalogue Aluminium'!$N$10,IF(T11="DUCT",'Catalogue Aluminium'!$N$11,IF(T11="TRENCH",'Catalogue Aluminium'!$N$12,"NA"))))</f>
        <v>NA</v>
      </c>
      <c r="AL11" s="408" t="str">
        <f>IF(T11="Air",(IF(U11="1C",'Catalogue Aluminium'!$O$9,'Catalogue Aluminium'!$P$9)),IF(T11="DUCT",(IF($U11="1C",'Catalogue Aluminium'!$O$10,'Catalogue Aluminium'!$P$10)),IF(T11="GROUND",(IF($U11="1C",'Catalogue Aluminium'!$O$11,'Catalogue Aluminium'!$P$11)),IF(T11="TRENCH",(IF($U11="1C",'Catalogue Aluminium'!$O$12,'Catalogue Aluminium'!$P$12))))))</f>
        <v>NA</v>
      </c>
      <c r="AM11" s="408" t="str">
        <f>IF(T11="AIR","NA",IF(T11="TRENCH","NA",IF(T11="DUCT",IF(U11="1C",VLOOKUP(V11,'Catalogue Aluminium'!$Q$9:$S$28,2,FALSE),VLOOKUP(V11,'Catalogue Aluminium'!$Q$9:$S$28,3)),IF(T11="GROUND",IF(U11="1C",VLOOKUP(V11,'Catalogue Aluminium'!$Q$9:$S$28,2,FALSE),VLOOKUP(V11,'Catalogue Aluminium'!$Q$9:$S$28,3))))))</f>
        <v>NA</v>
      </c>
      <c r="AN11" s="584">
        <f>IF(T11="AIR",AI11*AJ11,IF(T11="TRENCH",AI11*AJ11,IF(T11="DUCT",AJ11*AK11*AL11*AM11,IF(T11="GROUND",AJ11*AK11*AL11*AM11))))</f>
        <v>0.58740000000000003</v>
      </c>
      <c r="AO11" s="583">
        <f>Z11*AN11</f>
        <v>16.447200000000002</v>
      </c>
      <c r="AP11" s="585">
        <f>CEILING(((N11)/AO11),1)</f>
        <v>1</v>
      </c>
      <c r="AQ11" s="583" t="str">
        <f>IF(AO11*AP11&gt;=N11,"YES","NO")</f>
        <v>YES</v>
      </c>
      <c r="AR11" s="584">
        <f t="shared" ref="AR11" si="140">SQRT(3)*AH11*N11*((AA11*L11)+(AB11*SIN(ACOS(L11))))*100/(AP11*K11*1000)</f>
        <v>0.10727990498872479</v>
      </c>
      <c r="AS11" s="409" t="str">
        <f t="shared" ref="AS11" si="141">IF(G11="INCOMER",(IF(AR11&lt;=2,"YES","NO")),IF(G11="POWER",(IF(AR11&lt;=2.5,"YES","NO")),IF(G11="MOTOR",(IF(AR11&lt;=3,"YES","NO")))))</f>
        <v>YES</v>
      </c>
      <c r="AT11" s="584" t="str">
        <f t="shared" si="72"/>
        <v>NA</v>
      </c>
      <c r="AU11" s="409" t="str">
        <f t="shared" si="73"/>
        <v>NA</v>
      </c>
      <c r="AV11" s="586" t="str">
        <f t="shared" si="74"/>
        <v>1R x 0.6/1kV x 3C x 2.5 Sqmm</v>
      </c>
      <c r="AW11" s="586" t="str">
        <f t="shared" si="75"/>
        <v>1R x 0.6/1kV x 3C x 2.5 Sqmm</v>
      </c>
      <c r="AX11" s="409">
        <f t="shared" si="76"/>
        <v>142.4</v>
      </c>
      <c r="AY11" s="866"/>
      <c r="AZ11" s="866">
        <f t="shared" si="77"/>
        <v>2</v>
      </c>
      <c r="BA11" s="867" t="str">
        <f t="shared" si="78"/>
        <v>Q4Q5Q6Q7Q8</v>
      </c>
      <c r="BB11" s="868">
        <f>VLOOKUP(W11,'Catalogue Aluminium'!$B$9:$H$93,7,FALSE)</f>
        <v>14</v>
      </c>
      <c r="BC11" s="789">
        <f t="shared" si="79"/>
        <v>14</v>
      </c>
      <c r="BE11" s="587"/>
      <c r="BF11" s="587"/>
      <c r="BG11" s="587"/>
      <c r="BH11" s="587"/>
      <c r="BI11" s="587"/>
      <c r="BJ11" s="587"/>
      <c r="BK11" s="587"/>
      <c r="BL11" s="587"/>
      <c r="BM11" s="587"/>
      <c r="BN11" s="587"/>
      <c r="BO11" s="587"/>
      <c r="BP11" s="587"/>
      <c r="BQ11" s="587"/>
      <c r="BR11" s="587"/>
      <c r="BS11" s="587"/>
      <c r="BT11" s="587"/>
      <c r="BU11" s="587"/>
      <c r="BV11" s="587"/>
      <c r="BW11" s="587"/>
      <c r="BX11" s="587"/>
      <c r="BY11" s="587"/>
      <c r="BZ11" s="587"/>
      <c r="CA11" s="587"/>
      <c r="CB11" s="587"/>
      <c r="CC11" s="587"/>
      <c r="CD11" s="587"/>
      <c r="CE11" s="587"/>
      <c r="CF11" s="587"/>
      <c r="CG11" s="587"/>
      <c r="CH11" s="587"/>
      <c r="CI11" s="587"/>
      <c r="CJ11" s="587"/>
      <c r="CK11" s="587"/>
      <c r="CL11" s="587"/>
      <c r="CM11" s="587"/>
      <c r="CN11" s="587"/>
      <c r="CO11" s="587"/>
      <c r="CP11" s="587"/>
      <c r="CQ11" s="587"/>
      <c r="CR11" s="587"/>
      <c r="CS11" s="587"/>
      <c r="CT11" s="587"/>
      <c r="CU11" s="587"/>
      <c r="CV11" s="587"/>
      <c r="CW11" s="587"/>
      <c r="CX11" s="587"/>
      <c r="CY11" s="587"/>
      <c r="CZ11" s="587"/>
      <c r="DA11" s="587"/>
      <c r="DB11" s="587">
        <v>1</v>
      </c>
      <c r="DC11" s="587">
        <v>1</v>
      </c>
      <c r="DD11" s="587">
        <v>1</v>
      </c>
      <c r="DE11" s="587">
        <v>1</v>
      </c>
      <c r="DF11" s="587">
        <v>1</v>
      </c>
      <c r="DG11" s="587"/>
      <c r="DH11" s="587"/>
      <c r="DI11" s="587"/>
      <c r="DJ11" s="906"/>
      <c r="DK11" s="906"/>
      <c r="DL11" s="906"/>
      <c r="DM11" s="906"/>
      <c r="DN11" s="906"/>
      <c r="DO11" s="906"/>
      <c r="DP11" s="906"/>
      <c r="DQ11" s="587"/>
      <c r="DR11" s="906"/>
      <c r="DS11" s="906"/>
      <c r="DT11" s="906"/>
      <c r="DU11" s="587"/>
      <c r="DW11" s="587">
        <f t="shared" ref="DW11" si="142">IF(BE11=1,($BC11*BE11),0)</f>
        <v>0</v>
      </c>
      <c r="DX11" s="587">
        <f t="shared" ref="DX11" si="143">IF(BF11=1,($BC11*BF11),0)</f>
        <v>0</v>
      </c>
      <c r="DY11" s="587">
        <f t="shared" ref="DY11" si="144">IF(BG11=1,($BC11*BG11),0)</f>
        <v>0</v>
      </c>
      <c r="DZ11" s="587">
        <f t="shared" ref="DZ11" si="145">IF(BH11=1,($BC11*BH11),0)</f>
        <v>0</v>
      </c>
      <c r="EA11" s="587">
        <f t="shared" ref="EA11" si="146">IF(BI11=1,($BC11*BI11),0)</f>
        <v>0</v>
      </c>
      <c r="EB11" s="587">
        <f t="shared" ref="EB11" si="147">IF(BJ11=1,($BC11*BJ11),0)</f>
        <v>0</v>
      </c>
      <c r="EC11" s="587">
        <f t="shared" ref="EC11" si="148">IF(BK11=1,($BC11*BK11),0)</f>
        <v>0</v>
      </c>
      <c r="ED11" s="587">
        <f t="shared" ref="ED11" si="149">IF(BL11=1,($BC11*BL11),0)</f>
        <v>0</v>
      </c>
      <c r="EE11" s="587">
        <f t="shared" ref="EE11" si="150">IF(BM11=1,($BC11*BM11),0)</f>
        <v>0</v>
      </c>
      <c r="EF11" s="587">
        <f t="shared" ref="EF11" si="151">IF(BN11=1,($BC11*BN11),0)</f>
        <v>0</v>
      </c>
      <c r="EG11" s="587">
        <f t="shared" ref="EG11" si="152">IF(BO11=1,($BC11*BO11),0)</f>
        <v>0</v>
      </c>
      <c r="EH11" s="587">
        <f t="shared" ref="EH11" si="153">IF(BP11=1,($BC11*BP11),0)</f>
        <v>0</v>
      </c>
      <c r="EI11" s="587">
        <f t="shared" ref="EI11" si="154">IF(BQ11=1,($BC11*BQ11),0)</f>
        <v>0</v>
      </c>
      <c r="EJ11" s="587">
        <f t="shared" ref="EJ11" si="155">IF(BR11=1,($BC11*BR11),0)</f>
        <v>0</v>
      </c>
      <c r="EK11" s="587">
        <f t="shared" ref="EK11" si="156">IF(BS11=1,($BC11*BS11),0)</f>
        <v>0</v>
      </c>
      <c r="EL11" s="587">
        <f t="shared" ref="EL11" si="157">IF(BT11=1,($BC11*BT11),0)</f>
        <v>0</v>
      </c>
      <c r="EM11" s="587">
        <f t="shared" ref="EM11" si="158">IF(BU11=1,($BC11*BU11),0)</f>
        <v>0</v>
      </c>
      <c r="EN11" s="587">
        <f t="shared" ref="EN11" si="159">IF(BV11=1,($BC11*BV11),0)</f>
        <v>0</v>
      </c>
      <c r="EO11" s="587">
        <f t="shared" ref="EO11" si="160">IF(BW11=1,($BC11*BW11),0)</f>
        <v>0</v>
      </c>
      <c r="EP11" s="587">
        <f t="shared" ref="EP11" si="161">IF(BX11=1,($BC11*BX11),0)</f>
        <v>0</v>
      </c>
      <c r="EQ11" s="587">
        <f t="shared" ref="EQ11" si="162">IF(BY11=1,($BC11*BY11),0)</f>
        <v>0</v>
      </c>
      <c r="ER11" s="587">
        <f t="shared" ref="ER11" si="163">IF(BZ11=1,($BC11*BZ11),0)</f>
        <v>0</v>
      </c>
      <c r="ES11" s="587">
        <f t="shared" ref="ES11" si="164">IF(CA11=1,($BC11*CA11),0)</f>
        <v>0</v>
      </c>
      <c r="ET11" s="587">
        <f t="shared" si="22"/>
        <v>0</v>
      </c>
      <c r="EU11" s="587">
        <f t="shared" ref="EU11" si="165">IF(CC11=1,($BC11*CC11),0)</f>
        <v>0</v>
      </c>
      <c r="EV11" s="587">
        <f t="shared" ref="EV11" si="166">IF(CD11=1,($BC11*CD11),0)</f>
        <v>0</v>
      </c>
      <c r="EW11" s="587">
        <f t="shared" ref="EW11" si="167">IF(CE11=1,($BC11*CE11),0)</f>
        <v>0</v>
      </c>
      <c r="EX11" s="587">
        <f t="shared" ref="EX11" si="168">IF(CF11=1,($BC11*CF11),0)</f>
        <v>0</v>
      </c>
      <c r="EY11" s="587">
        <f t="shared" ref="EY11" si="169">IF(CG11=1,($BC11*CG11),0)</f>
        <v>0</v>
      </c>
      <c r="EZ11" s="587">
        <f t="shared" ref="EZ11" si="170">IF(CH11=1,($BC11*CH11),0)</f>
        <v>0</v>
      </c>
      <c r="FA11" s="587">
        <f t="shared" ref="FA11" si="171">IF(CI11=1,($BC11*CI11),0)</f>
        <v>0</v>
      </c>
      <c r="FB11" s="587">
        <f t="shared" ref="FB11" si="172">IF(CJ11=1,($BC11*CJ11),0)</f>
        <v>0</v>
      </c>
      <c r="FC11" s="587">
        <f t="shared" ref="FC11" si="173">IF(CK11=1,($BC11*CK11),0)</f>
        <v>0</v>
      </c>
      <c r="FD11" s="587">
        <f t="shared" ref="FD11" si="174">IF(CL11=1,($BC11*CL11),0)</f>
        <v>0</v>
      </c>
      <c r="FE11" s="587">
        <f t="shared" ref="FE11" si="175">IF(CM11=1,($BC11*CM11),0)</f>
        <v>0</v>
      </c>
      <c r="FF11" s="587">
        <f t="shared" ref="FF11" si="176">IF(CN11=1,($BC11*CN11),0)</f>
        <v>0</v>
      </c>
      <c r="FG11" s="587">
        <f t="shared" ref="FG11" si="177">IF(CO11=1,($BC11*CO11),0)</f>
        <v>0</v>
      </c>
      <c r="FH11" s="587">
        <f t="shared" ref="FH11" si="178">IF(CP11=1,($BC11*CP11),0)</f>
        <v>0</v>
      </c>
      <c r="FI11" s="587">
        <f t="shared" ref="FI11" si="179">IF(CQ11=1,($BC11*CQ11),0)</f>
        <v>0</v>
      </c>
      <c r="FJ11" s="587">
        <f t="shared" ref="FJ11" si="180">IF(CR11=1,($BC11*CR11),0)</f>
        <v>0</v>
      </c>
      <c r="FK11" s="587">
        <f t="shared" ref="FK11" si="181">IF(CS11=1,($BC11*CS11),0)</f>
        <v>0</v>
      </c>
      <c r="FL11" s="587">
        <f t="shared" ref="FL11" si="182">IF(CT11=1,($BC11*CT11),0)</f>
        <v>0</v>
      </c>
      <c r="FM11" s="587">
        <f t="shared" ref="FM11" si="183">IF(CU11=1,($BC11*CU11),0)</f>
        <v>0</v>
      </c>
      <c r="FN11" s="587">
        <f t="shared" ref="FN11" si="184">IF(CV11=1,($BC11*CV11),0)</f>
        <v>0</v>
      </c>
      <c r="FO11" s="587">
        <f t="shared" ref="FO11" si="185">IF(CW11=1,($BC11*CW11),0)</f>
        <v>0</v>
      </c>
      <c r="FP11" s="587">
        <f t="shared" ref="FP11" si="186">IF(CX11=1,($BC11*CX11),0)</f>
        <v>0</v>
      </c>
      <c r="FQ11" s="587">
        <f t="shared" ref="FQ11" si="187">IF(CY11=1,($BC11*CY11),0)</f>
        <v>0</v>
      </c>
      <c r="FR11" s="587">
        <f t="shared" ref="FR11" si="188">IF(CZ11=1,($BC11*CZ11),0)</f>
        <v>0</v>
      </c>
      <c r="FS11" s="587">
        <f t="shared" ref="FS11" si="189">IF(DA11=1,($BC11*DA11),0)</f>
        <v>0</v>
      </c>
      <c r="FT11" s="587">
        <f t="shared" ref="FT11" si="190">IF(DB11=1,($BC11*DB11),0)</f>
        <v>14</v>
      </c>
      <c r="FU11" s="587">
        <f t="shared" si="49"/>
        <v>14</v>
      </c>
      <c r="FV11" s="587">
        <f t="shared" si="50"/>
        <v>14</v>
      </c>
      <c r="FW11" s="587">
        <f t="shared" si="51"/>
        <v>14</v>
      </c>
      <c r="FX11" s="587">
        <f t="shared" si="52"/>
        <v>14</v>
      </c>
      <c r="FY11" s="587">
        <f t="shared" si="53"/>
        <v>0</v>
      </c>
      <c r="FZ11" s="587">
        <f t="shared" si="54"/>
        <v>0</v>
      </c>
      <c r="GA11" s="587">
        <f t="shared" si="55"/>
        <v>0</v>
      </c>
      <c r="GB11" s="587">
        <f t="shared" si="56"/>
        <v>0</v>
      </c>
      <c r="GC11" s="587">
        <f t="shared" si="57"/>
        <v>0</v>
      </c>
      <c r="GD11" s="587">
        <f t="shared" si="58"/>
        <v>0</v>
      </c>
      <c r="GE11" s="587">
        <f t="shared" si="59"/>
        <v>0</v>
      </c>
      <c r="GF11" s="587">
        <f t="shared" si="60"/>
        <v>0</v>
      </c>
      <c r="GG11" s="587">
        <f t="shared" si="61"/>
        <v>0</v>
      </c>
      <c r="GH11" s="587">
        <f t="shared" si="62"/>
        <v>0</v>
      </c>
      <c r="GI11" s="587">
        <f t="shared" si="63"/>
        <v>0</v>
      </c>
      <c r="GJ11" s="587">
        <f t="shared" si="64"/>
        <v>0</v>
      </c>
      <c r="GK11" s="587">
        <f t="shared" si="65"/>
        <v>0</v>
      </c>
      <c r="GL11" s="587">
        <f t="shared" si="67"/>
        <v>0</v>
      </c>
      <c r="GM11" s="587">
        <f t="shared" si="66"/>
        <v>0</v>
      </c>
    </row>
    <row r="12" spans="1:195" ht="20.100000000000001" customHeight="1">
      <c r="A12" s="337">
        <f t="shared" si="81"/>
        <v>5</v>
      </c>
      <c r="B12" s="502" t="s">
        <v>347</v>
      </c>
      <c r="C12" s="372" t="str">
        <f t="shared" ref="C12:C15" si="191">$D$6</f>
        <v>PMCC-2</v>
      </c>
      <c r="D12" s="338" t="s">
        <v>1097</v>
      </c>
      <c r="E12" s="440" t="s">
        <v>349</v>
      </c>
      <c r="F12" s="743" t="s">
        <v>28</v>
      </c>
      <c r="G12" s="337" t="s">
        <v>329</v>
      </c>
      <c r="H12" s="418">
        <v>5</v>
      </c>
      <c r="I12" s="337" t="s">
        <v>330</v>
      </c>
      <c r="J12" s="337" t="s">
        <v>357</v>
      </c>
      <c r="K12" s="349">
        <v>230</v>
      </c>
      <c r="L12" s="343">
        <v>0.85</v>
      </c>
      <c r="M12" s="350">
        <v>0.95400000000000007</v>
      </c>
      <c r="N12" s="342">
        <f t="shared" ref="N12:N15" si="192">IF(I12="kVA",IF(J12="3Ph",(H12*1000/(1.732*M12*K12)),(H12*1000/(M12*K12))),IF(I12="kW",IF(J12="3Ph",(H12*1000/(1.732*M12*K12*L12)),(H12*1000/(M12*K12*L12)))))</f>
        <v>26.80864525192084</v>
      </c>
      <c r="O12" s="342">
        <f t="shared" ref="O12:O15" si="193">IF(G12="MOTOR",(6*N12),IF(G12="VFD",(1*N12),0))</f>
        <v>0</v>
      </c>
      <c r="P12" s="343" t="str">
        <f t="shared" ref="P12:P15" si="194">IF(G12="MOTOR",0.2,"0.00")</f>
        <v>0.00</v>
      </c>
      <c r="Q12" s="350">
        <v>65</v>
      </c>
      <c r="R12" s="350">
        <v>0</v>
      </c>
      <c r="S12" s="350">
        <f t="shared" ref="S12:S15" si="195">(Q12*1000*SQRT(R12)/143)</f>
        <v>0</v>
      </c>
      <c r="T12" s="343" t="s">
        <v>332</v>
      </c>
      <c r="U12" s="350" t="s">
        <v>333</v>
      </c>
      <c r="V12" s="343">
        <v>50</v>
      </c>
      <c r="W12" s="343" t="str">
        <f t="shared" ref="W12:W15" si="196">CONCATENATE(U12," X ",V12)</f>
        <v>3C X 50</v>
      </c>
      <c r="X12" s="343" t="str">
        <f t="shared" ref="X12:X15" si="197">(IF(J12="1Ph",W12,IF(J12="3Ph",(IF(G12="MOTOR",(CONCATENATE(W12,"+PE")),W12)))))</f>
        <v>3C X 50</v>
      </c>
      <c r="Y12" s="343" t="s">
        <v>358</v>
      </c>
      <c r="Z12" s="344">
        <f>IF(T12="AIR",VLOOKUP(W12,'Catalogue Aluminium'!$B$9:$G$93,2,FALSE),IF(T12="GROUND",VLOOKUP(W12,'Catalogue Aluminium'!$B$9:$G$93,3,FALSE),IF(T12="DUCT",VLOOKUP(W12,'Catalogue Aluminium'!$B$9:$G$93,4,FALSE),IF(T12="TRENCH",VLOOKUP(W12,'Catalogue Aluminium'!$B$9:$G$93,2,FALSE)))))</f>
        <v>141</v>
      </c>
      <c r="AA12" s="345">
        <f>VLOOKUP(W12,'Catalogue Aluminium'!$B$9:$G$93,5,FALSE)</f>
        <v>0.82</v>
      </c>
      <c r="AB12" s="345">
        <f>VLOOKUP(W12,'Catalogue Aluminium'!$B$9:$G$93,6,FALSE)</f>
        <v>7.9200000000000007E-2</v>
      </c>
      <c r="AC12" s="343">
        <v>22</v>
      </c>
      <c r="AD12" s="343">
        <f t="shared" ref="AD12:AD15" si="198">6+6.7+4.7+87</f>
        <v>104.4</v>
      </c>
      <c r="AE12" s="343">
        <v>8</v>
      </c>
      <c r="AF12" s="343">
        <v>5</v>
      </c>
      <c r="AG12" s="343">
        <f t="shared" ref="AG12:AG15" si="199">ROUNDUP((SUM(AC12:AF12)*0.1),0)</f>
        <v>14</v>
      </c>
      <c r="AH12" s="347">
        <f t="shared" ref="AH12:AH15" si="200">SUM(AC12:AG12)</f>
        <v>153.4</v>
      </c>
      <c r="AI12" s="344">
        <f>IF(T12="AIR",'Catalogue Aluminium'!$K$9,IF(T12="TRENCH",'Catalogue Aluminium'!$K$12,"NA"))</f>
        <v>0.89</v>
      </c>
      <c r="AJ12" s="342">
        <f>IF(T12="Air",(IF(U12="1C",'Catalogue Aluminium'!$L$9,'Catalogue Aluminium'!$M$9)),IF(T12="DUCT",(IF($U12="1C",'Catalogue Aluminium'!$L$10,'Catalogue Aluminium'!$M$10)),IF(T12="GROUND",(IF($U12="1C",'Catalogue Aluminium'!$L$11,'Catalogue Aluminium'!$M$11)),IF(T12="TRENCH",(IF($U12="1C",'Catalogue Aluminium'!$L$12,'Catalogue Aluminium'!$M$12))))))</f>
        <v>0.66</v>
      </c>
      <c r="AK12" s="344" t="str">
        <f>IF(T12="Air",'Catalogue Aluminium'!$N$9,IF(T12="GROUND",'Catalogue Aluminium'!$N$10,IF(T12="DUCT",'Catalogue Aluminium'!$N$11,IF(T12="TRENCH",'Catalogue Aluminium'!$N$12,"NA"))))</f>
        <v>NA</v>
      </c>
      <c r="AL12" s="344" t="str">
        <f>IF(T12="Air",(IF(U12="1C",'Catalogue Aluminium'!$O$9,'Catalogue Aluminium'!$P$9)),IF(T12="DUCT",(IF($U12="1C",'Catalogue Aluminium'!$O$10,'Catalogue Aluminium'!$P$10)),IF(T12="GROUND",(IF($U12="1C",'Catalogue Aluminium'!$O$11,'Catalogue Aluminium'!$P$11)),IF(T12="TRENCH",(IF($U12="1C",'Catalogue Aluminium'!$O$12,'Catalogue Aluminium'!$P$12))))))</f>
        <v>NA</v>
      </c>
      <c r="AM12" s="344" t="str">
        <f>IF(T12="AIR","NA",IF(T12="TRENCH","NA",IF(T12="DUCT",IF(U12="1C",VLOOKUP(V12,'Catalogue Aluminium'!$Q$9:$S$28,2,FALSE),VLOOKUP(V12,'Catalogue Aluminium'!$Q$9:$S$28,3)),IF(T12="GROUND",IF(U12="1C",VLOOKUP(V12,'Catalogue Aluminium'!$Q$9:$S$28,2,FALSE),VLOOKUP(V12,'Catalogue Aluminium'!$Q$9:$S$28,3))))))</f>
        <v>NA</v>
      </c>
      <c r="AN12" s="351">
        <f t="shared" ref="AN12:AN15" si="201">IF(T12="AIR",AI12*AJ12,IF(T12="TRENCH",AI12*AJ12,IF(T12="DUCT",AJ12*AK12*AL12*AM12,IF(T12="GROUND",AJ12*AK12*AL12*AM12))))</f>
        <v>0.58740000000000003</v>
      </c>
      <c r="AO12" s="350">
        <f t="shared" ref="AO12:AO15" si="202">Z12*AN12</f>
        <v>82.823400000000007</v>
      </c>
      <c r="AP12" s="349">
        <f t="shared" ref="AP12:AP15" si="203">CEILING(((N12)/AO12),1)</f>
        <v>1</v>
      </c>
      <c r="AQ12" s="350" t="str">
        <f t="shared" ref="AQ12:AQ15" si="204">IF(AO12*AP12&gt;=N12,"YES","NO")</f>
        <v>YES</v>
      </c>
      <c r="AR12" s="351">
        <f>SQRT(3)*AH12*N12*((AA12*L12)+(AB12*SIN(ACOS(L12))))*100/(AP12*K12*1000)</f>
        <v>2.2877763966455404</v>
      </c>
      <c r="AS12" s="343" t="str">
        <f t="shared" ref="AS12:AS15" si="205">IF(G12="INCOMER",(IF(AR12&lt;=2,"YES","NO")),IF(G12="POWER",(IF(AR12&lt;=2.5,"YES","NO")),IF(G12="MOTOR",(IF(AR12&lt;=3,"YES","NO")))))</f>
        <v>YES</v>
      </c>
      <c r="AT12" s="351" t="str">
        <f t="shared" si="72"/>
        <v>NA</v>
      </c>
      <c r="AU12" s="343" t="str">
        <f t="shared" si="73"/>
        <v>NA</v>
      </c>
      <c r="AV12" s="354" t="str">
        <f t="shared" si="74"/>
        <v>1R x 0.6/1kV x 3C x 50 Sqmm</v>
      </c>
      <c r="AW12" s="354" t="str">
        <f t="shared" si="75"/>
        <v>1R x 0.6/1kV x 3C x 50 Sqmm</v>
      </c>
      <c r="AX12" s="343">
        <f t="shared" si="76"/>
        <v>153.4</v>
      </c>
      <c r="AY12" s="355"/>
      <c r="AZ12" s="355">
        <f t="shared" si="77"/>
        <v>2</v>
      </c>
      <c r="BA12" s="356" t="str">
        <f t="shared" si="78"/>
        <v>Q4Q5Q6Q7Q8</v>
      </c>
      <c r="BB12" s="501">
        <f>VLOOKUP(W12,'Catalogue Aluminium'!$B$9:$H$93,7,FALSE)</f>
        <v>26</v>
      </c>
      <c r="BC12" s="328">
        <f t="shared" si="79"/>
        <v>26</v>
      </c>
      <c r="BE12" s="336"/>
      <c r="BF12" s="336"/>
      <c r="BG12" s="336"/>
      <c r="BH12" s="336"/>
      <c r="BI12" s="336"/>
      <c r="BJ12" s="336"/>
      <c r="BK12" s="336"/>
      <c r="BL12" s="336"/>
      <c r="BM12" s="336"/>
      <c r="BN12" s="336"/>
      <c r="BO12" s="336"/>
      <c r="BP12" s="336"/>
      <c r="BQ12" s="336"/>
      <c r="BR12" s="336"/>
      <c r="BS12" s="336"/>
      <c r="BT12" s="336"/>
      <c r="BU12" s="336"/>
      <c r="BV12" s="336"/>
      <c r="BW12" s="336"/>
      <c r="BX12" s="336"/>
      <c r="BY12" s="336"/>
      <c r="BZ12" s="336"/>
      <c r="CA12" s="336"/>
      <c r="CB12" s="336"/>
      <c r="CC12" s="336"/>
      <c r="CD12" s="336"/>
      <c r="CE12" s="336"/>
      <c r="CF12" s="336"/>
      <c r="CG12" s="336"/>
      <c r="CH12" s="336"/>
      <c r="CI12" s="336"/>
      <c r="CJ12" s="336"/>
      <c r="CK12" s="336"/>
      <c r="CL12" s="336"/>
      <c r="CM12" s="336"/>
      <c r="CN12" s="336"/>
      <c r="CO12" s="336"/>
      <c r="CP12" s="336"/>
      <c r="CQ12" s="336"/>
      <c r="CR12" s="336"/>
      <c r="CS12" s="336"/>
      <c r="CT12" s="336"/>
      <c r="CU12" s="336"/>
      <c r="CV12" s="336"/>
      <c r="CW12" s="336"/>
      <c r="CX12" s="336"/>
      <c r="CY12" s="336"/>
      <c r="CZ12" s="336"/>
      <c r="DA12" s="336"/>
      <c r="DB12" s="336">
        <v>1</v>
      </c>
      <c r="DC12" s="336">
        <v>1</v>
      </c>
      <c r="DD12" s="336">
        <v>1</v>
      </c>
      <c r="DE12" s="336">
        <v>1</v>
      </c>
      <c r="DF12" s="336">
        <v>1</v>
      </c>
      <c r="DG12" s="336"/>
      <c r="DH12" s="336"/>
      <c r="DI12" s="336"/>
      <c r="DJ12" s="741"/>
      <c r="DK12" s="741"/>
      <c r="DL12" s="741"/>
      <c r="DM12" s="741"/>
      <c r="DN12" s="741"/>
      <c r="DO12" s="741"/>
      <c r="DP12" s="741"/>
      <c r="DQ12" s="336"/>
      <c r="DR12" s="741"/>
      <c r="DS12" s="741"/>
      <c r="DT12" s="741"/>
      <c r="DU12" s="336"/>
      <c r="DW12" s="336">
        <f t="shared" si="80"/>
        <v>0</v>
      </c>
      <c r="DX12" s="336">
        <f t="shared" si="1"/>
        <v>0</v>
      </c>
      <c r="DY12" s="336">
        <f t="shared" si="2"/>
        <v>0</v>
      </c>
      <c r="DZ12" s="336">
        <f t="shared" si="3"/>
        <v>0</v>
      </c>
      <c r="EA12" s="336">
        <f t="shared" si="4"/>
        <v>0</v>
      </c>
      <c r="EB12" s="336">
        <f t="shared" si="5"/>
        <v>0</v>
      </c>
      <c r="EC12" s="336">
        <f t="shared" si="6"/>
        <v>0</v>
      </c>
      <c r="ED12" s="336">
        <f t="shared" si="7"/>
        <v>0</v>
      </c>
      <c r="EE12" s="336">
        <f t="shared" si="8"/>
        <v>0</v>
      </c>
      <c r="EF12" s="336">
        <f t="shared" si="9"/>
        <v>0</v>
      </c>
      <c r="EG12" s="336">
        <f t="shared" si="10"/>
        <v>0</v>
      </c>
      <c r="EH12" s="336">
        <f t="shared" si="11"/>
        <v>0</v>
      </c>
      <c r="EI12" s="336">
        <f t="shared" si="12"/>
        <v>0</v>
      </c>
      <c r="EJ12" s="336">
        <f t="shared" si="13"/>
        <v>0</v>
      </c>
      <c r="EK12" s="336">
        <f t="shared" si="14"/>
        <v>0</v>
      </c>
      <c r="EL12" s="336">
        <f t="shared" si="15"/>
        <v>0</v>
      </c>
      <c r="EM12" s="336">
        <f t="shared" si="16"/>
        <v>0</v>
      </c>
      <c r="EN12" s="336">
        <f t="shared" si="17"/>
        <v>0</v>
      </c>
      <c r="EO12" s="336">
        <f t="shared" si="18"/>
        <v>0</v>
      </c>
      <c r="EP12" s="336">
        <f t="shared" si="19"/>
        <v>0</v>
      </c>
      <c r="EQ12" s="336">
        <f t="shared" si="20"/>
        <v>0</v>
      </c>
      <c r="ER12" s="336">
        <f t="shared" si="21"/>
        <v>0</v>
      </c>
      <c r="ES12" s="336">
        <f t="shared" si="22"/>
        <v>0</v>
      </c>
      <c r="ET12" s="336">
        <f t="shared" si="22"/>
        <v>0</v>
      </c>
      <c r="EU12" s="336">
        <f t="shared" si="23"/>
        <v>0</v>
      </c>
      <c r="EV12" s="336">
        <f t="shared" si="24"/>
        <v>0</v>
      </c>
      <c r="EW12" s="336">
        <f t="shared" si="25"/>
        <v>0</v>
      </c>
      <c r="EX12" s="336">
        <f t="shared" si="26"/>
        <v>0</v>
      </c>
      <c r="EY12" s="336">
        <f t="shared" si="27"/>
        <v>0</v>
      </c>
      <c r="EZ12" s="336">
        <f t="shared" si="28"/>
        <v>0</v>
      </c>
      <c r="FA12" s="336">
        <f t="shared" si="29"/>
        <v>0</v>
      </c>
      <c r="FB12" s="336">
        <f t="shared" si="30"/>
        <v>0</v>
      </c>
      <c r="FC12" s="336">
        <f t="shared" si="31"/>
        <v>0</v>
      </c>
      <c r="FD12" s="336">
        <f t="shared" si="32"/>
        <v>0</v>
      </c>
      <c r="FE12" s="336">
        <f t="shared" si="33"/>
        <v>0</v>
      </c>
      <c r="FF12" s="336">
        <f t="shared" si="34"/>
        <v>0</v>
      </c>
      <c r="FG12" s="336">
        <f t="shared" si="35"/>
        <v>0</v>
      </c>
      <c r="FH12" s="336">
        <f t="shared" si="36"/>
        <v>0</v>
      </c>
      <c r="FI12" s="336">
        <f t="shared" si="37"/>
        <v>0</v>
      </c>
      <c r="FJ12" s="336">
        <f t="shared" si="38"/>
        <v>0</v>
      </c>
      <c r="FK12" s="336">
        <f t="shared" si="39"/>
        <v>0</v>
      </c>
      <c r="FL12" s="336">
        <f t="shared" si="40"/>
        <v>0</v>
      </c>
      <c r="FM12" s="336">
        <f t="shared" si="41"/>
        <v>0</v>
      </c>
      <c r="FN12" s="336">
        <f t="shared" si="42"/>
        <v>0</v>
      </c>
      <c r="FO12" s="336">
        <f t="shared" si="43"/>
        <v>0</v>
      </c>
      <c r="FP12" s="336">
        <f t="shared" si="44"/>
        <v>0</v>
      </c>
      <c r="FQ12" s="336">
        <f t="shared" si="45"/>
        <v>0</v>
      </c>
      <c r="FR12" s="336">
        <f t="shared" si="46"/>
        <v>0</v>
      </c>
      <c r="FS12" s="336">
        <f t="shared" si="47"/>
        <v>0</v>
      </c>
      <c r="FT12" s="336">
        <f t="shared" si="48"/>
        <v>26</v>
      </c>
      <c r="FU12" s="336">
        <f t="shared" si="49"/>
        <v>26</v>
      </c>
      <c r="FV12" s="336">
        <f t="shared" si="50"/>
        <v>26</v>
      </c>
      <c r="FW12" s="336">
        <f t="shared" si="51"/>
        <v>26</v>
      </c>
      <c r="FX12" s="336">
        <f t="shared" si="52"/>
        <v>26</v>
      </c>
      <c r="FY12" s="336">
        <f t="shared" si="53"/>
        <v>0</v>
      </c>
      <c r="FZ12" s="336">
        <f t="shared" si="54"/>
        <v>0</v>
      </c>
      <c r="GA12" s="336">
        <f t="shared" si="55"/>
        <v>0</v>
      </c>
      <c r="GB12" s="336">
        <f t="shared" si="56"/>
        <v>0</v>
      </c>
      <c r="GC12" s="336">
        <f t="shared" si="57"/>
        <v>0</v>
      </c>
      <c r="GD12" s="336">
        <f t="shared" si="58"/>
        <v>0</v>
      </c>
      <c r="GE12" s="336">
        <f t="shared" si="59"/>
        <v>0</v>
      </c>
      <c r="GF12" s="336">
        <f t="shared" si="60"/>
        <v>0</v>
      </c>
      <c r="GG12" s="336">
        <f t="shared" si="61"/>
        <v>0</v>
      </c>
      <c r="GH12" s="336">
        <f t="shared" si="62"/>
        <v>0</v>
      </c>
      <c r="GI12" s="336">
        <f t="shared" si="63"/>
        <v>0</v>
      </c>
      <c r="GJ12" s="336">
        <f t="shared" si="64"/>
        <v>0</v>
      </c>
      <c r="GK12" s="336">
        <f t="shared" si="65"/>
        <v>0</v>
      </c>
      <c r="GL12" s="336">
        <f t="shared" si="67"/>
        <v>0</v>
      </c>
      <c r="GM12" s="336">
        <f t="shared" si="66"/>
        <v>0</v>
      </c>
    </row>
    <row r="13" spans="1:195" ht="20.100000000000001" customHeight="1">
      <c r="A13" s="337">
        <f t="shared" si="81"/>
        <v>6</v>
      </c>
      <c r="B13" s="502" t="s">
        <v>1098</v>
      </c>
      <c r="C13" s="372" t="str">
        <f t="shared" si="191"/>
        <v>PMCC-2</v>
      </c>
      <c r="D13" s="338" t="s">
        <v>1099</v>
      </c>
      <c r="E13" s="440" t="s">
        <v>349</v>
      </c>
      <c r="F13" s="743" t="s">
        <v>29</v>
      </c>
      <c r="G13" s="337" t="s">
        <v>329</v>
      </c>
      <c r="H13" s="418">
        <v>5</v>
      </c>
      <c r="I13" s="337" t="s">
        <v>330</v>
      </c>
      <c r="J13" s="337" t="s">
        <v>357</v>
      </c>
      <c r="K13" s="349">
        <v>230</v>
      </c>
      <c r="L13" s="343">
        <v>0.85</v>
      </c>
      <c r="M13" s="350">
        <v>0.95400000000000007</v>
      </c>
      <c r="N13" s="342">
        <f t="shared" si="192"/>
        <v>26.80864525192084</v>
      </c>
      <c r="O13" s="342">
        <f t="shared" si="193"/>
        <v>0</v>
      </c>
      <c r="P13" s="343" t="str">
        <f t="shared" si="194"/>
        <v>0.00</v>
      </c>
      <c r="Q13" s="350">
        <v>65</v>
      </c>
      <c r="R13" s="350">
        <v>0</v>
      </c>
      <c r="S13" s="350">
        <f t="shared" si="195"/>
        <v>0</v>
      </c>
      <c r="T13" s="343" t="s">
        <v>332</v>
      </c>
      <c r="U13" s="350" t="s">
        <v>333</v>
      </c>
      <c r="V13" s="343">
        <v>50</v>
      </c>
      <c r="W13" s="343" t="str">
        <f t="shared" si="196"/>
        <v>3C X 50</v>
      </c>
      <c r="X13" s="343" t="str">
        <f t="shared" si="197"/>
        <v>3C X 50</v>
      </c>
      <c r="Y13" s="343" t="s">
        <v>358</v>
      </c>
      <c r="Z13" s="344">
        <f>IF(T13="AIR",VLOOKUP(W13,'Catalogue Aluminium'!$B$9:$G$93,2,FALSE),IF(T13="GROUND",VLOOKUP(W13,'Catalogue Aluminium'!$B$9:$G$93,3,FALSE),IF(T13="DUCT",VLOOKUP(W13,'Catalogue Aluminium'!$B$9:$G$93,4,FALSE),IF(T13="TRENCH",VLOOKUP(W13,'Catalogue Aluminium'!$B$9:$G$93,2,FALSE)))))</f>
        <v>141</v>
      </c>
      <c r="AA13" s="345">
        <f>VLOOKUP(W13,'Catalogue Aluminium'!$B$9:$G$93,5,FALSE)</f>
        <v>0.82</v>
      </c>
      <c r="AB13" s="345">
        <f>VLOOKUP(W13,'Catalogue Aluminium'!$B$9:$G$93,6,FALSE)</f>
        <v>7.9200000000000007E-2</v>
      </c>
      <c r="AC13" s="343">
        <f t="shared" ref="AC13:AC15" si="206">9.5+2.5</f>
        <v>12</v>
      </c>
      <c r="AD13" s="343">
        <f t="shared" si="198"/>
        <v>104.4</v>
      </c>
      <c r="AE13" s="343">
        <v>8</v>
      </c>
      <c r="AF13" s="343">
        <v>5</v>
      </c>
      <c r="AG13" s="343">
        <f t="shared" si="199"/>
        <v>13</v>
      </c>
      <c r="AH13" s="347">
        <f t="shared" si="200"/>
        <v>142.4</v>
      </c>
      <c r="AI13" s="344">
        <f>IF(T13="AIR",'Catalogue Aluminium'!$K$9,IF(T13="TRENCH",'Catalogue Aluminium'!$K$12,"NA"))</f>
        <v>0.89</v>
      </c>
      <c r="AJ13" s="342">
        <f>IF(T13="Air",(IF(U13="1C",'Catalogue Aluminium'!$L$9,'Catalogue Aluminium'!$M$9)),IF(T13="DUCT",(IF($U13="1C",'Catalogue Aluminium'!$L$10,'Catalogue Aluminium'!$M$10)),IF(T13="GROUND",(IF($U13="1C",'Catalogue Aluminium'!$L$11,'Catalogue Aluminium'!$M$11)),IF(T13="TRENCH",(IF($U13="1C",'Catalogue Aluminium'!$L$12,'Catalogue Aluminium'!$M$12))))))</f>
        <v>0.66</v>
      </c>
      <c r="AK13" s="344" t="str">
        <f>IF(T13="Air",'Catalogue Aluminium'!$N$9,IF(T13="GROUND",'Catalogue Aluminium'!$N$10,IF(T13="DUCT",'Catalogue Aluminium'!$N$11,IF(T13="TRENCH",'Catalogue Aluminium'!$N$12,"NA"))))</f>
        <v>NA</v>
      </c>
      <c r="AL13" s="344" t="str">
        <f>IF(T13="Air",(IF(U13="1C",'Catalogue Aluminium'!$O$9,'Catalogue Aluminium'!$P$9)),IF(T13="DUCT",(IF($U13="1C",'Catalogue Aluminium'!$O$10,'Catalogue Aluminium'!$P$10)),IF(T13="GROUND",(IF($U13="1C",'Catalogue Aluminium'!$O$11,'Catalogue Aluminium'!$P$11)),IF(T13="TRENCH",(IF($U13="1C",'Catalogue Aluminium'!$O$12,'Catalogue Aluminium'!$P$12))))))</f>
        <v>NA</v>
      </c>
      <c r="AM13" s="344" t="str">
        <f>IF(T13="AIR","NA",IF(T13="TRENCH","NA",IF(T13="DUCT",IF(U13="1C",VLOOKUP(V13,'Catalogue Aluminium'!$Q$9:$S$28,2,FALSE),VLOOKUP(V13,'Catalogue Aluminium'!$Q$9:$S$28,3)),IF(T13="GROUND",IF(U13="1C",VLOOKUP(V13,'Catalogue Aluminium'!$Q$9:$S$28,2,FALSE),VLOOKUP(V13,'Catalogue Aluminium'!$Q$9:$S$28,3))))))</f>
        <v>NA</v>
      </c>
      <c r="AN13" s="351">
        <f t="shared" si="201"/>
        <v>0.58740000000000003</v>
      </c>
      <c r="AO13" s="350">
        <f t="shared" si="202"/>
        <v>82.823400000000007</v>
      </c>
      <c r="AP13" s="349">
        <f t="shared" si="203"/>
        <v>1</v>
      </c>
      <c r="AQ13" s="350" t="str">
        <f t="shared" si="204"/>
        <v>YES</v>
      </c>
      <c r="AR13" s="351">
        <f t="shared" ref="AR13:AR15" si="207">SQRT(3)*AH13*N13*((AA13*L13)+(AB13*SIN(ACOS(L13))))*100/(AP13*K13*1000)</f>
        <v>2.1237246341742169</v>
      </c>
      <c r="AS13" s="343" t="str">
        <f t="shared" si="205"/>
        <v>YES</v>
      </c>
      <c r="AT13" s="351" t="str">
        <f t="shared" si="72"/>
        <v>NA</v>
      </c>
      <c r="AU13" s="343" t="str">
        <f t="shared" si="73"/>
        <v>NA</v>
      </c>
      <c r="AV13" s="354" t="str">
        <f t="shared" si="74"/>
        <v>1R x 0.6/1kV x 3C x 50 Sqmm</v>
      </c>
      <c r="AW13" s="354" t="str">
        <f t="shared" si="75"/>
        <v>1R x 0.6/1kV x 3C x 50 Sqmm</v>
      </c>
      <c r="AX13" s="343">
        <f t="shared" si="76"/>
        <v>142.4</v>
      </c>
      <c r="AY13" s="355"/>
      <c r="AZ13" s="355">
        <f t="shared" si="77"/>
        <v>2</v>
      </c>
      <c r="BA13" s="356" t="str">
        <f t="shared" si="78"/>
        <v>Q4Q5Q6Q7Q8</v>
      </c>
      <c r="BB13" s="501">
        <f>VLOOKUP(W13,'Catalogue Aluminium'!$B$9:$H$93,7,FALSE)</f>
        <v>26</v>
      </c>
      <c r="BC13" s="328">
        <f t="shared" si="79"/>
        <v>26</v>
      </c>
      <c r="BE13" s="336"/>
      <c r="BF13" s="336"/>
      <c r="BG13" s="336"/>
      <c r="BH13" s="336"/>
      <c r="BI13" s="336"/>
      <c r="BJ13" s="336"/>
      <c r="BK13" s="336"/>
      <c r="BL13" s="336"/>
      <c r="BM13" s="336"/>
      <c r="BN13" s="336"/>
      <c r="BO13" s="336"/>
      <c r="BP13" s="336"/>
      <c r="BQ13" s="336"/>
      <c r="BR13" s="336"/>
      <c r="BS13" s="336"/>
      <c r="BT13" s="336"/>
      <c r="BU13" s="336"/>
      <c r="BV13" s="336"/>
      <c r="BW13" s="336"/>
      <c r="BX13" s="336"/>
      <c r="BY13" s="336"/>
      <c r="BZ13" s="336"/>
      <c r="CA13" s="336"/>
      <c r="CB13" s="336"/>
      <c r="CC13" s="336"/>
      <c r="CD13" s="336"/>
      <c r="CE13" s="336"/>
      <c r="CF13" s="336"/>
      <c r="CG13" s="336"/>
      <c r="CH13" s="336"/>
      <c r="CI13" s="336"/>
      <c r="CJ13" s="336"/>
      <c r="CK13" s="336"/>
      <c r="CL13" s="336"/>
      <c r="CM13" s="336"/>
      <c r="CN13" s="336"/>
      <c r="CO13" s="336"/>
      <c r="CP13" s="336"/>
      <c r="CQ13" s="336"/>
      <c r="CR13" s="336"/>
      <c r="CS13" s="336"/>
      <c r="CT13" s="336"/>
      <c r="CU13" s="336"/>
      <c r="CV13" s="336"/>
      <c r="CW13" s="336"/>
      <c r="CX13" s="336"/>
      <c r="CY13" s="336"/>
      <c r="CZ13" s="336"/>
      <c r="DA13" s="336"/>
      <c r="DB13" s="336">
        <v>1</v>
      </c>
      <c r="DC13" s="336">
        <v>1</v>
      </c>
      <c r="DD13" s="336">
        <v>1</v>
      </c>
      <c r="DE13" s="336">
        <v>1</v>
      </c>
      <c r="DF13" s="336">
        <v>1</v>
      </c>
      <c r="DG13" s="336"/>
      <c r="DH13" s="336"/>
      <c r="DI13" s="336"/>
      <c r="DJ13" s="741"/>
      <c r="DK13" s="741"/>
      <c r="DL13" s="741"/>
      <c r="DM13" s="741"/>
      <c r="DN13" s="741"/>
      <c r="DO13" s="741"/>
      <c r="DP13" s="741"/>
      <c r="DQ13" s="336"/>
      <c r="DR13" s="741"/>
      <c r="DS13" s="741"/>
      <c r="DT13" s="741"/>
      <c r="DU13" s="336"/>
      <c r="DW13" s="336">
        <f t="shared" si="80"/>
        <v>0</v>
      </c>
      <c r="DX13" s="336">
        <f t="shared" si="1"/>
        <v>0</v>
      </c>
      <c r="DY13" s="336">
        <f t="shared" si="2"/>
        <v>0</v>
      </c>
      <c r="DZ13" s="336">
        <f t="shared" si="3"/>
        <v>0</v>
      </c>
      <c r="EA13" s="336">
        <f t="shared" si="4"/>
        <v>0</v>
      </c>
      <c r="EB13" s="336">
        <f t="shared" si="5"/>
        <v>0</v>
      </c>
      <c r="EC13" s="336">
        <f t="shared" si="6"/>
        <v>0</v>
      </c>
      <c r="ED13" s="336">
        <f t="shared" si="7"/>
        <v>0</v>
      </c>
      <c r="EE13" s="336">
        <f t="shared" si="8"/>
        <v>0</v>
      </c>
      <c r="EF13" s="336">
        <f t="shared" si="9"/>
        <v>0</v>
      </c>
      <c r="EG13" s="336">
        <f t="shared" si="10"/>
        <v>0</v>
      </c>
      <c r="EH13" s="336">
        <f t="shared" si="11"/>
        <v>0</v>
      </c>
      <c r="EI13" s="336">
        <f t="shared" si="12"/>
        <v>0</v>
      </c>
      <c r="EJ13" s="336">
        <f t="shared" si="13"/>
        <v>0</v>
      </c>
      <c r="EK13" s="336">
        <f t="shared" si="14"/>
        <v>0</v>
      </c>
      <c r="EL13" s="336">
        <f t="shared" si="15"/>
        <v>0</v>
      </c>
      <c r="EM13" s="336">
        <f t="shared" si="16"/>
        <v>0</v>
      </c>
      <c r="EN13" s="336">
        <f t="shared" si="17"/>
        <v>0</v>
      </c>
      <c r="EO13" s="336">
        <f t="shared" si="18"/>
        <v>0</v>
      </c>
      <c r="EP13" s="336">
        <f t="shared" si="19"/>
        <v>0</v>
      </c>
      <c r="EQ13" s="336">
        <f t="shared" si="20"/>
        <v>0</v>
      </c>
      <c r="ER13" s="336">
        <f t="shared" si="21"/>
        <v>0</v>
      </c>
      <c r="ES13" s="336">
        <f t="shared" si="22"/>
        <v>0</v>
      </c>
      <c r="ET13" s="336">
        <f t="shared" si="22"/>
        <v>0</v>
      </c>
      <c r="EU13" s="336">
        <f t="shared" si="23"/>
        <v>0</v>
      </c>
      <c r="EV13" s="336">
        <f t="shared" si="24"/>
        <v>0</v>
      </c>
      <c r="EW13" s="336">
        <f t="shared" si="25"/>
        <v>0</v>
      </c>
      <c r="EX13" s="336">
        <f t="shared" si="26"/>
        <v>0</v>
      </c>
      <c r="EY13" s="336">
        <f t="shared" si="27"/>
        <v>0</v>
      </c>
      <c r="EZ13" s="336">
        <f t="shared" si="28"/>
        <v>0</v>
      </c>
      <c r="FA13" s="336">
        <f t="shared" si="29"/>
        <v>0</v>
      </c>
      <c r="FB13" s="336">
        <f t="shared" si="30"/>
        <v>0</v>
      </c>
      <c r="FC13" s="336">
        <f t="shared" si="31"/>
        <v>0</v>
      </c>
      <c r="FD13" s="336">
        <f t="shared" si="32"/>
        <v>0</v>
      </c>
      <c r="FE13" s="336">
        <f t="shared" si="33"/>
        <v>0</v>
      </c>
      <c r="FF13" s="336">
        <f t="shared" si="34"/>
        <v>0</v>
      </c>
      <c r="FG13" s="336">
        <f t="shared" si="35"/>
        <v>0</v>
      </c>
      <c r="FH13" s="336">
        <f t="shared" si="36"/>
        <v>0</v>
      </c>
      <c r="FI13" s="336">
        <f t="shared" si="37"/>
        <v>0</v>
      </c>
      <c r="FJ13" s="336">
        <f t="shared" si="38"/>
        <v>0</v>
      </c>
      <c r="FK13" s="336">
        <f t="shared" si="39"/>
        <v>0</v>
      </c>
      <c r="FL13" s="336">
        <f t="shared" si="40"/>
        <v>0</v>
      </c>
      <c r="FM13" s="336">
        <f t="shared" si="41"/>
        <v>0</v>
      </c>
      <c r="FN13" s="336">
        <f t="shared" si="42"/>
        <v>0</v>
      </c>
      <c r="FO13" s="336">
        <f t="shared" si="43"/>
        <v>0</v>
      </c>
      <c r="FP13" s="336">
        <f t="shared" si="44"/>
        <v>0</v>
      </c>
      <c r="FQ13" s="336">
        <f t="shared" si="45"/>
        <v>0</v>
      </c>
      <c r="FR13" s="336">
        <f t="shared" si="46"/>
        <v>0</v>
      </c>
      <c r="FS13" s="336">
        <f t="shared" si="47"/>
        <v>0</v>
      </c>
      <c r="FT13" s="336">
        <f t="shared" si="48"/>
        <v>26</v>
      </c>
      <c r="FU13" s="336">
        <f t="shared" si="49"/>
        <v>26</v>
      </c>
      <c r="FV13" s="336">
        <f t="shared" si="50"/>
        <v>26</v>
      </c>
      <c r="FW13" s="336">
        <f t="shared" si="51"/>
        <v>26</v>
      </c>
      <c r="FX13" s="336">
        <f t="shared" si="52"/>
        <v>26</v>
      </c>
      <c r="FY13" s="336">
        <f t="shared" si="53"/>
        <v>0</v>
      </c>
      <c r="FZ13" s="336">
        <f t="shared" si="54"/>
        <v>0</v>
      </c>
      <c r="GA13" s="336">
        <f t="shared" si="55"/>
        <v>0</v>
      </c>
      <c r="GB13" s="336">
        <f t="shared" si="56"/>
        <v>0</v>
      </c>
      <c r="GC13" s="336">
        <f t="shared" si="57"/>
        <v>0</v>
      </c>
      <c r="GD13" s="336">
        <f t="shared" si="58"/>
        <v>0</v>
      </c>
      <c r="GE13" s="336">
        <f t="shared" si="59"/>
        <v>0</v>
      </c>
      <c r="GF13" s="336">
        <f t="shared" si="60"/>
        <v>0</v>
      </c>
      <c r="GG13" s="336">
        <f t="shared" si="61"/>
        <v>0</v>
      </c>
      <c r="GH13" s="336">
        <f t="shared" si="62"/>
        <v>0</v>
      </c>
      <c r="GI13" s="336">
        <f t="shared" si="63"/>
        <v>0</v>
      </c>
      <c r="GJ13" s="336">
        <f t="shared" si="64"/>
        <v>0</v>
      </c>
      <c r="GK13" s="336">
        <f t="shared" si="65"/>
        <v>0</v>
      </c>
      <c r="GL13" s="336">
        <f t="shared" si="67"/>
        <v>0</v>
      </c>
      <c r="GM13" s="336">
        <f t="shared" si="66"/>
        <v>0</v>
      </c>
    </row>
    <row r="14" spans="1:195" ht="20.100000000000001" customHeight="1">
      <c r="A14" s="337">
        <f t="shared" si="81"/>
        <v>7</v>
      </c>
      <c r="B14" s="502" t="s">
        <v>1100</v>
      </c>
      <c r="C14" s="372" t="str">
        <f t="shared" si="191"/>
        <v>PMCC-2</v>
      </c>
      <c r="D14" s="338" t="s">
        <v>1101</v>
      </c>
      <c r="E14" s="440" t="s">
        <v>349</v>
      </c>
      <c r="F14" s="743" t="s">
        <v>28</v>
      </c>
      <c r="G14" s="337" t="s">
        <v>329</v>
      </c>
      <c r="H14" s="418">
        <v>5</v>
      </c>
      <c r="I14" s="337" t="s">
        <v>330</v>
      </c>
      <c r="J14" s="337" t="s">
        <v>357</v>
      </c>
      <c r="K14" s="349">
        <v>230</v>
      </c>
      <c r="L14" s="343">
        <v>0.85</v>
      </c>
      <c r="M14" s="350">
        <v>0.95400000000000007</v>
      </c>
      <c r="N14" s="342">
        <f t="shared" si="192"/>
        <v>26.80864525192084</v>
      </c>
      <c r="O14" s="342">
        <f t="shared" si="193"/>
        <v>0</v>
      </c>
      <c r="P14" s="343" t="str">
        <f t="shared" si="194"/>
        <v>0.00</v>
      </c>
      <c r="Q14" s="350">
        <v>65</v>
      </c>
      <c r="R14" s="350">
        <v>0</v>
      </c>
      <c r="S14" s="350">
        <f t="shared" si="195"/>
        <v>0</v>
      </c>
      <c r="T14" s="343" t="s">
        <v>332</v>
      </c>
      <c r="U14" s="350" t="s">
        <v>333</v>
      </c>
      <c r="V14" s="343">
        <v>50</v>
      </c>
      <c r="W14" s="343" t="str">
        <f t="shared" si="196"/>
        <v>3C X 50</v>
      </c>
      <c r="X14" s="343" t="str">
        <f t="shared" si="197"/>
        <v>3C X 50</v>
      </c>
      <c r="Y14" s="343" t="s">
        <v>358</v>
      </c>
      <c r="Z14" s="344">
        <f>IF(T14="AIR",VLOOKUP(W14,'Catalogue Aluminium'!$B$9:$G$93,2,FALSE),IF(T14="GROUND",VLOOKUP(W14,'Catalogue Aluminium'!$B$9:$G$93,3,FALSE),IF(T14="DUCT",VLOOKUP(W14,'Catalogue Aluminium'!$B$9:$G$93,4,FALSE),IF(T14="TRENCH",VLOOKUP(W14,'Catalogue Aluminium'!$B$9:$G$93,2,FALSE)))))</f>
        <v>141</v>
      </c>
      <c r="AA14" s="345">
        <f>VLOOKUP(W14,'Catalogue Aluminium'!$B$9:$G$93,5,FALSE)</f>
        <v>0.82</v>
      </c>
      <c r="AB14" s="345">
        <f>VLOOKUP(W14,'Catalogue Aluminium'!$B$9:$G$93,6,FALSE)</f>
        <v>7.9200000000000007E-2</v>
      </c>
      <c r="AC14" s="343">
        <v>22</v>
      </c>
      <c r="AD14" s="343">
        <f t="shared" si="198"/>
        <v>104.4</v>
      </c>
      <c r="AE14" s="343">
        <v>8</v>
      </c>
      <c r="AF14" s="343">
        <v>5</v>
      </c>
      <c r="AG14" s="343">
        <f t="shared" si="199"/>
        <v>14</v>
      </c>
      <c r="AH14" s="347">
        <f t="shared" si="200"/>
        <v>153.4</v>
      </c>
      <c r="AI14" s="344">
        <f>IF(T14="AIR",'Catalogue Aluminium'!$K$9,IF(T14="TRENCH",'Catalogue Aluminium'!$K$12,"NA"))</f>
        <v>0.89</v>
      </c>
      <c r="AJ14" s="342">
        <f>IF(T14="Air",(IF(U14="1C",'Catalogue Aluminium'!$L$9,'Catalogue Aluminium'!$M$9)),IF(T14="DUCT",(IF($U14="1C",'Catalogue Aluminium'!$L$10,'Catalogue Aluminium'!$M$10)),IF(T14="GROUND",(IF($U14="1C",'Catalogue Aluminium'!$L$11,'Catalogue Aluminium'!$M$11)),IF(T14="TRENCH",(IF($U14="1C",'Catalogue Aluminium'!$L$12,'Catalogue Aluminium'!$M$12))))))</f>
        <v>0.66</v>
      </c>
      <c r="AK14" s="344" t="str">
        <f>IF(T14="Air",'Catalogue Aluminium'!$N$9,IF(T14="GROUND",'Catalogue Aluminium'!$N$10,IF(T14="DUCT",'Catalogue Aluminium'!$N$11,IF(T14="TRENCH",'Catalogue Aluminium'!$N$12,"NA"))))</f>
        <v>NA</v>
      </c>
      <c r="AL14" s="344" t="str">
        <f>IF(T14="Air",(IF(U14="1C",'Catalogue Aluminium'!$O$9,'Catalogue Aluminium'!$P$9)),IF(T14="DUCT",(IF($U14="1C",'Catalogue Aluminium'!$O$10,'Catalogue Aluminium'!$P$10)),IF(T14="GROUND",(IF($U14="1C",'Catalogue Aluminium'!$O$11,'Catalogue Aluminium'!$P$11)),IF(T14="TRENCH",(IF($U14="1C",'Catalogue Aluminium'!$O$12,'Catalogue Aluminium'!$P$12))))))</f>
        <v>NA</v>
      </c>
      <c r="AM14" s="344" t="str">
        <f>IF(T14="AIR","NA",IF(T14="TRENCH","NA",IF(T14="DUCT",IF(U14="1C",VLOOKUP(V14,'Catalogue Aluminium'!$Q$9:$S$28,2,FALSE),VLOOKUP(V14,'Catalogue Aluminium'!$Q$9:$S$28,3)),IF(T14="GROUND",IF(U14="1C",VLOOKUP(V14,'Catalogue Aluminium'!$Q$9:$S$28,2,FALSE),VLOOKUP(V14,'Catalogue Aluminium'!$Q$9:$S$28,3))))))</f>
        <v>NA</v>
      </c>
      <c r="AN14" s="351">
        <f t="shared" si="201"/>
        <v>0.58740000000000003</v>
      </c>
      <c r="AO14" s="350">
        <f t="shared" si="202"/>
        <v>82.823400000000007</v>
      </c>
      <c r="AP14" s="349">
        <f t="shared" si="203"/>
        <v>1</v>
      </c>
      <c r="AQ14" s="350" t="str">
        <f t="shared" si="204"/>
        <v>YES</v>
      </c>
      <c r="AR14" s="351">
        <f t="shared" si="207"/>
        <v>2.2877763966455404</v>
      </c>
      <c r="AS14" s="343" t="str">
        <f t="shared" si="205"/>
        <v>YES</v>
      </c>
      <c r="AT14" s="351" t="str">
        <f t="shared" si="72"/>
        <v>NA</v>
      </c>
      <c r="AU14" s="343" t="str">
        <f t="shared" si="73"/>
        <v>NA</v>
      </c>
      <c r="AV14" s="354" t="str">
        <f t="shared" si="74"/>
        <v>1R x 0.6/1kV x 3C x 50 Sqmm</v>
      </c>
      <c r="AW14" s="354" t="str">
        <f t="shared" si="75"/>
        <v>1R x 0.6/1kV x 3C x 50 Sqmm</v>
      </c>
      <c r="AX14" s="343">
        <f t="shared" si="76"/>
        <v>153.4</v>
      </c>
      <c r="AY14" s="355"/>
      <c r="AZ14" s="355">
        <f t="shared" si="77"/>
        <v>2</v>
      </c>
      <c r="BA14" s="356" t="str">
        <f t="shared" si="78"/>
        <v>Q4Q5Q6Q7Q8</v>
      </c>
      <c r="BB14" s="501">
        <f>VLOOKUP(W14,'Catalogue Aluminium'!$B$9:$H$93,7,FALSE)</f>
        <v>26</v>
      </c>
      <c r="BC14" s="328">
        <f t="shared" si="79"/>
        <v>26</v>
      </c>
      <c r="BE14" s="336"/>
      <c r="BF14" s="336"/>
      <c r="BG14" s="336"/>
      <c r="BH14" s="336"/>
      <c r="BI14" s="336"/>
      <c r="BJ14" s="336"/>
      <c r="BK14" s="336"/>
      <c r="BL14" s="336"/>
      <c r="BM14" s="336"/>
      <c r="BN14" s="336"/>
      <c r="BO14" s="336"/>
      <c r="BP14" s="336"/>
      <c r="BQ14" s="336"/>
      <c r="BR14" s="336"/>
      <c r="BS14" s="336"/>
      <c r="BT14" s="336"/>
      <c r="BU14" s="336"/>
      <c r="BV14" s="336"/>
      <c r="BW14" s="336"/>
      <c r="BX14" s="336"/>
      <c r="BY14" s="336"/>
      <c r="BZ14" s="336"/>
      <c r="CA14" s="336"/>
      <c r="CB14" s="336"/>
      <c r="CC14" s="336"/>
      <c r="CD14" s="336"/>
      <c r="CE14" s="336"/>
      <c r="CF14" s="336"/>
      <c r="CG14" s="336"/>
      <c r="CH14" s="336"/>
      <c r="CI14" s="336"/>
      <c r="CJ14" s="336"/>
      <c r="CK14" s="336"/>
      <c r="CL14" s="336"/>
      <c r="CM14" s="336"/>
      <c r="CN14" s="336"/>
      <c r="CO14" s="336"/>
      <c r="CP14" s="336"/>
      <c r="CQ14" s="336"/>
      <c r="CR14" s="336"/>
      <c r="CS14" s="336"/>
      <c r="CT14" s="336"/>
      <c r="CU14" s="336"/>
      <c r="CV14" s="336"/>
      <c r="CW14" s="336"/>
      <c r="CX14" s="336"/>
      <c r="CY14" s="336"/>
      <c r="CZ14" s="336"/>
      <c r="DA14" s="336"/>
      <c r="DB14" s="336">
        <v>1</v>
      </c>
      <c r="DC14" s="336">
        <v>1</v>
      </c>
      <c r="DD14" s="336">
        <v>1</v>
      </c>
      <c r="DE14" s="336">
        <v>1</v>
      </c>
      <c r="DF14" s="336">
        <v>1</v>
      </c>
      <c r="DG14" s="336"/>
      <c r="DH14" s="336"/>
      <c r="DI14" s="336"/>
      <c r="DJ14" s="741"/>
      <c r="DK14" s="741"/>
      <c r="DL14" s="741"/>
      <c r="DM14" s="741"/>
      <c r="DN14" s="741"/>
      <c r="DO14" s="741"/>
      <c r="DP14" s="741"/>
      <c r="DQ14" s="336"/>
      <c r="DR14" s="741"/>
      <c r="DS14" s="741"/>
      <c r="DT14" s="741"/>
      <c r="DU14" s="336"/>
      <c r="DW14" s="336">
        <f t="shared" si="80"/>
        <v>0</v>
      </c>
      <c r="DX14" s="336">
        <f t="shared" si="1"/>
        <v>0</v>
      </c>
      <c r="DY14" s="336">
        <f t="shared" si="2"/>
        <v>0</v>
      </c>
      <c r="DZ14" s="336">
        <f t="shared" si="3"/>
        <v>0</v>
      </c>
      <c r="EA14" s="336">
        <f t="shared" si="4"/>
        <v>0</v>
      </c>
      <c r="EB14" s="336">
        <f t="shared" si="5"/>
        <v>0</v>
      </c>
      <c r="EC14" s="336">
        <f t="shared" si="6"/>
        <v>0</v>
      </c>
      <c r="ED14" s="336">
        <f t="shared" si="7"/>
        <v>0</v>
      </c>
      <c r="EE14" s="336">
        <f t="shared" si="8"/>
        <v>0</v>
      </c>
      <c r="EF14" s="336">
        <f t="shared" si="9"/>
        <v>0</v>
      </c>
      <c r="EG14" s="336">
        <f t="shared" si="10"/>
        <v>0</v>
      </c>
      <c r="EH14" s="336">
        <f t="shared" si="11"/>
        <v>0</v>
      </c>
      <c r="EI14" s="336">
        <f t="shared" si="12"/>
        <v>0</v>
      </c>
      <c r="EJ14" s="336">
        <f t="shared" si="13"/>
        <v>0</v>
      </c>
      <c r="EK14" s="336">
        <f t="shared" si="14"/>
        <v>0</v>
      </c>
      <c r="EL14" s="336">
        <f t="shared" si="15"/>
        <v>0</v>
      </c>
      <c r="EM14" s="336">
        <f t="shared" si="16"/>
        <v>0</v>
      </c>
      <c r="EN14" s="336">
        <f t="shared" si="17"/>
        <v>0</v>
      </c>
      <c r="EO14" s="336">
        <f t="shared" si="18"/>
        <v>0</v>
      </c>
      <c r="EP14" s="336">
        <f t="shared" si="19"/>
        <v>0</v>
      </c>
      <c r="EQ14" s="336">
        <f t="shared" si="20"/>
        <v>0</v>
      </c>
      <c r="ER14" s="336">
        <f t="shared" si="21"/>
        <v>0</v>
      </c>
      <c r="ES14" s="336">
        <f t="shared" si="22"/>
        <v>0</v>
      </c>
      <c r="ET14" s="336">
        <f t="shared" si="22"/>
        <v>0</v>
      </c>
      <c r="EU14" s="336">
        <f t="shared" si="23"/>
        <v>0</v>
      </c>
      <c r="EV14" s="336">
        <f t="shared" si="24"/>
        <v>0</v>
      </c>
      <c r="EW14" s="336">
        <f t="shared" si="25"/>
        <v>0</v>
      </c>
      <c r="EX14" s="336">
        <f t="shared" si="26"/>
        <v>0</v>
      </c>
      <c r="EY14" s="336">
        <f t="shared" si="27"/>
        <v>0</v>
      </c>
      <c r="EZ14" s="336">
        <f t="shared" si="28"/>
        <v>0</v>
      </c>
      <c r="FA14" s="336">
        <f t="shared" si="29"/>
        <v>0</v>
      </c>
      <c r="FB14" s="336">
        <f t="shared" si="30"/>
        <v>0</v>
      </c>
      <c r="FC14" s="336">
        <f t="shared" si="31"/>
        <v>0</v>
      </c>
      <c r="FD14" s="336">
        <f t="shared" si="32"/>
        <v>0</v>
      </c>
      <c r="FE14" s="336">
        <f t="shared" si="33"/>
        <v>0</v>
      </c>
      <c r="FF14" s="336">
        <f t="shared" si="34"/>
        <v>0</v>
      </c>
      <c r="FG14" s="336">
        <f t="shared" si="35"/>
        <v>0</v>
      </c>
      <c r="FH14" s="336">
        <f t="shared" si="36"/>
        <v>0</v>
      </c>
      <c r="FI14" s="336">
        <f t="shared" si="37"/>
        <v>0</v>
      </c>
      <c r="FJ14" s="336">
        <f t="shared" si="38"/>
        <v>0</v>
      </c>
      <c r="FK14" s="336">
        <f t="shared" si="39"/>
        <v>0</v>
      </c>
      <c r="FL14" s="336">
        <f t="shared" si="40"/>
        <v>0</v>
      </c>
      <c r="FM14" s="336">
        <f t="shared" si="41"/>
        <v>0</v>
      </c>
      <c r="FN14" s="336">
        <f t="shared" si="42"/>
        <v>0</v>
      </c>
      <c r="FO14" s="336">
        <f t="shared" si="43"/>
        <v>0</v>
      </c>
      <c r="FP14" s="336">
        <f t="shared" si="44"/>
        <v>0</v>
      </c>
      <c r="FQ14" s="336">
        <f t="shared" si="45"/>
        <v>0</v>
      </c>
      <c r="FR14" s="336">
        <f t="shared" si="46"/>
        <v>0</v>
      </c>
      <c r="FS14" s="336">
        <f t="shared" si="47"/>
        <v>0</v>
      </c>
      <c r="FT14" s="336">
        <f t="shared" si="48"/>
        <v>26</v>
      </c>
      <c r="FU14" s="336">
        <f t="shared" si="49"/>
        <v>26</v>
      </c>
      <c r="FV14" s="336">
        <f t="shared" si="50"/>
        <v>26</v>
      </c>
      <c r="FW14" s="336">
        <f t="shared" si="51"/>
        <v>26</v>
      </c>
      <c r="FX14" s="336">
        <f t="shared" si="52"/>
        <v>26</v>
      </c>
      <c r="FY14" s="336">
        <f t="shared" si="53"/>
        <v>0</v>
      </c>
      <c r="FZ14" s="336">
        <f t="shared" si="54"/>
        <v>0</v>
      </c>
      <c r="GA14" s="336">
        <f t="shared" si="55"/>
        <v>0</v>
      </c>
      <c r="GB14" s="336">
        <f t="shared" si="56"/>
        <v>0</v>
      </c>
      <c r="GC14" s="336">
        <f t="shared" si="57"/>
        <v>0</v>
      </c>
      <c r="GD14" s="336">
        <f t="shared" si="58"/>
        <v>0</v>
      </c>
      <c r="GE14" s="336">
        <f t="shared" si="59"/>
        <v>0</v>
      </c>
      <c r="GF14" s="336">
        <f t="shared" si="60"/>
        <v>0</v>
      </c>
      <c r="GG14" s="336">
        <f t="shared" si="61"/>
        <v>0</v>
      </c>
      <c r="GH14" s="336">
        <f t="shared" si="62"/>
        <v>0</v>
      </c>
      <c r="GI14" s="336">
        <f t="shared" si="63"/>
        <v>0</v>
      </c>
      <c r="GJ14" s="336">
        <f t="shared" si="64"/>
        <v>0</v>
      </c>
      <c r="GK14" s="336">
        <f t="shared" si="65"/>
        <v>0</v>
      </c>
      <c r="GL14" s="336">
        <f t="shared" si="67"/>
        <v>0</v>
      </c>
      <c r="GM14" s="336">
        <f t="shared" si="66"/>
        <v>0</v>
      </c>
    </row>
    <row r="15" spans="1:195" ht="20.100000000000001" customHeight="1">
      <c r="A15" s="337">
        <f t="shared" ref="A15" si="208">1+A14</f>
        <v>8</v>
      </c>
      <c r="B15" s="502" t="s">
        <v>1102</v>
      </c>
      <c r="C15" s="372" t="str">
        <f t="shared" si="191"/>
        <v>PMCC-2</v>
      </c>
      <c r="D15" s="338" t="s">
        <v>1103</v>
      </c>
      <c r="E15" s="440" t="s">
        <v>349</v>
      </c>
      <c r="F15" s="743" t="s">
        <v>29</v>
      </c>
      <c r="G15" s="337" t="s">
        <v>329</v>
      </c>
      <c r="H15" s="418">
        <v>5</v>
      </c>
      <c r="I15" s="337" t="s">
        <v>330</v>
      </c>
      <c r="J15" s="337" t="s">
        <v>357</v>
      </c>
      <c r="K15" s="349">
        <v>230</v>
      </c>
      <c r="L15" s="343">
        <v>0.85</v>
      </c>
      <c r="M15" s="350">
        <v>0.95400000000000007</v>
      </c>
      <c r="N15" s="342">
        <f t="shared" si="192"/>
        <v>26.80864525192084</v>
      </c>
      <c r="O15" s="342">
        <f t="shared" si="193"/>
        <v>0</v>
      </c>
      <c r="P15" s="343" t="str">
        <f t="shared" si="194"/>
        <v>0.00</v>
      </c>
      <c r="Q15" s="350">
        <v>65</v>
      </c>
      <c r="R15" s="350">
        <v>0</v>
      </c>
      <c r="S15" s="350">
        <f t="shared" si="195"/>
        <v>0</v>
      </c>
      <c r="T15" s="343" t="s">
        <v>332</v>
      </c>
      <c r="U15" s="350" t="s">
        <v>333</v>
      </c>
      <c r="V15" s="343">
        <v>50</v>
      </c>
      <c r="W15" s="343" t="str">
        <f t="shared" si="196"/>
        <v>3C X 50</v>
      </c>
      <c r="X15" s="343" t="str">
        <f t="shared" si="197"/>
        <v>3C X 50</v>
      </c>
      <c r="Y15" s="343" t="s">
        <v>358</v>
      </c>
      <c r="Z15" s="344">
        <f>IF(T15="AIR",VLOOKUP(W15,'Catalogue Aluminium'!$B$9:$G$93,2,FALSE),IF(T15="GROUND",VLOOKUP(W15,'Catalogue Aluminium'!$B$9:$G$93,3,FALSE),IF(T15="DUCT",VLOOKUP(W15,'Catalogue Aluminium'!$B$9:$G$93,4,FALSE),IF(T15="TRENCH",VLOOKUP(W15,'Catalogue Aluminium'!$B$9:$G$93,2,FALSE)))))</f>
        <v>141</v>
      </c>
      <c r="AA15" s="345">
        <f>VLOOKUP(W15,'Catalogue Aluminium'!$B$9:$G$93,5,FALSE)</f>
        <v>0.82</v>
      </c>
      <c r="AB15" s="345">
        <f>VLOOKUP(W15,'Catalogue Aluminium'!$B$9:$G$93,6,FALSE)</f>
        <v>7.9200000000000007E-2</v>
      </c>
      <c r="AC15" s="343">
        <f t="shared" si="206"/>
        <v>12</v>
      </c>
      <c r="AD15" s="343">
        <f t="shared" si="198"/>
        <v>104.4</v>
      </c>
      <c r="AE15" s="343">
        <v>8</v>
      </c>
      <c r="AF15" s="343">
        <v>5</v>
      </c>
      <c r="AG15" s="343">
        <f t="shared" si="199"/>
        <v>13</v>
      </c>
      <c r="AH15" s="347">
        <f t="shared" si="200"/>
        <v>142.4</v>
      </c>
      <c r="AI15" s="344">
        <f>IF(T15="AIR",'Catalogue Aluminium'!$K$9,IF(T15="TRENCH",'Catalogue Aluminium'!$K$12,"NA"))</f>
        <v>0.89</v>
      </c>
      <c r="AJ15" s="342">
        <f>IF(T15="Air",(IF(U15="1C",'Catalogue Aluminium'!$L$9,'Catalogue Aluminium'!$M$9)),IF(T15="DUCT",(IF($U15="1C",'Catalogue Aluminium'!$L$10,'Catalogue Aluminium'!$M$10)),IF(T15="GROUND",(IF($U15="1C",'Catalogue Aluminium'!$L$11,'Catalogue Aluminium'!$M$11)),IF(T15="TRENCH",(IF($U15="1C",'Catalogue Aluminium'!$L$12,'Catalogue Aluminium'!$M$12))))))</f>
        <v>0.66</v>
      </c>
      <c r="AK15" s="344" t="str">
        <f>IF(T15="Air",'Catalogue Aluminium'!$N$9,IF(T15="GROUND",'Catalogue Aluminium'!$N$10,IF(T15="DUCT",'Catalogue Aluminium'!$N$11,IF(T15="TRENCH",'Catalogue Aluminium'!$N$12,"NA"))))</f>
        <v>NA</v>
      </c>
      <c r="AL15" s="344" t="str">
        <f>IF(T15="Air",(IF(U15="1C",'Catalogue Aluminium'!$O$9,'Catalogue Aluminium'!$P$9)),IF(T15="DUCT",(IF($U15="1C",'Catalogue Aluminium'!$O$10,'Catalogue Aluminium'!$P$10)),IF(T15="GROUND",(IF($U15="1C",'Catalogue Aluminium'!$O$11,'Catalogue Aluminium'!$P$11)),IF(T15="TRENCH",(IF($U15="1C",'Catalogue Aluminium'!$O$12,'Catalogue Aluminium'!$P$12))))))</f>
        <v>NA</v>
      </c>
      <c r="AM15" s="344" t="str">
        <f>IF(T15="AIR","NA",IF(T15="TRENCH","NA",IF(T15="DUCT",IF(U15="1C",VLOOKUP(V15,'Catalogue Aluminium'!$Q$9:$S$28,2,FALSE),VLOOKUP(V15,'Catalogue Aluminium'!$Q$9:$S$28,3)),IF(T15="GROUND",IF(U15="1C",VLOOKUP(V15,'Catalogue Aluminium'!$Q$9:$S$28,2,FALSE),VLOOKUP(V15,'Catalogue Aluminium'!$Q$9:$S$28,3))))))</f>
        <v>NA</v>
      </c>
      <c r="AN15" s="351">
        <f t="shared" si="201"/>
        <v>0.58740000000000003</v>
      </c>
      <c r="AO15" s="350">
        <f t="shared" si="202"/>
        <v>82.823400000000007</v>
      </c>
      <c r="AP15" s="349">
        <f t="shared" si="203"/>
        <v>1</v>
      </c>
      <c r="AQ15" s="350" t="str">
        <f t="shared" si="204"/>
        <v>YES</v>
      </c>
      <c r="AR15" s="351">
        <f t="shared" si="207"/>
        <v>2.1237246341742169</v>
      </c>
      <c r="AS15" s="343" t="str">
        <f t="shared" si="205"/>
        <v>YES</v>
      </c>
      <c r="AT15" s="351" t="str">
        <f t="shared" si="72"/>
        <v>NA</v>
      </c>
      <c r="AU15" s="343" t="str">
        <f t="shared" si="73"/>
        <v>NA</v>
      </c>
      <c r="AV15" s="354" t="str">
        <f t="shared" si="74"/>
        <v>1R x 0.6/1kV x 3C x 50 Sqmm</v>
      </c>
      <c r="AW15" s="354" t="str">
        <f t="shared" si="75"/>
        <v>1R x 0.6/1kV x 3C x 50 Sqmm</v>
      </c>
      <c r="AX15" s="343">
        <f t="shared" si="76"/>
        <v>142.4</v>
      </c>
      <c r="AY15" s="355"/>
      <c r="AZ15" s="355">
        <f t="shared" si="77"/>
        <v>2</v>
      </c>
      <c r="BA15" s="356" t="str">
        <f t="shared" si="78"/>
        <v>Q4Q5Q6Q7Q8</v>
      </c>
      <c r="BB15" s="501">
        <f>VLOOKUP(W15,'Catalogue Aluminium'!$B$9:$H$93,7,FALSE)</f>
        <v>26</v>
      </c>
      <c r="BC15" s="328">
        <f t="shared" si="79"/>
        <v>26</v>
      </c>
      <c r="BE15" s="336"/>
      <c r="BF15" s="336"/>
      <c r="BG15" s="336"/>
      <c r="BH15" s="336"/>
      <c r="BI15" s="336"/>
      <c r="BJ15" s="336"/>
      <c r="BK15" s="336"/>
      <c r="BL15" s="336"/>
      <c r="BM15" s="336"/>
      <c r="BN15" s="336"/>
      <c r="BO15" s="336"/>
      <c r="BP15" s="336"/>
      <c r="BQ15" s="336"/>
      <c r="BR15" s="336"/>
      <c r="BS15" s="336"/>
      <c r="BT15" s="336"/>
      <c r="BU15" s="336"/>
      <c r="BV15" s="336"/>
      <c r="BW15" s="336"/>
      <c r="BX15" s="336"/>
      <c r="BY15" s="336"/>
      <c r="BZ15" s="336"/>
      <c r="CA15" s="336"/>
      <c r="CB15" s="336"/>
      <c r="CC15" s="336"/>
      <c r="CD15" s="336"/>
      <c r="CE15" s="336"/>
      <c r="CF15" s="336"/>
      <c r="CG15" s="336"/>
      <c r="CH15" s="336"/>
      <c r="CI15" s="336"/>
      <c r="CJ15" s="336"/>
      <c r="CK15" s="336"/>
      <c r="CL15" s="336"/>
      <c r="CM15" s="336"/>
      <c r="CN15" s="336"/>
      <c r="CO15" s="336"/>
      <c r="CP15" s="336"/>
      <c r="CQ15" s="336"/>
      <c r="CR15" s="336"/>
      <c r="CS15" s="336"/>
      <c r="CT15" s="336"/>
      <c r="CU15" s="336"/>
      <c r="CV15" s="336"/>
      <c r="CW15" s="336"/>
      <c r="CX15" s="336"/>
      <c r="CY15" s="336"/>
      <c r="CZ15" s="336"/>
      <c r="DA15" s="336"/>
      <c r="DB15" s="336">
        <v>1</v>
      </c>
      <c r="DC15" s="336">
        <v>1</v>
      </c>
      <c r="DD15" s="336">
        <v>1</v>
      </c>
      <c r="DE15" s="336">
        <v>1</v>
      </c>
      <c r="DF15" s="336">
        <v>1</v>
      </c>
      <c r="DG15" s="336"/>
      <c r="DH15" s="336"/>
      <c r="DI15" s="336"/>
      <c r="DJ15" s="741"/>
      <c r="DK15" s="741"/>
      <c r="DL15" s="741"/>
      <c r="DM15" s="741"/>
      <c r="DN15" s="741"/>
      <c r="DO15" s="741"/>
      <c r="DP15" s="741"/>
      <c r="DQ15" s="336"/>
      <c r="DR15" s="741"/>
      <c r="DS15" s="741"/>
      <c r="DT15" s="741"/>
      <c r="DU15" s="336"/>
      <c r="DW15" s="336">
        <f t="shared" si="80"/>
        <v>0</v>
      </c>
      <c r="DX15" s="336">
        <f t="shared" si="1"/>
        <v>0</v>
      </c>
      <c r="DY15" s="336">
        <f t="shared" si="2"/>
        <v>0</v>
      </c>
      <c r="DZ15" s="336">
        <f t="shared" si="3"/>
        <v>0</v>
      </c>
      <c r="EA15" s="336">
        <f t="shared" si="4"/>
        <v>0</v>
      </c>
      <c r="EB15" s="336">
        <f t="shared" si="5"/>
        <v>0</v>
      </c>
      <c r="EC15" s="336">
        <f t="shared" si="6"/>
        <v>0</v>
      </c>
      <c r="ED15" s="336">
        <f t="shared" si="7"/>
        <v>0</v>
      </c>
      <c r="EE15" s="336">
        <f t="shared" si="8"/>
        <v>0</v>
      </c>
      <c r="EF15" s="336">
        <f t="shared" si="9"/>
        <v>0</v>
      </c>
      <c r="EG15" s="336">
        <f t="shared" si="10"/>
        <v>0</v>
      </c>
      <c r="EH15" s="336">
        <f t="shared" si="11"/>
        <v>0</v>
      </c>
      <c r="EI15" s="336">
        <f t="shared" si="12"/>
        <v>0</v>
      </c>
      <c r="EJ15" s="336">
        <f t="shared" si="13"/>
        <v>0</v>
      </c>
      <c r="EK15" s="336">
        <f t="shared" si="14"/>
        <v>0</v>
      </c>
      <c r="EL15" s="336">
        <f t="shared" si="15"/>
        <v>0</v>
      </c>
      <c r="EM15" s="336">
        <f t="shared" si="16"/>
        <v>0</v>
      </c>
      <c r="EN15" s="336">
        <f t="shared" si="17"/>
        <v>0</v>
      </c>
      <c r="EO15" s="336">
        <f t="shared" si="18"/>
        <v>0</v>
      </c>
      <c r="EP15" s="336">
        <f t="shared" si="19"/>
        <v>0</v>
      </c>
      <c r="EQ15" s="336">
        <f t="shared" si="20"/>
        <v>0</v>
      </c>
      <c r="ER15" s="336">
        <f t="shared" si="21"/>
        <v>0</v>
      </c>
      <c r="ES15" s="336">
        <f t="shared" si="22"/>
        <v>0</v>
      </c>
      <c r="ET15" s="336">
        <f t="shared" si="22"/>
        <v>0</v>
      </c>
      <c r="EU15" s="336">
        <f t="shared" si="23"/>
        <v>0</v>
      </c>
      <c r="EV15" s="336">
        <f t="shared" si="24"/>
        <v>0</v>
      </c>
      <c r="EW15" s="336">
        <f t="shared" si="25"/>
        <v>0</v>
      </c>
      <c r="EX15" s="336">
        <f t="shared" si="26"/>
        <v>0</v>
      </c>
      <c r="EY15" s="336">
        <f t="shared" si="27"/>
        <v>0</v>
      </c>
      <c r="EZ15" s="336">
        <f t="shared" si="28"/>
        <v>0</v>
      </c>
      <c r="FA15" s="336">
        <f t="shared" si="29"/>
        <v>0</v>
      </c>
      <c r="FB15" s="336">
        <f t="shared" si="30"/>
        <v>0</v>
      </c>
      <c r="FC15" s="336">
        <f t="shared" si="31"/>
        <v>0</v>
      </c>
      <c r="FD15" s="336">
        <f t="shared" si="32"/>
        <v>0</v>
      </c>
      <c r="FE15" s="336">
        <f t="shared" si="33"/>
        <v>0</v>
      </c>
      <c r="FF15" s="336">
        <f t="shared" si="34"/>
        <v>0</v>
      </c>
      <c r="FG15" s="336">
        <f t="shared" si="35"/>
        <v>0</v>
      </c>
      <c r="FH15" s="336">
        <f t="shared" si="36"/>
        <v>0</v>
      </c>
      <c r="FI15" s="336">
        <f t="shared" si="37"/>
        <v>0</v>
      </c>
      <c r="FJ15" s="336">
        <f t="shared" si="38"/>
        <v>0</v>
      </c>
      <c r="FK15" s="336">
        <f t="shared" si="39"/>
        <v>0</v>
      </c>
      <c r="FL15" s="336">
        <f t="shared" si="40"/>
        <v>0</v>
      </c>
      <c r="FM15" s="336">
        <f t="shared" si="41"/>
        <v>0</v>
      </c>
      <c r="FN15" s="336">
        <f t="shared" si="42"/>
        <v>0</v>
      </c>
      <c r="FO15" s="336">
        <f t="shared" si="43"/>
        <v>0</v>
      </c>
      <c r="FP15" s="336">
        <f t="shared" si="44"/>
        <v>0</v>
      </c>
      <c r="FQ15" s="336">
        <f t="shared" si="45"/>
        <v>0</v>
      </c>
      <c r="FR15" s="336">
        <f t="shared" si="46"/>
        <v>0</v>
      </c>
      <c r="FS15" s="336">
        <f t="shared" si="47"/>
        <v>0</v>
      </c>
      <c r="FT15" s="336">
        <f t="shared" si="48"/>
        <v>26</v>
      </c>
      <c r="FU15" s="336">
        <f t="shared" si="49"/>
        <v>26</v>
      </c>
      <c r="FV15" s="336">
        <f t="shared" si="50"/>
        <v>26</v>
      </c>
      <c r="FW15" s="336">
        <f t="shared" si="51"/>
        <v>26</v>
      </c>
      <c r="FX15" s="336">
        <f t="shared" si="52"/>
        <v>26</v>
      </c>
      <c r="FY15" s="336">
        <f t="shared" si="53"/>
        <v>0</v>
      </c>
      <c r="FZ15" s="336">
        <f t="shared" si="54"/>
        <v>0</v>
      </c>
      <c r="GA15" s="336">
        <f t="shared" si="55"/>
        <v>0</v>
      </c>
      <c r="GB15" s="336">
        <f t="shared" si="56"/>
        <v>0</v>
      </c>
      <c r="GC15" s="336">
        <f t="shared" si="57"/>
        <v>0</v>
      </c>
      <c r="GD15" s="336">
        <f t="shared" si="58"/>
        <v>0</v>
      </c>
      <c r="GE15" s="336">
        <f t="shared" si="59"/>
        <v>0</v>
      </c>
      <c r="GF15" s="336">
        <f t="shared" si="60"/>
        <v>0</v>
      </c>
      <c r="GG15" s="336">
        <f t="shared" si="61"/>
        <v>0</v>
      </c>
      <c r="GH15" s="336">
        <f t="shared" si="62"/>
        <v>0</v>
      </c>
      <c r="GI15" s="336">
        <f t="shared" si="63"/>
        <v>0</v>
      </c>
      <c r="GJ15" s="336">
        <f t="shared" si="64"/>
        <v>0</v>
      </c>
      <c r="GK15" s="336">
        <f t="shared" si="65"/>
        <v>0</v>
      </c>
      <c r="GL15" s="336">
        <f t="shared" si="67"/>
        <v>0</v>
      </c>
      <c r="GM15" s="336">
        <f t="shared" si="66"/>
        <v>0</v>
      </c>
    </row>
    <row r="16" spans="1:195" ht="20.25" customHeight="1">
      <c r="A16" s="510"/>
      <c r="B16" s="510" t="s">
        <v>1104</v>
      </c>
      <c r="C16" s="523"/>
      <c r="D16" s="523" t="s">
        <v>716</v>
      </c>
      <c r="E16" s="725"/>
      <c r="F16" s="744"/>
      <c r="G16" s="510"/>
      <c r="H16" s="727"/>
      <c r="I16" s="510"/>
      <c r="J16" s="510"/>
      <c r="K16" s="728"/>
      <c r="L16" s="729"/>
      <c r="M16" s="727"/>
      <c r="N16" s="730"/>
      <c r="O16" s="730"/>
      <c r="P16" s="729"/>
      <c r="Q16" s="727"/>
      <c r="R16" s="727"/>
      <c r="S16" s="727"/>
      <c r="T16" s="729"/>
      <c r="U16" s="727"/>
      <c r="V16" s="729"/>
      <c r="W16" s="729"/>
      <c r="X16" s="729"/>
      <c r="Y16" s="729"/>
      <c r="Z16" s="731"/>
      <c r="AA16" s="732"/>
      <c r="AB16" s="732"/>
      <c r="AC16" s="732"/>
      <c r="AD16" s="732"/>
      <c r="AE16" s="732"/>
      <c r="AF16" s="732"/>
      <c r="AG16" s="732"/>
      <c r="AH16" s="734"/>
      <c r="AI16" s="731"/>
      <c r="AJ16" s="730"/>
      <c r="AK16" s="731"/>
      <c r="AL16" s="731"/>
      <c r="AM16" s="731"/>
      <c r="AN16" s="735"/>
      <c r="AO16" s="727"/>
      <c r="AP16" s="728"/>
      <c r="AQ16" s="727"/>
      <c r="AR16" s="735"/>
      <c r="AS16" s="729"/>
      <c r="AT16" s="735"/>
      <c r="AU16" s="735"/>
      <c r="AV16" s="736"/>
      <c r="AW16" s="736"/>
      <c r="AX16" s="729"/>
      <c r="AY16" s="737"/>
      <c r="AZ16" s="737"/>
      <c r="BA16" s="738"/>
      <c r="BB16" s="739"/>
      <c r="BC16" s="740"/>
      <c r="BE16" s="336"/>
      <c r="BF16" s="336"/>
      <c r="BG16" s="336"/>
      <c r="BH16" s="336"/>
      <c r="BI16" s="336"/>
      <c r="BJ16" s="336"/>
      <c r="BK16" s="336"/>
      <c r="BL16" s="336"/>
      <c r="BM16" s="336"/>
      <c r="BN16" s="336"/>
      <c r="BO16" s="336"/>
      <c r="BP16" s="336"/>
      <c r="BQ16" s="336"/>
      <c r="BR16" s="336"/>
      <c r="BS16" s="336"/>
      <c r="BT16" s="336"/>
      <c r="BU16" s="336"/>
      <c r="BV16" s="336"/>
      <c r="BW16" s="336"/>
      <c r="BX16" s="336"/>
      <c r="BY16" s="336"/>
      <c r="BZ16" s="336"/>
      <c r="CA16" s="336"/>
      <c r="CB16" s="336"/>
      <c r="CC16" s="336"/>
      <c r="CD16" s="336"/>
      <c r="CE16" s="336"/>
      <c r="CF16" s="336"/>
      <c r="CG16" s="336"/>
      <c r="CH16" s="336"/>
      <c r="CI16" s="336"/>
      <c r="CJ16" s="336"/>
      <c r="CK16" s="336"/>
      <c r="CL16" s="336"/>
      <c r="CM16" s="336"/>
      <c r="CN16" s="336"/>
      <c r="CO16" s="336"/>
      <c r="CP16" s="336"/>
      <c r="CQ16" s="336"/>
      <c r="CR16" s="336"/>
      <c r="CS16" s="336"/>
      <c r="CT16" s="336"/>
      <c r="CU16" s="336"/>
      <c r="CV16" s="336"/>
      <c r="CW16" s="336"/>
      <c r="CX16" s="336"/>
      <c r="CY16" s="336"/>
      <c r="CZ16" s="738"/>
      <c r="DA16" s="738"/>
      <c r="DB16" s="738"/>
      <c r="DC16" s="738"/>
      <c r="DD16" s="738"/>
      <c r="DE16" s="738"/>
      <c r="DF16" s="738"/>
      <c r="DG16" s="738"/>
      <c r="DH16" s="738"/>
      <c r="DI16" s="738"/>
      <c r="DJ16" s="738"/>
      <c r="DK16" s="738"/>
      <c r="DL16" s="738"/>
      <c r="DM16" s="738"/>
      <c r="DN16" s="738"/>
      <c r="DO16" s="738"/>
      <c r="DP16" s="738"/>
      <c r="DQ16" s="738"/>
      <c r="DR16" s="738"/>
      <c r="DS16" s="738"/>
      <c r="DT16" s="738"/>
      <c r="DU16" s="738"/>
      <c r="DW16" s="336">
        <f t="shared" si="80"/>
        <v>0</v>
      </c>
      <c r="DX16" s="336">
        <f t="shared" si="1"/>
        <v>0</v>
      </c>
      <c r="DY16" s="336">
        <f t="shared" si="2"/>
        <v>0</v>
      </c>
      <c r="DZ16" s="336">
        <f t="shared" si="3"/>
        <v>0</v>
      </c>
      <c r="EA16" s="336">
        <f t="shared" si="4"/>
        <v>0</v>
      </c>
      <c r="EB16" s="336">
        <f t="shared" si="5"/>
        <v>0</v>
      </c>
      <c r="EC16" s="336">
        <f t="shared" si="6"/>
        <v>0</v>
      </c>
      <c r="ED16" s="336">
        <f t="shared" si="7"/>
        <v>0</v>
      </c>
      <c r="EE16" s="336">
        <f t="shared" si="8"/>
        <v>0</v>
      </c>
      <c r="EF16" s="336">
        <f t="shared" si="9"/>
        <v>0</v>
      </c>
      <c r="EG16" s="336">
        <f t="shared" si="10"/>
        <v>0</v>
      </c>
      <c r="EH16" s="336">
        <f t="shared" si="11"/>
        <v>0</v>
      </c>
      <c r="EI16" s="336">
        <f t="shared" si="12"/>
        <v>0</v>
      </c>
      <c r="EJ16" s="336">
        <f t="shared" si="13"/>
        <v>0</v>
      </c>
      <c r="EK16" s="336">
        <f t="shared" si="14"/>
        <v>0</v>
      </c>
      <c r="EL16" s="336">
        <f t="shared" si="15"/>
        <v>0</v>
      </c>
      <c r="EM16" s="336">
        <f t="shared" si="16"/>
        <v>0</v>
      </c>
      <c r="EN16" s="336">
        <f t="shared" si="17"/>
        <v>0</v>
      </c>
      <c r="EO16" s="336">
        <f t="shared" si="18"/>
        <v>0</v>
      </c>
      <c r="EP16" s="336">
        <f t="shared" si="19"/>
        <v>0</v>
      </c>
      <c r="EQ16" s="336">
        <f t="shared" si="20"/>
        <v>0</v>
      </c>
      <c r="ER16" s="336">
        <f t="shared" si="21"/>
        <v>0</v>
      </c>
      <c r="ES16" s="336">
        <f t="shared" si="22"/>
        <v>0</v>
      </c>
      <c r="ET16" s="336">
        <f t="shared" si="22"/>
        <v>0</v>
      </c>
      <c r="EU16" s="336">
        <f t="shared" si="23"/>
        <v>0</v>
      </c>
      <c r="EV16" s="336">
        <f t="shared" si="24"/>
        <v>0</v>
      </c>
      <c r="EW16" s="336">
        <f t="shared" si="25"/>
        <v>0</v>
      </c>
      <c r="EX16" s="336">
        <f t="shared" si="26"/>
        <v>0</v>
      </c>
      <c r="EY16" s="336">
        <f t="shared" si="27"/>
        <v>0</v>
      </c>
      <c r="EZ16" s="336">
        <f t="shared" si="28"/>
        <v>0</v>
      </c>
      <c r="FA16" s="336">
        <f t="shared" si="29"/>
        <v>0</v>
      </c>
      <c r="FB16" s="336">
        <f t="shared" si="30"/>
        <v>0</v>
      </c>
      <c r="FC16" s="336">
        <f t="shared" si="31"/>
        <v>0</v>
      </c>
      <c r="FD16" s="336">
        <f t="shared" si="32"/>
        <v>0</v>
      </c>
      <c r="FE16" s="336">
        <f t="shared" si="33"/>
        <v>0</v>
      </c>
      <c r="FF16" s="336">
        <f t="shared" si="34"/>
        <v>0</v>
      </c>
      <c r="FG16" s="336">
        <f t="shared" si="35"/>
        <v>0</v>
      </c>
      <c r="FH16" s="336">
        <f t="shared" si="36"/>
        <v>0</v>
      </c>
      <c r="FI16" s="336">
        <f t="shared" si="37"/>
        <v>0</v>
      </c>
      <c r="FJ16" s="336">
        <f t="shared" si="38"/>
        <v>0</v>
      </c>
      <c r="FK16" s="336">
        <f t="shared" si="39"/>
        <v>0</v>
      </c>
      <c r="FL16" s="336">
        <f t="shared" si="40"/>
        <v>0</v>
      </c>
      <c r="FM16" s="336">
        <f t="shared" si="41"/>
        <v>0</v>
      </c>
      <c r="FN16" s="336">
        <f t="shared" si="42"/>
        <v>0</v>
      </c>
      <c r="FO16" s="336">
        <f t="shared" si="43"/>
        <v>0</v>
      </c>
      <c r="FP16" s="336">
        <f t="shared" si="44"/>
        <v>0</v>
      </c>
      <c r="FQ16" s="336">
        <f t="shared" si="45"/>
        <v>0</v>
      </c>
      <c r="FR16" s="336">
        <f t="shared" si="46"/>
        <v>0</v>
      </c>
      <c r="FS16" s="336">
        <f t="shared" si="47"/>
        <v>0</v>
      </c>
      <c r="FT16" s="336">
        <f t="shared" si="48"/>
        <v>0</v>
      </c>
      <c r="FU16" s="336">
        <f t="shared" si="49"/>
        <v>0</v>
      </c>
      <c r="FV16" s="336">
        <f t="shared" si="50"/>
        <v>0</v>
      </c>
      <c r="FW16" s="336">
        <f t="shared" si="51"/>
        <v>0</v>
      </c>
      <c r="FX16" s="336">
        <f t="shared" si="52"/>
        <v>0</v>
      </c>
      <c r="FY16" s="336">
        <f t="shared" si="53"/>
        <v>0</v>
      </c>
      <c r="FZ16" s="336">
        <f t="shared" si="54"/>
        <v>0</v>
      </c>
      <c r="GA16" s="336">
        <f t="shared" si="55"/>
        <v>0</v>
      </c>
      <c r="GB16" s="336">
        <f t="shared" si="56"/>
        <v>0</v>
      </c>
      <c r="GC16" s="336">
        <f t="shared" si="57"/>
        <v>0</v>
      </c>
      <c r="GD16" s="336">
        <f t="shared" si="58"/>
        <v>0</v>
      </c>
      <c r="GE16" s="336">
        <f t="shared" si="59"/>
        <v>0</v>
      </c>
      <c r="GF16" s="336">
        <f t="shared" si="60"/>
        <v>0</v>
      </c>
      <c r="GG16" s="336">
        <f t="shared" si="61"/>
        <v>0</v>
      </c>
      <c r="GH16" s="336">
        <f t="shared" si="62"/>
        <v>0</v>
      </c>
      <c r="GI16" s="336">
        <f t="shared" si="63"/>
        <v>0</v>
      </c>
      <c r="GJ16" s="336">
        <f t="shared" si="64"/>
        <v>0</v>
      </c>
      <c r="GK16" s="336">
        <f t="shared" si="65"/>
        <v>0</v>
      </c>
      <c r="GL16" s="336">
        <f t="shared" si="67"/>
        <v>0</v>
      </c>
      <c r="GM16" s="336">
        <f t="shared" si="66"/>
        <v>0</v>
      </c>
    </row>
    <row r="17" spans="1:195" ht="20.100000000000001" customHeight="1">
      <c r="A17" s="337">
        <f>A15+1</f>
        <v>9</v>
      </c>
      <c r="B17" s="337" t="s">
        <v>1105</v>
      </c>
      <c r="C17" s="372" t="str">
        <f t="shared" ref="C17:C40" si="209">$D$6</f>
        <v>PMCC-2</v>
      </c>
      <c r="D17" s="372" t="s">
        <v>1106</v>
      </c>
      <c r="E17" s="569" t="s">
        <v>387</v>
      </c>
      <c r="F17" s="337" t="s">
        <v>28</v>
      </c>
      <c r="G17" s="337" t="s">
        <v>350</v>
      </c>
      <c r="H17" s="583">
        <v>200</v>
      </c>
      <c r="I17" s="337" t="s">
        <v>330</v>
      </c>
      <c r="J17" s="337" t="s">
        <v>331</v>
      </c>
      <c r="K17" s="349">
        <v>400</v>
      </c>
      <c r="L17" s="343">
        <v>0.86</v>
      </c>
      <c r="M17" s="350">
        <v>0.96400000000000008</v>
      </c>
      <c r="N17" s="342">
        <f>IF(I17="kVA",IF(J17="3Ph",(H17*1000/(1.732*M17*K17)),(H17*1000/(M17*K17))),IF(I17="kW",IF(J17="3Ph",(H17*1000/(1.732*M17*K17*L17)),(H17*1000/(M17*K17*L17)))))</f>
        <v>348.21432352041222</v>
      </c>
      <c r="O17" s="342">
        <f>IF(G17="MOTOR",(6*N17),IF(G17="VFD",(1*N17),0))</f>
        <v>2089.2859411224736</v>
      </c>
      <c r="P17" s="343">
        <f>IF(G17="MOTOR",0.2,"0.00")</f>
        <v>0.2</v>
      </c>
      <c r="Q17" s="350">
        <v>65</v>
      </c>
      <c r="R17" s="350">
        <v>0</v>
      </c>
      <c r="S17" s="350">
        <f>(Q17*1000*SQRT(R17)/143)</f>
        <v>0</v>
      </c>
      <c r="T17" s="343" t="s">
        <v>332</v>
      </c>
      <c r="U17" s="350" t="s">
        <v>333</v>
      </c>
      <c r="V17" s="343">
        <v>185</v>
      </c>
      <c r="W17" s="343" t="str">
        <f>CONCATENATE(U17," X ",V17)</f>
        <v>3C X 185</v>
      </c>
      <c r="X17" s="343" t="str">
        <f>(IF(J17="1Ph",W17,IF(J17="3Ph",(IF(G17="MOTOR",(CONCATENATE(W17,"+PE")),W17)))))</f>
        <v>3C X 185+PE</v>
      </c>
      <c r="Y17" s="343" t="s">
        <v>358</v>
      </c>
      <c r="Z17" s="344">
        <f>IF(T17="AIR",VLOOKUP(W17,'Catalogue Aluminium'!$B$9:$G$93,2,FALSE),IF(T17="GROUND",VLOOKUP(W17,'Catalogue Aluminium'!$B$9:$G$93,3,FALSE),IF(T17="DUCT",VLOOKUP(W17,'Catalogue Aluminium'!$B$9:$G$93,4,FALSE),IF(T17="TRENCH",VLOOKUP(W17,'Catalogue Aluminium'!$B$9:$G$93,2,FALSE)))))</f>
        <v>338</v>
      </c>
      <c r="AA17" s="345">
        <f>VLOOKUP(W17,'Catalogue Aluminium'!$B$9:$G$93,5,FALSE)</f>
        <v>0.21</v>
      </c>
      <c r="AB17" s="345">
        <f>VLOOKUP(W17,'Catalogue Aluminium'!$B$9:$G$93,6,FALSE)</f>
        <v>7.2700000000000001E-2</v>
      </c>
      <c r="AC17" s="343">
        <v>22</v>
      </c>
      <c r="AD17" s="343">
        <f>95</f>
        <v>95</v>
      </c>
      <c r="AE17" s="343">
        <v>8</v>
      </c>
      <c r="AF17" s="343">
        <v>5</v>
      </c>
      <c r="AG17" s="343">
        <f>ROUNDUP((SUM(AC17:AF17)*0.1),0)</f>
        <v>13</v>
      </c>
      <c r="AH17" s="347">
        <f>SUM(AC17:AG17)</f>
        <v>143</v>
      </c>
      <c r="AI17" s="344">
        <f>IF(T17="AIR",'Catalogue Aluminium'!$K$9,IF(T17="TRENCH",'Catalogue Aluminium'!$K$12,"NA"))</f>
        <v>0.89</v>
      </c>
      <c r="AJ17" s="342">
        <f>IF(T17="Air",(IF(U17="1C",'Catalogue Aluminium'!$L$9,'Catalogue Aluminium'!$M$9)),IF(T17="DUCT",(IF($U17="1C",'Catalogue Aluminium'!$L$10,'Catalogue Aluminium'!$M$10)),IF(T17="GROUND",(IF($U17="1C",'Catalogue Aluminium'!$L$11,'Catalogue Aluminium'!$M$11)),IF(T17="TRENCH",(IF($U17="1C",'Catalogue Aluminium'!$L$12,'Catalogue Aluminium'!$M$12))))))</f>
        <v>0.66</v>
      </c>
      <c r="AK17" s="344" t="str">
        <f>IF(T17="Air",'Catalogue Aluminium'!$N$9,IF(T17="GROUND",'Catalogue Aluminium'!$N$10,IF(T17="DUCT",'Catalogue Aluminium'!$N$11,IF(T17="TRENCH",'Catalogue Aluminium'!$N$12,"NA"))))</f>
        <v>NA</v>
      </c>
      <c r="AL17" s="344" t="str">
        <f>IF(T17="Air",(IF(U17="1C",'Catalogue Aluminium'!$O$9,'Catalogue Aluminium'!$P$9)),IF(T17="DUCT",(IF($U17="1C",'Catalogue Aluminium'!$O$10,'Catalogue Aluminium'!$P$10)),IF(T17="GROUND",(IF($U17="1C",'Catalogue Aluminium'!$O$11,'Catalogue Aluminium'!$P$11)),IF(T17="TRENCH",(IF($U17="1C",'Catalogue Aluminium'!$O$12,'Catalogue Aluminium'!$P$12))))))</f>
        <v>NA</v>
      </c>
      <c r="AM17" s="344" t="str">
        <f>IF(T17="AIR","NA",IF(T17="TRENCH","NA",IF(T17="DUCT",IF(U17="1C",VLOOKUP(V17,'Catalogue Aluminium'!$Q$9:$S$28,2,FALSE),VLOOKUP(V17,'Catalogue Aluminium'!$Q$9:$S$28,3)),IF(T17="GROUND",IF(U17="1C",VLOOKUP(V17,'Catalogue Aluminium'!$Q$9:$S$28,2,FALSE),VLOOKUP(V17,'Catalogue Aluminium'!$Q$9:$S$28,3))))))</f>
        <v>NA</v>
      </c>
      <c r="AN17" s="351">
        <f>IF(T17="AIR",AI17*AJ17,IF(T17="TRENCH",AI17*AJ17,IF(T17="DUCT",AJ17*AK17*AL17*AM17,IF(T17="GROUND",AJ17*AK17*AL17*AM17))))</f>
        <v>0.58740000000000003</v>
      </c>
      <c r="AO17" s="350">
        <f>Z17*AN17</f>
        <v>198.5412</v>
      </c>
      <c r="AP17" s="349">
        <f>CEILING(((N17)/AO17),1)</f>
        <v>2</v>
      </c>
      <c r="AQ17" s="350" t="str">
        <f>IF(AO17*AP17&gt;=N17,"YES","NO")</f>
        <v>YES</v>
      </c>
      <c r="AR17" s="351">
        <f>SQRT(3)*AH17*N17*((AA17*L17)+(AB17*SIN(ACOS(L17))))*100/(AP17*K17*1000)</f>
        <v>2.3469751917578816</v>
      </c>
      <c r="AS17" s="343" t="str">
        <f>IF(G17="INCOMER",(IF(AR17&lt;=2,"YES","NO")),IF(G17="POWER",(IF(AR17&lt;=2.5,"YES","NO")),IF(G17="MOTOR",(IF(AR17&lt;=3,"YES","NO")))))</f>
        <v>YES</v>
      </c>
      <c r="AT17" s="351">
        <f t="shared" ref="AT17:AT40" si="210">IF(G17="MOTOR",(SQRT(3)*AH17*O17*((AA17*P17)+(AB17*SIN(ACOS(P17))))*100/(AP17*K17*1000)),"NA")</f>
        <v>7.3243741769962281</v>
      </c>
      <c r="AU17" s="343" t="str">
        <f t="shared" ref="AU17:AU40" si="211">IF(G17="MOTOR",IF(AT17&lt;=15,"YES","NO"),"NA")</f>
        <v>YES</v>
      </c>
      <c r="AV17" s="354" t="str">
        <f t="shared" ref="AV17:AV40" si="212">IF(U17="1C",CONCATENATE(AP17,"R x ",Y17,"kV x ",U17," x ",V17," Sqmm/Phase"),CONCATENATE(AP17,"R x ",0.6,"/1kV x ",U17," x ",V17," Sqmm"))</f>
        <v>2R x 0.6/1kV x 3C x 185 Sqmm</v>
      </c>
      <c r="AW17" s="354" t="str">
        <f t="shared" ref="AW17:AW50" si="213">IF(U17="1C",CONCATENATE(AP17,"R x ",Y17,"kV x ",U17," x ",V17," Sqmm/Phase"),CONCATENATE(AP17,"R x ",0.6,"/1kV x ",U17," x ",V17,(IF(G17="MOTOR","+PE",""))," Sqmm"))</f>
        <v>2R x 0.6/1kV x 3C x 185+PE Sqmm</v>
      </c>
      <c r="AX17" s="343">
        <f t="shared" ref="AX17:AX40" si="214">(IF(K17=400,(IF(U17="1C",(4*AH17*AP17),(AH17*AP17))),IF(K17=230,(AH17*AP17))))</f>
        <v>286</v>
      </c>
      <c r="AY17" s="355"/>
      <c r="AZ17" s="355">
        <f t="shared" ref="AZ17:AZ40" si="215">IF(U17="1C",(3*AP17*2),(AP17*2))</f>
        <v>4</v>
      </c>
      <c r="BA17" s="356" t="str">
        <f t="shared" ref="BA17:BA40" si="216">CONCATENATE(IF(BE17=1,BE$4,""),IF(BF17=1,BF$4,""),IF(BG17=1,BG$4,""),IF(BH17=1,BH$4,""),IF(BI17=1,BI$4,""),IF(BJ17=1,BJ$4,""),IF(BK17=1,BK$4,""),IF(BL17=1,BL$4,""),IF(BM17=1,BM$4,""),IF(BN17=1,BN$4,""),IF(BO17=1,BO$4,""),IF(BP17=1,BP$4,""),IF(BQ17=1,BQ$4,""),IF(BR17=1,BR$4,""),IF(BS17=1,BS$4,""),IF(BT17=1,BT$4,""),IF(BU17=1,BU$4,""),IF(BV17=1,BV$4,""),IF(BW17=1,BW$4,""),IF(BX17=1,BX$4,""),IF(BY17=1,BY$4,""),IF(BZ17=1,BZ$4,""),IF(CA17=1,CA$4,""),IF(CB17=1,CB$4,""),IF(CC17=1,CC$4,""),IF(CD17=1,CD$4,""),IF(CE17=1,CE$4,""),IF(CF17=1,CF$4,""),IF(CG17=1,CG$4,""),IF(CH17=1,CH$4,""),IF(CI17=1,CI$4,""),IF(CJ17=1,CJ$4,""),IF(CK17=1,CK$4,""),IF(CL17=1,CL$4,""),IF(CM17=1,CM$4,""),IF(CN17=1,CN$4,""),IF(CO17=1,CO$4,""),IF(CP17=1,CP$4,""),IF(CQ17=1,CQ$4,""),IF(CR17=1,CR$4,""),IF(CS17=1,CS$4,""),IF(CT17=1,CT$4,""),IF(CU17=1,CU$4,""),IF(CV17=1,CV$4,""),IF(CW17=1,CW$4,""),IF(CX17=1,CX$4,""),IF(CY17=1,CY$4,""),IF(CZ17=1,CZ$4,""),IF(DA17=1,DA$4,""),IF(DB17=1,DB$4,""),IF(DC17=1,DC$4,""),IF(DD17=1,DD$4,""),IF(DE17=1,DE$4,""),IF(DF17=1,DF$4,""),IF(DG17=1,DG$4,""),IF(DH17=1,DH$4,""),IF(DI17=1,DI$4,""),IF(DJ17=1,DJ$4,""),IF(DK17=1,DK$4,""),IF(DL17=1,DL$4,""),IF(DM17=1,DM$4,""),IF(DN17=1,DN$4,""),IF(DO17=1,DO$4,""),IF(DP17=1,DP$4,""),IF(DQ17=1,DQ$4,""),IF(DR17=1,DR$4,""),IF(DS17=1,DS$4,""),IF(DT17=1,DT$4,""),IF(DU17=1,DU$4,""))</f>
        <v>Q3RR1R1.A</v>
      </c>
      <c r="BB17" s="501">
        <f>VLOOKUP(W17,'Catalogue Aluminium'!$B$9:$H$93,7,FALSE)</f>
        <v>43</v>
      </c>
      <c r="BC17" s="328">
        <f t="shared" ref="BC17:BC40" si="217">AP17*BB17</f>
        <v>86</v>
      </c>
      <c r="BE17" s="336"/>
      <c r="BF17" s="336"/>
      <c r="BG17" s="336"/>
      <c r="BH17" s="336"/>
      <c r="BI17" s="336"/>
      <c r="BJ17" s="336"/>
      <c r="BK17" s="336"/>
      <c r="BL17" s="336"/>
      <c r="BM17" s="336"/>
      <c r="BN17" s="336"/>
      <c r="BO17" s="336"/>
      <c r="BP17" s="336"/>
      <c r="BQ17" s="336"/>
      <c r="BR17" s="336"/>
      <c r="BS17" s="336"/>
      <c r="BT17" s="336"/>
      <c r="BU17" s="336"/>
      <c r="BV17" s="336"/>
      <c r="BW17" s="336"/>
      <c r="BX17" s="336"/>
      <c r="BY17" s="336"/>
      <c r="BZ17" s="336"/>
      <c r="CA17" s="336"/>
      <c r="CB17" s="336"/>
      <c r="CC17" s="336"/>
      <c r="CD17" s="336"/>
      <c r="CE17" s="336"/>
      <c r="CF17" s="336"/>
      <c r="CG17" s="336"/>
      <c r="CH17" s="336"/>
      <c r="CI17" s="336"/>
      <c r="CJ17" s="336"/>
      <c r="CK17" s="336"/>
      <c r="CL17" s="336"/>
      <c r="CM17" s="336"/>
      <c r="CN17" s="336"/>
      <c r="CO17" s="336"/>
      <c r="CP17" s="336"/>
      <c r="CQ17" s="336"/>
      <c r="CR17" s="336"/>
      <c r="CS17" s="336"/>
      <c r="CT17" s="336"/>
      <c r="CU17" s="336"/>
      <c r="CV17" s="336"/>
      <c r="CW17" s="336"/>
      <c r="CX17" s="336"/>
      <c r="CY17" s="336"/>
      <c r="CZ17" s="336"/>
      <c r="DA17" s="336">
        <v>1</v>
      </c>
      <c r="DB17" s="336"/>
      <c r="DC17" s="336"/>
      <c r="DD17" s="336"/>
      <c r="DE17" s="336"/>
      <c r="DF17" s="336"/>
      <c r="DG17" s="336">
        <v>1</v>
      </c>
      <c r="DH17" s="336">
        <v>1</v>
      </c>
      <c r="DI17" s="336"/>
      <c r="DJ17" s="336">
        <v>1</v>
      </c>
      <c r="DK17" s="336"/>
      <c r="DL17" s="336"/>
      <c r="DM17" s="336"/>
      <c r="DN17" s="336"/>
      <c r="DO17" s="336"/>
      <c r="DP17" s="336"/>
      <c r="DQ17" s="336"/>
      <c r="DR17" s="336"/>
      <c r="DS17" s="336"/>
      <c r="DT17" s="336"/>
      <c r="DU17" s="336"/>
      <c r="DW17" s="336">
        <f t="shared" ref="DW17:EF18" si="218">IF(BE17=1,($BC17*BE17),0)</f>
        <v>0</v>
      </c>
      <c r="DX17" s="336">
        <f t="shared" si="218"/>
        <v>0</v>
      </c>
      <c r="DY17" s="336">
        <f t="shared" si="218"/>
        <v>0</v>
      </c>
      <c r="DZ17" s="336">
        <f t="shared" si="218"/>
        <v>0</v>
      </c>
      <c r="EA17" s="336">
        <f t="shared" si="218"/>
        <v>0</v>
      </c>
      <c r="EB17" s="336">
        <f t="shared" si="218"/>
        <v>0</v>
      </c>
      <c r="EC17" s="336">
        <f t="shared" si="218"/>
        <v>0</v>
      </c>
      <c r="ED17" s="336">
        <f t="shared" si="218"/>
        <v>0</v>
      </c>
      <c r="EE17" s="336">
        <f t="shared" si="218"/>
        <v>0</v>
      </c>
      <c r="EF17" s="336">
        <f t="shared" si="218"/>
        <v>0</v>
      </c>
      <c r="EG17" s="336">
        <f t="shared" si="10"/>
        <v>0</v>
      </c>
      <c r="EH17" s="336">
        <f t="shared" si="11"/>
        <v>0</v>
      </c>
      <c r="EI17" s="336">
        <f t="shared" si="12"/>
        <v>0</v>
      </c>
      <c r="EJ17" s="336">
        <f t="shared" si="13"/>
        <v>0</v>
      </c>
      <c r="EK17" s="336">
        <f t="shared" si="14"/>
        <v>0</v>
      </c>
      <c r="EL17" s="336">
        <f t="shared" si="15"/>
        <v>0</v>
      </c>
      <c r="EM17" s="336">
        <f t="shared" si="16"/>
        <v>0</v>
      </c>
      <c r="EN17" s="336">
        <f t="shared" si="17"/>
        <v>0</v>
      </c>
      <c r="EO17" s="336">
        <f t="shared" si="18"/>
        <v>0</v>
      </c>
      <c r="EP17" s="336">
        <f t="shared" si="19"/>
        <v>0</v>
      </c>
      <c r="EQ17" s="336">
        <f t="shared" si="20"/>
        <v>0</v>
      </c>
      <c r="ER17" s="336">
        <f t="shared" si="21"/>
        <v>0</v>
      </c>
      <c r="ES17" s="336">
        <f t="shared" si="22"/>
        <v>0</v>
      </c>
      <c r="ET17" s="336">
        <f t="shared" si="22"/>
        <v>0</v>
      </c>
      <c r="EU17" s="336">
        <f t="shared" si="23"/>
        <v>0</v>
      </c>
      <c r="EV17" s="336">
        <f t="shared" si="24"/>
        <v>0</v>
      </c>
      <c r="EW17" s="336">
        <f t="shared" si="25"/>
        <v>0</v>
      </c>
      <c r="EX17" s="336">
        <f t="shared" si="26"/>
        <v>0</v>
      </c>
      <c r="EY17" s="336">
        <f t="shared" si="27"/>
        <v>0</v>
      </c>
      <c r="EZ17" s="336">
        <f t="shared" si="28"/>
        <v>0</v>
      </c>
      <c r="FA17" s="336">
        <f t="shared" si="29"/>
        <v>0</v>
      </c>
      <c r="FB17" s="336">
        <f t="shared" si="30"/>
        <v>0</v>
      </c>
      <c r="FC17" s="336">
        <f t="shared" si="31"/>
        <v>0</v>
      </c>
      <c r="FD17" s="336">
        <f t="shared" si="32"/>
        <v>0</v>
      </c>
      <c r="FE17" s="336">
        <f t="shared" si="33"/>
        <v>0</v>
      </c>
      <c r="FF17" s="336">
        <f t="shared" si="34"/>
        <v>0</v>
      </c>
      <c r="FG17" s="336">
        <f t="shared" si="35"/>
        <v>0</v>
      </c>
      <c r="FH17" s="336">
        <f t="shared" si="36"/>
        <v>0</v>
      </c>
      <c r="FI17" s="336">
        <f t="shared" si="37"/>
        <v>0</v>
      </c>
      <c r="FJ17" s="336">
        <f t="shared" si="38"/>
        <v>0</v>
      </c>
      <c r="FK17" s="336">
        <f t="shared" si="39"/>
        <v>0</v>
      </c>
      <c r="FL17" s="336">
        <f t="shared" si="40"/>
        <v>0</v>
      </c>
      <c r="FM17" s="336">
        <f t="shared" si="41"/>
        <v>0</v>
      </c>
      <c r="FN17" s="336">
        <f t="shared" si="42"/>
        <v>0</v>
      </c>
      <c r="FO17" s="336">
        <f t="shared" si="43"/>
        <v>0</v>
      </c>
      <c r="FP17" s="336">
        <f t="shared" si="44"/>
        <v>0</v>
      </c>
      <c r="FQ17" s="336">
        <f t="shared" si="45"/>
        <v>0</v>
      </c>
      <c r="FR17" s="336">
        <f t="shared" si="46"/>
        <v>0</v>
      </c>
      <c r="FS17" s="336">
        <f t="shared" si="47"/>
        <v>86</v>
      </c>
      <c r="FT17" s="336">
        <f t="shared" si="48"/>
        <v>0</v>
      </c>
      <c r="FU17" s="336">
        <f t="shared" si="49"/>
        <v>0</v>
      </c>
      <c r="FV17" s="336">
        <f t="shared" si="50"/>
        <v>0</v>
      </c>
      <c r="FW17" s="336">
        <f t="shared" si="51"/>
        <v>0</v>
      </c>
      <c r="FX17" s="336">
        <f t="shared" si="52"/>
        <v>0</v>
      </c>
      <c r="FY17" s="336">
        <f t="shared" si="53"/>
        <v>86</v>
      </c>
      <c r="FZ17" s="336">
        <f t="shared" si="54"/>
        <v>86</v>
      </c>
      <c r="GA17" s="336">
        <f t="shared" si="55"/>
        <v>0</v>
      </c>
      <c r="GB17" s="336">
        <f t="shared" si="56"/>
        <v>86</v>
      </c>
      <c r="GC17" s="336">
        <f t="shared" si="57"/>
        <v>0</v>
      </c>
      <c r="GD17" s="336">
        <f t="shared" si="58"/>
        <v>0</v>
      </c>
      <c r="GE17" s="336">
        <f t="shared" si="59"/>
        <v>0</v>
      </c>
      <c r="GF17" s="336">
        <f t="shared" si="60"/>
        <v>0</v>
      </c>
      <c r="GG17" s="336">
        <f t="shared" si="61"/>
        <v>0</v>
      </c>
      <c r="GH17" s="336">
        <f t="shared" si="62"/>
        <v>0</v>
      </c>
      <c r="GI17" s="336">
        <f t="shared" si="63"/>
        <v>0</v>
      </c>
      <c r="GJ17" s="336">
        <f t="shared" si="64"/>
        <v>0</v>
      </c>
      <c r="GK17" s="336">
        <f t="shared" si="65"/>
        <v>0</v>
      </c>
      <c r="GL17" s="336">
        <f t="shared" si="67"/>
        <v>0</v>
      </c>
      <c r="GM17" s="336">
        <f t="shared" si="66"/>
        <v>0</v>
      </c>
    </row>
    <row r="18" spans="1:195" ht="30.75" customHeight="1">
      <c r="A18" s="337">
        <f>A17+1</f>
        <v>10</v>
      </c>
      <c r="B18" s="337" t="s">
        <v>527</v>
      </c>
      <c r="C18" s="372" t="str">
        <f t="shared" si="209"/>
        <v>PMCC-2</v>
      </c>
      <c r="D18" s="372" t="s">
        <v>1107</v>
      </c>
      <c r="E18" s="569" t="s">
        <v>387</v>
      </c>
      <c r="F18" s="337" t="s">
        <v>29</v>
      </c>
      <c r="G18" s="337" t="s">
        <v>329</v>
      </c>
      <c r="H18" s="350">
        <v>0.12</v>
      </c>
      <c r="I18" s="337" t="s">
        <v>330</v>
      </c>
      <c r="J18" s="349" t="s">
        <v>357</v>
      </c>
      <c r="K18" s="349">
        <v>230</v>
      </c>
      <c r="L18" s="343">
        <v>0.85</v>
      </c>
      <c r="M18" s="350">
        <v>0.95</v>
      </c>
      <c r="N18" s="342">
        <f>IF(I18="kVA",IF(J18="3Ph",(H18*1000/(1.732*M18*K18)),(H18*1000/(M18*K18))),IF(I18="kW",IF(J18="3Ph",(H18*1000/(1.732*M18*K18*L18)),(H18*1000/(M18*K18*L18)))))</f>
        <v>0.64611657019787327</v>
      </c>
      <c r="O18" s="342">
        <f>IF(G18="MOTOR",(6*N18),IF(G18="VFD",(1*N18),0))</f>
        <v>0</v>
      </c>
      <c r="P18" s="343" t="str">
        <f>IF(G18="MOTOR",0.2,"0.00")</f>
        <v>0.00</v>
      </c>
      <c r="Q18" s="350">
        <v>65</v>
      </c>
      <c r="R18" s="350">
        <v>0</v>
      </c>
      <c r="S18" s="350">
        <f>(Q18*1000*SQRT(R18)/143)</f>
        <v>0</v>
      </c>
      <c r="T18" s="343" t="s">
        <v>332</v>
      </c>
      <c r="U18" s="350" t="s">
        <v>333</v>
      </c>
      <c r="V18" s="343">
        <v>2.5</v>
      </c>
      <c r="W18" s="343" t="str">
        <f>CONCATENATE(U18," X ",V18)</f>
        <v>3C X 2.5</v>
      </c>
      <c r="X18" s="343" t="str">
        <f>(IF(J18="1Ph",W18,IF(J18="3Ph",(IF(G18="MOTOR",(CONCATENATE(W18,"+PE")),W18)))))</f>
        <v>3C X 2.5</v>
      </c>
      <c r="Y18" s="343" t="s">
        <v>358</v>
      </c>
      <c r="Z18" s="344">
        <f>IF(T18="AIR",VLOOKUP(W18,'Catalogue Aluminium'!$B$9:$G$93,2,FALSE),IF(T18="GROUND",VLOOKUP(W18,'Catalogue Aluminium'!$B$9:$G$93,3,FALSE),IF(T18="DUCT",VLOOKUP(W18,'Catalogue Aluminium'!$B$9:$G$93,4,FALSE),IF(T18="TRENCH",VLOOKUP(W18,'Catalogue Aluminium'!$B$9:$G$93,2,FALSE)))))</f>
        <v>28</v>
      </c>
      <c r="AA18" s="345">
        <f>VLOOKUP(W18,'Catalogue Aluminium'!$B$9:$G$93,5,FALSE)</f>
        <v>9.48</v>
      </c>
      <c r="AB18" s="345">
        <f>VLOOKUP(W18,'Catalogue Aluminium'!$B$9:$G$93,6,FALSE)</f>
        <v>0.1007</v>
      </c>
      <c r="AC18" s="343">
        <f t="shared" ref="AC18:AC30" si="219">9.5+2.5</f>
        <v>12</v>
      </c>
      <c r="AD18" s="343">
        <f>95</f>
        <v>95</v>
      </c>
      <c r="AE18" s="343">
        <v>10</v>
      </c>
      <c r="AF18" s="343">
        <v>8</v>
      </c>
      <c r="AG18" s="343">
        <f>ROUNDUP((SUM(AC18:AF18)*0.1),0)</f>
        <v>13</v>
      </c>
      <c r="AH18" s="347">
        <f>SUM(AC18:AG18)</f>
        <v>138</v>
      </c>
      <c r="AI18" s="344">
        <f>IF(T18="AIR",'Catalogue Aluminium'!$K$9,IF(T18="TRENCH",'Catalogue Aluminium'!$K$12,"NA"))</f>
        <v>0.89</v>
      </c>
      <c r="AJ18" s="342">
        <f>IF(T18="Air",(IF(U18="1C",'Catalogue Aluminium'!$L$9,'Catalogue Aluminium'!$M$9)),IF(T18="DUCT",(IF($U18="1C",'Catalogue Aluminium'!$L$10,'Catalogue Aluminium'!$M$10)),IF(T18="GROUND",(IF($U18="1C",'Catalogue Aluminium'!$L$11,'Catalogue Aluminium'!$M$11)),IF(T18="TRENCH",(IF($U18="1C",'Catalogue Aluminium'!$L$12,'Catalogue Aluminium'!$M$12))))))</f>
        <v>0.66</v>
      </c>
      <c r="AK18" s="344" t="str">
        <f>IF(T18="Air",'Catalogue Aluminium'!$N$9,IF(T18="GROUND",'Catalogue Aluminium'!$N$10,IF(T18="DUCT",'Catalogue Aluminium'!$N$11,IF(T18="TRENCH",'Catalogue Aluminium'!$N$12,"NA"))))</f>
        <v>NA</v>
      </c>
      <c r="AL18" s="344" t="str">
        <f>IF(T18="Air",(IF(U18="1C",'Catalogue Aluminium'!$O$9,'Catalogue Aluminium'!$P$9)),IF(T18="DUCT",(IF($U18="1C",'Catalogue Aluminium'!$O$10,'Catalogue Aluminium'!$P$10)),IF(T18="GROUND",(IF($U18="1C",'Catalogue Aluminium'!$O$11,'Catalogue Aluminium'!$P$11)),IF(T18="TRENCH",(IF($U18="1C",'Catalogue Aluminium'!$O$12,'Catalogue Aluminium'!$P$12))))))</f>
        <v>NA</v>
      </c>
      <c r="AM18" s="344" t="str">
        <f>IF(T18="AIR","NA",IF(T18="TRENCH","NA",IF(T18="DUCT",IF(U18="1C",VLOOKUP(V18,'Catalogue Aluminium'!$Q$9:$S$28,2,FALSE),VLOOKUP(V18,'Catalogue Aluminium'!$Q$9:$S$28,3)),IF(T18="GROUND",IF(U18="1C",VLOOKUP(V18,'Catalogue Aluminium'!$Q$9:$S$28,2,FALSE),VLOOKUP(V18,'Catalogue Aluminium'!$Q$9:$S$28,3))))))</f>
        <v>NA</v>
      </c>
      <c r="AN18" s="351">
        <f>IF(T18="AIR",AI18*AJ18,IF(T18="TRENCH",AI18*AJ18,IF(T18="DUCT",AJ18*AK18*AL18*AM18,IF(T18="GROUND",AJ18*AK18*AL18*AM18))))</f>
        <v>0.58740000000000003</v>
      </c>
      <c r="AO18" s="350">
        <f>Z18*AN18</f>
        <v>16.447200000000002</v>
      </c>
      <c r="AP18" s="349">
        <f>CEILING(((N18)/AO18),1)</f>
        <v>1</v>
      </c>
      <c r="AQ18" s="350" t="str">
        <f>IF(AO18*AP18&gt;=N18,"YES","NO")</f>
        <v>YES</v>
      </c>
      <c r="AR18" s="351">
        <f>SQRT(3)*AH18*N18*((AA18*L18)+(AB18*SIN(ACOS(L18))))*100/(AP18*K18*1000)</f>
        <v>0.54462763685531412</v>
      </c>
      <c r="AS18" s="343" t="str">
        <f>IF(G18="INCOMER",(IF(AR18&lt;=2,"YES","NO")),IF(G18="POWER",(IF(AR18&lt;=2.5,"YES","NO")),IF(G18="MOTOR",(IF(AR18&lt;=3,"YES","NO")))))</f>
        <v>YES</v>
      </c>
      <c r="AT18" s="351" t="str">
        <f t="shared" si="210"/>
        <v>NA</v>
      </c>
      <c r="AU18" s="343" t="str">
        <f t="shared" si="211"/>
        <v>NA</v>
      </c>
      <c r="AV18" s="354" t="str">
        <f t="shared" si="212"/>
        <v>1R x 0.6/1kV x 3C x 2.5 Sqmm</v>
      </c>
      <c r="AW18" s="354" t="str">
        <f t="shared" si="213"/>
        <v>1R x 0.6/1kV x 3C x 2.5 Sqmm</v>
      </c>
      <c r="AX18" s="343">
        <f t="shared" si="214"/>
        <v>138</v>
      </c>
      <c r="AY18" s="355"/>
      <c r="AZ18" s="355">
        <f t="shared" si="215"/>
        <v>2</v>
      </c>
      <c r="BA18" s="356" t="str">
        <f t="shared" si="216"/>
        <v>Q3RR1R1.A</v>
      </c>
      <c r="BB18" s="501">
        <f>VLOOKUP(W18,'Catalogue Aluminium'!$B$9:$H$93,7,FALSE)</f>
        <v>14</v>
      </c>
      <c r="BC18" s="328">
        <f t="shared" si="217"/>
        <v>14</v>
      </c>
      <c r="BE18" s="336"/>
      <c r="BF18" s="336"/>
      <c r="BG18" s="336"/>
      <c r="BH18" s="336"/>
      <c r="BI18" s="336"/>
      <c r="BJ18" s="336"/>
      <c r="BK18" s="336"/>
      <c r="BL18" s="336"/>
      <c r="BM18" s="336"/>
      <c r="BN18" s="336"/>
      <c r="BO18" s="336"/>
      <c r="BP18" s="336"/>
      <c r="BQ18" s="336"/>
      <c r="BR18" s="336"/>
      <c r="BS18" s="336"/>
      <c r="BT18" s="336"/>
      <c r="BU18" s="336"/>
      <c r="BV18" s="336"/>
      <c r="BW18" s="336"/>
      <c r="BX18" s="336"/>
      <c r="BY18" s="336"/>
      <c r="BZ18" s="336"/>
      <c r="CA18" s="336"/>
      <c r="CB18" s="336"/>
      <c r="CC18" s="336"/>
      <c r="CD18" s="336"/>
      <c r="CE18" s="336"/>
      <c r="CF18" s="336"/>
      <c r="CG18" s="336"/>
      <c r="CH18" s="336"/>
      <c r="CI18" s="336"/>
      <c r="CJ18" s="336"/>
      <c r="CK18" s="336"/>
      <c r="CL18" s="336"/>
      <c r="CM18" s="336"/>
      <c r="CN18" s="336"/>
      <c r="CO18" s="336"/>
      <c r="CP18" s="336"/>
      <c r="CQ18" s="336"/>
      <c r="CR18" s="336"/>
      <c r="CS18" s="336"/>
      <c r="CT18" s="336"/>
      <c r="CU18" s="336"/>
      <c r="CV18" s="336"/>
      <c r="CW18" s="336"/>
      <c r="CX18" s="336"/>
      <c r="CY18" s="336"/>
      <c r="CZ18" s="336"/>
      <c r="DA18" s="336">
        <v>1</v>
      </c>
      <c r="DB18" s="336"/>
      <c r="DC18" s="336"/>
      <c r="DD18" s="336"/>
      <c r="DE18" s="336"/>
      <c r="DF18" s="336"/>
      <c r="DG18" s="336">
        <v>1</v>
      </c>
      <c r="DH18" s="336">
        <v>1</v>
      </c>
      <c r="DI18" s="336"/>
      <c r="DJ18" s="336">
        <v>1</v>
      </c>
      <c r="DK18" s="336"/>
      <c r="DL18" s="336"/>
      <c r="DM18" s="336"/>
      <c r="DN18" s="336"/>
      <c r="DO18" s="336"/>
      <c r="DP18" s="336"/>
      <c r="DQ18" s="336"/>
      <c r="DR18" s="336"/>
      <c r="DS18" s="336"/>
      <c r="DT18" s="336"/>
      <c r="DU18" s="336"/>
      <c r="DW18" s="336">
        <f t="shared" si="218"/>
        <v>0</v>
      </c>
      <c r="DX18" s="336">
        <f t="shared" si="218"/>
        <v>0</v>
      </c>
      <c r="DY18" s="336">
        <f t="shared" si="218"/>
        <v>0</v>
      </c>
      <c r="DZ18" s="336">
        <f t="shared" si="218"/>
        <v>0</v>
      </c>
      <c r="EA18" s="336">
        <f t="shared" si="218"/>
        <v>0</v>
      </c>
      <c r="EB18" s="336">
        <f t="shared" si="218"/>
        <v>0</v>
      </c>
      <c r="EC18" s="336">
        <f t="shared" si="218"/>
        <v>0</v>
      </c>
      <c r="ED18" s="336">
        <f t="shared" si="218"/>
        <v>0</v>
      </c>
      <c r="EE18" s="336">
        <f t="shared" si="218"/>
        <v>0</v>
      </c>
      <c r="EF18" s="336">
        <f t="shared" si="218"/>
        <v>0</v>
      </c>
      <c r="EG18" s="336">
        <f t="shared" si="10"/>
        <v>0</v>
      </c>
      <c r="EH18" s="336">
        <f t="shared" si="11"/>
        <v>0</v>
      </c>
      <c r="EI18" s="336">
        <f t="shared" si="12"/>
        <v>0</v>
      </c>
      <c r="EJ18" s="336">
        <f t="shared" si="13"/>
        <v>0</v>
      </c>
      <c r="EK18" s="336">
        <f t="shared" si="14"/>
        <v>0</v>
      </c>
      <c r="EL18" s="336">
        <f t="shared" si="15"/>
        <v>0</v>
      </c>
      <c r="EM18" s="336">
        <f t="shared" si="16"/>
        <v>0</v>
      </c>
      <c r="EN18" s="336">
        <f t="shared" si="17"/>
        <v>0</v>
      </c>
      <c r="EO18" s="336">
        <f t="shared" si="18"/>
        <v>0</v>
      </c>
      <c r="EP18" s="336">
        <f t="shared" si="19"/>
        <v>0</v>
      </c>
      <c r="EQ18" s="336">
        <f t="shared" si="20"/>
        <v>0</v>
      </c>
      <c r="ER18" s="336">
        <f t="shared" si="21"/>
        <v>0</v>
      </c>
      <c r="ES18" s="336">
        <f t="shared" si="22"/>
        <v>0</v>
      </c>
      <c r="ET18" s="336">
        <f t="shared" si="22"/>
        <v>0</v>
      </c>
      <c r="EU18" s="336">
        <f t="shared" si="23"/>
        <v>0</v>
      </c>
      <c r="EV18" s="336">
        <f t="shared" si="24"/>
        <v>0</v>
      </c>
      <c r="EW18" s="336">
        <f t="shared" si="25"/>
        <v>0</v>
      </c>
      <c r="EX18" s="336">
        <f t="shared" si="26"/>
        <v>0</v>
      </c>
      <c r="EY18" s="336">
        <f t="shared" si="27"/>
        <v>0</v>
      </c>
      <c r="EZ18" s="336">
        <f t="shared" si="28"/>
        <v>0</v>
      </c>
      <c r="FA18" s="336">
        <f t="shared" si="29"/>
        <v>0</v>
      </c>
      <c r="FB18" s="336">
        <f t="shared" si="30"/>
        <v>0</v>
      </c>
      <c r="FC18" s="336">
        <f t="shared" si="31"/>
        <v>0</v>
      </c>
      <c r="FD18" s="336">
        <f t="shared" si="32"/>
        <v>0</v>
      </c>
      <c r="FE18" s="336">
        <f t="shared" si="33"/>
        <v>0</v>
      </c>
      <c r="FF18" s="336">
        <f t="shared" si="34"/>
        <v>0</v>
      </c>
      <c r="FG18" s="336">
        <f t="shared" si="35"/>
        <v>0</v>
      </c>
      <c r="FH18" s="336">
        <f t="shared" si="36"/>
        <v>0</v>
      </c>
      <c r="FI18" s="336">
        <f t="shared" si="37"/>
        <v>0</v>
      </c>
      <c r="FJ18" s="336">
        <f t="shared" si="38"/>
        <v>0</v>
      </c>
      <c r="FK18" s="336">
        <f t="shared" si="39"/>
        <v>0</v>
      </c>
      <c r="FL18" s="336">
        <f t="shared" si="40"/>
        <v>0</v>
      </c>
      <c r="FM18" s="336">
        <f t="shared" si="41"/>
        <v>0</v>
      </c>
      <c r="FN18" s="336">
        <f t="shared" si="42"/>
        <v>0</v>
      </c>
      <c r="FO18" s="336">
        <f t="shared" si="43"/>
        <v>0</v>
      </c>
      <c r="FP18" s="336">
        <f t="shared" si="44"/>
        <v>0</v>
      </c>
      <c r="FQ18" s="336">
        <f t="shared" si="45"/>
        <v>0</v>
      </c>
      <c r="FR18" s="336">
        <f t="shared" si="46"/>
        <v>0</v>
      </c>
      <c r="FS18" s="336">
        <f t="shared" si="47"/>
        <v>14</v>
      </c>
      <c r="FT18" s="336">
        <f t="shared" si="48"/>
        <v>0</v>
      </c>
      <c r="FU18" s="336">
        <f t="shared" si="49"/>
        <v>0</v>
      </c>
      <c r="FV18" s="336">
        <f t="shared" si="50"/>
        <v>0</v>
      </c>
      <c r="FW18" s="336">
        <f t="shared" si="51"/>
        <v>0</v>
      </c>
      <c r="FX18" s="336">
        <f t="shared" si="52"/>
        <v>0</v>
      </c>
      <c r="FY18" s="336">
        <f t="shared" si="53"/>
        <v>14</v>
      </c>
      <c r="FZ18" s="336">
        <f t="shared" si="54"/>
        <v>14</v>
      </c>
      <c r="GA18" s="336">
        <f t="shared" si="55"/>
        <v>0</v>
      </c>
      <c r="GB18" s="336">
        <f t="shared" si="56"/>
        <v>14</v>
      </c>
      <c r="GC18" s="336">
        <f t="shared" si="57"/>
        <v>0</v>
      </c>
      <c r="GD18" s="336">
        <f t="shared" si="58"/>
        <v>0</v>
      </c>
      <c r="GE18" s="336">
        <f t="shared" si="59"/>
        <v>0</v>
      </c>
      <c r="GF18" s="336">
        <f t="shared" si="60"/>
        <v>0</v>
      </c>
      <c r="GG18" s="336">
        <f t="shared" si="61"/>
        <v>0</v>
      </c>
      <c r="GH18" s="336">
        <f t="shared" si="62"/>
        <v>0</v>
      </c>
      <c r="GI18" s="336">
        <f t="shared" si="63"/>
        <v>0</v>
      </c>
      <c r="GJ18" s="336">
        <f t="shared" si="64"/>
        <v>0</v>
      </c>
      <c r="GK18" s="336">
        <f t="shared" si="65"/>
        <v>0</v>
      </c>
      <c r="GL18" s="336">
        <f t="shared" si="67"/>
        <v>0</v>
      </c>
      <c r="GM18" s="336">
        <f t="shared" si="66"/>
        <v>0</v>
      </c>
    </row>
    <row r="19" spans="1:195" ht="20.100000000000001" customHeight="1">
      <c r="A19" s="337">
        <f t="shared" ref="A19:A42" si="220">A18+1</f>
        <v>11</v>
      </c>
      <c r="B19" s="337" t="s">
        <v>1108</v>
      </c>
      <c r="C19" s="372" t="str">
        <f t="shared" si="209"/>
        <v>PMCC-2</v>
      </c>
      <c r="D19" s="372" t="s">
        <v>1109</v>
      </c>
      <c r="E19" s="569" t="s">
        <v>387</v>
      </c>
      <c r="F19" s="337" t="s">
        <v>29</v>
      </c>
      <c r="G19" s="337" t="s">
        <v>350</v>
      </c>
      <c r="H19" s="583">
        <v>200</v>
      </c>
      <c r="I19" s="337" t="s">
        <v>330</v>
      </c>
      <c r="J19" s="337" t="s">
        <v>331</v>
      </c>
      <c r="K19" s="349">
        <v>400</v>
      </c>
      <c r="L19" s="343">
        <v>0.86</v>
      </c>
      <c r="M19" s="350">
        <v>0.96400000000000008</v>
      </c>
      <c r="N19" s="342">
        <f t="shared" ref="N19:N40" si="221">IF(I19="kVA",IF(J19="3Ph",(H19*1000/(1.732*M19*K19)),(H19*1000/(M19*K19))),IF(I19="kW",IF(J19="3Ph",(H19*1000/(1.732*M19*K19*L19)),(H19*1000/(M19*K19*L19)))))</f>
        <v>348.21432352041222</v>
      </c>
      <c r="O19" s="342">
        <f t="shared" ref="O19:O40" si="222">IF(G19="MOTOR",(6*N19),IF(G19="VFD",(1*N19),0))</f>
        <v>2089.2859411224736</v>
      </c>
      <c r="P19" s="343">
        <f t="shared" ref="P19:P40" si="223">IF(G19="MOTOR",0.2,"0.00")</f>
        <v>0.2</v>
      </c>
      <c r="Q19" s="350">
        <v>65</v>
      </c>
      <c r="R19" s="350">
        <v>0</v>
      </c>
      <c r="S19" s="350">
        <f t="shared" ref="S19:S40" si="224">(Q19*1000*SQRT(R19)/143)</f>
        <v>0</v>
      </c>
      <c r="T19" s="343" t="s">
        <v>332</v>
      </c>
      <c r="U19" s="350" t="s">
        <v>333</v>
      </c>
      <c r="V19" s="343">
        <v>185</v>
      </c>
      <c r="W19" s="343" t="str">
        <f t="shared" ref="W19:W32" si="225">CONCATENATE(U19," X ",V19)</f>
        <v>3C X 185</v>
      </c>
      <c r="X19" s="343" t="str">
        <f t="shared" ref="X19:X39" si="226">(IF(J19="1Ph",W19,IF(J19="3Ph",(IF(G19="MOTOR",(CONCATENATE(W19,"+PE")),W19)))))</f>
        <v>3C X 185+PE</v>
      </c>
      <c r="Y19" s="343" t="s">
        <v>358</v>
      </c>
      <c r="Z19" s="344">
        <f>IF(T19="AIR",VLOOKUP(W19,'Catalogue Aluminium'!$B$9:$G$93,2,FALSE),IF(T19="GROUND",VLOOKUP(W19,'Catalogue Aluminium'!$B$9:$G$93,3,FALSE),IF(T19="DUCT",VLOOKUP(W19,'Catalogue Aluminium'!$B$9:$G$93,4,FALSE),IF(T19="TRENCH",VLOOKUP(W19,'Catalogue Aluminium'!$B$9:$G$93,2,FALSE)))))</f>
        <v>338</v>
      </c>
      <c r="AA19" s="345">
        <f>VLOOKUP(W19,'Catalogue Aluminium'!$B$9:$G$93,5,FALSE)</f>
        <v>0.21</v>
      </c>
      <c r="AB19" s="345">
        <f>VLOOKUP(W19,'Catalogue Aluminium'!$B$9:$G$93,6,FALSE)</f>
        <v>7.2700000000000001E-2</v>
      </c>
      <c r="AC19" s="343">
        <f>9.5+2.5</f>
        <v>12</v>
      </c>
      <c r="AD19" s="343">
        <f>95+14</f>
        <v>109</v>
      </c>
      <c r="AE19" s="343">
        <v>8</v>
      </c>
      <c r="AF19" s="343">
        <v>5</v>
      </c>
      <c r="AG19" s="343">
        <f t="shared" si="134"/>
        <v>14</v>
      </c>
      <c r="AH19" s="347">
        <f t="shared" ref="AH19:AH49" si="227">SUM(AC19:AG19)</f>
        <v>148</v>
      </c>
      <c r="AI19" s="344">
        <f>IF(T19="AIR",'Catalogue Aluminium'!$K$9,IF(T19="TRENCH",'Catalogue Aluminium'!$K$12,"NA"))</f>
        <v>0.89</v>
      </c>
      <c r="AJ19" s="342">
        <f>IF(T19="Air",(IF(U19="1C",'Catalogue Aluminium'!$L$9,'Catalogue Aluminium'!$M$9)),IF(T19="DUCT",(IF($U19="1C",'Catalogue Aluminium'!$L$10,'Catalogue Aluminium'!$M$10)),IF(T19="GROUND",(IF($U19="1C",'Catalogue Aluminium'!$L$11,'Catalogue Aluminium'!$M$11)),IF(T19="TRENCH",(IF($U19="1C",'Catalogue Aluminium'!$L$12,'Catalogue Aluminium'!$M$12))))))</f>
        <v>0.66</v>
      </c>
      <c r="AK19" s="344" t="str">
        <f>IF(T19="Air",'Catalogue Aluminium'!$N$9,IF(T19="GROUND",'Catalogue Aluminium'!$N$10,IF(T19="DUCT",'Catalogue Aluminium'!$N$11,IF(T19="TRENCH",'Catalogue Aluminium'!$N$12,"NA"))))</f>
        <v>NA</v>
      </c>
      <c r="AL19" s="344" t="str">
        <f>IF(T19="Air",(IF(U19="1C",'Catalogue Aluminium'!$O$9,'Catalogue Aluminium'!$P$9)),IF(T19="DUCT",(IF($U19="1C",'Catalogue Aluminium'!$O$10,'Catalogue Aluminium'!$P$10)),IF(T19="GROUND",(IF($U19="1C",'Catalogue Aluminium'!$O$11,'Catalogue Aluminium'!$P$11)),IF(T19="TRENCH",(IF($U19="1C",'Catalogue Aluminium'!$O$12,'Catalogue Aluminium'!$P$12))))))</f>
        <v>NA</v>
      </c>
      <c r="AM19" s="344" t="str">
        <f>IF(T19="AIR","NA",IF(T19="TRENCH","NA",IF(T19="DUCT",IF(U19="1C",VLOOKUP(V19,'Catalogue Aluminium'!$Q$9:$S$28,2,FALSE),VLOOKUP(V19,'Catalogue Aluminium'!$Q$9:$S$28,3)),IF(T19="GROUND",IF(U19="1C",VLOOKUP(V19,'Catalogue Aluminium'!$Q$9:$S$28,2,FALSE),VLOOKUP(V19,'Catalogue Aluminium'!$Q$9:$S$28,3))))))</f>
        <v>NA</v>
      </c>
      <c r="AN19" s="351">
        <f t="shared" ref="AN19:AN39" si="228">IF(T19="AIR",AI19*AJ19,IF(T19="TRENCH",AI19*AJ19,IF(T19="DUCT",AJ19*AK19*AL19*AM19,IF(T19="GROUND",AJ19*AK19*AL19*AM19))))</f>
        <v>0.58740000000000003</v>
      </c>
      <c r="AO19" s="350">
        <f t="shared" ref="AO19:AO39" si="229">Z19*AN19</f>
        <v>198.5412</v>
      </c>
      <c r="AP19" s="349">
        <f t="shared" ref="AP19:AP39" si="230">CEILING(((N19)/AO19),1)</f>
        <v>2</v>
      </c>
      <c r="AQ19" s="350" t="str">
        <f t="shared" ref="AQ19:AQ39" si="231">IF(AO19*AP19&gt;=N19,"YES","NO")</f>
        <v>YES</v>
      </c>
      <c r="AR19" s="351">
        <f t="shared" si="136"/>
        <v>2.4290372613997651</v>
      </c>
      <c r="AS19" s="343" t="str">
        <f t="shared" si="137"/>
        <v>YES</v>
      </c>
      <c r="AT19" s="351">
        <f t="shared" si="210"/>
        <v>7.5804711761919004</v>
      </c>
      <c r="AU19" s="343" t="str">
        <f t="shared" si="211"/>
        <v>YES</v>
      </c>
      <c r="AV19" s="354" t="str">
        <f t="shared" si="212"/>
        <v>2R x 0.6/1kV x 3C x 185 Sqmm</v>
      </c>
      <c r="AW19" s="354" t="str">
        <f t="shared" si="213"/>
        <v>2R x 0.6/1kV x 3C x 185+PE Sqmm</v>
      </c>
      <c r="AX19" s="343">
        <f t="shared" si="214"/>
        <v>296</v>
      </c>
      <c r="AY19" s="355"/>
      <c r="AZ19" s="355">
        <f t="shared" si="215"/>
        <v>4</v>
      </c>
      <c r="BA19" s="356" t="str">
        <f t="shared" si="216"/>
        <v>Q3RR1R1.A</v>
      </c>
      <c r="BB19" s="501">
        <f>VLOOKUP(W19,'Catalogue Aluminium'!$B$9:$H$93,7,FALSE)</f>
        <v>43</v>
      </c>
      <c r="BC19" s="328">
        <f t="shared" si="217"/>
        <v>86</v>
      </c>
      <c r="BE19" s="336"/>
      <c r="BF19" s="336"/>
      <c r="BG19" s="336"/>
      <c r="BH19" s="336"/>
      <c r="BI19" s="336"/>
      <c r="BJ19" s="336"/>
      <c r="BK19" s="336"/>
      <c r="BL19" s="336"/>
      <c r="BM19" s="336"/>
      <c r="BN19" s="336"/>
      <c r="BO19" s="336"/>
      <c r="BP19" s="336"/>
      <c r="BQ19" s="336"/>
      <c r="BR19" s="336"/>
      <c r="BS19" s="336"/>
      <c r="BT19" s="336"/>
      <c r="BU19" s="336"/>
      <c r="BV19" s="336"/>
      <c r="BW19" s="336"/>
      <c r="BX19" s="336"/>
      <c r="BY19" s="336"/>
      <c r="BZ19" s="336"/>
      <c r="CA19" s="336"/>
      <c r="CB19" s="336"/>
      <c r="CC19" s="336"/>
      <c r="CD19" s="336"/>
      <c r="CE19" s="336"/>
      <c r="CF19" s="336"/>
      <c r="CG19" s="336"/>
      <c r="CH19" s="336"/>
      <c r="CI19" s="336"/>
      <c r="CJ19" s="336"/>
      <c r="CK19" s="336"/>
      <c r="CL19" s="336"/>
      <c r="CM19" s="336"/>
      <c r="CN19" s="336"/>
      <c r="CO19" s="336"/>
      <c r="CP19" s="336"/>
      <c r="CQ19" s="336"/>
      <c r="CR19" s="336"/>
      <c r="CS19" s="336"/>
      <c r="CT19" s="336"/>
      <c r="CU19" s="336"/>
      <c r="CV19" s="336"/>
      <c r="CW19" s="336"/>
      <c r="CX19" s="336"/>
      <c r="CY19" s="336"/>
      <c r="CZ19" s="336"/>
      <c r="DA19" s="336">
        <v>1</v>
      </c>
      <c r="DB19" s="336"/>
      <c r="DC19" s="336"/>
      <c r="DD19" s="336"/>
      <c r="DE19" s="336"/>
      <c r="DF19" s="336"/>
      <c r="DG19" s="336">
        <v>1</v>
      </c>
      <c r="DH19" s="336">
        <v>1</v>
      </c>
      <c r="DI19" s="336"/>
      <c r="DJ19" s="336">
        <v>1</v>
      </c>
      <c r="DK19" s="336"/>
      <c r="DL19" s="336"/>
      <c r="DM19" s="336"/>
      <c r="DN19" s="336"/>
      <c r="DO19" s="336"/>
      <c r="DP19" s="336"/>
      <c r="DQ19" s="336"/>
      <c r="DR19" s="336"/>
      <c r="DS19" s="336"/>
      <c r="DT19" s="336"/>
      <c r="DU19" s="336"/>
      <c r="DW19" s="336">
        <f t="shared" si="80"/>
        <v>0</v>
      </c>
      <c r="DX19" s="336">
        <f t="shared" si="1"/>
        <v>0</v>
      </c>
      <c r="DY19" s="336">
        <f t="shared" si="2"/>
        <v>0</v>
      </c>
      <c r="DZ19" s="336">
        <f t="shared" si="3"/>
        <v>0</v>
      </c>
      <c r="EA19" s="336">
        <f t="shared" si="4"/>
        <v>0</v>
      </c>
      <c r="EB19" s="336">
        <f t="shared" si="5"/>
        <v>0</v>
      </c>
      <c r="EC19" s="336">
        <f t="shared" si="6"/>
        <v>0</v>
      </c>
      <c r="ED19" s="336">
        <f t="shared" si="7"/>
        <v>0</v>
      </c>
      <c r="EE19" s="336">
        <f t="shared" si="8"/>
        <v>0</v>
      </c>
      <c r="EF19" s="336">
        <f t="shared" si="9"/>
        <v>0</v>
      </c>
      <c r="EG19" s="336">
        <f t="shared" si="10"/>
        <v>0</v>
      </c>
      <c r="EH19" s="336">
        <f t="shared" si="11"/>
        <v>0</v>
      </c>
      <c r="EI19" s="336">
        <f t="shared" si="12"/>
        <v>0</v>
      </c>
      <c r="EJ19" s="336">
        <f t="shared" si="13"/>
        <v>0</v>
      </c>
      <c r="EK19" s="336">
        <f t="shared" si="14"/>
        <v>0</v>
      </c>
      <c r="EL19" s="336">
        <f t="shared" si="15"/>
        <v>0</v>
      </c>
      <c r="EM19" s="336">
        <f t="shared" si="16"/>
        <v>0</v>
      </c>
      <c r="EN19" s="336">
        <f t="shared" si="17"/>
        <v>0</v>
      </c>
      <c r="EO19" s="336">
        <f t="shared" si="18"/>
        <v>0</v>
      </c>
      <c r="EP19" s="336">
        <f t="shared" si="19"/>
        <v>0</v>
      </c>
      <c r="EQ19" s="336">
        <f t="shared" si="20"/>
        <v>0</v>
      </c>
      <c r="ER19" s="336">
        <f t="shared" si="21"/>
        <v>0</v>
      </c>
      <c r="ES19" s="336">
        <f t="shared" si="22"/>
        <v>0</v>
      </c>
      <c r="ET19" s="336">
        <f t="shared" si="22"/>
        <v>0</v>
      </c>
      <c r="EU19" s="336">
        <f t="shared" si="23"/>
        <v>0</v>
      </c>
      <c r="EV19" s="336">
        <f t="shared" si="24"/>
        <v>0</v>
      </c>
      <c r="EW19" s="336">
        <f t="shared" si="25"/>
        <v>0</v>
      </c>
      <c r="EX19" s="336">
        <f t="shared" si="26"/>
        <v>0</v>
      </c>
      <c r="EY19" s="336">
        <f t="shared" si="27"/>
        <v>0</v>
      </c>
      <c r="EZ19" s="336">
        <f t="shared" si="28"/>
        <v>0</v>
      </c>
      <c r="FA19" s="336">
        <f t="shared" si="29"/>
        <v>0</v>
      </c>
      <c r="FB19" s="336">
        <f t="shared" si="30"/>
        <v>0</v>
      </c>
      <c r="FC19" s="336">
        <f t="shared" si="31"/>
        <v>0</v>
      </c>
      <c r="FD19" s="336">
        <f t="shared" si="32"/>
        <v>0</v>
      </c>
      <c r="FE19" s="336">
        <f t="shared" si="33"/>
        <v>0</v>
      </c>
      <c r="FF19" s="336">
        <f t="shared" si="34"/>
        <v>0</v>
      </c>
      <c r="FG19" s="336">
        <f t="shared" si="35"/>
        <v>0</v>
      </c>
      <c r="FH19" s="336">
        <f t="shared" si="36"/>
        <v>0</v>
      </c>
      <c r="FI19" s="336">
        <f t="shared" si="37"/>
        <v>0</v>
      </c>
      <c r="FJ19" s="336">
        <f t="shared" si="38"/>
        <v>0</v>
      </c>
      <c r="FK19" s="336">
        <f t="shared" si="39"/>
        <v>0</v>
      </c>
      <c r="FL19" s="336">
        <f t="shared" si="40"/>
        <v>0</v>
      </c>
      <c r="FM19" s="336">
        <f t="shared" si="41"/>
        <v>0</v>
      </c>
      <c r="FN19" s="336">
        <f t="shared" si="42"/>
        <v>0</v>
      </c>
      <c r="FO19" s="336">
        <f t="shared" si="43"/>
        <v>0</v>
      </c>
      <c r="FP19" s="336">
        <f t="shared" si="44"/>
        <v>0</v>
      </c>
      <c r="FQ19" s="336">
        <f t="shared" si="45"/>
        <v>0</v>
      </c>
      <c r="FR19" s="336">
        <f t="shared" si="46"/>
        <v>0</v>
      </c>
      <c r="FS19" s="336">
        <f t="shared" si="47"/>
        <v>86</v>
      </c>
      <c r="FT19" s="336">
        <f t="shared" si="48"/>
        <v>0</v>
      </c>
      <c r="FU19" s="336">
        <f t="shared" si="49"/>
        <v>0</v>
      </c>
      <c r="FV19" s="336">
        <f t="shared" si="50"/>
        <v>0</v>
      </c>
      <c r="FW19" s="336">
        <f t="shared" si="51"/>
        <v>0</v>
      </c>
      <c r="FX19" s="336">
        <f t="shared" si="52"/>
        <v>0</v>
      </c>
      <c r="FY19" s="336">
        <f t="shared" si="53"/>
        <v>86</v>
      </c>
      <c r="FZ19" s="336">
        <f t="shared" si="54"/>
        <v>86</v>
      </c>
      <c r="GA19" s="336">
        <f t="shared" si="55"/>
        <v>0</v>
      </c>
      <c r="GB19" s="336">
        <f t="shared" si="56"/>
        <v>86</v>
      </c>
      <c r="GC19" s="336">
        <f t="shared" si="57"/>
        <v>0</v>
      </c>
      <c r="GD19" s="336">
        <f t="shared" si="58"/>
        <v>0</v>
      </c>
      <c r="GE19" s="336">
        <f t="shared" si="59"/>
        <v>0</v>
      </c>
      <c r="GF19" s="336">
        <f t="shared" si="60"/>
        <v>0</v>
      </c>
      <c r="GG19" s="336">
        <f t="shared" si="61"/>
        <v>0</v>
      </c>
      <c r="GH19" s="336">
        <f t="shared" si="62"/>
        <v>0</v>
      </c>
      <c r="GI19" s="336">
        <f t="shared" si="63"/>
        <v>0</v>
      </c>
      <c r="GJ19" s="336">
        <f t="shared" si="64"/>
        <v>0</v>
      </c>
      <c r="GK19" s="336">
        <f t="shared" si="65"/>
        <v>0</v>
      </c>
      <c r="GL19" s="336">
        <f t="shared" si="67"/>
        <v>0</v>
      </c>
      <c r="GM19" s="336">
        <f t="shared" si="66"/>
        <v>0</v>
      </c>
    </row>
    <row r="20" spans="1:195">
      <c r="A20" s="337">
        <f t="shared" si="220"/>
        <v>12</v>
      </c>
      <c r="B20" s="337" t="s">
        <v>527</v>
      </c>
      <c r="C20" s="372" t="str">
        <f t="shared" si="209"/>
        <v>PMCC-2</v>
      </c>
      <c r="D20" s="372" t="s">
        <v>1110</v>
      </c>
      <c r="E20" s="569" t="s">
        <v>387</v>
      </c>
      <c r="F20" s="337" t="s">
        <v>28</v>
      </c>
      <c r="G20" s="337" t="s">
        <v>329</v>
      </c>
      <c r="H20" s="350">
        <v>0.12</v>
      </c>
      <c r="I20" s="337" t="s">
        <v>330</v>
      </c>
      <c r="J20" s="349" t="s">
        <v>357</v>
      </c>
      <c r="K20" s="349">
        <v>230</v>
      </c>
      <c r="L20" s="343">
        <v>0.85</v>
      </c>
      <c r="M20" s="350">
        <v>0.95</v>
      </c>
      <c r="N20" s="342">
        <f>IF(I20="kVA",IF(J20="3Ph",(H20*1000/(1.732*M20*K20)),(H20*1000/(M20*K20))),IF(I20="kW",IF(J20="3Ph",(H20*1000/(1.732*M20*K20*L20)),(H20*1000/(M20*K20*L20)))))</f>
        <v>0.64611657019787327</v>
      </c>
      <c r="O20" s="342">
        <f>IF(G20="MOTOR",(6*N20),IF(G20="VFD",(1*N20),0))</f>
        <v>0</v>
      </c>
      <c r="P20" s="343" t="str">
        <f>IF(G20="MOTOR",0.2,"0.00")</f>
        <v>0.00</v>
      </c>
      <c r="Q20" s="350">
        <v>65</v>
      </c>
      <c r="R20" s="350">
        <v>0</v>
      </c>
      <c r="S20" s="350">
        <f>(Q20*1000*SQRT(R20)/143)</f>
        <v>0</v>
      </c>
      <c r="T20" s="343" t="s">
        <v>332</v>
      </c>
      <c r="U20" s="350" t="s">
        <v>333</v>
      </c>
      <c r="V20" s="343">
        <v>2.5</v>
      </c>
      <c r="W20" s="343" t="str">
        <f>CONCATENATE(U20," X ",V20)</f>
        <v>3C X 2.5</v>
      </c>
      <c r="X20" s="343" t="str">
        <f>(IF(J20="1Ph",W20,IF(J20="3Ph",(IF(G20="MOTOR",(CONCATENATE(W20,"+PE")),W20)))))</f>
        <v>3C X 2.5</v>
      </c>
      <c r="Y20" s="343" t="s">
        <v>358</v>
      </c>
      <c r="Z20" s="344">
        <f>IF(T20="AIR",VLOOKUP(W20,'Catalogue Aluminium'!$B$9:$G$93,2,FALSE),IF(T20="GROUND",VLOOKUP(W20,'Catalogue Aluminium'!$B$9:$G$93,3,FALSE),IF(T20="DUCT",VLOOKUP(W20,'Catalogue Aluminium'!$B$9:$G$93,4,FALSE),IF(T20="TRENCH",VLOOKUP(W20,'Catalogue Aluminium'!$B$9:$G$93,2,FALSE)))))</f>
        <v>28</v>
      </c>
      <c r="AA20" s="345">
        <f>VLOOKUP(W20,'Catalogue Aluminium'!$B$9:$G$93,5,FALSE)</f>
        <v>9.48</v>
      </c>
      <c r="AB20" s="345">
        <f>VLOOKUP(W20,'Catalogue Aluminium'!$B$9:$G$93,6,FALSE)</f>
        <v>0.1007</v>
      </c>
      <c r="AC20" s="343">
        <f t="shared" si="219"/>
        <v>12</v>
      </c>
      <c r="AD20" s="343">
        <f>95+14</f>
        <v>109</v>
      </c>
      <c r="AE20" s="343">
        <v>10</v>
      </c>
      <c r="AF20" s="343">
        <v>8</v>
      </c>
      <c r="AG20" s="343">
        <f>ROUNDUP((SUM(AC20:AF20)*0.1),0)</f>
        <v>14</v>
      </c>
      <c r="AH20" s="347">
        <f>SUM(AC20:AG20)</f>
        <v>153</v>
      </c>
      <c r="AI20" s="344">
        <f>IF(T20="AIR",'Catalogue Aluminium'!$K$9,IF(T20="TRENCH",'Catalogue Aluminium'!$K$12,"NA"))</f>
        <v>0.89</v>
      </c>
      <c r="AJ20" s="342">
        <f>IF(T20="Air",(IF(U20="1C",'Catalogue Aluminium'!$L$9,'Catalogue Aluminium'!$M$9)),IF(T20="DUCT",(IF($U20="1C",'Catalogue Aluminium'!$L$10,'Catalogue Aluminium'!$M$10)),IF(T20="GROUND",(IF($U20="1C",'Catalogue Aluminium'!$L$11,'Catalogue Aluminium'!$M$11)),IF(T20="TRENCH",(IF($U20="1C",'Catalogue Aluminium'!$L$12,'Catalogue Aluminium'!$M$12))))))</f>
        <v>0.66</v>
      </c>
      <c r="AK20" s="344" t="str">
        <f>IF(T20="Air",'Catalogue Aluminium'!$N$9,IF(T20="GROUND",'Catalogue Aluminium'!$N$10,IF(T20="DUCT",'Catalogue Aluminium'!$N$11,IF(T20="TRENCH",'Catalogue Aluminium'!$N$12,"NA"))))</f>
        <v>NA</v>
      </c>
      <c r="AL20" s="344" t="str">
        <f>IF(T20="Air",(IF(U20="1C",'Catalogue Aluminium'!$O$9,'Catalogue Aluminium'!$P$9)),IF(T20="DUCT",(IF($U20="1C",'Catalogue Aluminium'!$O$10,'Catalogue Aluminium'!$P$10)),IF(T20="GROUND",(IF($U20="1C",'Catalogue Aluminium'!$O$11,'Catalogue Aluminium'!$P$11)),IF(T20="TRENCH",(IF($U20="1C",'Catalogue Aluminium'!$O$12,'Catalogue Aluminium'!$P$12))))))</f>
        <v>NA</v>
      </c>
      <c r="AM20" s="344" t="str">
        <f>IF(T20="AIR","NA",IF(T20="TRENCH","NA",IF(T20="DUCT",IF(U20="1C",VLOOKUP(V20,'Catalogue Aluminium'!$Q$9:$S$28,2,FALSE),VLOOKUP(V20,'Catalogue Aluminium'!$Q$9:$S$28,3)),IF(T20="GROUND",IF(U20="1C",VLOOKUP(V20,'Catalogue Aluminium'!$Q$9:$S$28,2,FALSE),VLOOKUP(V20,'Catalogue Aluminium'!$Q$9:$S$28,3))))))</f>
        <v>NA</v>
      </c>
      <c r="AN20" s="351">
        <f>IF(T20="AIR",AI20*AJ20,IF(T20="TRENCH",AI20*AJ20,IF(T20="DUCT",AJ20*AK20*AL20*AM20,IF(T20="GROUND",AJ20*AK20*AL20*AM20))))</f>
        <v>0.58740000000000003</v>
      </c>
      <c r="AO20" s="350">
        <f>Z20*AN20</f>
        <v>16.447200000000002</v>
      </c>
      <c r="AP20" s="349">
        <f>CEILING(((N20)/AO20),1)</f>
        <v>1</v>
      </c>
      <c r="AQ20" s="350" t="str">
        <f>IF(AO20*AP20&gt;=N20,"YES","NO")</f>
        <v>YES</v>
      </c>
      <c r="AR20" s="351">
        <f>SQRT(3)*AH20*N20*((AA20*L20)+(AB20*SIN(ACOS(L20))))*100/(AP20*K20*1000)</f>
        <v>0.6038262930352396</v>
      </c>
      <c r="AS20" s="343" t="str">
        <f>IF(G20="INCOMER",(IF(AR20&lt;=2,"YES","NO")),IF(G20="POWER",(IF(AR20&lt;=2.5,"YES","NO")),IF(G20="MOTOR",(IF(AR20&lt;=3,"YES","NO")))))</f>
        <v>YES</v>
      </c>
      <c r="AT20" s="351" t="str">
        <f t="shared" si="210"/>
        <v>NA</v>
      </c>
      <c r="AU20" s="343" t="str">
        <f t="shared" si="211"/>
        <v>NA</v>
      </c>
      <c r="AV20" s="354" t="str">
        <f t="shared" si="212"/>
        <v>1R x 0.6/1kV x 3C x 2.5 Sqmm</v>
      </c>
      <c r="AW20" s="354" t="str">
        <f t="shared" si="213"/>
        <v>1R x 0.6/1kV x 3C x 2.5 Sqmm</v>
      </c>
      <c r="AX20" s="343">
        <f t="shared" si="214"/>
        <v>153</v>
      </c>
      <c r="AY20" s="355"/>
      <c r="AZ20" s="355">
        <f t="shared" si="215"/>
        <v>2</v>
      </c>
      <c r="BA20" s="356" t="str">
        <f t="shared" si="216"/>
        <v>Q3RR1R1.A</v>
      </c>
      <c r="BB20" s="501">
        <f>VLOOKUP(W20,'Catalogue Aluminium'!$B$9:$H$93,7,FALSE)</f>
        <v>14</v>
      </c>
      <c r="BC20" s="328">
        <f t="shared" si="217"/>
        <v>14</v>
      </c>
      <c r="BE20" s="336"/>
      <c r="BF20" s="336"/>
      <c r="BG20" s="336"/>
      <c r="BH20" s="336"/>
      <c r="BI20" s="336"/>
      <c r="BJ20" s="336"/>
      <c r="BK20" s="336"/>
      <c r="BL20" s="336"/>
      <c r="BM20" s="336"/>
      <c r="BN20" s="336"/>
      <c r="BO20" s="336"/>
      <c r="BP20" s="336"/>
      <c r="BQ20" s="336"/>
      <c r="BR20" s="336"/>
      <c r="BS20" s="336"/>
      <c r="BT20" s="336"/>
      <c r="BU20" s="336"/>
      <c r="BV20" s="336"/>
      <c r="BW20" s="336"/>
      <c r="BX20" s="336"/>
      <c r="BY20" s="336"/>
      <c r="BZ20" s="336"/>
      <c r="CA20" s="336"/>
      <c r="CB20" s="336"/>
      <c r="CC20" s="336"/>
      <c r="CD20" s="336"/>
      <c r="CE20" s="336"/>
      <c r="CF20" s="336"/>
      <c r="CG20" s="336"/>
      <c r="CH20" s="336"/>
      <c r="CI20" s="336"/>
      <c r="CJ20" s="336"/>
      <c r="CK20" s="336"/>
      <c r="CL20" s="336"/>
      <c r="CM20" s="336"/>
      <c r="CN20" s="336"/>
      <c r="CO20" s="336"/>
      <c r="CP20" s="336"/>
      <c r="CQ20" s="336"/>
      <c r="CR20" s="336"/>
      <c r="CS20" s="336"/>
      <c r="CT20" s="336"/>
      <c r="CU20" s="336"/>
      <c r="CV20" s="336"/>
      <c r="CW20" s="336"/>
      <c r="CX20" s="336"/>
      <c r="CY20" s="336"/>
      <c r="CZ20" s="336"/>
      <c r="DA20" s="336">
        <v>1</v>
      </c>
      <c r="DB20" s="336"/>
      <c r="DC20" s="336"/>
      <c r="DD20" s="336"/>
      <c r="DE20" s="336"/>
      <c r="DF20" s="336"/>
      <c r="DG20" s="336">
        <v>1</v>
      </c>
      <c r="DH20" s="336">
        <v>1</v>
      </c>
      <c r="DI20" s="336"/>
      <c r="DJ20" s="336">
        <v>1</v>
      </c>
      <c r="DK20" s="336"/>
      <c r="DL20" s="336"/>
      <c r="DM20" s="336"/>
      <c r="DN20" s="336"/>
      <c r="DO20" s="336"/>
      <c r="DP20" s="336"/>
      <c r="DQ20" s="336"/>
      <c r="DR20" s="336"/>
      <c r="DS20" s="336"/>
      <c r="DT20" s="336"/>
      <c r="DU20" s="336"/>
      <c r="DW20" s="336">
        <f t="shared" ref="DW20:ES20" si="232">IF(BE20=1,($BC20*BE20),0)</f>
        <v>0</v>
      </c>
      <c r="DX20" s="336">
        <f t="shared" si="232"/>
        <v>0</v>
      </c>
      <c r="DY20" s="336">
        <f t="shared" si="232"/>
        <v>0</v>
      </c>
      <c r="DZ20" s="336">
        <f t="shared" si="232"/>
        <v>0</v>
      </c>
      <c r="EA20" s="336">
        <f t="shared" si="232"/>
        <v>0</v>
      </c>
      <c r="EB20" s="336">
        <f t="shared" si="232"/>
        <v>0</v>
      </c>
      <c r="EC20" s="336">
        <f t="shared" si="232"/>
        <v>0</v>
      </c>
      <c r="ED20" s="336">
        <f t="shared" si="232"/>
        <v>0</v>
      </c>
      <c r="EE20" s="336">
        <f t="shared" si="232"/>
        <v>0</v>
      </c>
      <c r="EF20" s="336">
        <f t="shared" si="232"/>
        <v>0</v>
      </c>
      <c r="EG20" s="336">
        <f t="shared" si="232"/>
        <v>0</v>
      </c>
      <c r="EH20" s="336">
        <f t="shared" si="232"/>
        <v>0</v>
      </c>
      <c r="EI20" s="336">
        <f t="shared" si="232"/>
        <v>0</v>
      </c>
      <c r="EJ20" s="336">
        <f t="shared" si="232"/>
        <v>0</v>
      </c>
      <c r="EK20" s="336">
        <f t="shared" si="232"/>
        <v>0</v>
      </c>
      <c r="EL20" s="336">
        <f t="shared" si="232"/>
        <v>0</v>
      </c>
      <c r="EM20" s="336">
        <f t="shared" si="232"/>
        <v>0</v>
      </c>
      <c r="EN20" s="336">
        <f t="shared" si="232"/>
        <v>0</v>
      </c>
      <c r="EO20" s="336">
        <f t="shared" si="232"/>
        <v>0</v>
      </c>
      <c r="EP20" s="336">
        <f t="shared" si="232"/>
        <v>0</v>
      </c>
      <c r="EQ20" s="336">
        <f t="shared" si="232"/>
        <v>0</v>
      </c>
      <c r="ER20" s="336">
        <f t="shared" si="232"/>
        <v>0</v>
      </c>
      <c r="ES20" s="336">
        <f t="shared" si="232"/>
        <v>0</v>
      </c>
      <c r="ET20" s="336">
        <f t="shared" si="22"/>
        <v>0</v>
      </c>
      <c r="EU20" s="336">
        <f t="shared" ref="EU20:FC20" si="233">IF(CC20=1,($BC20*CC20),0)</f>
        <v>0</v>
      </c>
      <c r="EV20" s="336">
        <f t="shared" si="233"/>
        <v>0</v>
      </c>
      <c r="EW20" s="336">
        <f t="shared" si="233"/>
        <v>0</v>
      </c>
      <c r="EX20" s="336">
        <f t="shared" si="233"/>
        <v>0</v>
      </c>
      <c r="EY20" s="336">
        <f t="shared" si="233"/>
        <v>0</v>
      </c>
      <c r="EZ20" s="336">
        <f t="shared" si="233"/>
        <v>0</v>
      </c>
      <c r="FA20" s="336">
        <f t="shared" si="233"/>
        <v>0</v>
      </c>
      <c r="FB20" s="336">
        <f t="shared" si="233"/>
        <v>0</v>
      </c>
      <c r="FC20" s="336">
        <f t="shared" si="233"/>
        <v>0</v>
      </c>
      <c r="FD20" s="336">
        <f t="shared" si="32"/>
        <v>0</v>
      </c>
      <c r="FE20" s="336">
        <f t="shared" si="33"/>
        <v>0</v>
      </c>
      <c r="FF20" s="336">
        <f t="shared" si="34"/>
        <v>0</v>
      </c>
      <c r="FG20" s="336">
        <f t="shared" si="35"/>
        <v>0</v>
      </c>
      <c r="FH20" s="336">
        <f t="shared" si="36"/>
        <v>0</v>
      </c>
      <c r="FI20" s="336">
        <f t="shared" si="37"/>
        <v>0</v>
      </c>
      <c r="FJ20" s="336">
        <f t="shared" si="38"/>
        <v>0</v>
      </c>
      <c r="FK20" s="336">
        <f t="shared" si="39"/>
        <v>0</v>
      </c>
      <c r="FL20" s="336">
        <f t="shared" si="40"/>
        <v>0</v>
      </c>
      <c r="FM20" s="336">
        <f t="shared" si="41"/>
        <v>0</v>
      </c>
      <c r="FN20" s="336">
        <f t="shared" si="42"/>
        <v>0</v>
      </c>
      <c r="FO20" s="336">
        <f t="shared" si="43"/>
        <v>0</v>
      </c>
      <c r="FP20" s="336">
        <f t="shared" si="44"/>
        <v>0</v>
      </c>
      <c r="FQ20" s="336">
        <f t="shared" si="45"/>
        <v>0</v>
      </c>
      <c r="FR20" s="336">
        <f t="shared" si="46"/>
        <v>0</v>
      </c>
      <c r="FS20" s="336">
        <f t="shared" si="47"/>
        <v>14</v>
      </c>
      <c r="FT20" s="336">
        <f t="shared" si="48"/>
        <v>0</v>
      </c>
      <c r="FU20" s="336">
        <f t="shared" si="49"/>
        <v>0</v>
      </c>
      <c r="FV20" s="336">
        <f t="shared" si="50"/>
        <v>0</v>
      </c>
      <c r="FW20" s="336">
        <f t="shared" si="51"/>
        <v>0</v>
      </c>
      <c r="FX20" s="336">
        <f t="shared" si="52"/>
        <v>0</v>
      </c>
      <c r="FY20" s="336">
        <f t="shared" si="53"/>
        <v>14</v>
      </c>
      <c r="FZ20" s="336">
        <f t="shared" si="54"/>
        <v>14</v>
      </c>
      <c r="GA20" s="336">
        <f t="shared" si="55"/>
        <v>0</v>
      </c>
      <c r="GB20" s="336">
        <f t="shared" si="56"/>
        <v>14</v>
      </c>
      <c r="GC20" s="336">
        <f t="shared" si="57"/>
        <v>0</v>
      </c>
      <c r="GD20" s="336">
        <f t="shared" si="58"/>
        <v>0</v>
      </c>
      <c r="GE20" s="336">
        <f t="shared" si="59"/>
        <v>0</v>
      </c>
      <c r="GF20" s="336">
        <f t="shared" si="60"/>
        <v>0</v>
      </c>
      <c r="GG20" s="336">
        <f t="shared" si="61"/>
        <v>0</v>
      </c>
      <c r="GH20" s="336">
        <f t="shared" si="62"/>
        <v>0</v>
      </c>
      <c r="GI20" s="336">
        <f t="shared" si="63"/>
        <v>0</v>
      </c>
      <c r="GJ20" s="336">
        <f t="shared" si="64"/>
        <v>0</v>
      </c>
      <c r="GK20" s="336">
        <f t="shared" si="65"/>
        <v>0</v>
      </c>
      <c r="GL20" s="336">
        <f t="shared" si="67"/>
        <v>0</v>
      </c>
      <c r="GM20" s="336">
        <f t="shared" si="66"/>
        <v>0</v>
      </c>
    </row>
    <row r="21" spans="1:195" ht="20.100000000000001" customHeight="1">
      <c r="A21" s="337">
        <f t="shared" si="220"/>
        <v>13</v>
      </c>
      <c r="B21" s="337" t="s">
        <v>1111</v>
      </c>
      <c r="C21" s="372" t="str">
        <f t="shared" si="209"/>
        <v>PMCC-2</v>
      </c>
      <c r="D21" s="372" t="s">
        <v>1112</v>
      </c>
      <c r="E21" s="569" t="s">
        <v>387</v>
      </c>
      <c r="F21" s="337" t="s">
        <v>28</v>
      </c>
      <c r="G21" s="337" t="s">
        <v>350</v>
      </c>
      <c r="H21" s="583">
        <v>200</v>
      </c>
      <c r="I21" s="337" t="s">
        <v>330</v>
      </c>
      <c r="J21" s="337" t="s">
        <v>331</v>
      </c>
      <c r="K21" s="349">
        <v>400</v>
      </c>
      <c r="L21" s="343">
        <v>0.86</v>
      </c>
      <c r="M21" s="350">
        <v>0.96400000000000008</v>
      </c>
      <c r="N21" s="342">
        <f t="shared" si="221"/>
        <v>348.21432352041222</v>
      </c>
      <c r="O21" s="342">
        <f t="shared" si="222"/>
        <v>2089.2859411224736</v>
      </c>
      <c r="P21" s="343">
        <f t="shared" si="223"/>
        <v>0.2</v>
      </c>
      <c r="Q21" s="350">
        <v>65</v>
      </c>
      <c r="R21" s="350">
        <v>0</v>
      </c>
      <c r="S21" s="350">
        <f t="shared" si="224"/>
        <v>0</v>
      </c>
      <c r="T21" s="343" t="s">
        <v>332</v>
      </c>
      <c r="U21" s="350" t="s">
        <v>333</v>
      </c>
      <c r="V21" s="343">
        <v>185</v>
      </c>
      <c r="W21" s="343" t="str">
        <f t="shared" si="225"/>
        <v>3C X 185</v>
      </c>
      <c r="X21" s="343" t="str">
        <f t="shared" si="226"/>
        <v>3C X 185+PE</v>
      </c>
      <c r="Y21" s="343" t="s">
        <v>358</v>
      </c>
      <c r="Z21" s="344">
        <f>IF(T21="AIR",VLOOKUP(W21,'Catalogue Aluminium'!$B$9:$G$93,2,FALSE),IF(T21="GROUND",VLOOKUP(W21,'Catalogue Aluminium'!$B$9:$G$93,3,FALSE),IF(T21="DUCT",VLOOKUP(W21,'Catalogue Aluminium'!$B$9:$G$93,4,FALSE),IF(T21="TRENCH",VLOOKUP(W21,'Catalogue Aluminium'!$B$9:$G$93,2,FALSE)))))</f>
        <v>338</v>
      </c>
      <c r="AA21" s="345">
        <f>VLOOKUP(W21,'Catalogue Aluminium'!$B$9:$G$93,5,FALSE)</f>
        <v>0.21</v>
      </c>
      <c r="AB21" s="345">
        <f>VLOOKUP(W21,'Catalogue Aluminium'!$B$9:$G$93,6,FALSE)</f>
        <v>7.2700000000000001E-2</v>
      </c>
      <c r="AC21" s="343">
        <v>22</v>
      </c>
      <c r="AD21" s="343">
        <f>95+14+14</f>
        <v>123</v>
      </c>
      <c r="AE21" s="343">
        <v>8</v>
      </c>
      <c r="AF21" s="343">
        <v>5</v>
      </c>
      <c r="AG21" s="343">
        <f t="shared" si="134"/>
        <v>16</v>
      </c>
      <c r="AH21" s="347">
        <f t="shared" si="227"/>
        <v>174</v>
      </c>
      <c r="AI21" s="344">
        <f>IF(T21="AIR",'Catalogue Aluminium'!$K$9,IF(T21="TRENCH",'Catalogue Aluminium'!$K$12,"NA"))</f>
        <v>0.89</v>
      </c>
      <c r="AJ21" s="342">
        <f>IF(T21="Air",(IF(U21="1C",'Catalogue Aluminium'!$L$9,'Catalogue Aluminium'!$M$9)),IF(T21="DUCT",(IF($U21="1C",'Catalogue Aluminium'!$L$10,'Catalogue Aluminium'!$M$10)),IF(T21="GROUND",(IF($U21="1C",'Catalogue Aluminium'!$L$11,'Catalogue Aluminium'!$M$11)),IF(T21="TRENCH",(IF($U21="1C",'Catalogue Aluminium'!$L$12,'Catalogue Aluminium'!$M$12))))))</f>
        <v>0.66</v>
      </c>
      <c r="AK21" s="344" t="str">
        <f>IF(T21="Air",'Catalogue Aluminium'!$N$9,IF(T21="GROUND",'Catalogue Aluminium'!$N$10,IF(T21="DUCT",'Catalogue Aluminium'!$N$11,IF(T21="TRENCH",'Catalogue Aluminium'!$N$12,"NA"))))</f>
        <v>NA</v>
      </c>
      <c r="AL21" s="344" t="str">
        <f>IF(T21="Air",(IF(U21="1C",'Catalogue Aluminium'!$O$9,'Catalogue Aluminium'!$P$9)),IF(T21="DUCT",(IF($U21="1C",'Catalogue Aluminium'!$O$10,'Catalogue Aluminium'!$P$10)),IF(T21="GROUND",(IF($U21="1C",'Catalogue Aluminium'!$O$11,'Catalogue Aluminium'!$P$11)),IF(T21="TRENCH",(IF($U21="1C",'Catalogue Aluminium'!$O$12,'Catalogue Aluminium'!$P$12))))))</f>
        <v>NA</v>
      </c>
      <c r="AM21" s="344" t="str">
        <f>IF(T21="AIR","NA",IF(T21="TRENCH","NA",IF(T21="DUCT",IF(U21="1C",VLOOKUP(V21,'Catalogue Aluminium'!$Q$9:$S$28,2,FALSE),VLOOKUP(V21,'Catalogue Aluminium'!$Q$9:$S$28,3)),IF(T21="GROUND",IF(U21="1C",VLOOKUP(V21,'Catalogue Aluminium'!$Q$9:$S$28,2,FALSE),VLOOKUP(V21,'Catalogue Aluminium'!$Q$9:$S$28,3))))))</f>
        <v>NA</v>
      </c>
      <c r="AN21" s="351">
        <f t="shared" si="228"/>
        <v>0.58740000000000003</v>
      </c>
      <c r="AO21" s="350">
        <f t="shared" si="229"/>
        <v>198.5412</v>
      </c>
      <c r="AP21" s="349">
        <f t="shared" si="230"/>
        <v>2</v>
      </c>
      <c r="AQ21" s="350" t="str">
        <f t="shared" si="231"/>
        <v>YES</v>
      </c>
      <c r="AR21" s="351">
        <f t="shared" si="136"/>
        <v>2.8557600235375626</v>
      </c>
      <c r="AS21" s="343" t="str">
        <f t="shared" si="137"/>
        <v>YES</v>
      </c>
      <c r="AT21" s="351">
        <f t="shared" si="210"/>
        <v>8.9121755720093976</v>
      </c>
      <c r="AU21" s="343" t="str">
        <f t="shared" si="211"/>
        <v>YES</v>
      </c>
      <c r="AV21" s="354" t="str">
        <f t="shared" si="212"/>
        <v>2R x 0.6/1kV x 3C x 185 Sqmm</v>
      </c>
      <c r="AW21" s="354" t="str">
        <f t="shared" si="213"/>
        <v>2R x 0.6/1kV x 3C x 185+PE Sqmm</v>
      </c>
      <c r="AX21" s="343">
        <f t="shared" si="214"/>
        <v>348</v>
      </c>
      <c r="AY21" s="355"/>
      <c r="AZ21" s="355">
        <f t="shared" si="215"/>
        <v>4</v>
      </c>
      <c r="BA21" s="356" t="str">
        <f t="shared" si="216"/>
        <v>Q3RR1R1.A</v>
      </c>
      <c r="BB21" s="501">
        <f>VLOOKUP(W21,'Catalogue Aluminium'!$B$9:$H$93,7,FALSE)</f>
        <v>43</v>
      </c>
      <c r="BC21" s="328">
        <f t="shared" si="217"/>
        <v>86</v>
      </c>
      <c r="BE21" s="336"/>
      <c r="BF21" s="336"/>
      <c r="BG21" s="336"/>
      <c r="BH21" s="336"/>
      <c r="BI21" s="336"/>
      <c r="BJ21" s="336"/>
      <c r="BK21" s="336"/>
      <c r="BL21" s="336"/>
      <c r="BM21" s="336"/>
      <c r="BN21" s="336"/>
      <c r="BO21" s="336"/>
      <c r="BP21" s="336"/>
      <c r="BQ21" s="336"/>
      <c r="BR21" s="336"/>
      <c r="BS21" s="336"/>
      <c r="BT21" s="336"/>
      <c r="BU21" s="336"/>
      <c r="BV21" s="336"/>
      <c r="BW21" s="336"/>
      <c r="BX21" s="336"/>
      <c r="BY21" s="336"/>
      <c r="BZ21" s="336"/>
      <c r="CA21" s="336"/>
      <c r="CB21" s="336"/>
      <c r="CC21" s="336"/>
      <c r="CD21" s="336"/>
      <c r="CE21" s="336"/>
      <c r="CF21" s="336"/>
      <c r="CG21" s="336"/>
      <c r="CH21" s="336"/>
      <c r="CI21" s="336"/>
      <c r="CJ21" s="336"/>
      <c r="CK21" s="336"/>
      <c r="CL21" s="336"/>
      <c r="CM21" s="336"/>
      <c r="CN21" s="336"/>
      <c r="CO21" s="336"/>
      <c r="CP21" s="336"/>
      <c r="CQ21" s="336"/>
      <c r="CR21" s="336"/>
      <c r="CS21" s="336"/>
      <c r="CT21" s="336"/>
      <c r="CU21" s="336"/>
      <c r="CV21" s="336"/>
      <c r="CW21" s="336"/>
      <c r="CX21" s="336"/>
      <c r="CY21" s="336"/>
      <c r="CZ21" s="336"/>
      <c r="DA21" s="336">
        <v>1</v>
      </c>
      <c r="DB21" s="336"/>
      <c r="DC21" s="336"/>
      <c r="DD21" s="336"/>
      <c r="DE21" s="336"/>
      <c r="DF21" s="336"/>
      <c r="DG21" s="336">
        <v>1</v>
      </c>
      <c r="DH21" s="336">
        <v>1</v>
      </c>
      <c r="DI21" s="336"/>
      <c r="DJ21" s="336">
        <v>1</v>
      </c>
      <c r="DK21" s="336"/>
      <c r="DL21" s="336"/>
      <c r="DM21" s="336"/>
      <c r="DN21" s="336"/>
      <c r="DO21" s="336"/>
      <c r="DP21" s="336"/>
      <c r="DQ21" s="336"/>
      <c r="DR21" s="336"/>
      <c r="DS21" s="336"/>
      <c r="DT21" s="336"/>
      <c r="DU21" s="336"/>
      <c r="DW21" s="336">
        <f t="shared" si="80"/>
        <v>0</v>
      </c>
      <c r="DX21" s="336">
        <f t="shared" si="1"/>
        <v>0</v>
      </c>
      <c r="DY21" s="336">
        <f t="shared" si="2"/>
        <v>0</v>
      </c>
      <c r="DZ21" s="336">
        <f t="shared" si="3"/>
        <v>0</v>
      </c>
      <c r="EA21" s="336">
        <f t="shared" si="4"/>
        <v>0</v>
      </c>
      <c r="EB21" s="336">
        <f t="shared" si="5"/>
        <v>0</v>
      </c>
      <c r="EC21" s="336">
        <f t="shared" si="6"/>
        <v>0</v>
      </c>
      <c r="ED21" s="336">
        <f t="shared" si="7"/>
        <v>0</v>
      </c>
      <c r="EE21" s="336">
        <f t="shared" si="8"/>
        <v>0</v>
      </c>
      <c r="EF21" s="336">
        <f t="shared" si="9"/>
        <v>0</v>
      </c>
      <c r="EG21" s="336">
        <f t="shared" si="10"/>
        <v>0</v>
      </c>
      <c r="EH21" s="336">
        <f t="shared" si="11"/>
        <v>0</v>
      </c>
      <c r="EI21" s="336">
        <f t="shared" si="12"/>
        <v>0</v>
      </c>
      <c r="EJ21" s="336">
        <f t="shared" si="13"/>
        <v>0</v>
      </c>
      <c r="EK21" s="336">
        <f t="shared" si="14"/>
        <v>0</v>
      </c>
      <c r="EL21" s="336">
        <f t="shared" si="15"/>
        <v>0</v>
      </c>
      <c r="EM21" s="336">
        <f t="shared" si="16"/>
        <v>0</v>
      </c>
      <c r="EN21" s="336">
        <f t="shared" si="17"/>
        <v>0</v>
      </c>
      <c r="EO21" s="336">
        <f t="shared" si="18"/>
        <v>0</v>
      </c>
      <c r="EP21" s="336">
        <f t="shared" si="19"/>
        <v>0</v>
      </c>
      <c r="EQ21" s="336">
        <f t="shared" si="20"/>
        <v>0</v>
      </c>
      <c r="ER21" s="336">
        <f t="shared" si="21"/>
        <v>0</v>
      </c>
      <c r="ES21" s="336">
        <f t="shared" si="22"/>
        <v>0</v>
      </c>
      <c r="ET21" s="336">
        <f t="shared" si="22"/>
        <v>0</v>
      </c>
      <c r="EU21" s="336">
        <f t="shared" si="23"/>
        <v>0</v>
      </c>
      <c r="EV21" s="336">
        <f t="shared" si="24"/>
        <v>0</v>
      </c>
      <c r="EW21" s="336">
        <f t="shared" si="25"/>
        <v>0</v>
      </c>
      <c r="EX21" s="336">
        <f t="shared" si="26"/>
        <v>0</v>
      </c>
      <c r="EY21" s="336">
        <f t="shared" si="27"/>
        <v>0</v>
      </c>
      <c r="EZ21" s="336">
        <f t="shared" si="28"/>
        <v>0</v>
      </c>
      <c r="FA21" s="336">
        <f t="shared" si="29"/>
        <v>0</v>
      </c>
      <c r="FB21" s="336">
        <f t="shared" si="30"/>
        <v>0</v>
      </c>
      <c r="FC21" s="336">
        <f t="shared" si="31"/>
        <v>0</v>
      </c>
      <c r="FD21" s="336">
        <f t="shared" si="32"/>
        <v>0</v>
      </c>
      <c r="FE21" s="336">
        <f t="shared" si="33"/>
        <v>0</v>
      </c>
      <c r="FF21" s="336">
        <f t="shared" si="34"/>
        <v>0</v>
      </c>
      <c r="FG21" s="336">
        <f t="shared" si="35"/>
        <v>0</v>
      </c>
      <c r="FH21" s="336">
        <f t="shared" si="36"/>
        <v>0</v>
      </c>
      <c r="FI21" s="336">
        <f t="shared" si="37"/>
        <v>0</v>
      </c>
      <c r="FJ21" s="336">
        <f t="shared" si="38"/>
        <v>0</v>
      </c>
      <c r="FK21" s="336">
        <f t="shared" si="39"/>
        <v>0</v>
      </c>
      <c r="FL21" s="336">
        <f t="shared" si="40"/>
        <v>0</v>
      </c>
      <c r="FM21" s="336">
        <f t="shared" si="41"/>
        <v>0</v>
      </c>
      <c r="FN21" s="336">
        <f t="shared" si="42"/>
        <v>0</v>
      </c>
      <c r="FO21" s="336">
        <f t="shared" si="43"/>
        <v>0</v>
      </c>
      <c r="FP21" s="336">
        <f t="shared" si="44"/>
        <v>0</v>
      </c>
      <c r="FQ21" s="336">
        <f t="shared" si="45"/>
        <v>0</v>
      </c>
      <c r="FR21" s="336">
        <f t="shared" si="46"/>
        <v>0</v>
      </c>
      <c r="FS21" s="336">
        <f t="shared" si="47"/>
        <v>86</v>
      </c>
      <c r="FT21" s="336">
        <f t="shared" si="48"/>
        <v>0</v>
      </c>
      <c r="FU21" s="336">
        <f t="shared" si="49"/>
        <v>0</v>
      </c>
      <c r="FV21" s="336">
        <f t="shared" si="50"/>
        <v>0</v>
      </c>
      <c r="FW21" s="336">
        <f t="shared" si="51"/>
        <v>0</v>
      </c>
      <c r="FX21" s="336">
        <f t="shared" si="52"/>
        <v>0</v>
      </c>
      <c r="FY21" s="336">
        <f t="shared" si="53"/>
        <v>86</v>
      </c>
      <c r="FZ21" s="336">
        <f t="shared" si="54"/>
        <v>86</v>
      </c>
      <c r="GA21" s="336">
        <f t="shared" si="55"/>
        <v>0</v>
      </c>
      <c r="GB21" s="336">
        <f t="shared" si="56"/>
        <v>86</v>
      </c>
      <c r="GC21" s="336">
        <f t="shared" si="57"/>
        <v>0</v>
      </c>
      <c r="GD21" s="336">
        <f t="shared" si="58"/>
        <v>0</v>
      </c>
      <c r="GE21" s="336">
        <f t="shared" si="59"/>
        <v>0</v>
      </c>
      <c r="GF21" s="336">
        <f t="shared" si="60"/>
        <v>0</v>
      </c>
      <c r="GG21" s="336">
        <f t="shared" si="61"/>
        <v>0</v>
      </c>
      <c r="GH21" s="336">
        <f t="shared" si="62"/>
        <v>0</v>
      </c>
      <c r="GI21" s="336">
        <f t="shared" si="63"/>
        <v>0</v>
      </c>
      <c r="GJ21" s="336">
        <f t="shared" si="64"/>
        <v>0</v>
      </c>
      <c r="GK21" s="336">
        <f t="shared" si="65"/>
        <v>0</v>
      </c>
      <c r="GL21" s="336">
        <f t="shared" si="67"/>
        <v>0</v>
      </c>
      <c r="GM21" s="336">
        <f t="shared" si="66"/>
        <v>0</v>
      </c>
    </row>
    <row r="22" spans="1:195">
      <c r="A22" s="337">
        <f t="shared" si="220"/>
        <v>14</v>
      </c>
      <c r="B22" s="337" t="s">
        <v>527</v>
      </c>
      <c r="C22" s="372" t="str">
        <f t="shared" si="209"/>
        <v>PMCC-2</v>
      </c>
      <c r="D22" s="372" t="s">
        <v>1113</v>
      </c>
      <c r="E22" s="569" t="s">
        <v>387</v>
      </c>
      <c r="F22" s="337" t="s">
        <v>29</v>
      </c>
      <c r="G22" s="337" t="s">
        <v>329</v>
      </c>
      <c r="H22" s="350">
        <v>0.12</v>
      </c>
      <c r="I22" s="337" t="s">
        <v>330</v>
      </c>
      <c r="J22" s="349" t="s">
        <v>357</v>
      </c>
      <c r="K22" s="349">
        <v>230</v>
      </c>
      <c r="L22" s="343">
        <v>0.85</v>
      </c>
      <c r="M22" s="350">
        <v>0.95</v>
      </c>
      <c r="N22" s="342">
        <f>IF(I22="kVA",IF(J22="3Ph",(H22*1000/(1.732*M22*K22)),(H22*1000/(M22*K22))),IF(I22="kW",IF(J22="3Ph",(H22*1000/(1.732*M22*K22*L22)),(H22*1000/(M22*K22*L22)))))</f>
        <v>0.64611657019787327</v>
      </c>
      <c r="O22" s="342">
        <f>IF(G22="MOTOR",(6*N22),IF(G22="VFD",(1*N22),0))</f>
        <v>0</v>
      </c>
      <c r="P22" s="343" t="str">
        <f>IF(G22="MOTOR",0.2,"0.00")</f>
        <v>0.00</v>
      </c>
      <c r="Q22" s="350">
        <v>65</v>
      </c>
      <c r="R22" s="350">
        <v>0</v>
      </c>
      <c r="S22" s="350">
        <f>(Q22*1000*SQRT(R22)/143)</f>
        <v>0</v>
      </c>
      <c r="T22" s="343" t="s">
        <v>332</v>
      </c>
      <c r="U22" s="350" t="s">
        <v>333</v>
      </c>
      <c r="V22" s="343">
        <v>2.5</v>
      </c>
      <c r="W22" s="343" t="str">
        <f>CONCATENATE(U22," X ",V22)</f>
        <v>3C X 2.5</v>
      </c>
      <c r="X22" s="343" t="str">
        <f>(IF(J22="1Ph",W22,IF(J22="3Ph",(IF(G22="MOTOR",(CONCATENATE(W22,"+PE")),W22)))))</f>
        <v>3C X 2.5</v>
      </c>
      <c r="Y22" s="343" t="s">
        <v>358</v>
      </c>
      <c r="Z22" s="344">
        <f>IF(T22="AIR",VLOOKUP(W22,'Catalogue Aluminium'!$B$9:$G$93,2,FALSE),IF(T22="GROUND",VLOOKUP(W22,'Catalogue Aluminium'!$B$9:$G$93,3,FALSE),IF(T22="DUCT",VLOOKUP(W22,'Catalogue Aluminium'!$B$9:$G$93,4,FALSE),IF(T22="TRENCH",VLOOKUP(W22,'Catalogue Aluminium'!$B$9:$G$93,2,FALSE)))))</f>
        <v>28</v>
      </c>
      <c r="AA22" s="345">
        <f>VLOOKUP(W22,'Catalogue Aluminium'!$B$9:$G$93,5,FALSE)</f>
        <v>9.48</v>
      </c>
      <c r="AB22" s="345">
        <f>VLOOKUP(W22,'Catalogue Aluminium'!$B$9:$G$93,6,FALSE)</f>
        <v>0.1007</v>
      </c>
      <c r="AC22" s="343">
        <f t="shared" si="219"/>
        <v>12</v>
      </c>
      <c r="AD22" s="343">
        <f>95+14+14</f>
        <v>123</v>
      </c>
      <c r="AE22" s="343">
        <v>10</v>
      </c>
      <c r="AF22" s="343">
        <v>8</v>
      </c>
      <c r="AG22" s="343">
        <f>ROUNDUP((SUM(AC22:AF22)*0.1),0)</f>
        <v>16</v>
      </c>
      <c r="AH22" s="347">
        <f>SUM(AC22:AG22)</f>
        <v>169</v>
      </c>
      <c r="AI22" s="344">
        <f>IF(T22="AIR",'Catalogue Aluminium'!$K$9,IF(T22="TRENCH",'Catalogue Aluminium'!$K$12,"NA"))</f>
        <v>0.89</v>
      </c>
      <c r="AJ22" s="342">
        <f>IF(T22="Air",(IF(U22="1C",'Catalogue Aluminium'!$L$9,'Catalogue Aluminium'!$M$9)),IF(T22="DUCT",(IF($U22="1C",'Catalogue Aluminium'!$L$10,'Catalogue Aluminium'!$M$10)),IF(T22="GROUND",(IF($U22="1C",'Catalogue Aluminium'!$L$11,'Catalogue Aluminium'!$M$11)),IF(T22="TRENCH",(IF($U22="1C",'Catalogue Aluminium'!$L$12,'Catalogue Aluminium'!$M$12))))))</f>
        <v>0.66</v>
      </c>
      <c r="AK22" s="344" t="str">
        <f>IF(T22="Air",'Catalogue Aluminium'!$N$9,IF(T22="GROUND",'Catalogue Aluminium'!$N$10,IF(T22="DUCT",'Catalogue Aluminium'!$N$11,IF(T22="TRENCH",'Catalogue Aluminium'!$N$12,"NA"))))</f>
        <v>NA</v>
      </c>
      <c r="AL22" s="344" t="str">
        <f>IF(T22="Air",(IF(U22="1C",'Catalogue Aluminium'!$O$9,'Catalogue Aluminium'!$P$9)),IF(T22="DUCT",(IF($U22="1C",'Catalogue Aluminium'!$O$10,'Catalogue Aluminium'!$P$10)),IF(T22="GROUND",(IF($U22="1C",'Catalogue Aluminium'!$O$11,'Catalogue Aluminium'!$P$11)),IF(T22="TRENCH",(IF($U22="1C",'Catalogue Aluminium'!$O$12,'Catalogue Aluminium'!$P$12))))))</f>
        <v>NA</v>
      </c>
      <c r="AM22" s="344" t="str">
        <f>IF(T22="AIR","NA",IF(T22="TRENCH","NA",IF(T22="DUCT",IF(U22="1C",VLOOKUP(V22,'Catalogue Aluminium'!$Q$9:$S$28,2,FALSE),VLOOKUP(V22,'Catalogue Aluminium'!$Q$9:$S$28,3)),IF(T22="GROUND",IF(U22="1C",VLOOKUP(V22,'Catalogue Aluminium'!$Q$9:$S$28,2,FALSE),VLOOKUP(V22,'Catalogue Aluminium'!$Q$9:$S$28,3))))))</f>
        <v>NA</v>
      </c>
      <c r="AN22" s="351">
        <f>IF(T22="AIR",AI22*AJ22,IF(T22="TRENCH",AI22*AJ22,IF(T22="DUCT",AJ22*AK22*AL22*AM22,IF(T22="GROUND",AJ22*AK22*AL22*AM22))))</f>
        <v>0.58740000000000003</v>
      </c>
      <c r="AO22" s="350">
        <f>Z22*AN22</f>
        <v>16.447200000000002</v>
      </c>
      <c r="AP22" s="349">
        <f>CEILING(((N22)/AO22),1)</f>
        <v>1</v>
      </c>
      <c r="AQ22" s="350" t="str">
        <f>IF(AO22*AP22&gt;=N22,"YES","NO")</f>
        <v>YES</v>
      </c>
      <c r="AR22" s="351">
        <f>SQRT(3)*AH22*N22*((AA22*L22)+(AB22*SIN(ACOS(L22))))*100/(AP22*K22*1000)</f>
        <v>0.66697152629382672</v>
      </c>
      <c r="AS22" s="343" t="str">
        <f>IF(G22="INCOMER",(IF(AR22&lt;=2,"YES","NO")),IF(G22="POWER",(IF(AR22&lt;=2.5,"YES","NO")),IF(G22="MOTOR",(IF(AR22&lt;=3,"YES","NO")))))</f>
        <v>YES</v>
      </c>
      <c r="AT22" s="351" t="str">
        <f t="shared" si="210"/>
        <v>NA</v>
      </c>
      <c r="AU22" s="343" t="str">
        <f t="shared" si="211"/>
        <v>NA</v>
      </c>
      <c r="AV22" s="354" t="str">
        <f t="shared" si="212"/>
        <v>1R x 0.6/1kV x 3C x 2.5 Sqmm</v>
      </c>
      <c r="AW22" s="354" t="str">
        <f t="shared" si="213"/>
        <v>1R x 0.6/1kV x 3C x 2.5 Sqmm</v>
      </c>
      <c r="AX22" s="343">
        <f t="shared" si="214"/>
        <v>169</v>
      </c>
      <c r="AY22" s="355"/>
      <c r="AZ22" s="355">
        <f t="shared" si="215"/>
        <v>2</v>
      </c>
      <c r="BA22" s="356" t="str">
        <f t="shared" si="216"/>
        <v>Q3RR1R1.A</v>
      </c>
      <c r="BB22" s="501">
        <f>VLOOKUP(W22,'Catalogue Aluminium'!$B$9:$H$93,7,FALSE)</f>
        <v>14</v>
      </c>
      <c r="BC22" s="328">
        <f t="shared" si="217"/>
        <v>14</v>
      </c>
      <c r="BE22" s="336"/>
      <c r="BF22" s="336"/>
      <c r="BG22" s="336"/>
      <c r="BH22" s="336"/>
      <c r="BI22" s="336"/>
      <c r="BJ22" s="336"/>
      <c r="BK22" s="336"/>
      <c r="BL22" s="336"/>
      <c r="BM22" s="336"/>
      <c r="BN22" s="336"/>
      <c r="BO22" s="336"/>
      <c r="BP22" s="336"/>
      <c r="BQ22" s="336"/>
      <c r="BR22" s="336"/>
      <c r="BS22" s="336"/>
      <c r="BT22" s="336"/>
      <c r="BU22" s="336"/>
      <c r="BV22" s="336"/>
      <c r="BW22" s="336"/>
      <c r="BX22" s="336"/>
      <c r="BY22" s="336"/>
      <c r="BZ22" s="336"/>
      <c r="CA22" s="336"/>
      <c r="CB22" s="336"/>
      <c r="CC22" s="336"/>
      <c r="CD22" s="336"/>
      <c r="CE22" s="336"/>
      <c r="CF22" s="336"/>
      <c r="CG22" s="336"/>
      <c r="CH22" s="336"/>
      <c r="CI22" s="336"/>
      <c r="CJ22" s="336"/>
      <c r="CK22" s="336"/>
      <c r="CL22" s="336"/>
      <c r="CM22" s="336"/>
      <c r="CN22" s="336"/>
      <c r="CO22" s="336"/>
      <c r="CP22" s="336"/>
      <c r="CQ22" s="336"/>
      <c r="CR22" s="336"/>
      <c r="CS22" s="336"/>
      <c r="CT22" s="336"/>
      <c r="CU22" s="336"/>
      <c r="CV22" s="336"/>
      <c r="CW22" s="336"/>
      <c r="CX22" s="336"/>
      <c r="CY22" s="336"/>
      <c r="CZ22" s="336"/>
      <c r="DA22" s="336">
        <v>1</v>
      </c>
      <c r="DB22" s="336"/>
      <c r="DC22" s="336"/>
      <c r="DD22" s="336"/>
      <c r="DE22" s="336"/>
      <c r="DF22" s="336"/>
      <c r="DG22" s="336">
        <v>1</v>
      </c>
      <c r="DH22" s="336">
        <v>1</v>
      </c>
      <c r="DI22" s="336"/>
      <c r="DJ22" s="336">
        <v>1</v>
      </c>
      <c r="DK22" s="336"/>
      <c r="DL22" s="336"/>
      <c r="DM22" s="336"/>
      <c r="DN22" s="336"/>
      <c r="DO22" s="336"/>
      <c r="DP22" s="336"/>
      <c r="DQ22" s="336"/>
      <c r="DR22" s="336"/>
      <c r="DS22" s="336"/>
      <c r="DT22" s="336"/>
      <c r="DU22" s="336"/>
      <c r="DW22" s="336">
        <f t="shared" ref="DW22:ES22" si="234">IF(BE22=1,($BC22*BE22),0)</f>
        <v>0</v>
      </c>
      <c r="DX22" s="336">
        <f t="shared" si="234"/>
        <v>0</v>
      </c>
      <c r="DY22" s="336">
        <f t="shared" si="234"/>
        <v>0</v>
      </c>
      <c r="DZ22" s="336">
        <f t="shared" si="234"/>
        <v>0</v>
      </c>
      <c r="EA22" s="336">
        <f t="shared" si="234"/>
        <v>0</v>
      </c>
      <c r="EB22" s="336">
        <f t="shared" si="234"/>
        <v>0</v>
      </c>
      <c r="EC22" s="336">
        <f t="shared" si="234"/>
        <v>0</v>
      </c>
      <c r="ED22" s="336">
        <f t="shared" si="234"/>
        <v>0</v>
      </c>
      <c r="EE22" s="336">
        <f t="shared" si="234"/>
        <v>0</v>
      </c>
      <c r="EF22" s="336">
        <f t="shared" si="234"/>
        <v>0</v>
      </c>
      <c r="EG22" s="336">
        <f t="shared" si="234"/>
        <v>0</v>
      </c>
      <c r="EH22" s="336">
        <f t="shared" si="234"/>
        <v>0</v>
      </c>
      <c r="EI22" s="336">
        <f t="shared" si="234"/>
        <v>0</v>
      </c>
      <c r="EJ22" s="336">
        <f t="shared" si="234"/>
        <v>0</v>
      </c>
      <c r="EK22" s="336">
        <f t="shared" si="234"/>
        <v>0</v>
      </c>
      <c r="EL22" s="336">
        <f t="shared" si="234"/>
        <v>0</v>
      </c>
      <c r="EM22" s="336">
        <f t="shared" si="234"/>
        <v>0</v>
      </c>
      <c r="EN22" s="336">
        <f t="shared" si="234"/>
        <v>0</v>
      </c>
      <c r="EO22" s="336">
        <f t="shared" si="234"/>
        <v>0</v>
      </c>
      <c r="EP22" s="336">
        <f t="shared" si="234"/>
        <v>0</v>
      </c>
      <c r="EQ22" s="336">
        <f t="shared" si="234"/>
        <v>0</v>
      </c>
      <c r="ER22" s="336">
        <f t="shared" si="234"/>
        <v>0</v>
      </c>
      <c r="ES22" s="336">
        <f t="shared" si="234"/>
        <v>0</v>
      </c>
      <c r="ET22" s="336">
        <f t="shared" si="22"/>
        <v>0</v>
      </c>
      <c r="EU22" s="336">
        <f t="shared" ref="EU22:FC22" si="235">IF(CC22=1,($BC22*CC22),0)</f>
        <v>0</v>
      </c>
      <c r="EV22" s="336">
        <f t="shared" si="235"/>
        <v>0</v>
      </c>
      <c r="EW22" s="336">
        <f t="shared" si="235"/>
        <v>0</v>
      </c>
      <c r="EX22" s="336">
        <f t="shared" si="235"/>
        <v>0</v>
      </c>
      <c r="EY22" s="336">
        <f t="shared" si="235"/>
        <v>0</v>
      </c>
      <c r="EZ22" s="336">
        <f t="shared" si="235"/>
        <v>0</v>
      </c>
      <c r="FA22" s="336">
        <f t="shared" si="235"/>
        <v>0</v>
      </c>
      <c r="FB22" s="336">
        <f t="shared" si="235"/>
        <v>0</v>
      </c>
      <c r="FC22" s="336">
        <f t="shared" si="235"/>
        <v>0</v>
      </c>
      <c r="FD22" s="336">
        <f t="shared" si="32"/>
        <v>0</v>
      </c>
      <c r="FE22" s="336">
        <f t="shared" si="33"/>
        <v>0</v>
      </c>
      <c r="FF22" s="336">
        <f t="shared" si="34"/>
        <v>0</v>
      </c>
      <c r="FG22" s="336">
        <f t="shared" si="35"/>
        <v>0</v>
      </c>
      <c r="FH22" s="336">
        <f t="shared" si="36"/>
        <v>0</v>
      </c>
      <c r="FI22" s="336">
        <f t="shared" si="37"/>
        <v>0</v>
      </c>
      <c r="FJ22" s="336">
        <f t="shared" si="38"/>
        <v>0</v>
      </c>
      <c r="FK22" s="336">
        <f t="shared" si="39"/>
        <v>0</v>
      </c>
      <c r="FL22" s="336">
        <f t="shared" si="40"/>
        <v>0</v>
      </c>
      <c r="FM22" s="336">
        <f t="shared" si="41"/>
        <v>0</v>
      </c>
      <c r="FN22" s="336">
        <f t="shared" si="42"/>
        <v>0</v>
      </c>
      <c r="FO22" s="336">
        <f t="shared" si="43"/>
        <v>0</v>
      </c>
      <c r="FP22" s="336">
        <f t="shared" si="44"/>
        <v>0</v>
      </c>
      <c r="FQ22" s="336">
        <f t="shared" si="45"/>
        <v>0</v>
      </c>
      <c r="FR22" s="336">
        <f t="shared" si="46"/>
        <v>0</v>
      </c>
      <c r="FS22" s="336">
        <f t="shared" si="47"/>
        <v>14</v>
      </c>
      <c r="FT22" s="336">
        <f t="shared" si="48"/>
        <v>0</v>
      </c>
      <c r="FU22" s="336">
        <f t="shared" si="49"/>
        <v>0</v>
      </c>
      <c r="FV22" s="336">
        <f t="shared" si="50"/>
        <v>0</v>
      </c>
      <c r="FW22" s="336">
        <f t="shared" si="51"/>
        <v>0</v>
      </c>
      <c r="FX22" s="336">
        <f t="shared" si="52"/>
        <v>0</v>
      </c>
      <c r="FY22" s="336">
        <f t="shared" si="53"/>
        <v>14</v>
      </c>
      <c r="FZ22" s="336">
        <f t="shared" si="54"/>
        <v>14</v>
      </c>
      <c r="GA22" s="336">
        <f t="shared" si="55"/>
        <v>0</v>
      </c>
      <c r="GB22" s="336">
        <f t="shared" si="56"/>
        <v>14</v>
      </c>
      <c r="GC22" s="336">
        <f t="shared" si="57"/>
        <v>0</v>
      </c>
      <c r="GD22" s="336">
        <f t="shared" si="58"/>
        <v>0</v>
      </c>
      <c r="GE22" s="336">
        <f t="shared" si="59"/>
        <v>0</v>
      </c>
      <c r="GF22" s="336">
        <f t="shared" si="60"/>
        <v>0</v>
      </c>
      <c r="GG22" s="336">
        <f t="shared" si="61"/>
        <v>0</v>
      </c>
      <c r="GH22" s="336">
        <f t="shared" si="62"/>
        <v>0</v>
      </c>
      <c r="GI22" s="336">
        <f t="shared" si="63"/>
        <v>0</v>
      </c>
      <c r="GJ22" s="336">
        <f t="shared" si="64"/>
        <v>0</v>
      </c>
      <c r="GK22" s="336">
        <f t="shared" si="65"/>
        <v>0</v>
      </c>
      <c r="GL22" s="336">
        <f t="shared" si="67"/>
        <v>0</v>
      </c>
      <c r="GM22" s="336">
        <f t="shared" si="66"/>
        <v>0</v>
      </c>
    </row>
    <row r="23" spans="1:195" ht="20.100000000000001" customHeight="1">
      <c r="A23" s="337">
        <f t="shared" si="220"/>
        <v>15</v>
      </c>
      <c r="B23" s="337" t="s">
        <v>1114</v>
      </c>
      <c r="C23" s="372" t="str">
        <f t="shared" si="209"/>
        <v>PMCC-2</v>
      </c>
      <c r="D23" s="372" t="s">
        <v>1115</v>
      </c>
      <c r="E23" s="569" t="s">
        <v>387</v>
      </c>
      <c r="F23" s="337" t="s">
        <v>29</v>
      </c>
      <c r="G23" s="337" t="s">
        <v>350</v>
      </c>
      <c r="H23" s="583">
        <v>200</v>
      </c>
      <c r="I23" s="337" t="s">
        <v>330</v>
      </c>
      <c r="J23" s="337" t="s">
        <v>331</v>
      </c>
      <c r="K23" s="349">
        <v>400</v>
      </c>
      <c r="L23" s="343">
        <v>0.86</v>
      </c>
      <c r="M23" s="350">
        <v>0.96400000000000008</v>
      </c>
      <c r="N23" s="342">
        <f t="shared" si="221"/>
        <v>348.21432352041222</v>
      </c>
      <c r="O23" s="342">
        <f t="shared" si="222"/>
        <v>2089.2859411224736</v>
      </c>
      <c r="P23" s="343">
        <f t="shared" si="223"/>
        <v>0.2</v>
      </c>
      <c r="Q23" s="350">
        <v>65</v>
      </c>
      <c r="R23" s="350">
        <v>0</v>
      </c>
      <c r="S23" s="350">
        <f t="shared" si="224"/>
        <v>0</v>
      </c>
      <c r="T23" s="343" t="s">
        <v>332</v>
      </c>
      <c r="U23" s="350" t="s">
        <v>333</v>
      </c>
      <c r="V23" s="343">
        <v>185</v>
      </c>
      <c r="W23" s="343" t="str">
        <f t="shared" ref="W23:W29" si="236">CONCATENATE(U23," X ",V23)</f>
        <v>3C X 185</v>
      </c>
      <c r="X23" s="343" t="str">
        <f t="shared" si="226"/>
        <v>3C X 185+PE</v>
      </c>
      <c r="Y23" s="343" t="s">
        <v>358</v>
      </c>
      <c r="Z23" s="344">
        <f>IF(T23="AIR",VLOOKUP(W23,'Catalogue Aluminium'!$B$9:$G$93,2,FALSE),IF(T23="GROUND",VLOOKUP(W23,'Catalogue Aluminium'!$B$9:$G$93,3,FALSE),IF(T23="DUCT",VLOOKUP(W23,'Catalogue Aluminium'!$B$9:$G$93,4,FALSE),IF(T23="TRENCH",VLOOKUP(W23,'Catalogue Aluminium'!$B$9:$G$93,2,FALSE)))))</f>
        <v>338</v>
      </c>
      <c r="AA23" s="345">
        <f>VLOOKUP(W23,'Catalogue Aluminium'!$B$9:$G$93,5,FALSE)</f>
        <v>0.21</v>
      </c>
      <c r="AB23" s="345">
        <f>VLOOKUP(W23,'Catalogue Aluminium'!$B$9:$G$93,6,FALSE)</f>
        <v>7.2700000000000001E-2</v>
      </c>
      <c r="AC23" s="343">
        <f>9.5+2.5</f>
        <v>12</v>
      </c>
      <c r="AD23" s="343">
        <f>95+14+14+14</f>
        <v>137</v>
      </c>
      <c r="AE23" s="343">
        <v>8</v>
      </c>
      <c r="AF23" s="343">
        <v>5</v>
      </c>
      <c r="AG23" s="343">
        <f t="shared" si="134"/>
        <v>17</v>
      </c>
      <c r="AH23" s="347">
        <f t="shared" si="227"/>
        <v>179</v>
      </c>
      <c r="AI23" s="344">
        <f>IF(T23="AIR",'Catalogue Aluminium'!$K$9,IF(T23="TRENCH",'Catalogue Aluminium'!$K$12,"NA"))</f>
        <v>0.89</v>
      </c>
      <c r="AJ23" s="342">
        <f>IF(T23="Air",(IF(U23="1C",'Catalogue Aluminium'!$L$9,'Catalogue Aluminium'!$M$9)),IF(T23="DUCT",(IF($U23="1C",'Catalogue Aluminium'!$L$10,'Catalogue Aluminium'!$M$10)),IF(T23="GROUND",(IF($U23="1C",'Catalogue Aluminium'!$L$11,'Catalogue Aluminium'!$M$11)),IF(T23="TRENCH",(IF($U23="1C",'Catalogue Aluminium'!$L$12,'Catalogue Aluminium'!$M$12))))))</f>
        <v>0.66</v>
      </c>
      <c r="AK23" s="344" t="str">
        <f>IF(T23="Air",'Catalogue Aluminium'!$N$9,IF(T23="GROUND",'Catalogue Aluminium'!$N$10,IF(T23="DUCT",'Catalogue Aluminium'!$N$11,IF(T23="TRENCH",'Catalogue Aluminium'!$N$12,"NA"))))</f>
        <v>NA</v>
      </c>
      <c r="AL23" s="344" t="str">
        <f>IF(T23="Air",(IF(U23="1C",'Catalogue Aluminium'!$O$9,'Catalogue Aluminium'!$P$9)),IF(T23="DUCT",(IF($U23="1C",'Catalogue Aluminium'!$O$10,'Catalogue Aluminium'!$P$10)),IF(T23="GROUND",(IF($U23="1C",'Catalogue Aluminium'!$O$11,'Catalogue Aluminium'!$P$11)),IF(T23="TRENCH",(IF($U23="1C",'Catalogue Aluminium'!$O$12,'Catalogue Aluminium'!$P$12))))))</f>
        <v>NA</v>
      </c>
      <c r="AM23" s="344" t="str">
        <f>IF(T23="AIR","NA",IF(T23="TRENCH","NA",IF(T23="DUCT",IF(U23="1C",VLOOKUP(V23,'Catalogue Aluminium'!$Q$9:$S$28,2,FALSE),VLOOKUP(V23,'Catalogue Aluminium'!$Q$9:$S$28,3)),IF(T23="GROUND",IF(U23="1C",VLOOKUP(V23,'Catalogue Aluminium'!$Q$9:$S$28,2,FALSE),VLOOKUP(V23,'Catalogue Aluminium'!$Q$9:$S$28,3))))))</f>
        <v>NA</v>
      </c>
      <c r="AN23" s="351">
        <f t="shared" si="228"/>
        <v>0.58740000000000003</v>
      </c>
      <c r="AO23" s="350">
        <f t="shared" si="229"/>
        <v>198.5412</v>
      </c>
      <c r="AP23" s="349">
        <f t="shared" si="230"/>
        <v>2</v>
      </c>
      <c r="AQ23" s="350" t="str">
        <f t="shared" si="231"/>
        <v>YES</v>
      </c>
      <c r="AR23" s="351">
        <f t="shared" si="136"/>
        <v>2.9378220931794465</v>
      </c>
      <c r="AS23" s="343" t="str">
        <f t="shared" si="137"/>
        <v>YES</v>
      </c>
      <c r="AT23" s="351">
        <f t="shared" si="210"/>
        <v>9.168272571205069</v>
      </c>
      <c r="AU23" s="343" t="str">
        <f t="shared" si="211"/>
        <v>YES</v>
      </c>
      <c r="AV23" s="354" t="str">
        <f t="shared" si="212"/>
        <v>2R x 0.6/1kV x 3C x 185 Sqmm</v>
      </c>
      <c r="AW23" s="354" t="str">
        <f t="shared" si="213"/>
        <v>2R x 0.6/1kV x 3C x 185+PE Sqmm</v>
      </c>
      <c r="AX23" s="343">
        <f t="shared" si="214"/>
        <v>358</v>
      </c>
      <c r="AY23" s="355"/>
      <c r="AZ23" s="355">
        <f t="shared" si="215"/>
        <v>4</v>
      </c>
      <c r="BA23" s="356" t="str">
        <f t="shared" si="216"/>
        <v>Q3RR1R1.A</v>
      </c>
      <c r="BB23" s="501">
        <f>VLOOKUP(W23,'Catalogue Aluminium'!$B$9:$H$93,7,FALSE)</f>
        <v>43</v>
      </c>
      <c r="BC23" s="328">
        <f t="shared" si="217"/>
        <v>86</v>
      </c>
      <c r="BE23" s="336"/>
      <c r="BF23" s="336"/>
      <c r="BG23" s="336"/>
      <c r="BH23" s="336"/>
      <c r="BI23" s="336"/>
      <c r="BJ23" s="336"/>
      <c r="BK23" s="336"/>
      <c r="BL23" s="336"/>
      <c r="BM23" s="336"/>
      <c r="BN23" s="336"/>
      <c r="BO23" s="336"/>
      <c r="BP23" s="336"/>
      <c r="BQ23" s="336"/>
      <c r="BR23" s="336"/>
      <c r="BS23" s="336"/>
      <c r="BT23" s="336"/>
      <c r="BU23" s="336"/>
      <c r="BV23" s="336"/>
      <c r="BW23" s="336"/>
      <c r="BX23" s="336"/>
      <c r="BY23" s="336"/>
      <c r="BZ23" s="336"/>
      <c r="CA23" s="336"/>
      <c r="CB23" s="336"/>
      <c r="CC23" s="336"/>
      <c r="CD23" s="336"/>
      <c r="CE23" s="336"/>
      <c r="CF23" s="336"/>
      <c r="CG23" s="336"/>
      <c r="CH23" s="336"/>
      <c r="CI23" s="336"/>
      <c r="CJ23" s="336"/>
      <c r="CK23" s="336"/>
      <c r="CL23" s="336"/>
      <c r="CM23" s="336"/>
      <c r="CN23" s="336"/>
      <c r="CO23" s="336"/>
      <c r="CP23" s="336"/>
      <c r="CQ23" s="336"/>
      <c r="CR23" s="336"/>
      <c r="CS23" s="336"/>
      <c r="CT23" s="336"/>
      <c r="CU23" s="336"/>
      <c r="CV23" s="336"/>
      <c r="CW23" s="336"/>
      <c r="CX23" s="336"/>
      <c r="CY23" s="336"/>
      <c r="CZ23" s="336"/>
      <c r="DA23" s="336">
        <v>1</v>
      </c>
      <c r="DB23" s="336"/>
      <c r="DC23" s="336"/>
      <c r="DD23" s="336"/>
      <c r="DE23" s="336"/>
      <c r="DF23" s="336"/>
      <c r="DG23" s="336">
        <v>1</v>
      </c>
      <c r="DH23" s="336">
        <v>1</v>
      </c>
      <c r="DI23" s="336"/>
      <c r="DJ23" s="336">
        <v>1</v>
      </c>
      <c r="DK23" s="336"/>
      <c r="DL23" s="336"/>
      <c r="DM23" s="336"/>
      <c r="DN23" s="336"/>
      <c r="DO23" s="336"/>
      <c r="DP23" s="336"/>
      <c r="DQ23" s="336"/>
      <c r="DR23" s="336"/>
      <c r="DS23" s="336"/>
      <c r="DT23" s="336"/>
      <c r="DU23" s="336"/>
      <c r="DW23" s="336">
        <f t="shared" si="80"/>
        <v>0</v>
      </c>
      <c r="DX23" s="336">
        <f t="shared" si="1"/>
        <v>0</v>
      </c>
      <c r="DY23" s="336">
        <f t="shared" si="2"/>
        <v>0</v>
      </c>
      <c r="DZ23" s="336">
        <f t="shared" si="3"/>
        <v>0</v>
      </c>
      <c r="EA23" s="336">
        <f t="shared" si="4"/>
        <v>0</v>
      </c>
      <c r="EB23" s="336">
        <f t="shared" si="5"/>
        <v>0</v>
      </c>
      <c r="EC23" s="336">
        <f t="shared" si="6"/>
        <v>0</v>
      </c>
      <c r="ED23" s="336">
        <f t="shared" si="7"/>
        <v>0</v>
      </c>
      <c r="EE23" s="336">
        <f t="shared" si="8"/>
        <v>0</v>
      </c>
      <c r="EF23" s="336">
        <f t="shared" si="9"/>
        <v>0</v>
      </c>
      <c r="EG23" s="336">
        <f t="shared" si="10"/>
        <v>0</v>
      </c>
      <c r="EH23" s="336">
        <f t="shared" si="11"/>
        <v>0</v>
      </c>
      <c r="EI23" s="336">
        <f t="shared" si="12"/>
        <v>0</v>
      </c>
      <c r="EJ23" s="336">
        <f t="shared" si="13"/>
        <v>0</v>
      </c>
      <c r="EK23" s="336">
        <f t="shared" si="14"/>
        <v>0</v>
      </c>
      <c r="EL23" s="336">
        <f t="shared" si="15"/>
        <v>0</v>
      </c>
      <c r="EM23" s="336">
        <f t="shared" si="16"/>
        <v>0</v>
      </c>
      <c r="EN23" s="336">
        <f t="shared" si="17"/>
        <v>0</v>
      </c>
      <c r="EO23" s="336">
        <f t="shared" si="18"/>
        <v>0</v>
      </c>
      <c r="EP23" s="336">
        <f t="shared" si="19"/>
        <v>0</v>
      </c>
      <c r="EQ23" s="336">
        <f t="shared" si="20"/>
        <v>0</v>
      </c>
      <c r="ER23" s="336">
        <f t="shared" si="21"/>
        <v>0</v>
      </c>
      <c r="ES23" s="336">
        <f t="shared" si="22"/>
        <v>0</v>
      </c>
      <c r="ET23" s="336">
        <f t="shared" si="22"/>
        <v>0</v>
      </c>
      <c r="EU23" s="336">
        <f t="shared" si="23"/>
        <v>0</v>
      </c>
      <c r="EV23" s="336">
        <f t="shared" si="24"/>
        <v>0</v>
      </c>
      <c r="EW23" s="336">
        <f t="shared" si="25"/>
        <v>0</v>
      </c>
      <c r="EX23" s="336">
        <f t="shared" si="26"/>
        <v>0</v>
      </c>
      <c r="EY23" s="336">
        <f t="shared" si="27"/>
        <v>0</v>
      </c>
      <c r="EZ23" s="336">
        <f t="shared" si="28"/>
        <v>0</v>
      </c>
      <c r="FA23" s="336">
        <f t="shared" si="29"/>
        <v>0</v>
      </c>
      <c r="FB23" s="336">
        <f t="shared" si="30"/>
        <v>0</v>
      </c>
      <c r="FC23" s="336">
        <f t="shared" si="31"/>
        <v>0</v>
      </c>
      <c r="FD23" s="336">
        <f t="shared" si="32"/>
        <v>0</v>
      </c>
      <c r="FE23" s="336">
        <f t="shared" si="33"/>
        <v>0</v>
      </c>
      <c r="FF23" s="336">
        <f t="shared" si="34"/>
        <v>0</v>
      </c>
      <c r="FG23" s="336">
        <f t="shared" si="35"/>
        <v>0</v>
      </c>
      <c r="FH23" s="336">
        <f t="shared" si="36"/>
        <v>0</v>
      </c>
      <c r="FI23" s="336">
        <f t="shared" si="37"/>
        <v>0</v>
      </c>
      <c r="FJ23" s="336">
        <f t="shared" si="38"/>
        <v>0</v>
      </c>
      <c r="FK23" s="336">
        <f t="shared" si="39"/>
        <v>0</v>
      </c>
      <c r="FL23" s="336">
        <f t="shared" si="40"/>
        <v>0</v>
      </c>
      <c r="FM23" s="336">
        <f t="shared" si="41"/>
        <v>0</v>
      </c>
      <c r="FN23" s="336">
        <f t="shared" si="42"/>
        <v>0</v>
      </c>
      <c r="FO23" s="336">
        <f t="shared" si="43"/>
        <v>0</v>
      </c>
      <c r="FP23" s="336">
        <f t="shared" si="44"/>
        <v>0</v>
      </c>
      <c r="FQ23" s="336">
        <f t="shared" si="45"/>
        <v>0</v>
      </c>
      <c r="FR23" s="336">
        <f t="shared" si="46"/>
        <v>0</v>
      </c>
      <c r="FS23" s="336">
        <f t="shared" si="47"/>
        <v>86</v>
      </c>
      <c r="FT23" s="336">
        <f t="shared" si="48"/>
        <v>0</v>
      </c>
      <c r="FU23" s="336">
        <f t="shared" si="49"/>
        <v>0</v>
      </c>
      <c r="FV23" s="336">
        <f t="shared" si="50"/>
        <v>0</v>
      </c>
      <c r="FW23" s="336">
        <f t="shared" si="51"/>
        <v>0</v>
      </c>
      <c r="FX23" s="336">
        <f t="shared" si="52"/>
        <v>0</v>
      </c>
      <c r="FY23" s="336">
        <f t="shared" si="53"/>
        <v>86</v>
      </c>
      <c r="FZ23" s="336">
        <f t="shared" si="54"/>
        <v>86</v>
      </c>
      <c r="GA23" s="336">
        <f t="shared" si="55"/>
        <v>0</v>
      </c>
      <c r="GB23" s="336">
        <f t="shared" si="56"/>
        <v>86</v>
      </c>
      <c r="GC23" s="336">
        <f t="shared" si="57"/>
        <v>0</v>
      </c>
      <c r="GD23" s="336">
        <f t="shared" si="58"/>
        <v>0</v>
      </c>
      <c r="GE23" s="336">
        <f t="shared" si="59"/>
        <v>0</v>
      </c>
      <c r="GF23" s="336">
        <f t="shared" si="60"/>
        <v>0</v>
      </c>
      <c r="GG23" s="336">
        <f t="shared" si="61"/>
        <v>0</v>
      </c>
      <c r="GH23" s="336">
        <f t="shared" si="62"/>
        <v>0</v>
      </c>
      <c r="GI23" s="336">
        <f t="shared" si="63"/>
        <v>0</v>
      </c>
      <c r="GJ23" s="336">
        <f t="shared" si="64"/>
        <v>0</v>
      </c>
      <c r="GK23" s="336">
        <f t="shared" si="65"/>
        <v>0</v>
      </c>
      <c r="GL23" s="336">
        <f t="shared" si="67"/>
        <v>0</v>
      </c>
      <c r="GM23" s="336">
        <f t="shared" si="66"/>
        <v>0</v>
      </c>
    </row>
    <row r="24" spans="1:195">
      <c r="A24" s="337">
        <f t="shared" si="220"/>
        <v>16</v>
      </c>
      <c r="B24" s="337" t="s">
        <v>527</v>
      </c>
      <c r="C24" s="372" t="str">
        <f t="shared" si="209"/>
        <v>PMCC-2</v>
      </c>
      <c r="D24" s="372" t="s">
        <v>1116</v>
      </c>
      <c r="E24" s="569" t="s">
        <v>387</v>
      </c>
      <c r="F24" s="337" t="s">
        <v>28</v>
      </c>
      <c r="G24" s="337" t="s">
        <v>329</v>
      </c>
      <c r="H24" s="350">
        <v>0.12</v>
      </c>
      <c r="I24" s="337" t="s">
        <v>330</v>
      </c>
      <c r="J24" s="349" t="s">
        <v>357</v>
      </c>
      <c r="K24" s="349">
        <v>230</v>
      </c>
      <c r="L24" s="343">
        <v>0.85</v>
      </c>
      <c r="M24" s="350">
        <v>0.95</v>
      </c>
      <c r="N24" s="342">
        <f>IF(I24="kVA",IF(J24="3Ph",(H24*1000/(1.732*M24*K24)),(H24*1000/(M24*K24))),IF(I24="kW",IF(J24="3Ph",(H24*1000/(1.732*M24*K24*L24)),(H24*1000/(M24*K24*L24)))))</f>
        <v>0.64611657019787327</v>
      </c>
      <c r="O24" s="342">
        <f>IF(G24="MOTOR",(6*N24),IF(G24="VFD",(1*N24),0))</f>
        <v>0</v>
      </c>
      <c r="P24" s="343" t="str">
        <f>IF(G24="MOTOR",0.2,"0.00")</f>
        <v>0.00</v>
      </c>
      <c r="Q24" s="350">
        <v>65</v>
      </c>
      <c r="R24" s="350">
        <v>0</v>
      </c>
      <c r="S24" s="350">
        <f>(Q24*1000*SQRT(R24)/143)</f>
        <v>0</v>
      </c>
      <c r="T24" s="343" t="s">
        <v>332</v>
      </c>
      <c r="U24" s="350" t="s">
        <v>333</v>
      </c>
      <c r="V24" s="343">
        <v>2.5</v>
      </c>
      <c r="W24" s="343" t="str">
        <f>CONCATENATE(U24," X ",V24)</f>
        <v>3C X 2.5</v>
      </c>
      <c r="X24" s="343" t="str">
        <f>(IF(J24="1Ph",W24,IF(J24="3Ph",(IF(G24="MOTOR",(CONCATENATE(W24,"+PE")),W24)))))</f>
        <v>3C X 2.5</v>
      </c>
      <c r="Y24" s="343" t="s">
        <v>358</v>
      </c>
      <c r="Z24" s="344">
        <f>IF(T24="AIR",VLOOKUP(W24,'Catalogue Aluminium'!$B$9:$G$93,2,FALSE),IF(T24="GROUND",VLOOKUP(W24,'Catalogue Aluminium'!$B$9:$G$93,3,FALSE),IF(T24="DUCT",VLOOKUP(W24,'Catalogue Aluminium'!$B$9:$G$93,4,FALSE),IF(T24="TRENCH",VLOOKUP(W24,'Catalogue Aluminium'!$B$9:$G$93,2,FALSE)))))</f>
        <v>28</v>
      </c>
      <c r="AA24" s="345">
        <f>VLOOKUP(W24,'Catalogue Aluminium'!$B$9:$G$93,5,FALSE)</f>
        <v>9.48</v>
      </c>
      <c r="AB24" s="345">
        <f>VLOOKUP(W24,'Catalogue Aluminium'!$B$9:$G$93,6,FALSE)</f>
        <v>0.1007</v>
      </c>
      <c r="AC24" s="343">
        <f t="shared" si="219"/>
        <v>12</v>
      </c>
      <c r="AD24" s="343">
        <f>95+14+14+14</f>
        <v>137</v>
      </c>
      <c r="AE24" s="343">
        <v>10</v>
      </c>
      <c r="AF24" s="343">
        <v>8</v>
      </c>
      <c r="AG24" s="343">
        <f>ROUNDUP((SUM(AC24:AF24)*0.1),0)</f>
        <v>17</v>
      </c>
      <c r="AH24" s="347">
        <f>SUM(AC24:AG24)</f>
        <v>184</v>
      </c>
      <c r="AI24" s="344">
        <f>IF(T24="AIR",'Catalogue Aluminium'!$K$9,IF(T24="TRENCH",'Catalogue Aluminium'!$K$12,"NA"))</f>
        <v>0.89</v>
      </c>
      <c r="AJ24" s="342">
        <f>IF(T24="Air",(IF(U24="1C",'Catalogue Aluminium'!$L$9,'Catalogue Aluminium'!$M$9)),IF(T24="DUCT",(IF($U24="1C",'Catalogue Aluminium'!$L$10,'Catalogue Aluminium'!$M$10)),IF(T24="GROUND",(IF($U24="1C",'Catalogue Aluminium'!$L$11,'Catalogue Aluminium'!$M$11)),IF(T24="TRENCH",(IF($U24="1C",'Catalogue Aluminium'!$L$12,'Catalogue Aluminium'!$M$12))))))</f>
        <v>0.66</v>
      </c>
      <c r="AK24" s="344" t="str">
        <f>IF(T24="Air",'Catalogue Aluminium'!$N$9,IF(T24="GROUND",'Catalogue Aluminium'!$N$10,IF(T24="DUCT",'Catalogue Aluminium'!$N$11,IF(T24="TRENCH",'Catalogue Aluminium'!$N$12,"NA"))))</f>
        <v>NA</v>
      </c>
      <c r="AL24" s="344" t="str">
        <f>IF(T24="Air",(IF(U24="1C",'Catalogue Aluminium'!$O$9,'Catalogue Aluminium'!$P$9)),IF(T24="DUCT",(IF($U24="1C",'Catalogue Aluminium'!$O$10,'Catalogue Aluminium'!$P$10)),IF(T24="GROUND",(IF($U24="1C",'Catalogue Aluminium'!$O$11,'Catalogue Aluminium'!$P$11)),IF(T24="TRENCH",(IF($U24="1C",'Catalogue Aluminium'!$O$12,'Catalogue Aluminium'!$P$12))))))</f>
        <v>NA</v>
      </c>
      <c r="AM24" s="344" t="str">
        <f>IF(T24="AIR","NA",IF(T24="TRENCH","NA",IF(T24="DUCT",IF(U24="1C",VLOOKUP(V24,'Catalogue Aluminium'!$Q$9:$S$28,2,FALSE),VLOOKUP(V24,'Catalogue Aluminium'!$Q$9:$S$28,3)),IF(T24="GROUND",IF(U24="1C",VLOOKUP(V24,'Catalogue Aluminium'!$Q$9:$S$28,2,FALSE),VLOOKUP(V24,'Catalogue Aluminium'!$Q$9:$S$28,3))))))</f>
        <v>NA</v>
      </c>
      <c r="AN24" s="351">
        <f>IF(T24="AIR",AI24*AJ24,IF(T24="TRENCH",AI24*AJ24,IF(T24="DUCT",AJ24*AK24*AL24*AM24,IF(T24="GROUND",AJ24*AK24*AL24*AM24))))</f>
        <v>0.58740000000000003</v>
      </c>
      <c r="AO24" s="350">
        <f>Z24*AN24</f>
        <v>16.447200000000002</v>
      </c>
      <c r="AP24" s="349">
        <f>CEILING(((N24)/AO24),1)</f>
        <v>1</v>
      </c>
      <c r="AQ24" s="350" t="str">
        <f>IF(AO24*AP24&gt;=N24,"YES","NO")</f>
        <v>YES</v>
      </c>
      <c r="AR24" s="351">
        <f>SQRT(3)*AH24*N24*((AA24*L24)+(AB24*SIN(ACOS(L24))))*100/(AP24*K24*1000)</f>
        <v>0.72617018247375209</v>
      </c>
      <c r="AS24" s="343" t="str">
        <f>IF(G24="INCOMER",(IF(AR24&lt;=2,"YES","NO")),IF(G24="POWER",(IF(AR24&lt;=2.5,"YES","NO")),IF(G24="MOTOR",(IF(AR24&lt;=3,"YES","NO")))))</f>
        <v>YES</v>
      </c>
      <c r="AT24" s="351" t="str">
        <f t="shared" si="210"/>
        <v>NA</v>
      </c>
      <c r="AU24" s="343" t="str">
        <f t="shared" si="211"/>
        <v>NA</v>
      </c>
      <c r="AV24" s="354" t="str">
        <f t="shared" si="212"/>
        <v>1R x 0.6/1kV x 3C x 2.5 Sqmm</v>
      </c>
      <c r="AW24" s="354" t="str">
        <f t="shared" si="213"/>
        <v>1R x 0.6/1kV x 3C x 2.5 Sqmm</v>
      </c>
      <c r="AX24" s="343">
        <f t="shared" si="214"/>
        <v>184</v>
      </c>
      <c r="AY24" s="355"/>
      <c r="AZ24" s="355">
        <f t="shared" si="215"/>
        <v>2</v>
      </c>
      <c r="BA24" s="356" t="str">
        <f t="shared" si="216"/>
        <v>Q3RR1R1.A</v>
      </c>
      <c r="BB24" s="501">
        <f>VLOOKUP(W24,'Catalogue Aluminium'!$B$9:$H$93,7,FALSE)</f>
        <v>14</v>
      </c>
      <c r="BC24" s="328">
        <f t="shared" si="217"/>
        <v>14</v>
      </c>
      <c r="BE24" s="336"/>
      <c r="BF24" s="336"/>
      <c r="BG24" s="336"/>
      <c r="BH24" s="336"/>
      <c r="BI24" s="336"/>
      <c r="BJ24" s="336"/>
      <c r="BK24" s="336"/>
      <c r="BL24" s="336"/>
      <c r="BM24" s="336"/>
      <c r="BN24" s="336"/>
      <c r="BO24" s="336"/>
      <c r="BP24" s="336"/>
      <c r="BQ24" s="336"/>
      <c r="BR24" s="336"/>
      <c r="BS24" s="336"/>
      <c r="BT24" s="336"/>
      <c r="BU24" s="336"/>
      <c r="BV24" s="336"/>
      <c r="BW24" s="336"/>
      <c r="BX24" s="336"/>
      <c r="BY24" s="336"/>
      <c r="BZ24" s="336"/>
      <c r="CA24" s="336"/>
      <c r="CB24" s="336"/>
      <c r="CC24" s="336"/>
      <c r="CD24" s="336"/>
      <c r="CE24" s="336"/>
      <c r="CF24" s="336"/>
      <c r="CG24" s="336"/>
      <c r="CH24" s="336"/>
      <c r="CI24" s="336"/>
      <c r="CJ24" s="336"/>
      <c r="CK24" s="336"/>
      <c r="CL24" s="336"/>
      <c r="CM24" s="336"/>
      <c r="CN24" s="336"/>
      <c r="CO24" s="336"/>
      <c r="CP24" s="336"/>
      <c r="CQ24" s="336"/>
      <c r="CR24" s="336"/>
      <c r="CS24" s="336"/>
      <c r="CT24" s="336"/>
      <c r="CU24" s="336"/>
      <c r="CV24" s="336"/>
      <c r="CW24" s="336"/>
      <c r="CX24" s="336"/>
      <c r="CY24" s="336"/>
      <c r="CZ24" s="336"/>
      <c r="DA24" s="336">
        <v>1</v>
      </c>
      <c r="DB24" s="336"/>
      <c r="DC24" s="336"/>
      <c r="DD24" s="336"/>
      <c r="DE24" s="336"/>
      <c r="DF24" s="336"/>
      <c r="DG24" s="336">
        <v>1</v>
      </c>
      <c r="DH24" s="336">
        <v>1</v>
      </c>
      <c r="DI24" s="336"/>
      <c r="DJ24" s="336">
        <v>1</v>
      </c>
      <c r="DK24" s="336"/>
      <c r="DL24" s="336"/>
      <c r="DM24" s="336"/>
      <c r="DN24" s="336"/>
      <c r="DO24" s="336"/>
      <c r="DP24" s="336"/>
      <c r="DQ24" s="336"/>
      <c r="DR24" s="336"/>
      <c r="DS24" s="336"/>
      <c r="DT24" s="336"/>
      <c r="DU24" s="336"/>
      <c r="DW24" s="336">
        <f t="shared" ref="DW24:ES24" si="237">IF(BE24=1,($BC24*BE24),0)</f>
        <v>0</v>
      </c>
      <c r="DX24" s="336">
        <f t="shared" si="237"/>
        <v>0</v>
      </c>
      <c r="DY24" s="336">
        <f t="shared" si="237"/>
        <v>0</v>
      </c>
      <c r="DZ24" s="336">
        <f t="shared" si="237"/>
        <v>0</v>
      </c>
      <c r="EA24" s="336">
        <f t="shared" si="237"/>
        <v>0</v>
      </c>
      <c r="EB24" s="336">
        <f t="shared" si="237"/>
        <v>0</v>
      </c>
      <c r="EC24" s="336">
        <f t="shared" si="237"/>
        <v>0</v>
      </c>
      <c r="ED24" s="336">
        <f t="shared" si="237"/>
        <v>0</v>
      </c>
      <c r="EE24" s="336">
        <f t="shared" si="237"/>
        <v>0</v>
      </c>
      <c r="EF24" s="336">
        <f t="shared" si="237"/>
        <v>0</v>
      </c>
      <c r="EG24" s="336">
        <f t="shared" si="237"/>
        <v>0</v>
      </c>
      <c r="EH24" s="336">
        <f t="shared" si="237"/>
        <v>0</v>
      </c>
      <c r="EI24" s="336">
        <f t="shared" si="237"/>
        <v>0</v>
      </c>
      <c r="EJ24" s="336">
        <f t="shared" si="237"/>
        <v>0</v>
      </c>
      <c r="EK24" s="336">
        <f t="shared" si="237"/>
        <v>0</v>
      </c>
      <c r="EL24" s="336">
        <f t="shared" si="237"/>
        <v>0</v>
      </c>
      <c r="EM24" s="336">
        <f t="shared" si="237"/>
        <v>0</v>
      </c>
      <c r="EN24" s="336">
        <f t="shared" si="237"/>
        <v>0</v>
      </c>
      <c r="EO24" s="336">
        <f t="shared" si="237"/>
        <v>0</v>
      </c>
      <c r="EP24" s="336">
        <f t="shared" si="237"/>
        <v>0</v>
      </c>
      <c r="EQ24" s="336">
        <f t="shared" si="237"/>
        <v>0</v>
      </c>
      <c r="ER24" s="336">
        <f t="shared" si="237"/>
        <v>0</v>
      </c>
      <c r="ES24" s="336">
        <f t="shared" si="237"/>
        <v>0</v>
      </c>
      <c r="ET24" s="336">
        <f t="shared" si="22"/>
        <v>0</v>
      </c>
      <c r="EU24" s="336">
        <f t="shared" ref="EU24:FC24" si="238">IF(CC24=1,($BC24*CC24),0)</f>
        <v>0</v>
      </c>
      <c r="EV24" s="336">
        <f t="shared" si="238"/>
        <v>0</v>
      </c>
      <c r="EW24" s="336">
        <f t="shared" si="238"/>
        <v>0</v>
      </c>
      <c r="EX24" s="336">
        <f t="shared" si="238"/>
        <v>0</v>
      </c>
      <c r="EY24" s="336">
        <f t="shared" si="238"/>
        <v>0</v>
      </c>
      <c r="EZ24" s="336">
        <f t="shared" si="238"/>
        <v>0</v>
      </c>
      <c r="FA24" s="336">
        <f t="shared" si="238"/>
        <v>0</v>
      </c>
      <c r="FB24" s="336">
        <f t="shared" si="238"/>
        <v>0</v>
      </c>
      <c r="FC24" s="336">
        <f t="shared" si="238"/>
        <v>0</v>
      </c>
      <c r="FD24" s="336">
        <f t="shared" si="32"/>
        <v>0</v>
      </c>
      <c r="FE24" s="336">
        <f t="shared" si="33"/>
        <v>0</v>
      </c>
      <c r="FF24" s="336">
        <f t="shared" si="34"/>
        <v>0</v>
      </c>
      <c r="FG24" s="336">
        <f t="shared" si="35"/>
        <v>0</v>
      </c>
      <c r="FH24" s="336">
        <f t="shared" si="36"/>
        <v>0</v>
      </c>
      <c r="FI24" s="336">
        <f t="shared" si="37"/>
        <v>0</v>
      </c>
      <c r="FJ24" s="336">
        <f t="shared" si="38"/>
        <v>0</v>
      </c>
      <c r="FK24" s="336">
        <f t="shared" si="39"/>
        <v>0</v>
      </c>
      <c r="FL24" s="336">
        <f t="shared" si="40"/>
        <v>0</v>
      </c>
      <c r="FM24" s="336">
        <f t="shared" si="41"/>
        <v>0</v>
      </c>
      <c r="FN24" s="336">
        <f t="shared" si="42"/>
        <v>0</v>
      </c>
      <c r="FO24" s="336">
        <f t="shared" si="43"/>
        <v>0</v>
      </c>
      <c r="FP24" s="336">
        <f t="shared" si="44"/>
        <v>0</v>
      </c>
      <c r="FQ24" s="336">
        <f t="shared" si="45"/>
        <v>0</v>
      </c>
      <c r="FR24" s="336">
        <f t="shared" si="46"/>
        <v>0</v>
      </c>
      <c r="FS24" s="336">
        <f t="shared" si="47"/>
        <v>14</v>
      </c>
      <c r="FT24" s="336">
        <f t="shared" si="48"/>
        <v>0</v>
      </c>
      <c r="FU24" s="336">
        <f t="shared" si="49"/>
        <v>0</v>
      </c>
      <c r="FV24" s="336">
        <f t="shared" si="50"/>
        <v>0</v>
      </c>
      <c r="FW24" s="336">
        <f t="shared" si="51"/>
        <v>0</v>
      </c>
      <c r="FX24" s="336">
        <f t="shared" si="52"/>
        <v>0</v>
      </c>
      <c r="FY24" s="336">
        <f t="shared" si="53"/>
        <v>14</v>
      </c>
      <c r="FZ24" s="336">
        <f t="shared" si="54"/>
        <v>14</v>
      </c>
      <c r="GA24" s="336">
        <f t="shared" si="55"/>
        <v>0</v>
      </c>
      <c r="GB24" s="336">
        <f t="shared" si="56"/>
        <v>14</v>
      </c>
      <c r="GC24" s="336">
        <f t="shared" si="57"/>
        <v>0</v>
      </c>
      <c r="GD24" s="336">
        <f t="shared" si="58"/>
        <v>0</v>
      </c>
      <c r="GE24" s="336">
        <f t="shared" si="59"/>
        <v>0</v>
      </c>
      <c r="GF24" s="336">
        <f t="shared" si="60"/>
        <v>0</v>
      </c>
      <c r="GG24" s="336">
        <f t="shared" si="61"/>
        <v>0</v>
      </c>
      <c r="GH24" s="336">
        <f t="shared" si="62"/>
        <v>0</v>
      </c>
      <c r="GI24" s="336">
        <f t="shared" si="63"/>
        <v>0</v>
      </c>
      <c r="GJ24" s="336">
        <f t="shared" si="64"/>
        <v>0</v>
      </c>
      <c r="GK24" s="336">
        <f t="shared" si="65"/>
        <v>0</v>
      </c>
      <c r="GL24" s="336">
        <f t="shared" si="67"/>
        <v>0</v>
      </c>
      <c r="GM24" s="336">
        <f t="shared" si="66"/>
        <v>0</v>
      </c>
    </row>
    <row r="25" spans="1:195" ht="20.100000000000001" customHeight="1">
      <c r="A25" s="337">
        <f t="shared" si="220"/>
        <v>17</v>
      </c>
      <c r="B25" s="337" t="s">
        <v>1117</v>
      </c>
      <c r="C25" s="372" t="str">
        <f t="shared" si="209"/>
        <v>PMCC-2</v>
      </c>
      <c r="D25" s="372" t="s">
        <v>1118</v>
      </c>
      <c r="E25" s="569" t="s">
        <v>387</v>
      </c>
      <c r="F25" s="337" t="s">
        <v>28</v>
      </c>
      <c r="G25" s="337" t="s">
        <v>350</v>
      </c>
      <c r="H25" s="583">
        <v>200</v>
      </c>
      <c r="I25" s="337" t="s">
        <v>330</v>
      </c>
      <c r="J25" s="337" t="s">
        <v>331</v>
      </c>
      <c r="K25" s="349">
        <v>400</v>
      </c>
      <c r="L25" s="343">
        <v>0.86</v>
      </c>
      <c r="M25" s="350">
        <v>0.96400000000000008</v>
      </c>
      <c r="N25" s="342">
        <f t="shared" si="221"/>
        <v>348.21432352041222</v>
      </c>
      <c r="O25" s="342">
        <f t="shared" si="222"/>
        <v>2089.2859411224736</v>
      </c>
      <c r="P25" s="343">
        <f t="shared" si="223"/>
        <v>0.2</v>
      </c>
      <c r="Q25" s="350">
        <v>65</v>
      </c>
      <c r="R25" s="350">
        <v>0</v>
      </c>
      <c r="S25" s="350">
        <f t="shared" si="224"/>
        <v>0</v>
      </c>
      <c r="T25" s="343" t="s">
        <v>332</v>
      </c>
      <c r="U25" s="350" t="s">
        <v>333</v>
      </c>
      <c r="V25" s="343">
        <v>240</v>
      </c>
      <c r="W25" s="343" t="str">
        <f t="shared" si="236"/>
        <v>3C X 240</v>
      </c>
      <c r="X25" s="343" t="str">
        <f t="shared" si="226"/>
        <v>3C X 240+PE</v>
      </c>
      <c r="Y25" s="343" t="s">
        <v>358</v>
      </c>
      <c r="Z25" s="344">
        <f>IF(T25="AIR",VLOOKUP(W25,'Catalogue Aluminium'!$B$9:$G$93,2,FALSE),IF(T25="GROUND",VLOOKUP(W25,'Catalogue Aluminium'!$B$9:$G$93,3,FALSE),IF(T25="DUCT",VLOOKUP(W25,'Catalogue Aluminium'!$B$9:$G$93,4,FALSE),IF(T25="TRENCH",VLOOKUP(W25,'Catalogue Aluminium'!$B$9:$G$93,2,FALSE)))))</f>
        <v>401</v>
      </c>
      <c r="AA25" s="345">
        <f>VLOOKUP(W25,'Catalogue Aluminium'!$B$9:$G$93,5,FALSE)</f>
        <v>0.16</v>
      </c>
      <c r="AB25" s="345">
        <f>VLOOKUP(W25,'Catalogue Aluminium'!$B$9:$G$93,6,FALSE)</f>
        <v>7.1900000000000006E-2</v>
      </c>
      <c r="AC25" s="343">
        <v>22</v>
      </c>
      <c r="AD25" s="343">
        <f>95+14+14+14+14</f>
        <v>151</v>
      </c>
      <c r="AE25" s="343">
        <v>8</v>
      </c>
      <c r="AF25" s="343">
        <v>5</v>
      </c>
      <c r="AG25" s="343">
        <f t="shared" si="134"/>
        <v>19</v>
      </c>
      <c r="AH25" s="347">
        <f t="shared" si="227"/>
        <v>205</v>
      </c>
      <c r="AI25" s="344">
        <f>IF(T25="AIR",'Catalogue Aluminium'!$K$9,IF(T25="TRENCH",'Catalogue Aluminium'!$K$12,"NA"))</f>
        <v>0.89</v>
      </c>
      <c r="AJ25" s="342">
        <f>IF(T25="Air",(IF(U25="1C",'Catalogue Aluminium'!$L$9,'Catalogue Aluminium'!$M$9)),IF(T25="DUCT",(IF($U25="1C",'Catalogue Aluminium'!$L$10,'Catalogue Aluminium'!$M$10)),IF(T25="GROUND",(IF($U25="1C",'Catalogue Aluminium'!$L$11,'Catalogue Aluminium'!$M$11)),IF(T25="TRENCH",(IF($U25="1C",'Catalogue Aluminium'!$L$12,'Catalogue Aluminium'!$M$12))))))</f>
        <v>0.66</v>
      </c>
      <c r="AK25" s="344" t="str">
        <f>IF(T25="Air",'Catalogue Aluminium'!$N$9,IF(T25="GROUND",'Catalogue Aluminium'!$N$10,IF(T25="DUCT",'Catalogue Aluminium'!$N$11,IF(T25="TRENCH",'Catalogue Aluminium'!$N$12,"NA"))))</f>
        <v>NA</v>
      </c>
      <c r="AL25" s="344" t="str">
        <f>IF(T25="Air",(IF(U25="1C",'Catalogue Aluminium'!$O$9,'Catalogue Aluminium'!$P$9)),IF(T25="DUCT",(IF($U25="1C",'Catalogue Aluminium'!$O$10,'Catalogue Aluminium'!$P$10)),IF(T25="GROUND",(IF($U25="1C",'Catalogue Aluminium'!$O$11,'Catalogue Aluminium'!$P$11)),IF(T25="TRENCH",(IF($U25="1C",'Catalogue Aluminium'!$O$12,'Catalogue Aluminium'!$P$12))))))</f>
        <v>NA</v>
      </c>
      <c r="AM25" s="344" t="str">
        <f>IF(T25="AIR","NA",IF(T25="TRENCH","NA",IF(T25="DUCT",IF(U25="1C",VLOOKUP(V25,'Catalogue Aluminium'!$Q$9:$S$28,2,FALSE),VLOOKUP(V25,'Catalogue Aluminium'!$Q$9:$S$28,3)),IF(T25="GROUND",IF(U25="1C",VLOOKUP(V25,'Catalogue Aluminium'!$Q$9:$S$28,2,FALSE),VLOOKUP(V25,'Catalogue Aluminium'!$Q$9:$S$28,3))))))</f>
        <v>NA</v>
      </c>
      <c r="AN25" s="351">
        <f t="shared" si="228"/>
        <v>0.58740000000000003</v>
      </c>
      <c r="AO25" s="350">
        <f t="shared" si="229"/>
        <v>235.54740000000001</v>
      </c>
      <c r="AP25" s="349">
        <f t="shared" si="230"/>
        <v>2</v>
      </c>
      <c r="AQ25" s="350" t="str">
        <f t="shared" si="231"/>
        <v>YES</v>
      </c>
      <c r="AR25" s="351">
        <f t="shared" si="136"/>
        <v>2.6936672995700017</v>
      </c>
      <c r="AS25" s="343" t="str">
        <f t="shared" si="137"/>
        <v>YES</v>
      </c>
      <c r="AT25" s="351">
        <f t="shared" si="210"/>
        <v>9.499986898637097</v>
      </c>
      <c r="AU25" s="343" t="str">
        <f t="shared" si="211"/>
        <v>YES</v>
      </c>
      <c r="AV25" s="354" t="str">
        <f t="shared" si="212"/>
        <v>2R x 0.6/1kV x 3C x 240 Sqmm</v>
      </c>
      <c r="AW25" s="354" t="str">
        <f t="shared" si="213"/>
        <v>2R x 0.6/1kV x 3C x 240+PE Sqmm</v>
      </c>
      <c r="AX25" s="343">
        <f t="shared" si="214"/>
        <v>410</v>
      </c>
      <c r="AY25" s="355"/>
      <c r="AZ25" s="355">
        <f t="shared" si="215"/>
        <v>4</v>
      </c>
      <c r="BA25" s="356" t="str">
        <f t="shared" si="216"/>
        <v>Q3RR1R1.A</v>
      </c>
      <c r="BB25" s="501">
        <f>VLOOKUP(W25,'Catalogue Aluminium'!$B$9:$H$93,7,FALSE)</f>
        <v>48</v>
      </c>
      <c r="BC25" s="328">
        <f t="shared" si="217"/>
        <v>96</v>
      </c>
      <c r="BE25" s="336"/>
      <c r="BF25" s="336"/>
      <c r="BG25" s="336"/>
      <c r="BH25" s="336"/>
      <c r="BI25" s="336"/>
      <c r="BJ25" s="336"/>
      <c r="BK25" s="336"/>
      <c r="BL25" s="336"/>
      <c r="BM25" s="336"/>
      <c r="BN25" s="336"/>
      <c r="BO25" s="336"/>
      <c r="BP25" s="336"/>
      <c r="BQ25" s="336"/>
      <c r="BR25" s="336"/>
      <c r="BS25" s="336"/>
      <c r="BT25" s="336"/>
      <c r="BU25" s="336"/>
      <c r="BV25" s="336"/>
      <c r="BW25" s="336"/>
      <c r="BX25" s="336"/>
      <c r="BY25" s="336"/>
      <c r="BZ25" s="336"/>
      <c r="CA25" s="336"/>
      <c r="CB25" s="336"/>
      <c r="CC25" s="336"/>
      <c r="CD25" s="336"/>
      <c r="CE25" s="336"/>
      <c r="CF25" s="336"/>
      <c r="CG25" s="336"/>
      <c r="CH25" s="336"/>
      <c r="CI25" s="336"/>
      <c r="CJ25" s="336"/>
      <c r="CK25" s="336"/>
      <c r="CL25" s="336"/>
      <c r="CM25" s="336"/>
      <c r="CN25" s="336"/>
      <c r="CO25" s="336"/>
      <c r="CP25" s="336"/>
      <c r="CQ25" s="336"/>
      <c r="CR25" s="336"/>
      <c r="CS25" s="336"/>
      <c r="CT25" s="336"/>
      <c r="CU25" s="336"/>
      <c r="CV25" s="336"/>
      <c r="CW25" s="336"/>
      <c r="CX25" s="336"/>
      <c r="CY25" s="336"/>
      <c r="CZ25" s="336"/>
      <c r="DA25" s="336">
        <v>1</v>
      </c>
      <c r="DB25" s="336"/>
      <c r="DC25" s="336"/>
      <c r="DD25" s="336"/>
      <c r="DE25" s="336"/>
      <c r="DF25" s="336"/>
      <c r="DG25" s="336">
        <v>1</v>
      </c>
      <c r="DH25" s="336">
        <v>1</v>
      </c>
      <c r="DI25" s="336"/>
      <c r="DJ25" s="336">
        <v>1</v>
      </c>
      <c r="DK25" s="336"/>
      <c r="DL25" s="336"/>
      <c r="DM25" s="336"/>
      <c r="DN25" s="336"/>
      <c r="DO25" s="336"/>
      <c r="DP25" s="336"/>
      <c r="DQ25" s="336"/>
      <c r="DR25" s="336"/>
      <c r="DS25" s="336"/>
      <c r="DT25" s="336"/>
      <c r="DU25" s="336"/>
      <c r="DW25" s="336">
        <f t="shared" si="80"/>
        <v>0</v>
      </c>
      <c r="DX25" s="336">
        <f t="shared" si="1"/>
        <v>0</v>
      </c>
      <c r="DY25" s="336">
        <f t="shared" si="2"/>
        <v>0</v>
      </c>
      <c r="DZ25" s="336">
        <f t="shared" si="3"/>
        <v>0</v>
      </c>
      <c r="EA25" s="336">
        <f t="shared" si="4"/>
        <v>0</v>
      </c>
      <c r="EB25" s="336">
        <f t="shared" si="5"/>
        <v>0</v>
      </c>
      <c r="EC25" s="336">
        <f t="shared" si="6"/>
        <v>0</v>
      </c>
      <c r="ED25" s="336">
        <f t="shared" si="7"/>
        <v>0</v>
      </c>
      <c r="EE25" s="336">
        <f t="shared" si="8"/>
        <v>0</v>
      </c>
      <c r="EF25" s="336">
        <f t="shared" si="9"/>
        <v>0</v>
      </c>
      <c r="EG25" s="336">
        <f t="shared" si="10"/>
        <v>0</v>
      </c>
      <c r="EH25" s="336">
        <f t="shared" si="11"/>
        <v>0</v>
      </c>
      <c r="EI25" s="336">
        <f t="shared" si="12"/>
        <v>0</v>
      </c>
      <c r="EJ25" s="336">
        <f t="shared" si="13"/>
        <v>0</v>
      </c>
      <c r="EK25" s="336">
        <f t="shared" si="14"/>
        <v>0</v>
      </c>
      <c r="EL25" s="336">
        <f t="shared" si="15"/>
        <v>0</v>
      </c>
      <c r="EM25" s="336">
        <f t="shared" si="16"/>
        <v>0</v>
      </c>
      <c r="EN25" s="336">
        <f t="shared" si="17"/>
        <v>0</v>
      </c>
      <c r="EO25" s="336">
        <f t="shared" si="18"/>
        <v>0</v>
      </c>
      <c r="EP25" s="336">
        <f t="shared" si="19"/>
        <v>0</v>
      </c>
      <c r="EQ25" s="336">
        <f t="shared" si="20"/>
        <v>0</v>
      </c>
      <c r="ER25" s="336">
        <f t="shared" si="21"/>
        <v>0</v>
      </c>
      <c r="ES25" s="336">
        <f t="shared" si="22"/>
        <v>0</v>
      </c>
      <c r="ET25" s="336">
        <f t="shared" si="22"/>
        <v>0</v>
      </c>
      <c r="EU25" s="336">
        <f t="shared" si="23"/>
        <v>0</v>
      </c>
      <c r="EV25" s="336">
        <f t="shared" si="24"/>
        <v>0</v>
      </c>
      <c r="EW25" s="336">
        <f t="shared" si="25"/>
        <v>0</v>
      </c>
      <c r="EX25" s="336">
        <f t="shared" si="26"/>
        <v>0</v>
      </c>
      <c r="EY25" s="336">
        <f t="shared" si="27"/>
        <v>0</v>
      </c>
      <c r="EZ25" s="336">
        <f t="shared" si="28"/>
        <v>0</v>
      </c>
      <c r="FA25" s="336">
        <f t="shared" si="29"/>
        <v>0</v>
      </c>
      <c r="FB25" s="336">
        <f t="shared" si="30"/>
        <v>0</v>
      </c>
      <c r="FC25" s="336">
        <f t="shared" si="31"/>
        <v>0</v>
      </c>
      <c r="FD25" s="336">
        <f t="shared" si="32"/>
        <v>0</v>
      </c>
      <c r="FE25" s="336">
        <f t="shared" si="33"/>
        <v>0</v>
      </c>
      <c r="FF25" s="336">
        <f t="shared" si="34"/>
        <v>0</v>
      </c>
      <c r="FG25" s="336">
        <f t="shared" si="35"/>
        <v>0</v>
      </c>
      <c r="FH25" s="336">
        <f t="shared" si="36"/>
        <v>0</v>
      </c>
      <c r="FI25" s="336">
        <f t="shared" si="37"/>
        <v>0</v>
      </c>
      <c r="FJ25" s="336">
        <f t="shared" si="38"/>
        <v>0</v>
      </c>
      <c r="FK25" s="336">
        <f t="shared" si="39"/>
        <v>0</v>
      </c>
      <c r="FL25" s="336">
        <f t="shared" si="40"/>
        <v>0</v>
      </c>
      <c r="FM25" s="336">
        <f t="shared" si="41"/>
        <v>0</v>
      </c>
      <c r="FN25" s="336">
        <f t="shared" si="42"/>
        <v>0</v>
      </c>
      <c r="FO25" s="336">
        <f t="shared" si="43"/>
        <v>0</v>
      </c>
      <c r="FP25" s="336">
        <f t="shared" si="44"/>
        <v>0</v>
      </c>
      <c r="FQ25" s="336">
        <f t="shared" si="45"/>
        <v>0</v>
      </c>
      <c r="FR25" s="336">
        <f t="shared" si="46"/>
        <v>0</v>
      </c>
      <c r="FS25" s="336">
        <f t="shared" si="47"/>
        <v>96</v>
      </c>
      <c r="FT25" s="336">
        <f t="shared" si="48"/>
        <v>0</v>
      </c>
      <c r="FU25" s="336">
        <f t="shared" si="49"/>
        <v>0</v>
      </c>
      <c r="FV25" s="336">
        <f t="shared" si="50"/>
        <v>0</v>
      </c>
      <c r="FW25" s="336">
        <f t="shared" si="51"/>
        <v>0</v>
      </c>
      <c r="FX25" s="336">
        <f t="shared" si="52"/>
        <v>0</v>
      </c>
      <c r="FY25" s="336">
        <f t="shared" si="53"/>
        <v>96</v>
      </c>
      <c r="FZ25" s="336">
        <f t="shared" si="54"/>
        <v>96</v>
      </c>
      <c r="GA25" s="336">
        <f t="shared" si="55"/>
        <v>0</v>
      </c>
      <c r="GB25" s="336">
        <f t="shared" si="56"/>
        <v>96</v>
      </c>
      <c r="GC25" s="336">
        <f t="shared" si="57"/>
        <v>0</v>
      </c>
      <c r="GD25" s="336">
        <f t="shared" si="58"/>
        <v>0</v>
      </c>
      <c r="GE25" s="336">
        <f t="shared" si="59"/>
        <v>0</v>
      </c>
      <c r="GF25" s="336">
        <f t="shared" si="60"/>
        <v>0</v>
      </c>
      <c r="GG25" s="336">
        <f t="shared" si="61"/>
        <v>0</v>
      </c>
      <c r="GH25" s="336">
        <f t="shared" si="62"/>
        <v>0</v>
      </c>
      <c r="GI25" s="336">
        <f t="shared" si="63"/>
        <v>0</v>
      </c>
      <c r="GJ25" s="336">
        <f t="shared" si="64"/>
        <v>0</v>
      </c>
      <c r="GK25" s="336">
        <f t="shared" si="65"/>
        <v>0</v>
      </c>
      <c r="GL25" s="336">
        <f t="shared" si="67"/>
        <v>0</v>
      </c>
      <c r="GM25" s="336">
        <f t="shared" si="66"/>
        <v>0</v>
      </c>
    </row>
    <row r="26" spans="1:195">
      <c r="A26" s="337">
        <f t="shared" si="220"/>
        <v>18</v>
      </c>
      <c r="B26" s="337" t="s">
        <v>527</v>
      </c>
      <c r="C26" s="372" t="str">
        <f t="shared" si="209"/>
        <v>PMCC-2</v>
      </c>
      <c r="D26" s="372" t="s">
        <v>1119</v>
      </c>
      <c r="E26" s="569" t="s">
        <v>387</v>
      </c>
      <c r="F26" s="337" t="s">
        <v>29</v>
      </c>
      <c r="G26" s="337" t="s">
        <v>329</v>
      </c>
      <c r="H26" s="350">
        <v>0.12</v>
      </c>
      <c r="I26" s="337" t="s">
        <v>330</v>
      </c>
      <c r="J26" s="349" t="s">
        <v>357</v>
      </c>
      <c r="K26" s="349">
        <v>230</v>
      </c>
      <c r="L26" s="343">
        <v>0.85</v>
      </c>
      <c r="M26" s="350">
        <v>0.95</v>
      </c>
      <c r="N26" s="342">
        <f>IF(I26="kVA",IF(J26="3Ph",(H26*1000/(1.732*M26*K26)),(H26*1000/(M26*K26))),IF(I26="kW",IF(J26="3Ph",(H26*1000/(1.732*M26*K26*L26)),(H26*1000/(M26*K26*L26)))))</f>
        <v>0.64611657019787327</v>
      </c>
      <c r="O26" s="342">
        <f>IF(G26="MOTOR",(6*N26),IF(G26="VFD",(1*N26),0))</f>
        <v>0</v>
      </c>
      <c r="P26" s="343" t="str">
        <f>IF(G26="MOTOR",0.2,"0.00")</f>
        <v>0.00</v>
      </c>
      <c r="Q26" s="350">
        <v>65</v>
      </c>
      <c r="R26" s="350">
        <v>0</v>
      </c>
      <c r="S26" s="350">
        <f>(Q26*1000*SQRT(R26)/143)</f>
        <v>0</v>
      </c>
      <c r="T26" s="343" t="s">
        <v>332</v>
      </c>
      <c r="U26" s="350" t="s">
        <v>333</v>
      </c>
      <c r="V26" s="343">
        <v>2.5</v>
      </c>
      <c r="W26" s="343" t="str">
        <f>CONCATENATE(U26," X ",V26)</f>
        <v>3C X 2.5</v>
      </c>
      <c r="X26" s="343" t="str">
        <f>(IF(J26="1Ph",W26,IF(J26="3Ph",(IF(G26="MOTOR",(CONCATENATE(W26,"+PE")),W26)))))</f>
        <v>3C X 2.5</v>
      </c>
      <c r="Y26" s="343" t="s">
        <v>358</v>
      </c>
      <c r="Z26" s="344">
        <f>IF(T26="AIR",VLOOKUP(W26,'Catalogue Aluminium'!$B$9:$G$93,2,FALSE),IF(T26="GROUND",VLOOKUP(W26,'Catalogue Aluminium'!$B$9:$G$93,3,FALSE),IF(T26="DUCT",VLOOKUP(W26,'Catalogue Aluminium'!$B$9:$G$93,4,FALSE),IF(T26="TRENCH",VLOOKUP(W26,'Catalogue Aluminium'!$B$9:$G$93,2,FALSE)))))</f>
        <v>28</v>
      </c>
      <c r="AA26" s="345">
        <f>VLOOKUP(W26,'Catalogue Aluminium'!$B$9:$G$93,5,FALSE)</f>
        <v>9.48</v>
      </c>
      <c r="AB26" s="345">
        <f>VLOOKUP(W26,'Catalogue Aluminium'!$B$9:$G$93,6,FALSE)</f>
        <v>0.1007</v>
      </c>
      <c r="AC26" s="343">
        <f t="shared" si="219"/>
        <v>12</v>
      </c>
      <c r="AD26" s="343">
        <f>95+14+14+14+14</f>
        <v>151</v>
      </c>
      <c r="AE26" s="343">
        <v>10</v>
      </c>
      <c r="AF26" s="343">
        <v>8</v>
      </c>
      <c r="AG26" s="343">
        <f>ROUNDUP((SUM(AC26:AF26)*0.1),0)</f>
        <v>19</v>
      </c>
      <c r="AH26" s="347">
        <f>SUM(AC26:AG26)</f>
        <v>200</v>
      </c>
      <c r="AI26" s="344">
        <f>IF(T26="AIR",'Catalogue Aluminium'!$K$9,IF(T26="TRENCH",'Catalogue Aluminium'!$K$12,"NA"))</f>
        <v>0.89</v>
      </c>
      <c r="AJ26" s="342">
        <f>IF(T26="Air",(IF(U26="1C",'Catalogue Aluminium'!$L$9,'Catalogue Aluminium'!$M$9)),IF(T26="DUCT",(IF($U26="1C",'Catalogue Aluminium'!$L$10,'Catalogue Aluminium'!$M$10)),IF(T26="GROUND",(IF($U26="1C",'Catalogue Aluminium'!$L$11,'Catalogue Aluminium'!$M$11)),IF(T26="TRENCH",(IF($U26="1C",'Catalogue Aluminium'!$L$12,'Catalogue Aluminium'!$M$12))))))</f>
        <v>0.66</v>
      </c>
      <c r="AK26" s="344" t="str">
        <f>IF(T26="Air",'Catalogue Aluminium'!$N$9,IF(T26="GROUND",'Catalogue Aluminium'!$N$10,IF(T26="DUCT",'Catalogue Aluminium'!$N$11,IF(T26="TRENCH",'Catalogue Aluminium'!$N$12,"NA"))))</f>
        <v>NA</v>
      </c>
      <c r="AL26" s="344" t="str">
        <f>IF(T26="Air",(IF(U26="1C",'Catalogue Aluminium'!$O$9,'Catalogue Aluminium'!$P$9)),IF(T26="DUCT",(IF($U26="1C",'Catalogue Aluminium'!$O$10,'Catalogue Aluminium'!$P$10)),IF(T26="GROUND",(IF($U26="1C",'Catalogue Aluminium'!$O$11,'Catalogue Aluminium'!$P$11)),IF(T26="TRENCH",(IF($U26="1C",'Catalogue Aluminium'!$O$12,'Catalogue Aluminium'!$P$12))))))</f>
        <v>NA</v>
      </c>
      <c r="AM26" s="344" t="str">
        <f>IF(T26="AIR","NA",IF(T26="TRENCH","NA",IF(T26="DUCT",IF(U26="1C",VLOOKUP(V26,'Catalogue Aluminium'!$Q$9:$S$28,2,FALSE),VLOOKUP(V26,'Catalogue Aluminium'!$Q$9:$S$28,3)),IF(T26="GROUND",IF(U26="1C",VLOOKUP(V26,'Catalogue Aluminium'!$Q$9:$S$28,2,FALSE),VLOOKUP(V26,'Catalogue Aluminium'!$Q$9:$S$28,3))))))</f>
        <v>NA</v>
      </c>
      <c r="AN26" s="351">
        <f>IF(T26="AIR",AI26*AJ26,IF(T26="TRENCH",AI26*AJ26,IF(T26="DUCT",AJ26*AK26*AL26*AM26,IF(T26="GROUND",AJ26*AK26*AL26*AM26))))</f>
        <v>0.58740000000000003</v>
      </c>
      <c r="AO26" s="350">
        <f>Z26*AN26</f>
        <v>16.447200000000002</v>
      </c>
      <c r="AP26" s="349">
        <f>CEILING(((N26)/AO26),1)</f>
        <v>1</v>
      </c>
      <c r="AQ26" s="350" t="str">
        <f>IF(AO26*AP26&gt;=N26,"YES","NO")</f>
        <v>YES</v>
      </c>
      <c r="AR26" s="351">
        <f>SQRT(3)*AH26*N26*((AA26*L26)+(AB26*SIN(ACOS(L26))))*100/(AP26*K26*1000)</f>
        <v>0.78931541573233943</v>
      </c>
      <c r="AS26" s="343" t="str">
        <f>IF(G26="INCOMER",(IF(AR26&lt;=2,"YES","NO")),IF(G26="POWER",(IF(AR26&lt;=2.5,"YES","NO")),IF(G26="MOTOR",(IF(AR26&lt;=3,"YES","NO")))))</f>
        <v>YES</v>
      </c>
      <c r="AT26" s="351" t="str">
        <f t="shared" si="210"/>
        <v>NA</v>
      </c>
      <c r="AU26" s="343" t="str">
        <f t="shared" si="211"/>
        <v>NA</v>
      </c>
      <c r="AV26" s="354" t="str">
        <f t="shared" si="212"/>
        <v>1R x 0.6/1kV x 3C x 2.5 Sqmm</v>
      </c>
      <c r="AW26" s="354" t="str">
        <f t="shared" si="213"/>
        <v>1R x 0.6/1kV x 3C x 2.5 Sqmm</v>
      </c>
      <c r="AX26" s="343">
        <f t="shared" si="214"/>
        <v>200</v>
      </c>
      <c r="AY26" s="355"/>
      <c r="AZ26" s="355">
        <f t="shared" si="215"/>
        <v>2</v>
      </c>
      <c r="BA26" s="356" t="str">
        <f t="shared" si="216"/>
        <v>Q3RR1R1.A</v>
      </c>
      <c r="BB26" s="501">
        <f>VLOOKUP(W26,'Catalogue Aluminium'!$B$9:$H$93,7,FALSE)</f>
        <v>14</v>
      </c>
      <c r="BC26" s="328">
        <f t="shared" si="217"/>
        <v>14</v>
      </c>
      <c r="BE26" s="336"/>
      <c r="BF26" s="336"/>
      <c r="BG26" s="336"/>
      <c r="BH26" s="336"/>
      <c r="BI26" s="336"/>
      <c r="BJ26" s="336"/>
      <c r="BK26" s="336"/>
      <c r="BL26" s="336"/>
      <c r="BM26" s="336"/>
      <c r="BN26" s="336"/>
      <c r="BO26" s="336"/>
      <c r="BP26" s="336"/>
      <c r="BQ26" s="336"/>
      <c r="BR26" s="336"/>
      <c r="BS26" s="336"/>
      <c r="BT26" s="336"/>
      <c r="BU26" s="336"/>
      <c r="BV26" s="336"/>
      <c r="BW26" s="336"/>
      <c r="BX26" s="336"/>
      <c r="BY26" s="336"/>
      <c r="BZ26" s="336"/>
      <c r="CA26" s="336"/>
      <c r="CB26" s="336"/>
      <c r="CC26" s="336"/>
      <c r="CD26" s="336"/>
      <c r="CE26" s="336"/>
      <c r="CF26" s="336"/>
      <c r="CG26" s="336"/>
      <c r="CH26" s="336"/>
      <c r="CI26" s="336"/>
      <c r="CJ26" s="336"/>
      <c r="CK26" s="336"/>
      <c r="CL26" s="336"/>
      <c r="CM26" s="336"/>
      <c r="CN26" s="336"/>
      <c r="CO26" s="336"/>
      <c r="CP26" s="336"/>
      <c r="CQ26" s="336"/>
      <c r="CR26" s="336"/>
      <c r="CS26" s="336"/>
      <c r="CT26" s="336"/>
      <c r="CU26" s="336"/>
      <c r="CV26" s="336"/>
      <c r="CW26" s="336"/>
      <c r="CX26" s="336"/>
      <c r="CY26" s="336"/>
      <c r="CZ26" s="336"/>
      <c r="DA26" s="336">
        <v>1</v>
      </c>
      <c r="DB26" s="336"/>
      <c r="DC26" s="336"/>
      <c r="DD26" s="336"/>
      <c r="DE26" s="336"/>
      <c r="DF26" s="336"/>
      <c r="DG26" s="336">
        <v>1</v>
      </c>
      <c r="DH26" s="336">
        <v>1</v>
      </c>
      <c r="DI26" s="336"/>
      <c r="DJ26" s="336">
        <v>1</v>
      </c>
      <c r="DK26" s="336"/>
      <c r="DL26" s="336"/>
      <c r="DM26" s="336"/>
      <c r="DN26" s="336"/>
      <c r="DO26" s="336"/>
      <c r="DP26" s="336"/>
      <c r="DQ26" s="336"/>
      <c r="DR26" s="336"/>
      <c r="DS26" s="336"/>
      <c r="DT26" s="336"/>
      <c r="DU26" s="336"/>
      <c r="DW26" s="336">
        <f t="shared" ref="DW26:ES26" si="239">IF(BE26=1,($BC26*BE26),0)</f>
        <v>0</v>
      </c>
      <c r="DX26" s="336">
        <f t="shared" si="239"/>
        <v>0</v>
      </c>
      <c r="DY26" s="336">
        <f t="shared" si="239"/>
        <v>0</v>
      </c>
      <c r="DZ26" s="336">
        <f t="shared" si="239"/>
        <v>0</v>
      </c>
      <c r="EA26" s="336">
        <f t="shared" si="239"/>
        <v>0</v>
      </c>
      <c r="EB26" s="336">
        <f t="shared" si="239"/>
        <v>0</v>
      </c>
      <c r="EC26" s="336">
        <f t="shared" si="239"/>
        <v>0</v>
      </c>
      <c r="ED26" s="336">
        <f t="shared" si="239"/>
        <v>0</v>
      </c>
      <c r="EE26" s="336">
        <f t="shared" si="239"/>
        <v>0</v>
      </c>
      <c r="EF26" s="336">
        <f t="shared" si="239"/>
        <v>0</v>
      </c>
      <c r="EG26" s="336">
        <f t="shared" si="239"/>
        <v>0</v>
      </c>
      <c r="EH26" s="336">
        <f t="shared" si="239"/>
        <v>0</v>
      </c>
      <c r="EI26" s="336">
        <f t="shared" si="239"/>
        <v>0</v>
      </c>
      <c r="EJ26" s="336">
        <f t="shared" si="239"/>
        <v>0</v>
      </c>
      <c r="EK26" s="336">
        <f t="shared" si="239"/>
        <v>0</v>
      </c>
      <c r="EL26" s="336">
        <f t="shared" si="239"/>
        <v>0</v>
      </c>
      <c r="EM26" s="336">
        <f t="shared" si="239"/>
        <v>0</v>
      </c>
      <c r="EN26" s="336">
        <f t="shared" si="239"/>
        <v>0</v>
      </c>
      <c r="EO26" s="336">
        <f t="shared" si="239"/>
        <v>0</v>
      </c>
      <c r="EP26" s="336">
        <f t="shared" si="239"/>
        <v>0</v>
      </c>
      <c r="EQ26" s="336">
        <f t="shared" si="239"/>
        <v>0</v>
      </c>
      <c r="ER26" s="336">
        <f t="shared" si="239"/>
        <v>0</v>
      </c>
      <c r="ES26" s="336">
        <f t="shared" si="239"/>
        <v>0</v>
      </c>
      <c r="ET26" s="336">
        <f t="shared" si="22"/>
        <v>0</v>
      </c>
      <c r="EU26" s="336">
        <f t="shared" ref="EU26:FC26" si="240">IF(CC26=1,($BC26*CC26),0)</f>
        <v>0</v>
      </c>
      <c r="EV26" s="336">
        <f t="shared" si="240"/>
        <v>0</v>
      </c>
      <c r="EW26" s="336">
        <f t="shared" si="240"/>
        <v>0</v>
      </c>
      <c r="EX26" s="336">
        <f t="shared" si="240"/>
        <v>0</v>
      </c>
      <c r="EY26" s="336">
        <f t="shared" si="240"/>
        <v>0</v>
      </c>
      <c r="EZ26" s="336">
        <f t="shared" si="240"/>
        <v>0</v>
      </c>
      <c r="FA26" s="336">
        <f t="shared" si="240"/>
        <v>0</v>
      </c>
      <c r="FB26" s="336">
        <f t="shared" si="240"/>
        <v>0</v>
      </c>
      <c r="FC26" s="336">
        <f t="shared" si="240"/>
        <v>0</v>
      </c>
      <c r="FD26" s="336">
        <f t="shared" si="32"/>
        <v>0</v>
      </c>
      <c r="FE26" s="336">
        <f t="shared" si="33"/>
        <v>0</v>
      </c>
      <c r="FF26" s="336">
        <f t="shared" si="34"/>
        <v>0</v>
      </c>
      <c r="FG26" s="336">
        <f t="shared" si="35"/>
        <v>0</v>
      </c>
      <c r="FH26" s="336">
        <f t="shared" si="36"/>
        <v>0</v>
      </c>
      <c r="FI26" s="336">
        <f t="shared" si="37"/>
        <v>0</v>
      </c>
      <c r="FJ26" s="336">
        <f t="shared" si="38"/>
        <v>0</v>
      </c>
      <c r="FK26" s="336">
        <f t="shared" si="39"/>
        <v>0</v>
      </c>
      <c r="FL26" s="336">
        <f t="shared" si="40"/>
        <v>0</v>
      </c>
      <c r="FM26" s="336">
        <f t="shared" si="41"/>
        <v>0</v>
      </c>
      <c r="FN26" s="336">
        <f t="shared" si="42"/>
        <v>0</v>
      </c>
      <c r="FO26" s="336">
        <f t="shared" si="43"/>
        <v>0</v>
      </c>
      <c r="FP26" s="336">
        <f t="shared" si="44"/>
        <v>0</v>
      </c>
      <c r="FQ26" s="336">
        <f t="shared" si="45"/>
        <v>0</v>
      </c>
      <c r="FR26" s="336">
        <f t="shared" si="46"/>
        <v>0</v>
      </c>
      <c r="FS26" s="336">
        <f t="shared" si="47"/>
        <v>14</v>
      </c>
      <c r="FT26" s="336">
        <f t="shared" si="48"/>
        <v>0</v>
      </c>
      <c r="FU26" s="336">
        <f t="shared" si="49"/>
        <v>0</v>
      </c>
      <c r="FV26" s="336">
        <f t="shared" si="50"/>
        <v>0</v>
      </c>
      <c r="FW26" s="336">
        <f t="shared" si="51"/>
        <v>0</v>
      </c>
      <c r="FX26" s="336">
        <f t="shared" si="52"/>
        <v>0</v>
      </c>
      <c r="FY26" s="336">
        <f t="shared" si="53"/>
        <v>14</v>
      </c>
      <c r="FZ26" s="336">
        <f t="shared" si="54"/>
        <v>14</v>
      </c>
      <c r="GA26" s="336">
        <f t="shared" si="55"/>
        <v>0</v>
      </c>
      <c r="GB26" s="336">
        <f t="shared" si="56"/>
        <v>14</v>
      </c>
      <c r="GC26" s="336">
        <f t="shared" si="57"/>
        <v>0</v>
      </c>
      <c r="GD26" s="336">
        <f t="shared" si="58"/>
        <v>0</v>
      </c>
      <c r="GE26" s="336">
        <f t="shared" si="59"/>
        <v>0</v>
      </c>
      <c r="GF26" s="336">
        <f t="shared" si="60"/>
        <v>0</v>
      </c>
      <c r="GG26" s="336">
        <f t="shared" si="61"/>
        <v>0</v>
      </c>
      <c r="GH26" s="336">
        <f t="shared" si="62"/>
        <v>0</v>
      </c>
      <c r="GI26" s="336">
        <f t="shared" si="63"/>
        <v>0</v>
      </c>
      <c r="GJ26" s="336">
        <f t="shared" si="64"/>
        <v>0</v>
      </c>
      <c r="GK26" s="336">
        <f t="shared" si="65"/>
        <v>0</v>
      </c>
      <c r="GL26" s="336">
        <f t="shared" si="67"/>
        <v>0</v>
      </c>
      <c r="GM26" s="336">
        <f t="shared" si="66"/>
        <v>0</v>
      </c>
    </row>
    <row r="27" spans="1:195" ht="20.100000000000001" customHeight="1">
      <c r="A27" s="337">
        <f t="shared" si="220"/>
        <v>19</v>
      </c>
      <c r="B27" s="337" t="s">
        <v>1120</v>
      </c>
      <c r="C27" s="372" t="str">
        <f t="shared" si="209"/>
        <v>PMCC-2</v>
      </c>
      <c r="D27" s="372" t="s">
        <v>1121</v>
      </c>
      <c r="E27" s="569" t="s">
        <v>387</v>
      </c>
      <c r="F27" s="337" t="s">
        <v>29</v>
      </c>
      <c r="G27" s="337" t="s">
        <v>350</v>
      </c>
      <c r="H27" s="583">
        <v>200</v>
      </c>
      <c r="I27" s="337" t="s">
        <v>330</v>
      </c>
      <c r="J27" s="337" t="s">
        <v>331</v>
      </c>
      <c r="K27" s="349">
        <v>400</v>
      </c>
      <c r="L27" s="343">
        <v>0.86</v>
      </c>
      <c r="M27" s="350">
        <v>0.96400000000000008</v>
      </c>
      <c r="N27" s="342">
        <f t="shared" si="221"/>
        <v>348.21432352041222</v>
      </c>
      <c r="O27" s="342">
        <f t="shared" si="222"/>
        <v>2089.2859411224736</v>
      </c>
      <c r="P27" s="343">
        <f t="shared" si="223"/>
        <v>0.2</v>
      </c>
      <c r="Q27" s="350">
        <v>65</v>
      </c>
      <c r="R27" s="350">
        <v>0</v>
      </c>
      <c r="S27" s="350">
        <f t="shared" si="224"/>
        <v>0</v>
      </c>
      <c r="T27" s="343" t="s">
        <v>332</v>
      </c>
      <c r="U27" s="350" t="s">
        <v>333</v>
      </c>
      <c r="V27" s="343">
        <v>240</v>
      </c>
      <c r="W27" s="343" t="str">
        <f t="shared" si="236"/>
        <v>3C X 240</v>
      </c>
      <c r="X27" s="343" t="str">
        <f t="shared" si="226"/>
        <v>3C X 240+PE</v>
      </c>
      <c r="Y27" s="343" t="s">
        <v>358</v>
      </c>
      <c r="Z27" s="344">
        <f>IF(T27="AIR",VLOOKUP(W27,'Catalogue Aluminium'!$B$9:$G$93,2,FALSE),IF(T27="GROUND",VLOOKUP(W27,'Catalogue Aluminium'!$B$9:$G$93,3,FALSE),IF(T27="DUCT",VLOOKUP(W27,'Catalogue Aluminium'!$B$9:$G$93,4,FALSE),IF(T27="TRENCH",VLOOKUP(W27,'Catalogue Aluminium'!$B$9:$G$93,2,FALSE)))))</f>
        <v>401</v>
      </c>
      <c r="AA27" s="345">
        <f>VLOOKUP(W27,'Catalogue Aluminium'!$B$9:$G$93,5,FALSE)</f>
        <v>0.16</v>
      </c>
      <c r="AB27" s="345">
        <f>VLOOKUP(W27,'Catalogue Aluminium'!$B$9:$G$93,6,FALSE)</f>
        <v>7.1900000000000006E-2</v>
      </c>
      <c r="AC27" s="343">
        <f>9.5+2.5</f>
        <v>12</v>
      </c>
      <c r="AD27" s="343">
        <f>95+14+14+14+14+14</f>
        <v>165</v>
      </c>
      <c r="AE27" s="343">
        <v>8</v>
      </c>
      <c r="AF27" s="343">
        <v>5</v>
      </c>
      <c r="AG27" s="343">
        <f t="shared" si="134"/>
        <v>19</v>
      </c>
      <c r="AH27" s="347">
        <f t="shared" si="227"/>
        <v>209</v>
      </c>
      <c r="AI27" s="344">
        <f>IF(T27="AIR",'Catalogue Aluminium'!$K$9,IF(T27="TRENCH",'Catalogue Aluminium'!$K$12,"NA"))</f>
        <v>0.89</v>
      </c>
      <c r="AJ27" s="342">
        <f>IF(T27="Air",(IF(U27="1C",'Catalogue Aluminium'!$L$9,'Catalogue Aluminium'!$M$9)),IF(T27="DUCT",(IF($U27="1C",'Catalogue Aluminium'!$L$10,'Catalogue Aluminium'!$M$10)),IF(T27="GROUND",(IF($U27="1C",'Catalogue Aluminium'!$L$11,'Catalogue Aluminium'!$M$11)),IF(T27="TRENCH",(IF($U27="1C",'Catalogue Aluminium'!$L$12,'Catalogue Aluminium'!$M$12))))))</f>
        <v>0.66</v>
      </c>
      <c r="AK27" s="344" t="str">
        <f>IF(T27="Air",'Catalogue Aluminium'!$N$9,IF(T27="GROUND",'Catalogue Aluminium'!$N$10,IF(T27="DUCT",'Catalogue Aluminium'!$N$11,IF(T27="TRENCH",'Catalogue Aluminium'!$N$12,"NA"))))</f>
        <v>NA</v>
      </c>
      <c r="AL27" s="344" t="str">
        <f>IF(T27="Air",(IF(U27="1C",'Catalogue Aluminium'!$O$9,'Catalogue Aluminium'!$P$9)),IF(T27="DUCT",(IF($U27="1C",'Catalogue Aluminium'!$O$10,'Catalogue Aluminium'!$P$10)),IF(T27="GROUND",(IF($U27="1C",'Catalogue Aluminium'!$O$11,'Catalogue Aluminium'!$P$11)),IF(T27="TRENCH",(IF($U27="1C",'Catalogue Aluminium'!$O$12,'Catalogue Aluminium'!$P$12))))))</f>
        <v>NA</v>
      </c>
      <c r="AM27" s="344" t="str">
        <f>IF(T27="AIR","NA",IF(T27="TRENCH","NA",IF(T27="DUCT",IF(U27="1C",VLOOKUP(V27,'Catalogue Aluminium'!$Q$9:$S$28,2,FALSE),VLOOKUP(V27,'Catalogue Aluminium'!$Q$9:$S$28,3)),IF(T27="GROUND",IF(U27="1C",VLOOKUP(V27,'Catalogue Aluminium'!$Q$9:$S$28,2,FALSE),VLOOKUP(V27,'Catalogue Aluminium'!$Q$9:$S$28,3))))))</f>
        <v>NA</v>
      </c>
      <c r="AN27" s="351">
        <f t="shared" si="228"/>
        <v>0.58740000000000003</v>
      </c>
      <c r="AO27" s="350">
        <f t="shared" si="229"/>
        <v>235.54740000000001</v>
      </c>
      <c r="AP27" s="349">
        <f t="shared" si="230"/>
        <v>2</v>
      </c>
      <c r="AQ27" s="350" t="str">
        <f t="shared" si="231"/>
        <v>YES</v>
      </c>
      <c r="AR27" s="351">
        <f t="shared" si="136"/>
        <v>2.7462266615128312</v>
      </c>
      <c r="AS27" s="343" t="str">
        <f t="shared" si="137"/>
        <v>YES</v>
      </c>
      <c r="AT27" s="351">
        <f t="shared" si="210"/>
        <v>9.6853524966592861</v>
      </c>
      <c r="AU27" s="343" t="str">
        <f t="shared" si="211"/>
        <v>YES</v>
      </c>
      <c r="AV27" s="354" t="str">
        <f t="shared" si="212"/>
        <v>2R x 0.6/1kV x 3C x 240 Sqmm</v>
      </c>
      <c r="AW27" s="354" t="str">
        <f t="shared" si="213"/>
        <v>2R x 0.6/1kV x 3C x 240+PE Sqmm</v>
      </c>
      <c r="AX27" s="343">
        <f t="shared" si="214"/>
        <v>418</v>
      </c>
      <c r="AY27" s="355"/>
      <c r="AZ27" s="355">
        <f t="shared" si="215"/>
        <v>4</v>
      </c>
      <c r="BA27" s="356" t="str">
        <f t="shared" si="216"/>
        <v>Q3RR1R1.A</v>
      </c>
      <c r="BB27" s="501">
        <f>VLOOKUP(W27,'Catalogue Aluminium'!$B$9:$H$93,7,FALSE)</f>
        <v>48</v>
      </c>
      <c r="BC27" s="328">
        <f t="shared" si="217"/>
        <v>96</v>
      </c>
      <c r="BE27" s="336"/>
      <c r="BF27" s="336"/>
      <c r="BG27" s="336"/>
      <c r="BH27" s="336"/>
      <c r="BI27" s="336"/>
      <c r="BJ27" s="336"/>
      <c r="BK27" s="336"/>
      <c r="BL27" s="336"/>
      <c r="BM27" s="336"/>
      <c r="BN27" s="336"/>
      <c r="BO27" s="336"/>
      <c r="BP27" s="336"/>
      <c r="BQ27" s="336"/>
      <c r="BR27" s="336"/>
      <c r="BS27" s="336"/>
      <c r="BT27" s="336"/>
      <c r="BU27" s="336"/>
      <c r="BV27" s="336"/>
      <c r="BW27" s="336"/>
      <c r="BX27" s="336"/>
      <c r="BY27" s="336"/>
      <c r="BZ27" s="336"/>
      <c r="CA27" s="336"/>
      <c r="CB27" s="336"/>
      <c r="CC27" s="336"/>
      <c r="CD27" s="336"/>
      <c r="CE27" s="336"/>
      <c r="CF27" s="336"/>
      <c r="CG27" s="336"/>
      <c r="CH27" s="336"/>
      <c r="CI27" s="336"/>
      <c r="CJ27" s="336"/>
      <c r="CK27" s="336"/>
      <c r="CL27" s="336"/>
      <c r="CM27" s="336"/>
      <c r="CN27" s="336"/>
      <c r="CO27" s="336"/>
      <c r="CP27" s="336"/>
      <c r="CQ27" s="336"/>
      <c r="CR27" s="336"/>
      <c r="CS27" s="336"/>
      <c r="CT27" s="336"/>
      <c r="CU27" s="336"/>
      <c r="CV27" s="336"/>
      <c r="CW27" s="336"/>
      <c r="CX27" s="336"/>
      <c r="CY27" s="336"/>
      <c r="CZ27" s="336"/>
      <c r="DA27" s="336">
        <v>1</v>
      </c>
      <c r="DB27" s="336"/>
      <c r="DC27" s="336"/>
      <c r="DD27" s="336"/>
      <c r="DE27" s="336"/>
      <c r="DF27" s="336"/>
      <c r="DG27" s="336">
        <v>1</v>
      </c>
      <c r="DH27" s="336">
        <v>1</v>
      </c>
      <c r="DI27" s="336"/>
      <c r="DJ27" s="336">
        <v>1</v>
      </c>
      <c r="DK27" s="336"/>
      <c r="DL27" s="336"/>
      <c r="DM27" s="336"/>
      <c r="DN27" s="336"/>
      <c r="DO27" s="336"/>
      <c r="DP27" s="336"/>
      <c r="DQ27" s="336"/>
      <c r="DR27" s="336"/>
      <c r="DS27" s="336"/>
      <c r="DT27" s="336"/>
      <c r="DU27" s="336"/>
      <c r="DW27" s="336">
        <f t="shared" si="80"/>
        <v>0</v>
      </c>
      <c r="DX27" s="336">
        <f t="shared" si="1"/>
        <v>0</v>
      </c>
      <c r="DY27" s="336">
        <f t="shared" si="2"/>
        <v>0</v>
      </c>
      <c r="DZ27" s="336">
        <f t="shared" si="3"/>
        <v>0</v>
      </c>
      <c r="EA27" s="336">
        <f t="shared" si="4"/>
        <v>0</v>
      </c>
      <c r="EB27" s="336">
        <f t="shared" si="5"/>
        <v>0</v>
      </c>
      <c r="EC27" s="336">
        <f t="shared" si="6"/>
        <v>0</v>
      </c>
      <c r="ED27" s="336">
        <f t="shared" si="7"/>
        <v>0</v>
      </c>
      <c r="EE27" s="336">
        <f t="shared" si="8"/>
        <v>0</v>
      </c>
      <c r="EF27" s="336">
        <f t="shared" si="9"/>
        <v>0</v>
      </c>
      <c r="EG27" s="336">
        <f t="shared" si="10"/>
        <v>0</v>
      </c>
      <c r="EH27" s="336">
        <f t="shared" si="11"/>
        <v>0</v>
      </c>
      <c r="EI27" s="336">
        <f t="shared" si="12"/>
        <v>0</v>
      </c>
      <c r="EJ27" s="336">
        <f t="shared" si="13"/>
        <v>0</v>
      </c>
      <c r="EK27" s="336">
        <f t="shared" si="14"/>
        <v>0</v>
      </c>
      <c r="EL27" s="336">
        <f t="shared" si="15"/>
        <v>0</v>
      </c>
      <c r="EM27" s="336">
        <f t="shared" si="16"/>
        <v>0</v>
      </c>
      <c r="EN27" s="336">
        <f t="shared" si="17"/>
        <v>0</v>
      </c>
      <c r="EO27" s="336">
        <f t="shared" si="18"/>
        <v>0</v>
      </c>
      <c r="EP27" s="336">
        <f t="shared" si="19"/>
        <v>0</v>
      </c>
      <c r="EQ27" s="336">
        <f t="shared" si="20"/>
        <v>0</v>
      </c>
      <c r="ER27" s="336">
        <f t="shared" si="21"/>
        <v>0</v>
      </c>
      <c r="ES27" s="336">
        <f t="shared" si="22"/>
        <v>0</v>
      </c>
      <c r="ET27" s="336">
        <f t="shared" si="22"/>
        <v>0</v>
      </c>
      <c r="EU27" s="336">
        <f t="shared" si="23"/>
        <v>0</v>
      </c>
      <c r="EV27" s="336">
        <f t="shared" si="24"/>
        <v>0</v>
      </c>
      <c r="EW27" s="336">
        <f t="shared" si="25"/>
        <v>0</v>
      </c>
      <c r="EX27" s="336">
        <f t="shared" si="26"/>
        <v>0</v>
      </c>
      <c r="EY27" s="336">
        <f t="shared" si="27"/>
        <v>0</v>
      </c>
      <c r="EZ27" s="336">
        <f t="shared" si="28"/>
        <v>0</v>
      </c>
      <c r="FA27" s="336">
        <f t="shared" si="29"/>
        <v>0</v>
      </c>
      <c r="FB27" s="336">
        <f t="shared" si="30"/>
        <v>0</v>
      </c>
      <c r="FC27" s="336">
        <f t="shared" si="31"/>
        <v>0</v>
      </c>
      <c r="FD27" s="336">
        <f t="shared" si="32"/>
        <v>0</v>
      </c>
      <c r="FE27" s="336">
        <f t="shared" si="33"/>
        <v>0</v>
      </c>
      <c r="FF27" s="336">
        <f t="shared" si="34"/>
        <v>0</v>
      </c>
      <c r="FG27" s="336">
        <f t="shared" si="35"/>
        <v>0</v>
      </c>
      <c r="FH27" s="336">
        <f t="shared" si="36"/>
        <v>0</v>
      </c>
      <c r="FI27" s="336">
        <f t="shared" si="37"/>
        <v>0</v>
      </c>
      <c r="FJ27" s="336">
        <f t="shared" si="38"/>
        <v>0</v>
      </c>
      <c r="FK27" s="336">
        <f t="shared" si="39"/>
        <v>0</v>
      </c>
      <c r="FL27" s="336">
        <f t="shared" si="40"/>
        <v>0</v>
      </c>
      <c r="FM27" s="336">
        <f t="shared" si="41"/>
        <v>0</v>
      </c>
      <c r="FN27" s="336">
        <f t="shared" si="42"/>
        <v>0</v>
      </c>
      <c r="FO27" s="336">
        <f t="shared" si="43"/>
        <v>0</v>
      </c>
      <c r="FP27" s="336">
        <f t="shared" si="44"/>
        <v>0</v>
      </c>
      <c r="FQ27" s="336">
        <f t="shared" si="45"/>
        <v>0</v>
      </c>
      <c r="FR27" s="336">
        <f t="shared" si="46"/>
        <v>0</v>
      </c>
      <c r="FS27" s="336">
        <f t="shared" si="47"/>
        <v>96</v>
      </c>
      <c r="FT27" s="336">
        <f t="shared" si="48"/>
        <v>0</v>
      </c>
      <c r="FU27" s="336">
        <f t="shared" si="49"/>
        <v>0</v>
      </c>
      <c r="FV27" s="336">
        <f t="shared" si="50"/>
        <v>0</v>
      </c>
      <c r="FW27" s="336">
        <f t="shared" si="51"/>
        <v>0</v>
      </c>
      <c r="FX27" s="336">
        <f t="shared" si="52"/>
        <v>0</v>
      </c>
      <c r="FY27" s="336">
        <f t="shared" si="53"/>
        <v>96</v>
      </c>
      <c r="FZ27" s="336">
        <f t="shared" si="54"/>
        <v>96</v>
      </c>
      <c r="GA27" s="336">
        <f t="shared" si="55"/>
        <v>0</v>
      </c>
      <c r="GB27" s="336">
        <f t="shared" si="56"/>
        <v>96</v>
      </c>
      <c r="GC27" s="336">
        <f t="shared" si="57"/>
        <v>0</v>
      </c>
      <c r="GD27" s="336">
        <f t="shared" si="58"/>
        <v>0</v>
      </c>
      <c r="GE27" s="336">
        <f t="shared" si="59"/>
        <v>0</v>
      </c>
      <c r="GF27" s="336">
        <f t="shared" si="60"/>
        <v>0</v>
      </c>
      <c r="GG27" s="336">
        <f t="shared" si="61"/>
        <v>0</v>
      </c>
      <c r="GH27" s="336">
        <f t="shared" si="62"/>
        <v>0</v>
      </c>
      <c r="GI27" s="336">
        <f t="shared" si="63"/>
        <v>0</v>
      </c>
      <c r="GJ27" s="336">
        <f t="shared" si="64"/>
        <v>0</v>
      </c>
      <c r="GK27" s="336">
        <f t="shared" si="65"/>
        <v>0</v>
      </c>
      <c r="GL27" s="336">
        <f t="shared" si="67"/>
        <v>0</v>
      </c>
      <c r="GM27" s="336">
        <f t="shared" si="66"/>
        <v>0</v>
      </c>
    </row>
    <row r="28" spans="1:195">
      <c r="A28" s="337">
        <f t="shared" si="220"/>
        <v>20</v>
      </c>
      <c r="B28" s="337" t="s">
        <v>527</v>
      </c>
      <c r="C28" s="372" t="str">
        <f t="shared" si="209"/>
        <v>PMCC-2</v>
      </c>
      <c r="D28" s="372" t="s">
        <v>1122</v>
      </c>
      <c r="E28" s="569" t="s">
        <v>387</v>
      </c>
      <c r="F28" s="337" t="s">
        <v>28</v>
      </c>
      <c r="G28" s="337" t="s">
        <v>329</v>
      </c>
      <c r="H28" s="350">
        <v>0.12</v>
      </c>
      <c r="I28" s="337" t="s">
        <v>330</v>
      </c>
      <c r="J28" s="349" t="s">
        <v>357</v>
      </c>
      <c r="K28" s="349">
        <v>230</v>
      </c>
      <c r="L28" s="343">
        <v>0.85</v>
      </c>
      <c r="M28" s="350">
        <v>0.95</v>
      </c>
      <c r="N28" s="342">
        <f>IF(I28="kVA",IF(J28="3Ph",(H28*1000/(1.732*M28*K28)),(H28*1000/(M28*K28))),IF(I28="kW",IF(J28="3Ph",(H28*1000/(1.732*M28*K28*L28)),(H28*1000/(M28*K28*L28)))))</f>
        <v>0.64611657019787327</v>
      </c>
      <c r="O28" s="342">
        <f>IF(G28="MOTOR",(6*N28),IF(G28="VFD",(1*N28),0))</f>
        <v>0</v>
      </c>
      <c r="P28" s="343" t="str">
        <f>IF(G28="MOTOR",0.2,"0.00")</f>
        <v>0.00</v>
      </c>
      <c r="Q28" s="350">
        <v>65</v>
      </c>
      <c r="R28" s="350">
        <v>0</v>
      </c>
      <c r="S28" s="350">
        <f>(Q28*1000*SQRT(R28)/143)</f>
        <v>0</v>
      </c>
      <c r="T28" s="343" t="s">
        <v>332</v>
      </c>
      <c r="U28" s="350" t="s">
        <v>333</v>
      </c>
      <c r="V28" s="343">
        <v>2.5</v>
      </c>
      <c r="W28" s="343" t="str">
        <f>CONCATENATE(U28," X ",V28)</f>
        <v>3C X 2.5</v>
      </c>
      <c r="X28" s="343" t="str">
        <f>(IF(J28="1Ph",W28,IF(J28="3Ph",(IF(G28="MOTOR",(CONCATENATE(W28,"+PE")),W28)))))</f>
        <v>3C X 2.5</v>
      </c>
      <c r="Y28" s="343" t="s">
        <v>358</v>
      </c>
      <c r="Z28" s="344">
        <f>IF(T28="AIR",VLOOKUP(W28,'Catalogue Aluminium'!$B$9:$G$93,2,FALSE),IF(T28="GROUND",VLOOKUP(W28,'Catalogue Aluminium'!$B$9:$G$93,3,FALSE),IF(T28="DUCT",VLOOKUP(W28,'Catalogue Aluminium'!$B$9:$G$93,4,FALSE),IF(T28="TRENCH",VLOOKUP(W28,'Catalogue Aluminium'!$B$9:$G$93,2,FALSE)))))</f>
        <v>28</v>
      </c>
      <c r="AA28" s="345">
        <f>VLOOKUP(W28,'Catalogue Aluminium'!$B$9:$G$93,5,FALSE)</f>
        <v>9.48</v>
      </c>
      <c r="AB28" s="345">
        <f>VLOOKUP(W28,'Catalogue Aluminium'!$B$9:$G$93,6,FALSE)</f>
        <v>0.1007</v>
      </c>
      <c r="AC28" s="343">
        <f t="shared" si="219"/>
        <v>12</v>
      </c>
      <c r="AD28" s="343">
        <f>95+14+14+14+14+14</f>
        <v>165</v>
      </c>
      <c r="AE28" s="343">
        <v>10</v>
      </c>
      <c r="AF28" s="343">
        <v>8</v>
      </c>
      <c r="AG28" s="343">
        <f>ROUNDUP((SUM(AC28:AF28)*0.1),0)</f>
        <v>20</v>
      </c>
      <c r="AH28" s="347">
        <f>SUM(AC28:AG28)</f>
        <v>215</v>
      </c>
      <c r="AI28" s="344">
        <f>IF(T28="AIR",'Catalogue Aluminium'!$K$9,IF(T28="TRENCH",'Catalogue Aluminium'!$K$12,"NA"))</f>
        <v>0.89</v>
      </c>
      <c r="AJ28" s="342">
        <f>IF(T28="Air",(IF(U28="1C",'Catalogue Aluminium'!$L$9,'Catalogue Aluminium'!$M$9)),IF(T28="DUCT",(IF($U28="1C",'Catalogue Aluminium'!$L$10,'Catalogue Aluminium'!$M$10)),IF(T28="GROUND",(IF($U28="1C",'Catalogue Aluminium'!$L$11,'Catalogue Aluminium'!$M$11)),IF(T28="TRENCH",(IF($U28="1C",'Catalogue Aluminium'!$L$12,'Catalogue Aluminium'!$M$12))))))</f>
        <v>0.66</v>
      </c>
      <c r="AK28" s="344" t="str">
        <f>IF(T28="Air",'Catalogue Aluminium'!$N$9,IF(T28="GROUND",'Catalogue Aluminium'!$N$10,IF(T28="DUCT",'Catalogue Aluminium'!$N$11,IF(T28="TRENCH",'Catalogue Aluminium'!$N$12,"NA"))))</f>
        <v>NA</v>
      </c>
      <c r="AL28" s="344" t="str">
        <f>IF(T28="Air",(IF(U28="1C",'Catalogue Aluminium'!$O$9,'Catalogue Aluminium'!$P$9)),IF(T28="DUCT",(IF($U28="1C",'Catalogue Aluminium'!$O$10,'Catalogue Aluminium'!$P$10)),IF(T28="GROUND",(IF($U28="1C",'Catalogue Aluminium'!$O$11,'Catalogue Aluminium'!$P$11)),IF(T28="TRENCH",(IF($U28="1C",'Catalogue Aluminium'!$O$12,'Catalogue Aluminium'!$P$12))))))</f>
        <v>NA</v>
      </c>
      <c r="AM28" s="344" t="str">
        <f>IF(T28="AIR","NA",IF(T28="TRENCH","NA",IF(T28="DUCT",IF(U28="1C",VLOOKUP(V28,'Catalogue Aluminium'!$Q$9:$S$28,2,FALSE),VLOOKUP(V28,'Catalogue Aluminium'!$Q$9:$S$28,3)),IF(T28="GROUND",IF(U28="1C",VLOOKUP(V28,'Catalogue Aluminium'!$Q$9:$S$28,2,FALSE),VLOOKUP(V28,'Catalogue Aluminium'!$Q$9:$S$28,3))))))</f>
        <v>NA</v>
      </c>
      <c r="AN28" s="351">
        <f>IF(T28="AIR",AI28*AJ28,IF(T28="TRENCH",AI28*AJ28,IF(T28="DUCT",AJ28*AK28*AL28*AM28,IF(T28="GROUND",AJ28*AK28*AL28*AM28))))</f>
        <v>0.58740000000000003</v>
      </c>
      <c r="AO28" s="350">
        <f>Z28*AN28</f>
        <v>16.447200000000002</v>
      </c>
      <c r="AP28" s="349">
        <f>CEILING(((N28)/AO28),1)</f>
        <v>1</v>
      </c>
      <c r="AQ28" s="350" t="str">
        <f>IF(AO28*AP28&gt;=N28,"YES","NO")</f>
        <v>YES</v>
      </c>
      <c r="AR28" s="351">
        <f>SQRT(3)*AH28*N28*((AA28*L28)+(AB28*SIN(ACOS(L28))))*100/(AP28*K28*1000)</f>
        <v>0.8485140719122648</v>
      </c>
      <c r="AS28" s="343" t="str">
        <f>IF(G28="INCOMER",(IF(AR28&lt;=2,"YES","NO")),IF(G28="POWER",(IF(AR28&lt;=2.5,"YES","NO")),IF(G28="MOTOR",(IF(AR28&lt;=3,"YES","NO")))))</f>
        <v>YES</v>
      </c>
      <c r="AT28" s="351" t="str">
        <f t="shared" si="210"/>
        <v>NA</v>
      </c>
      <c r="AU28" s="343" t="str">
        <f t="shared" si="211"/>
        <v>NA</v>
      </c>
      <c r="AV28" s="354" t="str">
        <f t="shared" si="212"/>
        <v>1R x 0.6/1kV x 3C x 2.5 Sqmm</v>
      </c>
      <c r="AW28" s="354" t="str">
        <f t="shared" si="213"/>
        <v>1R x 0.6/1kV x 3C x 2.5 Sqmm</v>
      </c>
      <c r="AX28" s="343">
        <f t="shared" si="214"/>
        <v>215</v>
      </c>
      <c r="AY28" s="355"/>
      <c r="AZ28" s="355">
        <f t="shared" si="215"/>
        <v>2</v>
      </c>
      <c r="BA28" s="356" t="str">
        <f t="shared" si="216"/>
        <v>Q3RR1R1.A</v>
      </c>
      <c r="BB28" s="501">
        <f>VLOOKUP(W28,'Catalogue Aluminium'!$B$9:$H$93,7,FALSE)</f>
        <v>14</v>
      </c>
      <c r="BC28" s="328">
        <f t="shared" si="217"/>
        <v>14</v>
      </c>
      <c r="BE28" s="336"/>
      <c r="BF28" s="336"/>
      <c r="BG28" s="336"/>
      <c r="BH28" s="336"/>
      <c r="BI28" s="336"/>
      <c r="BJ28" s="336"/>
      <c r="BK28" s="336"/>
      <c r="BL28" s="336"/>
      <c r="BM28" s="336"/>
      <c r="BN28" s="336"/>
      <c r="BO28" s="336"/>
      <c r="BP28" s="336"/>
      <c r="BQ28" s="336"/>
      <c r="BR28" s="336"/>
      <c r="BS28" s="336"/>
      <c r="BT28" s="336"/>
      <c r="BU28" s="336"/>
      <c r="BV28" s="336"/>
      <c r="BW28" s="336"/>
      <c r="BX28" s="336"/>
      <c r="BY28" s="336"/>
      <c r="BZ28" s="336"/>
      <c r="CA28" s="336"/>
      <c r="CB28" s="336"/>
      <c r="CC28" s="336"/>
      <c r="CD28" s="336"/>
      <c r="CE28" s="336"/>
      <c r="CF28" s="336"/>
      <c r="CG28" s="336"/>
      <c r="CH28" s="336"/>
      <c r="CI28" s="336"/>
      <c r="CJ28" s="336"/>
      <c r="CK28" s="336"/>
      <c r="CL28" s="336"/>
      <c r="CM28" s="336"/>
      <c r="CN28" s="336"/>
      <c r="CO28" s="336"/>
      <c r="CP28" s="336"/>
      <c r="CQ28" s="336"/>
      <c r="CR28" s="336"/>
      <c r="CS28" s="336"/>
      <c r="CT28" s="336"/>
      <c r="CU28" s="336"/>
      <c r="CV28" s="336"/>
      <c r="CW28" s="336"/>
      <c r="CX28" s="336"/>
      <c r="CY28" s="336"/>
      <c r="CZ28" s="336"/>
      <c r="DA28" s="336">
        <v>1</v>
      </c>
      <c r="DB28" s="336"/>
      <c r="DC28" s="336"/>
      <c r="DD28" s="336"/>
      <c r="DE28" s="336"/>
      <c r="DF28" s="336"/>
      <c r="DG28" s="336">
        <v>1</v>
      </c>
      <c r="DH28" s="336">
        <v>1</v>
      </c>
      <c r="DI28" s="336"/>
      <c r="DJ28" s="336">
        <v>1</v>
      </c>
      <c r="DK28" s="336"/>
      <c r="DL28" s="336"/>
      <c r="DM28" s="336"/>
      <c r="DN28" s="336"/>
      <c r="DO28" s="336"/>
      <c r="DP28" s="336"/>
      <c r="DQ28" s="336"/>
      <c r="DR28" s="336"/>
      <c r="DS28" s="336"/>
      <c r="DT28" s="336"/>
      <c r="DU28" s="336"/>
      <c r="DW28" s="336">
        <f t="shared" ref="DW28:ES28" si="241">IF(BE28=1,($BC28*BE28),0)</f>
        <v>0</v>
      </c>
      <c r="DX28" s="336">
        <f t="shared" si="241"/>
        <v>0</v>
      </c>
      <c r="DY28" s="336">
        <f t="shared" si="241"/>
        <v>0</v>
      </c>
      <c r="DZ28" s="336">
        <f t="shared" si="241"/>
        <v>0</v>
      </c>
      <c r="EA28" s="336">
        <f t="shared" si="241"/>
        <v>0</v>
      </c>
      <c r="EB28" s="336">
        <f t="shared" si="241"/>
        <v>0</v>
      </c>
      <c r="EC28" s="336">
        <f t="shared" si="241"/>
        <v>0</v>
      </c>
      <c r="ED28" s="336">
        <f t="shared" si="241"/>
        <v>0</v>
      </c>
      <c r="EE28" s="336">
        <f t="shared" si="241"/>
        <v>0</v>
      </c>
      <c r="EF28" s="336">
        <f t="shared" si="241"/>
        <v>0</v>
      </c>
      <c r="EG28" s="336">
        <f t="shared" si="241"/>
        <v>0</v>
      </c>
      <c r="EH28" s="336">
        <f t="shared" si="241"/>
        <v>0</v>
      </c>
      <c r="EI28" s="336">
        <f t="shared" si="241"/>
        <v>0</v>
      </c>
      <c r="EJ28" s="336">
        <f t="shared" si="241"/>
        <v>0</v>
      </c>
      <c r="EK28" s="336">
        <f t="shared" si="241"/>
        <v>0</v>
      </c>
      <c r="EL28" s="336">
        <f t="shared" si="241"/>
        <v>0</v>
      </c>
      <c r="EM28" s="336">
        <f t="shared" si="241"/>
        <v>0</v>
      </c>
      <c r="EN28" s="336">
        <f t="shared" si="241"/>
        <v>0</v>
      </c>
      <c r="EO28" s="336">
        <f t="shared" si="241"/>
        <v>0</v>
      </c>
      <c r="EP28" s="336">
        <f t="shared" si="241"/>
        <v>0</v>
      </c>
      <c r="EQ28" s="336">
        <f t="shared" si="241"/>
        <v>0</v>
      </c>
      <c r="ER28" s="336">
        <f t="shared" si="241"/>
        <v>0</v>
      </c>
      <c r="ES28" s="336">
        <f t="shared" si="241"/>
        <v>0</v>
      </c>
      <c r="ET28" s="336">
        <f t="shared" si="22"/>
        <v>0</v>
      </c>
      <c r="EU28" s="336">
        <f t="shared" ref="EU28:FC28" si="242">IF(CC28=1,($BC28*CC28),0)</f>
        <v>0</v>
      </c>
      <c r="EV28" s="336">
        <f t="shared" si="242"/>
        <v>0</v>
      </c>
      <c r="EW28" s="336">
        <f t="shared" si="242"/>
        <v>0</v>
      </c>
      <c r="EX28" s="336">
        <f t="shared" si="242"/>
        <v>0</v>
      </c>
      <c r="EY28" s="336">
        <f t="shared" si="242"/>
        <v>0</v>
      </c>
      <c r="EZ28" s="336">
        <f t="shared" si="242"/>
        <v>0</v>
      </c>
      <c r="FA28" s="336">
        <f t="shared" si="242"/>
        <v>0</v>
      </c>
      <c r="FB28" s="336">
        <f t="shared" si="242"/>
        <v>0</v>
      </c>
      <c r="FC28" s="336">
        <f t="shared" si="242"/>
        <v>0</v>
      </c>
      <c r="FD28" s="336">
        <f t="shared" si="32"/>
        <v>0</v>
      </c>
      <c r="FE28" s="336">
        <f t="shared" si="33"/>
        <v>0</v>
      </c>
      <c r="FF28" s="336">
        <f t="shared" si="34"/>
        <v>0</v>
      </c>
      <c r="FG28" s="336">
        <f t="shared" si="35"/>
        <v>0</v>
      </c>
      <c r="FH28" s="336">
        <f t="shared" si="36"/>
        <v>0</v>
      </c>
      <c r="FI28" s="336">
        <f t="shared" si="37"/>
        <v>0</v>
      </c>
      <c r="FJ28" s="336">
        <f t="shared" si="38"/>
        <v>0</v>
      </c>
      <c r="FK28" s="336">
        <f t="shared" si="39"/>
        <v>0</v>
      </c>
      <c r="FL28" s="336">
        <f t="shared" si="40"/>
        <v>0</v>
      </c>
      <c r="FM28" s="336">
        <f t="shared" si="41"/>
        <v>0</v>
      </c>
      <c r="FN28" s="336">
        <f t="shared" si="42"/>
        <v>0</v>
      </c>
      <c r="FO28" s="336">
        <f t="shared" si="43"/>
        <v>0</v>
      </c>
      <c r="FP28" s="336">
        <f t="shared" si="44"/>
        <v>0</v>
      </c>
      <c r="FQ28" s="336">
        <f t="shared" si="45"/>
        <v>0</v>
      </c>
      <c r="FR28" s="336">
        <f t="shared" si="46"/>
        <v>0</v>
      </c>
      <c r="FS28" s="336">
        <f t="shared" si="47"/>
        <v>14</v>
      </c>
      <c r="FT28" s="336">
        <f t="shared" si="48"/>
        <v>0</v>
      </c>
      <c r="FU28" s="336">
        <f t="shared" si="49"/>
        <v>0</v>
      </c>
      <c r="FV28" s="336">
        <f t="shared" si="50"/>
        <v>0</v>
      </c>
      <c r="FW28" s="336">
        <f t="shared" si="51"/>
        <v>0</v>
      </c>
      <c r="FX28" s="336">
        <f t="shared" si="52"/>
        <v>0</v>
      </c>
      <c r="FY28" s="336">
        <f t="shared" si="53"/>
        <v>14</v>
      </c>
      <c r="FZ28" s="336">
        <f t="shared" si="54"/>
        <v>14</v>
      </c>
      <c r="GA28" s="336">
        <f t="shared" si="55"/>
        <v>0</v>
      </c>
      <c r="GB28" s="336">
        <f t="shared" si="56"/>
        <v>14</v>
      </c>
      <c r="GC28" s="336">
        <f t="shared" si="57"/>
        <v>0</v>
      </c>
      <c r="GD28" s="336">
        <f t="shared" si="58"/>
        <v>0</v>
      </c>
      <c r="GE28" s="336">
        <f t="shared" si="59"/>
        <v>0</v>
      </c>
      <c r="GF28" s="336">
        <f t="shared" si="60"/>
        <v>0</v>
      </c>
      <c r="GG28" s="336">
        <f t="shared" si="61"/>
        <v>0</v>
      </c>
      <c r="GH28" s="336">
        <f t="shared" si="62"/>
        <v>0</v>
      </c>
      <c r="GI28" s="336">
        <f t="shared" si="63"/>
        <v>0</v>
      </c>
      <c r="GJ28" s="336">
        <f t="shared" si="64"/>
        <v>0</v>
      </c>
      <c r="GK28" s="336">
        <f t="shared" si="65"/>
        <v>0</v>
      </c>
      <c r="GL28" s="336">
        <f t="shared" si="67"/>
        <v>0</v>
      </c>
      <c r="GM28" s="336">
        <f t="shared" si="66"/>
        <v>0</v>
      </c>
    </row>
    <row r="29" spans="1:195" ht="20.100000000000001" customHeight="1">
      <c r="A29" s="337">
        <f t="shared" si="220"/>
        <v>21</v>
      </c>
      <c r="B29" s="337" t="s">
        <v>1123</v>
      </c>
      <c r="C29" s="372" t="str">
        <f t="shared" si="209"/>
        <v>PMCC-2</v>
      </c>
      <c r="D29" s="372" t="s">
        <v>1124</v>
      </c>
      <c r="E29" s="569" t="s">
        <v>387</v>
      </c>
      <c r="F29" s="337" t="s">
        <v>28</v>
      </c>
      <c r="G29" s="337" t="s">
        <v>350</v>
      </c>
      <c r="H29" s="583">
        <v>200</v>
      </c>
      <c r="I29" s="337" t="s">
        <v>330</v>
      </c>
      <c r="J29" s="337" t="s">
        <v>331</v>
      </c>
      <c r="K29" s="349">
        <v>400</v>
      </c>
      <c r="L29" s="343">
        <v>0.86</v>
      </c>
      <c r="M29" s="350">
        <v>0.96400000000000008</v>
      </c>
      <c r="N29" s="342">
        <f t="shared" si="221"/>
        <v>348.21432352041222</v>
      </c>
      <c r="O29" s="342">
        <f t="shared" si="222"/>
        <v>2089.2859411224736</v>
      </c>
      <c r="P29" s="343">
        <f t="shared" si="223"/>
        <v>0.2</v>
      </c>
      <c r="Q29" s="350">
        <v>65</v>
      </c>
      <c r="R29" s="350">
        <v>0</v>
      </c>
      <c r="S29" s="350">
        <f t="shared" si="224"/>
        <v>0</v>
      </c>
      <c r="T29" s="343" t="s">
        <v>332</v>
      </c>
      <c r="U29" s="350" t="s">
        <v>333</v>
      </c>
      <c r="V29" s="343">
        <v>240</v>
      </c>
      <c r="W29" s="343" t="str">
        <f t="shared" si="236"/>
        <v>3C X 240</v>
      </c>
      <c r="X29" s="343" t="str">
        <f t="shared" si="226"/>
        <v>3C X 240+PE</v>
      </c>
      <c r="Y29" s="343" t="s">
        <v>358</v>
      </c>
      <c r="Z29" s="344">
        <f>IF(T29="AIR",VLOOKUP(W29,'Catalogue Aluminium'!$B$9:$G$93,2,FALSE),IF(T29="GROUND",VLOOKUP(W29,'Catalogue Aluminium'!$B$9:$G$93,3,FALSE),IF(T29="DUCT",VLOOKUP(W29,'Catalogue Aluminium'!$B$9:$G$93,4,FALSE),IF(T29="TRENCH",VLOOKUP(W29,'Catalogue Aluminium'!$B$9:$G$93,2,FALSE)))))</f>
        <v>401</v>
      </c>
      <c r="AA29" s="345">
        <f>VLOOKUP(W29,'Catalogue Aluminium'!$B$9:$G$93,5,FALSE)</f>
        <v>0.16</v>
      </c>
      <c r="AB29" s="345">
        <f>VLOOKUP(W29,'Catalogue Aluminium'!$B$9:$G$93,6,FALSE)</f>
        <v>7.1900000000000006E-2</v>
      </c>
      <c r="AC29" s="343">
        <v>22</v>
      </c>
      <c r="AD29" s="343">
        <f>95+14+14+14+14+14+14</f>
        <v>179</v>
      </c>
      <c r="AE29" s="343">
        <v>8</v>
      </c>
      <c r="AF29" s="343">
        <v>5</v>
      </c>
      <c r="AG29" s="343">
        <f t="shared" si="134"/>
        <v>22</v>
      </c>
      <c r="AH29" s="347">
        <v>228</v>
      </c>
      <c r="AI29" s="344">
        <f>IF(T29="AIR",'Catalogue Aluminium'!$K$9,IF(T29="TRENCH",'Catalogue Aluminium'!$K$12,"NA"))</f>
        <v>0.89</v>
      </c>
      <c r="AJ29" s="342">
        <f>IF(T29="Air",(IF(U29="1C",'Catalogue Aluminium'!$L$9,'Catalogue Aluminium'!$M$9)),IF(T29="DUCT",(IF($U29="1C",'Catalogue Aluminium'!$L$10,'Catalogue Aluminium'!$M$10)),IF(T29="GROUND",(IF($U29="1C",'Catalogue Aluminium'!$L$11,'Catalogue Aluminium'!$M$11)),IF(T29="TRENCH",(IF($U29="1C",'Catalogue Aluminium'!$L$12,'Catalogue Aluminium'!$M$12))))))</f>
        <v>0.66</v>
      </c>
      <c r="AK29" s="344" t="str">
        <f>IF(T29="Air",'Catalogue Aluminium'!$N$9,IF(T29="GROUND",'Catalogue Aluminium'!$N$10,IF(T29="DUCT",'Catalogue Aluminium'!$N$11,IF(T29="TRENCH",'Catalogue Aluminium'!$N$12,"NA"))))</f>
        <v>NA</v>
      </c>
      <c r="AL29" s="344" t="str">
        <f>IF(T29="Air",(IF(U29="1C",'Catalogue Aluminium'!$O$9,'Catalogue Aluminium'!$P$9)),IF(T29="DUCT",(IF($U29="1C",'Catalogue Aluminium'!$O$10,'Catalogue Aluminium'!$P$10)),IF(T29="GROUND",(IF($U29="1C",'Catalogue Aluminium'!$O$11,'Catalogue Aluminium'!$P$11)),IF(T29="TRENCH",(IF($U29="1C",'Catalogue Aluminium'!$O$12,'Catalogue Aluminium'!$P$12))))))</f>
        <v>NA</v>
      </c>
      <c r="AM29" s="344" t="str">
        <f>IF(T29="AIR","NA",IF(T29="TRENCH","NA",IF(T29="DUCT",IF(U29="1C",VLOOKUP(V29,'Catalogue Aluminium'!$Q$9:$S$28,2,FALSE),VLOOKUP(V29,'Catalogue Aluminium'!$Q$9:$S$28,3)),IF(T29="GROUND",IF(U29="1C",VLOOKUP(V29,'Catalogue Aluminium'!$Q$9:$S$28,2,FALSE),VLOOKUP(V29,'Catalogue Aluminium'!$Q$9:$S$28,3))))))</f>
        <v>NA</v>
      </c>
      <c r="AN29" s="351">
        <f t="shared" si="228"/>
        <v>0.58740000000000003</v>
      </c>
      <c r="AO29" s="350">
        <f t="shared" si="229"/>
        <v>235.54740000000001</v>
      </c>
      <c r="AP29" s="349">
        <v>2</v>
      </c>
      <c r="AQ29" s="350" t="str">
        <f t="shared" si="231"/>
        <v>YES</v>
      </c>
      <c r="AR29" s="351">
        <f t="shared" si="136"/>
        <v>2.99588363074127</v>
      </c>
      <c r="AS29" s="343" t="str">
        <f t="shared" si="137"/>
        <v>YES</v>
      </c>
      <c r="AT29" s="351">
        <f t="shared" si="210"/>
        <v>10.565839087264672</v>
      </c>
      <c r="AU29" s="343" t="str">
        <f t="shared" si="211"/>
        <v>YES</v>
      </c>
      <c r="AV29" s="354" t="str">
        <f t="shared" si="212"/>
        <v>2R x 0.6/1kV x 3C x 240 Sqmm</v>
      </c>
      <c r="AW29" s="354" t="str">
        <f t="shared" si="213"/>
        <v>2R x 0.6/1kV x 3C x 240+PE Sqmm</v>
      </c>
      <c r="AX29" s="343">
        <f t="shared" si="214"/>
        <v>456</v>
      </c>
      <c r="AY29" s="355"/>
      <c r="AZ29" s="355">
        <f t="shared" si="215"/>
        <v>4</v>
      </c>
      <c r="BA29" s="356" t="str">
        <f t="shared" si="216"/>
        <v>Q3RR1R1.A</v>
      </c>
      <c r="BB29" s="501">
        <f>VLOOKUP(W29,'Catalogue Aluminium'!$B$9:$H$93,7,FALSE)</f>
        <v>48</v>
      </c>
      <c r="BC29" s="328">
        <f t="shared" si="217"/>
        <v>96</v>
      </c>
      <c r="BE29" s="336"/>
      <c r="BF29" s="336"/>
      <c r="BG29" s="336"/>
      <c r="BH29" s="336"/>
      <c r="BI29" s="336"/>
      <c r="BJ29" s="336"/>
      <c r="BK29" s="336"/>
      <c r="BL29" s="336"/>
      <c r="BM29" s="336"/>
      <c r="BN29" s="336"/>
      <c r="BO29" s="336"/>
      <c r="BP29" s="336"/>
      <c r="BQ29" s="336"/>
      <c r="BR29" s="336"/>
      <c r="BS29" s="336"/>
      <c r="BT29" s="336"/>
      <c r="BU29" s="336"/>
      <c r="BV29" s="336"/>
      <c r="BW29" s="336"/>
      <c r="BX29" s="336"/>
      <c r="BY29" s="336"/>
      <c r="BZ29" s="336"/>
      <c r="CA29" s="336"/>
      <c r="CB29" s="336"/>
      <c r="CC29" s="336"/>
      <c r="CD29" s="336"/>
      <c r="CE29" s="336"/>
      <c r="CF29" s="336"/>
      <c r="CG29" s="336"/>
      <c r="CH29" s="336"/>
      <c r="CI29" s="336"/>
      <c r="CJ29" s="336"/>
      <c r="CK29" s="336"/>
      <c r="CL29" s="336"/>
      <c r="CM29" s="336"/>
      <c r="CN29" s="336"/>
      <c r="CO29" s="336"/>
      <c r="CP29" s="336"/>
      <c r="CQ29" s="336"/>
      <c r="CR29" s="336"/>
      <c r="CS29" s="336"/>
      <c r="CT29" s="336"/>
      <c r="CU29" s="336"/>
      <c r="CV29" s="336"/>
      <c r="CW29" s="336"/>
      <c r="CX29" s="336"/>
      <c r="CY29" s="336"/>
      <c r="CZ29" s="336"/>
      <c r="DA29" s="336">
        <v>1</v>
      </c>
      <c r="DB29" s="336"/>
      <c r="DC29" s="336"/>
      <c r="DD29" s="336"/>
      <c r="DE29" s="336"/>
      <c r="DF29" s="336"/>
      <c r="DG29" s="336">
        <v>1</v>
      </c>
      <c r="DH29" s="336">
        <v>1</v>
      </c>
      <c r="DI29" s="336"/>
      <c r="DJ29" s="336">
        <v>1</v>
      </c>
      <c r="DK29" s="336"/>
      <c r="DL29" s="336"/>
      <c r="DM29" s="336"/>
      <c r="DN29" s="336"/>
      <c r="DO29" s="336"/>
      <c r="DP29" s="336"/>
      <c r="DQ29" s="336"/>
      <c r="DR29" s="336"/>
      <c r="DS29" s="336"/>
      <c r="DT29" s="336"/>
      <c r="DU29" s="336"/>
      <c r="DW29" s="336">
        <f t="shared" si="80"/>
        <v>0</v>
      </c>
      <c r="DX29" s="336">
        <f t="shared" si="1"/>
        <v>0</v>
      </c>
      <c r="DY29" s="336">
        <f t="shared" si="2"/>
        <v>0</v>
      </c>
      <c r="DZ29" s="336">
        <f t="shared" si="3"/>
        <v>0</v>
      </c>
      <c r="EA29" s="336">
        <f t="shared" si="4"/>
        <v>0</v>
      </c>
      <c r="EB29" s="336">
        <f t="shared" si="5"/>
        <v>0</v>
      </c>
      <c r="EC29" s="336">
        <f t="shared" si="6"/>
        <v>0</v>
      </c>
      <c r="ED29" s="336">
        <f t="shared" si="7"/>
        <v>0</v>
      </c>
      <c r="EE29" s="336">
        <f t="shared" si="8"/>
        <v>0</v>
      </c>
      <c r="EF29" s="336">
        <f t="shared" si="9"/>
        <v>0</v>
      </c>
      <c r="EG29" s="336">
        <f t="shared" si="10"/>
        <v>0</v>
      </c>
      <c r="EH29" s="336">
        <f t="shared" si="11"/>
        <v>0</v>
      </c>
      <c r="EI29" s="336">
        <f t="shared" si="12"/>
        <v>0</v>
      </c>
      <c r="EJ29" s="336">
        <f t="shared" si="13"/>
        <v>0</v>
      </c>
      <c r="EK29" s="336">
        <f t="shared" si="14"/>
        <v>0</v>
      </c>
      <c r="EL29" s="336">
        <f t="shared" si="15"/>
        <v>0</v>
      </c>
      <c r="EM29" s="336">
        <f t="shared" si="16"/>
        <v>0</v>
      </c>
      <c r="EN29" s="336">
        <f t="shared" si="17"/>
        <v>0</v>
      </c>
      <c r="EO29" s="336">
        <f t="shared" si="18"/>
        <v>0</v>
      </c>
      <c r="EP29" s="336">
        <f t="shared" si="19"/>
        <v>0</v>
      </c>
      <c r="EQ29" s="336">
        <f t="shared" si="20"/>
        <v>0</v>
      </c>
      <c r="ER29" s="336">
        <f t="shared" si="21"/>
        <v>0</v>
      </c>
      <c r="ES29" s="336">
        <f t="shared" si="22"/>
        <v>0</v>
      </c>
      <c r="ET29" s="336">
        <f t="shared" si="22"/>
        <v>0</v>
      </c>
      <c r="EU29" s="336">
        <f t="shared" si="23"/>
        <v>0</v>
      </c>
      <c r="EV29" s="336">
        <f t="shared" si="24"/>
        <v>0</v>
      </c>
      <c r="EW29" s="336">
        <f t="shared" si="25"/>
        <v>0</v>
      </c>
      <c r="EX29" s="336">
        <f t="shared" si="26"/>
        <v>0</v>
      </c>
      <c r="EY29" s="336">
        <f t="shared" si="27"/>
        <v>0</v>
      </c>
      <c r="EZ29" s="336">
        <f t="shared" si="28"/>
        <v>0</v>
      </c>
      <c r="FA29" s="336">
        <f t="shared" si="29"/>
        <v>0</v>
      </c>
      <c r="FB29" s="336">
        <f t="shared" si="30"/>
        <v>0</v>
      </c>
      <c r="FC29" s="336">
        <f t="shared" si="31"/>
        <v>0</v>
      </c>
      <c r="FD29" s="336">
        <f t="shared" si="32"/>
        <v>0</v>
      </c>
      <c r="FE29" s="336">
        <f t="shared" si="33"/>
        <v>0</v>
      </c>
      <c r="FF29" s="336">
        <f t="shared" si="34"/>
        <v>0</v>
      </c>
      <c r="FG29" s="336">
        <f t="shared" si="35"/>
        <v>0</v>
      </c>
      <c r="FH29" s="336">
        <f t="shared" si="36"/>
        <v>0</v>
      </c>
      <c r="FI29" s="336">
        <f t="shared" si="37"/>
        <v>0</v>
      </c>
      <c r="FJ29" s="336">
        <f t="shared" si="38"/>
        <v>0</v>
      </c>
      <c r="FK29" s="336">
        <f t="shared" si="39"/>
        <v>0</v>
      </c>
      <c r="FL29" s="336">
        <f t="shared" si="40"/>
        <v>0</v>
      </c>
      <c r="FM29" s="336">
        <f t="shared" si="41"/>
        <v>0</v>
      </c>
      <c r="FN29" s="336">
        <f t="shared" si="42"/>
        <v>0</v>
      </c>
      <c r="FO29" s="336">
        <f t="shared" si="43"/>
        <v>0</v>
      </c>
      <c r="FP29" s="336">
        <f t="shared" si="44"/>
        <v>0</v>
      </c>
      <c r="FQ29" s="336">
        <f t="shared" si="45"/>
        <v>0</v>
      </c>
      <c r="FR29" s="336">
        <f t="shared" si="46"/>
        <v>0</v>
      </c>
      <c r="FS29" s="336">
        <f t="shared" si="47"/>
        <v>96</v>
      </c>
      <c r="FT29" s="336">
        <f t="shared" si="48"/>
        <v>0</v>
      </c>
      <c r="FU29" s="336">
        <f t="shared" si="49"/>
        <v>0</v>
      </c>
      <c r="FV29" s="336">
        <f t="shared" si="50"/>
        <v>0</v>
      </c>
      <c r="FW29" s="336">
        <f t="shared" si="51"/>
        <v>0</v>
      </c>
      <c r="FX29" s="336">
        <f t="shared" si="52"/>
        <v>0</v>
      </c>
      <c r="FY29" s="336">
        <f t="shared" si="53"/>
        <v>96</v>
      </c>
      <c r="FZ29" s="336">
        <f t="shared" si="54"/>
        <v>96</v>
      </c>
      <c r="GA29" s="336">
        <f t="shared" si="55"/>
        <v>0</v>
      </c>
      <c r="GB29" s="336">
        <f t="shared" si="56"/>
        <v>96</v>
      </c>
      <c r="GC29" s="336">
        <f t="shared" si="57"/>
        <v>0</v>
      </c>
      <c r="GD29" s="336">
        <f t="shared" si="58"/>
        <v>0</v>
      </c>
      <c r="GE29" s="336">
        <f t="shared" si="59"/>
        <v>0</v>
      </c>
      <c r="GF29" s="336">
        <f t="shared" si="60"/>
        <v>0</v>
      </c>
      <c r="GG29" s="336">
        <f t="shared" si="61"/>
        <v>0</v>
      </c>
      <c r="GH29" s="336">
        <f t="shared" si="62"/>
        <v>0</v>
      </c>
      <c r="GI29" s="336">
        <f t="shared" si="63"/>
        <v>0</v>
      </c>
      <c r="GJ29" s="336">
        <f t="shared" si="64"/>
        <v>0</v>
      </c>
      <c r="GK29" s="336">
        <f t="shared" si="65"/>
        <v>0</v>
      </c>
      <c r="GL29" s="336">
        <f t="shared" si="67"/>
        <v>0</v>
      </c>
      <c r="GM29" s="336">
        <f t="shared" si="66"/>
        <v>0</v>
      </c>
    </row>
    <row r="30" spans="1:195">
      <c r="A30" s="337">
        <f t="shared" si="220"/>
        <v>22</v>
      </c>
      <c r="B30" s="337" t="s">
        <v>527</v>
      </c>
      <c r="C30" s="372" t="str">
        <f t="shared" si="209"/>
        <v>PMCC-2</v>
      </c>
      <c r="D30" s="372" t="s">
        <v>1125</v>
      </c>
      <c r="E30" s="569" t="s">
        <v>387</v>
      </c>
      <c r="F30" s="337" t="s">
        <v>29</v>
      </c>
      <c r="G30" s="337" t="s">
        <v>329</v>
      </c>
      <c r="H30" s="350">
        <v>0.12</v>
      </c>
      <c r="I30" s="337" t="s">
        <v>330</v>
      </c>
      <c r="J30" s="349" t="s">
        <v>357</v>
      </c>
      <c r="K30" s="349">
        <v>230</v>
      </c>
      <c r="L30" s="343">
        <v>0.85</v>
      </c>
      <c r="M30" s="350">
        <v>0.95</v>
      </c>
      <c r="N30" s="342">
        <f t="shared" si="221"/>
        <v>0.64611657019787327</v>
      </c>
      <c r="O30" s="342">
        <f t="shared" si="222"/>
        <v>0</v>
      </c>
      <c r="P30" s="343" t="str">
        <f t="shared" si="223"/>
        <v>0.00</v>
      </c>
      <c r="Q30" s="350">
        <v>65</v>
      </c>
      <c r="R30" s="350">
        <v>0</v>
      </c>
      <c r="S30" s="350">
        <f t="shared" si="224"/>
        <v>0</v>
      </c>
      <c r="T30" s="343" t="s">
        <v>332</v>
      </c>
      <c r="U30" s="350" t="s">
        <v>333</v>
      </c>
      <c r="V30" s="343">
        <v>2.5</v>
      </c>
      <c r="W30" s="343" t="str">
        <f t="shared" si="225"/>
        <v>3C X 2.5</v>
      </c>
      <c r="X30" s="343" t="str">
        <f t="shared" si="226"/>
        <v>3C X 2.5</v>
      </c>
      <c r="Y30" s="343" t="s">
        <v>358</v>
      </c>
      <c r="Z30" s="344">
        <f>IF(T30="AIR",VLOOKUP(W30,'Catalogue Aluminium'!$B$9:$G$93,2,FALSE),IF(T30="GROUND",VLOOKUP(W30,'Catalogue Aluminium'!$B$9:$G$93,3,FALSE),IF(T30="DUCT",VLOOKUP(W30,'Catalogue Aluminium'!$B$9:$G$93,4,FALSE),IF(T30="TRENCH",VLOOKUP(W30,'Catalogue Aluminium'!$B$9:$G$93,2,FALSE)))))</f>
        <v>28</v>
      </c>
      <c r="AA30" s="345">
        <f>VLOOKUP(W30,'Catalogue Aluminium'!$B$9:$G$93,5,FALSE)</f>
        <v>9.48</v>
      </c>
      <c r="AB30" s="345">
        <f>VLOOKUP(W30,'Catalogue Aluminium'!$B$9:$G$93,6,FALSE)</f>
        <v>0.1007</v>
      </c>
      <c r="AC30" s="343">
        <f t="shared" si="219"/>
        <v>12</v>
      </c>
      <c r="AD30" s="343">
        <f>95+14+14+14+14+14+14</f>
        <v>179</v>
      </c>
      <c r="AE30" s="343">
        <v>10</v>
      </c>
      <c r="AF30" s="343">
        <v>8</v>
      </c>
      <c r="AG30" s="343">
        <f t="shared" si="134"/>
        <v>21</v>
      </c>
      <c r="AH30" s="347">
        <f t="shared" si="227"/>
        <v>230</v>
      </c>
      <c r="AI30" s="344">
        <f>IF(T30="AIR",'Catalogue Aluminium'!$K$9,IF(T30="TRENCH",'Catalogue Aluminium'!$K$12,"NA"))</f>
        <v>0.89</v>
      </c>
      <c r="AJ30" s="342">
        <f>IF(T30="Air",(IF(U30="1C",'Catalogue Aluminium'!$L$9,'Catalogue Aluminium'!$M$9)),IF(T30="DUCT",(IF($U30="1C",'Catalogue Aluminium'!$L$10,'Catalogue Aluminium'!$M$10)),IF(T30="GROUND",(IF($U30="1C",'Catalogue Aluminium'!$L$11,'Catalogue Aluminium'!$M$11)),IF(T30="TRENCH",(IF($U30="1C",'Catalogue Aluminium'!$L$12,'Catalogue Aluminium'!$M$12))))))</f>
        <v>0.66</v>
      </c>
      <c r="AK30" s="344" t="str">
        <f>IF(T30="Air",'Catalogue Aluminium'!$N$9,IF(T30="GROUND",'Catalogue Aluminium'!$N$10,IF(T30="DUCT",'Catalogue Aluminium'!$N$11,IF(T30="TRENCH",'Catalogue Aluminium'!$N$12,"NA"))))</f>
        <v>NA</v>
      </c>
      <c r="AL30" s="344" t="str">
        <f>IF(T30="Air",(IF(U30="1C",'Catalogue Aluminium'!$O$9,'Catalogue Aluminium'!$P$9)),IF(T30="DUCT",(IF($U30="1C",'Catalogue Aluminium'!$O$10,'Catalogue Aluminium'!$P$10)),IF(T30="GROUND",(IF($U30="1C",'Catalogue Aluminium'!$O$11,'Catalogue Aluminium'!$P$11)),IF(T30="TRENCH",(IF($U30="1C",'Catalogue Aluminium'!$O$12,'Catalogue Aluminium'!$P$12))))))</f>
        <v>NA</v>
      </c>
      <c r="AM30" s="344" t="str">
        <f>IF(T30="AIR","NA",IF(T30="TRENCH","NA",IF(T30="DUCT",IF(U30="1C",VLOOKUP(V30,'Catalogue Aluminium'!$Q$9:$S$28,2,FALSE),VLOOKUP(V30,'Catalogue Aluminium'!$Q$9:$S$28,3)),IF(T30="GROUND",IF(U30="1C",VLOOKUP(V30,'Catalogue Aluminium'!$Q$9:$S$28,2,FALSE),VLOOKUP(V30,'Catalogue Aluminium'!$Q$9:$S$28,3))))))</f>
        <v>NA</v>
      </c>
      <c r="AN30" s="351">
        <f t="shared" si="228"/>
        <v>0.58740000000000003</v>
      </c>
      <c r="AO30" s="350">
        <f t="shared" si="229"/>
        <v>16.447200000000002</v>
      </c>
      <c r="AP30" s="349">
        <f t="shared" si="230"/>
        <v>1</v>
      </c>
      <c r="AQ30" s="350" t="str">
        <f t="shared" si="231"/>
        <v>YES</v>
      </c>
      <c r="AR30" s="351">
        <f t="shared" si="136"/>
        <v>0.90771272809219028</v>
      </c>
      <c r="AS30" s="343" t="str">
        <f t="shared" si="137"/>
        <v>YES</v>
      </c>
      <c r="AT30" s="351" t="str">
        <f t="shared" si="210"/>
        <v>NA</v>
      </c>
      <c r="AU30" s="343" t="str">
        <f t="shared" si="211"/>
        <v>NA</v>
      </c>
      <c r="AV30" s="354" t="str">
        <f t="shared" si="212"/>
        <v>1R x 0.6/1kV x 3C x 2.5 Sqmm</v>
      </c>
      <c r="AW30" s="354" t="str">
        <f t="shared" si="213"/>
        <v>1R x 0.6/1kV x 3C x 2.5 Sqmm</v>
      </c>
      <c r="AX30" s="343">
        <f t="shared" si="214"/>
        <v>230</v>
      </c>
      <c r="AY30" s="355"/>
      <c r="AZ30" s="355">
        <f t="shared" si="215"/>
        <v>2</v>
      </c>
      <c r="BA30" s="356" t="str">
        <f t="shared" si="216"/>
        <v>Q3RR1R1.A</v>
      </c>
      <c r="BB30" s="501">
        <f>VLOOKUP(W30,'Catalogue Aluminium'!$B$9:$H$93,7,FALSE)</f>
        <v>14</v>
      </c>
      <c r="BC30" s="328">
        <f t="shared" si="217"/>
        <v>14</v>
      </c>
      <c r="BE30" s="336"/>
      <c r="BF30" s="336"/>
      <c r="BG30" s="336"/>
      <c r="BH30" s="336"/>
      <c r="BI30" s="336"/>
      <c r="BJ30" s="336"/>
      <c r="BK30" s="336"/>
      <c r="BL30" s="336"/>
      <c r="BM30" s="336"/>
      <c r="BN30" s="336"/>
      <c r="BO30" s="336"/>
      <c r="BP30" s="336"/>
      <c r="BQ30" s="336"/>
      <c r="BR30" s="336"/>
      <c r="BS30" s="336"/>
      <c r="BT30" s="336"/>
      <c r="BU30" s="336"/>
      <c r="BV30" s="336"/>
      <c r="BW30" s="336"/>
      <c r="BX30" s="336"/>
      <c r="BY30" s="336"/>
      <c r="BZ30" s="336"/>
      <c r="CA30" s="336"/>
      <c r="CB30" s="336"/>
      <c r="CC30" s="336"/>
      <c r="CD30" s="336"/>
      <c r="CE30" s="336"/>
      <c r="CF30" s="336"/>
      <c r="CG30" s="336"/>
      <c r="CH30" s="336"/>
      <c r="CI30" s="336"/>
      <c r="CJ30" s="336"/>
      <c r="CK30" s="336"/>
      <c r="CL30" s="336"/>
      <c r="CM30" s="336"/>
      <c r="CN30" s="336"/>
      <c r="CO30" s="336"/>
      <c r="CP30" s="336"/>
      <c r="CQ30" s="336"/>
      <c r="CR30" s="336"/>
      <c r="CS30" s="336"/>
      <c r="CT30" s="336"/>
      <c r="CU30" s="336"/>
      <c r="CV30" s="336"/>
      <c r="CW30" s="336"/>
      <c r="CX30" s="336"/>
      <c r="CY30" s="336"/>
      <c r="CZ30" s="336"/>
      <c r="DA30" s="336">
        <v>1</v>
      </c>
      <c r="DB30" s="336"/>
      <c r="DC30" s="336"/>
      <c r="DD30" s="336"/>
      <c r="DE30" s="336"/>
      <c r="DF30" s="336"/>
      <c r="DG30" s="336">
        <v>1</v>
      </c>
      <c r="DH30" s="336">
        <v>1</v>
      </c>
      <c r="DI30" s="336"/>
      <c r="DJ30" s="336">
        <v>1</v>
      </c>
      <c r="DK30" s="336"/>
      <c r="DL30" s="336"/>
      <c r="DM30" s="336"/>
      <c r="DN30" s="336"/>
      <c r="DO30" s="336"/>
      <c r="DP30" s="336"/>
      <c r="DQ30" s="336"/>
      <c r="DR30" s="336"/>
      <c r="DS30" s="336"/>
      <c r="DT30" s="336"/>
      <c r="DU30" s="336"/>
      <c r="DW30" s="336">
        <f t="shared" si="80"/>
        <v>0</v>
      </c>
      <c r="DX30" s="336">
        <f t="shared" si="1"/>
        <v>0</v>
      </c>
      <c r="DY30" s="336">
        <f t="shared" si="2"/>
        <v>0</v>
      </c>
      <c r="DZ30" s="336">
        <f t="shared" si="3"/>
        <v>0</v>
      </c>
      <c r="EA30" s="336">
        <f t="shared" si="4"/>
        <v>0</v>
      </c>
      <c r="EB30" s="336">
        <f t="shared" si="5"/>
        <v>0</v>
      </c>
      <c r="EC30" s="336">
        <f t="shared" si="6"/>
        <v>0</v>
      </c>
      <c r="ED30" s="336">
        <f t="shared" si="7"/>
        <v>0</v>
      </c>
      <c r="EE30" s="336">
        <f t="shared" si="8"/>
        <v>0</v>
      </c>
      <c r="EF30" s="336">
        <f t="shared" si="9"/>
        <v>0</v>
      </c>
      <c r="EG30" s="336">
        <f t="shared" si="10"/>
        <v>0</v>
      </c>
      <c r="EH30" s="336">
        <f t="shared" si="11"/>
        <v>0</v>
      </c>
      <c r="EI30" s="336">
        <f t="shared" si="12"/>
        <v>0</v>
      </c>
      <c r="EJ30" s="336">
        <f t="shared" si="13"/>
        <v>0</v>
      </c>
      <c r="EK30" s="336">
        <f t="shared" si="14"/>
        <v>0</v>
      </c>
      <c r="EL30" s="336">
        <f t="shared" si="15"/>
        <v>0</v>
      </c>
      <c r="EM30" s="336">
        <f t="shared" si="16"/>
        <v>0</v>
      </c>
      <c r="EN30" s="336">
        <f t="shared" si="17"/>
        <v>0</v>
      </c>
      <c r="EO30" s="336">
        <f t="shared" si="18"/>
        <v>0</v>
      </c>
      <c r="EP30" s="336">
        <f t="shared" si="19"/>
        <v>0</v>
      </c>
      <c r="EQ30" s="336">
        <f t="shared" si="20"/>
        <v>0</v>
      </c>
      <c r="ER30" s="336">
        <f t="shared" si="21"/>
        <v>0</v>
      </c>
      <c r="ES30" s="336">
        <f t="shared" si="22"/>
        <v>0</v>
      </c>
      <c r="ET30" s="336">
        <f t="shared" si="22"/>
        <v>0</v>
      </c>
      <c r="EU30" s="336">
        <f t="shared" si="23"/>
        <v>0</v>
      </c>
      <c r="EV30" s="336">
        <f t="shared" si="24"/>
        <v>0</v>
      </c>
      <c r="EW30" s="336">
        <f t="shared" si="25"/>
        <v>0</v>
      </c>
      <c r="EX30" s="336">
        <f t="shared" si="26"/>
        <v>0</v>
      </c>
      <c r="EY30" s="336">
        <f t="shared" si="27"/>
        <v>0</v>
      </c>
      <c r="EZ30" s="336">
        <f t="shared" si="28"/>
        <v>0</v>
      </c>
      <c r="FA30" s="336">
        <f t="shared" si="29"/>
        <v>0</v>
      </c>
      <c r="FB30" s="336">
        <f t="shared" si="30"/>
        <v>0</v>
      </c>
      <c r="FC30" s="336">
        <f t="shared" si="31"/>
        <v>0</v>
      </c>
      <c r="FD30" s="336">
        <f t="shared" si="32"/>
        <v>0</v>
      </c>
      <c r="FE30" s="336">
        <f t="shared" si="33"/>
        <v>0</v>
      </c>
      <c r="FF30" s="336">
        <f t="shared" si="34"/>
        <v>0</v>
      </c>
      <c r="FG30" s="336">
        <f t="shared" si="35"/>
        <v>0</v>
      </c>
      <c r="FH30" s="336">
        <f t="shared" si="36"/>
        <v>0</v>
      </c>
      <c r="FI30" s="336">
        <f t="shared" si="37"/>
        <v>0</v>
      </c>
      <c r="FJ30" s="336">
        <f t="shared" si="38"/>
        <v>0</v>
      </c>
      <c r="FK30" s="336">
        <f t="shared" si="39"/>
        <v>0</v>
      </c>
      <c r="FL30" s="336">
        <f t="shared" si="40"/>
        <v>0</v>
      </c>
      <c r="FM30" s="336">
        <f t="shared" si="41"/>
        <v>0</v>
      </c>
      <c r="FN30" s="336">
        <f t="shared" si="42"/>
        <v>0</v>
      </c>
      <c r="FO30" s="336">
        <f t="shared" si="43"/>
        <v>0</v>
      </c>
      <c r="FP30" s="336">
        <f t="shared" si="44"/>
        <v>0</v>
      </c>
      <c r="FQ30" s="336">
        <f t="shared" si="45"/>
        <v>0</v>
      </c>
      <c r="FR30" s="336">
        <f t="shared" si="46"/>
        <v>0</v>
      </c>
      <c r="FS30" s="336">
        <f t="shared" si="47"/>
        <v>14</v>
      </c>
      <c r="FT30" s="336">
        <f t="shared" si="48"/>
        <v>0</v>
      </c>
      <c r="FU30" s="336">
        <f t="shared" si="49"/>
        <v>0</v>
      </c>
      <c r="FV30" s="336">
        <f t="shared" si="50"/>
        <v>0</v>
      </c>
      <c r="FW30" s="336">
        <f t="shared" si="51"/>
        <v>0</v>
      </c>
      <c r="FX30" s="336">
        <f t="shared" si="52"/>
        <v>0</v>
      </c>
      <c r="FY30" s="336">
        <f t="shared" si="53"/>
        <v>14</v>
      </c>
      <c r="FZ30" s="336">
        <f t="shared" si="54"/>
        <v>14</v>
      </c>
      <c r="GA30" s="336">
        <f t="shared" si="55"/>
        <v>0</v>
      </c>
      <c r="GB30" s="336">
        <f t="shared" si="56"/>
        <v>14</v>
      </c>
      <c r="GC30" s="336">
        <f t="shared" si="57"/>
        <v>0</v>
      </c>
      <c r="GD30" s="336">
        <f t="shared" si="58"/>
        <v>0</v>
      </c>
      <c r="GE30" s="336">
        <f t="shared" si="59"/>
        <v>0</v>
      </c>
      <c r="GF30" s="336">
        <f t="shared" si="60"/>
        <v>0</v>
      </c>
      <c r="GG30" s="336">
        <f t="shared" si="61"/>
        <v>0</v>
      </c>
      <c r="GH30" s="336">
        <f t="shared" si="62"/>
        <v>0</v>
      </c>
      <c r="GI30" s="336">
        <f t="shared" si="63"/>
        <v>0</v>
      </c>
      <c r="GJ30" s="336">
        <f t="shared" si="64"/>
        <v>0</v>
      </c>
      <c r="GK30" s="336">
        <f t="shared" si="65"/>
        <v>0</v>
      </c>
      <c r="GL30" s="336">
        <f t="shared" si="67"/>
        <v>0</v>
      </c>
      <c r="GM30" s="336">
        <f t="shared" si="66"/>
        <v>0</v>
      </c>
    </row>
    <row r="31" spans="1:195" ht="18.75" customHeight="1">
      <c r="A31" s="337">
        <f t="shared" si="220"/>
        <v>23</v>
      </c>
      <c r="B31" s="337" t="s">
        <v>527</v>
      </c>
      <c r="C31" s="372" t="str">
        <f t="shared" si="209"/>
        <v>PMCC-2</v>
      </c>
      <c r="D31" s="372" t="s">
        <v>1126</v>
      </c>
      <c r="E31" s="569" t="s">
        <v>387</v>
      </c>
      <c r="F31" s="337" t="s">
        <v>28</v>
      </c>
      <c r="G31" s="337" t="s">
        <v>350</v>
      </c>
      <c r="H31" s="583">
        <v>22</v>
      </c>
      <c r="I31" s="337" t="s">
        <v>330</v>
      </c>
      <c r="J31" s="337" t="s">
        <v>331</v>
      </c>
      <c r="K31" s="349">
        <v>400</v>
      </c>
      <c r="L31" s="343">
        <v>0.84</v>
      </c>
      <c r="M31" s="350">
        <v>0.94400000000000006</v>
      </c>
      <c r="N31" s="342">
        <f t="shared" si="221"/>
        <v>40.046403733920862</v>
      </c>
      <c r="O31" s="342">
        <f t="shared" si="222"/>
        <v>240.27842240352516</v>
      </c>
      <c r="P31" s="343">
        <f t="shared" si="223"/>
        <v>0.2</v>
      </c>
      <c r="Q31" s="350">
        <v>65</v>
      </c>
      <c r="R31" s="350">
        <v>0</v>
      </c>
      <c r="S31" s="350">
        <f t="shared" si="224"/>
        <v>0</v>
      </c>
      <c r="T31" s="343" t="s">
        <v>332</v>
      </c>
      <c r="U31" s="350" t="s">
        <v>333</v>
      </c>
      <c r="V31" s="343">
        <v>50</v>
      </c>
      <c r="W31" s="343" t="str">
        <f t="shared" si="225"/>
        <v>3C X 50</v>
      </c>
      <c r="X31" s="343" t="str">
        <f t="shared" si="226"/>
        <v>3C X 50+PE</v>
      </c>
      <c r="Y31" s="343" t="s">
        <v>358</v>
      </c>
      <c r="Z31" s="344">
        <f>IF(T31="AIR",VLOOKUP(W31,'Catalogue Aluminium'!$B$9:$G$93,2,FALSE),IF(T31="GROUND",VLOOKUP(W31,'Catalogue Aluminium'!$B$9:$G$93,3,FALSE),IF(T31="DUCT",VLOOKUP(W31,'Catalogue Aluminium'!$B$9:$G$93,4,FALSE),IF(T31="TRENCH",VLOOKUP(W31,'Catalogue Aluminium'!$B$9:$G$93,2,FALSE)))))</f>
        <v>141</v>
      </c>
      <c r="AA31" s="345">
        <f>VLOOKUP(W31,'Catalogue Aluminium'!$B$9:$G$93,5,FALSE)</f>
        <v>0.82</v>
      </c>
      <c r="AB31" s="345">
        <f>VLOOKUP(W31,'Catalogue Aluminium'!$B$9:$G$93,6,FALSE)</f>
        <v>7.9200000000000007E-2</v>
      </c>
      <c r="AC31" s="343">
        <v>22</v>
      </c>
      <c r="AD31" s="343">
        <f>95+5</f>
        <v>100</v>
      </c>
      <c r="AE31" s="343">
        <v>10</v>
      </c>
      <c r="AF31" s="343">
        <v>8</v>
      </c>
      <c r="AG31" s="343">
        <f t="shared" si="134"/>
        <v>14</v>
      </c>
      <c r="AH31" s="347">
        <f t="shared" si="227"/>
        <v>154</v>
      </c>
      <c r="AI31" s="344">
        <f>IF(T31="AIR",'Catalogue Aluminium'!$K$9,IF(T31="TRENCH",'Catalogue Aluminium'!$K$12,"NA"))</f>
        <v>0.89</v>
      </c>
      <c r="AJ31" s="342">
        <f>IF(T31="Air",(IF(U31="1C",'Catalogue Aluminium'!$L$9,'Catalogue Aluminium'!$M$9)),IF(T31="DUCT",(IF($U31="1C",'Catalogue Aluminium'!$L$10,'Catalogue Aluminium'!$M$10)),IF(T31="GROUND",(IF($U31="1C",'Catalogue Aluminium'!$L$11,'Catalogue Aluminium'!$M$11)),IF(T31="TRENCH",(IF($U31="1C",'Catalogue Aluminium'!$L$12,'Catalogue Aluminium'!$M$12))))))</f>
        <v>0.66</v>
      </c>
      <c r="AK31" s="344" t="str">
        <f>IF(T31="Air",'Catalogue Aluminium'!$N$9,IF(T31="GROUND",'Catalogue Aluminium'!$N$10,IF(T31="DUCT",'Catalogue Aluminium'!$N$11,IF(T31="TRENCH",'Catalogue Aluminium'!$N$12,"NA"))))</f>
        <v>NA</v>
      </c>
      <c r="AL31" s="344" t="str">
        <f>IF(T31="Air",(IF(U31="1C",'Catalogue Aluminium'!$O$9,'Catalogue Aluminium'!$P$9)),IF(T31="DUCT",(IF($U31="1C",'Catalogue Aluminium'!$O$10,'Catalogue Aluminium'!$P$10)),IF(T31="GROUND",(IF($U31="1C",'Catalogue Aluminium'!$O$11,'Catalogue Aluminium'!$P$11)),IF(T31="TRENCH",(IF($U31="1C",'Catalogue Aluminium'!$O$12,'Catalogue Aluminium'!$P$12))))))</f>
        <v>NA</v>
      </c>
      <c r="AM31" s="344" t="str">
        <f>IF(T31="AIR","NA",IF(T31="TRENCH","NA",IF(T31="DUCT",IF(U31="1C",VLOOKUP(V31,'Catalogue Aluminium'!$Q$9:$S$28,2,FALSE),VLOOKUP(V31,'Catalogue Aluminium'!$Q$9:$S$28,3)),IF(T31="GROUND",IF(U31="1C",VLOOKUP(V31,'Catalogue Aluminium'!$Q$9:$S$28,2,FALSE),VLOOKUP(V31,'Catalogue Aluminium'!$Q$9:$S$28,3))))))</f>
        <v>NA</v>
      </c>
      <c r="AN31" s="351">
        <f t="shared" si="228"/>
        <v>0.58740000000000003</v>
      </c>
      <c r="AO31" s="350">
        <f t="shared" si="229"/>
        <v>82.823400000000007</v>
      </c>
      <c r="AP31" s="349">
        <f t="shared" si="230"/>
        <v>1</v>
      </c>
      <c r="AQ31" s="350" t="str">
        <f t="shared" si="231"/>
        <v>YES</v>
      </c>
      <c r="AR31" s="351">
        <f t="shared" si="136"/>
        <v>1.9541647112370497</v>
      </c>
      <c r="AS31" s="343" t="str">
        <f t="shared" si="137"/>
        <v>YES</v>
      </c>
      <c r="AT31" s="351">
        <f t="shared" si="210"/>
        <v>3.8710854869301414</v>
      </c>
      <c r="AU31" s="343" t="str">
        <f t="shared" si="211"/>
        <v>YES</v>
      </c>
      <c r="AV31" s="354" t="str">
        <f t="shared" si="212"/>
        <v>1R x 0.6/1kV x 3C x 50 Sqmm</v>
      </c>
      <c r="AW31" s="354" t="str">
        <f t="shared" si="213"/>
        <v>1R x 0.6/1kV x 3C x 50+PE Sqmm</v>
      </c>
      <c r="AX31" s="343">
        <f t="shared" si="214"/>
        <v>154</v>
      </c>
      <c r="AY31" s="355"/>
      <c r="AZ31" s="355">
        <f t="shared" si="215"/>
        <v>2</v>
      </c>
      <c r="BA31" s="356" t="str">
        <f t="shared" si="216"/>
        <v>Q3RR1R1.A</v>
      </c>
      <c r="BB31" s="501">
        <f>VLOOKUP(W31,'Catalogue Aluminium'!$B$9:$H$93,7,FALSE)</f>
        <v>26</v>
      </c>
      <c r="BC31" s="328">
        <f t="shared" si="217"/>
        <v>26</v>
      </c>
      <c r="BE31" s="336"/>
      <c r="BF31" s="336"/>
      <c r="BG31" s="336"/>
      <c r="BH31" s="336"/>
      <c r="BI31" s="336"/>
      <c r="BJ31" s="336"/>
      <c r="BK31" s="336"/>
      <c r="BL31" s="336"/>
      <c r="BM31" s="336"/>
      <c r="BN31" s="336"/>
      <c r="BO31" s="336"/>
      <c r="BP31" s="336"/>
      <c r="BQ31" s="336"/>
      <c r="BR31" s="336"/>
      <c r="BS31" s="336"/>
      <c r="BT31" s="336"/>
      <c r="BU31" s="336"/>
      <c r="BV31" s="336"/>
      <c r="BW31" s="336"/>
      <c r="BX31" s="336"/>
      <c r="BY31" s="336"/>
      <c r="BZ31" s="336"/>
      <c r="CA31" s="336"/>
      <c r="CB31" s="336"/>
      <c r="CC31" s="336"/>
      <c r="CD31" s="336"/>
      <c r="CE31" s="336"/>
      <c r="CF31" s="336"/>
      <c r="CG31" s="336"/>
      <c r="CH31" s="336"/>
      <c r="CI31" s="336"/>
      <c r="CJ31" s="336"/>
      <c r="CK31" s="336"/>
      <c r="CL31" s="336"/>
      <c r="CM31" s="336"/>
      <c r="CN31" s="336"/>
      <c r="CO31" s="336"/>
      <c r="CP31" s="336"/>
      <c r="CQ31" s="336"/>
      <c r="CR31" s="336"/>
      <c r="CS31" s="336"/>
      <c r="CT31" s="336"/>
      <c r="CU31" s="336"/>
      <c r="CV31" s="336"/>
      <c r="CW31" s="336"/>
      <c r="CX31" s="336"/>
      <c r="CY31" s="336"/>
      <c r="CZ31" s="336"/>
      <c r="DA31" s="336">
        <v>1</v>
      </c>
      <c r="DB31" s="336"/>
      <c r="DC31" s="336"/>
      <c r="DD31" s="336"/>
      <c r="DE31" s="336"/>
      <c r="DF31" s="336"/>
      <c r="DG31" s="336">
        <v>1</v>
      </c>
      <c r="DH31" s="336">
        <v>1</v>
      </c>
      <c r="DI31" s="336"/>
      <c r="DJ31" s="336">
        <v>1</v>
      </c>
      <c r="DK31" s="336"/>
      <c r="DL31" s="336"/>
      <c r="DM31" s="336"/>
      <c r="DN31" s="336"/>
      <c r="DO31" s="336"/>
      <c r="DP31" s="336"/>
      <c r="DQ31" s="336"/>
      <c r="DR31" s="336"/>
      <c r="DS31" s="336"/>
      <c r="DT31" s="336"/>
      <c r="DU31" s="336"/>
      <c r="DW31" s="336">
        <f t="shared" si="80"/>
        <v>0</v>
      </c>
      <c r="DX31" s="336">
        <f t="shared" si="1"/>
        <v>0</v>
      </c>
      <c r="DY31" s="336">
        <f t="shared" si="2"/>
        <v>0</v>
      </c>
      <c r="DZ31" s="336">
        <f t="shared" si="3"/>
        <v>0</v>
      </c>
      <c r="EA31" s="336">
        <f t="shared" si="4"/>
        <v>0</v>
      </c>
      <c r="EB31" s="336">
        <f t="shared" si="5"/>
        <v>0</v>
      </c>
      <c r="EC31" s="336">
        <f t="shared" si="6"/>
        <v>0</v>
      </c>
      <c r="ED31" s="336">
        <f t="shared" si="7"/>
        <v>0</v>
      </c>
      <c r="EE31" s="336">
        <f t="shared" si="8"/>
        <v>0</v>
      </c>
      <c r="EF31" s="336">
        <f t="shared" si="9"/>
        <v>0</v>
      </c>
      <c r="EG31" s="336">
        <f t="shared" si="10"/>
        <v>0</v>
      </c>
      <c r="EH31" s="336">
        <f t="shared" si="11"/>
        <v>0</v>
      </c>
      <c r="EI31" s="336">
        <f t="shared" si="12"/>
        <v>0</v>
      </c>
      <c r="EJ31" s="336">
        <f t="shared" si="13"/>
        <v>0</v>
      </c>
      <c r="EK31" s="336">
        <f t="shared" si="14"/>
        <v>0</v>
      </c>
      <c r="EL31" s="336">
        <f t="shared" si="15"/>
        <v>0</v>
      </c>
      <c r="EM31" s="336">
        <f t="shared" si="16"/>
        <v>0</v>
      </c>
      <c r="EN31" s="336">
        <f t="shared" si="17"/>
        <v>0</v>
      </c>
      <c r="EO31" s="336">
        <f t="shared" si="18"/>
        <v>0</v>
      </c>
      <c r="EP31" s="336">
        <f t="shared" si="19"/>
        <v>0</v>
      </c>
      <c r="EQ31" s="336">
        <f t="shared" si="20"/>
        <v>0</v>
      </c>
      <c r="ER31" s="336">
        <f t="shared" si="21"/>
        <v>0</v>
      </c>
      <c r="ES31" s="336">
        <f t="shared" si="22"/>
        <v>0</v>
      </c>
      <c r="ET31" s="336">
        <f t="shared" si="22"/>
        <v>0</v>
      </c>
      <c r="EU31" s="336">
        <f t="shared" si="23"/>
        <v>0</v>
      </c>
      <c r="EV31" s="336">
        <f t="shared" si="24"/>
        <v>0</v>
      </c>
      <c r="EW31" s="336">
        <f t="shared" si="25"/>
        <v>0</v>
      </c>
      <c r="EX31" s="336">
        <f t="shared" si="26"/>
        <v>0</v>
      </c>
      <c r="EY31" s="336">
        <f t="shared" si="27"/>
        <v>0</v>
      </c>
      <c r="EZ31" s="336">
        <f t="shared" si="28"/>
        <v>0</v>
      </c>
      <c r="FA31" s="336">
        <f t="shared" si="29"/>
        <v>0</v>
      </c>
      <c r="FB31" s="336">
        <f t="shared" si="30"/>
        <v>0</v>
      </c>
      <c r="FC31" s="336">
        <f t="shared" si="31"/>
        <v>0</v>
      </c>
      <c r="FD31" s="336">
        <f t="shared" si="32"/>
        <v>0</v>
      </c>
      <c r="FE31" s="336">
        <f t="shared" si="33"/>
        <v>0</v>
      </c>
      <c r="FF31" s="336">
        <f t="shared" si="34"/>
        <v>0</v>
      </c>
      <c r="FG31" s="336">
        <f t="shared" si="35"/>
        <v>0</v>
      </c>
      <c r="FH31" s="336">
        <f t="shared" si="36"/>
        <v>0</v>
      </c>
      <c r="FI31" s="336">
        <f t="shared" si="37"/>
        <v>0</v>
      </c>
      <c r="FJ31" s="336">
        <f t="shared" si="38"/>
        <v>0</v>
      </c>
      <c r="FK31" s="336">
        <f t="shared" si="39"/>
        <v>0</v>
      </c>
      <c r="FL31" s="336">
        <f t="shared" si="40"/>
        <v>0</v>
      </c>
      <c r="FM31" s="336">
        <f t="shared" si="41"/>
        <v>0</v>
      </c>
      <c r="FN31" s="336">
        <f t="shared" si="42"/>
        <v>0</v>
      </c>
      <c r="FO31" s="336">
        <f t="shared" si="43"/>
        <v>0</v>
      </c>
      <c r="FP31" s="336">
        <f t="shared" si="44"/>
        <v>0</v>
      </c>
      <c r="FQ31" s="336">
        <f t="shared" si="45"/>
        <v>0</v>
      </c>
      <c r="FR31" s="336">
        <f t="shared" si="46"/>
        <v>0</v>
      </c>
      <c r="FS31" s="336">
        <f t="shared" si="47"/>
        <v>26</v>
      </c>
      <c r="FT31" s="336">
        <f t="shared" si="48"/>
        <v>0</v>
      </c>
      <c r="FU31" s="336">
        <f t="shared" si="49"/>
        <v>0</v>
      </c>
      <c r="FV31" s="336">
        <f t="shared" si="50"/>
        <v>0</v>
      </c>
      <c r="FW31" s="336">
        <f t="shared" si="51"/>
        <v>0</v>
      </c>
      <c r="FX31" s="336">
        <f t="shared" si="52"/>
        <v>0</v>
      </c>
      <c r="FY31" s="336">
        <f t="shared" si="53"/>
        <v>26</v>
      </c>
      <c r="FZ31" s="336">
        <f t="shared" si="54"/>
        <v>26</v>
      </c>
      <c r="GA31" s="336">
        <f t="shared" si="55"/>
        <v>0</v>
      </c>
      <c r="GB31" s="336">
        <f t="shared" si="56"/>
        <v>26</v>
      </c>
      <c r="GC31" s="336">
        <f t="shared" si="57"/>
        <v>0</v>
      </c>
      <c r="GD31" s="336">
        <f t="shared" si="58"/>
        <v>0</v>
      </c>
      <c r="GE31" s="336">
        <f t="shared" si="59"/>
        <v>0</v>
      </c>
      <c r="GF31" s="336">
        <f t="shared" si="60"/>
        <v>0</v>
      </c>
      <c r="GG31" s="336">
        <f t="shared" si="61"/>
        <v>0</v>
      </c>
      <c r="GH31" s="336">
        <f t="shared" si="62"/>
        <v>0</v>
      </c>
      <c r="GI31" s="336">
        <f t="shared" si="63"/>
        <v>0</v>
      </c>
      <c r="GJ31" s="336">
        <f t="shared" si="64"/>
        <v>0</v>
      </c>
      <c r="GK31" s="336">
        <f t="shared" si="65"/>
        <v>0</v>
      </c>
      <c r="GL31" s="336">
        <f t="shared" si="67"/>
        <v>0</v>
      </c>
      <c r="GM31" s="336">
        <f t="shared" si="66"/>
        <v>0</v>
      </c>
    </row>
    <row r="32" spans="1:195" ht="18.75" customHeight="1">
      <c r="A32" s="337">
        <f t="shared" si="220"/>
        <v>24</v>
      </c>
      <c r="B32" s="388" t="s">
        <v>527</v>
      </c>
      <c r="C32" s="338" t="str">
        <f t="shared" si="209"/>
        <v>PMCC-2</v>
      </c>
      <c r="D32" s="338" t="s">
        <v>1127</v>
      </c>
      <c r="E32" s="745" t="s">
        <v>387</v>
      </c>
      <c r="F32" s="388" t="s">
        <v>28</v>
      </c>
      <c r="G32" s="388" t="s">
        <v>329</v>
      </c>
      <c r="H32" s="742">
        <v>0.2</v>
      </c>
      <c r="I32" s="388" t="s">
        <v>330</v>
      </c>
      <c r="J32" s="388" t="s">
        <v>357</v>
      </c>
      <c r="K32" s="434">
        <v>230</v>
      </c>
      <c r="L32" s="401">
        <v>0.85</v>
      </c>
      <c r="M32" s="418">
        <v>0.95</v>
      </c>
      <c r="N32" s="392">
        <f t="shared" si="221"/>
        <v>1.0768609503297888</v>
      </c>
      <c r="O32" s="392">
        <f t="shared" si="222"/>
        <v>0</v>
      </c>
      <c r="P32" s="401" t="str">
        <f t="shared" si="223"/>
        <v>0.00</v>
      </c>
      <c r="Q32" s="418">
        <v>65</v>
      </c>
      <c r="R32" s="418">
        <v>0</v>
      </c>
      <c r="S32" s="418">
        <f t="shared" si="224"/>
        <v>0</v>
      </c>
      <c r="T32" s="401" t="s">
        <v>332</v>
      </c>
      <c r="U32" s="418" t="s">
        <v>333</v>
      </c>
      <c r="V32" s="401">
        <v>2.5</v>
      </c>
      <c r="W32" s="401" t="str">
        <f t="shared" si="225"/>
        <v>3C X 2.5</v>
      </c>
      <c r="X32" s="401" t="str">
        <f t="shared" ref="X32" si="243">(IF(J32="1Ph",W32,IF(J32="3Ph",(IF(G32="MOTOR",(CONCATENATE(W32,"+PE")),W32)))))</f>
        <v>3C X 2.5</v>
      </c>
      <c r="Y32" s="401" t="s">
        <v>358</v>
      </c>
      <c r="Z32" s="393">
        <f>IF(T32="AIR",VLOOKUP(W32,'Catalogue Aluminium'!$B$9:$G$93,2,FALSE),IF(T32="GROUND",VLOOKUP(W32,'Catalogue Aluminium'!$B$9:$G$93,3,FALSE),IF(T32="DUCT",VLOOKUP(W32,'Catalogue Aluminium'!$B$9:$G$93,4,FALSE),IF(T32="TRENCH",VLOOKUP(W32,'Catalogue Aluminium'!$B$9:$G$93,2,FALSE)))))</f>
        <v>28</v>
      </c>
      <c r="AA32" s="402">
        <f>VLOOKUP(W32,'Catalogue Aluminium'!$B$9:$G$93,5,FALSE)</f>
        <v>9.48</v>
      </c>
      <c r="AB32" s="402">
        <f>VLOOKUP(W32,'Catalogue Aluminium'!$B$9:$G$93,6,FALSE)</f>
        <v>0.1007</v>
      </c>
      <c r="AC32" s="401">
        <v>22</v>
      </c>
      <c r="AD32" s="401">
        <f>95+5</f>
        <v>100</v>
      </c>
      <c r="AE32" s="401">
        <v>10</v>
      </c>
      <c r="AF32" s="401">
        <v>8</v>
      </c>
      <c r="AG32" s="401">
        <f t="shared" ref="AG32" si="244">ROUNDUP((SUM(AC32:AF32)*0.1),0)</f>
        <v>14</v>
      </c>
      <c r="AH32" s="436">
        <f t="shared" ref="AH32" si="245">SUM(AC32:AG32)</f>
        <v>154</v>
      </c>
      <c r="AI32" s="393">
        <f>IF(T32="AIR",'Catalogue Aluminium'!$K$9,IF(T32="TRENCH",'Catalogue Aluminium'!$K$12,"NA"))</f>
        <v>0.89</v>
      </c>
      <c r="AJ32" s="392">
        <f>IF(T32="Air",(IF(U32="1C",'Catalogue Aluminium'!$L$9,'Catalogue Aluminium'!$M$9)),IF(T32="DUCT",(IF($U32="1C",'Catalogue Aluminium'!$L$10,'Catalogue Aluminium'!$M$10)),IF(T32="GROUND",(IF($U32="1C",'Catalogue Aluminium'!$L$11,'Catalogue Aluminium'!$M$11)),IF(T32="TRENCH",(IF($U32="1C",'Catalogue Aluminium'!$L$12,'Catalogue Aluminium'!$M$12))))))</f>
        <v>0.66</v>
      </c>
      <c r="AK32" s="393" t="str">
        <f>IF(T32="Air",'Catalogue Aluminium'!$N$9,IF(T32="GROUND",'Catalogue Aluminium'!$N$10,IF(T32="DUCT",'Catalogue Aluminium'!$N$11,IF(T32="TRENCH",'Catalogue Aluminium'!$N$12,"NA"))))</f>
        <v>NA</v>
      </c>
      <c r="AL32" s="393" t="str">
        <f>IF(T32="Air",(IF(U32="1C",'Catalogue Aluminium'!$O$9,'Catalogue Aluminium'!$P$9)),IF(T32="DUCT",(IF($U32="1C",'Catalogue Aluminium'!$O$10,'Catalogue Aluminium'!$P$10)),IF(T32="GROUND",(IF($U32="1C",'Catalogue Aluminium'!$O$11,'Catalogue Aluminium'!$P$11)),IF(T32="TRENCH",(IF($U32="1C",'Catalogue Aluminium'!$O$12,'Catalogue Aluminium'!$P$12))))))</f>
        <v>NA</v>
      </c>
      <c r="AM32" s="393" t="str">
        <f>IF(T32="AIR","NA",IF(T32="TRENCH","NA",IF(T32="DUCT",IF(U32="1C",VLOOKUP(V32,'Catalogue Aluminium'!$Q$9:$S$28,2,FALSE),VLOOKUP(V32,'Catalogue Aluminium'!$Q$9:$S$28,3)),IF(T32="GROUND",IF(U32="1C",VLOOKUP(V32,'Catalogue Aluminium'!$Q$9:$S$28,2,FALSE),VLOOKUP(V32,'Catalogue Aluminium'!$Q$9:$S$28,3))))))</f>
        <v>NA</v>
      </c>
      <c r="AN32" s="437">
        <f t="shared" ref="AN32" si="246">IF(T32="AIR",AI32*AJ32,IF(T32="TRENCH",AI32*AJ32,IF(T32="DUCT",AJ32*AK32*AL32*AM32,IF(T32="GROUND",AJ32*AK32*AL32*AM32))))</f>
        <v>0.58740000000000003</v>
      </c>
      <c r="AO32" s="418">
        <f t="shared" ref="AO32" si="247">Z32*AN32</f>
        <v>16.447200000000002</v>
      </c>
      <c r="AP32" s="434">
        <f t="shared" ref="AP32" si="248">CEILING(((N32)/AO32),1)</f>
        <v>1</v>
      </c>
      <c r="AQ32" s="418" t="str">
        <f t="shared" ref="AQ32" si="249">IF(AO32*AP32&gt;=N32,"YES","NO")</f>
        <v>YES</v>
      </c>
      <c r="AR32" s="437">
        <f t="shared" ref="AR32" si="250">SQRT(3)*AH32*N32*((AA32*L32)+(AB32*SIN(ACOS(L32))))*100/(AP32*K32*1000)</f>
        <v>1.0129547835231685</v>
      </c>
      <c r="AS32" s="401" t="str">
        <f t="shared" ref="AS32" si="251">IF(G32="INCOMER",(IF(AR32&lt;=2,"YES","NO")),IF(G32="POWER",(IF(AR32&lt;=2.5,"YES","NO")),IF(G32="MOTOR",(IF(AR32&lt;=3,"YES","NO")))))</f>
        <v>YES</v>
      </c>
      <c r="AT32" s="437" t="str">
        <f t="shared" si="210"/>
        <v>NA</v>
      </c>
      <c r="AU32" s="401" t="str">
        <f t="shared" si="211"/>
        <v>NA</v>
      </c>
      <c r="AV32" s="503" t="str">
        <f t="shared" si="212"/>
        <v>1R x 0.6/1kV x 3C x 2.5 Sqmm</v>
      </c>
      <c r="AW32" s="503" t="str">
        <f t="shared" si="213"/>
        <v>1R x 0.6/1kV x 3C x 2.5 Sqmm</v>
      </c>
      <c r="AX32" s="401">
        <f t="shared" si="214"/>
        <v>154</v>
      </c>
      <c r="AY32" s="504"/>
      <c r="AZ32" s="504">
        <f t="shared" si="215"/>
        <v>2</v>
      </c>
      <c r="BA32" s="438" t="str">
        <f t="shared" si="216"/>
        <v>Q3RR1R1.A</v>
      </c>
      <c r="BB32" s="505">
        <f>VLOOKUP(W32,'Catalogue Aluminium'!$B$9:$H$93,7,FALSE)</f>
        <v>14</v>
      </c>
      <c r="BC32" s="439">
        <f t="shared" si="217"/>
        <v>14</v>
      </c>
      <c r="BE32" s="336"/>
      <c r="BF32" s="336"/>
      <c r="BG32" s="336"/>
      <c r="BH32" s="336"/>
      <c r="BI32" s="336"/>
      <c r="BJ32" s="336"/>
      <c r="BK32" s="336"/>
      <c r="BL32" s="336"/>
      <c r="BM32" s="336"/>
      <c r="BN32" s="336"/>
      <c r="BO32" s="336"/>
      <c r="BP32" s="336"/>
      <c r="BQ32" s="336"/>
      <c r="BR32" s="336"/>
      <c r="BS32" s="336"/>
      <c r="BT32" s="336"/>
      <c r="BU32" s="336"/>
      <c r="BV32" s="336"/>
      <c r="BW32" s="336"/>
      <c r="BX32" s="336"/>
      <c r="BY32" s="336"/>
      <c r="BZ32" s="336"/>
      <c r="CA32" s="336"/>
      <c r="CB32" s="336"/>
      <c r="CC32" s="336"/>
      <c r="CD32" s="336"/>
      <c r="CE32" s="336"/>
      <c r="CF32" s="336"/>
      <c r="CG32" s="336"/>
      <c r="CH32" s="336"/>
      <c r="CI32" s="336"/>
      <c r="CJ32" s="336"/>
      <c r="CK32" s="336"/>
      <c r="CL32" s="336"/>
      <c r="CM32" s="336"/>
      <c r="CN32" s="336"/>
      <c r="CO32" s="336"/>
      <c r="CP32" s="336"/>
      <c r="CQ32" s="336"/>
      <c r="CR32" s="336"/>
      <c r="CS32" s="336"/>
      <c r="CT32" s="336"/>
      <c r="CU32" s="336"/>
      <c r="CV32" s="336"/>
      <c r="CW32" s="336"/>
      <c r="CX32" s="336"/>
      <c r="CY32" s="336"/>
      <c r="CZ32" s="336"/>
      <c r="DA32" s="336">
        <v>1</v>
      </c>
      <c r="DB32" s="336"/>
      <c r="DC32" s="336"/>
      <c r="DD32" s="336"/>
      <c r="DE32" s="336"/>
      <c r="DF32" s="336"/>
      <c r="DG32" s="336">
        <v>1</v>
      </c>
      <c r="DH32" s="336">
        <v>1</v>
      </c>
      <c r="DI32" s="336"/>
      <c r="DJ32" s="336">
        <v>1</v>
      </c>
      <c r="DK32" s="336"/>
      <c r="DL32" s="336"/>
      <c r="DM32" s="336"/>
      <c r="DN32" s="336"/>
      <c r="DO32" s="336"/>
      <c r="DP32" s="336"/>
      <c r="DQ32" s="336"/>
      <c r="DR32" s="336"/>
      <c r="DS32" s="336"/>
      <c r="DT32" s="336"/>
      <c r="DU32" s="336"/>
      <c r="DW32" s="336">
        <f t="shared" ref="DW32" si="252">IF(BE32=1,($BC32*BE32),0)</f>
        <v>0</v>
      </c>
      <c r="DX32" s="336">
        <f t="shared" ref="DX32" si="253">IF(BF32=1,($BC32*BF32),0)</f>
        <v>0</v>
      </c>
      <c r="DY32" s="336">
        <f t="shared" ref="DY32" si="254">IF(BG32=1,($BC32*BG32),0)</f>
        <v>0</v>
      </c>
      <c r="DZ32" s="336">
        <f t="shared" ref="DZ32" si="255">IF(BH32=1,($BC32*BH32),0)</f>
        <v>0</v>
      </c>
      <c r="EA32" s="336">
        <f t="shared" ref="EA32" si="256">IF(BI32=1,($BC32*BI32),0)</f>
        <v>0</v>
      </c>
      <c r="EB32" s="336">
        <f t="shared" ref="EB32" si="257">IF(BJ32=1,($BC32*BJ32),0)</f>
        <v>0</v>
      </c>
      <c r="EC32" s="336">
        <f t="shared" ref="EC32" si="258">IF(BK32=1,($BC32*BK32),0)</f>
        <v>0</v>
      </c>
      <c r="ED32" s="336">
        <f t="shared" ref="ED32" si="259">IF(BL32=1,($BC32*BL32),0)</f>
        <v>0</v>
      </c>
      <c r="EE32" s="336">
        <f t="shared" ref="EE32" si="260">IF(BM32=1,($BC32*BM32),0)</f>
        <v>0</v>
      </c>
      <c r="EF32" s="336">
        <f t="shared" ref="EF32" si="261">IF(BN32=1,($BC32*BN32),0)</f>
        <v>0</v>
      </c>
      <c r="EG32" s="336">
        <f t="shared" ref="EG32" si="262">IF(BO32=1,($BC32*BO32),0)</f>
        <v>0</v>
      </c>
      <c r="EH32" s="336">
        <f t="shared" ref="EH32" si="263">IF(BP32=1,($BC32*BP32),0)</f>
        <v>0</v>
      </c>
      <c r="EI32" s="336">
        <f t="shared" ref="EI32" si="264">IF(BQ32=1,($BC32*BQ32),0)</f>
        <v>0</v>
      </c>
      <c r="EJ32" s="336">
        <f t="shared" ref="EJ32" si="265">IF(BR32=1,($BC32*BR32),0)</f>
        <v>0</v>
      </c>
      <c r="EK32" s="336">
        <f t="shared" ref="EK32" si="266">IF(BS32=1,($BC32*BS32),0)</f>
        <v>0</v>
      </c>
      <c r="EL32" s="336">
        <f t="shared" ref="EL32" si="267">IF(BT32=1,($BC32*BT32),0)</f>
        <v>0</v>
      </c>
      <c r="EM32" s="336">
        <f t="shared" ref="EM32" si="268">IF(BU32=1,($BC32*BU32),0)</f>
        <v>0</v>
      </c>
      <c r="EN32" s="336">
        <f t="shared" ref="EN32" si="269">IF(BV32=1,($BC32*BV32),0)</f>
        <v>0</v>
      </c>
      <c r="EO32" s="336">
        <f t="shared" ref="EO32" si="270">IF(BW32=1,($BC32*BW32),0)</f>
        <v>0</v>
      </c>
      <c r="EP32" s="336">
        <f t="shared" ref="EP32" si="271">IF(BX32=1,($BC32*BX32),0)</f>
        <v>0</v>
      </c>
      <c r="EQ32" s="336">
        <f t="shared" ref="EQ32" si="272">IF(BY32=1,($BC32*BY32),0)</f>
        <v>0</v>
      </c>
      <c r="ER32" s="336">
        <f t="shared" ref="ER32" si="273">IF(BZ32=1,($BC32*BZ32),0)</f>
        <v>0</v>
      </c>
      <c r="ES32" s="336">
        <f t="shared" ref="ES32" si="274">IF(CA32=1,($BC32*CA32),0)</f>
        <v>0</v>
      </c>
      <c r="ET32" s="336">
        <f t="shared" si="22"/>
        <v>0</v>
      </c>
      <c r="EU32" s="336">
        <f t="shared" ref="EU32" si="275">IF(CC32=1,($BC32*CC32),0)</f>
        <v>0</v>
      </c>
      <c r="EV32" s="336">
        <f t="shared" ref="EV32" si="276">IF(CD32=1,($BC32*CD32),0)</f>
        <v>0</v>
      </c>
      <c r="EW32" s="336">
        <f t="shared" ref="EW32" si="277">IF(CE32=1,($BC32*CE32),0)</f>
        <v>0</v>
      </c>
      <c r="EX32" s="336">
        <f t="shared" ref="EX32" si="278">IF(CF32=1,($BC32*CF32),0)</f>
        <v>0</v>
      </c>
      <c r="EY32" s="336">
        <f t="shared" ref="EY32" si="279">IF(CG32=1,($BC32*CG32),0)</f>
        <v>0</v>
      </c>
      <c r="EZ32" s="336">
        <f t="shared" ref="EZ32" si="280">IF(CH32=1,($BC32*CH32),0)</f>
        <v>0</v>
      </c>
      <c r="FA32" s="336">
        <f t="shared" ref="FA32" si="281">IF(CI32=1,($BC32*CI32),0)</f>
        <v>0</v>
      </c>
      <c r="FB32" s="336">
        <f t="shared" ref="FB32" si="282">IF(CJ32=1,($BC32*CJ32),0)</f>
        <v>0</v>
      </c>
      <c r="FC32" s="336">
        <f t="shared" ref="FC32" si="283">IF(CK32=1,($BC32*CK32),0)</f>
        <v>0</v>
      </c>
      <c r="FD32" s="336">
        <f t="shared" ref="FD32" si="284">IF(CL32=1,($BC32*CL32),0)</f>
        <v>0</v>
      </c>
      <c r="FE32" s="336">
        <f t="shared" ref="FE32" si="285">IF(CM32=1,($BC32*CM32),0)</f>
        <v>0</v>
      </c>
      <c r="FF32" s="336">
        <f t="shared" ref="FF32" si="286">IF(CN32=1,($BC32*CN32),0)</f>
        <v>0</v>
      </c>
      <c r="FG32" s="336">
        <f t="shared" ref="FG32" si="287">IF(CO32=1,($BC32*CO32),0)</f>
        <v>0</v>
      </c>
      <c r="FH32" s="336">
        <f t="shared" ref="FH32" si="288">IF(CP32=1,($BC32*CP32),0)</f>
        <v>0</v>
      </c>
      <c r="FI32" s="336">
        <f t="shared" ref="FI32" si="289">IF(CQ32=1,($BC32*CQ32),0)</f>
        <v>0</v>
      </c>
      <c r="FJ32" s="336">
        <f t="shared" ref="FJ32" si="290">IF(CR32=1,($BC32*CR32),0)</f>
        <v>0</v>
      </c>
      <c r="FK32" s="336">
        <f t="shared" ref="FK32" si="291">IF(CS32=1,($BC32*CS32),0)</f>
        <v>0</v>
      </c>
      <c r="FL32" s="336">
        <f t="shared" ref="FL32" si="292">IF(CT32=1,($BC32*CT32),0)</f>
        <v>0</v>
      </c>
      <c r="FM32" s="336">
        <f t="shared" ref="FM32" si="293">IF(CU32=1,($BC32*CU32),0)</f>
        <v>0</v>
      </c>
      <c r="FN32" s="336">
        <f t="shared" ref="FN32" si="294">IF(CV32=1,($BC32*CV32),0)</f>
        <v>0</v>
      </c>
      <c r="FO32" s="336">
        <f t="shared" ref="FO32" si="295">IF(CW32=1,($BC32*CW32),0)</f>
        <v>0</v>
      </c>
      <c r="FP32" s="336">
        <f t="shared" ref="FP32" si="296">IF(CX32=1,($BC32*CX32),0)</f>
        <v>0</v>
      </c>
      <c r="FQ32" s="336">
        <f t="shared" ref="FQ32" si="297">IF(CY32=1,($BC32*CY32),0)</f>
        <v>0</v>
      </c>
      <c r="FR32" s="336">
        <f t="shared" ref="FR32" si="298">IF(CZ32=1,($BC32*CZ32),0)</f>
        <v>0</v>
      </c>
      <c r="FS32" s="336">
        <f t="shared" ref="FS32" si="299">IF(DA32=1,($BC32*DA32),0)</f>
        <v>14</v>
      </c>
      <c r="FT32" s="336">
        <f t="shared" ref="FT32" si="300">IF(DB32=1,($BC32*DB32),0)</f>
        <v>0</v>
      </c>
      <c r="FU32" s="336">
        <f t="shared" si="49"/>
        <v>0</v>
      </c>
      <c r="FV32" s="336">
        <f t="shared" si="50"/>
        <v>0</v>
      </c>
      <c r="FW32" s="336">
        <f t="shared" si="51"/>
        <v>0</v>
      </c>
      <c r="FX32" s="336">
        <f t="shared" si="52"/>
        <v>0</v>
      </c>
      <c r="FY32" s="336">
        <f t="shared" si="53"/>
        <v>14</v>
      </c>
      <c r="FZ32" s="336">
        <f t="shared" si="54"/>
        <v>14</v>
      </c>
      <c r="GA32" s="336">
        <f t="shared" si="55"/>
        <v>0</v>
      </c>
      <c r="GB32" s="336">
        <f t="shared" si="56"/>
        <v>14</v>
      </c>
      <c r="GC32" s="336">
        <f t="shared" si="57"/>
        <v>0</v>
      </c>
      <c r="GD32" s="336">
        <f t="shared" si="58"/>
        <v>0</v>
      </c>
      <c r="GE32" s="336">
        <f t="shared" si="59"/>
        <v>0</v>
      </c>
      <c r="GF32" s="336">
        <f t="shared" si="60"/>
        <v>0</v>
      </c>
      <c r="GG32" s="336">
        <f t="shared" si="61"/>
        <v>0</v>
      </c>
      <c r="GH32" s="336">
        <f t="shared" si="62"/>
        <v>0</v>
      </c>
      <c r="GI32" s="336">
        <f t="shared" si="63"/>
        <v>0</v>
      </c>
      <c r="GJ32" s="336">
        <f t="shared" si="64"/>
        <v>0</v>
      </c>
      <c r="GK32" s="336">
        <f t="shared" si="65"/>
        <v>0</v>
      </c>
      <c r="GL32" s="336">
        <f t="shared" si="67"/>
        <v>0</v>
      </c>
      <c r="GM32" s="336">
        <f t="shared" si="66"/>
        <v>0</v>
      </c>
    </row>
    <row r="33" spans="1:195" ht="20.100000000000001" customHeight="1">
      <c r="A33" s="337">
        <f t="shared" si="220"/>
        <v>25</v>
      </c>
      <c r="B33" s="337" t="s">
        <v>527</v>
      </c>
      <c r="C33" s="372" t="str">
        <f t="shared" si="209"/>
        <v>PMCC-2</v>
      </c>
      <c r="D33" s="372" t="s">
        <v>1128</v>
      </c>
      <c r="E33" s="569" t="s">
        <v>387</v>
      </c>
      <c r="F33" s="337" t="s">
        <v>29</v>
      </c>
      <c r="G33" s="337" t="s">
        <v>350</v>
      </c>
      <c r="H33" s="583">
        <v>22</v>
      </c>
      <c r="I33" s="337" t="s">
        <v>330</v>
      </c>
      <c r="J33" s="337" t="s">
        <v>331</v>
      </c>
      <c r="K33" s="349">
        <v>400</v>
      </c>
      <c r="L33" s="343">
        <v>0.84</v>
      </c>
      <c r="M33" s="350">
        <v>0.94400000000000006</v>
      </c>
      <c r="N33" s="342">
        <f t="shared" si="221"/>
        <v>40.046403733920862</v>
      </c>
      <c r="O33" s="342">
        <f t="shared" si="222"/>
        <v>240.27842240352516</v>
      </c>
      <c r="P33" s="343">
        <f t="shared" si="223"/>
        <v>0.2</v>
      </c>
      <c r="Q33" s="350">
        <v>65</v>
      </c>
      <c r="R33" s="350">
        <v>0</v>
      </c>
      <c r="S33" s="350">
        <f t="shared" si="224"/>
        <v>0</v>
      </c>
      <c r="T33" s="343" t="s">
        <v>332</v>
      </c>
      <c r="U33" s="350" t="s">
        <v>333</v>
      </c>
      <c r="V33" s="343">
        <v>50</v>
      </c>
      <c r="W33" s="343" t="str">
        <f t="shared" ref="W33:W40" si="301">CONCATENATE(U33," X ",V33)</f>
        <v>3C X 50</v>
      </c>
      <c r="X33" s="343" t="str">
        <f t="shared" si="226"/>
        <v>3C X 50+PE</v>
      </c>
      <c r="Y33" s="343" t="s">
        <v>358</v>
      </c>
      <c r="Z33" s="344">
        <f>IF(T33="AIR",VLOOKUP(W33,'Catalogue Aluminium'!$B$9:$G$93,2,FALSE),IF(T33="GROUND",VLOOKUP(W33,'Catalogue Aluminium'!$B$9:$G$93,3,FALSE),IF(T33="DUCT",VLOOKUP(W33,'Catalogue Aluminium'!$B$9:$G$93,4,FALSE),IF(T33="TRENCH",VLOOKUP(W33,'Catalogue Aluminium'!$B$9:$G$93,2,FALSE)))))</f>
        <v>141</v>
      </c>
      <c r="AA33" s="345">
        <f>VLOOKUP(W33,'Catalogue Aluminium'!$B$9:$G$93,5,FALSE)</f>
        <v>0.82</v>
      </c>
      <c r="AB33" s="345">
        <f>VLOOKUP(W33,'Catalogue Aluminium'!$B$9:$G$93,6,FALSE)</f>
        <v>7.9200000000000007E-2</v>
      </c>
      <c r="AC33" s="343">
        <f>9.5+2.5</f>
        <v>12</v>
      </c>
      <c r="AD33" s="343">
        <f t="shared" ref="AD33:AD44" si="302">95+5</f>
        <v>100</v>
      </c>
      <c r="AE33" s="343">
        <v>10</v>
      </c>
      <c r="AF33" s="343">
        <v>8</v>
      </c>
      <c r="AG33" s="343">
        <f t="shared" si="134"/>
        <v>13</v>
      </c>
      <c r="AH33" s="347">
        <f t="shared" si="227"/>
        <v>143</v>
      </c>
      <c r="AI33" s="344">
        <f>IF(T33="AIR",'Catalogue Aluminium'!$K$9,IF(T33="TRENCH",'Catalogue Aluminium'!$K$12,"NA"))</f>
        <v>0.89</v>
      </c>
      <c r="AJ33" s="342">
        <f>IF(T33="Air",(IF(U33="1C",'Catalogue Aluminium'!$L$9,'Catalogue Aluminium'!$M$9)),IF(T33="DUCT",(IF($U33="1C",'Catalogue Aluminium'!$L$10,'Catalogue Aluminium'!$M$10)),IF(T33="GROUND",(IF($U33="1C",'Catalogue Aluminium'!$L$11,'Catalogue Aluminium'!$M$11)),IF(T33="TRENCH",(IF($U33="1C",'Catalogue Aluminium'!$L$12,'Catalogue Aluminium'!$M$12))))))</f>
        <v>0.66</v>
      </c>
      <c r="AK33" s="344" t="str">
        <f>IF(T33="Air",'Catalogue Aluminium'!$N$9,IF(T33="GROUND",'Catalogue Aluminium'!$N$10,IF(T33="DUCT",'Catalogue Aluminium'!$N$11,IF(T33="TRENCH",'Catalogue Aluminium'!$N$12,"NA"))))</f>
        <v>NA</v>
      </c>
      <c r="AL33" s="344" t="str">
        <f>IF(T33="Air",(IF(U33="1C",'Catalogue Aluminium'!$O$9,'Catalogue Aluminium'!$P$9)),IF(T33="DUCT",(IF($U33="1C",'Catalogue Aluminium'!$O$10,'Catalogue Aluminium'!$P$10)),IF(T33="GROUND",(IF($U33="1C",'Catalogue Aluminium'!$O$11,'Catalogue Aluminium'!$P$11)),IF(T33="TRENCH",(IF($U33="1C",'Catalogue Aluminium'!$O$12,'Catalogue Aluminium'!$P$12))))))</f>
        <v>NA</v>
      </c>
      <c r="AM33" s="344" t="str">
        <f>IF(T33="AIR","NA",IF(T33="TRENCH","NA",IF(T33="DUCT",IF(U33="1C",VLOOKUP(V33,'Catalogue Aluminium'!$Q$9:$S$28,2,FALSE),VLOOKUP(V33,'Catalogue Aluminium'!$Q$9:$S$28,3)),IF(T33="GROUND",IF(U33="1C",VLOOKUP(V33,'Catalogue Aluminium'!$Q$9:$S$28,2,FALSE),VLOOKUP(V33,'Catalogue Aluminium'!$Q$9:$S$28,3))))))</f>
        <v>NA</v>
      </c>
      <c r="AN33" s="351">
        <f t="shared" si="228"/>
        <v>0.58740000000000003</v>
      </c>
      <c r="AO33" s="350">
        <f t="shared" si="229"/>
        <v>82.823400000000007</v>
      </c>
      <c r="AP33" s="349">
        <f t="shared" si="230"/>
        <v>1</v>
      </c>
      <c r="AQ33" s="350" t="str">
        <f t="shared" si="231"/>
        <v>YES</v>
      </c>
      <c r="AR33" s="351">
        <f t="shared" si="136"/>
        <v>1.8145815175772604</v>
      </c>
      <c r="AS33" s="343" t="str">
        <f t="shared" si="137"/>
        <v>YES</v>
      </c>
      <c r="AT33" s="351">
        <f t="shared" si="210"/>
        <v>3.5945793807208455</v>
      </c>
      <c r="AU33" s="343" t="str">
        <f t="shared" si="211"/>
        <v>YES</v>
      </c>
      <c r="AV33" s="354" t="str">
        <f t="shared" si="212"/>
        <v>1R x 0.6/1kV x 3C x 50 Sqmm</v>
      </c>
      <c r="AW33" s="354" t="str">
        <f t="shared" si="213"/>
        <v>1R x 0.6/1kV x 3C x 50+PE Sqmm</v>
      </c>
      <c r="AX33" s="343">
        <f t="shared" si="214"/>
        <v>143</v>
      </c>
      <c r="AY33" s="355"/>
      <c r="AZ33" s="355">
        <f t="shared" si="215"/>
        <v>2</v>
      </c>
      <c r="BA33" s="356" t="str">
        <f t="shared" si="216"/>
        <v>Q3RR1R1.A</v>
      </c>
      <c r="BB33" s="501">
        <f>VLOOKUP(W33,'Catalogue Aluminium'!$B$9:$H$93,7,FALSE)</f>
        <v>26</v>
      </c>
      <c r="BC33" s="328">
        <f t="shared" si="217"/>
        <v>26</v>
      </c>
      <c r="BE33" s="336"/>
      <c r="BF33" s="336"/>
      <c r="BG33" s="336"/>
      <c r="BH33" s="336"/>
      <c r="BI33" s="336"/>
      <c r="BJ33" s="336"/>
      <c r="BK33" s="336"/>
      <c r="BL33" s="336"/>
      <c r="BM33" s="336"/>
      <c r="BN33" s="336"/>
      <c r="BO33" s="336"/>
      <c r="BP33" s="336"/>
      <c r="BQ33" s="336"/>
      <c r="BR33" s="336"/>
      <c r="BS33" s="336"/>
      <c r="BT33" s="336"/>
      <c r="BU33" s="336"/>
      <c r="BV33" s="336"/>
      <c r="BW33" s="336"/>
      <c r="BX33" s="336"/>
      <c r="BY33" s="336"/>
      <c r="BZ33" s="336"/>
      <c r="CA33" s="336"/>
      <c r="CB33" s="336"/>
      <c r="CC33" s="336"/>
      <c r="CD33" s="336"/>
      <c r="CE33" s="336"/>
      <c r="CF33" s="336"/>
      <c r="CG33" s="336"/>
      <c r="CH33" s="336"/>
      <c r="CI33" s="336"/>
      <c r="CJ33" s="336"/>
      <c r="CK33" s="336"/>
      <c r="CL33" s="336"/>
      <c r="CM33" s="336"/>
      <c r="CN33" s="336"/>
      <c r="CO33" s="336"/>
      <c r="CP33" s="336"/>
      <c r="CQ33" s="336"/>
      <c r="CR33" s="336"/>
      <c r="CS33" s="336"/>
      <c r="CT33" s="336"/>
      <c r="CU33" s="336"/>
      <c r="CV33" s="336"/>
      <c r="CW33" s="336"/>
      <c r="CX33" s="336"/>
      <c r="CY33" s="336"/>
      <c r="CZ33" s="336"/>
      <c r="DA33" s="336">
        <v>1</v>
      </c>
      <c r="DB33" s="336"/>
      <c r="DC33" s="336"/>
      <c r="DD33" s="336"/>
      <c r="DE33" s="336"/>
      <c r="DF33" s="336"/>
      <c r="DG33" s="336">
        <v>1</v>
      </c>
      <c r="DH33" s="336">
        <v>1</v>
      </c>
      <c r="DI33" s="336"/>
      <c r="DJ33" s="336">
        <v>1</v>
      </c>
      <c r="DK33" s="336"/>
      <c r="DL33" s="336"/>
      <c r="DM33" s="336"/>
      <c r="DN33" s="336"/>
      <c r="DO33" s="336"/>
      <c r="DP33" s="336"/>
      <c r="DQ33" s="336"/>
      <c r="DR33" s="336"/>
      <c r="DS33" s="336"/>
      <c r="DT33" s="336"/>
      <c r="DU33" s="336"/>
      <c r="DW33" s="336">
        <f t="shared" si="80"/>
        <v>0</v>
      </c>
      <c r="DX33" s="336">
        <f t="shared" si="1"/>
        <v>0</v>
      </c>
      <c r="DY33" s="336">
        <f t="shared" si="2"/>
        <v>0</v>
      </c>
      <c r="DZ33" s="336">
        <f t="shared" si="3"/>
        <v>0</v>
      </c>
      <c r="EA33" s="336">
        <f t="shared" si="4"/>
        <v>0</v>
      </c>
      <c r="EB33" s="336">
        <f t="shared" si="5"/>
        <v>0</v>
      </c>
      <c r="EC33" s="336">
        <f t="shared" si="6"/>
        <v>0</v>
      </c>
      <c r="ED33" s="336">
        <f t="shared" si="7"/>
        <v>0</v>
      </c>
      <c r="EE33" s="336">
        <f t="shared" si="8"/>
        <v>0</v>
      </c>
      <c r="EF33" s="336">
        <f t="shared" si="9"/>
        <v>0</v>
      </c>
      <c r="EG33" s="336">
        <f t="shared" si="10"/>
        <v>0</v>
      </c>
      <c r="EH33" s="336">
        <f t="shared" si="11"/>
        <v>0</v>
      </c>
      <c r="EI33" s="336">
        <f t="shared" si="12"/>
        <v>0</v>
      </c>
      <c r="EJ33" s="336">
        <f t="shared" si="13"/>
        <v>0</v>
      </c>
      <c r="EK33" s="336">
        <f t="shared" si="14"/>
        <v>0</v>
      </c>
      <c r="EL33" s="336">
        <f t="shared" si="15"/>
        <v>0</v>
      </c>
      <c r="EM33" s="336">
        <f t="shared" si="16"/>
        <v>0</v>
      </c>
      <c r="EN33" s="336">
        <f t="shared" si="17"/>
        <v>0</v>
      </c>
      <c r="EO33" s="336">
        <f t="shared" si="18"/>
        <v>0</v>
      </c>
      <c r="EP33" s="336">
        <f t="shared" si="19"/>
        <v>0</v>
      </c>
      <c r="EQ33" s="336">
        <f t="shared" si="20"/>
        <v>0</v>
      </c>
      <c r="ER33" s="336">
        <f t="shared" si="21"/>
        <v>0</v>
      </c>
      <c r="ES33" s="336">
        <f t="shared" si="22"/>
        <v>0</v>
      </c>
      <c r="ET33" s="336">
        <f t="shared" si="22"/>
        <v>0</v>
      </c>
      <c r="EU33" s="336">
        <f t="shared" si="23"/>
        <v>0</v>
      </c>
      <c r="EV33" s="336">
        <f t="shared" si="24"/>
        <v>0</v>
      </c>
      <c r="EW33" s="336">
        <f t="shared" si="25"/>
        <v>0</v>
      </c>
      <c r="EX33" s="336">
        <f t="shared" si="26"/>
        <v>0</v>
      </c>
      <c r="EY33" s="336">
        <f t="shared" si="27"/>
        <v>0</v>
      </c>
      <c r="EZ33" s="336">
        <f t="shared" si="28"/>
        <v>0</v>
      </c>
      <c r="FA33" s="336">
        <f t="shared" si="29"/>
        <v>0</v>
      </c>
      <c r="FB33" s="336">
        <f t="shared" si="30"/>
        <v>0</v>
      </c>
      <c r="FC33" s="336">
        <f t="shared" si="31"/>
        <v>0</v>
      </c>
      <c r="FD33" s="336">
        <f t="shared" si="32"/>
        <v>0</v>
      </c>
      <c r="FE33" s="336">
        <f t="shared" si="33"/>
        <v>0</v>
      </c>
      <c r="FF33" s="336">
        <f t="shared" si="34"/>
        <v>0</v>
      </c>
      <c r="FG33" s="336">
        <f t="shared" si="35"/>
        <v>0</v>
      </c>
      <c r="FH33" s="336">
        <f t="shared" si="36"/>
        <v>0</v>
      </c>
      <c r="FI33" s="336">
        <f t="shared" si="37"/>
        <v>0</v>
      </c>
      <c r="FJ33" s="336">
        <f t="shared" si="38"/>
        <v>0</v>
      </c>
      <c r="FK33" s="336">
        <f t="shared" si="39"/>
        <v>0</v>
      </c>
      <c r="FL33" s="336">
        <f t="shared" si="40"/>
        <v>0</v>
      </c>
      <c r="FM33" s="336">
        <f t="shared" si="41"/>
        <v>0</v>
      </c>
      <c r="FN33" s="336">
        <f t="shared" si="42"/>
        <v>0</v>
      </c>
      <c r="FO33" s="336">
        <f t="shared" si="43"/>
        <v>0</v>
      </c>
      <c r="FP33" s="336">
        <f t="shared" si="44"/>
        <v>0</v>
      </c>
      <c r="FQ33" s="336">
        <f t="shared" si="45"/>
        <v>0</v>
      </c>
      <c r="FR33" s="336">
        <f t="shared" si="46"/>
        <v>0</v>
      </c>
      <c r="FS33" s="336">
        <f t="shared" si="47"/>
        <v>26</v>
      </c>
      <c r="FT33" s="336">
        <f t="shared" si="48"/>
        <v>0</v>
      </c>
      <c r="FU33" s="336">
        <f t="shared" si="49"/>
        <v>0</v>
      </c>
      <c r="FV33" s="336">
        <f t="shared" si="50"/>
        <v>0</v>
      </c>
      <c r="FW33" s="336">
        <f t="shared" si="51"/>
        <v>0</v>
      </c>
      <c r="FX33" s="336">
        <f t="shared" si="52"/>
        <v>0</v>
      </c>
      <c r="FY33" s="336">
        <f t="shared" si="53"/>
        <v>26</v>
      </c>
      <c r="FZ33" s="336">
        <f t="shared" si="54"/>
        <v>26</v>
      </c>
      <c r="GA33" s="336">
        <f t="shared" si="55"/>
        <v>0</v>
      </c>
      <c r="GB33" s="336">
        <f t="shared" si="56"/>
        <v>26</v>
      </c>
      <c r="GC33" s="336">
        <f t="shared" si="57"/>
        <v>0</v>
      </c>
      <c r="GD33" s="336">
        <f t="shared" si="58"/>
        <v>0</v>
      </c>
      <c r="GE33" s="336">
        <f t="shared" si="59"/>
        <v>0</v>
      </c>
      <c r="GF33" s="336">
        <f t="shared" si="60"/>
        <v>0</v>
      </c>
      <c r="GG33" s="336">
        <f t="shared" si="61"/>
        <v>0</v>
      </c>
      <c r="GH33" s="336">
        <f t="shared" si="62"/>
        <v>0</v>
      </c>
      <c r="GI33" s="336">
        <f t="shared" si="63"/>
        <v>0</v>
      </c>
      <c r="GJ33" s="336">
        <f t="shared" si="64"/>
        <v>0</v>
      </c>
      <c r="GK33" s="336">
        <f t="shared" si="65"/>
        <v>0</v>
      </c>
      <c r="GL33" s="336">
        <f t="shared" si="67"/>
        <v>0</v>
      </c>
      <c r="GM33" s="336">
        <f t="shared" si="66"/>
        <v>0</v>
      </c>
    </row>
    <row r="34" spans="1:195" ht="20.100000000000001" customHeight="1">
      <c r="A34" s="337">
        <f t="shared" si="220"/>
        <v>26</v>
      </c>
      <c r="B34" s="388" t="s">
        <v>527</v>
      </c>
      <c r="C34" s="338" t="str">
        <f t="shared" si="209"/>
        <v>PMCC-2</v>
      </c>
      <c r="D34" s="338" t="s">
        <v>1129</v>
      </c>
      <c r="E34" s="745" t="s">
        <v>387</v>
      </c>
      <c r="F34" s="388" t="s">
        <v>29</v>
      </c>
      <c r="G34" s="388" t="s">
        <v>329</v>
      </c>
      <c r="H34" s="742">
        <v>0.2</v>
      </c>
      <c r="I34" s="388" t="s">
        <v>330</v>
      </c>
      <c r="J34" s="388" t="s">
        <v>357</v>
      </c>
      <c r="K34" s="434">
        <v>230</v>
      </c>
      <c r="L34" s="401">
        <v>0.85</v>
      </c>
      <c r="M34" s="418">
        <v>0.95</v>
      </c>
      <c r="N34" s="392">
        <f t="shared" si="221"/>
        <v>1.0768609503297888</v>
      </c>
      <c r="O34" s="392">
        <f t="shared" si="222"/>
        <v>0</v>
      </c>
      <c r="P34" s="401" t="str">
        <f t="shared" si="223"/>
        <v>0.00</v>
      </c>
      <c r="Q34" s="418">
        <v>65</v>
      </c>
      <c r="R34" s="418">
        <v>0</v>
      </c>
      <c r="S34" s="418">
        <f t="shared" si="224"/>
        <v>0</v>
      </c>
      <c r="T34" s="401" t="s">
        <v>332</v>
      </c>
      <c r="U34" s="418" t="s">
        <v>333</v>
      </c>
      <c r="V34" s="401">
        <v>2.5</v>
      </c>
      <c r="W34" s="401" t="str">
        <f t="shared" si="301"/>
        <v>3C X 2.5</v>
      </c>
      <c r="X34" s="401" t="str">
        <f t="shared" ref="X34" si="303">(IF(J34="1Ph",W34,IF(J34="3Ph",(IF(G34="MOTOR",(CONCATENATE(W34,"+PE")),W34)))))</f>
        <v>3C X 2.5</v>
      </c>
      <c r="Y34" s="401" t="s">
        <v>358</v>
      </c>
      <c r="Z34" s="393">
        <f>IF(T34="AIR",VLOOKUP(W34,'Catalogue Aluminium'!$B$9:$G$93,2,FALSE),IF(T34="GROUND",VLOOKUP(W34,'Catalogue Aluminium'!$B$9:$G$93,3,FALSE),IF(T34="DUCT",VLOOKUP(W34,'Catalogue Aluminium'!$B$9:$G$93,4,FALSE),IF(T34="TRENCH",VLOOKUP(W34,'Catalogue Aluminium'!$B$9:$G$93,2,FALSE)))))</f>
        <v>28</v>
      </c>
      <c r="AA34" s="402">
        <f>VLOOKUP(W34,'Catalogue Aluminium'!$B$9:$G$93,5,FALSE)</f>
        <v>9.48</v>
      </c>
      <c r="AB34" s="402">
        <f>VLOOKUP(W34,'Catalogue Aluminium'!$B$9:$G$93,6,FALSE)</f>
        <v>0.1007</v>
      </c>
      <c r="AC34" s="401">
        <f>9.5+2.5</f>
        <v>12</v>
      </c>
      <c r="AD34" s="401">
        <f t="shared" si="302"/>
        <v>100</v>
      </c>
      <c r="AE34" s="401">
        <v>10</v>
      </c>
      <c r="AF34" s="401">
        <v>8</v>
      </c>
      <c r="AG34" s="401">
        <f t="shared" ref="AG34" si="304">ROUNDUP((SUM(AC34:AF34)*0.1),0)</f>
        <v>13</v>
      </c>
      <c r="AH34" s="436">
        <f t="shared" si="227"/>
        <v>143</v>
      </c>
      <c r="AI34" s="393">
        <f>IF(T34="AIR",'Catalogue Aluminium'!$K$9,IF(T34="TRENCH",'Catalogue Aluminium'!$K$12,"NA"))</f>
        <v>0.89</v>
      </c>
      <c r="AJ34" s="392">
        <f>IF(T34="Air",(IF(U34="1C",'Catalogue Aluminium'!$L$9,'Catalogue Aluminium'!$M$9)),IF(T34="DUCT",(IF($U34="1C",'Catalogue Aluminium'!$L$10,'Catalogue Aluminium'!$M$10)),IF(T34="GROUND",(IF($U34="1C",'Catalogue Aluminium'!$L$11,'Catalogue Aluminium'!$M$11)),IF(T34="TRENCH",(IF($U34="1C",'Catalogue Aluminium'!$L$12,'Catalogue Aluminium'!$M$12))))))</f>
        <v>0.66</v>
      </c>
      <c r="AK34" s="393" t="str">
        <f>IF(T34="Air",'Catalogue Aluminium'!$N$9,IF(T34="GROUND",'Catalogue Aluminium'!$N$10,IF(T34="DUCT",'Catalogue Aluminium'!$N$11,IF(T34="TRENCH",'Catalogue Aluminium'!$N$12,"NA"))))</f>
        <v>NA</v>
      </c>
      <c r="AL34" s="393" t="str">
        <f>IF(T34="Air",(IF(U34="1C",'Catalogue Aluminium'!$O$9,'Catalogue Aluminium'!$P$9)),IF(T34="DUCT",(IF($U34="1C",'Catalogue Aluminium'!$O$10,'Catalogue Aluminium'!$P$10)),IF(T34="GROUND",(IF($U34="1C",'Catalogue Aluminium'!$O$11,'Catalogue Aluminium'!$P$11)),IF(T34="TRENCH",(IF($U34="1C",'Catalogue Aluminium'!$O$12,'Catalogue Aluminium'!$P$12))))))</f>
        <v>NA</v>
      </c>
      <c r="AM34" s="393" t="str">
        <f>IF(T34="AIR","NA",IF(T34="TRENCH","NA",IF(T34="DUCT",IF(U34="1C",VLOOKUP(V34,'Catalogue Aluminium'!$Q$9:$S$28,2,FALSE),VLOOKUP(V34,'Catalogue Aluminium'!$Q$9:$S$28,3)),IF(T34="GROUND",IF(U34="1C",VLOOKUP(V34,'Catalogue Aluminium'!$Q$9:$S$28,2,FALSE),VLOOKUP(V34,'Catalogue Aluminium'!$Q$9:$S$28,3))))))</f>
        <v>NA</v>
      </c>
      <c r="AN34" s="437">
        <f t="shared" ref="AN34" si="305">IF(T34="AIR",AI34*AJ34,IF(T34="TRENCH",AI34*AJ34,IF(T34="DUCT",AJ34*AK34*AL34*AM34,IF(T34="GROUND",AJ34*AK34*AL34*AM34))))</f>
        <v>0.58740000000000003</v>
      </c>
      <c r="AO34" s="418">
        <f t="shared" ref="AO34" si="306">Z34*AN34</f>
        <v>16.447200000000002</v>
      </c>
      <c r="AP34" s="434">
        <f t="shared" ref="AP34" si="307">CEILING(((N34)/AO34),1)</f>
        <v>1</v>
      </c>
      <c r="AQ34" s="418" t="str">
        <f t="shared" ref="AQ34" si="308">IF(AO34*AP34&gt;=N34,"YES","NO")</f>
        <v>YES</v>
      </c>
      <c r="AR34" s="437">
        <f t="shared" ref="AR34" si="309">SQRT(3)*AH34*N34*((AA34*L34)+(AB34*SIN(ACOS(L34))))*100/(AP34*K34*1000)</f>
        <v>0.94060087041437102</v>
      </c>
      <c r="AS34" s="401" t="str">
        <f t="shared" ref="AS34" si="310">IF(G34="INCOMER",(IF(AR34&lt;=2,"YES","NO")),IF(G34="POWER",(IF(AR34&lt;=2.5,"YES","NO")),IF(G34="MOTOR",(IF(AR34&lt;=3,"YES","NO")))))</f>
        <v>YES</v>
      </c>
      <c r="AT34" s="437" t="str">
        <f t="shared" si="210"/>
        <v>NA</v>
      </c>
      <c r="AU34" s="401" t="str">
        <f t="shared" si="211"/>
        <v>NA</v>
      </c>
      <c r="AV34" s="503" t="str">
        <f t="shared" si="212"/>
        <v>1R x 0.6/1kV x 3C x 2.5 Sqmm</v>
      </c>
      <c r="AW34" s="503" t="str">
        <f t="shared" si="213"/>
        <v>1R x 0.6/1kV x 3C x 2.5 Sqmm</v>
      </c>
      <c r="AX34" s="401">
        <f t="shared" si="214"/>
        <v>143</v>
      </c>
      <c r="AY34" s="504"/>
      <c r="AZ34" s="504">
        <f t="shared" si="215"/>
        <v>2</v>
      </c>
      <c r="BA34" s="438" t="str">
        <f t="shared" si="216"/>
        <v>Q3RR1R1.A</v>
      </c>
      <c r="BB34" s="505">
        <f>VLOOKUP(W34,'Catalogue Aluminium'!$B$9:$H$93,7,FALSE)</f>
        <v>14</v>
      </c>
      <c r="BC34" s="439">
        <f t="shared" si="217"/>
        <v>14</v>
      </c>
      <c r="BE34" s="336"/>
      <c r="BF34" s="336"/>
      <c r="BG34" s="336"/>
      <c r="BH34" s="336"/>
      <c r="BI34" s="336"/>
      <c r="BJ34" s="336"/>
      <c r="BK34" s="336"/>
      <c r="BL34" s="336"/>
      <c r="BM34" s="336"/>
      <c r="BN34" s="336"/>
      <c r="BO34" s="336"/>
      <c r="BP34" s="336"/>
      <c r="BQ34" s="336"/>
      <c r="BR34" s="336"/>
      <c r="BS34" s="336"/>
      <c r="BT34" s="336"/>
      <c r="BU34" s="336"/>
      <c r="BV34" s="336"/>
      <c r="BW34" s="336"/>
      <c r="BX34" s="336"/>
      <c r="BY34" s="336"/>
      <c r="BZ34" s="336"/>
      <c r="CA34" s="336"/>
      <c r="CB34" s="336"/>
      <c r="CC34" s="336"/>
      <c r="CD34" s="336"/>
      <c r="CE34" s="336"/>
      <c r="CF34" s="336"/>
      <c r="CG34" s="336"/>
      <c r="CH34" s="336"/>
      <c r="CI34" s="336"/>
      <c r="CJ34" s="336"/>
      <c r="CK34" s="336"/>
      <c r="CL34" s="336"/>
      <c r="CM34" s="336"/>
      <c r="CN34" s="336"/>
      <c r="CO34" s="336"/>
      <c r="CP34" s="336"/>
      <c r="CQ34" s="336"/>
      <c r="CR34" s="336"/>
      <c r="CS34" s="336"/>
      <c r="CT34" s="336"/>
      <c r="CU34" s="336"/>
      <c r="CV34" s="336"/>
      <c r="CW34" s="336"/>
      <c r="CX34" s="336"/>
      <c r="CY34" s="336"/>
      <c r="CZ34" s="336"/>
      <c r="DA34" s="336">
        <v>1</v>
      </c>
      <c r="DB34" s="336"/>
      <c r="DC34" s="336"/>
      <c r="DD34" s="336"/>
      <c r="DE34" s="336"/>
      <c r="DF34" s="336"/>
      <c r="DG34" s="336">
        <v>1</v>
      </c>
      <c r="DH34" s="336">
        <v>1</v>
      </c>
      <c r="DI34" s="336"/>
      <c r="DJ34" s="336">
        <v>1</v>
      </c>
      <c r="DK34" s="336"/>
      <c r="DL34" s="336"/>
      <c r="DM34" s="336"/>
      <c r="DN34" s="336"/>
      <c r="DO34" s="336"/>
      <c r="DP34" s="336"/>
      <c r="DQ34" s="336"/>
      <c r="DR34" s="336"/>
      <c r="DS34" s="336"/>
      <c r="DT34" s="336"/>
      <c r="DU34" s="336"/>
      <c r="DW34" s="336">
        <f t="shared" ref="DW34" si="311">IF(BE34=1,($BC34*BE34),0)</f>
        <v>0</v>
      </c>
      <c r="DX34" s="336">
        <f t="shared" ref="DX34" si="312">IF(BF34=1,($BC34*BF34),0)</f>
        <v>0</v>
      </c>
      <c r="DY34" s="336">
        <f t="shared" ref="DY34" si="313">IF(BG34=1,($BC34*BG34),0)</f>
        <v>0</v>
      </c>
      <c r="DZ34" s="336">
        <f t="shared" ref="DZ34" si="314">IF(BH34=1,($BC34*BH34),0)</f>
        <v>0</v>
      </c>
      <c r="EA34" s="336">
        <f t="shared" ref="EA34" si="315">IF(BI34=1,($BC34*BI34),0)</f>
        <v>0</v>
      </c>
      <c r="EB34" s="336">
        <f t="shared" ref="EB34" si="316">IF(BJ34=1,($BC34*BJ34),0)</f>
        <v>0</v>
      </c>
      <c r="EC34" s="336">
        <f t="shared" ref="EC34" si="317">IF(BK34=1,($BC34*BK34),0)</f>
        <v>0</v>
      </c>
      <c r="ED34" s="336">
        <f t="shared" ref="ED34" si="318">IF(BL34=1,($BC34*BL34),0)</f>
        <v>0</v>
      </c>
      <c r="EE34" s="336">
        <f t="shared" ref="EE34" si="319">IF(BM34=1,($BC34*BM34),0)</f>
        <v>0</v>
      </c>
      <c r="EF34" s="336">
        <f t="shared" ref="EF34" si="320">IF(BN34=1,($BC34*BN34),0)</f>
        <v>0</v>
      </c>
      <c r="EG34" s="336">
        <f t="shared" ref="EG34" si="321">IF(BO34=1,($BC34*BO34),0)</f>
        <v>0</v>
      </c>
      <c r="EH34" s="336">
        <f t="shared" ref="EH34" si="322">IF(BP34=1,($BC34*BP34),0)</f>
        <v>0</v>
      </c>
      <c r="EI34" s="336">
        <f t="shared" ref="EI34" si="323">IF(BQ34=1,($BC34*BQ34),0)</f>
        <v>0</v>
      </c>
      <c r="EJ34" s="336">
        <f t="shared" ref="EJ34" si="324">IF(BR34=1,($BC34*BR34),0)</f>
        <v>0</v>
      </c>
      <c r="EK34" s="336">
        <f t="shared" ref="EK34" si="325">IF(BS34=1,($BC34*BS34),0)</f>
        <v>0</v>
      </c>
      <c r="EL34" s="336">
        <f t="shared" ref="EL34" si="326">IF(BT34=1,($BC34*BT34),0)</f>
        <v>0</v>
      </c>
      <c r="EM34" s="336">
        <f t="shared" ref="EM34" si="327">IF(BU34=1,($BC34*BU34),0)</f>
        <v>0</v>
      </c>
      <c r="EN34" s="336">
        <f t="shared" ref="EN34" si="328">IF(BV34=1,($BC34*BV34),0)</f>
        <v>0</v>
      </c>
      <c r="EO34" s="336">
        <f t="shared" ref="EO34" si="329">IF(BW34=1,($BC34*BW34),0)</f>
        <v>0</v>
      </c>
      <c r="EP34" s="336">
        <f t="shared" ref="EP34" si="330">IF(BX34=1,($BC34*BX34),0)</f>
        <v>0</v>
      </c>
      <c r="EQ34" s="336">
        <f t="shared" ref="EQ34" si="331">IF(BY34=1,($BC34*BY34),0)</f>
        <v>0</v>
      </c>
      <c r="ER34" s="336">
        <f t="shared" ref="ER34" si="332">IF(BZ34=1,($BC34*BZ34),0)</f>
        <v>0</v>
      </c>
      <c r="ES34" s="336">
        <f t="shared" ref="ES34" si="333">IF(CA34=1,($BC34*CA34),0)</f>
        <v>0</v>
      </c>
      <c r="ET34" s="336">
        <f t="shared" si="22"/>
        <v>0</v>
      </c>
      <c r="EU34" s="336">
        <f t="shared" ref="EU34" si="334">IF(CC34=1,($BC34*CC34),0)</f>
        <v>0</v>
      </c>
      <c r="EV34" s="336">
        <f t="shared" ref="EV34" si="335">IF(CD34=1,($BC34*CD34),0)</f>
        <v>0</v>
      </c>
      <c r="EW34" s="336">
        <f t="shared" ref="EW34" si="336">IF(CE34=1,($BC34*CE34),0)</f>
        <v>0</v>
      </c>
      <c r="EX34" s="336">
        <f t="shared" ref="EX34" si="337">IF(CF34=1,($BC34*CF34),0)</f>
        <v>0</v>
      </c>
      <c r="EY34" s="336">
        <f t="shared" ref="EY34" si="338">IF(CG34=1,($BC34*CG34),0)</f>
        <v>0</v>
      </c>
      <c r="EZ34" s="336">
        <f t="shared" ref="EZ34" si="339">IF(CH34=1,($BC34*CH34),0)</f>
        <v>0</v>
      </c>
      <c r="FA34" s="336">
        <f t="shared" ref="FA34" si="340">IF(CI34=1,($BC34*CI34),0)</f>
        <v>0</v>
      </c>
      <c r="FB34" s="336">
        <f t="shared" ref="FB34" si="341">IF(CJ34=1,($BC34*CJ34),0)</f>
        <v>0</v>
      </c>
      <c r="FC34" s="336">
        <f t="shared" ref="FC34" si="342">IF(CK34=1,($BC34*CK34),0)</f>
        <v>0</v>
      </c>
      <c r="FD34" s="336">
        <f t="shared" ref="FD34" si="343">IF(CL34=1,($BC34*CL34),0)</f>
        <v>0</v>
      </c>
      <c r="FE34" s="336">
        <f t="shared" ref="FE34" si="344">IF(CM34=1,($BC34*CM34),0)</f>
        <v>0</v>
      </c>
      <c r="FF34" s="336">
        <f t="shared" ref="FF34" si="345">IF(CN34=1,($BC34*CN34),0)</f>
        <v>0</v>
      </c>
      <c r="FG34" s="336">
        <f t="shared" ref="FG34" si="346">IF(CO34=1,($BC34*CO34),0)</f>
        <v>0</v>
      </c>
      <c r="FH34" s="336">
        <f t="shared" ref="FH34" si="347">IF(CP34=1,($BC34*CP34),0)</f>
        <v>0</v>
      </c>
      <c r="FI34" s="336">
        <f t="shared" ref="FI34" si="348">IF(CQ34=1,($BC34*CQ34),0)</f>
        <v>0</v>
      </c>
      <c r="FJ34" s="336">
        <f t="shared" ref="FJ34" si="349">IF(CR34=1,($BC34*CR34),0)</f>
        <v>0</v>
      </c>
      <c r="FK34" s="336">
        <f t="shared" ref="FK34" si="350">IF(CS34=1,($BC34*CS34),0)</f>
        <v>0</v>
      </c>
      <c r="FL34" s="336">
        <f t="shared" ref="FL34" si="351">IF(CT34=1,($BC34*CT34),0)</f>
        <v>0</v>
      </c>
      <c r="FM34" s="336">
        <f t="shared" ref="FM34" si="352">IF(CU34=1,($BC34*CU34),0)</f>
        <v>0</v>
      </c>
      <c r="FN34" s="336">
        <f t="shared" ref="FN34" si="353">IF(CV34=1,($BC34*CV34),0)</f>
        <v>0</v>
      </c>
      <c r="FO34" s="336">
        <f t="shared" ref="FO34" si="354">IF(CW34=1,($BC34*CW34),0)</f>
        <v>0</v>
      </c>
      <c r="FP34" s="336">
        <f t="shared" ref="FP34" si="355">IF(CX34=1,($BC34*CX34),0)</f>
        <v>0</v>
      </c>
      <c r="FQ34" s="336">
        <f t="shared" ref="FQ34" si="356">IF(CY34=1,($BC34*CY34),0)</f>
        <v>0</v>
      </c>
      <c r="FR34" s="336">
        <f t="shared" ref="FR34" si="357">IF(CZ34=1,($BC34*CZ34),0)</f>
        <v>0</v>
      </c>
      <c r="FS34" s="336">
        <f t="shared" ref="FS34" si="358">IF(DA34=1,($BC34*DA34),0)</f>
        <v>14</v>
      </c>
      <c r="FT34" s="336">
        <f t="shared" ref="FT34" si="359">IF(DB34=1,($BC34*DB34),0)</f>
        <v>0</v>
      </c>
      <c r="FU34" s="336">
        <f t="shared" si="49"/>
        <v>0</v>
      </c>
      <c r="FV34" s="336">
        <f t="shared" si="50"/>
        <v>0</v>
      </c>
      <c r="FW34" s="336">
        <f t="shared" si="51"/>
        <v>0</v>
      </c>
      <c r="FX34" s="336">
        <f t="shared" si="52"/>
        <v>0</v>
      </c>
      <c r="FY34" s="336">
        <f t="shared" si="53"/>
        <v>14</v>
      </c>
      <c r="FZ34" s="336">
        <f t="shared" si="54"/>
        <v>14</v>
      </c>
      <c r="GA34" s="336">
        <f t="shared" si="55"/>
        <v>0</v>
      </c>
      <c r="GB34" s="336">
        <f t="shared" si="56"/>
        <v>14</v>
      </c>
      <c r="GC34" s="336">
        <f t="shared" si="57"/>
        <v>0</v>
      </c>
      <c r="GD34" s="336">
        <f t="shared" si="58"/>
        <v>0</v>
      </c>
      <c r="GE34" s="336">
        <f t="shared" si="59"/>
        <v>0</v>
      </c>
      <c r="GF34" s="336">
        <f t="shared" si="60"/>
        <v>0</v>
      </c>
      <c r="GG34" s="336">
        <f t="shared" si="61"/>
        <v>0</v>
      </c>
      <c r="GH34" s="336">
        <f t="shared" si="62"/>
        <v>0</v>
      </c>
      <c r="GI34" s="336">
        <f t="shared" si="63"/>
        <v>0</v>
      </c>
      <c r="GJ34" s="336">
        <f t="shared" si="64"/>
        <v>0</v>
      </c>
      <c r="GK34" s="336">
        <f t="shared" si="65"/>
        <v>0</v>
      </c>
      <c r="GL34" s="336">
        <f t="shared" si="67"/>
        <v>0</v>
      </c>
      <c r="GM34" s="336">
        <f t="shared" si="66"/>
        <v>0</v>
      </c>
    </row>
    <row r="35" spans="1:195" ht="20.100000000000001" customHeight="1">
      <c r="A35" s="337">
        <f t="shared" si="220"/>
        <v>27</v>
      </c>
      <c r="B35" s="388" t="s">
        <v>527</v>
      </c>
      <c r="C35" s="338" t="s">
        <v>1089</v>
      </c>
      <c r="D35" s="338" t="s">
        <v>1130</v>
      </c>
      <c r="E35" s="745" t="s">
        <v>387</v>
      </c>
      <c r="F35" s="388" t="s">
        <v>28</v>
      </c>
      <c r="G35" s="388" t="s">
        <v>350</v>
      </c>
      <c r="H35" s="583">
        <v>22</v>
      </c>
      <c r="I35" s="388" t="s">
        <v>330</v>
      </c>
      <c r="J35" s="388" t="s">
        <v>331</v>
      </c>
      <c r="K35" s="434">
        <v>400</v>
      </c>
      <c r="L35" s="401">
        <v>0.85</v>
      </c>
      <c r="M35" s="418">
        <v>0.95400000000000007</v>
      </c>
      <c r="N35" s="392">
        <f>IF(I35="kVA",IF(J35="3Ph",(H35*1000/(1.732*M35*K35)),(H35*1000/(M35*K35))),IF(I35="kW",IF(J35="3Ph",(H35*1000/(1.732*M35*K35*L35)),(H35*1000/(M35*K35*L35)))))</f>
        <v>39.16043446152409</v>
      </c>
      <c r="O35" s="392">
        <f>IF(G35="MOTOR",(6*N35),IF(G35="VFD",(1*N35),0))</f>
        <v>234.96260676914454</v>
      </c>
      <c r="P35" s="401">
        <f>IF(G35="MOTOR",0.2,"0.00")</f>
        <v>0.2</v>
      </c>
      <c r="Q35" s="418">
        <v>65</v>
      </c>
      <c r="R35" s="418">
        <v>0</v>
      </c>
      <c r="S35" s="418">
        <f>(Q35*1000*SQRT(R35)/143)</f>
        <v>0</v>
      </c>
      <c r="T35" s="401" t="s">
        <v>332</v>
      </c>
      <c r="U35" s="418" t="s">
        <v>333</v>
      </c>
      <c r="V35" s="401">
        <v>50</v>
      </c>
      <c r="W35" s="401" t="str">
        <f>CONCATENATE(U35," X ",V35)</f>
        <v>3C X 50</v>
      </c>
      <c r="X35" s="401" t="str">
        <f>(IF(J35="1Ph",W35,IF(J35="3Ph",(IF(G35="MOTOR",(CONCATENATE(W35,"+PE")),W35)))))</f>
        <v>3C X 50+PE</v>
      </c>
      <c r="Y35" s="401" t="s">
        <v>358</v>
      </c>
      <c r="Z35" s="393">
        <f>IF(T35="AIR",VLOOKUP(W35,'Catalogue Aluminium'!$B$9:$G$93,2,FALSE),IF(T35="GROUND",VLOOKUP(W35,'Catalogue Aluminium'!$B$9:$G$93,3,FALSE),IF(T35="DUCT",VLOOKUP(W35,'Catalogue Aluminium'!$B$9:$G$93,4,FALSE),IF(T35="TRENCH",VLOOKUP(W35,'Catalogue Aluminium'!$B$9:$G$93,2,FALSE)))))</f>
        <v>141</v>
      </c>
      <c r="AA35" s="402">
        <f>VLOOKUP(W35,'Catalogue Aluminium'!$B$9:$G$93,5,FALSE)</f>
        <v>0.82</v>
      </c>
      <c r="AB35" s="402">
        <f>VLOOKUP(W35,'Catalogue Aluminium'!$B$9:$G$93,6,FALSE)</f>
        <v>7.9200000000000007E-2</v>
      </c>
      <c r="AC35" s="401">
        <v>22</v>
      </c>
      <c r="AD35" s="401">
        <f t="shared" si="302"/>
        <v>100</v>
      </c>
      <c r="AE35" s="401">
        <v>10</v>
      </c>
      <c r="AF35" s="401">
        <v>8</v>
      </c>
      <c r="AG35" s="401">
        <f t="shared" ref="AG35" si="360">ROUNDUP((SUM(AC35:AF35)*0.1),0)</f>
        <v>14</v>
      </c>
      <c r="AH35" s="436">
        <f t="shared" si="227"/>
        <v>154</v>
      </c>
      <c r="AI35" s="393">
        <f>IF(T35="AIR",'Catalogue Aluminium'!$K$9,IF(T35="TRENCH",'Catalogue Aluminium'!$K$12,"NA"))</f>
        <v>0.89</v>
      </c>
      <c r="AJ35" s="392">
        <f>IF(T35="Air",(IF(U35="1C",'Catalogue Aluminium'!$L$9,'Catalogue Aluminium'!$M$9)),IF(T35="DUCT",(IF($U35="1C",'Catalogue Aluminium'!$L$10,'Catalogue Aluminium'!$M$10)),IF(T35="GROUND",(IF($U35="1C",'Catalogue Aluminium'!$L$11,'Catalogue Aluminium'!$M$11)),IF(T35="TRENCH",(IF($U35="1C",'Catalogue Aluminium'!$L$12,'Catalogue Aluminium'!$M$12))))))</f>
        <v>0.66</v>
      </c>
      <c r="AK35" s="393" t="str">
        <f>IF(T35="Air",'Catalogue Aluminium'!$N$9,IF(T35="GROUND",'Catalogue Aluminium'!$N$10,IF(T35="DUCT",'Catalogue Aluminium'!$N$11,IF(T35="TRENCH",'Catalogue Aluminium'!$N$12,"NA"))))</f>
        <v>NA</v>
      </c>
      <c r="AL35" s="393" t="str">
        <f>IF(T35="Air",(IF(U35="1C",'Catalogue Aluminium'!$O$9,'Catalogue Aluminium'!$P$9)),IF(T35="DUCT",(IF($U35="1C",'Catalogue Aluminium'!$O$10,'Catalogue Aluminium'!$P$10)),IF(T35="GROUND",(IF($U35="1C",'Catalogue Aluminium'!$O$11,'Catalogue Aluminium'!$P$11)),IF(T35="TRENCH",(IF($U35="1C",'Catalogue Aluminium'!$O$12,'Catalogue Aluminium'!$P$12))))))</f>
        <v>NA</v>
      </c>
      <c r="AM35" s="393" t="str">
        <f>IF(T35="AIR","NA",IF(T35="TRENCH","NA",IF(T35="DUCT",IF(U35="1C",VLOOKUP(V35,'Catalogue Aluminium'!$Q$9:$S$28,2,FALSE),VLOOKUP(V35,'Catalogue Aluminium'!$Q$9:$S$28,3)),IF(T35="GROUND",IF(U35="1C",VLOOKUP(V35,'Catalogue Aluminium'!$Q$9:$S$28,2,FALSE),VLOOKUP(V35,'Catalogue Aluminium'!$Q$9:$S$28,3))))))</f>
        <v>NA</v>
      </c>
      <c r="AN35" s="437">
        <f>IF(T35="AIR",AI35*AJ35,IF(T35="TRENCH",AI35*AJ35,IF(T35="DUCT",AJ35*AK35*AL35*AM35,IF(T35="GROUND",AJ35*AK35*AL35*AM35))))</f>
        <v>0.58740000000000003</v>
      </c>
      <c r="AO35" s="418">
        <f>Z35*AN35</f>
        <v>82.823400000000007</v>
      </c>
      <c r="AP35" s="434">
        <f>CEILING(((N35)/AO35),1)</f>
        <v>1</v>
      </c>
      <c r="AQ35" s="418" t="str">
        <f>IF(AO35*AP35&gt;=N35,"YES","NO")</f>
        <v>YES</v>
      </c>
      <c r="AR35" s="437">
        <f>SQRT(3)*AH35*N35*((AA35*L35)+(AB35*SIN(ACOS(L35))))*100/(AP35*K35*1000)</f>
        <v>1.929076339706812</v>
      </c>
      <c r="AS35" s="401" t="str">
        <f>IF(G35="INCOMER",(IF(AR35&lt;=2,"YES","NO")),IF(G35="POWER",(IF(AR35&lt;=2.5,"YES","NO")),IF(G35="MOTOR",(IF(AR35&lt;=3,"YES","NO")))))</f>
        <v>YES</v>
      </c>
      <c r="AT35" s="437">
        <f t="shared" si="210"/>
        <v>3.7854432700901777</v>
      </c>
      <c r="AU35" s="401" t="str">
        <f t="shared" si="211"/>
        <v>YES</v>
      </c>
      <c r="AV35" s="503" t="str">
        <f t="shared" si="212"/>
        <v>1R x 0.6/1kV x 3C x 50 Sqmm</v>
      </c>
      <c r="AW35" s="503" t="str">
        <f t="shared" si="213"/>
        <v>1R x 0.6/1kV x 3C x 50+PE Sqmm</v>
      </c>
      <c r="AX35" s="401">
        <f t="shared" si="214"/>
        <v>154</v>
      </c>
      <c r="AY35" s="504"/>
      <c r="AZ35" s="504">
        <f t="shared" si="215"/>
        <v>2</v>
      </c>
      <c r="BA35" s="438" t="str">
        <f t="shared" si="216"/>
        <v>Q3RR1R1.A</v>
      </c>
      <c r="BB35" s="505">
        <f>VLOOKUP(W35,'Catalogue Aluminium'!$B$9:$H$93,7,FALSE)</f>
        <v>26</v>
      </c>
      <c r="BC35" s="439">
        <f t="shared" si="217"/>
        <v>26</v>
      </c>
      <c r="BE35" s="336"/>
      <c r="BF35" s="336"/>
      <c r="BG35" s="336"/>
      <c r="BH35" s="336"/>
      <c r="BI35" s="336"/>
      <c r="BJ35" s="336"/>
      <c r="BK35" s="336"/>
      <c r="BL35" s="336"/>
      <c r="BM35" s="336"/>
      <c r="BN35" s="336"/>
      <c r="BO35" s="336"/>
      <c r="BP35" s="336"/>
      <c r="BQ35" s="336"/>
      <c r="BR35" s="336"/>
      <c r="BS35" s="336"/>
      <c r="BT35" s="336"/>
      <c r="BU35" s="336"/>
      <c r="BV35" s="336"/>
      <c r="BW35" s="336"/>
      <c r="BX35" s="336"/>
      <c r="BY35" s="336"/>
      <c r="BZ35" s="336"/>
      <c r="CA35" s="336"/>
      <c r="CB35" s="336"/>
      <c r="CC35" s="336"/>
      <c r="CD35" s="336"/>
      <c r="CE35" s="336"/>
      <c r="CF35" s="336"/>
      <c r="CG35" s="336"/>
      <c r="CH35" s="336"/>
      <c r="CI35" s="336"/>
      <c r="CJ35" s="336"/>
      <c r="CK35" s="336"/>
      <c r="CL35" s="336"/>
      <c r="CM35" s="336"/>
      <c r="CN35" s="336"/>
      <c r="CO35" s="336"/>
      <c r="CP35" s="336"/>
      <c r="CQ35" s="336"/>
      <c r="CR35" s="336"/>
      <c r="CS35" s="336"/>
      <c r="CT35" s="336"/>
      <c r="CU35" s="336"/>
      <c r="CV35" s="336"/>
      <c r="CW35" s="336"/>
      <c r="CX35" s="336"/>
      <c r="CY35" s="336"/>
      <c r="CZ35" s="336"/>
      <c r="DA35" s="336">
        <v>1</v>
      </c>
      <c r="DB35" s="336"/>
      <c r="DC35" s="336"/>
      <c r="DD35" s="336"/>
      <c r="DE35" s="336"/>
      <c r="DF35" s="336"/>
      <c r="DG35" s="336">
        <v>1</v>
      </c>
      <c r="DH35" s="336">
        <v>1</v>
      </c>
      <c r="DI35" s="336"/>
      <c r="DJ35" s="336">
        <v>1</v>
      </c>
      <c r="DK35" s="336"/>
      <c r="DL35" s="336"/>
      <c r="DM35" s="336"/>
      <c r="DN35" s="336"/>
      <c r="DO35" s="336"/>
      <c r="DP35" s="336"/>
      <c r="DQ35" s="336"/>
      <c r="DR35" s="336"/>
      <c r="DS35" s="336"/>
      <c r="DT35" s="336"/>
      <c r="DU35" s="336"/>
      <c r="DW35" s="336">
        <f t="shared" si="80"/>
        <v>0</v>
      </c>
      <c r="DX35" s="336">
        <f t="shared" si="1"/>
        <v>0</v>
      </c>
      <c r="DY35" s="336">
        <f t="shared" si="2"/>
        <v>0</v>
      </c>
      <c r="DZ35" s="336">
        <f t="shared" si="3"/>
        <v>0</v>
      </c>
      <c r="EA35" s="336">
        <f t="shared" si="4"/>
        <v>0</v>
      </c>
      <c r="EB35" s="336">
        <f t="shared" si="5"/>
        <v>0</v>
      </c>
      <c r="EC35" s="336">
        <f t="shared" si="6"/>
        <v>0</v>
      </c>
      <c r="ED35" s="336">
        <f t="shared" si="7"/>
        <v>0</v>
      </c>
      <c r="EE35" s="336">
        <f t="shared" si="8"/>
        <v>0</v>
      </c>
      <c r="EF35" s="336">
        <f t="shared" si="9"/>
        <v>0</v>
      </c>
      <c r="EG35" s="336">
        <f t="shared" si="10"/>
        <v>0</v>
      </c>
      <c r="EH35" s="336">
        <f t="shared" si="11"/>
        <v>0</v>
      </c>
      <c r="EI35" s="336">
        <f t="shared" si="12"/>
        <v>0</v>
      </c>
      <c r="EJ35" s="336">
        <f t="shared" si="13"/>
        <v>0</v>
      </c>
      <c r="EK35" s="336">
        <f t="shared" si="14"/>
        <v>0</v>
      </c>
      <c r="EL35" s="336">
        <f t="shared" si="15"/>
        <v>0</v>
      </c>
      <c r="EM35" s="336">
        <f t="shared" si="16"/>
        <v>0</v>
      </c>
      <c r="EN35" s="336">
        <f t="shared" si="17"/>
        <v>0</v>
      </c>
      <c r="EO35" s="336">
        <f t="shared" si="18"/>
        <v>0</v>
      </c>
      <c r="EP35" s="336">
        <f t="shared" si="19"/>
        <v>0</v>
      </c>
      <c r="EQ35" s="336">
        <f t="shared" si="20"/>
        <v>0</v>
      </c>
      <c r="ER35" s="336">
        <f t="shared" si="21"/>
        <v>0</v>
      </c>
      <c r="ES35" s="336">
        <f t="shared" si="22"/>
        <v>0</v>
      </c>
      <c r="ET35" s="336">
        <f t="shared" si="22"/>
        <v>0</v>
      </c>
      <c r="EU35" s="336">
        <f t="shared" si="23"/>
        <v>0</v>
      </c>
      <c r="EV35" s="336">
        <f t="shared" si="24"/>
        <v>0</v>
      </c>
      <c r="EW35" s="336">
        <f t="shared" si="25"/>
        <v>0</v>
      </c>
      <c r="EX35" s="336">
        <f t="shared" si="26"/>
        <v>0</v>
      </c>
      <c r="EY35" s="336">
        <f t="shared" si="27"/>
        <v>0</v>
      </c>
      <c r="EZ35" s="336">
        <f t="shared" si="28"/>
        <v>0</v>
      </c>
      <c r="FA35" s="336">
        <f t="shared" si="29"/>
        <v>0</v>
      </c>
      <c r="FB35" s="336">
        <f t="shared" si="30"/>
        <v>0</v>
      </c>
      <c r="FC35" s="336">
        <f t="shared" si="31"/>
        <v>0</v>
      </c>
      <c r="FD35" s="336">
        <f t="shared" si="32"/>
        <v>0</v>
      </c>
      <c r="FE35" s="336">
        <f t="shared" si="33"/>
        <v>0</v>
      </c>
      <c r="FF35" s="336">
        <f t="shared" si="34"/>
        <v>0</v>
      </c>
      <c r="FG35" s="336">
        <f t="shared" si="35"/>
        <v>0</v>
      </c>
      <c r="FH35" s="336">
        <f t="shared" si="36"/>
        <v>0</v>
      </c>
      <c r="FI35" s="336">
        <f t="shared" si="37"/>
        <v>0</v>
      </c>
      <c r="FJ35" s="336">
        <f t="shared" si="38"/>
        <v>0</v>
      </c>
      <c r="FK35" s="336">
        <f t="shared" si="39"/>
        <v>0</v>
      </c>
      <c r="FL35" s="336">
        <f t="shared" si="40"/>
        <v>0</v>
      </c>
      <c r="FM35" s="336">
        <f t="shared" si="41"/>
        <v>0</v>
      </c>
      <c r="FN35" s="336">
        <f t="shared" si="42"/>
        <v>0</v>
      </c>
      <c r="FO35" s="336">
        <f t="shared" si="43"/>
        <v>0</v>
      </c>
      <c r="FP35" s="336">
        <f t="shared" si="44"/>
        <v>0</v>
      </c>
      <c r="FQ35" s="336">
        <f t="shared" si="45"/>
        <v>0</v>
      </c>
      <c r="FR35" s="336">
        <f t="shared" si="46"/>
        <v>0</v>
      </c>
      <c r="FS35" s="336">
        <f t="shared" si="47"/>
        <v>26</v>
      </c>
      <c r="FT35" s="336">
        <f t="shared" si="48"/>
        <v>0</v>
      </c>
      <c r="FU35" s="336">
        <f t="shared" si="49"/>
        <v>0</v>
      </c>
      <c r="FV35" s="336">
        <f t="shared" si="50"/>
        <v>0</v>
      </c>
      <c r="FW35" s="336">
        <f t="shared" si="51"/>
        <v>0</v>
      </c>
      <c r="FX35" s="336">
        <f t="shared" si="52"/>
        <v>0</v>
      </c>
      <c r="FY35" s="336">
        <f t="shared" si="53"/>
        <v>26</v>
      </c>
      <c r="FZ35" s="336">
        <f t="shared" si="54"/>
        <v>26</v>
      </c>
      <c r="GA35" s="336">
        <f t="shared" si="55"/>
        <v>0</v>
      </c>
      <c r="GB35" s="336">
        <f t="shared" si="56"/>
        <v>26</v>
      </c>
      <c r="GC35" s="336">
        <f t="shared" si="57"/>
        <v>0</v>
      </c>
      <c r="GD35" s="336">
        <f t="shared" si="58"/>
        <v>0</v>
      </c>
      <c r="GE35" s="336">
        <f t="shared" si="59"/>
        <v>0</v>
      </c>
      <c r="GF35" s="336">
        <f t="shared" si="60"/>
        <v>0</v>
      </c>
      <c r="GG35" s="336">
        <f t="shared" si="61"/>
        <v>0</v>
      </c>
      <c r="GH35" s="336">
        <f t="shared" si="62"/>
        <v>0</v>
      </c>
      <c r="GI35" s="336">
        <f t="shared" si="63"/>
        <v>0</v>
      </c>
      <c r="GJ35" s="336">
        <f t="shared" si="64"/>
        <v>0</v>
      </c>
      <c r="GK35" s="336">
        <f t="shared" si="65"/>
        <v>0</v>
      </c>
      <c r="GL35" s="336">
        <f t="shared" si="67"/>
        <v>0</v>
      </c>
      <c r="GM35" s="336">
        <f t="shared" si="66"/>
        <v>0</v>
      </c>
    </row>
    <row r="36" spans="1:195" ht="19.5" customHeight="1">
      <c r="A36" s="337">
        <f t="shared" si="220"/>
        <v>28</v>
      </c>
      <c r="B36" s="388" t="s">
        <v>527</v>
      </c>
      <c r="C36" s="338" t="s">
        <v>1089</v>
      </c>
      <c r="D36" s="338" t="s">
        <v>1131</v>
      </c>
      <c r="E36" s="745" t="s">
        <v>387</v>
      </c>
      <c r="F36" s="388" t="s">
        <v>28</v>
      </c>
      <c r="G36" s="388" t="s">
        <v>329</v>
      </c>
      <c r="H36" s="742">
        <v>0.2</v>
      </c>
      <c r="I36" s="388" t="s">
        <v>330</v>
      </c>
      <c r="J36" s="388" t="s">
        <v>357</v>
      </c>
      <c r="K36" s="434">
        <v>230</v>
      </c>
      <c r="L36" s="401">
        <v>0.85</v>
      </c>
      <c r="M36" s="418">
        <v>0.95</v>
      </c>
      <c r="N36" s="392">
        <f t="shared" ref="N36" si="361">IF(I36="kVA",IF(J36="3Ph",(H36*1000/(1.732*M36*K36)),(H36*1000/(M36*K36))),IF(I36="kW",IF(J36="3Ph",(H36*1000/(1.732*M36*K36*L36)),(H36*1000/(M36*K36*L36)))))</f>
        <v>1.0768609503297888</v>
      </c>
      <c r="O36" s="392">
        <f t="shared" ref="O36" si="362">IF(G36="MOTOR",(6*N36),IF(G36="VFD",(1*N36),0))</f>
        <v>0</v>
      </c>
      <c r="P36" s="401" t="str">
        <f t="shared" ref="P36" si="363">IF(G36="MOTOR",0.2,"0.00")</f>
        <v>0.00</v>
      </c>
      <c r="Q36" s="418">
        <v>65</v>
      </c>
      <c r="R36" s="418">
        <v>0</v>
      </c>
      <c r="S36" s="418">
        <f t="shared" ref="S36" si="364">(Q36*1000*SQRT(R36)/143)</f>
        <v>0</v>
      </c>
      <c r="T36" s="401" t="s">
        <v>332</v>
      </c>
      <c r="U36" s="418" t="s">
        <v>333</v>
      </c>
      <c r="V36" s="401">
        <v>2.5</v>
      </c>
      <c r="W36" s="401" t="str">
        <f t="shared" ref="W36" si="365">CONCATENATE(U36," X ",V36)</f>
        <v>3C X 2.5</v>
      </c>
      <c r="X36" s="401" t="str">
        <f>(IF(J36="1Ph",W36,IF(J36="3Ph",(IF(G36="MOTOR",(CONCATENATE(W36,"+PE")),W36)))))</f>
        <v>3C X 2.5</v>
      </c>
      <c r="Y36" s="401" t="s">
        <v>358</v>
      </c>
      <c r="Z36" s="393">
        <f>IF(T36="AIR",VLOOKUP(W36,'Catalogue Aluminium'!$B$9:$G$93,2,FALSE),IF(T36="GROUND",VLOOKUP(W36,'Catalogue Aluminium'!$B$9:$G$93,3,FALSE),IF(T36="DUCT",VLOOKUP(W36,'Catalogue Aluminium'!$B$9:$G$93,4,FALSE),IF(T36="TRENCH",VLOOKUP(W36,'Catalogue Aluminium'!$B$9:$G$93,2,FALSE)))))</f>
        <v>28</v>
      </c>
      <c r="AA36" s="402">
        <f>VLOOKUP(W36,'Catalogue Aluminium'!$B$9:$G$93,5,FALSE)</f>
        <v>9.48</v>
      </c>
      <c r="AB36" s="402">
        <f>VLOOKUP(W36,'Catalogue Aluminium'!$B$9:$G$93,6,FALSE)</f>
        <v>0.1007</v>
      </c>
      <c r="AC36" s="401">
        <v>22</v>
      </c>
      <c r="AD36" s="401">
        <f t="shared" si="302"/>
        <v>100</v>
      </c>
      <c r="AE36" s="401">
        <v>10</v>
      </c>
      <c r="AF36" s="401">
        <v>8</v>
      </c>
      <c r="AG36" s="401">
        <f t="shared" ref="AG36" si="366">ROUNDUP((SUM(AC36:AF36)*0.1),0)</f>
        <v>14</v>
      </c>
      <c r="AH36" s="436">
        <f t="shared" si="227"/>
        <v>154</v>
      </c>
      <c r="AI36" s="393">
        <f>IF(T36="AIR",'Catalogue Aluminium'!$K$9,IF(T36="TRENCH",'Catalogue Aluminium'!$K$12,"NA"))</f>
        <v>0.89</v>
      </c>
      <c r="AJ36" s="392">
        <f>IF(T36="Air",(IF(U36="1C",'Catalogue Aluminium'!$L$9,'Catalogue Aluminium'!$M$9)),IF(T36="DUCT",(IF($U36="1C",'Catalogue Aluminium'!$L$10,'Catalogue Aluminium'!$M$10)),IF(T36="GROUND",(IF($U36="1C",'Catalogue Aluminium'!$L$11,'Catalogue Aluminium'!$M$11)),IF(T36="TRENCH",(IF($U36="1C",'Catalogue Aluminium'!$L$12,'Catalogue Aluminium'!$M$12))))))</f>
        <v>0.66</v>
      </c>
      <c r="AK36" s="393" t="str">
        <f>IF(T36="Air",'Catalogue Aluminium'!$N$9,IF(T36="GROUND",'Catalogue Aluminium'!$N$10,IF(T36="DUCT",'Catalogue Aluminium'!$N$11,IF(T36="TRENCH",'Catalogue Aluminium'!$N$12,"NA"))))</f>
        <v>NA</v>
      </c>
      <c r="AL36" s="393" t="str">
        <f>IF(T36="Air",(IF(U36="1C",'Catalogue Aluminium'!$O$9,'Catalogue Aluminium'!$P$9)),IF(T36="DUCT",(IF($U36="1C",'Catalogue Aluminium'!$O$10,'Catalogue Aluminium'!$P$10)),IF(T36="GROUND",(IF($U36="1C",'Catalogue Aluminium'!$O$11,'Catalogue Aluminium'!$P$11)),IF(T36="TRENCH",(IF($U36="1C",'Catalogue Aluminium'!$O$12,'Catalogue Aluminium'!$P$12))))))</f>
        <v>NA</v>
      </c>
      <c r="AM36" s="393" t="str">
        <f>IF(T36="AIR","NA",IF(T36="TRENCH","NA",IF(T36="DUCT",IF(U36="1C",VLOOKUP(V36,'Catalogue Aluminium'!$Q$9:$S$28,2,FALSE),VLOOKUP(V36,'Catalogue Aluminium'!$Q$9:$S$28,3)),IF(T36="GROUND",IF(U36="1C",VLOOKUP(V36,'Catalogue Aluminium'!$Q$9:$S$28,2,FALSE),VLOOKUP(V36,'Catalogue Aluminium'!$Q$9:$S$28,3))))))</f>
        <v>NA</v>
      </c>
      <c r="AN36" s="437">
        <f>IF(T36="AIR",AI36*AJ36,IF(T36="TRENCH",AI36*AJ36,IF(T36="DUCT",AJ36*AK36*AL36*AM36,IF(T36="GROUND",AJ36*AK36*AL36*AM36))))</f>
        <v>0.58740000000000003</v>
      </c>
      <c r="AO36" s="418">
        <f>Z36*AN36</f>
        <v>16.447200000000002</v>
      </c>
      <c r="AP36" s="434">
        <f>CEILING(((N36)/AO36),1)</f>
        <v>1</v>
      </c>
      <c r="AQ36" s="418" t="str">
        <f>IF(AO36*AP36&gt;=N36,"YES","NO")</f>
        <v>YES</v>
      </c>
      <c r="AR36" s="437">
        <f>SQRT(3)*AH36*N36*((AA36*L36)+(AB36*SIN(ACOS(L36))))*100/(AP36*K36*1000)</f>
        <v>1.0129547835231685</v>
      </c>
      <c r="AS36" s="401" t="str">
        <f>IF(G36="INCOMER",(IF(AR36&lt;=2,"YES","NO")),IF(G36="POWER",(IF(AR36&lt;=2.5,"YES","NO")),IF(G36="MOTOR",(IF(AR36&lt;=3,"YES","NO")))))</f>
        <v>YES</v>
      </c>
      <c r="AT36" s="437" t="str">
        <f t="shared" si="210"/>
        <v>NA</v>
      </c>
      <c r="AU36" s="401" t="str">
        <f t="shared" si="211"/>
        <v>NA</v>
      </c>
      <c r="AV36" s="503" t="str">
        <f t="shared" si="212"/>
        <v>1R x 0.6/1kV x 3C x 2.5 Sqmm</v>
      </c>
      <c r="AW36" s="503" t="str">
        <f t="shared" si="213"/>
        <v>1R x 0.6/1kV x 3C x 2.5 Sqmm</v>
      </c>
      <c r="AX36" s="401">
        <f t="shared" si="214"/>
        <v>154</v>
      </c>
      <c r="AY36" s="504"/>
      <c r="AZ36" s="504">
        <f t="shared" si="215"/>
        <v>2</v>
      </c>
      <c r="BA36" s="438" t="str">
        <f t="shared" si="216"/>
        <v>Q3RR1R1.A</v>
      </c>
      <c r="BB36" s="505">
        <f>VLOOKUP(W36,'Catalogue Aluminium'!$B$9:$H$93,7,FALSE)</f>
        <v>14</v>
      </c>
      <c r="BC36" s="439">
        <f t="shared" si="217"/>
        <v>14</v>
      </c>
      <c r="BE36" s="336"/>
      <c r="BF36" s="336"/>
      <c r="BG36" s="336"/>
      <c r="BH36" s="336"/>
      <c r="BI36" s="336"/>
      <c r="BJ36" s="336"/>
      <c r="BK36" s="336"/>
      <c r="BL36" s="336"/>
      <c r="BM36" s="336"/>
      <c r="BN36" s="336"/>
      <c r="BO36" s="336"/>
      <c r="BP36" s="336"/>
      <c r="BQ36" s="336"/>
      <c r="BR36" s="336"/>
      <c r="BS36" s="336"/>
      <c r="BT36" s="336"/>
      <c r="BU36" s="336"/>
      <c r="BV36" s="336"/>
      <c r="BW36" s="336"/>
      <c r="BX36" s="336"/>
      <c r="BY36" s="336"/>
      <c r="BZ36" s="336"/>
      <c r="CA36" s="336"/>
      <c r="CB36" s="336"/>
      <c r="CC36" s="336"/>
      <c r="CD36" s="336"/>
      <c r="CE36" s="336"/>
      <c r="CF36" s="336"/>
      <c r="CG36" s="336"/>
      <c r="CH36" s="336"/>
      <c r="CI36" s="336"/>
      <c r="CJ36" s="336"/>
      <c r="CK36" s="336"/>
      <c r="CL36" s="336"/>
      <c r="CM36" s="336"/>
      <c r="CN36" s="336"/>
      <c r="CO36" s="336"/>
      <c r="CP36" s="336"/>
      <c r="CQ36" s="336"/>
      <c r="CR36" s="336"/>
      <c r="CS36" s="336"/>
      <c r="CT36" s="336"/>
      <c r="CU36" s="336"/>
      <c r="CV36" s="336"/>
      <c r="CW36" s="336"/>
      <c r="CX36" s="336"/>
      <c r="CY36" s="336"/>
      <c r="CZ36" s="336"/>
      <c r="DA36" s="336">
        <v>1</v>
      </c>
      <c r="DB36" s="336"/>
      <c r="DC36" s="336"/>
      <c r="DD36" s="336"/>
      <c r="DE36" s="336"/>
      <c r="DF36" s="336"/>
      <c r="DG36" s="336">
        <v>1</v>
      </c>
      <c r="DH36" s="336">
        <v>1</v>
      </c>
      <c r="DI36" s="336"/>
      <c r="DJ36" s="336">
        <v>1</v>
      </c>
      <c r="DK36" s="336"/>
      <c r="DL36" s="336"/>
      <c r="DM36" s="336"/>
      <c r="DN36" s="336"/>
      <c r="DO36" s="336"/>
      <c r="DP36" s="336"/>
      <c r="DQ36" s="336"/>
      <c r="DR36" s="336"/>
      <c r="DS36" s="336"/>
      <c r="DT36" s="336"/>
      <c r="DU36" s="336"/>
      <c r="DW36" s="336">
        <f t="shared" ref="DW36" si="367">IF(BE36=1,($BC36*BE36),0)</f>
        <v>0</v>
      </c>
      <c r="DX36" s="336">
        <f t="shared" ref="DX36" si="368">IF(BF36=1,($BC36*BF36),0)</f>
        <v>0</v>
      </c>
      <c r="DY36" s="336">
        <f t="shared" ref="DY36" si="369">IF(BG36=1,($BC36*BG36),0)</f>
        <v>0</v>
      </c>
      <c r="DZ36" s="336">
        <f t="shared" ref="DZ36" si="370">IF(BH36=1,($BC36*BH36),0)</f>
        <v>0</v>
      </c>
      <c r="EA36" s="336">
        <f t="shared" ref="EA36" si="371">IF(BI36=1,($BC36*BI36),0)</f>
        <v>0</v>
      </c>
      <c r="EB36" s="336">
        <f t="shared" ref="EB36" si="372">IF(BJ36=1,($BC36*BJ36),0)</f>
        <v>0</v>
      </c>
      <c r="EC36" s="336">
        <f t="shared" ref="EC36" si="373">IF(BK36=1,($BC36*BK36),0)</f>
        <v>0</v>
      </c>
      <c r="ED36" s="336">
        <f t="shared" ref="ED36" si="374">IF(BL36=1,($BC36*BL36),0)</f>
        <v>0</v>
      </c>
      <c r="EE36" s="336">
        <f t="shared" ref="EE36" si="375">IF(BM36=1,($BC36*BM36),0)</f>
        <v>0</v>
      </c>
      <c r="EF36" s="336">
        <f t="shared" ref="EF36" si="376">IF(BN36=1,($BC36*BN36),0)</f>
        <v>0</v>
      </c>
      <c r="EG36" s="336">
        <f t="shared" ref="EG36" si="377">IF(BO36=1,($BC36*BO36),0)</f>
        <v>0</v>
      </c>
      <c r="EH36" s="336">
        <f t="shared" ref="EH36" si="378">IF(BP36=1,($BC36*BP36),0)</f>
        <v>0</v>
      </c>
      <c r="EI36" s="336">
        <f t="shared" ref="EI36" si="379">IF(BQ36=1,($BC36*BQ36),0)</f>
        <v>0</v>
      </c>
      <c r="EJ36" s="336">
        <f t="shared" ref="EJ36" si="380">IF(BR36=1,($BC36*BR36),0)</f>
        <v>0</v>
      </c>
      <c r="EK36" s="336">
        <f t="shared" ref="EK36" si="381">IF(BS36=1,($BC36*BS36),0)</f>
        <v>0</v>
      </c>
      <c r="EL36" s="336">
        <f t="shared" ref="EL36" si="382">IF(BT36=1,($BC36*BT36),0)</f>
        <v>0</v>
      </c>
      <c r="EM36" s="336">
        <f t="shared" ref="EM36" si="383">IF(BU36=1,($BC36*BU36),0)</f>
        <v>0</v>
      </c>
      <c r="EN36" s="336">
        <f t="shared" ref="EN36" si="384">IF(BV36=1,($BC36*BV36),0)</f>
        <v>0</v>
      </c>
      <c r="EO36" s="336">
        <f t="shared" ref="EO36" si="385">IF(BW36=1,($BC36*BW36),0)</f>
        <v>0</v>
      </c>
      <c r="EP36" s="336">
        <f t="shared" ref="EP36" si="386">IF(BX36=1,($BC36*BX36),0)</f>
        <v>0</v>
      </c>
      <c r="EQ36" s="336">
        <f t="shared" ref="EQ36" si="387">IF(BY36=1,($BC36*BY36),0)</f>
        <v>0</v>
      </c>
      <c r="ER36" s="336">
        <f t="shared" ref="ER36" si="388">IF(BZ36=1,($BC36*BZ36),0)</f>
        <v>0</v>
      </c>
      <c r="ES36" s="336">
        <f t="shared" ref="ES36" si="389">IF(CA36=1,($BC36*CA36),0)</f>
        <v>0</v>
      </c>
      <c r="ET36" s="336">
        <f t="shared" si="22"/>
        <v>0</v>
      </c>
      <c r="EU36" s="336">
        <f t="shared" ref="EU36" si="390">IF(CC36=1,($BC36*CC36),0)</f>
        <v>0</v>
      </c>
      <c r="EV36" s="336">
        <f t="shared" ref="EV36" si="391">IF(CD36=1,($BC36*CD36),0)</f>
        <v>0</v>
      </c>
      <c r="EW36" s="336">
        <f t="shared" ref="EW36" si="392">IF(CE36=1,($BC36*CE36),0)</f>
        <v>0</v>
      </c>
      <c r="EX36" s="336">
        <f t="shared" ref="EX36" si="393">IF(CF36=1,($BC36*CF36),0)</f>
        <v>0</v>
      </c>
      <c r="EY36" s="336">
        <f t="shared" ref="EY36" si="394">IF(CG36=1,($BC36*CG36),0)</f>
        <v>0</v>
      </c>
      <c r="EZ36" s="336">
        <f t="shared" ref="EZ36" si="395">IF(CH36=1,($BC36*CH36),0)</f>
        <v>0</v>
      </c>
      <c r="FA36" s="336">
        <f t="shared" ref="FA36" si="396">IF(CI36=1,($BC36*CI36),0)</f>
        <v>0</v>
      </c>
      <c r="FB36" s="336">
        <f t="shared" ref="FB36" si="397">IF(CJ36=1,($BC36*CJ36),0)</f>
        <v>0</v>
      </c>
      <c r="FC36" s="336">
        <f t="shared" ref="FC36" si="398">IF(CK36=1,($BC36*CK36),0)</f>
        <v>0</v>
      </c>
      <c r="FD36" s="336">
        <f t="shared" ref="FD36" si="399">IF(CL36=1,($BC36*CL36),0)</f>
        <v>0</v>
      </c>
      <c r="FE36" s="336">
        <f t="shared" ref="FE36" si="400">IF(CM36=1,($BC36*CM36),0)</f>
        <v>0</v>
      </c>
      <c r="FF36" s="336">
        <f t="shared" ref="FF36" si="401">IF(CN36=1,($BC36*CN36),0)</f>
        <v>0</v>
      </c>
      <c r="FG36" s="336">
        <f t="shared" ref="FG36" si="402">IF(CO36=1,($BC36*CO36),0)</f>
        <v>0</v>
      </c>
      <c r="FH36" s="336">
        <f t="shared" ref="FH36" si="403">IF(CP36=1,($BC36*CP36),0)</f>
        <v>0</v>
      </c>
      <c r="FI36" s="336">
        <f t="shared" ref="FI36" si="404">IF(CQ36=1,($BC36*CQ36),0)</f>
        <v>0</v>
      </c>
      <c r="FJ36" s="336">
        <f t="shared" ref="FJ36" si="405">IF(CR36=1,($BC36*CR36),0)</f>
        <v>0</v>
      </c>
      <c r="FK36" s="336">
        <f t="shared" ref="FK36" si="406">IF(CS36=1,($BC36*CS36),0)</f>
        <v>0</v>
      </c>
      <c r="FL36" s="336">
        <f t="shared" ref="FL36" si="407">IF(CT36=1,($BC36*CT36),0)</f>
        <v>0</v>
      </c>
      <c r="FM36" s="336">
        <f t="shared" ref="FM36" si="408">IF(CU36=1,($BC36*CU36),0)</f>
        <v>0</v>
      </c>
      <c r="FN36" s="336">
        <f t="shared" ref="FN36" si="409">IF(CV36=1,($BC36*CV36),0)</f>
        <v>0</v>
      </c>
      <c r="FO36" s="336">
        <f t="shared" ref="FO36" si="410">IF(CW36=1,($BC36*CW36),0)</f>
        <v>0</v>
      </c>
      <c r="FP36" s="336">
        <f t="shared" ref="FP36" si="411">IF(CX36=1,($BC36*CX36),0)</f>
        <v>0</v>
      </c>
      <c r="FQ36" s="336">
        <f t="shared" ref="FQ36" si="412">IF(CY36=1,($BC36*CY36),0)</f>
        <v>0</v>
      </c>
      <c r="FR36" s="336">
        <f t="shared" ref="FR36" si="413">IF(CZ36=1,($BC36*CZ36),0)</f>
        <v>0</v>
      </c>
      <c r="FS36" s="336">
        <f t="shared" ref="FS36" si="414">IF(DA36=1,($BC36*DA36),0)</f>
        <v>14</v>
      </c>
      <c r="FT36" s="336">
        <f t="shared" ref="FT36" si="415">IF(DB36=1,($BC36*DB36),0)</f>
        <v>0</v>
      </c>
      <c r="FU36" s="336">
        <f t="shared" si="49"/>
        <v>0</v>
      </c>
      <c r="FV36" s="336">
        <f t="shared" si="50"/>
        <v>0</v>
      </c>
      <c r="FW36" s="336">
        <f t="shared" si="51"/>
        <v>0</v>
      </c>
      <c r="FX36" s="336">
        <f t="shared" si="52"/>
        <v>0</v>
      </c>
      <c r="FY36" s="336">
        <f t="shared" si="53"/>
        <v>14</v>
      </c>
      <c r="FZ36" s="336">
        <f t="shared" si="54"/>
        <v>14</v>
      </c>
      <c r="GA36" s="336">
        <f t="shared" si="55"/>
        <v>0</v>
      </c>
      <c r="GB36" s="336">
        <f t="shared" si="56"/>
        <v>14</v>
      </c>
      <c r="GC36" s="336">
        <f t="shared" si="57"/>
        <v>0</v>
      </c>
      <c r="GD36" s="336">
        <f t="shared" si="58"/>
        <v>0</v>
      </c>
      <c r="GE36" s="336">
        <f t="shared" si="59"/>
        <v>0</v>
      </c>
      <c r="GF36" s="336">
        <f t="shared" si="60"/>
        <v>0</v>
      </c>
      <c r="GG36" s="336">
        <f t="shared" si="61"/>
        <v>0</v>
      </c>
      <c r="GH36" s="336">
        <f t="shared" si="62"/>
        <v>0</v>
      </c>
      <c r="GI36" s="336">
        <f t="shared" si="63"/>
        <v>0</v>
      </c>
      <c r="GJ36" s="336">
        <f t="shared" si="64"/>
        <v>0</v>
      </c>
      <c r="GK36" s="336">
        <f t="shared" si="65"/>
        <v>0</v>
      </c>
      <c r="GL36" s="336">
        <f t="shared" si="67"/>
        <v>0</v>
      </c>
      <c r="GM36" s="336">
        <f t="shared" si="66"/>
        <v>0</v>
      </c>
    </row>
    <row r="37" spans="1:195" ht="19.5" customHeight="1">
      <c r="A37" s="337">
        <f t="shared" si="220"/>
        <v>29</v>
      </c>
      <c r="B37" s="337" t="s">
        <v>527</v>
      </c>
      <c r="C37" s="372" t="str">
        <f t="shared" si="209"/>
        <v>PMCC-2</v>
      </c>
      <c r="D37" s="372" t="s">
        <v>1132</v>
      </c>
      <c r="E37" s="569" t="s">
        <v>387</v>
      </c>
      <c r="F37" s="337" t="s">
        <v>28</v>
      </c>
      <c r="G37" s="337" t="s">
        <v>350</v>
      </c>
      <c r="H37" s="350">
        <v>30</v>
      </c>
      <c r="I37" s="337" t="s">
        <v>330</v>
      </c>
      <c r="J37" s="337" t="s">
        <v>331</v>
      </c>
      <c r="K37" s="349">
        <v>400</v>
      </c>
      <c r="L37" s="343">
        <v>0.85</v>
      </c>
      <c r="M37" s="350">
        <v>0.95400000000000007</v>
      </c>
      <c r="N37" s="342">
        <f t="shared" si="221"/>
        <v>53.400592447532851</v>
      </c>
      <c r="O37" s="342">
        <f t="shared" si="222"/>
        <v>320.40355468519709</v>
      </c>
      <c r="P37" s="343">
        <f t="shared" si="223"/>
        <v>0.2</v>
      </c>
      <c r="Q37" s="350">
        <v>65</v>
      </c>
      <c r="R37" s="350">
        <v>0</v>
      </c>
      <c r="S37" s="350">
        <f t="shared" si="224"/>
        <v>0</v>
      </c>
      <c r="T37" s="343" t="s">
        <v>332</v>
      </c>
      <c r="U37" s="350" t="s">
        <v>333</v>
      </c>
      <c r="V37" s="343">
        <v>95</v>
      </c>
      <c r="W37" s="343" t="str">
        <f t="shared" si="301"/>
        <v>3C X 95</v>
      </c>
      <c r="X37" s="343" t="str">
        <f t="shared" si="226"/>
        <v>3C X 95+PE</v>
      </c>
      <c r="Y37" s="343" t="s">
        <v>358</v>
      </c>
      <c r="Z37" s="344">
        <f>IF(T37="AIR",VLOOKUP(W37,'Catalogue Aluminium'!$B$9:$G$93,2,FALSE),IF(T37="GROUND",VLOOKUP(W37,'Catalogue Aluminium'!$B$9:$G$93,3,FALSE),IF(T37="DUCT",VLOOKUP(W37,'Catalogue Aluminium'!$B$9:$G$93,4,FALSE),IF(T37="TRENCH",VLOOKUP(W37,'Catalogue Aluminium'!$B$9:$G$93,2,FALSE)))))</f>
        <v>221</v>
      </c>
      <c r="AA37" s="345">
        <f>VLOOKUP(W37,'Catalogue Aluminium'!$B$9:$G$93,5,FALSE)</f>
        <v>0.41</v>
      </c>
      <c r="AB37" s="345">
        <f>VLOOKUP(W37,'Catalogue Aluminium'!$B$9:$G$93,6,FALSE)</f>
        <v>7.3400000000000007E-2</v>
      </c>
      <c r="AC37" s="343">
        <v>22</v>
      </c>
      <c r="AD37" s="343">
        <f t="shared" si="302"/>
        <v>100</v>
      </c>
      <c r="AE37" s="343">
        <v>10</v>
      </c>
      <c r="AF37" s="343">
        <v>8</v>
      </c>
      <c r="AG37" s="343">
        <f t="shared" si="134"/>
        <v>14</v>
      </c>
      <c r="AH37" s="347">
        <f t="shared" si="227"/>
        <v>154</v>
      </c>
      <c r="AI37" s="344">
        <f>IF(T37="AIR",'Catalogue Aluminium'!$K$9,IF(T37="TRENCH",'Catalogue Aluminium'!$K$12,"NA"))</f>
        <v>0.89</v>
      </c>
      <c r="AJ37" s="342">
        <f>IF(T37="Air",(IF(U37="1C",'Catalogue Aluminium'!$L$9,'Catalogue Aluminium'!$M$9)),IF(T37="DUCT",(IF($U37="1C",'Catalogue Aluminium'!$L$10,'Catalogue Aluminium'!$M$10)),IF(T37="GROUND",(IF($U37="1C",'Catalogue Aluminium'!$L$11,'Catalogue Aluminium'!$M$11)),IF(T37="TRENCH",(IF($U37="1C",'Catalogue Aluminium'!$L$12,'Catalogue Aluminium'!$M$12))))))</f>
        <v>0.66</v>
      </c>
      <c r="AK37" s="344" t="str">
        <f>IF(T37="Air",'Catalogue Aluminium'!$N$9,IF(T37="GROUND",'Catalogue Aluminium'!$N$10,IF(T37="DUCT",'Catalogue Aluminium'!$N$11,IF(T37="TRENCH",'Catalogue Aluminium'!$N$12,"NA"))))</f>
        <v>NA</v>
      </c>
      <c r="AL37" s="344" t="str">
        <f>IF(T37="Air",(IF(U37="1C",'Catalogue Aluminium'!$O$9,'Catalogue Aluminium'!$P$9)),IF(T37="DUCT",(IF($U37="1C",'Catalogue Aluminium'!$O$10,'Catalogue Aluminium'!$P$10)),IF(T37="GROUND",(IF($U37="1C",'Catalogue Aluminium'!$O$11,'Catalogue Aluminium'!$P$11)),IF(T37="TRENCH",(IF($U37="1C",'Catalogue Aluminium'!$O$12,'Catalogue Aluminium'!$P$12))))))</f>
        <v>NA</v>
      </c>
      <c r="AM37" s="344" t="str">
        <f>IF(T37="AIR","NA",IF(T37="TRENCH","NA",IF(T37="DUCT",IF(U37="1C",VLOOKUP(V37,'Catalogue Aluminium'!$Q$9:$S$28,2,FALSE),VLOOKUP(V37,'Catalogue Aluminium'!$Q$9:$S$28,3)),IF(T37="GROUND",IF(U37="1C",VLOOKUP(V37,'Catalogue Aluminium'!$Q$9:$S$28,2,FALSE),VLOOKUP(V37,'Catalogue Aluminium'!$Q$9:$S$28,3))))))</f>
        <v>NA</v>
      </c>
      <c r="AN37" s="351">
        <f t="shared" si="228"/>
        <v>0.58740000000000003</v>
      </c>
      <c r="AO37" s="350">
        <f t="shared" si="229"/>
        <v>129.81540000000001</v>
      </c>
      <c r="AP37" s="349">
        <f t="shared" si="230"/>
        <v>1</v>
      </c>
      <c r="AQ37" s="350" t="str">
        <f t="shared" si="231"/>
        <v>YES</v>
      </c>
      <c r="AR37" s="351">
        <f t="shared" si="136"/>
        <v>1.3786831719892627</v>
      </c>
      <c r="AS37" s="343" t="str">
        <f t="shared" si="137"/>
        <v>YES</v>
      </c>
      <c r="AT37" s="351">
        <f t="shared" si="210"/>
        <v>3.2885566353612417</v>
      </c>
      <c r="AU37" s="343" t="str">
        <f t="shared" si="211"/>
        <v>YES</v>
      </c>
      <c r="AV37" s="354" t="str">
        <f t="shared" si="212"/>
        <v>1R x 0.6/1kV x 3C x 95 Sqmm</v>
      </c>
      <c r="AW37" s="354" t="str">
        <f t="shared" si="213"/>
        <v>1R x 0.6/1kV x 3C x 95+PE Sqmm</v>
      </c>
      <c r="AX37" s="343">
        <f t="shared" si="214"/>
        <v>154</v>
      </c>
      <c r="AY37" s="355"/>
      <c r="AZ37" s="355">
        <f t="shared" si="215"/>
        <v>2</v>
      </c>
      <c r="BA37" s="356" t="str">
        <f t="shared" si="216"/>
        <v>Q3RR1R1.A</v>
      </c>
      <c r="BB37" s="501">
        <f>VLOOKUP(W37,'Catalogue Aluminium'!$B$9:$H$93,7,FALSE)</f>
        <v>33</v>
      </c>
      <c r="BC37" s="328">
        <f t="shared" si="217"/>
        <v>33</v>
      </c>
      <c r="BE37" s="336"/>
      <c r="BF37" s="336"/>
      <c r="BG37" s="336"/>
      <c r="BH37" s="336"/>
      <c r="BI37" s="336"/>
      <c r="BJ37" s="336"/>
      <c r="BK37" s="336"/>
      <c r="BL37" s="336"/>
      <c r="BM37" s="336"/>
      <c r="BN37" s="336"/>
      <c r="BO37" s="336"/>
      <c r="BP37" s="336"/>
      <c r="BQ37" s="336"/>
      <c r="BR37" s="336"/>
      <c r="BS37" s="336"/>
      <c r="BT37" s="336"/>
      <c r="BU37" s="336"/>
      <c r="BV37" s="336"/>
      <c r="BW37" s="336"/>
      <c r="BX37" s="336"/>
      <c r="BY37" s="336"/>
      <c r="BZ37" s="336"/>
      <c r="CA37" s="336"/>
      <c r="CB37" s="336"/>
      <c r="CC37" s="336"/>
      <c r="CD37" s="336"/>
      <c r="CE37" s="336"/>
      <c r="CF37" s="336"/>
      <c r="CG37" s="336"/>
      <c r="CH37" s="336"/>
      <c r="CI37" s="336"/>
      <c r="CJ37" s="336"/>
      <c r="CK37" s="336"/>
      <c r="CL37" s="336"/>
      <c r="CM37" s="336"/>
      <c r="CN37" s="336"/>
      <c r="CO37" s="336"/>
      <c r="CP37" s="336"/>
      <c r="CQ37" s="336"/>
      <c r="CR37" s="336"/>
      <c r="CS37" s="336"/>
      <c r="CT37" s="336"/>
      <c r="CU37" s="336"/>
      <c r="CV37" s="336"/>
      <c r="CW37" s="336"/>
      <c r="CX37" s="336"/>
      <c r="CY37" s="336"/>
      <c r="CZ37" s="336"/>
      <c r="DA37" s="336">
        <v>1</v>
      </c>
      <c r="DB37" s="336"/>
      <c r="DC37" s="336"/>
      <c r="DD37" s="336"/>
      <c r="DE37" s="336"/>
      <c r="DF37" s="336"/>
      <c r="DG37" s="336">
        <v>1</v>
      </c>
      <c r="DH37" s="336">
        <v>1</v>
      </c>
      <c r="DI37" s="336"/>
      <c r="DJ37" s="336">
        <v>1</v>
      </c>
      <c r="DK37" s="336"/>
      <c r="DL37" s="336"/>
      <c r="DM37" s="336"/>
      <c r="DN37" s="336"/>
      <c r="DO37" s="336"/>
      <c r="DP37" s="336"/>
      <c r="DQ37" s="336"/>
      <c r="DR37" s="336"/>
      <c r="DS37" s="336"/>
      <c r="DT37" s="336"/>
      <c r="DU37" s="336"/>
      <c r="DW37" s="336">
        <f t="shared" si="80"/>
        <v>0</v>
      </c>
      <c r="DX37" s="336">
        <f t="shared" si="1"/>
        <v>0</v>
      </c>
      <c r="DY37" s="336">
        <f t="shared" si="2"/>
        <v>0</v>
      </c>
      <c r="DZ37" s="336">
        <f t="shared" si="3"/>
        <v>0</v>
      </c>
      <c r="EA37" s="336">
        <f t="shared" si="4"/>
        <v>0</v>
      </c>
      <c r="EB37" s="336">
        <f t="shared" si="5"/>
        <v>0</v>
      </c>
      <c r="EC37" s="336">
        <f t="shared" si="6"/>
        <v>0</v>
      </c>
      <c r="ED37" s="336">
        <f t="shared" si="7"/>
        <v>0</v>
      </c>
      <c r="EE37" s="336">
        <f t="shared" si="8"/>
        <v>0</v>
      </c>
      <c r="EF37" s="336">
        <f t="shared" si="9"/>
        <v>0</v>
      </c>
      <c r="EG37" s="336">
        <f t="shared" si="10"/>
        <v>0</v>
      </c>
      <c r="EH37" s="336">
        <f t="shared" si="11"/>
        <v>0</v>
      </c>
      <c r="EI37" s="336">
        <f t="shared" si="12"/>
        <v>0</v>
      </c>
      <c r="EJ37" s="336">
        <f t="shared" si="13"/>
        <v>0</v>
      </c>
      <c r="EK37" s="336">
        <f t="shared" si="14"/>
        <v>0</v>
      </c>
      <c r="EL37" s="336">
        <f t="shared" si="15"/>
        <v>0</v>
      </c>
      <c r="EM37" s="336">
        <f t="shared" si="16"/>
        <v>0</v>
      </c>
      <c r="EN37" s="336">
        <f t="shared" si="17"/>
        <v>0</v>
      </c>
      <c r="EO37" s="336">
        <f t="shared" si="18"/>
        <v>0</v>
      </c>
      <c r="EP37" s="336">
        <f t="shared" si="19"/>
        <v>0</v>
      </c>
      <c r="EQ37" s="336">
        <f t="shared" si="20"/>
        <v>0</v>
      </c>
      <c r="ER37" s="336">
        <f t="shared" si="21"/>
        <v>0</v>
      </c>
      <c r="ES37" s="336">
        <f t="shared" si="22"/>
        <v>0</v>
      </c>
      <c r="ET37" s="336">
        <f t="shared" si="22"/>
        <v>0</v>
      </c>
      <c r="EU37" s="336">
        <f t="shared" si="23"/>
        <v>0</v>
      </c>
      <c r="EV37" s="336">
        <f t="shared" si="24"/>
        <v>0</v>
      </c>
      <c r="EW37" s="336">
        <f t="shared" si="25"/>
        <v>0</v>
      </c>
      <c r="EX37" s="336">
        <f t="shared" si="26"/>
        <v>0</v>
      </c>
      <c r="EY37" s="336">
        <f t="shared" si="27"/>
        <v>0</v>
      </c>
      <c r="EZ37" s="336">
        <f t="shared" si="28"/>
        <v>0</v>
      </c>
      <c r="FA37" s="336">
        <f t="shared" si="29"/>
        <v>0</v>
      </c>
      <c r="FB37" s="336">
        <f t="shared" si="30"/>
        <v>0</v>
      </c>
      <c r="FC37" s="336">
        <f t="shared" si="31"/>
        <v>0</v>
      </c>
      <c r="FD37" s="336">
        <f t="shared" si="32"/>
        <v>0</v>
      </c>
      <c r="FE37" s="336">
        <f t="shared" si="33"/>
        <v>0</v>
      </c>
      <c r="FF37" s="336">
        <f t="shared" si="34"/>
        <v>0</v>
      </c>
      <c r="FG37" s="336">
        <f t="shared" si="35"/>
        <v>0</v>
      </c>
      <c r="FH37" s="336">
        <f t="shared" si="36"/>
        <v>0</v>
      </c>
      <c r="FI37" s="336">
        <f t="shared" si="37"/>
        <v>0</v>
      </c>
      <c r="FJ37" s="336">
        <f t="shared" si="38"/>
        <v>0</v>
      </c>
      <c r="FK37" s="336">
        <f t="shared" si="39"/>
        <v>0</v>
      </c>
      <c r="FL37" s="336">
        <f t="shared" si="40"/>
        <v>0</v>
      </c>
      <c r="FM37" s="336">
        <f t="shared" si="41"/>
        <v>0</v>
      </c>
      <c r="FN37" s="336">
        <f t="shared" si="42"/>
        <v>0</v>
      </c>
      <c r="FO37" s="336">
        <f t="shared" si="43"/>
        <v>0</v>
      </c>
      <c r="FP37" s="336">
        <f t="shared" si="44"/>
        <v>0</v>
      </c>
      <c r="FQ37" s="336">
        <f t="shared" si="45"/>
        <v>0</v>
      </c>
      <c r="FR37" s="336">
        <f t="shared" si="46"/>
        <v>0</v>
      </c>
      <c r="FS37" s="336">
        <f t="shared" si="47"/>
        <v>33</v>
      </c>
      <c r="FT37" s="336">
        <f t="shared" si="48"/>
        <v>0</v>
      </c>
      <c r="FU37" s="336">
        <f t="shared" si="49"/>
        <v>0</v>
      </c>
      <c r="FV37" s="336">
        <f t="shared" si="50"/>
        <v>0</v>
      </c>
      <c r="FW37" s="336">
        <f t="shared" si="51"/>
        <v>0</v>
      </c>
      <c r="FX37" s="336">
        <f t="shared" si="52"/>
        <v>0</v>
      </c>
      <c r="FY37" s="336">
        <f t="shared" si="53"/>
        <v>33</v>
      </c>
      <c r="FZ37" s="336">
        <f t="shared" si="54"/>
        <v>33</v>
      </c>
      <c r="GA37" s="336">
        <f t="shared" si="55"/>
        <v>0</v>
      </c>
      <c r="GB37" s="336">
        <f t="shared" si="56"/>
        <v>33</v>
      </c>
      <c r="GC37" s="336">
        <f t="shared" si="57"/>
        <v>0</v>
      </c>
      <c r="GD37" s="336">
        <f t="shared" si="58"/>
        <v>0</v>
      </c>
      <c r="GE37" s="336">
        <f t="shared" si="59"/>
        <v>0</v>
      </c>
      <c r="GF37" s="336">
        <f t="shared" si="60"/>
        <v>0</v>
      </c>
      <c r="GG37" s="336">
        <f t="shared" si="61"/>
        <v>0</v>
      </c>
      <c r="GH37" s="336">
        <f t="shared" si="62"/>
        <v>0</v>
      </c>
      <c r="GI37" s="336">
        <f t="shared" si="63"/>
        <v>0</v>
      </c>
      <c r="GJ37" s="336">
        <f t="shared" si="64"/>
        <v>0</v>
      </c>
      <c r="GK37" s="336">
        <f t="shared" si="65"/>
        <v>0</v>
      </c>
      <c r="GL37" s="336">
        <f t="shared" si="67"/>
        <v>0</v>
      </c>
      <c r="GM37" s="336">
        <f t="shared" si="66"/>
        <v>0</v>
      </c>
    </row>
    <row r="38" spans="1:195" ht="20.100000000000001" customHeight="1">
      <c r="A38" s="337">
        <f t="shared" si="220"/>
        <v>30</v>
      </c>
      <c r="B38" s="388" t="s">
        <v>527</v>
      </c>
      <c r="C38" s="338" t="str">
        <f t="shared" si="209"/>
        <v>PMCC-2</v>
      </c>
      <c r="D38" s="338" t="s">
        <v>1133</v>
      </c>
      <c r="E38" s="745" t="s">
        <v>387</v>
      </c>
      <c r="F38" s="388" t="s">
        <v>28</v>
      </c>
      <c r="G38" s="388" t="s">
        <v>329</v>
      </c>
      <c r="H38" s="742">
        <v>0.2</v>
      </c>
      <c r="I38" s="388" t="s">
        <v>330</v>
      </c>
      <c r="J38" s="388" t="s">
        <v>357</v>
      </c>
      <c r="K38" s="434">
        <v>230</v>
      </c>
      <c r="L38" s="401">
        <v>0.85</v>
      </c>
      <c r="M38" s="418">
        <v>0.95</v>
      </c>
      <c r="N38" s="392">
        <f t="shared" si="221"/>
        <v>1.0768609503297888</v>
      </c>
      <c r="O38" s="392">
        <f t="shared" si="222"/>
        <v>0</v>
      </c>
      <c r="P38" s="401" t="str">
        <f t="shared" si="223"/>
        <v>0.00</v>
      </c>
      <c r="Q38" s="418">
        <v>65</v>
      </c>
      <c r="R38" s="418">
        <v>0</v>
      </c>
      <c r="S38" s="418">
        <f t="shared" si="224"/>
        <v>0</v>
      </c>
      <c r="T38" s="401" t="s">
        <v>332</v>
      </c>
      <c r="U38" s="418" t="s">
        <v>333</v>
      </c>
      <c r="V38" s="401">
        <v>2.5</v>
      </c>
      <c r="W38" s="401" t="str">
        <f t="shared" si="301"/>
        <v>3C X 2.5</v>
      </c>
      <c r="X38" s="401" t="str">
        <f t="shared" ref="X38" si="416">(IF(J38="1Ph",W38,IF(J38="3Ph",(IF(G38="MOTOR",(CONCATENATE(W38,"+PE")),W38)))))</f>
        <v>3C X 2.5</v>
      </c>
      <c r="Y38" s="401" t="s">
        <v>358</v>
      </c>
      <c r="Z38" s="393">
        <f>IF(T38="AIR",VLOOKUP(W38,'Catalogue Aluminium'!$B$9:$G$93,2,FALSE),IF(T38="GROUND",VLOOKUP(W38,'Catalogue Aluminium'!$B$9:$G$93,3,FALSE),IF(T38="DUCT",VLOOKUP(W38,'Catalogue Aluminium'!$B$9:$G$93,4,FALSE),IF(T38="TRENCH",VLOOKUP(W38,'Catalogue Aluminium'!$B$9:$G$93,2,FALSE)))))</f>
        <v>28</v>
      </c>
      <c r="AA38" s="402">
        <f>VLOOKUP(W38,'Catalogue Aluminium'!$B$9:$G$93,5,FALSE)</f>
        <v>9.48</v>
      </c>
      <c r="AB38" s="402">
        <f>VLOOKUP(W38,'Catalogue Aluminium'!$B$9:$G$93,6,FALSE)</f>
        <v>0.1007</v>
      </c>
      <c r="AC38" s="401">
        <v>22</v>
      </c>
      <c r="AD38" s="401">
        <f t="shared" si="302"/>
        <v>100</v>
      </c>
      <c r="AE38" s="401">
        <v>10</v>
      </c>
      <c r="AF38" s="401">
        <v>8</v>
      </c>
      <c r="AG38" s="401">
        <f t="shared" ref="AG38" si="417">ROUNDUP((SUM(AC38:AF38)*0.1),0)</f>
        <v>14</v>
      </c>
      <c r="AH38" s="436">
        <f t="shared" si="227"/>
        <v>154</v>
      </c>
      <c r="AI38" s="393">
        <f>IF(T38="AIR",'Catalogue Aluminium'!$K$9,IF(T38="TRENCH",'Catalogue Aluminium'!$K$12,"NA"))</f>
        <v>0.89</v>
      </c>
      <c r="AJ38" s="392">
        <f>IF(T38="Air",(IF(U38="1C",'Catalogue Aluminium'!$L$9,'Catalogue Aluminium'!$M$9)),IF(T38="DUCT",(IF($U38="1C",'Catalogue Aluminium'!$L$10,'Catalogue Aluminium'!$M$10)),IF(T38="GROUND",(IF($U38="1C",'Catalogue Aluminium'!$L$11,'Catalogue Aluminium'!$M$11)),IF(T38="TRENCH",(IF($U38="1C",'Catalogue Aluminium'!$L$12,'Catalogue Aluminium'!$M$12))))))</f>
        <v>0.66</v>
      </c>
      <c r="AK38" s="393" t="str">
        <f>IF(T38="Air",'Catalogue Aluminium'!$N$9,IF(T38="GROUND",'Catalogue Aluminium'!$N$10,IF(T38="DUCT",'Catalogue Aluminium'!$N$11,IF(T38="TRENCH",'Catalogue Aluminium'!$N$12,"NA"))))</f>
        <v>NA</v>
      </c>
      <c r="AL38" s="393" t="str">
        <f>IF(T38="Air",(IF(U38="1C",'Catalogue Aluminium'!$O$9,'Catalogue Aluminium'!$P$9)),IF(T38="DUCT",(IF($U38="1C",'Catalogue Aluminium'!$O$10,'Catalogue Aluminium'!$P$10)),IF(T38="GROUND",(IF($U38="1C",'Catalogue Aluminium'!$O$11,'Catalogue Aluminium'!$P$11)),IF(T38="TRENCH",(IF($U38="1C",'Catalogue Aluminium'!$O$12,'Catalogue Aluminium'!$P$12))))))</f>
        <v>NA</v>
      </c>
      <c r="AM38" s="393" t="str">
        <f>IF(T38="AIR","NA",IF(T38="TRENCH","NA",IF(T38="DUCT",IF(U38="1C",VLOOKUP(V38,'Catalogue Aluminium'!$Q$9:$S$28,2,FALSE),VLOOKUP(V38,'Catalogue Aluminium'!$Q$9:$S$28,3)),IF(T38="GROUND",IF(U38="1C",VLOOKUP(V38,'Catalogue Aluminium'!$Q$9:$S$28,2,FALSE),VLOOKUP(V38,'Catalogue Aluminium'!$Q$9:$S$28,3))))))</f>
        <v>NA</v>
      </c>
      <c r="AN38" s="437">
        <f t="shared" ref="AN38" si="418">IF(T38="AIR",AI38*AJ38,IF(T38="TRENCH",AI38*AJ38,IF(T38="DUCT",AJ38*AK38*AL38*AM38,IF(T38="GROUND",AJ38*AK38*AL38*AM38))))</f>
        <v>0.58740000000000003</v>
      </c>
      <c r="AO38" s="418">
        <f t="shared" ref="AO38" si="419">Z38*AN38</f>
        <v>16.447200000000002</v>
      </c>
      <c r="AP38" s="434">
        <f t="shared" ref="AP38" si="420">CEILING(((N38)/AO38),1)</f>
        <v>1</v>
      </c>
      <c r="AQ38" s="418" t="str">
        <f t="shared" ref="AQ38" si="421">IF(AO38*AP38&gt;=N38,"YES","NO")</f>
        <v>YES</v>
      </c>
      <c r="AR38" s="437">
        <f t="shared" ref="AR38" si="422">SQRT(3)*AH38*N38*((AA38*L38)+(AB38*SIN(ACOS(L38))))*100/(AP38*K38*1000)</f>
        <v>1.0129547835231685</v>
      </c>
      <c r="AS38" s="401" t="str">
        <f t="shared" ref="AS38" si="423">IF(G38="INCOMER",(IF(AR38&lt;=2,"YES","NO")),IF(G38="POWER",(IF(AR38&lt;=2.5,"YES","NO")),IF(G38="MOTOR",(IF(AR38&lt;=3,"YES","NO")))))</f>
        <v>YES</v>
      </c>
      <c r="AT38" s="437" t="str">
        <f t="shared" si="210"/>
        <v>NA</v>
      </c>
      <c r="AU38" s="401" t="str">
        <f t="shared" si="211"/>
        <v>NA</v>
      </c>
      <c r="AV38" s="503" t="str">
        <f t="shared" si="212"/>
        <v>1R x 0.6/1kV x 3C x 2.5 Sqmm</v>
      </c>
      <c r="AW38" s="503" t="str">
        <f t="shared" si="213"/>
        <v>1R x 0.6/1kV x 3C x 2.5 Sqmm</v>
      </c>
      <c r="AX38" s="401">
        <f t="shared" si="214"/>
        <v>154</v>
      </c>
      <c r="AY38" s="504"/>
      <c r="AZ38" s="504">
        <f t="shared" si="215"/>
        <v>2</v>
      </c>
      <c r="BA38" s="438" t="str">
        <f t="shared" si="216"/>
        <v>Q3RR1R1.A</v>
      </c>
      <c r="BB38" s="505">
        <f>VLOOKUP(W38,'Catalogue Aluminium'!$B$9:$H$93,7,FALSE)</f>
        <v>14</v>
      </c>
      <c r="BC38" s="439">
        <f t="shared" si="217"/>
        <v>14</v>
      </c>
      <c r="BE38" s="336"/>
      <c r="BF38" s="336"/>
      <c r="BG38" s="336"/>
      <c r="BH38" s="336"/>
      <c r="BI38" s="336"/>
      <c r="BJ38" s="336"/>
      <c r="BK38" s="336"/>
      <c r="BL38" s="336"/>
      <c r="BM38" s="336"/>
      <c r="BN38" s="336"/>
      <c r="BO38" s="336"/>
      <c r="BP38" s="336"/>
      <c r="BQ38" s="336"/>
      <c r="BR38" s="336"/>
      <c r="BS38" s="336"/>
      <c r="BT38" s="336"/>
      <c r="BU38" s="336"/>
      <c r="BV38" s="336"/>
      <c r="BW38" s="336"/>
      <c r="BX38" s="336"/>
      <c r="BY38" s="336"/>
      <c r="BZ38" s="336"/>
      <c r="CA38" s="336"/>
      <c r="CB38" s="336"/>
      <c r="CC38" s="336"/>
      <c r="CD38" s="336"/>
      <c r="CE38" s="336"/>
      <c r="CF38" s="336"/>
      <c r="CG38" s="336"/>
      <c r="CH38" s="336"/>
      <c r="CI38" s="336"/>
      <c r="CJ38" s="336"/>
      <c r="CK38" s="336"/>
      <c r="CL38" s="336"/>
      <c r="CM38" s="336"/>
      <c r="CN38" s="336"/>
      <c r="CO38" s="336"/>
      <c r="CP38" s="336"/>
      <c r="CQ38" s="336"/>
      <c r="CR38" s="336"/>
      <c r="CS38" s="336"/>
      <c r="CT38" s="336"/>
      <c r="CU38" s="336"/>
      <c r="CV38" s="336"/>
      <c r="CW38" s="336"/>
      <c r="CX38" s="336"/>
      <c r="CY38" s="336"/>
      <c r="CZ38" s="336"/>
      <c r="DA38" s="336">
        <v>1</v>
      </c>
      <c r="DB38" s="336"/>
      <c r="DC38" s="336"/>
      <c r="DD38" s="336"/>
      <c r="DE38" s="336"/>
      <c r="DF38" s="336"/>
      <c r="DG38" s="336">
        <v>1</v>
      </c>
      <c r="DH38" s="336">
        <v>1</v>
      </c>
      <c r="DI38" s="336"/>
      <c r="DJ38" s="336">
        <v>1</v>
      </c>
      <c r="DK38" s="336"/>
      <c r="DL38" s="336"/>
      <c r="DM38" s="336"/>
      <c r="DN38" s="336"/>
      <c r="DO38" s="336"/>
      <c r="DP38" s="336"/>
      <c r="DQ38" s="336"/>
      <c r="DR38" s="336"/>
      <c r="DS38" s="336"/>
      <c r="DT38" s="336"/>
      <c r="DU38" s="336"/>
      <c r="DW38" s="336">
        <f t="shared" ref="DW38" si="424">IF(BE38=1,($BC38*BE38),0)</f>
        <v>0</v>
      </c>
      <c r="DX38" s="336">
        <f t="shared" ref="DX38" si="425">IF(BF38=1,($BC38*BF38),0)</f>
        <v>0</v>
      </c>
      <c r="DY38" s="336">
        <f t="shared" ref="DY38" si="426">IF(BG38=1,($BC38*BG38),0)</f>
        <v>0</v>
      </c>
      <c r="DZ38" s="336">
        <f t="shared" ref="DZ38" si="427">IF(BH38=1,($BC38*BH38),0)</f>
        <v>0</v>
      </c>
      <c r="EA38" s="336">
        <f t="shared" ref="EA38" si="428">IF(BI38=1,($BC38*BI38),0)</f>
        <v>0</v>
      </c>
      <c r="EB38" s="336">
        <f t="shared" ref="EB38" si="429">IF(BJ38=1,($BC38*BJ38),0)</f>
        <v>0</v>
      </c>
      <c r="EC38" s="336">
        <f t="shared" ref="EC38" si="430">IF(BK38=1,($BC38*BK38),0)</f>
        <v>0</v>
      </c>
      <c r="ED38" s="336">
        <f t="shared" ref="ED38" si="431">IF(BL38=1,($BC38*BL38),0)</f>
        <v>0</v>
      </c>
      <c r="EE38" s="336">
        <f t="shared" ref="EE38" si="432">IF(BM38=1,($BC38*BM38),0)</f>
        <v>0</v>
      </c>
      <c r="EF38" s="336">
        <f t="shared" ref="EF38" si="433">IF(BN38=1,($BC38*BN38),0)</f>
        <v>0</v>
      </c>
      <c r="EG38" s="336">
        <f t="shared" ref="EG38" si="434">IF(BO38=1,($BC38*BO38),0)</f>
        <v>0</v>
      </c>
      <c r="EH38" s="336">
        <f t="shared" ref="EH38" si="435">IF(BP38=1,($BC38*BP38),0)</f>
        <v>0</v>
      </c>
      <c r="EI38" s="336">
        <f t="shared" ref="EI38" si="436">IF(BQ38=1,($BC38*BQ38),0)</f>
        <v>0</v>
      </c>
      <c r="EJ38" s="336">
        <f t="shared" ref="EJ38" si="437">IF(BR38=1,($BC38*BR38),0)</f>
        <v>0</v>
      </c>
      <c r="EK38" s="336">
        <f t="shared" ref="EK38" si="438">IF(BS38=1,($BC38*BS38),0)</f>
        <v>0</v>
      </c>
      <c r="EL38" s="336">
        <f t="shared" ref="EL38" si="439">IF(BT38=1,($BC38*BT38),0)</f>
        <v>0</v>
      </c>
      <c r="EM38" s="336">
        <f t="shared" ref="EM38" si="440">IF(BU38=1,($BC38*BU38),0)</f>
        <v>0</v>
      </c>
      <c r="EN38" s="336">
        <f t="shared" ref="EN38" si="441">IF(BV38=1,($BC38*BV38),0)</f>
        <v>0</v>
      </c>
      <c r="EO38" s="336">
        <f t="shared" ref="EO38" si="442">IF(BW38=1,($BC38*BW38),0)</f>
        <v>0</v>
      </c>
      <c r="EP38" s="336">
        <f t="shared" ref="EP38" si="443">IF(BX38=1,($BC38*BX38),0)</f>
        <v>0</v>
      </c>
      <c r="EQ38" s="336">
        <f t="shared" ref="EQ38" si="444">IF(BY38=1,($BC38*BY38),0)</f>
        <v>0</v>
      </c>
      <c r="ER38" s="336">
        <f t="shared" ref="ER38" si="445">IF(BZ38=1,($BC38*BZ38),0)</f>
        <v>0</v>
      </c>
      <c r="ES38" s="336">
        <f t="shared" ref="ES38" si="446">IF(CA38=1,($BC38*CA38),0)</f>
        <v>0</v>
      </c>
      <c r="ET38" s="336">
        <f t="shared" si="22"/>
        <v>0</v>
      </c>
      <c r="EU38" s="336">
        <f t="shared" ref="EU38" si="447">IF(CC38=1,($BC38*CC38),0)</f>
        <v>0</v>
      </c>
      <c r="EV38" s="336">
        <f t="shared" ref="EV38" si="448">IF(CD38=1,($BC38*CD38),0)</f>
        <v>0</v>
      </c>
      <c r="EW38" s="336">
        <f t="shared" ref="EW38" si="449">IF(CE38=1,($BC38*CE38),0)</f>
        <v>0</v>
      </c>
      <c r="EX38" s="336">
        <f t="shared" ref="EX38" si="450">IF(CF38=1,($BC38*CF38),0)</f>
        <v>0</v>
      </c>
      <c r="EY38" s="336">
        <f t="shared" ref="EY38" si="451">IF(CG38=1,($BC38*CG38),0)</f>
        <v>0</v>
      </c>
      <c r="EZ38" s="336">
        <f t="shared" ref="EZ38" si="452">IF(CH38=1,($BC38*CH38),0)</f>
        <v>0</v>
      </c>
      <c r="FA38" s="336">
        <f t="shared" ref="FA38" si="453">IF(CI38=1,($BC38*CI38),0)</f>
        <v>0</v>
      </c>
      <c r="FB38" s="336">
        <f t="shared" ref="FB38" si="454">IF(CJ38=1,($BC38*CJ38),0)</f>
        <v>0</v>
      </c>
      <c r="FC38" s="336">
        <f t="shared" ref="FC38" si="455">IF(CK38=1,($BC38*CK38),0)</f>
        <v>0</v>
      </c>
      <c r="FD38" s="336">
        <f t="shared" ref="FD38" si="456">IF(CL38=1,($BC38*CL38),0)</f>
        <v>0</v>
      </c>
      <c r="FE38" s="336">
        <f t="shared" ref="FE38" si="457">IF(CM38=1,($BC38*CM38),0)</f>
        <v>0</v>
      </c>
      <c r="FF38" s="336">
        <f t="shared" ref="FF38" si="458">IF(CN38=1,($BC38*CN38),0)</f>
        <v>0</v>
      </c>
      <c r="FG38" s="336">
        <f t="shared" ref="FG38" si="459">IF(CO38=1,($BC38*CO38),0)</f>
        <v>0</v>
      </c>
      <c r="FH38" s="336">
        <f t="shared" ref="FH38" si="460">IF(CP38=1,($BC38*CP38),0)</f>
        <v>0</v>
      </c>
      <c r="FI38" s="336">
        <f t="shared" ref="FI38" si="461">IF(CQ38=1,($BC38*CQ38),0)</f>
        <v>0</v>
      </c>
      <c r="FJ38" s="336">
        <f t="shared" ref="FJ38" si="462">IF(CR38=1,($BC38*CR38),0)</f>
        <v>0</v>
      </c>
      <c r="FK38" s="336">
        <f t="shared" ref="FK38" si="463">IF(CS38=1,($BC38*CS38),0)</f>
        <v>0</v>
      </c>
      <c r="FL38" s="336">
        <f t="shared" ref="FL38" si="464">IF(CT38=1,($BC38*CT38),0)</f>
        <v>0</v>
      </c>
      <c r="FM38" s="336">
        <f t="shared" ref="FM38" si="465">IF(CU38=1,($BC38*CU38),0)</f>
        <v>0</v>
      </c>
      <c r="FN38" s="336">
        <f t="shared" ref="FN38" si="466">IF(CV38=1,($BC38*CV38),0)</f>
        <v>0</v>
      </c>
      <c r="FO38" s="336">
        <f t="shared" ref="FO38" si="467">IF(CW38=1,($BC38*CW38),0)</f>
        <v>0</v>
      </c>
      <c r="FP38" s="336">
        <f t="shared" ref="FP38" si="468">IF(CX38=1,($BC38*CX38),0)</f>
        <v>0</v>
      </c>
      <c r="FQ38" s="336">
        <f t="shared" ref="FQ38" si="469">IF(CY38=1,($BC38*CY38),0)</f>
        <v>0</v>
      </c>
      <c r="FR38" s="336">
        <f t="shared" ref="FR38" si="470">IF(CZ38=1,($BC38*CZ38),0)</f>
        <v>0</v>
      </c>
      <c r="FS38" s="336">
        <f t="shared" ref="FS38" si="471">IF(DA38=1,($BC38*DA38),0)</f>
        <v>14</v>
      </c>
      <c r="FT38" s="336">
        <f t="shared" ref="FT38" si="472">IF(DB38=1,($BC38*DB38),0)</f>
        <v>0</v>
      </c>
      <c r="FU38" s="336">
        <f t="shared" si="49"/>
        <v>0</v>
      </c>
      <c r="FV38" s="336">
        <f t="shared" si="50"/>
        <v>0</v>
      </c>
      <c r="FW38" s="336">
        <f t="shared" si="51"/>
        <v>0</v>
      </c>
      <c r="FX38" s="336">
        <f t="shared" si="52"/>
        <v>0</v>
      </c>
      <c r="FY38" s="336">
        <f t="shared" si="53"/>
        <v>14</v>
      </c>
      <c r="FZ38" s="336">
        <f t="shared" si="54"/>
        <v>14</v>
      </c>
      <c r="GA38" s="336">
        <f t="shared" si="55"/>
        <v>0</v>
      </c>
      <c r="GB38" s="336">
        <f t="shared" si="56"/>
        <v>14</v>
      </c>
      <c r="GC38" s="336">
        <f t="shared" si="57"/>
        <v>0</v>
      </c>
      <c r="GD38" s="336">
        <f t="shared" si="58"/>
        <v>0</v>
      </c>
      <c r="GE38" s="336">
        <f t="shared" si="59"/>
        <v>0</v>
      </c>
      <c r="GF38" s="336">
        <f t="shared" si="60"/>
        <v>0</v>
      </c>
      <c r="GG38" s="336">
        <f t="shared" si="61"/>
        <v>0</v>
      </c>
      <c r="GH38" s="336">
        <f t="shared" si="62"/>
        <v>0</v>
      </c>
      <c r="GI38" s="336">
        <f t="shared" si="63"/>
        <v>0</v>
      </c>
      <c r="GJ38" s="336">
        <f t="shared" si="64"/>
        <v>0</v>
      </c>
      <c r="GK38" s="336">
        <f t="shared" si="65"/>
        <v>0</v>
      </c>
      <c r="GL38" s="336">
        <f t="shared" si="67"/>
        <v>0</v>
      </c>
      <c r="GM38" s="336">
        <f t="shared" si="66"/>
        <v>0</v>
      </c>
    </row>
    <row r="39" spans="1:195" ht="20.100000000000001" customHeight="1">
      <c r="A39" s="337">
        <f t="shared" si="220"/>
        <v>31</v>
      </c>
      <c r="B39" s="337" t="s">
        <v>527</v>
      </c>
      <c r="C39" s="372" t="str">
        <f t="shared" si="209"/>
        <v>PMCC-2</v>
      </c>
      <c r="D39" s="372" t="s">
        <v>1134</v>
      </c>
      <c r="E39" s="569" t="s">
        <v>387</v>
      </c>
      <c r="F39" s="337" t="s">
        <v>29</v>
      </c>
      <c r="G39" s="337" t="s">
        <v>350</v>
      </c>
      <c r="H39" s="350">
        <v>30</v>
      </c>
      <c r="I39" s="337" t="s">
        <v>330</v>
      </c>
      <c r="J39" s="337" t="s">
        <v>331</v>
      </c>
      <c r="K39" s="349">
        <v>400</v>
      </c>
      <c r="L39" s="343">
        <v>0.85</v>
      </c>
      <c r="M39" s="350">
        <v>0.95400000000000007</v>
      </c>
      <c r="N39" s="342">
        <f t="shared" si="221"/>
        <v>53.400592447532851</v>
      </c>
      <c r="O39" s="342">
        <f t="shared" si="222"/>
        <v>320.40355468519709</v>
      </c>
      <c r="P39" s="343">
        <f t="shared" si="223"/>
        <v>0.2</v>
      </c>
      <c r="Q39" s="350">
        <v>65</v>
      </c>
      <c r="R39" s="350">
        <v>0</v>
      </c>
      <c r="S39" s="350">
        <f t="shared" si="224"/>
        <v>0</v>
      </c>
      <c r="T39" s="343" t="s">
        <v>332</v>
      </c>
      <c r="U39" s="350" t="s">
        <v>333</v>
      </c>
      <c r="V39" s="343">
        <v>95</v>
      </c>
      <c r="W39" s="343" t="str">
        <f t="shared" si="301"/>
        <v>3C X 95</v>
      </c>
      <c r="X39" s="343" t="str">
        <f t="shared" si="226"/>
        <v>3C X 95+PE</v>
      </c>
      <c r="Y39" s="343" t="s">
        <v>358</v>
      </c>
      <c r="Z39" s="344">
        <f>IF(T39="AIR",VLOOKUP(W39,'Catalogue Aluminium'!$B$9:$G$93,2,FALSE),IF(T39="GROUND",VLOOKUP(W39,'Catalogue Aluminium'!$B$9:$G$93,3,FALSE),IF(T39="DUCT",VLOOKUP(W39,'Catalogue Aluminium'!$B$9:$G$93,4,FALSE),IF(T39="TRENCH",VLOOKUP(W39,'Catalogue Aluminium'!$B$9:$G$93,2,FALSE)))))</f>
        <v>221</v>
      </c>
      <c r="AA39" s="345">
        <f>VLOOKUP(W39,'Catalogue Aluminium'!$B$9:$G$93,5,FALSE)</f>
        <v>0.41</v>
      </c>
      <c r="AB39" s="345">
        <f>VLOOKUP(W39,'Catalogue Aluminium'!$B$9:$G$93,6,FALSE)</f>
        <v>7.3400000000000007E-2</v>
      </c>
      <c r="AC39" s="343">
        <f>9.5+2.5</f>
        <v>12</v>
      </c>
      <c r="AD39" s="343">
        <f t="shared" si="302"/>
        <v>100</v>
      </c>
      <c r="AE39" s="343">
        <v>10</v>
      </c>
      <c r="AF39" s="343">
        <v>8</v>
      </c>
      <c r="AG39" s="343">
        <f t="shared" si="134"/>
        <v>13</v>
      </c>
      <c r="AH39" s="347">
        <f t="shared" si="227"/>
        <v>143</v>
      </c>
      <c r="AI39" s="344">
        <f>IF(T39="AIR",'Catalogue Aluminium'!$K$9,IF(T39="TRENCH",'Catalogue Aluminium'!$K$12,"NA"))</f>
        <v>0.89</v>
      </c>
      <c r="AJ39" s="342">
        <f>IF(T39="Air",(IF(U39="1C",'Catalogue Aluminium'!$L$9,'Catalogue Aluminium'!$M$9)),IF(T39="DUCT",(IF($U39="1C",'Catalogue Aluminium'!$L$10,'Catalogue Aluminium'!$M$10)),IF(T39="GROUND",(IF($U39="1C",'Catalogue Aluminium'!$L$11,'Catalogue Aluminium'!$M$11)),IF(T39="TRENCH",(IF($U39="1C",'Catalogue Aluminium'!$L$12,'Catalogue Aluminium'!$M$12))))))</f>
        <v>0.66</v>
      </c>
      <c r="AK39" s="344" t="str">
        <f>IF(T39="Air",'Catalogue Aluminium'!$N$9,IF(T39="GROUND",'Catalogue Aluminium'!$N$10,IF(T39="DUCT",'Catalogue Aluminium'!$N$11,IF(T39="TRENCH",'Catalogue Aluminium'!$N$12,"NA"))))</f>
        <v>NA</v>
      </c>
      <c r="AL39" s="344" t="str">
        <f>IF(T39="Air",(IF(U39="1C",'Catalogue Aluminium'!$O$9,'Catalogue Aluminium'!$P$9)),IF(T39="DUCT",(IF($U39="1C",'Catalogue Aluminium'!$O$10,'Catalogue Aluminium'!$P$10)),IF(T39="GROUND",(IF($U39="1C",'Catalogue Aluminium'!$O$11,'Catalogue Aluminium'!$P$11)),IF(T39="TRENCH",(IF($U39="1C",'Catalogue Aluminium'!$O$12,'Catalogue Aluminium'!$P$12))))))</f>
        <v>NA</v>
      </c>
      <c r="AM39" s="344" t="str">
        <f>IF(T39="AIR","NA",IF(T39="TRENCH","NA",IF(T39="DUCT",IF(U39="1C",VLOOKUP(V39,'Catalogue Aluminium'!$Q$9:$S$28,2,FALSE),VLOOKUP(V39,'Catalogue Aluminium'!$Q$9:$S$28,3)),IF(T39="GROUND",IF(U39="1C",VLOOKUP(V39,'Catalogue Aluminium'!$Q$9:$S$28,2,FALSE),VLOOKUP(V39,'Catalogue Aluminium'!$Q$9:$S$28,3))))))</f>
        <v>NA</v>
      </c>
      <c r="AN39" s="351">
        <f t="shared" si="228"/>
        <v>0.58740000000000003</v>
      </c>
      <c r="AO39" s="350">
        <f t="shared" si="229"/>
        <v>129.81540000000001</v>
      </c>
      <c r="AP39" s="349">
        <f t="shared" si="230"/>
        <v>1</v>
      </c>
      <c r="AQ39" s="350" t="str">
        <f t="shared" si="231"/>
        <v>YES</v>
      </c>
      <c r="AR39" s="351">
        <f t="shared" si="136"/>
        <v>1.2802058025614582</v>
      </c>
      <c r="AS39" s="343" t="str">
        <f t="shared" si="137"/>
        <v>YES</v>
      </c>
      <c r="AT39" s="351">
        <f t="shared" si="210"/>
        <v>3.0536597328354391</v>
      </c>
      <c r="AU39" s="343" t="str">
        <f t="shared" si="211"/>
        <v>YES</v>
      </c>
      <c r="AV39" s="354" t="str">
        <f t="shared" si="212"/>
        <v>1R x 0.6/1kV x 3C x 95 Sqmm</v>
      </c>
      <c r="AW39" s="354" t="str">
        <f t="shared" si="213"/>
        <v>1R x 0.6/1kV x 3C x 95+PE Sqmm</v>
      </c>
      <c r="AX39" s="343">
        <f t="shared" si="214"/>
        <v>143</v>
      </c>
      <c r="AY39" s="355"/>
      <c r="AZ39" s="355">
        <f t="shared" si="215"/>
        <v>2</v>
      </c>
      <c r="BA39" s="356" t="str">
        <f t="shared" si="216"/>
        <v>Q3RR1R1.A</v>
      </c>
      <c r="BB39" s="501">
        <f>VLOOKUP(W39,'Catalogue Aluminium'!$B$9:$H$93,7,FALSE)</f>
        <v>33</v>
      </c>
      <c r="BC39" s="328">
        <f t="shared" si="217"/>
        <v>33</v>
      </c>
      <c r="BE39" s="336"/>
      <c r="BF39" s="336"/>
      <c r="BG39" s="336"/>
      <c r="BH39" s="336"/>
      <c r="BI39" s="336"/>
      <c r="BJ39" s="336"/>
      <c r="BK39" s="336"/>
      <c r="BL39" s="336"/>
      <c r="BM39" s="336"/>
      <c r="BN39" s="336"/>
      <c r="BO39" s="336"/>
      <c r="BP39" s="336"/>
      <c r="BQ39" s="336"/>
      <c r="BR39" s="336"/>
      <c r="BS39" s="336"/>
      <c r="BT39" s="336"/>
      <c r="BU39" s="336"/>
      <c r="BV39" s="336"/>
      <c r="BW39" s="336"/>
      <c r="BX39" s="336"/>
      <c r="BY39" s="336"/>
      <c r="BZ39" s="336"/>
      <c r="CA39" s="336"/>
      <c r="CB39" s="336"/>
      <c r="CC39" s="336"/>
      <c r="CD39" s="336"/>
      <c r="CE39" s="336"/>
      <c r="CF39" s="336"/>
      <c r="CG39" s="336"/>
      <c r="CH39" s="336"/>
      <c r="CI39" s="336"/>
      <c r="CJ39" s="336"/>
      <c r="CK39" s="336"/>
      <c r="CL39" s="336"/>
      <c r="CM39" s="336"/>
      <c r="CN39" s="336"/>
      <c r="CO39" s="336"/>
      <c r="CP39" s="336"/>
      <c r="CQ39" s="336"/>
      <c r="CR39" s="336"/>
      <c r="CS39" s="336"/>
      <c r="CT39" s="336"/>
      <c r="CU39" s="336"/>
      <c r="CV39" s="336"/>
      <c r="CW39" s="336"/>
      <c r="CX39" s="336"/>
      <c r="CY39" s="336"/>
      <c r="CZ39" s="336"/>
      <c r="DA39" s="336">
        <v>1</v>
      </c>
      <c r="DB39" s="336"/>
      <c r="DC39" s="336"/>
      <c r="DD39" s="336"/>
      <c r="DE39" s="336"/>
      <c r="DF39" s="336"/>
      <c r="DG39" s="336">
        <v>1</v>
      </c>
      <c r="DH39" s="336">
        <v>1</v>
      </c>
      <c r="DI39" s="336"/>
      <c r="DJ39" s="336">
        <v>1</v>
      </c>
      <c r="DK39" s="336"/>
      <c r="DL39" s="336"/>
      <c r="DM39" s="336"/>
      <c r="DN39" s="336"/>
      <c r="DO39" s="336"/>
      <c r="DP39" s="336"/>
      <c r="DQ39" s="336"/>
      <c r="DR39" s="336"/>
      <c r="DS39" s="336"/>
      <c r="DT39" s="336"/>
      <c r="DU39" s="336"/>
      <c r="DW39" s="336">
        <f t="shared" si="80"/>
        <v>0</v>
      </c>
      <c r="DX39" s="336">
        <f t="shared" si="1"/>
        <v>0</v>
      </c>
      <c r="DY39" s="336">
        <f t="shared" si="2"/>
        <v>0</v>
      </c>
      <c r="DZ39" s="336">
        <f t="shared" si="3"/>
        <v>0</v>
      </c>
      <c r="EA39" s="336">
        <f t="shared" si="4"/>
        <v>0</v>
      </c>
      <c r="EB39" s="336">
        <f t="shared" si="5"/>
        <v>0</v>
      </c>
      <c r="EC39" s="336">
        <f t="shared" si="6"/>
        <v>0</v>
      </c>
      <c r="ED39" s="336">
        <f t="shared" si="7"/>
        <v>0</v>
      </c>
      <c r="EE39" s="336">
        <f t="shared" si="8"/>
        <v>0</v>
      </c>
      <c r="EF39" s="336">
        <f t="shared" si="9"/>
        <v>0</v>
      </c>
      <c r="EG39" s="336">
        <f t="shared" si="10"/>
        <v>0</v>
      </c>
      <c r="EH39" s="336">
        <f t="shared" si="11"/>
        <v>0</v>
      </c>
      <c r="EI39" s="336">
        <f t="shared" si="12"/>
        <v>0</v>
      </c>
      <c r="EJ39" s="336">
        <f t="shared" si="13"/>
        <v>0</v>
      </c>
      <c r="EK39" s="336">
        <f t="shared" si="14"/>
        <v>0</v>
      </c>
      <c r="EL39" s="336">
        <f t="shared" si="15"/>
        <v>0</v>
      </c>
      <c r="EM39" s="336">
        <f t="shared" si="16"/>
        <v>0</v>
      </c>
      <c r="EN39" s="336">
        <f t="shared" si="17"/>
        <v>0</v>
      </c>
      <c r="EO39" s="336">
        <f t="shared" si="18"/>
        <v>0</v>
      </c>
      <c r="EP39" s="336">
        <f t="shared" si="19"/>
        <v>0</v>
      </c>
      <c r="EQ39" s="336">
        <f t="shared" si="20"/>
        <v>0</v>
      </c>
      <c r="ER39" s="336">
        <f t="shared" si="21"/>
        <v>0</v>
      </c>
      <c r="ES39" s="336">
        <f t="shared" si="22"/>
        <v>0</v>
      </c>
      <c r="ET39" s="336">
        <f t="shared" si="22"/>
        <v>0</v>
      </c>
      <c r="EU39" s="336">
        <f t="shared" si="23"/>
        <v>0</v>
      </c>
      <c r="EV39" s="336">
        <f t="shared" si="24"/>
        <v>0</v>
      </c>
      <c r="EW39" s="336">
        <f t="shared" si="25"/>
        <v>0</v>
      </c>
      <c r="EX39" s="336">
        <f t="shared" si="26"/>
        <v>0</v>
      </c>
      <c r="EY39" s="336">
        <f t="shared" si="27"/>
        <v>0</v>
      </c>
      <c r="EZ39" s="336">
        <f t="shared" si="28"/>
        <v>0</v>
      </c>
      <c r="FA39" s="336">
        <f t="shared" si="29"/>
        <v>0</v>
      </c>
      <c r="FB39" s="336">
        <f t="shared" si="30"/>
        <v>0</v>
      </c>
      <c r="FC39" s="336">
        <f t="shared" si="31"/>
        <v>0</v>
      </c>
      <c r="FD39" s="336">
        <f t="shared" si="32"/>
        <v>0</v>
      </c>
      <c r="FE39" s="336">
        <f t="shared" si="33"/>
        <v>0</v>
      </c>
      <c r="FF39" s="336">
        <f t="shared" si="34"/>
        <v>0</v>
      </c>
      <c r="FG39" s="336">
        <f t="shared" si="35"/>
        <v>0</v>
      </c>
      <c r="FH39" s="336">
        <f t="shared" si="36"/>
        <v>0</v>
      </c>
      <c r="FI39" s="336">
        <f t="shared" si="37"/>
        <v>0</v>
      </c>
      <c r="FJ39" s="336">
        <f t="shared" si="38"/>
        <v>0</v>
      </c>
      <c r="FK39" s="336">
        <f t="shared" si="39"/>
        <v>0</v>
      </c>
      <c r="FL39" s="336">
        <f t="shared" si="40"/>
        <v>0</v>
      </c>
      <c r="FM39" s="336">
        <f t="shared" si="41"/>
        <v>0</v>
      </c>
      <c r="FN39" s="336">
        <f t="shared" si="42"/>
        <v>0</v>
      </c>
      <c r="FO39" s="336">
        <f t="shared" si="43"/>
        <v>0</v>
      </c>
      <c r="FP39" s="336">
        <f t="shared" si="44"/>
        <v>0</v>
      </c>
      <c r="FQ39" s="336">
        <f t="shared" si="45"/>
        <v>0</v>
      </c>
      <c r="FR39" s="336">
        <f t="shared" si="46"/>
        <v>0</v>
      </c>
      <c r="FS39" s="336">
        <f t="shared" si="47"/>
        <v>33</v>
      </c>
      <c r="FT39" s="336">
        <f t="shared" si="48"/>
        <v>0</v>
      </c>
      <c r="FU39" s="336">
        <f t="shared" si="49"/>
        <v>0</v>
      </c>
      <c r="FV39" s="336">
        <f t="shared" si="50"/>
        <v>0</v>
      </c>
      <c r="FW39" s="336">
        <f t="shared" si="51"/>
        <v>0</v>
      </c>
      <c r="FX39" s="336">
        <f t="shared" si="52"/>
        <v>0</v>
      </c>
      <c r="FY39" s="336">
        <f t="shared" si="53"/>
        <v>33</v>
      </c>
      <c r="FZ39" s="336">
        <f t="shared" si="54"/>
        <v>33</v>
      </c>
      <c r="GA39" s="336">
        <f t="shared" si="55"/>
        <v>0</v>
      </c>
      <c r="GB39" s="336">
        <f t="shared" si="56"/>
        <v>33</v>
      </c>
      <c r="GC39" s="336">
        <f t="shared" si="57"/>
        <v>0</v>
      </c>
      <c r="GD39" s="336">
        <f t="shared" si="58"/>
        <v>0</v>
      </c>
      <c r="GE39" s="336">
        <f t="shared" si="59"/>
        <v>0</v>
      </c>
      <c r="GF39" s="336">
        <f t="shared" si="60"/>
        <v>0</v>
      </c>
      <c r="GG39" s="336">
        <f t="shared" si="61"/>
        <v>0</v>
      </c>
      <c r="GH39" s="336">
        <f t="shared" si="62"/>
        <v>0</v>
      </c>
      <c r="GI39" s="336">
        <f t="shared" si="63"/>
        <v>0</v>
      </c>
      <c r="GJ39" s="336">
        <f t="shared" si="64"/>
        <v>0</v>
      </c>
      <c r="GK39" s="336">
        <f t="shared" si="65"/>
        <v>0</v>
      </c>
      <c r="GL39" s="336">
        <f t="shared" si="67"/>
        <v>0</v>
      </c>
      <c r="GM39" s="336">
        <f t="shared" si="66"/>
        <v>0</v>
      </c>
    </row>
    <row r="40" spans="1:195" ht="20.100000000000001" customHeight="1">
      <c r="A40" s="337">
        <f t="shared" si="220"/>
        <v>32</v>
      </c>
      <c r="B40" s="388" t="s">
        <v>527</v>
      </c>
      <c r="C40" s="338" t="str">
        <f t="shared" si="209"/>
        <v>PMCC-2</v>
      </c>
      <c r="D40" s="338" t="s">
        <v>1135</v>
      </c>
      <c r="E40" s="745" t="s">
        <v>387</v>
      </c>
      <c r="F40" s="388" t="s">
        <v>29</v>
      </c>
      <c r="G40" s="388" t="s">
        <v>329</v>
      </c>
      <c r="H40" s="742">
        <v>0.2</v>
      </c>
      <c r="I40" s="388" t="s">
        <v>330</v>
      </c>
      <c r="J40" s="388" t="s">
        <v>357</v>
      </c>
      <c r="K40" s="434">
        <v>230</v>
      </c>
      <c r="L40" s="401">
        <v>0.85</v>
      </c>
      <c r="M40" s="418">
        <v>0.95</v>
      </c>
      <c r="N40" s="392">
        <f t="shared" si="221"/>
        <v>1.0768609503297888</v>
      </c>
      <c r="O40" s="392">
        <f t="shared" si="222"/>
        <v>0</v>
      </c>
      <c r="P40" s="401" t="str">
        <f t="shared" si="223"/>
        <v>0.00</v>
      </c>
      <c r="Q40" s="418">
        <v>65</v>
      </c>
      <c r="R40" s="418">
        <v>0</v>
      </c>
      <c r="S40" s="418">
        <f t="shared" si="224"/>
        <v>0</v>
      </c>
      <c r="T40" s="401" t="s">
        <v>332</v>
      </c>
      <c r="U40" s="418" t="s">
        <v>333</v>
      </c>
      <c r="V40" s="401">
        <v>2.5</v>
      </c>
      <c r="W40" s="401" t="str">
        <f t="shared" si="301"/>
        <v>3C X 2.5</v>
      </c>
      <c r="X40" s="401" t="str">
        <f t="shared" ref="X40" si="473">(IF(J40="1Ph",W40,IF(J40="3Ph",(IF(G40="MOTOR",(CONCATENATE(W40,"+PE")),W40)))))</f>
        <v>3C X 2.5</v>
      </c>
      <c r="Y40" s="401" t="s">
        <v>358</v>
      </c>
      <c r="Z40" s="393">
        <f>IF(T40="AIR",VLOOKUP(W40,'Catalogue Aluminium'!$B$9:$G$93,2,FALSE),IF(T40="GROUND",VLOOKUP(W40,'Catalogue Aluminium'!$B$9:$G$93,3,FALSE),IF(T40="DUCT",VLOOKUP(W40,'Catalogue Aluminium'!$B$9:$G$93,4,FALSE),IF(T40="TRENCH",VLOOKUP(W40,'Catalogue Aluminium'!$B$9:$G$93,2,FALSE)))))</f>
        <v>28</v>
      </c>
      <c r="AA40" s="402">
        <f>VLOOKUP(W40,'Catalogue Aluminium'!$B$9:$G$93,5,FALSE)</f>
        <v>9.48</v>
      </c>
      <c r="AB40" s="402">
        <f>VLOOKUP(W40,'Catalogue Aluminium'!$B$9:$G$93,6,FALSE)</f>
        <v>0.1007</v>
      </c>
      <c r="AC40" s="401">
        <f>9.5+2.5</f>
        <v>12</v>
      </c>
      <c r="AD40" s="401">
        <f t="shared" si="302"/>
        <v>100</v>
      </c>
      <c r="AE40" s="401">
        <v>10</v>
      </c>
      <c r="AF40" s="401">
        <v>8</v>
      </c>
      <c r="AG40" s="401">
        <f t="shared" ref="AG40" si="474">ROUNDUP((SUM(AC40:AF40)*0.1),0)</f>
        <v>13</v>
      </c>
      <c r="AH40" s="436">
        <f t="shared" si="227"/>
        <v>143</v>
      </c>
      <c r="AI40" s="393">
        <f>IF(T40="AIR",'Catalogue Aluminium'!$K$9,IF(T40="TRENCH",'Catalogue Aluminium'!$K$12,"NA"))</f>
        <v>0.89</v>
      </c>
      <c r="AJ40" s="392">
        <f>IF(T40="Air",(IF(U40="1C",'Catalogue Aluminium'!$L$9,'Catalogue Aluminium'!$M$9)),IF(T40="DUCT",(IF($U40="1C",'Catalogue Aluminium'!$L$10,'Catalogue Aluminium'!$M$10)),IF(T40="GROUND",(IF($U40="1C",'Catalogue Aluminium'!$L$11,'Catalogue Aluminium'!$M$11)),IF(T40="TRENCH",(IF($U40="1C",'Catalogue Aluminium'!$L$12,'Catalogue Aluminium'!$M$12))))))</f>
        <v>0.66</v>
      </c>
      <c r="AK40" s="393" t="str">
        <f>IF(T40="Air",'Catalogue Aluminium'!$N$9,IF(T40="GROUND",'Catalogue Aluminium'!$N$10,IF(T40="DUCT",'Catalogue Aluminium'!$N$11,IF(T40="TRENCH",'Catalogue Aluminium'!$N$12,"NA"))))</f>
        <v>NA</v>
      </c>
      <c r="AL40" s="393" t="str">
        <f>IF(T40="Air",(IF(U40="1C",'Catalogue Aluminium'!$O$9,'Catalogue Aluminium'!$P$9)),IF(T40="DUCT",(IF($U40="1C",'Catalogue Aluminium'!$O$10,'Catalogue Aluminium'!$P$10)),IF(T40="GROUND",(IF($U40="1C",'Catalogue Aluminium'!$O$11,'Catalogue Aluminium'!$P$11)),IF(T40="TRENCH",(IF($U40="1C",'Catalogue Aluminium'!$O$12,'Catalogue Aluminium'!$P$12))))))</f>
        <v>NA</v>
      </c>
      <c r="AM40" s="393" t="str">
        <f>IF(T40="AIR","NA",IF(T40="TRENCH","NA",IF(T40="DUCT",IF(U40="1C",VLOOKUP(V40,'Catalogue Aluminium'!$Q$9:$S$28,2,FALSE),VLOOKUP(V40,'Catalogue Aluminium'!$Q$9:$S$28,3)),IF(T40="GROUND",IF(U40="1C",VLOOKUP(V40,'Catalogue Aluminium'!$Q$9:$S$28,2,FALSE),VLOOKUP(V40,'Catalogue Aluminium'!$Q$9:$S$28,3))))))</f>
        <v>NA</v>
      </c>
      <c r="AN40" s="437">
        <f t="shared" ref="AN40" si="475">IF(T40="AIR",AI40*AJ40,IF(T40="TRENCH",AI40*AJ40,IF(T40="DUCT",AJ40*AK40*AL40*AM40,IF(T40="GROUND",AJ40*AK40*AL40*AM40))))</f>
        <v>0.58740000000000003</v>
      </c>
      <c r="AO40" s="418">
        <f t="shared" ref="AO40" si="476">Z40*AN40</f>
        <v>16.447200000000002</v>
      </c>
      <c r="AP40" s="434">
        <f t="shared" ref="AP40" si="477">CEILING(((N40)/AO40),1)</f>
        <v>1</v>
      </c>
      <c r="AQ40" s="418" t="str">
        <f t="shared" ref="AQ40" si="478">IF(AO40*AP40&gt;=N40,"YES","NO")</f>
        <v>YES</v>
      </c>
      <c r="AR40" s="437">
        <f t="shared" ref="AR40" si="479">SQRT(3)*AH40*N40*((AA40*L40)+(AB40*SIN(ACOS(L40))))*100/(AP40*K40*1000)</f>
        <v>0.94060087041437102</v>
      </c>
      <c r="AS40" s="401" t="str">
        <f t="shared" ref="AS40" si="480">IF(G40="INCOMER",(IF(AR40&lt;=2,"YES","NO")),IF(G40="POWER",(IF(AR40&lt;=2.5,"YES","NO")),IF(G40="MOTOR",(IF(AR40&lt;=3,"YES","NO")))))</f>
        <v>YES</v>
      </c>
      <c r="AT40" s="437" t="str">
        <f t="shared" si="210"/>
        <v>NA</v>
      </c>
      <c r="AU40" s="401" t="str">
        <f t="shared" si="211"/>
        <v>NA</v>
      </c>
      <c r="AV40" s="503" t="str">
        <f t="shared" si="212"/>
        <v>1R x 0.6/1kV x 3C x 2.5 Sqmm</v>
      </c>
      <c r="AW40" s="503" t="str">
        <f t="shared" si="213"/>
        <v>1R x 0.6/1kV x 3C x 2.5 Sqmm</v>
      </c>
      <c r="AX40" s="401">
        <f t="shared" si="214"/>
        <v>143</v>
      </c>
      <c r="AY40" s="504"/>
      <c r="AZ40" s="504">
        <f t="shared" si="215"/>
        <v>2</v>
      </c>
      <c r="BA40" s="438" t="str">
        <f t="shared" si="216"/>
        <v>Q3RR1R1.A</v>
      </c>
      <c r="BB40" s="505">
        <f>VLOOKUP(W40,'Catalogue Aluminium'!$B$9:$H$93,7,FALSE)</f>
        <v>14</v>
      </c>
      <c r="BC40" s="439">
        <f t="shared" si="217"/>
        <v>14</v>
      </c>
      <c r="BE40" s="336"/>
      <c r="BF40" s="336"/>
      <c r="BG40" s="336"/>
      <c r="BH40" s="336"/>
      <c r="BI40" s="336"/>
      <c r="BJ40" s="336"/>
      <c r="BK40" s="336"/>
      <c r="BL40" s="336"/>
      <c r="BM40" s="336"/>
      <c r="BN40" s="336"/>
      <c r="BO40" s="336"/>
      <c r="BP40" s="336"/>
      <c r="BQ40" s="336"/>
      <c r="BR40" s="336"/>
      <c r="BS40" s="336"/>
      <c r="BT40" s="336"/>
      <c r="BU40" s="336"/>
      <c r="BV40" s="336"/>
      <c r="BW40" s="336"/>
      <c r="BX40" s="336"/>
      <c r="BY40" s="336"/>
      <c r="BZ40" s="336"/>
      <c r="CA40" s="336"/>
      <c r="CB40" s="336"/>
      <c r="CC40" s="336"/>
      <c r="CD40" s="336"/>
      <c r="CE40" s="336"/>
      <c r="CF40" s="336"/>
      <c r="CG40" s="336"/>
      <c r="CH40" s="336"/>
      <c r="CI40" s="336"/>
      <c r="CJ40" s="336"/>
      <c r="CK40" s="336"/>
      <c r="CL40" s="336"/>
      <c r="CM40" s="336"/>
      <c r="CN40" s="336"/>
      <c r="CO40" s="336"/>
      <c r="CP40" s="336"/>
      <c r="CQ40" s="336"/>
      <c r="CR40" s="336"/>
      <c r="CS40" s="336"/>
      <c r="CT40" s="336"/>
      <c r="CU40" s="336"/>
      <c r="CV40" s="336"/>
      <c r="CW40" s="336"/>
      <c r="CX40" s="336"/>
      <c r="CY40" s="336"/>
      <c r="CZ40" s="336"/>
      <c r="DA40" s="336">
        <v>1</v>
      </c>
      <c r="DB40" s="336"/>
      <c r="DC40" s="336"/>
      <c r="DD40" s="336"/>
      <c r="DE40" s="336"/>
      <c r="DF40" s="336"/>
      <c r="DG40" s="336">
        <v>1</v>
      </c>
      <c r="DH40" s="336">
        <v>1</v>
      </c>
      <c r="DI40" s="336"/>
      <c r="DJ40" s="336">
        <v>1</v>
      </c>
      <c r="DK40" s="336"/>
      <c r="DL40" s="336"/>
      <c r="DM40" s="336"/>
      <c r="DN40" s="336"/>
      <c r="DO40" s="336"/>
      <c r="DP40" s="336"/>
      <c r="DQ40" s="336"/>
      <c r="DR40" s="336"/>
      <c r="DS40" s="336"/>
      <c r="DT40" s="336"/>
      <c r="DU40" s="336"/>
      <c r="DW40" s="336">
        <f t="shared" ref="DW40" si="481">IF(BE40=1,($BC40*BE40),0)</f>
        <v>0</v>
      </c>
      <c r="DX40" s="336">
        <f t="shared" ref="DX40" si="482">IF(BF40=1,($BC40*BF40),0)</f>
        <v>0</v>
      </c>
      <c r="DY40" s="336">
        <f t="shared" ref="DY40" si="483">IF(BG40=1,($BC40*BG40),0)</f>
        <v>0</v>
      </c>
      <c r="DZ40" s="336">
        <f t="shared" ref="DZ40" si="484">IF(BH40=1,($BC40*BH40),0)</f>
        <v>0</v>
      </c>
      <c r="EA40" s="336">
        <f t="shared" ref="EA40" si="485">IF(BI40=1,($BC40*BI40),0)</f>
        <v>0</v>
      </c>
      <c r="EB40" s="336">
        <f t="shared" ref="EB40" si="486">IF(BJ40=1,($BC40*BJ40),0)</f>
        <v>0</v>
      </c>
      <c r="EC40" s="336">
        <f t="shared" ref="EC40" si="487">IF(BK40=1,($BC40*BK40),0)</f>
        <v>0</v>
      </c>
      <c r="ED40" s="336">
        <f t="shared" ref="ED40" si="488">IF(BL40=1,($BC40*BL40),0)</f>
        <v>0</v>
      </c>
      <c r="EE40" s="336">
        <f t="shared" ref="EE40" si="489">IF(BM40=1,($BC40*BM40),0)</f>
        <v>0</v>
      </c>
      <c r="EF40" s="336">
        <f t="shared" ref="EF40" si="490">IF(BN40=1,($BC40*BN40),0)</f>
        <v>0</v>
      </c>
      <c r="EG40" s="336">
        <f t="shared" ref="EG40" si="491">IF(BO40=1,($BC40*BO40),0)</f>
        <v>0</v>
      </c>
      <c r="EH40" s="336">
        <f t="shared" ref="EH40" si="492">IF(BP40=1,($BC40*BP40),0)</f>
        <v>0</v>
      </c>
      <c r="EI40" s="336">
        <f t="shared" ref="EI40" si="493">IF(BQ40=1,($BC40*BQ40),0)</f>
        <v>0</v>
      </c>
      <c r="EJ40" s="336">
        <f t="shared" ref="EJ40" si="494">IF(BR40=1,($BC40*BR40),0)</f>
        <v>0</v>
      </c>
      <c r="EK40" s="336">
        <f t="shared" ref="EK40" si="495">IF(BS40=1,($BC40*BS40),0)</f>
        <v>0</v>
      </c>
      <c r="EL40" s="336">
        <f t="shared" ref="EL40" si="496">IF(BT40=1,($BC40*BT40),0)</f>
        <v>0</v>
      </c>
      <c r="EM40" s="336">
        <f t="shared" ref="EM40" si="497">IF(BU40=1,($BC40*BU40),0)</f>
        <v>0</v>
      </c>
      <c r="EN40" s="336">
        <f t="shared" ref="EN40" si="498">IF(BV40=1,($BC40*BV40),0)</f>
        <v>0</v>
      </c>
      <c r="EO40" s="336">
        <f t="shared" ref="EO40" si="499">IF(BW40=1,($BC40*BW40),0)</f>
        <v>0</v>
      </c>
      <c r="EP40" s="336">
        <f t="shared" ref="EP40" si="500">IF(BX40=1,($BC40*BX40),0)</f>
        <v>0</v>
      </c>
      <c r="EQ40" s="336">
        <f t="shared" ref="EQ40" si="501">IF(BY40=1,($BC40*BY40),0)</f>
        <v>0</v>
      </c>
      <c r="ER40" s="336">
        <f t="shared" ref="ER40" si="502">IF(BZ40=1,($BC40*BZ40),0)</f>
        <v>0</v>
      </c>
      <c r="ES40" s="336">
        <f t="shared" ref="ES40" si="503">IF(CA40=1,($BC40*CA40),0)</f>
        <v>0</v>
      </c>
      <c r="ET40" s="336">
        <f t="shared" si="22"/>
        <v>0</v>
      </c>
      <c r="EU40" s="336">
        <f t="shared" ref="EU40" si="504">IF(CC40=1,($BC40*CC40),0)</f>
        <v>0</v>
      </c>
      <c r="EV40" s="336">
        <f t="shared" ref="EV40" si="505">IF(CD40=1,($BC40*CD40),0)</f>
        <v>0</v>
      </c>
      <c r="EW40" s="336">
        <f t="shared" ref="EW40" si="506">IF(CE40=1,($BC40*CE40),0)</f>
        <v>0</v>
      </c>
      <c r="EX40" s="336">
        <f t="shared" ref="EX40" si="507">IF(CF40=1,($BC40*CF40),0)</f>
        <v>0</v>
      </c>
      <c r="EY40" s="336">
        <f t="shared" ref="EY40" si="508">IF(CG40=1,($BC40*CG40),0)</f>
        <v>0</v>
      </c>
      <c r="EZ40" s="336">
        <f t="shared" ref="EZ40" si="509">IF(CH40=1,($BC40*CH40),0)</f>
        <v>0</v>
      </c>
      <c r="FA40" s="336">
        <f t="shared" ref="FA40" si="510">IF(CI40=1,($BC40*CI40),0)</f>
        <v>0</v>
      </c>
      <c r="FB40" s="336">
        <f t="shared" ref="FB40" si="511">IF(CJ40=1,($BC40*CJ40),0)</f>
        <v>0</v>
      </c>
      <c r="FC40" s="336">
        <f t="shared" ref="FC40" si="512">IF(CK40=1,($BC40*CK40),0)</f>
        <v>0</v>
      </c>
      <c r="FD40" s="336">
        <f t="shared" ref="FD40" si="513">IF(CL40=1,($BC40*CL40),0)</f>
        <v>0</v>
      </c>
      <c r="FE40" s="336">
        <f t="shared" ref="FE40" si="514">IF(CM40=1,($BC40*CM40),0)</f>
        <v>0</v>
      </c>
      <c r="FF40" s="336">
        <f t="shared" ref="FF40" si="515">IF(CN40=1,($BC40*CN40),0)</f>
        <v>0</v>
      </c>
      <c r="FG40" s="336">
        <f t="shared" ref="FG40" si="516">IF(CO40=1,($BC40*CO40),0)</f>
        <v>0</v>
      </c>
      <c r="FH40" s="336">
        <f t="shared" ref="FH40" si="517">IF(CP40=1,($BC40*CP40),0)</f>
        <v>0</v>
      </c>
      <c r="FI40" s="336">
        <f t="shared" ref="FI40" si="518">IF(CQ40=1,($BC40*CQ40),0)</f>
        <v>0</v>
      </c>
      <c r="FJ40" s="336">
        <f t="shared" ref="FJ40" si="519">IF(CR40=1,($BC40*CR40),0)</f>
        <v>0</v>
      </c>
      <c r="FK40" s="336">
        <f t="shared" ref="FK40" si="520">IF(CS40=1,($BC40*CS40),0)</f>
        <v>0</v>
      </c>
      <c r="FL40" s="336">
        <f t="shared" ref="FL40" si="521">IF(CT40=1,($BC40*CT40),0)</f>
        <v>0</v>
      </c>
      <c r="FM40" s="336">
        <f t="shared" ref="FM40" si="522">IF(CU40=1,($BC40*CU40),0)</f>
        <v>0</v>
      </c>
      <c r="FN40" s="336">
        <f t="shared" ref="FN40" si="523">IF(CV40=1,($BC40*CV40),0)</f>
        <v>0</v>
      </c>
      <c r="FO40" s="336">
        <f t="shared" ref="FO40" si="524">IF(CW40=1,($BC40*CW40),0)</f>
        <v>0</v>
      </c>
      <c r="FP40" s="336">
        <f t="shared" ref="FP40" si="525">IF(CX40=1,($BC40*CX40),0)</f>
        <v>0</v>
      </c>
      <c r="FQ40" s="336">
        <f t="shared" ref="FQ40" si="526">IF(CY40=1,($BC40*CY40),0)</f>
        <v>0</v>
      </c>
      <c r="FR40" s="336">
        <f t="shared" ref="FR40" si="527">IF(CZ40=1,($BC40*CZ40),0)</f>
        <v>0</v>
      </c>
      <c r="FS40" s="336">
        <f t="shared" ref="FS40" si="528">IF(DA40=1,($BC40*DA40),0)</f>
        <v>14</v>
      </c>
      <c r="FT40" s="336">
        <f t="shared" ref="FT40" si="529">IF(DB40=1,($BC40*DB40),0)</f>
        <v>0</v>
      </c>
      <c r="FU40" s="336">
        <f t="shared" si="49"/>
        <v>0</v>
      </c>
      <c r="FV40" s="336">
        <f t="shared" si="50"/>
        <v>0</v>
      </c>
      <c r="FW40" s="336">
        <f t="shared" si="51"/>
        <v>0</v>
      </c>
      <c r="FX40" s="336">
        <f t="shared" si="52"/>
        <v>0</v>
      </c>
      <c r="FY40" s="336">
        <f t="shared" si="53"/>
        <v>14</v>
      </c>
      <c r="FZ40" s="336">
        <f t="shared" si="54"/>
        <v>14</v>
      </c>
      <c r="GA40" s="336">
        <f t="shared" si="55"/>
        <v>0</v>
      </c>
      <c r="GB40" s="336">
        <f t="shared" si="56"/>
        <v>14</v>
      </c>
      <c r="GC40" s="336">
        <f t="shared" si="57"/>
        <v>0</v>
      </c>
      <c r="GD40" s="336">
        <f t="shared" si="58"/>
        <v>0</v>
      </c>
      <c r="GE40" s="336">
        <f t="shared" si="59"/>
        <v>0</v>
      </c>
      <c r="GF40" s="336">
        <f t="shared" si="60"/>
        <v>0</v>
      </c>
      <c r="GG40" s="336">
        <f t="shared" si="61"/>
        <v>0</v>
      </c>
      <c r="GH40" s="336">
        <f t="shared" si="62"/>
        <v>0</v>
      </c>
      <c r="GI40" s="336">
        <f t="shared" si="63"/>
        <v>0</v>
      </c>
      <c r="GJ40" s="336">
        <f t="shared" si="64"/>
        <v>0</v>
      </c>
      <c r="GK40" s="336">
        <f t="shared" si="65"/>
        <v>0</v>
      </c>
      <c r="GL40" s="336">
        <f t="shared" si="67"/>
        <v>0</v>
      </c>
      <c r="GM40" s="336">
        <f t="shared" si="66"/>
        <v>0</v>
      </c>
    </row>
    <row r="41" spans="1:195" s="869" customFormat="1" ht="20.100000000000001" customHeight="1">
      <c r="A41" s="406">
        <f t="shared" si="220"/>
        <v>33</v>
      </c>
      <c r="B41" s="406" t="s">
        <v>527</v>
      </c>
      <c r="C41" s="787" t="s">
        <v>1089</v>
      </c>
      <c r="D41" s="787" t="s">
        <v>1132</v>
      </c>
      <c r="E41" s="788" t="s">
        <v>387</v>
      </c>
      <c r="F41" s="406" t="s">
        <v>28</v>
      </c>
      <c r="G41" s="406" t="s">
        <v>350</v>
      </c>
      <c r="H41" s="583">
        <v>15</v>
      </c>
      <c r="I41" s="406" t="s">
        <v>330</v>
      </c>
      <c r="J41" s="406" t="s">
        <v>331</v>
      </c>
      <c r="K41" s="585">
        <v>400</v>
      </c>
      <c r="L41" s="409">
        <v>0.85</v>
      </c>
      <c r="M41" s="583">
        <v>0.95400000000000007</v>
      </c>
      <c r="N41" s="407">
        <v>53.400592447532851</v>
      </c>
      <c r="O41" s="407">
        <v>320.40355468519709</v>
      </c>
      <c r="P41" s="409">
        <v>0.2</v>
      </c>
      <c r="Q41" s="583">
        <v>65</v>
      </c>
      <c r="R41" s="583">
        <v>0</v>
      </c>
      <c r="S41" s="583">
        <v>0</v>
      </c>
      <c r="T41" s="409" t="s">
        <v>332</v>
      </c>
      <c r="U41" s="583" t="s">
        <v>333</v>
      </c>
      <c r="V41" s="409">
        <v>4</v>
      </c>
      <c r="W41" s="409" t="s">
        <v>168</v>
      </c>
      <c r="X41" s="409" t="s">
        <v>1718</v>
      </c>
      <c r="Y41" s="409" t="s">
        <v>358</v>
      </c>
      <c r="Z41" s="408">
        <v>221</v>
      </c>
      <c r="AA41" s="410">
        <v>0.41</v>
      </c>
      <c r="AB41" s="410">
        <v>7.3400000000000007E-2</v>
      </c>
      <c r="AC41" s="409">
        <v>22</v>
      </c>
      <c r="AD41" s="409">
        <v>100</v>
      </c>
      <c r="AE41" s="409">
        <v>10</v>
      </c>
      <c r="AF41" s="409">
        <v>8</v>
      </c>
      <c r="AG41" s="409">
        <v>14</v>
      </c>
      <c r="AH41" s="865">
        <f t="shared" si="227"/>
        <v>154</v>
      </c>
      <c r="AI41" s="408">
        <f>IF(T41="AIR",'Catalogue Aluminium'!$K$9,IF(T41="TRENCH",'Catalogue Aluminium'!$K$12,"NA"))</f>
        <v>0.89</v>
      </c>
      <c r="AJ41" s="583">
        <f>IF(T41="Air",(IF(U41="1C",'Catalogue Aluminium'!$L$9,'Catalogue Aluminium'!$M$9)),IF(T41="DUCT",(IF($U41="1C",'Catalogue Aluminium'!$L$10,'Catalogue Aluminium'!$M$10)),IF(T41="GROUND",(IF($U41="1C",'Catalogue Aluminium'!$L$11,'Catalogue Aluminium'!$M$11)),IF(T41="TRENCH",(IF($U41="1C",'Catalogue Aluminium'!$L$12,'Catalogue Aluminium'!$M$12))))))</f>
        <v>0.66</v>
      </c>
      <c r="AK41" s="585" t="str">
        <f>IF(T41="Air",'Catalogue Aluminium'!$N$9,IF(T41="GROUND",'Catalogue Aluminium'!$N$10,IF(T41="DUCT",'Catalogue Aluminium'!$N$11,IF(T41="TRENCH",'Catalogue Aluminium'!$N$12,"NA"))))</f>
        <v>NA</v>
      </c>
      <c r="AL41" s="583" t="str">
        <f>IF(T41="Air",(IF(U41="1C",'Catalogue Aluminium'!$O$9,'Catalogue Aluminium'!$P$9)),IF(T41="DUCT",(IF($U41="1C",'Catalogue Aluminium'!$O$10,'Catalogue Aluminium'!$P$10)),IF(T41="GROUND",(IF($U41="1C",'Catalogue Aluminium'!$O$11,'Catalogue Aluminium'!$P$11)),IF(T41="TRENCH",(IF($U41="1C",'Catalogue Aluminium'!$O$12,'Catalogue Aluminium'!$P$12))))))</f>
        <v>NA</v>
      </c>
      <c r="AM41" s="584" t="str">
        <f>IF(T41="AIR","NA",IF(T41="TRENCH","NA",IF(T41="DUCT",IF(U41="1C",VLOOKUP(V41,'Catalogue Aluminium'!$Q$9:$S$28,2,FALSE),VLOOKUP(V41,'Catalogue Aluminium'!$Q$9:$S$28,3)),IF(T41="GROUND",IF(U41="1C",VLOOKUP(V41,'Catalogue Aluminium'!$Q$9:$S$28,2,FALSE),VLOOKUP(V41,'Catalogue Aluminium'!$Q$9:$S$28,3))))))</f>
        <v>NA</v>
      </c>
      <c r="AN41" s="409">
        <f t="shared" ref="AN41:AN42" si="530">IF(T41="AIR",AI41*AJ41,IF(T41="TRENCH",AI41*AJ41,IF(T41="DUCT",AJ41*AK41*AL41*AM41,IF(T41="GROUND",AJ41*AK41*AL41*AM41))))</f>
        <v>0.58740000000000003</v>
      </c>
      <c r="AO41" s="584">
        <f t="shared" ref="AO41:AO42" si="531">Z41*AN41</f>
        <v>129.81540000000001</v>
      </c>
      <c r="AP41" s="409">
        <f t="shared" ref="AP41:AP42" si="532">CEILING(((N41)/AO41),1)</f>
        <v>1</v>
      </c>
      <c r="AQ41" s="586" t="str">
        <f t="shared" ref="AQ41:AQ42" si="533">IF(AO41*AP41&gt;=N41,"YES","NO")</f>
        <v>YES</v>
      </c>
      <c r="AR41" s="586">
        <f t="shared" ref="AR41:AR42" si="534">SQRT(3)*AH41*N41*((AA41*L41)+(AB41*SIN(ACOS(L41))))*100/(AP41*K41*1000)</f>
        <v>1.3786831719892627</v>
      </c>
      <c r="AS41" s="409" t="str">
        <f t="shared" ref="AS41:AS42" si="535">IF(G41="INCOMER",(IF(AR41&lt;=2,"YES","NO")),IF(G41="POWER",(IF(AR41&lt;=2.5,"YES","NO")),IF(G41="MOTOR",(IF(AR41&lt;=3,"YES","NO")))))</f>
        <v>YES</v>
      </c>
      <c r="AT41" s="866">
        <f t="shared" ref="AT41:AT42" si="536">IF(G41="MOTOR",(SQRT(3)*AH41*O41*((AA41*P41)+(AB41*SIN(ACOS(P41))))*100/(AP41*K41*1000)),"NA")</f>
        <v>3.2885566353612417</v>
      </c>
      <c r="AU41" s="866" t="str">
        <f t="shared" ref="AU41:AU42" si="537">IF(G41="MOTOR",IF(AT41&lt;=15,"YES","NO"),"NA")</f>
        <v>YES</v>
      </c>
      <c r="AV41" s="867" t="str">
        <f t="shared" ref="AV41:AV42" si="538">IF(U41="1C",CONCATENATE(AP41,"R x ",Y41,"kV x ",U41," x ",V41," Sqmm/Phase"),CONCATENATE(AP41,"R x ",0.6,"/1kV x ",U41," x ",V41," Sqmm"))</f>
        <v>1R x 0.6/1kV x 3C x 4 Sqmm</v>
      </c>
      <c r="AW41" s="868" t="str">
        <f t="shared" ref="AW41:AW42" si="539">IF(U41="1C",CONCATENATE(AP41,"R x ",Y41,"kV x ",U41," x ",V41," Sqmm/Phase"),CONCATENATE(AP41,"R x ",0.6,"/1kV x ",U41," x ",V41,(IF(G41="MOTOR","+PE",""))," Sqmm"))</f>
        <v>1R x 0.6/1kV x 3C x 4+PE Sqmm</v>
      </c>
      <c r="AX41" s="789">
        <f t="shared" ref="AX41:AX42" si="540">(IF(K41=400,(IF(U41="1C",(4*AH41*AP41),(AH41*AP41))),IF(K41=230,(AH41*AP41))))</f>
        <v>154</v>
      </c>
      <c r="AY41" s="866"/>
      <c r="AZ41" s="866">
        <f t="shared" ref="AZ41:AZ42" si="541">IF(U41="1C",(3*AP41*2),(AP41*2))</f>
        <v>2</v>
      </c>
      <c r="BA41" s="867" t="str">
        <f t="shared" ref="BA41:BA42" si="542">CONCATENATE(IF(BE41=1,BE$4,""),IF(BF41=1,BF$4,""),IF(BG41=1,BG$4,""),IF(BH41=1,BH$4,""),IF(BI41=1,BI$4,""),IF(BJ41=1,BJ$4,""),IF(BK41=1,BK$4,""),IF(BL41=1,BL$4,""),IF(BM41=1,BM$4,""),IF(BN41=1,BN$4,""),IF(BO41=1,BO$4,""),IF(BP41=1,BP$4,""),IF(BQ41=1,BQ$4,""),IF(BR41=1,BR$4,""),IF(BS41=1,BS$4,""),IF(BT41=1,BT$4,""),IF(BU41=1,BU$4,""),IF(BV41=1,BV$4,""),IF(BW41=1,BW$4,""),IF(BX41=1,BX$4,""),IF(BY41=1,BY$4,""),IF(BZ41=1,BZ$4,""),IF(CA41=1,CA$4,""),IF(CB41=1,CB$4,""),IF(CC41=1,CC$4,""),IF(CD41=1,CD$4,""),IF(CE41=1,CE$4,""),IF(CF41=1,CF$4,""),IF(CG41=1,CG$4,""),IF(CH41=1,CH$4,""),IF(CI41=1,CI$4,""),IF(CJ41=1,CJ$4,""),IF(CK41=1,CK$4,""),IF(CL41=1,CL$4,""),IF(CM41=1,CM$4,""),IF(CN41=1,CN$4,""),IF(CO41=1,CO$4,""),IF(CP41=1,CP$4,""),IF(CQ41=1,CQ$4,""),IF(CR41=1,CR$4,""),IF(CS41=1,CS$4,""),IF(CT41=1,CT$4,""),IF(CU41=1,CU$4,""),IF(CV41=1,CV$4,""),IF(CW41=1,CW$4,""),IF(CX41=1,CX$4,""),IF(CY41=1,CY$4,""),IF(CZ41=1,CZ$4,""),IF(DA41=1,DA$4,""),IF(DB41=1,DB$4,""),IF(DC41=1,DC$4,""),IF(DD41=1,DD$4,""),IF(DE41=1,DE$4,""),IF(DF41=1,DF$4,""),IF(DG41=1,DG$4,""),IF(DH41=1,DH$4,""),IF(DI41=1,DI$4,""),IF(DJ41=1,DJ$4,""),IF(DK41=1,DK$4,""),IF(DL41=1,DL$4,""),IF(DM41=1,DM$4,""),IF(DN41=1,DN$4,""),IF(DO41=1,DO$4,""),IF(DP41=1,DP$4,""),IF(DQ41=1,DQ$4,""),IF(DR41=1,DR$4,""),IF(DS41=1,DS$4,""),IF(DT41=1,DT$4,""),IF(DU41=1,DU$4,""))</f>
        <v/>
      </c>
      <c r="BB41" s="868">
        <f>VLOOKUP(W41,'Catalogue Aluminium'!$B$9:$H$93,7,FALSE)</f>
        <v>33</v>
      </c>
      <c r="BC41" s="789">
        <f t="shared" ref="BC41:BC42" si="543">AP41*BB41</f>
        <v>33</v>
      </c>
      <c r="BE41" s="587"/>
      <c r="BF41" s="587"/>
      <c r="BG41" s="587"/>
      <c r="BH41" s="587"/>
      <c r="BI41" s="587"/>
      <c r="BJ41" s="587"/>
      <c r="BK41" s="587"/>
      <c r="BL41" s="587"/>
      <c r="BM41" s="587"/>
      <c r="BN41" s="587"/>
      <c r="BO41" s="587"/>
      <c r="BP41" s="587"/>
      <c r="BQ41" s="587"/>
      <c r="BR41" s="587"/>
      <c r="BS41" s="587"/>
      <c r="BT41" s="587"/>
      <c r="BU41" s="587"/>
      <c r="BV41" s="587"/>
      <c r="BW41" s="587"/>
      <c r="BX41" s="587"/>
      <c r="BY41" s="587"/>
      <c r="BZ41" s="587"/>
      <c r="CA41" s="587"/>
      <c r="CB41" s="587"/>
      <c r="CC41" s="587"/>
      <c r="CD41" s="587"/>
      <c r="CE41" s="587"/>
      <c r="CF41" s="587"/>
      <c r="CG41" s="587"/>
      <c r="CH41" s="587"/>
      <c r="CI41" s="587"/>
      <c r="CJ41" s="587"/>
      <c r="CK41" s="587"/>
      <c r="CL41" s="587"/>
      <c r="CM41" s="587"/>
      <c r="CN41" s="587"/>
      <c r="CO41" s="587"/>
      <c r="CP41" s="587"/>
      <c r="CQ41" s="587"/>
      <c r="CR41" s="587"/>
      <c r="CS41" s="587"/>
      <c r="CT41" s="587"/>
      <c r="CU41" s="587"/>
      <c r="CV41" s="587"/>
      <c r="CW41" s="587"/>
      <c r="CX41" s="587"/>
      <c r="CY41" s="587"/>
      <c r="CZ41" s="587"/>
      <c r="DA41" s="587"/>
      <c r="DB41" s="587"/>
      <c r="DC41" s="587"/>
      <c r="DD41" s="587"/>
      <c r="DE41" s="587"/>
      <c r="DF41" s="587"/>
      <c r="DG41" s="587"/>
      <c r="DH41" s="587"/>
      <c r="DI41" s="587"/>
      <c r="DJ41" s="587"/>
      <c r="DK41" s="587"/>
      <c r="DL41" s="587"/>
      <c r="DM41" s="587"/>
      <c r="DN41" s="587"/>
      <c r="DO41" s="587"/>
      <c r="DP41" s="587"/>
      <c r="DQ41" s="587"/>
      <c r="DR41" s="587"/>
      <c r="DS41" s="587"/>
      <c r="DT41" s="587"/>
      <c r="DU41" s="587"/>
      <c r="DW41" s="587"/>
      <c r="DX41" s="587"/>
      <c r="DY41" s="587"/>
      <c r="DZ41" s="587"/>
      <c r="EA41" s="587"/>
      <c r="EB41" s="587"/>
      <c r="EC41" s="587"/>
      <c r="ED41" s="587"/>
      <c r="EE41" s="587"/>
      <c r="EF41" s="587"/>
      <c r="EG41" s="587"/>
      <c r="EH41" s="587"/>
      <c r="EI41" s="587"/>
      <c r="EJ41" s="587"/>
      <c r="EK41" s="587"/>
      <c r="EL41" s="587"/>
      <c r="EM41" s="587"/>
      <c r="EN41" s="587"/>
      <c r="EO41" s="587"/>
      <c r="EP41" s="587"/>
      <c r="EQ41" s="587"/>
      <c r="ER41" s="587"/>
      <c r="ES41" s="587"/>
      <c r="ET41" s="587"/>
      <c r="EU41" s="587"/>
      <c r="EV41" s="587"/>
      <c r="EW41" s="587"/>
      <c r="EX41" s="587"/>
      <c r="EY41" s="587"/>
      <c r="EZ41" s="587"/>
      <c r="FA41" s="587"/>
      <c r="FB41" s="587"/>
      <c r="FC41" s="587"/>
      <c r="FD41" s="587"/>
      <c r="FE41" s="587"/>
      <c r="FF41" s="587"/>
      <c r="FG41" s="587"/>
      <c r="FH41" s="587"/>
      <c r="FI41" s="587"/>
      <c r="FJ41" s="587"/>
      <c r="FK41" s="587"/>
      <c r="FL41" s="587"/>
      <c r="FM41" s="587"/>
      <c r="FN41" s="587"/>
      <c r="FO41" s="587"/>
      <c r="FP41" s="587"/>
      <c r="FQ41" s="587"/>
      <c r="FR41" s="587"/>
      <c r="FS41" s="587"/>
      <c r="FT41" s="587"/>
      <c r="FU41" s="587"/>
      <c r="FV41" s="587"/>
      <c r="FW41" s="587"/>
      <c r="FX41" s="587"/>
      <c r="FY41" s="587"/>
      <c r="FZ41" s="587"/>
      <c r="GA41" s="587"/>
      <c r="GB41" s="587"/>
      <c r="GC41" s="587"/>
      <c r="GD41" s="587"/>
      <c r="GE41" s="587"/>
      <c r="GF41" s="587"/>
      <c r="GG41" s="587"/>
      <c r="GH41" s="587"/>
      <c r="GI41" s="587"/>
      <c r="GJ41" s="587"/>
      <c r="GK41" s="587"/>
      <c r="GL41" s="587"/>
      <c r="GM41" s="587"/>
    </row>
    <row r="42" spans="1:195" s="869" customFormat="1" ht="20.100000000000001" customHeight="1">
      <c r="A42" s="406">
        <f t="shared" si="220"/>
        <v>34</v>
      </c>
      <c r="B42" s="406" t="s">
        <v>527</v>
      </c>
      <c r="C42" s="787" t="s">
        <v>1089</v>
      </c>
      <c r="D42" s="787" t="s">
        <v>1132</v>
      </c>
      <c r="E42" s="788" t="s">
        <v>387</v>
      </c>
      <c r="F42" s="406" t="s">
        <v>28</v>
      </c>
      <c r="G42" s="406" t="s">
        <v>350</v>
      </c>
      <c r="H42" s="583">
        <v>15</v>
      </c>
      <c r="I42" s="406" t="s">
        <v>330</v>
      </c>
      <c r="J42" s="406" t="s">
        <v>331</v>
      </c>
      <c r="K42" s="585">
        <v>400</v>
      </c>
      <c r="L42" s="409">
        <v>0.85</v>
      </c>
      <c r="M42" s="583">
        <v>0.95400000000000007</v>
      </c>
      <c r="N42" s="407">
        <v>53.400592447532851</v>
      </c>
      <c r="O42" s="407">
        <v>320.40355468519709</v>
      </c>
      <c r="P42" s="409">
        <v>0.2</v>
      </c>
      <c r="Q42" s="583">
        <v>65</v>
      </c>
      <c r="R42" s="583">
        <v>0</v>
      </c>
      <c r="S42" s="583">
        <v>0</v>
      </c>
      <c r="T42" s="409" t="s">
        <v>332</v>
      </c>
      <c r="U42" s="583" t="s">
        <v>333</v>
      </c>
      <c r="V42" s="409">
        <v>4</v>
      </c>
      <c r="W42" s="409" t="s">
        <v>168</v>
      </c>
      <c r="X42" s="409" t="s">
        <v>1718</v>
      </c>
      <c r="Y42" s="409" t="s">
        <v>358</v>
      </c>
      <c r="Z42" s="408">
        <v>221</v>
      </c>
      <c r="AA42" s="410">
        <v>0.41</v>
      </c>
      <c r="AB42" s="410">
        <v>7.3400000000000007E-2</v>
      </c>
      <c r="AC42" s="409">
        <v>22</v>
      </c>
      <c r="AD42" s="409">
        <v>100</v>
      </c>
      <c r="AE42" s="409">
        <v>10</v>
      </c>
      <c r="AF42" s="409">
        <v>8</v>
      </c>
      <c r="AG42" s="409">
        <v>14</v>
      </c>
      <c r="AH42" s="865">
        <f t="shared" si="227"/>
        <v>154</v>
      </c>
      <c r="AI42" s="408">
        <f>IF(T42="AIR",'Catalogue Aluminium'!$K$9,IF(T42="TRENCH",'Catalogue Aluminium'!$K$12,"NA"))</f>
        <v>0.89</v>
      </c>
      <c r="AJ42" s="583">
        <f>IF(T42="Air",(IF(U42="1C",'Catalogue Aluminium'!$L$9,'Catalogue Aluminium'!$M$9)),IF(T42="DUCT",(IF($U42="1C",'Catalogue Aluminium'!$L$10,'Catalogue Aluminium'!$M$10)),IF(T42="GROUND",(IF($U42="1C",'Catalogue Aluminium'!$L$11,'Catalogue Aluminium'!$M$11)),IF(T42="TRENCH",(IF($U42="1C",'Catalogue Aluminium'!$L$12,'Catalogue Aluminium'!$M$12))))))</f>
        <v>0.66</v>
      </c>
      <c r="AK42" s="585" t="str">
        <f>IF(T42="Air",'Catalogue Aluminium'!$N$9,IF(T42="GROUND",'Catalogue Aluminium'!$N$10,IF(T42="DUCT",'Catalogue Aluminium'!$N$11,IF(T42="TRENCH",'Catalogue Aluminium'!$N$12,"NA"))))</f>
        <v>NA</v>
      </c>
      <c r="AL42" s="583" t="str">
        <f>IF(T42="Air",(IF(U42="1C",'Catalogue Aluminium'!$O$9,'Catalogue Aluminium'!$P$9)),IF(T42="DUCT",(IF($U42="1C",'Catalogue Aluminium'!$O$10,'Catalogue Aluminium'!$P$10)),IF(T42="GROUND",(IF($U42="1C",'Catalogue Aluminium'!$O$11,'Catalogue Aluminium'!$P$11)),IF(T42="TRENCH",(IF($U42="1C",'Catalogue Aluminium'!$O$12,'Catalogue Aluminium'!$P$12))))))</f>
        <v>NA</v>
      </c>
      <c r="AM42" s="584" t="str">
        <f>IF(T42="AIR","NA",IF(T42="TRENCH","NA",IF(T42="DUCT",IF(U42="1C",VLOOKUP(V42,'Catalogue Aluminium'!$Q$9:$S$28,2,FALSE),VLOOKUP(V42,'Catalogue Aluminium'!$Q$9:$S$28,3)),IF(T42="GROUND",IF(U42="1C",VLOOKUP(V42,'Catalogue Aluminium'!$Q$9:$S$28,2,FALSE),VLOOKUP(V42,'Catalogue Aluminium'!$Q$9:$S$28,3))))))</f>
        <v>NA</v>
      </c>
      <c r="AN42" s="409">
        <f t="shared" si="530"/>
        <v>0.58740000000000003</v>
      </c>
      <c r="AO42" s="584">
        <f t="shared" si="531"/>
        <v>129.81540000000001</v>
      </c>
      <c r="AP42" s="409">
        <f t="shared" si="532"/>
        <v>1</v>
      </c>
      <c r="AQ42" s="586" t="str">
        <f t="shared" si="533"/>
        <v>YES</v>
      </c>
      <c r="AR42" s="586">
        <f t="shared" si="534"/>
        <v>1.3786831719892627</v>
      </c>
      <c r="AS42" s="409" t="str">
        <f t="shared" si="535"/>
        <v>YES</v>
      </c>
      <c r="AT42" s="866">
        <f t="shared" si="536"/>
        <v>3.2885566353612417</v>
      </c>
      <c r="AU42" s="866" t="str">
        <f t="shared" si="537"/>
        <v>YES</v>
      </c>
      <c r="AV42" s="867" t="str">
        <f t="shared" si="538"/>
        <v>1R x 0.6/1kV x 3C x 4 Sqmm</v>
      </c>
      <c r="AW42" s="868" t="str">
        <f t="shared" si="539"/>
        <v>1R x 0.6/1kV x 3C x 4+PE Sqmm</v>
      </c>
      <c r="AX42" s="789">
        <f t="shared" si="540"/>
        <v>154</v>
      </c>
      <c r="AY42" s="866"/>
      <c r="AZ42" s="866">
        <f t="shared" si="541"/>
        <v>2</v>
      </c>
      <c r="BA42" s="867" t="str">
        <f t="shared" si="542"/>
        <v/>
      </c>
      <c r="BB42" s="868">
        <f>VLOOKUP(W42,'Catalogue Aluminium'!$B$9:$H$93,7,FALSE)</f>
        <v>33</v>
      </c>
      <c r="BC42" s="789">
        <f t="shared" si="543"/>
        <v>33</v>
      </c>
      <c r="BE42" s="587"/>
      <c r="BF42" s="587"/>
      <c r="BG42" s="587"/>
      <c r="BH42" s="587"/>
      <c r="BI42" s="587"/>
      <c r="BJ42" s="587"/>
      <c r="BK42" s="587"/>
      <c r="BL42" s="587"/>
      <c r="BM42" s="587"/>
      <c r="BN42" s="587"/>
      <c r="BO42" s="587"/>
      <c r="BP42" s="587"/>
      <c r="BQ42" s="587"/>
      <c r="BR42" s="587"/>
      <c r="BS42" s="587"/>
      <c r="BT42" s="587"/>
      <c r="BU42" s="587"/>
      <c r="BV42" s="587"/>
      <c r="BW42" s="587"/>
      <c r="BX42" s="587"/>
      <c r="BY42" s="587"/>
      <c r="BZ42" s="587"/>
      <c r="CA42" s="587"/>
      <c r="CB42" s="587"/>
      <c r="CC42" s="587"/>
      <c r="CD42" s="587"/>
      <c r="CE42" s="587"/>
      <c r="CF42" s="587"/>
      <c r="CG42" s="587"/>
      <c r="CH42" s="587"/>
      <c r="CI42" s="587"/>
      <c r="CJ42" s="587"/>
      <c r="CK42" s="587"/>
      <c r="CL42" s="587"/>
      <c r="CM42" s="587"/>
      <c r="CN42" s="587"/>
      <c r="CO42" s="587"/>
      <c r="CP42" s="587"/>
      <c r="CQ42" s="587"/>
      <c r="CR42" s="587"/>
      <c r="CS42" s="587"/>
      <c r="CT42" s="587"/>
      <c r="CU42" s="587"/>
      <c r="CV42" s="587"/>
      <c r="CW42" s="587"/>
      <c r="CX42" s="587"/>
      <c r="CY42" s="587"/>
      <c r="CZ42" s="587"/>
      <c r="DA42" s="587"/>
      <c r="DB42" s="587"/>
      <c r="DC42" s="587"/>
      <c r="DD42" s="587"/>
      <c r="DE42" s="587"/>
      <c r="DF42" s="587"/>
      <c r="DG42" s="587"/>
      <c r="DH42" s="587"/>
      <c r="DI42" s="587"/>
      <c r="DJ42" s="587"/>
      <c r="DK42" s="587"/>
      <c r="DL42" s="587"/>
      <c r="DM42" s="587"/>
      <c r="DN42" s="587"/>
      <c r="DO42" s="587"/>
      <c r="DP42" s="587"/>
      <c r="DQ42" s="587"/>
      <c r="DR42" s="587"/>
      <c r="DS42" s="587"/>
      <c r="DT42" s="587"/>
      <c r="DU42" s="587"/>
      <c r="DW42" s="587"/>
      <c r="DX42" s="587"/>
      <c r="DY42" s="587"/>
      <c r="DZ42" s="587"/>
      <c r="EA42" s="587"/>
      <c r="EB42" s="587"/>
      <c r="EC42" s="587"/>
      <c r="ED42" s="587"/>
      <c r="EE42" s="587"/>
      <c r="EF42" s="587"/>
      <c r="EG42" s="587"/>
      <c r="EH42" s="587"/>
      <c r="EI42" s="587"/>
      <c r="EJ42" s="587"/>
      <c r="EK42" s="587"/>
      <c r="EL42" s="587"/>
      <c r="EM42" s="587"/>
      <c r="EN42" s="587"/>
      <c r="EO42" s="587"/>
      <c r="EP42" s="587"/>
      <c r="EQ42" s="587"/>
      <c r="ER42" s="587"/>
      <c r="ES42" s="587"/>
      <c r="ET42" s="587"/>
      <c r="EU42" s="587"/>
      <c r="EV42" s="587"/>
      <c r="EW42" s="587"/>
      <c r="EX42" s="587"/>
      <c r="EY42" s="587"/>
      <c r="EZ42" s="587"/>
      <c r="FA42" s="587"/>
      <c r="FB42" s="587"/>
      <c r="FC42" s="587"/>
      <c r="FD42" s="587"/>
      <c r="FE42" s="587"/>
      <c r="FF42" s="587"/>
      <c r="FG42" s="587"/>
      <c r="FH42" s="587"/>
      <c r="FI42" s="587"/>
      <c r="FJ42" s="587"/>
      <c r="FK42" s="587"/>
      <c r="FL42" s="587"/>
      <c r="FM42" s="587"/>
      <c r="FN42" s="587"/>
      <c r="FO42" s="587"/>
      <c r="FP42" s="587"/>
      <c r="FQ42" s="587"/>
      <c r="FR42" s="587"/>
      <c r="FS42" s="587"/>
      <c r="FT42" s="587"/>
      <c r="FU42" s="587"/>
      <c r="FV42" s="587"/>
      <c r="FW42" s="587"/>
      <c r="FX42" s="587"/>
      <c r="FY42" s="587"/>
      <c r="FZ42" s="587"/>
      <c r="GA42" s="587"/>
      <c r="GB42" s="587"/>
      <c r="GC42" s="587"/>
      <c r="GD42" s="587"/>
      <c r="GE42" s="587"/>
      <c r="GF42" s="587"/>
      <c r="GG42" s="587"/>
      <c r="GH42" s="587"/>
      <c r="GI42" s="587"/>
      <c r="GJ42" s="587"/>
      <c r="GK42" s="587"/>
      <c r="GL42" s="587"/>
      <c r="GM42" s="587"/>
    </row>
    <row r="43" spans="1:195" s="171" customFormat="1" ht="20.100000000000001" customHeight="1">
      <c r="A43" s="546"/>
      <c r="B43" s="546" t="s">
        <v>1104</v>
      </c>
      <c r="C43" s="746"/>
      <c r="D43" s="523" t="s">
        <v>716</v>
      </c>
      <c r="E43" s="747"/>
      <c r="F43" s="549"/>
      <c r="G43" s="546"/>
      <c r="H43" s="511"/>
      <c r="I43" s="546"/>
      <c r="J43" s="546"/>
      <c r="K43" s="512"/>
      <c r="L43" s="550"/>
      <c r="M43" s="511"/>
      <c r="N43" s="551"/>
      <c r="O43" s="551"/>
      <c r="P43" s="550"/>
      <c r="Q43" s="511"/>
      <c r="R43" s="511"/>
      <c r="S43" s="511"/>
      <c r="T43" s="550"/>
      <c r="U43" s="511"/>
      <c r="V43" s="550"/>
      <c r="W43" s="550"/>
      <c r="X43" s="550"/>
      <c r="Y43" s="550"/>
      <c r="Z43" s="552"/>
      <c r="AA43" s="553"/>
      <c r="AB43" s="553"/>
      <c r="AC43" s="554"/>
      <c r="AD43" s="554"/>
      <c r="AE43" s="554"/>
      <c r="AF43" s="554"/>
      <c r="AG43" s="554"/>
      <c r="AH43" s="555"/>
      <c r="AI43" s="552"/>
      <c r="AJ43" s="551"/>
      <c r="AK43" s="552"/>
      <c r="AL43" s="552"/>
      <c r="AM43" s="552"/>
      <c r="AN43" s="556"/>
      <c r="AO43" s="511"/>
      <c r="AP43" s="512"/>
      <c r="AQ43" s="511"/>
      <c r="AR43" s="556"/>
      <c r="AS43" s="550"/>
      <c r="AT43" s="556"/>
      <c r="AU43" s="556"/>
      <c r="AV43" s="557"/>
      <c r="AW43" s="557"/>
      <c r="AX43" s="550"/>
      <c r="AY43" s="558"/>
      <c r="AZ43" s="558"/>
      <c r="BA43" s="559"/>
      <c r="BB43" s="559"/>
      <c r="BC43" s="559"/>
      <c r="BD43" s="64"/>
      <c r="BE43" s="560"/>
      <c r="BF43" s="560"/>
      <c r="BG43" s="560"/>
      <c r="BH43" s="560"/>
      <c r="BI43" s="560"/>
      <c r="BJ43" s="560"/>
      <c r="BK43" s="560"/>
      <c r="BL43" s="560"/>
      <c r="BM43" s="560"/>
      <c r="BN43" s="560"/>
      <c r="BO43" s="560"/>
      <c r="BP43" s="560"/>
      <c r="BQ43" s="560"/>
      <c r="BR43" s="560"/>
      <c r="BS43" s="560"/>
      <c r="BT43" s="560"/>
      <c r="BU43" s="560"/>
      <c r="BV43" s="560"/>
      <c r="BW43" s="560"/>
      <c r="BX43" s="560"/>
      <c r="BY43" s="560"/>
      <c r="BZ43" s="560"/>
      <c r="CA43" s="560"/>
      <c r="CB43" s="560"/>
      <c r="CC43" s="560"/>
      <c r="CD43" s="560"/>
      <c r="CE43" s="560"/>
      <c r="CF43" s="560"/>
      <c r="CG43" s="560"/>
      <c r="CH43" s="560"/>
      <c r="CI43" s="560"/>
      <c r="CJ43" s="560"/>
      <c r="CK43" s="560"/>
      <c r="CL43" s="560"/>
      <c r="CM43" s="560"/>
      <c r="CN43" s="560"/>
      <c r="CO43" s="560"/>
      <c r="CP43" s="560"/>
      <c r="CQ43" s="560"/>
      <c r="CR43" s="560"/>
      <c r="CS43" s="560"/>
      <c r="CT43" s="560"/>
      <c r="CU43" s="560"/>
      <c r="CV43" s="560"/>
      <c r="CW43" s="560"/>
      <c r="CX43" s="560"/>
      <c r="CY43" s="560"/>
      <c r="CZ43" s="560"/>
      <c r="DA43" s="560"/>
      <c r="DB43" s="560"/>
      <c r="DC43" s="560"/>
      <c r="DD43" s="560"/>
      <c r="DE43" s="560"/>
      <c r="DF43" s="560"/>
      <c r="DG43" s="560"/>
      <c r="DH43" s="560"/>
      <c r="DI43" s="560"/>
      <c r="DJ43" s="560"/>
      <c r="DK43" s="560"/>
      <c r="DL43" s="560"/>
      <c r="DM43" s="560"/>
      <c r="DN43" s="560"/>
      <c r="DO43" s="560"/>
      <c r="DP43" s="560"/>
      <c r="DQ43" s="560"/>
      <c r="DR43" s="560"/>
      <c r="DS43" s="560"/>
      <c r="DT43" s="560"/>
      <c r="DU43" s="560"/>
      <c r="DV43" s="64"/>
      <c r="DW43" s="336">
        <f t="shared" si="80"/>
        <v>0</v>
      </c>
      <c r="DX43" s="336">
        <f t="shared" si="1"/>
        <v>0</v>
      </c>
      <c r="DY43" s="336">
        <f t="shared" si="2"/>
        <v>0</v>
      </c>
      <c r="DZ43" s="336">
        <f t="shared" si="3"/>
        <v>0</v>
      </c>
      <c r="EA43" s="336">
        <f t="shared" si="4"/>
        <v>0</v>
      </c>
      <c r="EB43" s="336">
        <f t="shared" si="5"/>
        <v>0</v>
      </c>
      <c r="EC43" s="336">
        <f t="shared" si="6"/>
        <v>0</v>
      </c>
      <c r="ED43" s="336">
        <f t="shared" si="7"/>
        <v>0</v>
      </c>
      <c r="EE43" s="336">
        <f t="shared" si="8"/>
        <v>0</v>
      </c>
      <c r="EF43" s="336">
        <f t="shared" si="9"/>
        <v>0</v>
      </c>
      <c r="EG43" s="336">
        <f t="shared" si="10"/>
        <v>0</v>
      </c>
      <c r="EH43" s="336">
        <f t="shared" si="11"/>
        <v>0</v>
      </c>
      <c r="EI43" s="336">
        <f t="shared" si="12"/>
        <v>0</v>
      </c>
      <c r="EJ43" s="336">
        <f t="shared" si="13"/>
        <v>0</v>
      </c>
      <c r="EK43" s="336">
        <f t="shared" si="14"/>
        <v>0</v>
      </c>
      <c r="EL43" s="336">
        <f t="shared" si="15"/>
        <v>0</v>
      </c>
      <c r="EM43" s="336">
        <f t="shared" si="16"/>
        <v>0</v>
      </c>
      <c r="EN43" s="336">
        <f t="shared" si="17"/>
        <v>0</v>
      </c>
      <c r="EO43" s="336">
        <f t="shared" si="18"/>
        <v>0</v>
      </c>
      <c r="EP43" s="336">
        <f t="shared" si="19"/>
        <v>0</v>
      </c>
      <c r="EQ43" s="336">
        <f t="shared" si="20"/>
        <v>0</v>
      </c>
      <c r="ER43" s="336">
        <f t="shared" si="21"/>
        <v>0</v>
      </c>
      <c r="ES43" s="336">
        <f t="shared" si="22"/>
        <v>0</v>
      </c>
      <c r="ET43" s="336">
        <f t="shared" si="22"/>
        <v>0</v>
      </c>
      <c r="EU43" s="336">
        <f t="shared" si="23"/>
        <v>0</v>
      </c>
      <c r="EV43" s="336">
        <f t="shared" si="24"/>
        <v>0</v>
      </c>
      <c r="EW43" s="336">
        <f t="shared" si="25"/>
        <v>0</v>
      </c>
      <c r="EX43" s="336">
        <f t="shared" si="26"/>
        <v>0</v>
      </c>
      <c r="EY43" s="336">
        <f t="shared" si="27"/>
        <v>0</v>
      </c>
      <c r="EZ43" s="336">
        <f t="shared" si="28"/>
        <v>0</v>
      </c>
      <c r="FA43" s="336">
        <f t="shared" si="29"/>
        <v>0</v>
      </c>
      <c r="FB43" s="336">
        <f t="shared" si="30"/>
        <v>0</v>
      </c>
      <c r="FC43" s="336">
        <f t="shared" si="31"/>
        <v>0</v>
      </c>
      <c r="FD43" s="336">
        <f t="shared" si="32"/>
        <v>0</v>
      </c>
      <c r="FE43" s="336">
        <f t="shared" si="33"/>
        <v>0</v>
      </c>
      <c r="FF43" s="336">
        <f t="shared" si="34"/>
        <v>0</v>
      </c>
      <c r="FG43" s="336">
        <f t="shared" si="35"/>
        <v>0</v>
      </c>
      <c r="FH43" s="336">
        <f t="shared" si="36"/>
        <v>0</v>
      </c>
      <c r="FI43" s="336">
        <f t="shared" si="37"/>
        <v>0</v>
      </c>
      <c r="FJ43" s="336">
        <f t="shared" si="38"/>
        <v>0</v>
      </c>
      <c r="FK43" s="336">
        <f t="shared" si="39"/>
        <v>0</v>
      </c>
      <c r="FL43" s="336">
        <f t="shared" si="40"/>
        <v>0</v>
      </c>
      <c r="FM43" s="336">
        <f t="shared" si="41"/>
        <v>0</v>
      </c>
      <c r="FN43" s="336">
        <f t="shared" si="42"/>
        <v>0</v>
      </c>
      <c r="FO43" s="336">
        <f t="shared" si="43"/>
        <v>0</v>
      </c>
      <c r="FP43" s="336">
        <f t="shared" si="44"/>
        <v>0</v>
      </c>
      <c r="FQ43" s="336">
        <f t="shared" si="45"/>
        <v>0</v>
      </c>
      <c r="FR43" s="336">
        <f t="shared" si="46"/>
        <v>0</v>
      </c>
      <c r="FS43" s="336">
        <f t="shared" si="47"/>
        <v>0</v>
      </c>
      <c r="FT43" s="336">
        <f t="shared" si="48"/>
        <v>0</v>
      </c>
      <c r="FU43" s="336">
        <f t="shared" si="49"/>
        <v>0</v>
      </c>
      <c r="FV43" s="336">
        <f t="shared" si="50"/>
        <v>0</v>
      </c>
      <c r="FW43" s="336">
        <f t="shared" si="51"/>
        <v>0</v>
      </c>
      <c r="FX43" s="336">
        <f t="shared" si="52"/>
        <v>0</v>
      </c>
      <c r="FY43" s="336">
        <f t="shared" si="53"/>
        <v>0</v>
      </c>
      <c r="FZ43" s="336">
        <f t="shared" si="54"/>
        <v>0</v>
      </c>
      <c r="GA43" s="336">
        <f t="shared" si="55"/>
        <v>0</v>
      </c>
      <c r="GB43" s="336">
        <f t="shared" si="56"/>
        <v>0</v>
      </c>
      <c r="GC43" s="336">
        <f t="shared" si="57"/>
        <v>0</v>
      </c>
      <c r="GD43" s="336">
        <f t="shared" si="58"/>
        <v>0</v>
      </c>
      <c r="GE43" s="336">
        <f t="shared" si="59"/>
        <v>0</v>
      </c>
      <c r="GF43" s="336">
        <f t="shared" si="60"/>
        <v>0</v>
      </c>
      <c r="GG43" s="336">
        <f t="shared" si="61"/>
        <v>0</v>
      </c>
      <c r="GH43" s="336">
        <f t="shared" si="62"/>
        <v>0</v>
      </c>
      <c r="GI43" s="336">
        <f t="shared" si="63"/>
        <v>0</v>
      </c>
      <c r="GJ43" s="336">
        <f t="shared" si="64"/>
        <v>0</v>
      </c>
      <c r="GK43" s="336">
        <f t="shared" si="65"/>
        <v>0</v>
      </c>
      <c r="GL43" s="336">
        <f t="shared" si="67"/>
        <v>0</v>
      </c>
      <c r="GM43" s="336">
        <f t="shared" si="66"/>
        <v>0</v>
      </c>
    </row>
    <row r="44" spans="1:195" s="83" customFormat="1" ht="18.75" hidden="1" customHeight="1">
      <c r="A44" s="357" t="s">
        <v>334</v>
      </c>
      <c r="B44" s="748" t="s">
        <v>527</v>
      </c>
      <c r="C44" s="395" t="str">
        <f>$D$6</f>
        <v>PMCC-2</v>
      </c>
      <c r="D44" s="749" t="s">
        <v>717</v>
      </c>
      <c r="E44" s="422" t="s">
        <v>387</v>
      </c>
      <c r="F44" s="357" t="s">
        <v>29</v>
      </c>
      <c r="G44" s="750" t="s">
        <v>350</v>
      </c>
      <c r="H44" s="352">
        <v>1</v>
      </c>
      <c r="I44" s="357" t="s">
        <v>330</v>
      </c>
      <c r="J44" s="357" t="s">
        <v>331</v>
      </c>
      <c r="K44" s="353">
        <v>400</v>
      </c>
      <c r="L44" s="360">
        <v>0.8</v>
      </c>
      <c r="M44" s="352">
        <v>0.84099999999999997</v>
      </c>
      <c r="N44" s="359">
        <f t="shared" ref="N44" si="544">IF(I44="kVA",IF(J44="3Ph",(H44*1000/(1.732*M44*K44)),(H44*1000/(M44*K44))),IF(I44="kW",IF(J44="3Ph",(H44*1000/(1.732*M44*K44*L44)),(H44*1000/(M44*K44*L44)))))</f>
        <v>2.1453894379560237</v>
      </c>
      <c r="O44" s="359">
        <f t="shared" ref="O44" si="545">IF(G44="MOTOR",(6*N44),IF(G44="VFD",(1*N44),0))</f>
        <v>12.872336627736143</v>
      </c>
      <c r="P44" s="360">
        <f t="shared" ref="P44" si="546">IF(G44="MOTOR",0.2,"0.00")</f>
        <v>0.2</v>
      </c>
      <c r="Q44" s="352">
        <v>50</v>
      </c>
      <c r="R44" s="352">
        <v>0</v>
      </c>
      <c r="S44" s="352">
        <f t="shared" ref="S44" si="547">(Q44*1000*SQRT(R44)/143)</f>
        <v>0</v>
      </c>
      <c r="T44" s="360" t="s">
        <v>332</v>
      </c>
      <c r="U44" s="352" t="s">
        <v>535</v>
      </c>
      <c r="V44" s="360">
        <v>4</v>
      </c>
      <c r="W44" s="360" t="str">
        <f t="shared" ref="W44" si="548">CONCATENATE(U44," X ",V44)</f>
        <v>3.5C X 4</v>
      </c>
      <c r="X44" s="360" t="str">
        <f>(IF(J44="1Ph",W44,IF(J44="3Ph",(IF(G44="MOTOR",(CONCATENATE(W44,"+PE")),W44)))))</f>
        <v>3.5C X 4+PE</v>
      </c>
      <c r="Y44" s="360" t="s">
        <v>358</v>
      </c>
      <c r="Z44" s="361" t="e">
        <f>IF(T44="AIR",VLOOKUP(W44,'Catalogue Aluminium'!$B$9:$G$93,2,FALSE),IF(T44="GROUND",VLOOKUP(W44,'Catalogue Aluminium'!$B$9:$G$93,3,FALSE),IF(T44="DUCT",VLOOKUP(W44,'Catalogue Aluminium'!$B$9:$G$93,4,FALSE),IF(T44="TRENCH",VLOOKUP(W44,'Catalogue Aluminium'!$B$9:$G$93,2,FALSE)))))</f>
        <v>#N/A</v>
      </c>
      <c r="AA44" s="362" t="e">
        <f>VLOOKUP(W44,'Catalogue Aluminium'!$B$9:$G$93,5,FALSE)</f>
        <v>#N/A</v>
      </c>
      <c r="AB44" s="362" t="e">
        <f>VLOOKUP(W44,'Catalogue Aluminium'!$B$9:$G$93,6,FALSE)</f>
        <v>#N/A</v>
      </c>
      <c r="AC44" s="360">
        <f>9.5+2.5</f>
        <v>12</v>
      </c>
      <c r="AD44" s="360">
        <f t="shared" si="302"/>
        <v>100</v>
      </c>
      <c r="AE44" s="360">
        <v>10</v>
      </c>
      <c r="AF44" s="360">
        <v>8</v>
      </c>
      <c r="AG44" s="360">
        <f t="shared" si="134"/>
        <v>13</v>
      </c>
      <c r="AH44" s="363">
        <f t="shared" si="227"/>
        <v>143</v>
      </c>
      <c r="AI44" s="361">
        <f>IF(T44="AIR",'Catalogue Aluminium'!$K$9,IF(T44="TRENCH",'Catalogue Aluminium'!$K$12,"NA"))</f>
        <v>0.89</v>
      </c>
      <c r="AJ44" s="359">
        <f>IF(T44="Air",(IF(U44="1C",'Catalogue Aluminium'!$L$9,'Catalogue Aluminium'!$M$9)),IF(T44="DUCT",(IF($U44="1C",'Catalogue Aluminium'!$L$10,'Catalogue Aluminium'!$M$10)),IF(T44="GROUND",(IF($U44="1C",'Catalogue Aluminium'!$L$11,'Catalogue Aluminium'!$M$11)),IF(T44="TRENCH",(IF($U44="1C",'Catalogue Aluminium'!$L$12,'Catalogue Aluminium'!$M$12))))))</f>
        <v>0.66</v>
      </c>
      <c r="AK44" s="361" t="str">
        <f>IF(T44="Air",'Catalogue Aluminium'!$N$9,IF(T44="GROUND",'Catalogue Aluminium'!$N$10,IF(T44="DUCT",'Catalogue Aluminium'!$N$11,IF(T44="TRENCH",'Catalogue Aluminium'!$N$12,"NA"))))</f>
        <v>NA</v>
      </c>
      <c r="AL44" s="361" t="str">
        <f>IF(T44="Air",(IF(U44="1C",'Catalogue Aluminium'!$O$9,'Catalogue Aluminium'!$P$9)),IF(T44="DUCT",(IF($U44="1C",'Catalogue Aluminium'!$O$10,'Catalogue Aluminium'!$P$10)),IF(T44="GROUND",(IF($U44="1C",'Catalogue Aluminium'!$O$11,'Catalogue Aluminium'!$P$11)),IF(T44="TRENCH",(IF($U44="1C",'Catalogue Aluminium'!$O$12,'Catalogue Aluminium'!$P$12))))))</f>
        <v>NA</v>
      </c>
      <c r="AM44" s="361" t="str">
        <f>IF(T44="AIR","NA",IF(T44="TRENCH","NA",IF(T44="DUCT",IF(U44="1C",VLOOKUP(V44,'Catalogue Aluminium'!$Q$9:$S$28,2,FALSE),VLOOKUP(V44,'Catalogue Aluminium'!$Q$9:$S$28,3)),IF(T44="GROUND",IF(U44="1C",VLOOKUP(V44,'Catalogue Aluminium'!$Q$9:$S$28,2,FALSE),VLOOKUP(V44,'Catalogue Aluminium'!$Q$9:$S$28,3))))))</f>
        <v>NA</v>
      </c>
      <c r="AN44" s="365">
        <f t="shared" ref="AN44" si="549">IF(T44="AIR",AI44*AJ44,IF(T44="TRENCH",AI44*AJ44,IF(T44="DUCT",AJ44*AK44*AL44*AM44,IF(T44="GROUND",AJ44*AK44*AL44*AM44))))</f>
        <v>0.58740000000000003</v>
      </c>
      <c r="AO44" s="352" t="e">
        <f t="shared" ref="AO44" si="550">Z44*AN44</f>
        <v>#N/A</v>
      </c>
      <c r="AP44" s="353" t="e">
        <f t="shared" ref="AP44" si="551">CEILING(((N44)/AO44),1)</f>
        <v>#N/A</v>
      </c>
      <c r="AQ44" s="352" t="e">
        <f t="shared" ref="AQ44" si="552">IF(AO44*AP44&gt;=N44,"YES","NO")</f>
        <v>#N/A</v>
      </c>
      <c r="AR44" s="365" t="e">
        <f t="shared" si="136"/>
        <v>#N/A</v>
      </c>
      <c r="AS44" s="360" t="e">
        <f t="shared" si="137"/>
        <v>#N/A</v>
      </c>
      <c r="AT44" s="365" t="e">
        <f>IF(G44="MOTOR",(SQRT(3)*AH44*O44*((AA44*P44)+(AB44*SIN(ACOS(P44))))*100/(AP44*K44*1000)),"NA")</f>
        <v>#N/A</v>
      </c>
      <c r="AU44" s="360" t="e">
        <f>IF(G44="MOTOR",IF(AT44&lt;=15,"YES","NO"),"NA")</f>
        <v>#N/A</v>
      </c>
      <c r="AV44" s="366" t="e">
        <f>IF(U44="1C",CONCATENATE(AP44,"R x ",Y44,"kV x ",U44," x ",V44," Sqmm/Phase"),CONCATENATE(AP44,"R x ",0.6,"/1kV x ",U44," x ",V44," Sqmm"))</f>
        <v>#N/A</v>
      </c>
      <c r="AW44" s="366" t="e">
        <f t="shared" si="213"/>
        <v>#N/A</v>
      </c>
      <c r="AX44" s="360"/>
      <c r="AY44" s="367"/>
      <c r="AZ44" s="367"/>
      <c r="BA44" s="751"/>
      <c r="BB44" s="498"/>
      <c r="BC44" s="426"/>
      <c r="BE44" s="368"/>
      <c r="BF44" s="368"/>
      <c r="BG44" s="368"/>
      <c r="BH44" s="368"/>
      <c r="BI44" s="368"/>
      <c r="BJ44" s="368"/>
      <c r="BK44" s="368"/>
      <c r="BL44" s="368"/>
      <c r="BM44" s="368"/>
      <c r="BN44" s="368"/>
      <c r="BO44" s="368"/>
      <c r="BP44" s="368"/>
      <c r="BQ44" s="368"/>
      <c r="BR44" s="368"/>
      <c r="BS44" s="368"/>
      <c r="BT44" s="368"/>
      <c r="BU44" s="368"/>
      <c r="BV44" s="368"/>
      <c r="BW44" s="368"/>
      <c r="BX44" s="368"/>
      <c r="BY44" s="368"/>
      <c r="BZ44" s="368"/>
      <c r="CA44" s="368"/>
      <c r="CB44" s="368"/>
      <c r="CC44" s="368"/>
      <c r="CD44" s="368"/>
      <c r="CE44" s="368"/>
      <c r="CF44" s="368"/>
      <c r="CG44" s="368"/>
      <c r="CH44" s="368"/>
      <c r="CI44" s="368"/>
      <c r="CJ44" s="368"/>
      <c r="CK44" s="368"/>
      <c r="CL44" s="368"/>
      <c r="CM44" s="368"/>
      <c r="CN44" s="368"/>
      <c r="CO44" s="368"/>
      <c r="CP44" s="368"/>
      <c r="CQ44" s="368"/>
      <c r="CR44" s="368"/>
      <c r="CS44" s="368"/>
      <c r="CT44" s="368"/>
      <c r="CU44" s="368"/>
      <c r="CV44" s="368"/>
      <c r="CW44" s="368"/>
      <c r="CX44" s="368"/>
      <c r="CY44" s="368"/>
      <c r="CZ44" s="368"/>
      <c r="DA44" s="368"/>
      <c r="DB44" s="368"/>
      <c r="DC44" s="368"/>
      <c r="DD44" s="368"/>
      <c r="DE44" s="368"/>
      <c r="DF44" s="368"/>
      <c r="DG44" s="368"/>
      <c r="DH44" s="368"/>
      <c r="DI44" s="368"/>
      <c r="DJ44" s="368"/>
      <c r="DK44" s="368"/>
      <c r="DL44" s="368"/>
      <c r="DM44" s="368"/>
      <c r="DN44" s="368"/>
      <c r="DO44" s="368"/>
      <c r="DP44" s="368"/>
      <c r="DQ44" s="368"/>
      <c r="DR44" s="368"/>
      <c r="DS44" s="368"/>
      <c r="DT44" s="368"/>
      <c r="DU44" s="368"/>
      <c r="DW44" s="368">
        <f t="shared" si="80"/>
        <v>0</v>
      </c>
      <c r="DX44" s="368">
        <f t="shared" si="1"/>
        <v>0</v>
      </c>
      <c r="DY44" s="368">
        <f t="shared" si="2"/>
        <v>0</v>
      </c>
      <c r="DZ44" s="368">
        <f t="shared" si="3"/>
        <v>0</v>
      </c>
      <c r="EA44" s="368">
        <f t="shared" si="4"/>
        <v>0</v>
      </c>
      <c r="EB44" s="368">
        <f t="shared" si="5"/>
        <v>0</v>
      </c>
      <c r="EC44" s="368">
        <f t="shared" si="6"/>
        <v>0</v>
      </c>
      <c r="ED44" s="368">
        <f t="shared" si="7"/>
        <v>0</v>
      </c>
      <c r="EE44" s="368">
        <f t="shared" si="8"/>
        <v>0</v>
      </c>
      <c r="EF44" s="368">
        <f t="shared" si="9"/>
        <v>0</v>
      </c>
      <c r="EG44" s="368">
        <f t="shared" si="10"/>
        <v>0</v>
      </c>
      <c r="EH44" s="368">
        <f t="shared" si="11"/>
        <v>0</v>
      </c>
      <c r="EI44" s="368">
        <f t="shared" si="12"/>
        <v>0</v>
      </c>
      <c r="EJ44" s="368">
        <f t="shared" si="13"/>
        <v>0</v>
      </c>
      <c r="EK44" s="368">
        <f t="shared" si="14"/>
        <v>0</v>
      </c>
      <c r="EL44" s="368">
        <f t="shared" si="15"/>
        <v>0</v>
      </c>
      <c r="EM44" s="368">
        <f t="shared" si="16"/>
        <v>0</v>
      </c>
      <c r="EN44" s="368">
        <f t="shared" si="17"/>
        <v>0</v>
      </c>
      <c r="EO44" s="368">
        <f t="shared" si="18"/>
        <v>0</v>
      </c>
      <c r="EP44" s="368">
        <f t="shared" si="19"/>
        <v>0</v>
      </c>
      <c r="EQ44" s="368">
        <f t="shared" si="20"/>
        <v>0</v>
      </c>
      <c r="ER44" s="368">
        <f t="shared" si="21"/>
        <v>0</v>
      </c>
      <c r="ES44" s="368">
        <f t="shared" si="22"/>
        <v>0</v>
      </c>
      <c r="ET44" s="368">
        <f t="shared" si="22"/>
        <v>0</v>
      </c>
      <c r="EU44" s="368">
        <f t="shared" si="23"/>
        <v>0</v>
      </c>
      <c r="EV44" s="368">
        <f t="shared" si="24"/>
        <v>0</v>
      </c>
      <c r="EW44" s="368">
        <f t="shared" si="25"/>
        <v>0</v>
      </c>
      <c r="EX44" s="368">
        <f t="shared" si="26"/>
        <v>0</v>
      </c>
      <c r="EY44" s="368">
        <f t="shared" si="27"/>
        <v>0</v>
      </c>
      <c r="EZ44" s="368">
        <f t="shared" si="28"/>
        <v>0</v>
      </c>
      <c r="FA44" s="368">
        <f t="shared" si="29"/>
        <v>0</v>
      </c>
      <c r="FB44" s="368">
        <f t="shared" si="30"/>
        <v>0</v>
      </c>
      <c r="FC44" s="368">
        <f t="shared" si="31"/>
        <v>0</v>
      </c>
      <c r="FD44" s="368">
        <f t="shared" si="32"/>
        <v>0</v>
      </c>
      <c r="FE44" s="368">
        <f t="shared" si="33"/>
        <v>0</v>
      </c>
      <c r="FF44" s="368">
        <f t="shared" si="34"/>
        <v>0</v>
      </c>
      <c r="FG44" s="368">
        <f t="shared" si="35"/>
        <v>0</v>
      </c>
      <c r="FH44" s="368">
        <f t="shared" si="36"/>
        <v>0</v>
      </c>
      <c r="FI44" s="368">
        <f t="shared" si="37"/>
        <v>0</v>
      </c>
      <c r="FJ44" s="368">
        <f t="shared" si="38"/>
        <v>0</v>
      </c>
      <c r="FK44" s="368">
        <f t="shared" si="39"/>
        <v>0</v>
      </c>
      <c r="FL44" s="368">
        <f t="shared" si="40"/>
        <v>0</v>
      </c>
      <c r="FM44" s="368">
        <f t="shared" si="41"/>
        <v>0</v>
      </c>
      <c r="FN44" s="368">
        <f t="shared" si="42"/>
        <v>0</v>
      </c>
      <c r="FO44" s="368">
        <f t="shared" si="43"/>
        <v>0</v>
      </c>
      <c r="FP44" s="368">
        <f t="shared" si="44"/>
        <v>0</v>
      </c>
      <c r="FQ44" s="368">
        <f t="shared" si="45"/>
        <v>0</v>
      </c>
      <c r="FR44" s="368">
        <f t="shared" si="46"/>
        <v>0</v>
      </c>
      <c r="FS44" s="368">
        <f t="shared" si="47"/>
        <v>0</v>
      </c>
      <c r="FT44" s="368">
        <f t="shared" si="48"/>
        <v>0</v>
      </c>
      <c r="FU44" s="368"/>
      <c r="FV44" s="368"/>
      <c r="FW44" s="368"/>
      <c r="FX44" s="368"/>
      <c r="FY44" s="368">
        <f t="shared" si="53"/>
        <v>0</v>
      </c>
      <c r="FZ44" s="368">
        <f t="shared" si="54"/>
        <v>0</v>
      </c>
      <c r="GA44" s="368">
        <f t="shared" si="55"/>
        <v>0</v>
      </c>
      <c r="GB44" s="368">
        <f t="shared" si="56"/>
        <v>0</v>
      </c>
      <c r="GC44" s="368">
        <f t="shared" si="57"/>
        <v>0</v>
      </c>
      <c r="GD44" s="368">
        <f t="shared" si="58"/>
        <v>0</v>
      </c>
      <c r="GE44" s="368">
        <f t="shared" si="59"/>
        <v>0</v>
      </c>
      <c r="GF44" s="368">
        <f t="shared" si="60"/>
        <v>0</v>
      </c>
      <c r="GG44" s="368">
        <f t="shared" si="61"/>
        <v>0</v>
      </c>
      <c r="GH44" s="368">
        <f t="shared" si="62"/>
        <v>0</v>
      </c>
      <c r="GI44" s="368">
        <f t="shared" si="63"/>
        <v>0</v>
      </c>
      <c r="GJ44" s="368">
        <f t="shared" si="64"/>
        <v>0</v>
      </c>
      <c r="GK44" s="368">
        <f t="shared" si="65"/>
        <v>0</v>
      </c>
      <c r="GL44" s="368"/>
      <c r="GM44" s="368">
        <f t="shared" si="66"/>
        <v>0</v>
      </c>
    </row>
    <row r="45" spans="1:195" ht="20.25" customHeight="1">
      <c r="A45" s="510"/>
      <c r="B45" s="510" t="s">
        <v>1104</v>
      </c>
      <c r="C45" s="523"/>
      <c r="D45" s="523" t="s">
        <v>1136</v>
      </c>
      <c r="E45" s="725"/>
      <c r="F45" s="726"/>
      <c r="G45" s="510"/>
      <c r="H45" s="727"/>
      <c r="I45" s="510"/>
      <c r="J45" s="510"/>
      <c r="K45" s="728"/>
      <c r="L45" s="729"/>
      <c r="M45" s="727"/>
      <c r="N45" s="730"/>
      <c r="O45" s="730"/>
      <c r="P45" s="729"/>
      <c r="Q45" s="727"/>
      <c r="R45" s="727"/>
      <c r="S45" s="727"/>
      <c r="T45" s="729"/>
      <c r="U45" s="727"/>
      <c r="V45" s="729"/>
      <c r="W45" s="729"/>
      <c r="X45" s="729"/>
      <c r="Y45" s="729"/>
      <c r="Z45" s="731"/>
      <c r="AA45" s="732"/>
      <c r="AB45" s="732"/>
      <c r="AC45" s="733"/>
      <c r="AD45" s="733"/>
      <c r="AE45" s="733"/>
      <c r="AF45" s="733"/>
      <c r="AG45" s="733"/>
      <c r="AH45" s="734"/>
      <c r="AI45" s="731"/>
      <c r="AJ45" s="730"/>
      <c r="AK45" s="731"/>
      <c r="AL45" s="731"/>
      <c r="AM45" s="731"/>
      <c r="AN45" s="735"/>
      <c r="AO45" s="727"/>
      <c r="AP45" s="728"/>
      <c r="AQ45" s="727"/>
      <c r="AR45" s="735"/>
      <c r="AS45" s="729"/>
      <c r="AT45" s="735"/>
      <c r="AU45" s="735"/>
      <c r="AV45" s="736"/>
      <c r="AW45" s="736"/>
      <c r="AX45" s="729"/>
      <c r="AY45" s="737"/>
      <c r="AZ45" s="737"/>
      <c r="BA45" s="738"/>
      <c r="BB45" s="739"/>
      <c r="BC45" s="740"/>
      <c r="BE45" s="336"/>
      <c r="BF45" s="336"/>
      <c r="BG45" s="336"/>
      <c r="BH45" s="336"/>
      <c r="BI45" s="336"/>
      <c r="BJ45" s="336"/>
      <c r="BK45" s="336"/>
      <c r="BL45" s="336"/>
      <c r="BM45" s="336"/>
      <c r="BN45" s="336"/>
      <c r="BO45" s="336"/>
      <c r="BP45" s="336"/>
      <c r="BQ45" s="336"/>
      <c r="BR45" s="336"/>
      <c r="BS45" s="336"/>
      <c r="BT45" s="336"/>
      <c r="BU45" s="336"/>
      <c r="BV45" s="336"/>
      <c r="BW45" s="336"/>
      <c r="BX45" s="336"/>
      <c r="BY45" s="336"/>
      <c r="BZ45" s="336"/>
      <c r="CA45" s="336"/>
      <c r="CB45" s="336"/>
      <c r="CC45" s="336"/>
      <c r="CD45" s="336"/>
      <c r="CE45" s="336"/>
      <c r="CF45" s="336"/>
      <c r="CG45" s="336"/>
      <c r="CH45" s="336"/>
      <c r="CI45" s="336"/>
      <c r="CJ45" s="336"/>
      <c r="CK45" s="336"/>
      <c r="CL45" s="336"/>
      <c r="CM45" s="336"/>
      <c r="CN45" s="336"/>
      <c r="CO45" s="336"/>
      <c r="CP45" s="336"/>
      <c r="CQ45" s="336"/>
      <c r="CR45" s="336"/>
      <c r="CS45" s="336"/>
      <c r="CT45" s="336"/>
      <c r="CU45" s="336"/>
      <c r="CV45" s="336"/>
      <c r="CW45" s="336"/>
      <c r="CX45" s="336"/>
      <c r="CY45" s="336"/>
      <c r="CZ45" s="752"/>
      <c r="DA45" s="752"/>
      <c r="DB45" s="752"/>
      <c r="DC45" s="752"/>
      <c r="DD45" s="752"/>
      <c r="DE45" s="752"/>
      <c r="DF45" s="752"/>
      <c r="DG45" s="752"/>
      <c r="DH45" s="752"/>
      <c r="DI45" s="752"/>
      <c r="DJ45" s="752"/>
      <c r="DK45" s="752"/>
      <c r="DL45" s="752"/>
      <c r="DM45" s="752"/>
      <c r="DN45" s="752"/>
      <c r="DO45" s="752"/>
      <c r="DP45" s="752"/>
      <c r="DQ45" s="752"/>
      <c r="DR45" s="752"/>
      <c r="DS45" s="752"/>
      <c r="DT45" s="752"/>
      <c r="DU45" s="752"/>
      <c r="DW45" s="336">
        <f t="shared" si="80"/>
        <v>0</v>
      </c>
      <c r="DX45" s="336">
        <f t="shared" si="1"/>
        <v>0</v>
      </c>
      <c r="DY45" s="336">
        <f t="shared" si="2"/>
        <v>0</v>
      </c>
      <c r="DZ45" s="336">
        <f t="shared" si="3"/>
        <v>0</v>
      </c>
      <c r="EA45" s="336">
        <f t="shared" si="4"/>
        <v>0</v>
      </c>
      <c r="EB45" s="336">
        <f t="shared" si="5"/>
        <v>0</v>
      </c>
      <c r="EC45" s="336">
        <f t="shared" si="6"/>
        <v>0</v>
      </c>
      <c r="ED45" s="336">
        <f t="shared" si="7"/>
        <v>0</v>
      </c>
      <c r="EE45" s="336">
        <f t="shared" si="8"/>
        <v>0</v>
      </c>
      <c r="EF45" s="336">
        <f t="shared" si="9"/>
        <v>0</v>
      </c>
      <c r="EG45" s="336">
        <f t="shared" si="10"/>
        <v>0</v>
      </c>
      <c r="EH45" s="336">
        <f t="shared" si="11"/>
        <v>0</v>
      </c>
      <c r="EI45" s="336">
        <f t="shared" si="12"/>
        <v>0</v>
      </c>
      <c r="EJ45" s="336">
        <f t="shared" si="13"/>
        <v>0</v>
      </c>
      <c r="EK45" s="336">
        <f t="shared" si="14"/>
        <v>0</v>
      </c>
      <c r="EL45" s="336">
        <f t="shared" si="15"/>
        <v>0</v>
      </c>
      <c r="EM45" s="336">
        <f t="shared" si="16"/>
        <v>0</v>
      </c>
      <c r="EN45" s="336">
        <f t="shared" si="17"/>
        <v>0</v>
      </c>
      <c r="EO45" s="336">
        <f t="shared" si="18"/>
        <v>0</v>
      </c>
      <c r="EP45" s="336">
        <f t="shared" si="19"/>
        <v>0</v>
      </c>
      <c r="EQ45" s="336">
        <f t="shared" si="20"/>
        <v>0</v>
      </c>
      <c r="ER45" s="336">
        <f t="shared" si="21"/>
        <v>0</v>
      </c>
      <c r="ES45" s="336">
        <f t="shared" si="22"/>
        <v>0</v>
      </c>
      <c r="ET45" s="336">
        <f t="shared" si="22"/>
        <v>0</v>
      </c>
      <c r="EU45" s="336">
        <f t="shared" si="23"/>
        <v>0</v>
      </c>
      <c r="EV45" s="336">
        <f t="shared" si="24"/>
        <v>0</v>
      </c>
      <c r="EW45" s="336">
        <f t="shared" si="25"/>
        <v>0</v>
      </c>
      <c r="EX45" s="336">
        <f t="shared" si="26"/>
        <v>0</v>
      </c>
      <c r="EY45" s="336">
        <f t="shared" si="27"/>
        <v>0</v>
      </c>
      <c r="EZ45" s="336">
        <f t="shared" si="28"/>
        <v>0</v>
      </c>
      <c r="FA45" s="336">
        <f t="shared" si="29"/>
        <v>0</v>
      </c>
      <c r="FB45" s="336">
        <f t="shared" si="30"/>
        <v>0</v>
      </c>
      <c r="FC45" s="336">
        <f t="shared" si="31"/>
        <v>0</v>
      </c>
      <c r="FD45" s="336">
        <f t="shared" si="32"/>
        <v>0</v>
      </c>
      <c r="FE45" s="336">
        <f t="shared" si="33"/>
        <v>0</v>
      </c>
      <c r="FF45" s="336">
        <f t="shared" si="34"/>
        <v>0</v>
      </c>
      <c r="FG45" s="336">
        <f t="shared" si="35"/>
        <v>0</v>
      </c>
      <c r="FH45" s="336">
        <f t="shared" si="36"/>
        <v>0</v>
      </c>
      <c r="FI45" s="336">
        <f t="shared" si="37"/>
        <v>0</v>
      </c>
      <c r="FJ45" s="336">
        <f t="shared" si="38"/>
        <v>0</v>
      </c>
      <c r="FK45" s="336">
        <f t="shared" si="39"/>
        <v>0</v>
      </c>
      <c r="FL45" s="336">
        <f t="shared" si="40"/>
        <v>0</v>
      </c>
      <c r="FM45" s="336">
        <f t="shared" si="41"/>
        <v>0</v>
      </c>
      <c r="FN45" s="336">
        <f t="shared" si="42"/>
        <v>0</v>
      </c>
      <c r="FO45" s="336">
        <f t="shared" si="43"/>
        <v>0</v>
      </c>
      <c r="FP45" s="336">
        <f t="shared" si="44"/>
        <v>0</v>
      </c>
      <c r="FQ45" s="336">
        <f t="shared" si="45"/>
        <v>0</v>
      </c>
      <c r="FR45" s="336">
        <f t="shared" si="46"/>
        <v>0</v>
      </c>
      <c r="FS45" s="336">
        <f t="shared" si="47"/>
        <v>0</v>
      </c>
      <c r="FT45" s="336">
        <f t="shared" si="48"/>
        <v>0</v>
      </c>
      <c r="FU45" s="336">
        <f t="shared" ref="FU45:FU116" si="553">IF(DC45=1,($BC45*DC45),0)</f>
        <v>0</v>
      </c>
      <c r="FV45" s="336">
        <f t="shared" ref="FV45:FV116" si="554">IF(DD45=1,($BC45*DD45),0)</f>
        <v>0</v>
      </c>
      <c r="FW45" s="336">
        <f t="shared" ref="FW45:FW116" si="555">IF(DE45=1,($BC45*DE45),0)</f>
        <v>0</v>
      </c>
      <c r="FX45" s="336">
        <f t="shared" ref="FX45:FX116" si="556">IF(DF45=1,($BC45*DF45),0)</f>
        <v>0</v>
      </c>
      <c r="FY45" s="336">
        <f t="shared" si="53"/>
        <v>0</v>
      </c>
      <c r="FZ45" s="336">
        <f t="shared" si="54"/>
        <v>0</v>
      </c>
      <c r="GA45" s="336">
        <f t="shared" si="55"/>
        <v>0</v>
      </c>
      <c r="GB45" s="336">
        <f t="shared" si="56"/>
        <v>0</v>
      </c>
      <c r="GC45" s="336">
        <f t="shared" si="57"/>
        <v>0</v>
      </c>
      <c r="GD45" s="336">
        <f t="shared" si="58"/>
        <v>0</v>
      </c>
      <c r="GE45" s="336">
        <f t="shared" si="59"/>
        <v>0</v>
      </c>
      <c r="GF45" s="336">
        <f t="shared" si="60"/>
        <v>0</v>
      </c>
      <c r="GG45" s="336">
        <f t="shared" si="61"/>
        <v>0</v>
      </c>
      <c r="GH45" s="336">
        <f t="shared" si="62"/>
        <v>0</v>
      </c>
      <c r="GI45" s="336">
        <f t="shared" si="63"/>
        <v>0</v>
      </c>
      <c r="GJ45" s="336">
        <f t="shared" si="64"/>
        <v>0</v>
      </c>
      <c r="GK45" s="336">
        <f t="shared" si="65"/>
        <v>0</v>
      </c>
      <c r="GL45" s="336">
        <f t="shared" ref="GL45:GL116" si="557">IF(DT45=1,($BC45*DT45),0)</f>
        <v>0</v>
      </c>
      <c r="GM45" s="336">
        <f t="shared" si="66"/>
        <v>0</v>
      </c>
    </row>
    <row r="46" spans="1:195" ht="20.100000000000001" customHeight="1">
      <c r="A46" s="337">
        <f>A42+1</f>
        <v>35</v>
      </c>
      <c r="B46" s="406" t="s">
        <v>1721</v>
      </c>
      <c r="C46" s="372" t="str">
        <f t="shared" ref="C46:C73" si="558">$D$6</f>
        <v>PMCC-2</v>
      </c>
      <c r="D46" s="372" t="s">
        <v>1137</v>
      </c>
      <c r="E46" s="569" t="s">
        <v>387</v>
      </c>
      <c r="F46" s="337" t="s">
        <v>28</v>
      </c>
      <c r="G46" s="337" t="s">
        <v>350</v>
      </c>
      <c r="H46" s="350">
        <v>0.37</v>
      </c>
      <c r="I46" s="337" t="s">
        <v>330</v>
      </c>
      <c r="J46" s="337" t="s">
        <v>331</v>
      </c>
      <c r="K46" s="349">
        <v>400</v>
      </c>
      <c r="L46" s="343">
        <v>0.75</v>
      </c>
      <c r="M46" s="350">
        <v>0.85299999999999998</v>
      </c>
      <c r="N46" s="342">
        <f t="shared" ref="N46:N60" si="559">IF(I46="kVA",IF(J46="3Ph",(H46*1000/(1.732*M46*K46)),(H46*1000/(M46*K46))),IF(I46="kW",IF(J46="3Ph",(H46*1000/(1.732*M46*K46*L46)),(H46*1000/(M46*K46*L46)))))</f>
        <v>0.83480213384450297</v>
      </c>
      <c r="O46" s="342">
        <f t="shared" ref="O46:O60" si="560">IF(G46="MOTOR",(6*N46),IF(G46="VFD",(1*N46),0))</f>
        <v>5.008812803067018</v>
      </c>
      <c r="P46" s="343">
        <f t="shared" ref="P46:P60" si="561">IF(G46="MOTOR",0.2,"0.00")</f>
        <v>0.2</v>
      </c>
      <c r="Q46" s="350">
        <v>65</v>
      </c>
      <c r="R46" s="350">
        <v>0</v>
      </c>
      <c r="S46" s="350">
        <f t="shared" ref="S46:S60" si="562">(Q46*1000*SQRT(R46)/143)</f>
        <v>0</v>
      </c>
      <c r="T46" s="343" t="s">
        <v>332</v>
      </c>
      <c r="U46" s="350" t="s">
        <v>333</v>
      </c>
      <c r="V46" s="343">
        <v>4</v>
      </c>
      <c r="W46" s="343" t="str">
        <f t="shared" ref="W46:W60" si="563">CONCATENATE(U46," X ",V46)</f>
        <v>3C X 4</v>
      </c>
      <c r="X46" s="343" t="str">
        <f t="shared" ref="X46:X60" si="564">(IF(J46="1Ph",W46,IF(J46="3Ph",(IF(G46="MOTOR",(CONCATENATE(W46,"+PE")),W46)))))</f>
        <v>3C X 4+PE</v>
      </c>
      <c r="Y46" s="343" t="s">
        <v>358</v>
      </c>
      <c r="Z46" s="344">
        <f>IF(T46="AIR",VLOOKUP(W46,'Catalogue Aluminium'!$B$9:$G$93,2,FALSE),IF(T46="GROUND",VLOOKUP(W46,'Catalogue Aluminium'!$B$9:$G$93,3,FALSE),IF(T46="DUCT",VLOOKUP(W46,'Catalogue Aluminium'!$B$9:$G$93,4,FALSE),IF(T46="TRENCH",VLOOKUP(W46,'Catalogue Aluminium'!$B$9:$G$93,2,FALSE)))))</f>
        <v>38</v>
      </c>
      <c r="AA46" s="345">
        <f>VLOOKUP(W46,'Catalogue Aluminium'!$B$9:$G$93,5,FALSE)</f>
        <v>5.9</v>
      </c>
      <c r="AB46" s="345">
        <f>VLOOKUP(W46,'Catalogue Aluminium'!$B$9:$G$93,6,FALSE)</f>
        <v>9.4700000000000006E-2</v>
      </c>
      <c r="AC46" s="343">
        <v>22</v>
      </c>
      <c r="AD46" s="346">
        <f>6+6.7+4.7+19</f>
        <v>36.4</v>
      </c>
      <c r="AE46" s="343">
        <v>20</v>
      </c>
      <c r="AF46" s="343">
        <v>8</v>
      </c>
      <c r="AG46" s="343">
        <f t="shared" si="134"/>
        <v>9</v>
      </c>
      <c r="AH46" s="347">
        <f t="shared" si="227"/>
        <v>95.4</v>
      </c>
      <c r="AI46" s="344">
        <f>IF(T46="AIR",'Catalogue Aluminium'!$K$9,IF(T46="TRENCH",'Catalogue Aluminium'!$K$12,"NA"))</f>
        <v>0.89</v>
      </c>
      <c r="AJ46" s="342">
        <f>IF(T46="Air",(IF(U46="1C",'Catalogue Aluminium'!$L$9,'Catalogue Aluminium'!$M$9)),IF(T46="DUCT",(IF($U46="1C",'Catalogue Aluminium'!$L$10,'Catalogue Aluminium'!$M$10)),IF(T46="GROUND",(IF($U46="1C",'Catalogue Aluminium'!$L$11,'Catalogue Aluminium'!$M$11)),IF(T46="TRENCH",(IF($U46="1C",'Catalogue Aluminium'!$L$12,'Catalogue Aluminium'!$M$12))))))</f>
        <v>0.66</v>
      </c>
      <c r="AK46" s="344" t="str">
        <f>IF(T46="Air",'Catalogue Aluminium'!$N$9,IF(T46="GROUND",'Catalogue Aluminium'!$N$10,IF(T46="DUCT",'Catalogue Aluminium'!$N$11,IF(T46="TRENCH",'Catalogue Aluminium'!$N$12,"NA"))))</f>
        <v>NA</v>
      </c>
      <c r="AL46" s="344" t="str">
        <f>IF(T46="Air",(IF(U46="1C",'Catalogue Aluminium'!$O$9,'Catalogue Aluminium'!$P$9)),IF(T46="DUCT",(IF($U46="1C",'Catalogue Aluminium'!$O$10,'Catalogue Aluminium'!$P$10)),IF(T46="GROUND",(IF($U46="1C",'Catalogue Aluminium'!$O$11,'Catalogue Aluminium'!$P$11)),IF(T46="TRENCH",(IF($U46="1C",'Catalogue Aluminium'!$O$12,'Catalogue Aluminium'!$P$12))))))</f>
        <v>NA</v>
      </c>
      <c r="AM46" s="344" t="str">
        <f>IF(T46="AIR","NA",IF(T46="TRENCH","NA",IF(T46="DUCT",IF(U46="1C",VLOOKUP(V46,'Catalogue Aluminium'!$Q$9:$S$28,2,FALSE),VLOOKUP(V46,'Catalogue Aluminium'!$Q$9:$S$28,3)),IF(T46="GROUND",IF(U46="1C",VLOOKUP(V46,'Catalogue Aluminium'!$Q$9:$S$28,2,FALSE),VLOOKUP(V46,'Catalogue Aluminium'!$Q$9:$S$28,3))))))</f>
        <v>NA</v>
      </c>
      <c r="AN46" s="351">
        <f t="shared" ref="AN46:AN60" si="565">IF(T46="AIR",AI46*AJ46,IF(T46="TRENCH",AI46*AJ46,IF(T46="DUCT",AJ46*AK46*AL46*AM46,IF(T46="GROUND",AJ46*AK46*AL46*AM46))))</f>
        <v>0.58740000000000003</v>
      </c>
      <c r="AO46" s="350">
        <f t="shared" ref="AO46:AO60" si="566">Z46*AN46</f>
        <v>22.321200000000001</v>
      </c>
      <c r="AP46" s="349">
        <f t="shared" ref="AP46:AP60" si="567">CEILING(((N46)/AO46),1)</f>
        <v>1</v>
      </c>
      <c r="AQ46" s="350" t="str">
        <f t="shared" ref="AQ46:AQ60" si="568">IF(AO46*AP46&gt;=N46,"YES","NO")</f>
        <v>YES</v>
      </c>
      <c r="AR46" s="351">
        <f t="shared" si="136"/>
        <v>0.15475703262349075</v>
      </c>
      <c r="AS46" s="343" t="str">
        <f t="shared" si="137"/>
        <v>YES</v>
      </c>
      <c r="AT46" s="351">
        <f t="shared" ref="AT46:AT60" si="569">IF(G46="MOTOR",(SQRT(3)*AH46*O46*((AA46*P46)+(AB46*SIN(ACOS(P46))))*100/(AP46*K46*1000)),"NA")</f>
        <v>0.26335370363755178</v>
      </c>
      <c r="AU46" s="343" t="str">
        <f t="shared" ref="AU46:AU60" si="570">IF(G46="MOTOR",IF(AT46&lt;=15,"YES","NO"),"NA")</f>
        <v>YES</v>
      </c>
      <c r="AV46" s="354" t="str">
        <f t="shared" ref="AV46:AV60" si="571">IF(U46="1C",CONCATENATE(AP46,"R x ",Y46,"kV x ",U46," x ",V46," Sqmm/Phase"),CONCATENATE(AP46,"R x ",0.6,"/1kV x ",U46," x ",V46," Sqmm"))</f>
        <v>1R x 0.6/1kV x 3C x 4 Sqmm</v>
      </c>
      <c r="AW46" s="354" t="str">
        <f t="shared" si="213"/>
        <v>1R x 0.6/1kV x 3C x 4+PE Sqmm</v>
      </c>
      <c r="AX46" s="343">
        <f t="shared" ref="AX46:AX60" si="572">(IF(K46=400,(IF(U46="1C",(4*AH46*AP46),(AH46*AP46))),IF(K46=230,(AH46*AP46))))</f>
        <v>95.4</v>
      </c>
      <c r="AY46" s="355"/>
      <c r="AZ46" s="355">
        <f t="shared" ref="AZ46:AZ60" si="573">IF(U46="1C",(3*AP46*2),(AP46*2))</f>
        <v>2</v>
      </c>
      <c r="BA46" s="356" t="str">
        <f t="shared" ref="BA46:BA60" si="574">CONCATENATE(IF(BE46=1,BE$4,""),IF(BF46=1,BF$4,""),IF(BG46=1,BG$4,""),IF(BH46=1,BH$4,""),IF(BI46=1,BI$4,""),IF(BJ46=1,BJ$4,""),IF(BK46=1,BK$4,""),IF(BL46=1,BL$4,""),IF(BM46=1,BM$4,""),IF(BN46=1,BN$4,""),IF(BO46=1,BO$4,""),IF(BP46=1,BP$4,""),IF(BQ46=1,BQ$4,""),IF(BR46=1,BR$4,""),IF(BS46=1,BS$4,""),IF(BT46=1,BT$4,""),IF(BU46=1,BU$4,""),IF(BV46=1,BV$4,""),IF(BW46=1,BW$4,""),IF(BX46=1,BX$4,""),IF(BY46=1,BY$4,""),IF(BZ46=1,BZ$4,""),IF(CA46=1,CA$4,""),IF(CB46=1,CB$4,""),IF(CC46=1,CC$4,""),IF(CD46=1,CD$4,""),IF(CE46=1,CE$4,""),IF(CF46=1,CF$4,""),IF(CG46=1,CG$4,""),IF(CH46=1,CH$4,""),IF(CI46=1,CI$4,""),IF(CJ46=1,CJ$4,""),IF(CK46=1,CK$4,""),IF(CL46=1,CL$4,""),IF(CM46=1,CM$4,""),IF(CN46=1,CN$4,""),IF(CO46=1,CO$4,""),IF(CP46=1,CP$4,""),IF(CQ46=1,CQ$4,""),IF(CR46=1,CR$4,""),IF(CS46=1,CS$4,""),IF(CT46=1,CT$4,""),IF(CU46=1,CU$4,""),IF(CV46=1,CV$4,""),IF(CW46=1,CW$4,""),IF(CX46=1,CX$4,""),IF(CY46=1,CY$4,""),IF(CZ46=1,CZ$4,""),IF(DA46=1,DA$4,""),IF(DB46=1,DB$4,""),IF(DC46=1,DC$4,""),IF(DD46=1,DD$4,""),IF(DE46=1,DE$4,""),IF(DF46=1,DF$4,""),IF(DG46=1,DG$4,""),IF(DH46=1,DH$4,""),IF(DI46=1,DI$4,""),IF(DJ46=1,DJ$4,""),IF(DK46=1,DK$4,""),IF(DL46=1,DL$4,""),IF(DM46=1,DM$4,""),IF(DN46=1,DN$4,""),IF(DO46=1,DO$4,""),IF(DP46=1,DP$4,""),IF(DQ46=1,DQ$4,""),IF(DR46=1,DR$4,""),IF(DS46=1,DS$4,""),IF(DT46=1,DT$4,""),IF(DU46=1,DU$4,""))</f>
        <v>Q4Q5Q6</v>
      </c>
      <c r="BB46" s="501">
        <f>VLOOKUP(W46,'Catalogue Aluminium'!$B$9:$H$93,7,FALSE)</f>
        <v>15</v>
      </c>
      <c r="BC46" s="328">
        <f t="shared" ref="BC46:BC60" si="575">AP46*BB46</f>
        <v>15</v>
      </c>
      <c r="BE46" s="336"/>
      <c r="BF46" s="336"/>
      <c r="BG46" s="336"/>
      <c r="BH46" s="336"/>
      <c r="BI46" s="336"/>
      <c r="BJ46" s="336"/>
      <c r="BK46" s="336"/>
      <c r="BL46" s="336"/>
      <c r="BM46" s="336"/>
      <c r="BN46" s="336"/>
      <c r="BO46" s="336"/>
      <c r="BP46" s="336"/>
      <c r="BQ46" s="336"/>
      <c r="BR46" s="336"/>
      <c r="BS46" s="336"/>
      <c r="BT46" s="336"/>
      <c r="BU46" s="336"/>
      <c r="BV46" s="336"/>
      <c r="BW46" s="336"/>
      <c r="BX46" s="336"/>
      <c r="BY46" s="336"/>
      <c r="BZ46" s="336"/>
      <c r="CA46" s="336"/>
      <c r="CB46" s="336"/>
      <c r="CC46" s="336"/>
      <c r="CD46" s="336"/>
      <c r="CE46" s="336"/>
      <c r="CF46" s="336"/>
      <c r="CG46" s="336"/>
      <c r="CH46" s="336"/>
      <c r="CI46" s="336"/>
      <c r="CJ46" s="336"/>
      <c r="CK46" s="336"/>
      <c r="CL46" s="336"/>
      <c r="CM46" s="336"/>
      <c r="CN46" s="336"/>
      <c r="CO46" s="336"/>
      <c r="CP46" s="336"/>
      <c r="CQ46" s="336"/>
      <c r="CR46" s="336"/>
      <c r="CS46" s="336"/>
      <c r="CT46" s="336"/>
      <c r="CU46" s="336"/>
      <c r="CV46" s="336"/>
      <c r="CW46" s="336"/>
      <c r="CX46" s="336"/>
      <c r="CY46" s="336"/>
      <c r="CZ46" s="336"/>
      <c r="DA46" s="336"/>
      <c r="DB46" s="336">
        <v>1</v>
      </c>
      <c r="DC46" s="336">
        <v>1</v>
      </c>
      <c r="DD46" s="336">
        <v>1</v>
      </c>
      <c r="DE46" s="336"/>
      <c r="DF46" s="336"/>
      <c r="DG46" s="336"/>
      <c r="DH46" s="336"/>
      <c r="DI46" s="336"/>
      <c r="DJ46" s="741"/>
      <c r="DK46" s="741"/>
      <c r="DL46" s="741"/>
      <c r="DM46" s="741"/>
      <c r="DN46" s="741"/>
      <c r="DO46" s="741"/>
      <c r="DP46" s="741"/>
      <c r="DQ46" s="336"/>
      <c r="DR46" s="741"/>
      <c r="DS46" s="741"/>
      <c r="DT46" s="741"/>
      <c r="DU46" s="336"/>
      <c r="DW46" s="336">
        <f t="shared" si="80"/>
        <v>0</v>
      </c>
      <c r="DX46" s="336">
        <f t="shared" si="1"/>
        <v>0</v>
      </c>
      <c r="DY46" s="336">
        <f t="shared" si="2"/>
        <v>0</v>
      </c>
      <c r="DZ46" s="336">
        <f t="shared" si="3"/>
        <v>0</v>
      </c>
      <c r="EA46" s="336">
        <f t="shared" si="4"/>
        <v>0</v>
      </c>
      <c r="EB46" s="336">
        <f t="shared" si="5"/>
        <v>0</v>
      </c>
      <c r="EC46" s="336">
        <f t="shared" si="6"/>
        <v>0</v>
      </c>
      <c r="ED46" s="336">
        <f t="shared" si="7"/>
        <v>0</v>
      </c>
      <c r="EE46" s="336">
        <f t="shared" si="8"/>
        <v>0</v>
      </c>
      <c r="EF46" s="336">
        <f t="shared" si="9"/>
        <v>0</v>
      </c>
      <c r="EG46" s="336">
        <f t="shared" si="10"/>
        <v>0</v>
      </c>
      <c r="EH46" s="336">
        <f t="shared" si="11"/>
        <v>0</v>
      </c>
      <c r="EI46" s="336">
        <f t="shared" si="12"/>
        <v>0</v>
      </c>
      <c r="EJ46" s="336">
        <f t="shared" si="13"/>
        <v>0</v>
      </c>
      <c r="EK46" s="336">
        <f t="shared" si="14"/>
        <v>0</v>
      </c>
      <c r="EL46" s="336">
        <f t="shared" si="15"/>
        <v>0</v>
      </c>
      <c r="EM46" s="336">
        <f t="shared" si="16"/>
        <v>0</v>
      </c>
      <c r="EN46" s="336">
        <f t="shared" si="17"/>
        <v>0</v>
      </c>
      <c r="EO46" s="336">
        <f t="shared" si="18"/>
        <v>0</v>
      </c>
      <c r="EP46" s="336">
        <f t="shared" si="19"/>
        <v>0</v>
      </c>
      <c r="EQ46" s="336">
        <f t="shared" si="20"/>
        <v>0</v>
      </c>
      <c r="ER46" s="336">
        <f t="shared" si="21"/>
        <v>0</v>
      </c>
      <c r="ES46" s="336">
        <f t="shared" si="22"/>
        <v>0</v>
      </c>
      <c r="ET46" s="336">
        <f t="shared" si="22"/>
        <v>0</v>
      </c>
      <c r="EU46" s="336">
        <f t="shared" si="23"/>
        <v>0</v>
      </c>
      <c r="EV46" s="336">
        <f t="shared" si="24"/>
        <v>0</v>
      </c>
      <c r="EW46" s="336">
        <f t="shared" si="25"/>
        <v>0</v>
      </c>
      <c r="EX46" s="336">
        <f t="shared" si="26"/>
        <v>0</v>
      </c>
      <c r="EY46" s="336">
        <f t="shared" si="27"/>
        <v>0</v>
      </c>
      <c r="EZ46" s="336">
        <f t="shared" si="28"/>
        <v>0</v>
      </c>
      <c r="FA46" s="336">
        <f t="shared" si="29"/>
        <v>0</v>
      </c>
      <c r="FB46" s="336">
        <f t="shared" si="30"/>
        <v>0</v>
      </c>
      <c r="FC46" s="336">
        <f t="shared" si="31"/>
        <v>0</v>
      </c>
      <c r="FD46" s="336">
        <f t="shared" si="32"/>
        <v>0</v>
      </c>
      <c r="FE46" s="336">
        <f t="shared" si="33"/>
        <v>0</v>
      </c>
      <c r="FF46" s="336">
        <f t="shared" si="34"/>
        <v>0</v>
      </c>
      <c r="FG46" s="336">
        <f t="shared" si="35"/>
        <v>0</v>
      </c>
      <c r="FH46" s="336">
        <f t="shared" si="36"/>
        <v>0</v>
      </c>
      <c r="FI46" s="336">
        <f t="shared" si="37"/>
        <v>0</v>
      </c>
      <c r="FJ46" s="336">
        <f t="shared" si="38"/>
        <v>0</v>
      </c>
      <c r="FK46" s="336">
        <f t="shared" si="39"/>
        <v>0</v>
      </c>
      <c r="FL46" s="336">
        <f t="shared" si="40"/>
        <v>0</v>
      </c>
      <c r="FM46" s="336">
        <f t="shared" si="41"/>
        <v>0</v>
      </c>
      <c r="FN46" s="336">
        <f t="shared" si="42"/>
        <v>0</v>
      </c>
      <c r="FO46" s="336">
        <f t="shared" si="43"/>
        <v>0</v>
      </c>
      <c r="FP46" s="336">
        <f t="shared" si="44"/>
        <v>0</v>
      </c>
      <c r="FQ46" s="336">
        <f t="shared" si="45"/>
        <v>0</v>
      </c>
      <c r="FR46" s="336">
        <f t="shared" si="46"/>
        <v>0</v>
      </c>
      <c r="FS46" s="336">
        <f t="shared" si="47"/>
        <v>0</v>
      </c>
      <c r="FT46" s="336">
        <f t="shared" si="48"/>
        <v>15</v>
      </c>
      <c r="FU46" s="336">
        <f t="shared" si="553"/>
        <v>15</v>
      </c>
      <c r="FV46" s="336">
        <f t="shared" si="554"/>
        <v>15</v>
      </c>
      <c r="FW46" s="336">
        <f t="shared" si="555"/>
        <v>0</v>
      </c>
      <c r="FX46" s="336">
        <f t="shared" si="556"/>
        <v>0</v>
      </c>
      <c r="FY46" s="336">
        <f t="shared" si="53"/>
        <v>0</v>
      </c>
      <c r="FZ46" s="336">
        <f t="shared" si="54"/>
        <v>0</v>
      </c>
      <c r="GA46" s="336">
        <f t="shared" si="55"/>
        <v>0</v>
      </c>
      <c r="GB46" s="336">
        <f t="shared" si="56"/>
        <v>0</v>
      </c>
      <c r="GC46" s="336">
        <f t="shared" si="57"/>
        <v>0</v>
      </c>
      <c r="GD46" s="336">
        <f t="shared" si="58"/>
        <v>0</v>
      </c>
      <c r="GE46" s="336">
        <f t="shared" si="59"/>
        <v>0</v>
      </c>
      <c r="GF46" s="336">
        <f t="shared" si="60"/>
        <v>0</v>
      </c>
      <c r="GG46" s="336">
        <f t="shared" si="61"/>
        <v>0</v>
      </c>
      <c r="GH46" s="336">
        <f t="shared" si="62"/>
        <v>0</v>
      </c>
      <c r="GI46" s="336">
        <f t="shared" si="63"/>
        <v>0</v>
      </c>
      <c r="GJ46" s="336">
        <f t="shared" si="64"/>
        <v>0</v>
      </c>
      <c r="GK46" s="336">
        <f t="shared" si="65"/>
        <v>0</v>
      </c>
      <c r="GL46" s="336">
        <f t="shared" si="557"/>
        <v>0</v>
      </c>
      <c r="GM46" s="336">
        <f t="shared" si="66"/>
        <v>0</v>
      </c>
    </row>
    <row r="47" spans="1:195" ht="19.5" customHeight="1">
      <c r="A47" s="337">
        <f>A46+1</f>
        <v>36</v>
      </c>
      <c r="B47" s="406" t="s">
        <v>1722</v>
      </c>
      <c r="C47" s="372" t="str">
        <f t="shared" si="558"/>
        <v>PMCC-2</v>
      </c>
      <c r="D47" s="372" t="s">
        <v>1138</v>
      </c>
      <c r="E47" s="569" t="s">
        <v>387</v>
      </c>
      <c r="F47" s="337" t="s">
        <v>29</v>
      </c>
      <c r="G47" s="337" t="s">
        <v>350</v>
      </c>
      <c r="H47" s="350">
        <v>0.37</v>
      </c>
      <c r="I47" s="337" t="s">
        <v>330</v>
      </c>
      <c r="J47" s="337" t="s">
        <v>331</v>
      </c>
      <c r="K47" s="349">
        <v>400</v>
      </c>
      <c r="L47" s="343">
        <v>0.75</v>
      </c>
      <c r="M47" s="350">
        <v>0.85299999999999998</v>
      </c>
      <c r="N47" s="342">
        <f t="shared" si="559"/>
        <v>0.83480213384450297</v>
      </c>
      <c r="O47" s="342">
        <f t="shared" si="560"/>
        <v>5.008812803067018</v>
      </c>
      <c r="P47" s="343">
        <f t="shared" si="561"/>
        <v>0.2</v>
      </c>
      <c r="Q47" s="350">
        <v>65</v>
      </c>
      <c r="R47" s="350">
        <v>0</v>
      </c>
      <c r="S47" s="350">
        <f t="shared" si="562"/>
        <v>0</v>
      </c>
      <c r="T47" s="343" t="s">
        <v>332</v>
      </c>
      <c r="U47" s="350" t="s">
        <v>333</v>
      </c>
      <c r="V47" s="343">
        <v>4</v>
      </c>
      <c r="W47" s="343" t="str">
        <f t="shared" si="563"/>
        <v>3C X 4</v>
      </c>
      <c r="X47" s="343" t="str">
        <f t="shared" si="564"/>
        <v>3C X 4+PE</v>
      </c>
      <c r="Y47" s="343" t="s">
        <v>358</v>
      </c>
      <c r="Z47" s="344">
        <f>IF(T47="AIR",VLOOKUP(W47,'Catalogue Aluminium'!$B$9:$G$93,2,FALSE),IF(T47="GROUND",VLOOKUP(W47,'Catalogue Aluminium'!$B$9:$G$93,3,FALSE),IF(T47="DUCT",VLOOKUP(W47,'Catalogue Aluminium'!$B$9:$G$93,4,FALSE),IF(T47="TRENCH",VLOOKUP(W47,'Catalogue Aluminium'!$B$9:$G$93,2,FALSE)))))</f>
        <v>38</v>
      </c>
      <c r="AA47" s="345">
        <f>VLOOKUP(W47,'Catalogue Aluminium'!$B$9:$G$93,5,FALSE)</f>
        <v>5.9</v>
      </c>
      <c r="AB47" s="345">
        <f>VLOOKUP(W47,'Catalogue Aluminium'!$B$9:$G$93,6,FALSE)</f>
        <v>9.4700000000000006E-2</v>
      </c>
      <c r="AC47" s="343">
        <f>9.5+2.5</f>
        <v>12</v>
      </c>
      <c r="AD47" s="346">
        <f t="shared" ref="AD47:AD72" si="576">6+6.7+4.7+19</f>
        <v>36.4</v>
      </c>
      <c r="AE47" s="343">
        <v>20</v>
      </c>
      <c r="AF47" s="343">
        <v>8</v>
      </c>
      <c r="AG47" s="343">
        <f t="shared" si="134"/>
        <v>8</v>
      </c>
      <c r="AH47" s="347">
        <f t="shared" si="227"/>
        <v>84.4</v>
      </c>
      <c r="AI47" s="344">
        <f>IF(T47="AIR",'Catalogue Aluminium'!$K$9,IF(T47="TRENCH",'Catalogue Aluminium'!$K$12,"NA"))</f>
        <v>0.89</v>
      </c>
      <c r="AJ47" s="342">
        <f>IF(T47="Air",(IF(U47="1C",'Catalogue Aluminium'!$L$9,'Catalogue Aluminium'!$M$9)),IF(T47="DUCT",(IF($U47="1C",'Catalogue Aluminium'!$L$10,'Catalogue Aluminium'!$M$10)),IF(T47="GROUND",(IF($U47="1C",'Catalogue Aluminium'!$L$11,'Catalogue Aluminium'!$M$11)),IF(T47="TRENCH",(IF($U47="1C",'Catalogue Aluminium'!$L$12,'Catalogue Aluminium'!$M$12))))))</f>
        <v>0.66</v>
      </c>
      <c r="AK47" s="344" t="str">
        <f>IF(T47="Air",'Catalogue Aluminium'!$N$9,IF(T47="GROUND",'Catalogue Aluminium'!$N$10,IF(T47="DUCT",'Catalogue Aluminium'!$N$11,IF(T47="TRENCH",'Catalogue Aluminium'!$N$12,"NA"))))</f>
        <v>NA</v>
      </c>
      <c r="AL47" s="344" t="str">
        <f>IF(T47="Air",(IF(U47="1C",'Catalogue Aluminium'!$O$9,'Catalogue Aluminium'!$P$9)),IF(T47="DUCT",(IF($U47="1C",'Catalogue Aluminium'!$O$10,'Catalogue Aluminium'!$P$10)),IF(T47="GROUND",(IF($U47="1C",'Catalogue Aluminium'!$O$11,'Catalogue Aluminium'!$P$11)),IF(T47="TRENCH",(IF($U47="1C",'Catalogue Aluminium'!$O$12,'Catalogue Aluminium'!$P$12))))))</f>
        <v>NA</v>
      </c>
      <c r="AM47" s="344" t="str">
        <f>IF(T47="AIR","NA",IF(T47="TRENCH","NA",IF(T47="DUCT",IF(U47="1C",VLOOKUP(V47,'Catalogue Aluminium'!$Q$9:$S$28,2,FALSE),VLOOKUP(V47,'Catalogue Aluminium'!$Q$9:$S$28,3)),IF(T47="GROUND",IF(U47="1C",VLOOKUP(V47,'Catalogue Aluminium'!$Q$9:$S$28,2,FALSE),VLOOKUP(V47,'Catalogue Aluminium'!$Q$9:$S$28,3))))))</f>
        <v>NA</v>
      </c>
      <c r="AN47" s="351">
        <f t="shared" si="565"/>
        <v>0.58740000000000003</v>
      </c>
      <c r="AO47" s="350">
        <f t="shared" si="566"/>
        <v>22.321200000000001</v>
      </c>
      <c r="AP47" s="349">
        <f t="shared" si="567"/>
        <v>1</v>
      </c>
      <c r="AQ47" s="350" t="str">
        <f t="shared" si="568"/>
        <v>YES</v>
      </c>
      <c r="AR47" s="351">
        <f t="shared" si="136"/>
        <v>0.13691293032937757</v>
      </c>
      <c r="AS47" s="343" t="str">
        <f t="shared" si="137"/>
        <v>YES</v>
      </c>
      <c r="AT47" s="351">
        <f t="shared" si="569"/>
        <v>0.23298797261016113</v>
      </c>
      <c r="AU47" s="343" t="str">
        <f t="shared" si="570"/>
        <v>YES</v>
      </c>
      <c r="AV47" s="354" t="str">
        <f t="shared" si="571"/>
        <v>1R x 0.6/1kV x 3C x 4 Sqmm</v>
      </c>
      <c r="AW47" s="354" t="str">
        <f t="shared" si="213"/>
        <v>1R x 0.6/1kV x 3C x 4+PE Sqmm</v>
      </c>
      <c r="AX47" s="343">
        <f t="shared" si="572"/>
        <v>84.4</v>
      </c>
      <c r="AY47" s="355"/>
      <c r="AZ47" s="355">
        <f t="shared" si="573"/>
        <v>2</v>
      </c>
      <c r="BA47" s="356" t="str">
        <f t="shared" si="574"/>
        <v>Q4Q5Q6</v>
      </c>
      <c r="BB47" s="501">
        <f>VLOOKUP(W47,'Catalogue Aluminium'!$B$9:$H$93,7,FALSE)</f>
        <v>15</v>
      </c>
      <c r="BC47" s="328">
        <f t="shared" si="575"/>
        <v>15</v>
      </c>
      <c r="BE47" s="336"/>
      <c r="BF47" s="336"/>
      <c r="BG47" s="336"/>
      <c r="BH47" s="336"/>
      <c r="BI47" s="336"/>
      <c r="BJ47" s="336"/>
      <c r="BK47" s="336"/>
      <c r="BL47" s="336"/>
      <c r="BM47" s="336"/>
      <c r="BN47" s="336"/>
      <c r="BO47" s="336"/>
      <c r="BP47" s="336"/>
      <c r="BQ47" s="336"/>
      <c r="BR47" s="336"/>
      <c r="BS47" s="336"/>
      <c r="BT47" s="336"/>
      <c r="BU47" s="336"/>
      <c r="BV47" s="336"/>
      <c r="BW47" s="336"/>
      <c r="BX47" s="336"/>
      <c r="BY47" s="336"/>
      <c r="BZ47" s="336"/>
      <c r="CA47" s="336"/>
      <c r="CB47" s="336"/>
      <c r="CC47" s="336"/>
      <c r="CD47" s="336"/>
      <c r="CE47" s="336"/>
      <c r="CF47" s="336"/>
      <c r="CG47" s="336"/>
      <c r="CH47" s="336"/>
      <c r="CI47" s="336"/>
      <c r="CJ47" s="336"/>
      <c r="CK47" s="336"/>
      <c r="CL47" s="336"/>
      <c r="CM47" s="336"/>
      <c r="CN47" s="336"/>
      <c r="CO47" s="336"/>
      <c r="CP47" s="336"/>
      <c r="CQ47" s="336"/>
      <c r="CR47" s="336"/>
      <c r="CS47" s="336"/>
      <c r="CT47" s="336"/>
      <c r="CU47" s="336"/>
      <c r="CV47" s="336"/>
      <c r="CW47" s="336"/>
      <c r="CX47" s="336"/>
      <c r="CY47" s="336"/>
      <c r="CZ47" s="336"/>
      <c r="DA47" s="336"/>
      <c r="DB47" s="336">
        <v>1</v>
      </c>
      <c r="DC47" s="336">
        <v>1</v>
      </c>
      <c r="DD47" s="336">
        <v>1</v>
      </c>
      <c r="DE47" s="336"/>
      <c r="DF47" s="336"/>
      <c r="DG47" s="336"/>
      <c r="DH47" s="336"/>
      <c r="DI47" s="336"/>
      <c r="DJ47" s="741"/>
      <c r="DK47" s="741"/>
      <c r="DL47" s="741"/>
      <c r="DM47" s="741"/>
      <c r="DN47" s="741"/>
      <c r="DO47" s="741"/>
      <c r="DP47" s="741"/>
      <c r="DQ47" s="336"/>
      <c r="DR47" s="741"/>
      <c r="DS47" s="741"/>
      <c r="DT47" s="741"/>
      <c r="DU47" s="336"/>
      <c r="DW47" s="336">
        <f t="shared" si="80"/>
        <v>0</v>
      </c>
      <c r="DX47" s="336">
        <f t="shared" si="1"/>
        <v>0</v>
      </c>
      <c r="DY47" s="336">
        <f t="shared" si="2"/>
        <v>0</v>
      </c>
      <c r="DZ47" s="336">
        <f t="shared" si="3"/>
        <v>0</v>
      </c>
      <c r="EA47" s="336">
        <f t="shared" si="4"/>
        <v>0</v>
      </c>
      <c r="EB47" s="336">
        <f t="shared" si="5"/>
        <v>0</v>
      </c>
      <c r="EC47" s="336">
        <f t="shared" si="6"/>
        <v>0</v>
      </c>
      <c r="ED47" s="336">
        <f t="shared" si="7"/>
        <v>0</v>
      </c>
      <c r="EE47" s="336">
        <f t="shared" si="8"/>
        <v>0</v>
      </c>
      <c r="EF47" s="336">
        <f t="shared" si="9"/>
        <v>0</v>
      </c>
      <c r="EG47" s="336">
        <f t="shared" si="10"/>
        <v>0</v>
      </c>
      <c r="EH47" s="336">
        <f t="shared" si="11"/>
        <v>0</v>
      </c>
      <c r="EI47" s="336">
        <f t="shared" si="12"/>
        <v>0</v>
      </c>
      <c r="EJ47" s="336">
        <f t="shared" si="13"/>
        <v>0</v>
      </c>
      <c r="EK47" s="336">
        <f t="shared" si="14"/>
        <v>0</v>
      </c>
      <c r="EL47" s="336">
        <f t="shared" si="15"/>
        <v>0</v>
      </c>
      <c r="EM47" s="336">
        <f t="shared" si="16"/>
        <v>0</v>
      </c>
      <c r="EN47" s="336">
        <f t="shared" si="17"/>
        <v>0</v>
      </c>
      <c r="EO47" s="336">
        <f t="shared" si="18"/>
        <v>0</v>
      </c>
      <c r="EP47" s="336">
        <f t="shared" si="19"/>
        <v>0</v>
      </c>
      <c r="EQ47" s="336">
        <f t="shared" si="20"/>
        <v>0</v>
      </c>
      <c r="ER47" s="336">
        <f t="shared" si="21"/>
        <v>0</v>
      </c>
      <c r="ES47" s="336">
        <f t="shared" si="22"/>
        <v>0</v>
      </c>
      <c r="ET47" s="336">
        <f t="shared" si="22"/>
        <v>0</v>
      </c>
      <c r="EU47" s="336">
        <f t="shared" si="23"/>
        <v>0</v>
      </c>
      <c r="EV47" s="336">
        <f t="shared" si="24"/>
        <v>0</v>
      </c>
      <c r="EW47" s="336">
        <f t="shared" si="25"/>
        <v>0</v>
      </c>
      <c r="EX47" s="336">
        <f t="shared" si="26"/>
        <v>0</v>
      </c>
      <c r="EY47" s="336">
        <f t="shared" si="27"/>
        <v>0</v>
      </c>
      <c r="EZ47" s="336">
        <f t="shared" si="28"/>
        <v>0</v>
      </c>
      <c r="FA47" s="336">
        <f t="shared" si="29"/>
        <v>0</v>
      </c>
      <c r="FB47" s="336">
        <f t="shared" si="30"/>
        <v>0</v>
      </c>
      <c r="FC47" s="336">
        <f t="shared" si="31"/>
        <v>0</v>
      </c>
      <c r="FD47" s="336">
        <f t="shared" si="32"/>
        <v>0</v>
      </c>
      <c r="FE47" s="336">
        <f t="shared" si="33"/>
        <v>0</v>
      </c>
      <c r="FF47" s="336">
        <f t="shared" si="34"/>
        <v>0</v>
      </c>
      <c r="FG47" s="336">
        <f t="shared" si="35"/>
        <v>0</v>
      </c>
      <c r="FH47" s="336">
        <f t="shared" si="36"/>
        <v>0</v>
      </c>
      <c r="FI47" s="336">
        <f t="shared" si="37"/>
        <v>0</v>
      </c>
      <c r="FJ47" s="336">
        <f t="shared" si="38"/>
        <v>0</v>
      </c>
      <c r="FK47" s="336">
        <f t="shared" si="39"/>
        <v>0</v>
      </c>
      <c r="FL47" s="336">
        <f t="shared" si="40"/>
        <v>0</v>
      </c>
      <c r="FM47" s="336">
        <f t="shared" si="41"/>
        <v>0</v>
      </c>
      <c r="FN47" s="336">
        <f t="shared" si="42"/>
        <v>0</v>
      </c>
      <c r="FO47" s="336">
        <f t="shared" si="43"/>
        <v>0</v>
      </c>
      <c r="FP47" s="336">
        <f t="shared" si="44"/>
        <v>0</v>
      </c>
      <c r="FQ47" s="336">
        <f t="shared" si="45"/>
        <v>0</v>
      </c>
      <c r="FR47" s="336">
        <f t="shared" si="46"/>
        <v>0</v>
      </c>
      <c r="FS47" s="336">
        <f t="shared" si="47"/>
        <v>0</v>
      </c>
      <c r="FT47" s="336">
        <f t="shared" si="48"/>
        <v>15</v>
      </c>
      <c r="FU47" s="336">
        <f t="shared" si="553"/>
        <v>15</v>
      </c>
      <c r="FV47" s="336">
        <f t="shared" si="554"/>
        <v>15</v>
      </c>
      <c r="FW47" s="336">
        <f t="shared" si="555"/>
        <v>0</v>
      </c>
      <c r="FX47" s="336">
        <f t="shared" si="556"/>
        <v>0</v>
      </c>
      <c r="FY47" s="336">
        <f t="shared" si="53"/>
        <v>0</v>
      </c>
      <c r="FZ47" s="336">
        <f t="shared" si="54"/>
        <v>0</v>
      </c>
      <c r="GA47" s="336">
        <f t="shared" si="55"/>
        <v>0</v>
      </c>
      <c r="GB47" s="336">
        <f t="shared" si="56"/>
        <v>0</v>
      </c>
      <c r="GC47" s="336">
        <f t="shared" si="57"/>
        <v>0</v>
      </c>
      <c r="GD47" s="336">
        <f t="shared" si="58"/>
        <v>0</v>
      </c>
      <c r="GE47" s="336">
        <f t="shared" si="59"/>
        <v>0</v>
      </c>
      <c r="GF47" s="336">
        <f t="shared" si="60"/>
        <v>0</v>
      </c>
      <c r="GG47" s="336">
        <f t="shared" si="61"/>
        <v>0</v>
      </c>
      <c r="GH47" s="336">
        <f t="shared" si="62"/>
        <v>0</v>
      </c>
      <c r="GI47" s="336">
        <f t="shared" si="63"/>
        <v>0</v>
      </c>
      <c r="GJ47" s="336">
        <f t="shared" si="64"/>
        <v>0</v>
      </c>
      <c r="GK47" s="336">
        <f t="shared" si="65"/>
        <v>0</v>
      </c>
      <c r="GL47" s="336">
        <f t="shared" si="557"/>
        <v>0</v>
      </c>
      <c r="GM47" s="336">
        <f t="shared" si="66"/>
        <v>0</v>
      </c>
    </row>
    <row r="48" spans="1:195" ht="20.100000000000001" customHeight="1">
      <c r="A48" s="337">
        <f>A47+1</f>
        <v>37</v>
      </c>
      <c r="B48" s="337" t="s">
        <v>527</v>
      </c>
      <c r="C48" s="372" t="str">
        <f t="shared" si="558"/>
        <v>PMCC-2</v>
      </c>
      <c r="D48" s="372" t="s">
        <v>1139</v>
      </c>
      <c r="E48" s="569" t="s">
        <v>387</v>
      </c>
      <c r="F48" s="337" t="s">
        <v>28</v>
      </c>
      <c r="G48" s="337" t="s">
        <v>350</v>
      </c>
      <c r="H48" s="350">
        <v>0.75</v>
      </c>
      <c r="I48" s="337" t="s">
        <v>330</v>
      </c>
      <c r="J48" s="337" t="s">
        <v>331</v>
      </c>
      <c r="K48" s="349">
        <v>400</v>
      </c>
      <c r="L48" s="343">
        <v>0.75</v>
      </c>
      <c r="M48" s="350">
        <v>0.85299999999999998</v>
      </c>
      <c r="N48" s="342">
        <f t="shared" si="559"/>
        <v>1.6921664875226412</v>
      </c>
      <c r="O48" s="342">
        <f t="shared" si="560"/>
        <v>10.152998925135847</v>
      </c>
      <c r="P48" s="343">
        <f t="shared" si="561"/>
        <v>0.2</v>
      </c>
      <c r="Q48" s="350">
        <v>65</v>
      </c>
      <c r="R48" s="350">
        <v>0</v>
      </c>
      <c r="S48" s="350">
        <f t="shared" si="562"/>
        <v>0</v>
      </c>
      <c r="T48" s="343" t="s">
        <v>332</v>
      </c>
      <c r="U48" s="350" t="s">
        <v>333</v>
      </c>
      <c r="V48" s="343">
        <v>4</v>
      </c>
      <c r="W48" s="343" t="str">
        <f t="shared" si="563"/>
        <v>3C X 4</v>
      </c>
      <c r="X48" s="343" t="str">
        <f t="shared" si="564"/>
        <v>3C X 4+PE</v>
      </c>
      <c r="Y48" s="343" t="s">
        <v>358</v>
      </c>
      <c r="Z48" s="344">
        <f>IF(T48="AIR",VLOOKUP(W48,'Catalogue Aluminium'!$B$9:$G$93,2,FALSE),IF(T48="GROUND",VLOOKUP(W48,'Catalogue Aluminium'!$B$9:$G$93,3,FALSE),IF(T48="DUCT",VLOOKUP(W48,'Catalogue Aluminium'!$B$9:$G$93,4,FALSE),IF(T48="TRENCH",VLOOKUP(W48,'Catalogue Aluminium'!$B$9:$G$93,2,FALSE)))))</f>
        <v>38</v>
      </c>
      <c r="AA48" s="345">
        <f>VLOOKUP(W48,'Catalogue Aluminium'!$B$9:$G$93,5,FALSE)</f>
        <v>5.9</v>
      </c>
      <c r="AB48" s="345">
        <f>VLOOKUP(W48,'Catalogue Aluminium'!$B$9:$G$93,6,FALSE)</f>
        <v>9.4700000000000006E-2</v>
      </c>
      <c r="AC48" s="343">
        <v>22</v>
      </c>
      <c r="AD48" s="346">
        <f t="shared" si="576"/>
        <v>36.4</v>
      </c>
      <c r="AE48" s="343">
        <v>20</v>
      </c>
      <c r="AF48" s="343">
        <v>8</v>
      </c>
      <c r="AG48" s="343">
        <f t="shared" si="134"/>
        <v>9</v>
      </c>
      <c r="AH48" s="347">
        <f t="shared" si="227"/>
        <v>95.4</v>
      </c>
      <c r="AI48" s="344">
        <f>IF(T48="AIR",'Catalogue Aluminium'!$K$9,IF(T48="TRENCH",'Catalogue Aluminium'!$K$12,"NA"))</f>
        <v>0.89</v>
      </c>
      <c r="AJ48" s="342">
        <f>IF(T48="Air",(IF(U48="1C",'Catalogue Aluminium'!$L$9,'Catalogue Aluminium'!$M$9)),IF(T48="DUCT",(IF($U48="1C",'Catalogue Aluminium'!$L$10,'Catalogue Aluminium'!$M$10)),IF(T48="GROUND",(IF($U48="1C",'Catalogue Aluminium'!$L$11,'Catalogue Aluminium'!$M$11)),IF(T48="TRENCH",(IF($U48="1C",'Catalogue Aluminium'!$L$12,'Catalogue Aluminium'!$M$12))))))</f>
        <v>0.66</v>
      </c>
      <c r="AK48" s="344" t="str">
        <f>IF(T48="Air",'Catalogue Aluminium'!$N$9,IF(T48="GROUND",'Catalogue Aluminium'!$N$10,IF(T48="DUCT",'Catalogue Aluminium'!$N$11,IF(T48="TRENCH",'Catalogue Aluminium'!$N$12,"NA"))))</f>
        <v>NA</v>
      </c>
      <c r="AL48" s="344" t="str">
        <f>IF(T48="Air",(IF(U48="1C",'Catalogue Aluminium'!$O$9,'Catalogue Aluminium'!$P$9)),IF(T48="DUCT",(IF($U48="1C",'Catalogue Aluminium'!$O$10,'Catalogue Aluminium'!$P$10)),IF(T48="GROUND",(IF($U48="1C",'Catalogue Aluminium'!$O$11,'Catalogue Aluminium'!$P$11)),IF(T48="TRENCH",(IF($U48="1C",'Catalogue Aluminium'!$O$12,'Catalogue Aluminium'!$P$12))))))</f>
        <v>NA</v>
      </c>
      <c r="AM48" s="344" t="str">
        <f>IF(T48="AIR","NA",IF(T48="TRENCH","NA",IF(T48="DUCT",IF(U48="1C",VLOOKUP(V48,'Catalogue Aluminium'!$Q$9:$S$28,2,FALSE),VLOOKUP(V48,'Catalogue Aluminium'!$Q$9:$S$28,3)),IF(T48="GROUND",IF(U48="1C",VLOOKUP(V48,'Catalogue Aluminium'!$Q$9:$S$28,2,FALSE),VLOOKUP(V48,'Catalogue Aluminium'!$Q$9:$S$28,3))))))</f>
        <v>NA</v>
      </c>
      <c r="AN48" s="351">
        <f t="shared" si="565"/>
        <v>0.58740000000000003</v>
      </c>
      <c r="AO48" s="350">
        <f t="shared" si="566"/>
        <v>22.321200000000001</v>
      </c>
      <c r="AP48" s="349">
        <f t="shared" si="567"/>
        <v>1</v>
      </c>
      <c r="AQ48" s="350" t="str">
        <f t="shared" si="568"/>
        <v>YES</v>
      </c>
      <c r="AR48" s="351">
        <f t="shared" si="136"/>
        <v>0.31369668775031906</v>
      </c>
      <c r="AS48" s="343" t="str">
        <f t="shared" si="137"/>
        <v>YES</v>
      </c>
      <c r="AT48" s="351">
        <f t="shared" si="569"/>
        <v>0.5338250749409833</v>
      </c>
      <c r="AU48" s="343" t="str">
        <f t="shared" si="570"/>
        <v>YES</v>
      </c>
      <c r="AV48" s="354" t="str">
        <f t="shared" si="571"/>
        <v>1R x 0.6/1kV x 3C x 4 Sqmm</v>
      </c>
      <c r="AW48" s="354" t="str">
        <f t="shared" si="213"/>
        <v>1R x 0.6/1kV x 3C x 4+PE Sqmm</v>
      </c>
      <c r="AX48" s="343">
        <f t="shared" si="572"/>
        <v>95.4</v>
      </c>
      <c r="AY48" s="355"/>
      <c r="AZ48" s="355">
        <f t="shared" si="573"/>
        <v>2</v>
      </c>
      <c r="BA48" s="356" t="str">
        <f t="shared" si="574"/>
        <v>Q4Q5Q6</v>
      </c>
      <c r="BB48" s="501">
        <f>VLOOKUP(W48,'Catalogue Aluminium'!$B$9:$H$93,7,FALSE)</f>
        <v>15</v>
      </c>
      <c r="BC48" s="328">
        <f t="shared" si="575"/>
        <v>15</v>
      </c>
      <c r="BE48" s="336"/>
      <c r="BF48" s="336"/>
      <c r="BG48" s="336"/>
      <c r="BH48" s="336"/>
      <c r="BI48" s="336"/>
      <c r="BJ48" s="336"/>
      <c r="BK48" s="336"/>
      <c r="BL48" s="336"/>
      <c r="BM48" s="336"/>
      <c r="BN48" s="336"/>
      <c r="BO48" s="336"/>
      <c r="BP48" s="336"/>
      <c r="BQ48" s="336"/>
      <c r="BR48" s="336"/>
      <c r="BS48" s="336"/>
      <c r="BT48" s="336"/>
      <c r="BU48" s="336"/>
      <c r="BV48" s="336"/>
      <c r="BW48" s="336"/>
      <c r="BX48" s="336"/>
      <c r="BY48" s="336"/>
      <c r="BZ48" s="336"/>
      <c r="CA48" s="336"/>
      <c r="CB48" s="336"/>
      <c r="CC48" s="336"/>
      <c r="CD48" s="336"/>
      <c r="CE48" s="336"/>
      <c r="CF48" s="336"/>
      <c r="CG48" s="336"/>
      <c r="CH48" s="336"/>
      <c r="CI48" s="336"/>
      <c r="CJ48" s="336"/>
      <c r="CK48" s="336"/>
      <c r="CL48" s="336"/>
      <c r="CM48" s="336"/>
      <c r="CN48" s="336"/>
      <c r="CO48" s="336"/>
      <c r="CP48" s="336"/>
      <c r="CQ48" s="336"/>
      <c r="CR48" s="336"/>
      <c r="CS48" s="336"/>
      <c r="CT48" s="336"/>
      <c r="CU48" s="336"/>
      <c r="CV48" s="336"/>
      <c r="CW48" s="336"/>
      <c r="CX48" s="336"/>
      <c r="CY48" s="336"/>
      <c r="CZ48" s="336"/>
      <c r="DA48" s="336"/>
      <c r="DB48" s="336">
        <v>1</v>
      </c>
      <c r="DC48" s="336">
        <v>1</v>
      </c>
      <c r="DD48" s="336">
        <v>1</v>
      </c>
      <c r="DE48" s="336"/>
      <c r="DF48" s="336"/>
      <c r="DG48" s="336"/>
      <c r="DH48" s="336"/>
      <c r="DI48" s="336"/>
      <c r="DJ48" s="741"/>
      <c r="DK48" s="741"/>
      <c r="DL48" s="741"/>
      <c r="DM48" s="741"/>
      <c r="DN48" s="741"/>
      <c r="DO48" s="741"/>
      <c r="DP48" s="741"/>
      <c r="DQ48" s="336"/>
      <c r="DR48" s="741"/>
      <c r="DS48" s="741"/>
      <c r="DT48" s="741"/>
      <c r="DU48" s="336"/>
      <c r="DW48" s="336">
        <f t="shared" si="80"/>
        <v>0</v>
      </c>
      <c r="DX48" s="336">
        <f t="shared" si="1"/>
        <v>0</v>
      </c>
      <c r="DY48" s="336">
        <f t="shared" si="2"/>
        <v>0</v>
      </c>
      <c r="DZ48" s="336">
        <f t="shared" si="3"/>
        <v>0</v>
      </c>
      <c r="EA48" s="336">
        <f t="shared" si="4"/>
        <v>0</v>
      </c>
      <c r="EB48" s="336">
        <f t="shared" si="5"/>
        <v>0</v>
      </c>
      <c r="EC48" s="336">
        <f t="shared" si="6"/>
        <v>0</v>
      </c>
      <c r="ED48" s="336">
        <f t="shared" si="7"/>
        <v>0</v>
      </c>
      <c r="EE48" s="336">
        <f t="shared" si="8"/>
        <v>0</v>
      </c>
      <c r="EF48" s="336">
        <f t="shared" si="9"/>
        <v>0</v>
      </c>
      <c r="EG48" s="336">
        <f t="shared" si="10"/>
        <v>0</v>
      </c>
      <c r="EH48" s="336">
        <f t="shared" si="11"/>
        <v>0</v>
      </c>
      <c r="EI48" s="336">
        <f t="shared" si="12"/>
        <v>0</v>
      </c>
      <c r="EJ48" s="336">
        <f t="shared" si="13"/>
        <v>0</v>
      </c>
      <c r="EK48" s="336">
        <f t="shared" si="14"/>
        <v>0</v>
      </c>
      <c r="EL48" s="336">
        <f t="shared" si="15"/>
        <v>0</v>
      </c>
      <c r="EM48" s="336">
        <f t="shared" si="16"/>
        <v>0</v>
      </c>
      <c r="EN48" s="336">
        <f t="shared" si="17"/>
        <v>0</v>
      </c>
      <c r="EO48" s="336">
        <f t="shared" si="18"/>
        <v>0</v>
      </c>
      <c r="EP48" s="336">
        <f t="shared" si="19"/>
        <v>0</v>
      </c>
      <c r="EQ48" s="336">
        <f t="shared" si="20"/>
        <v>0</v>
      </c>
      <c r="ER48" s="336">
        <f t="shared" si="21"/>
        <v>0</v>
      </c>
      <c r="ES48" s="336">
        <f t="shared" si="22"/>
        <v>0</v>
      </c>
      <c r="ET48" s="336">
        <f t="shared" si="22"/>
        <v>0</v>
      </c>
      <c r="EU48" s="336">
        <f t="shared" si="23"/>
        <v>0</v>
      </c>
      <c r="EV48" s="336">
        <f t="shared" si="24"/>
        <v>0</v>
      </c>
      <c r="EW48" s="336">
        <f t="shared" si="25"/>
        <v>0</v>
      </c>
      <c r="EX48" s="336">
        <f t="shared" si="26"/>
        <v>0</v>
      </c>
      <c r="EY48" s="336">
        <f t="shared" si="27"/>
        <v>0</v>
      </c>
      <c r="EZ48" s="336">
        <f t="shared" si="28"/>
        <v>0</v>
      </c>
      <c r="FA48" s="336">
        <f t="shared" si="29"/>
        <v>0</v>
      </c>
      <c r="FB48" s="336">
        <f t="shared" si="30"/>
        <v>0</v>
      </c>
      <c r="FC48" s="336">
        <f t="shared" si="31"/>
        <v>0</v>
      </c>
      <c r="FD48" s="336">
        <f t="shared" si="32"/>
        <v>0</v>
      </c>
      <c r="FE48" s="336">
        <f t="shared" si="33"/>
        <v>0</v>
      </c>
      <c r="FF48" s="336">
        <f t="shared" si="34"/>
        <v>0</v>
      </c>
      <c r="FG48" s="336">
        <f t="shared" si="35"/>
        <v>0</v>
      </c>
      <c r="FH48" s="336">
        <f t="shared" si="36"/>
        <v>0</v>
      </c>
      <c r="FI48" s="336">
        <f t="shared" si="37"/>
        <v>0</v>
      </c>
      <c r="FJ48" s="336">
        <f t="shared" si="38"/>
        <v>0</v>
      </c>
      <c r="FK48" s="336">
        <f t="shared" si="39"/>
        <v>0</v>
      </c>
      <c r="FL48" s="336">
        <f t="shared" si="40"/>
        <v>0</v>
      </c>
      <c r="FM48" s="336">
        <f t="shared" si="41"/>
        <v>0</v>
      </c>
      <c r="FN48" s="336">
        <f t="shared" si="42"/>
        <v>0</v>
      </c>
      <c r="FO48" s="336">
        <f t="shared" si="43"/>
        <v>0</v>
      </c>
      <c r="FP48" s="336">
        <f t="shared" si="44"/>
        <v>0</v>
      </c>
      <c r="FQ48" s="336">
        <f t="shared" si="45"/>
        <v>0</v>
      </c>
      <c r="FR48" s="336">
        <f t="shared" si="46"/>
        <v>0</v>
      </c>
      <c r="FS48" s="336">
        <f t="shared" si="47"/>
        <v>0</v>
      </c>
      <c r="FT48" s="336">
        <f t="shared" si="48"/>
        <v>15</v>
      </c>
      <c r="FU48" s="336">
        <f t="shared" si="553"/>
        <v>15</v>
      </c>
      <c r="FV48" s="336">
        <f t="shared" si="554"/>
        <v>15</v>
      </c>
      <c r="FW48" s="336">
        <f t="shared" si="555"/>
        <v>0</v>
      </c>
      <c r="FX48" s="336">
        <f t="shared" si="556"/>
        <v>0</v>
      </c>
      <c r="FY48" s="336">
        <f t="shared" si="53"/>
        <v>0</v>
      </c>
      <c r="FZ48" s="336">
        <f t="shared" si="54"/>
        <v>0</v>
      </c>
      <c r="GA48" s="336">
        <f t="shared" si="55"/>
        <v>0</v>
      </c>
      <c r="GB48" s="336">
        <f t="shared" si="56"/>
        <v>0</v>
      </c>
      <c r="GC48" s="336">
        <f t="shared" si="57"/>
        <v>0</v>
      </c>
      <c r="GD48" s="336">
        <f t="shared" si="58"/>
        <v>0</v>
      </c>
      <c r="GE48" s="336">
        <f t="shared" si="59"/>
        <v>0</v>
      </c>
      <c r="GF48" s="336">
        <f t="shared" si="60"/>
        <v>0</v>
      </c>
      <c r="GG48" s="336">
        <f t="shared" si="61"/>
        <v>0</v>
      </c>
      <c r="GH48" s="336">
        <f t="shared" si="62"/>
        <v>0</v>
      </c>
      <c r="GI48" s="336">
        <f t="shared" si="63"/>
        <v>0</v>
      </c>
      <c r="GJ48" s="336">
        <f t="shared" si="64"/>
        <v>0</v>
      </c>
      <c r="GK48" s="336">
        <f t="shared" si="65"/>
        <v>0</v>
      </c>
      <c r="GL48" s="336">
        <f t="shared" si="557"/>
        <v>0</v>
      </c>
      <c r="GM48" s="336">
        <f t="shared" si="66"/>
        <v>0</v>
      </c>
    </row>
    <row r="49" spans="1:195" ht="26.25" customHeight="1">
      <c r="A49" s="337">
        <f t="shared" ref="A49:A62" si="577">A48+1</f>
        <v>38</v>
      </c>
      <c r="B49" s="406" t="s">
        <v>1723</v>
      </c>
      <c r="C49" s="372" t="str">
        <f t="shared" si="558"/>
        <v>PMCC-2</v>
      </c>
      <c r="D49" s="372" t="s">
        <v>1140</v>
      </c>
      <c r="E49" s="569" t="s">
        <v>387</v>
      </c>
      <c r="F49" s="337" t="s">
        <v>29</v>
      </c>
      <c r="G49" s="337" t="s">
        <v>350</v>
      </c>
      <c r="H49" s="350">
        <v>0.37</v>
      </c>
      <c r="I49" s="337" t="s">
        <v>330</v>
      </c>
      <c r="J49" s="337" t="s">
        <v>331</v>
      </c>
      <c r="K49" s="349">
        <v>400</v>
      </c>
      <c r="L49" s="343">
        <v>0.75</v>
      </c>
      <c r="M49" s="350">
        <v>0.85299999999999998</v>
      </c>
      <c r="N49" s="342">
        <f t="shared" si="559"/>
        <v>0.83480213384450297</v>
      </c>
      <c r="O49" s="342">
        <f t="shared" si="560"/>
        <v>5.008812803067018</v>
      </c>
      <c r="P49" s="343">
        <f t="shared" si="561"/>
        <v>0.2</v>
      </c>
      <c r="Q49" s="350">
        <v>65</v>
      </c>
      <c r="R49" s="350">
        <v>0</v>
      </c>
      <c r="S49" s="350">
        <f t="shared" si="562"/>
        <v>0</v>
      </c>
      <c r="T49" s="343" t="s">
        <v>332</v>
      </c>
      <c r="U49" s="350" t="s">
        <v>333</v>
      </c>
      <c r="V49" s="343">
        <v>4</v>
      </c>
      <c r="W49" s="343" t="str">
        <f t="shared" si="563"/>
        <v>3C X 4</v>
      </c>
      <c r="X49" s="343" t="str">
        <f t="shared" si="564"/>
        <v>3C X 4+PE</v>
      </c>
      <c r="Y49" s="343" t="s">
        <v>358</v>
      </c>
      <c r="Z49" s="344">
        <f>IF(T49="AIR",VLOOKUP(W49,'Catalogue Aluminium'!$B$9:$G$93,2,FALSE),IF(T49="GROUND",VLOOKUP(W49,'Catalogue Aluminium'!$B$9:$G$93,3,FALSE),IF(T49="DUCT",VLOOKUP(W49,'Catalogue Aluminium'!$B$9:$G$93,4,FALSE),IF(T49="TRENCH",VLOOKUP(W49,'Catalogue Aluminium'!$B$9:$G$93,2,FALSE)))))</f>
        <v>38</v>
      </c>
      <c r="AA49" s="345">
        <f>VLOOKUP(W49,'Catalogue Aluminium'!$B$9:$G$93,5,FALSE)</f>
        <v>5.9</v>
      </c>
      <c r="AB49" s="345">
        <f>VLOOKUP(W49,'Catalogue Aluminium'!$B$9:$G$93,6,FALSE)</f>
        <v>9.4700000000000006E-2</v>
      </c>
      <c r="AC49" s="343">
        <f>9.5+2.5</f>
        <v>12</v>
      </c>
      <c r="AD49" s="346">
        <f t="shared" si="576"/>
        <v>36.4</v>
      </c>
      <c r="AE49" s="343">
        <v>20</v>
      </c>
      <c r="AF49" s="343">
        <v>8</v>
      </c>
      <c r="AG49" s="343">
        <f t="shared" si="134"/>
        <v>8</v>
      </c>
      <c r="AH49" s="347">
        <f t="shared" si="227"/>
        <v>84.4</v>
      </c>
      <c r="AI49" s="344">
        <f>IF(T49="AIR",'Catalogue Aluminium'!$K$9,IF(T49="TRENCH",'Catalogue Aluminium'!$K$12,"NA"))</f>
        <v>0.89</v>
      </c>
      <c r="AJ49" s="342">
        <f>IF(T49="Air",(IF(U49="1C",'Catalogue Aluminium'!$L$9,'Catalogue Aluminium'!$M$9)),IF(T49="DUCT",(IF($U49="1C",'Catalogue Aluminium'!$L$10,'Catalogue Aluminium'!$M$10)),IF(T49="GROUND",(IF($U49="1C",'Catalogue Aluminium'!$L$11,'Catalogue Aluminium'!$M$11)),IF(T49="TRENCH",(IF($U49="1C",'Catalogue Aluminium'!$L$12,'Catalogue Aluminium'!$M$12))))))</f>
        <v>0.66</v>
      </c>
      <c r="AK49" s="344" t="str">
        <f>IF(T49="Air",'Catalogue Aluminium'!$N$9,IF(T49="GROUND",'Catalogue Aluminium'!$N$10,IF(T49="DUCT",'Catalogue Aluminium'!$N$11,IF(T49="TRENCH",'Catalogue Aluminium'!$N$12,"NA"))))</f>
        <v>NA</v>
      </c>
      <c r="AL49" s="344" t="str">
        <f>IF(T49="Air",(IF(U49="1C",'Catalogue Aluminium'!$O$9,'Catalogue Aluminium'!$P$9)),IF(T49="DUCT",(IF($U49="1C",'Catalogue Aluminium'!$O$10,'Catalogue Aluminium'!$P$10)),IF(T49="GROUND",(IF($U49="1C",'Catalogue Aluminium'!$O$11,'Catalogue Aluminium'!$P$11)),IF(T49="TRENCH",(IF($U49="1C",'Catalogue Aluminium'!$O$12,'Catalogue Aluminium'!$P$12))))))</f>
        <v>NA</v>
      </c>
      <c r="AM49" s="344" t="str">
        <f>IF(T49="AIR","NA",IF(T49="TRENCH","NA",IF(T49="DUCT",IF(U49="1C",VLOOKUP(V49,'Catalogue Aluminium'!$Q$9:$S$28,2,FALSE),VLOOKUP(V49,'Catalogue Aluminium'!$Q$9:$S$28,3)),IF(T49="GROUND",IF(U49="1C",VLOOKUP(V49,'Catalogue Aluminium'!$Q$9:$S$28,2,FALSE),VLOOKUP(V49,'Catalogue Aluminium'!$Q$9:$S$28,3))))))</f>
        <v>NA</v>
      </c>
      <c r="AN49" s="351">
        <f t="shared" si="565"/>
        <v>0.58740000000000003</v>
      </c>
      <c r="AO49" s="350">
        <f t="shared" si="566"/>
        <v>22.321200000000001</v>
      </c>
      <c r="AP49" s="349">
        <f t="shared" si="567"/>
        <v>1</v>
      </c>
      <c r="AQ49" s="350" t="str">
        <f t="shared" si="568"/>
        <v>YES</v>
      </c>
      <c r="AR49" s="351">
        <f t="shared" si="136"/>
        <v>0.13691293032937757</v>
      </c>
      <c r="AS49" s="343" t="str">
        <f t="shared" si="137"/>
        <v>YES</v>
      </c>
      <c r="AT49" s="351">
        <f t="shared" si="569"/>
        <v>0.23298797261016113</v>
      </c>
      <c r="AU49" s="343" t="str">
        <f t="shared" si="570"/>
        <v>YES</v>
      </c>
      <c r="AV49" s="354" t="str">
        <f t="shared" si="571"/>
        <v>1R x 0.6/1kV x 3C x 4 Sqmm</v>
      </c>
      <c r="AW49" s="354" t="str">
        <f t="shared" si="213"/>
        <v>1R x 0.6/1kV x 3C x 4+PE Sqmm</v>
      </c>
      <c r="AX49" s="343">
        <f t="shared" si="572"/>
        <v>84.4</v>
      </c>
      <c r="AY49" s="355"/>
      <c r="AZ49" s="355">
        <f t="shared" si="573"/>
        <v>2</v>
      </c>
      <c r="BA49" s="356" t="str">
        <f t="shared" si="574"/>
        <v>Q4Q5Q6</v>
      </c>
      <c r="BB49" s="501">
        <f>VLOOKUP(W49,'Catalogue Aluminium'!$B$9:$H$93,7,FALSE)</f>
        <v>15</v>
      </c>
      <c r="BC49" s="328">
        <f t="shared" si="575"/>
        <v>15</v>
      </c>
      <c r="BE49" s="336"/>
      <c r="BF49" s="336"/>
      <c r="BG49" s="336"/>
      <c r="BH49" s="336"/>
      <c r="BI49" s="336"/>
      <c r="BJ49" s="336"/>
      <c r="BK49" s="336"/>
      <c r="BL49" s="336"/>
      <c r="BM49" s="336"/>
      <c r="BN49" s="336"/>
      <c r="BO49" s="336"/>
      <c r="BP49" s="336"/>
      <c r="BQ49" s="336"/>
      <c r="BR49" s="336"/>
      <c r="BS49" s="336"/>
      <c r="BT49" s="336"/>
      <c r="BU49" s="336"/>
      <c r="BV49" s="336"/>
      <c r="BW49" s="336"/>
      <c r="BX49" s="336"/>
      <c r="BY49" s="336"/>
      <c r="BZ49" s="336"/>
      <c r="CA49" s="336"/>
      <c r="CB49" s="336"/>
      <c r="CC49" s="336"/>
      <c r="CD49" s="336"/>
      <c r="CE49" s="336"/>
      <c r="CF49" s="336"/>
      <c r="CG49" s="336"/>
      <c r="CH49" s="336"/>
      <c r="CI49" s="336"/>
      <c r="CJ49" s="336"/>
      <c r="CK49" s="336"/>
      <c r="CL49" s="336"/>
      <c r="CM49" s="336"/>
      <c r="CN49" s="336"/>
      <c r="CO49" s="336"/>
      <c r="CP49" s="336"/>
      <c r="CQ49" s="336"/>
      <c r="CR49" s="336"/>
      <c r="CS49" s="336"/>
      <c r="CT49" s="336"/>
      <c r="CU49" s="336"/>
      <c r="CV49" s="336"/>
      <c r="CW49" s="336"/>
      <c r="CX49" s="336"/>
      <c r="CY49" s="336"/>
      <c r="CZ49" s="336"/>
      <c r="DA49" s="336"/>
      <c r="DB49" s="336">
        <v>1</v>
      </c>
      <c r="DC49" s="336">
        <v>1</v>
      </c>
      <c r="DD49" s="336">
        <v>1</v>
      </c>
      <c r="DE49" s="336"/>
      <c r="DF49" s="336"/>
      <c r="DG49" s="336"/>
      <c r="DH49" s="336"/>
      <c r="DI49" s="336"/>
      <c r="DJ49" s="741"/>
      <c r="DK49" s="741"/>
      <c r="DL49" s="741"/>
      <c r="DM49" s="741"/>
      <c r="DN49" s="741"/>
      <c r="DO49" s="741"/>
      <c r="DP49" s="741"/>
      <c r="DQ49" s="336"/>
      <c r="DR49" s="741"/>
      <c r="DS49" s="741"/>
      <c r="DT49" s="741"/>
      <c r="DU49" s="336"/>
      <c r="DW49" s="336">
        <f t="shared" si="80"/>
        <v>0</v>
      </c>
      <c r="DX49" s="336">
        <f t="shared" si="1"/>
        <v>0</v>
      </c>
      <c r="DY49" s="336">
        <f t="shared" si="2"/>
        <v>0</v>
      </c>
      <c r="DZ49" s="336">
        <f t="shared" si="3"/>
        <v>0</v>
      </c>
      <c r="EA49" s="336">
        <f t="shared" si="4"/>
        <v>0</v>
      </c>
      <c r="EB49" s="336">
        <f t="shared" si="5"/>
        <v>0</v>
      </c>
      <c r="EC49" s="336">
        <f t="shared" si="6"/>
        <v>0</v>
      </c>
      <c r="ED49" s="336">
        <f t="shared" si="7"/>
        <v>0</v>
      </c>
      <c r="EE49" s="336">
        <f t="shared" si="8"/>
        <v>0</v>
      </c>
      <c r="EF49" s="336">
        <f t="shared" si="9"/>
        <v>0</v>
      </c>
      <c r="EG49" s="336">
        <f t="shared" si="10"/>
        <v>0</v>
      </c>
      <c r="EH49" s="336">
        <f t="shared" si="11"/>
        <v>0</v>
      </c>
      <c r="EI49" s="336">
        <f t="shared" si="12"/>
        <v>0</v>
      </c>
      <c r="EJ49" s="336">
        <f t="shared" si="13"/>
        <v>0</v>
      </c>
      <c r="EK49" s="336">
        <f t="shared" si="14"/>
        <v>0</v>
      </c>
      <c r="EL49" s="336">
        <f t="shared" si="15"/>
        <v>0</v>
      </c>
      <c r="EM49" s="336">
        <f t="shared" si="16"/>
        <v>0</v>
      </c>
      <c r="EN49" s="336">
        <f t="shared" si="17"/>
        <v>0</v>
      </c>
      <c r="EO49" s="336">
        <f t="shared" si="18"/>
        <v>0</v>
      </c>
      <c r="EP49" s="336">
        <f t="shared" si="19"/>
        <v>0</v>
      </c>
      <c r="EQ49" s="336">
        <f t="shared" si="20"/>
        <v>0</v>
      </c>
      <c r="ER49" s="336">
        <f t="shared" si="21"/>
        <v>0</v>
      </c>
      <c r="ES49" s="336">
        <f t="shared" si="22"/>
        <v>0</v>
      </c>
      <c r="ET49" s="336">
        <f t="shared" si="22"/>
        <v>0</v>
      </c>
      <c r="EU49" s="336">
        <f t="shared" si="23"/>
        <v>0</v>
      </c>
      <c r="EV49" s="336">
        <f t="shared" si="24"/>
        <v>0</v>
      </c>
      <c r="EW49" s="336">
        <f t="shared" si="25"/>
        <v>0</v>
      </c>
      <c r="EX49" s="336">
        <f t="shared" si="26"/>
        <v>0</v>
      </c>
      <c r="EY49" s="336">
        <f t="shared" si="27"/>
        <v>0</v>
      </c>
      <c r="EZ49" s="336">
        <f t="shared" si="28"/>
        <v>0</v>
      </c>
      <c r="FA49" s="336">
        <f t="shared" si="29"/>
        <v>0</v>
      </c>
      <c r="FB49" s="336">
        <f t="shared" si="30"/>
        <v>0</v>
      </c>
      <c r="FC49" s="336">
        <f t="shared" si="31"/>
        <v>0</v>
      </c>
      <c r="FD49" s="336">
        <f t="shared" si="32"/>
        <v>0</v>
      </c>
      <c r="FE49" s="336">
        <f t="shared" si="33"/>
        <v>0</v>
      </c>
      <c r="FF49" s="336">
        <f t="shared" si="34"/>
        <v>0</v>
      </c>
      <c r="FG49" s="336">
        <f t="shared" si="35"/>
        <v>0</v>
      </c>
      <c r="FH49" s="336">
        <f t="shared" si="36"/>
        <v>0</v>
      </c>
      <c r="FI49" s="336">
        <f t="shared" si="37"/>
        <v>0</v>
      </c>
      <c r="FJ49" s="336">
        <f t="shared" si="38"/>
        <v>0</v>
      </c>
      <c r="FK49" s="336">
        <f t="shared" si="39"/>
        <v>0</v>
      </c>
      <c r="FL49" s="336">
        <f t="shared" si="40"/>
        <v>0</v>
      </c>
      <c r="FM49" s="336">
        <f t="shared" si="41"/>
        <v>0</v>
      </c>
      <c r="FN49" s="336">
        <f t="shared" si="42"/>
        <v>0</v>
      </c>
      <c r="FO49" s="336">
        <f t="shared" si="43"/>
        <v>0</v>
      </c>
      <c r="FP49" s="336">
        <f t="shared" si="44"/>
        <v>0</v>
      </c>
      <c r="FQ49" s="336">
        <f t="shared" si="45"/>
        <v>0</v>
      </c>
      <c r="FR49" s="336">
        <f t="shared" si="46"/>
        <v>0</v>
      </c>
      <c r="FS49" s="336">
        <f t="shared" si="47"/>
        <v>0</v>
      </c>
      <c r="FT49" s="336">
        <f t="shared" si="48"/>
        <v>15</v>
      </c>
      <c r="FU49" s="336">
        <f t="shared" si="553"/>
        <v>15</v>
      </c>
      <c r="FV49" s="336">
        <f t="shared" si="554"/>
        <v>15</v>
      </c>
      <c r="FW49" s="336">
        <f t="shared" si="555"/>
        <v>0</v>
      </c>
      <c r="FX49" s="336">
        <f t="shared" si="556"/>
        <v>0</v>
      </c>
      <c r="FY49" s="336">
        <f t="shared" si="53"/>
        <v>0</v>
      </c>
      <c r="FZ49" s="336">
        <f t="shared" si="54"/>
        <v>0</v>
      </c>
      <c r="GA49" s="336">
        <f t="shared" si="55"/>
        <v>0</v>
      </c>
      <c r="GB49" s="336">
        <f t="shared" si="56"/>
        <v>0</v>
      </c>
      <c r="GC49" s="336">
        <f t="shared" si="57"/>
        <v>0</v>
      </c>
      <c r="GD49" s="336">
        <f t="shared" si="58"/>
        <v>0</v>
      </c>
      <c r="GE49" s="336">
        <f t="shared" si="59"/>
        <v>0</v>
      </c>
      <c r="GF49" s="336">
        <f t="shared" si="60"/>
        <v>0</v>
      </c>
      <c r="GG49" s="336">
        <f t="shared" si="61"/>
        <v>0</v>
      </c>
      <c r="GH49" s="336">
        <f t="shared" si="62"/>
        <v>0</v>
      </c>
      <c r="GI49" s="336">
        <f t="shared" si="63"/>
        <v>0</v>
      </c>
      <c r="GJ49" s="336">
        <f t="shared" si="64"/>
        <v>0</v>
      </c>
      <c r="GK49" s="336">
        <f t="shared" si="65"/>
        <v>0</v>
      </c>
      <c r="GL49" s="336">
        <f t="shared" si="557"/>
        <v>0</v>
      </c>
      <c r="GM49" s="336">
        <f t="shared" si="66"/>
        <v>0</v>
      </c>
    </row>
    <row r="50" spans="1:195" ht="26.25" customHeight="1">
      <c r="A50" s="337">
        <f t="shared" si="577"/>
        <v>39</v>
      </c>
      <c r="B50" s="406" t="s">
        <v>1724</v>
      </c>
      <c r="C50" s="372" t="str">
        <f t="shared" si="558"/>
        <v>PMCC-2</v>
      </c>
      <c r="D50" s="372" t="s">
        <v>1141</v>
      </c>
      <c r="E50" s="569" t="s">
        <v>387</v>
      </c>
      <c r="F50" s="337" t="s">
        <v>28</v>
      </c>
      <c r="G50" s="337" t="s">
        <v>350</v>
      </c>
      <c r="H50" s="350">
        <v>0.37</v>
      </c>
      <c r="I50" s="337" t="s">
        <v>330</v>
      </c>
      <c r="J50" s="337" t="s">
        <v>331</v>
      </c>
      <c r="K50" s="349">
        <v>400</v>
      </c>
      <c r="L50" s="343">
        <v>0.75</v>
      </c>
      <c r="M50" s="350">
        <v>0.85299999999999998</v>
      </c>
      <c r="N50" s="342">
        <f t="shared" si="559"/>
        <v>0.83480213384450297</v>
      </c>
      <c r="O50" s="342">
        <f t="shared" si="560"/>
        <v>5.008812803067018</v>
      </c>
      <c r="P50" s="343">
        <f t="shared" si="561"/>
        <v>0.2</v>
      </c>
      <c r="Q50" s="350">
        <v>65</v>
      </c>
      <c r="R50" s="350">
        <v>0</v>
      </c>
      <c r="S50" s="350">
        <f t="shared" si="562"/>
        <v>0</v>
      </c>
      <c r="T50" s="343" t="s">
        <v>332</v>
      </c>
      <c r="U50" s="350" t="s">
        <v>333</v>
      </c>
      <c r="V50" s="343">
        <v>4</v>
      </c>
      <c r="W50" s="343" t="str">
        <f t="shared" si="563"/>
        <v>3C X 4</v>
      </c>
      <c r="X50" s="343" t="str">
        <f t="shared" si="564"/>
        <v>3C X 4+PE</v>
      </c>
      <c r="Y50" s="343" t="s">
        <v>358</v>
      </c>
      <c r="Z50" s="344">
        <f>IF(T50="AIR",VLOOKUP(W50,'Catalogue Aluminium'!$B$9:$G$93,2,FALSE),IF(T50="GROUND",VLOOKUP(W50,'Catalogue Aluminium'!$B$9:$G$93,3,FALSE),IF(T50="DUCT",VLOOKUP(W50,'Catalogue Aluminium'!$B$9:$G$93,4,FALSE),IF(T50="TRENCH",VLOOKUP(W50,'Catalogue Aluminium'!$B$9:$G$93,2,FALSE)))))</f>
        <v>38</v>
      </c>
      <c r="AA50" s="345">
        <f>VLOOKUP(W50,'Catalogue Aluminium'!$B$9:$G$93,5,FALSE)</f>
        <v>5.9</v>
      </c>
      <c r="AB50" s="345">
        <f>VLOOKUP(W50,'Catalogue Aluminium'!$B$9:$G$93,6,FALSE)</f>
        <v>9.4700000000000006E-2</v>
      </c>
      <c r="AC50" s="343">
        <v>22</v>
      </c>
      <c r="AD50" s="346">
        <f t="shared" si="576"/>
        <v>36.4</v>
      </c>
      <c r="AE50" s="343">
        <v>20</v>
      </c>
      <c r="AF50" s="343">
        <v>8</v>
      </c>
      <c r="AG50" s="343">
        <f t="shared" si="134"/>
        <v>9</v>
      </c>
      <c r="AH50" s="347">
        <f t="shared" ref="AH50:AH60" si="578">SUM(AC50:AG50)</f>
        <v>95.4</v>
      </c>
      <c r="AI50" s="344">
        <f>IF(T50="AIR",'Catalogue Aluminium'!$K$9,IF(T50="TRENCH",'Catalogue Aluminium'!$K$12,"NA"))</f>
        <v>0.89</v>
      </c>
      <c r="AJ50" s="342">
        <f>IF(T50="Air",(IF(U50="1C",'Catalogue Aluminium'!$L$9,'Catalogue Aluminium'!$M$9)),IF(T50="DUCT",(IF($U50="1C",'Catalogue Aluminium'!$L$10,'Catalogue Aluminium'!$M$10)),IF(T50="GROUND",(IF($U50="1C",'Catalogue Aluminium'!$L$11,'Catalogue Aluminium'!$M$11)),IF(T50="TRENCH",(IF($U50="1C",'Catalogue Aluminium'!$L$12,'Catalogue Aluminium'!$M$12))))))</f>
        <v>0.66</v>
      </c>
      <c r="AK50" s="344" t="str">
        <f>IF(T50="Air",'Catalogue Aluminium'!$N$9,IF(T50="GROUND",'Catalogue Aluminium'!$N$10,IF(T50="DUCT",'Catalogue Aluminium'!$N$11,IF(T50="TRENCH",'Catalogue Aluminium'!$N$12,"NA"))))</f>
        <v>NA</v>
      </c>
      <c r="AL50" s="344" t="str">
        <f>IF(T50="Air",(IF(U50="1C",'Catalogue Aluminium'!$O$9,'Catalogue Aluminium'!$P$9)),IF(T50="DUCT",(IF($U50="1C",'Catalogue Aluminium'!$O$10,'Catalogue Aluminium'!$P$10)),IF(T50="GROUND",(IF($U50="1C",'Catalogue Aluminium'!$O$11,'Catalogue Aluminium'!$P$11)),IF(T50="TRENCH",(IF($U50="1C",'Catalogue Aluminium'!$O$12,'Catalogue Aluminium'!$P$12))))))</f>
        <v>NA</v>
      </c>
      <c r="AM50" s="344" t="str">
        <f>IF(T50="AIR","NA",IF(T50="TRENCH","NA",IF(T50="DUCT",IF(U50="1C",VLOOKUP(V50,'Catalogue Aluminium'!$Q$9:$S$28,2,FALSE),VLOOKUP(V50,'Catalogue Aluminium'!$Q$9:$S$28,3)),IF(T50="GROUND",IF(U50="1C",VLOOKUP(V50,'Catalogue Aluminium'!$Q$9:$S$28,2,FALSE),VLOOKUP(V50,'Catalogue Aluminium'!$Q$9:$S$28,3))))))</f>
        <v>NA</v>
      </c>
      <c r="AN50" s="351">
        <f t="shared" si="565"/>
        <v>0.58740000000000003</v>
      </c>
      <c r="AO50" s="350">
        <f t="shared" si="566"/>
        <v>22.321200000000001</v>
      </c>
      <c r="AP50" s="349">
        <f t="shared" si="567"/>
        <v>1</v>
      </c>
      <c r="AQ50" s="350" t="str">
        <f t="shared" si="568"/>
        <v>YES</v>
      </c>
      <c r="AR50" s="351">
        <f t="shared" si="136"/>
        <v>0.15475703262349075</v>
      </c>
      <c r="AS50" s="343" t="str">
        <f t="shared" si="137"/>
        <v>YES</v>
      </c>
      <c r="AT50" s="351">
        <f t="shared" si="569"/>
        <v>0.26335370363755178</v>
      </c>
      <c r="AU50" s="343" t="str">
        <f t="shared" si="570"/>
        <v>YES</v>
      </c>
      <c r="AV50" s="354" t="str">
        <f t="shared" si="571"/>
        <v>1R x 0.6/1kV x 3C x 4 Sqmm</v>
      </c>
      <c r="AW50" s="354" t="str">
        <f t="shared" si="213"/>
        <v>1R x 0.6/1kV x 3C x 4+PE Sqmm</v>
      </c>
      <c r="AX50" s="343">
        <f t="shared" si="572"/>
        <v>95.4</v>
      </c>
      <c r="AY50" s="355"/>
      <c r="AZ50" s="355">
        <f t="shared" si="573"/>
        <v>2</v>
      </c>
      <c r="BA50" s="356" t="str">
        <f t="shared" si="574"/>
        <v>Q4Q5Q6</v>
      </c>
      <c r="BB50" s="501">
        <f>VLOOKUP(W50,'Catalogue Aluminium'!$B$9:$H$93,7,FALSE)</f>
        <v>15</v>
      </c>
      <c r="BC50" s="328">
        <f t="shared" si="575"/>
        <v>15</v>
      </c>
      <c r="BE50" s="336"/>
      <c r="BF50" s="336"/>
      <c r="BG50" s="336"/>
      <c r="BH50" s="336"/>
      <c r="BI50" s="336"/>
      <c r="BJ50" s="336"/>
      <c r="BK50" s="336"/>
      <c r="BL50" s="336"/>
      <c r="BM50" s="336"/>
      <c r="BN50" s="336"/>
      <c r="BO50" s="336"/>
      <c r="BP50" s="336"/>
      <c r="BQ50" s="336"/>
      <c r="BR50" s="336"/>
      <c r="BS50" s="336"/>
      <c r="BT50" s="336"/>
      <c r="BU50" s="336"/>
      <c r="BV50" s="336"/>
      <c r="BW50" s="336"/>
      <c r="BX50" s="336"/>
      <c r="BY50" s="336"/>
      <c r="BZ50" s="336"/>
      <c r="CA50" s="336"/>
      <c r="CB50" s="336"/>
      <c r="CC50" s="336"/>
      <c r="CD50" s="336"/>
      <c r="CE50" s="336"/>
      <c r="CF50" s="336"/>
      <c r="CG50" s="336"/>
      <c r="CH50" s="336"/>
      <c r="CI50" s="336"/>
      <c r="CJ50" s="336"/>
      <c r="CK50" s="336"/>
      <c r="CL50" s="336"/>
      <c r="CM50" s="336"/>
      <c r="CN50" s="336"/>
      <c r="CO50" s="336"/>
      <c r="CP50" s="336"/>
      <c r="CQ50" s="336"/>
      <c r="CR50" s="336"/>
      <c r="CS50" s="336"/>
      <c r="CT50" s="336"/>
      <c r="CU50" s="336"/>
      <c r="CV50" s="336"/>
      <c r="CW50" s="336"/>
      <c r="CX50" s="336"/>
      <c r="CY50" s="336"/>
      <c r="CZ50" s="336"/>
      <c r="DA50" s="336"/>
      <c r="DB50" s="336">
        <v>1</v>
      </c>
      <c r="DC50" s="336">
        <v>1</v>
      </c>
      <c r="DD50" s="336">
        <v>1</v>
      </c>
      <c r="DE50" s="336"/>
      <c r="DF50" s="336"/>
      <c r="DG50" s="336"/>
      <c r="DH50" s="336"/>
      <c r="DI50" s="336"/>
      <c r="DJ50" s="741"/>
      <c r="DK50" s="741"/>
      <c r="DL50" s="741"/>
      <c r="DM50" s="741"/>
      <c r="DN50" s="741"/>
      <c r="DO50" s="741"/>
      <c r="DP50" s="741"/>
      <c r="DQ50" s="336"/>
      <c r="DR50" s="741"/>
      <c r="DS50" s="741"/>
      <c r="DT50" s="741"/>
      <c r="DU50" s="336"/>
      <c r="DW50" s="336">
        <f t="shared" si="80"/>
        <v>0</v>
      </c>
      <c r="DX50" s="336">
        <f t="shared" si="1"/>
        <v>0</v>
      </c>
      <c r="DY50" s="336">
        <f t="shared" si="2"/>
        <v>0</v>
      </c>
      <c r="DZ50" s="336">
        <f t="shared" si="3"/>
        <v>0</v>
      </c>
      <c r="EA50" s="336">
        <f t="shared" si="4"/>
        <v>0</v>
      </c>
      <c r="EB50" s="336">
        <f t="shared" si="5"/>
        <v>0</v>
      </c>
      <c r="EC50" s="336">
        <f t="shared" si="6"/>
        <v>0</v>
      </c>
      <c r="ED50" s="336">
        <f t="shared" si="7"/>
        <v>0</v>
      </c>
      <c r="EE50" s="336">
        <f t="shared" si="8"/>
        <v>0</v>
      </c>
      <c r="EF50" s="336">
        <f t="shared" si="9"/>
        <v>0</v>
      </c>
      <c r="EG50" s="336">
        <f t="shared" si="10"/>
        <v>0</v>
      </c>
      <c r="EH50" s="336">
        <f t="shared" si="11"/>
        <v>0</v>
      </c>
      <c r="EI50" s="336">
        <f t="shared" si="12"/>
        <v>0</v>
      </c>
      <c r="EJ50" s="336">
        <f t="shared" si="13"/>
        <v>0</v>
      </c>
      <c r="EK50" s="336">
        <f t="shared" si="14"/>
        <v>0</v>
      </c>
      <c r="EL50" s="336">
        <f t="shared" si="15"/>
        <v>0</v>
      </c>
      <c r="EM50" s="336">
        <f t="shared" si="16"/>
        <v>0</v>
      </c>
      <c r="EN50" s="336">
        <f t="shared" si="17"/>
        <v>0</v>
      </c>
      <c r="EO50" s="336">
        <f t="shared" si="18"/>
        <v>0</v>
      </c>
      <c r="EP50" s="336">
        <f t="shared" si="19"/>
        <v>0</v>
      </c>
      <c r="EQ50" s="336">
        <f t="shared" si="20"/>
        <v>0</v>
      </c>
      <c r="ER50" s="336">
        <f t="shared" si="21"/>
        <v>0</v>
      </c>
      <c r="ES50" s="336">
        <f t="shared" si="22"/>
        <v>0</v>
      </c>
      <c r="ET50" s="336">
        <f t="shared" si="22"/>
        <v>0</v>
      </c>
      <c r="EU50" s="336">
        <f t="shared" si="23"/>
        <v>0</v>
      </c>
      <c r="EV50" s="336">
        <f t="shared" si="24"/>
        <v>0</v>
      </c>
      <c r="EW50" s="336">
        <f t="shared" si="25"/>
        <v>0</v>
      </c>
      <c r="EX50" s="336">
        <f t="shared" si="26"/>
        <v>0</v>
      </c>
      <c r="EY50" s="336">
        <f t="shared" si="27"/>
        <v>0</v>
      </c>
      <c r="EZ50" s="336">
        <f t="shared" si="28"/>
        <v>0</v>
      </c>
      <c r="FA50" s="336">
        <f t="shared" si="29"/>
        <v>0</v>
      </c>
      <c r="FB50" s="336">
        <f t="shared" si="30"/>
        <v>0</v>
      </c>
      <c r="FC50" s="336">
        <f t="shared" si="31"/>
        <v>0</v>
      </c>
      <c r="FD50" s="336">
        <f t="shared" si="32"/>
        <v>0</v>
      </c>
      <c r="FE50" s="336">
        <f t="shared" si="33"/>
        <v>0</v>
      </c>
      <c r="FF50" s="336">
        <f t="shared" si="34"/>
        <v>0</v>
      </c>
      <c r="FG50" s="336">
        <f t="shared" si="35"/>
        <v>0</v>
      </c>
      <c r="FH50" s="336">
        <f t="shared" si="36"/>
        <v>0</v>
      </c>
      <c r="FI50" s="336">
        <f t="shared" si="37"/>
        <v>0</v>
      </c>
      <c r="FJ50" s="336">
        <f t="shared" si="38"/>
        <v>0</v>
      </c>
      <c r="FK50" s="336">
        <f t="shared" si="39"/>
        <v>0</v>
      </c>
      <c r="FL50" s="336">
        <f t="shared" si="40"/>
        <v>0</v>
      </c>
      <c r="FM50" s="336">
        <f t="shared" si="41"/>
        <v>0</v>
      </c>
      <c r="FN50" s="336">
        <f t="shared" si="42"/>
        <v>0</v>
      </c>
      <c r="FO50" s="336">
        <f t="shared" si="43"/>
        <v>0</v>
      </c>
      <c r="FP50" s="336">
        <f t="shared" si="44"/>
        <v>0</v>
      </c>
      <c r="FQ50" s="336">
        <f t="shared" si="45"/>
        <v>0</v>
      </c>
      <c r="FR50" s="336">
        <f t="shared" si="46"/>
        <v>0</v>
      </c>
      <c r="FS50" s="336">
        <f t="shared" si="47"/>
        <v>0</v>
      </c>
      <c r="FT50" s="336">
        <f t="shared" si="48"/>
        <v>15</v>
      </c>
      <c r="FU50" s="336">
        <f t="shared" si="553"/>
        <v>15</v>
      </c>
      <c r="FV50" s="336">
        <f t="shared" si="554"/>
        <v>15</v>
      </c>
      <c r="FW50" s="336">
        <f t="shared" si="555"/>
        <v>0</v>
      </c>
      <c r="FX50" s="336">
        <f t="shared" si="556"/>
        <v>0</v>
      </c>
      <c r="FY50" s="336">
        <f t="shared" si="53"/>
        <v>0</v>
      </c>
      <c r="FZ50" s="336">
        <f t="shared" si="54"/>
        <v>0</v>
      </c>
      <c r="GA50" s="336">
        <f t="shared" si="55"/>
        <v>0</v>
      </c>
      <c r="GB50" s="336">
        <f t="shared" si="56"/>
        <v>0</v>
      </c>
      <c r="GC50" s="336">
        <f t="shared" si="57"/>
        <v>0</v>
      </c>
      <c r="GD50" s="336">
        <f t="shared" si="58"/>
        <v>0</v>
      </c>
      <c r="GE50" s="336">
        <f t="shared" si="59"/>
        <v>0</v>
      </c>
      <c r="GF50" s="336">
        <f t="shared" si="60"/>
        <v>0</v>
      </c>
      <c r="GG50" s="336">
        <f t="shared" si="61"/>
        <v>0</v>
      </c>
      <c r="GH50" s="336">
        <f t="shared" si="62"/>
        <v>0</v>
      </c>
      <c r="GI50" s="336">
        <f t="shared" si="63"/>
        <v>0</v>
      </c>
      <c r="GJ50" s="336">
        <f t="shared" si="64"/>
        <v>0</v>
      </c>
      <c r="GK50" s="336">
        <f t="shared" si="65"/>
        <v>0</v>
      </c>
      <c r="GL50" s="336">
        <f t="shared" si="557"/>
        <v>0</v>
      </c>
      <c r="GM50" s="336">
        <f t="shared" si="66"/>
        <v>0</v>
      </c>
    </row>
    <row r="51" spans="1:195" ht="20.100000000000001" customHeight="1">
      <c r="A51" s="337">
        <f t="shared" si="577"/>
        <v>40</v>
      </c>
      <c r="B51" s="337" t="s">
        <v>527</v>
      </c>
      <c r="C51" s="372" t="str">
        <f t="shared" si="558"/>
        <v>PMCC-2</v>
      </c>
      <c r="D51" s="372" t="s">
        <v>1142</v>
      </c>
      <c r="E51" s="569" t="s">
        <v>387</v>
      </c>
      <c r="F51" s="337" t="s">
        <v>29</v>
      </c>
      <c r="G51" s="337" t="s">
        <v>350</v>
      </c>
      <c r="H51" s="350">
        <v>0.75</v>
      </c>
      <c r="I51" s="337" t="s">
        <v>330</v>
      </c>
      <c r="J51" s="337" t="s">
        <v>331</v>
      </c>
      <c r="K51" s="349">
        <v>400</v>
      </c>
      <c r="L51" s="343">
        <v>0.75</v>
      </c>
      <c r="M51" s="350">
        <v>0.85299999999999998</v>
      </c>
      <c r="N51" s="342">
        <f t="shared" si="559"/>
        <v>1.6921664875226412</v>
      </c>
      <c r="O51" s="342">
        <f t="shared" si="560"/>
        <v>10.152998925135847</v>
      </c>
      <c r="P51" s="343">
        <f t="shared" si="561"/>
        <v>0.2</v>
      </c>
      <c r="Q51" s="350">
        <v>65</v>
      </c>
      <c r="R51" s="350">
        <v>0</v>
      </c>
      <c r="S51" s="350">
        <f t="shared" si="562"/>
        <v>0</v>
      </c>
      <c r="T51" s="343" t="s">
        <v>332</v>
      </c>
      <c r="U51" s="350" t="s">
        <v>333</v>
      </c>
      <c r="V51" s="343">
        <v>4</v>
      </c>
      <c r="W51" s="343" t="str">
        <f t="shared" si="563"/>
        <v>3C X 4</v>
      </c>
      <c r="X51" s="343" t="str">
        <f t="shared" si="564"/>
        <v>3C X 4+PE</v>
      </c>
      <c r="Y51" s="343" t="s">
        <v>358</v>
      </c>
      <c r="Z51" s="344">
        <f>IF(T51="AIR",VLOOKUP(W51,'Catalogue Aluminium'!$B$9:$G$93,2,FALSE),IF(T51="GROUND",VLOOKUP(W51,'Catalogue Aluminium'!$B$9:$G$93,3,FALSE),IF(T51="DUCT",VLOOKUP(W51,'Catalogue Aluminium'!$B$9:$G$93,4,FALSE),IF(T51="TRENCH",VLOOKUP(W51,'Catalogue Aluminium'!$B$9:$G$93,2,FALSE)))))</f>
        <v>38</v>
      </c>
      <c r="AA51" s="345">
        <f>VLOOKUP(W51,'Catalogue Aluminium'!$B$9:$G$93,5,FALSE)</f>
        <v>5.9</v>
      </c>
      <c r="AB51" s="345">
        <f>VLOOKUP(W51,'Catalogue Aluminium'!$B$9:$G$93,6,FALSE)</f>
        <v>9.4700000000000006E-2</v>
      </c>
      <c r="AC51" s="343">
        <f>9.5+2.5</f>
        <v>12</v>
      </c>
      <c r="AD51" s="346">
        <f t="shared" si="576"/>
        <v>36.4</v>
      </c>
      <c r="AE51" s="343">
        <v>20</v>
      </c>
      <c r="AF51" s="343">
        <v>8</v>
      </c>
      <c r="AG51" s="343">
        <f t="shared" si="134"/>
        <v>8</v>
      </c>
      <c r="AH51" s="347">
        <f t="shared" si="578"/>
        <v>84.4</v>
      </c>
      <c r="AI51" s="344">
        <f>IF(T51="AIR",'Catalogue Aluminium'!$K$9,IF(T51="TRENCH",'Catalogue Aluminium'!$K$12,"NA"))</f>
        <v>0.89</v>
      </c>
      <c r="AJ51" s="342">
        <f>IF(T51="Air",(IF(U51="1C",'Catalogue Aluminium'!$L$9,'Catalogue Aluminium'!$M$9)),IF(T51="DUCT",(IF($U51="1C",'Catalogue Aluminium'!$L$10,'Catalogue Aluminium'!$M$10)),IF(T51="GROUND",(IF($U51="1C",'Catalogue Aluminium'!$L$11,'Catalogue Aluminium'!$M$11)),IF(T51="TRENCH",(IF($U51="1C",'Catalogue Aluminium'!$L$12,'Catalogue Aluminium'!$M$12))))))</f>
        <v>0.66</v>
      </c>
      <c r="AK51" s="344" t="str">
        <f>IF(T51="Air",'Catalogue Aluminium'!$N$9,IF(T51="GROUND",'Catalogue Aluminium'!$N$10,IF(T51="DUCT",'Catalogue Aluminium'!$N$11,IF(T51="TRENCH",'Catalogue Aluminium'!$N$12,"NA"))))</f>
        <v>NA</v>
      </c>
      <c r="AL51" s="344" t="str">
        <f>IF(T51="Air",(IF(U51="1C",'Catalogue Aluminium'!$O$9,'Catalogue Aluminium'!$P$9)),IF(T51="DUCT",(IF($U51="1C",'Catalogue Aluminium'!$O$10,'Catalogue Aluminium'!$P$10)),IF(T51="GROUND",(IF($U51="1C",'Catalogue Aluminium'!$O$11,'Catalogue Aluminium'!$P$11)),IF(T51="TRENCH",(IF($U51="1C",'Catalogue Aluminium'!$O$12,'Catalogue Aluminium'!$P$12))))))</f>
        <v>NA</v>
      </c>
      <c r="AM51" s="344" t="str">
        <f>IF(T51="AIR","NA",IF(T51="TRENCH","NA",IF(T51="DUCT",IF(U51="1C",VLOOKUP(V51,'Catalogue Aluminium'!$Q$9:$S$28,2,FALSE),VLOOKUP(V51,'Catalogue Aluminium'!$Q$9:$S$28,3)),IF(T51="GROUND",IF(U51="1C",VLOOKUP(V51,'Catalogue Aluminium'!$Q$9:$S$28,2,FALSE),VLOOKUP(V51,'Catalogue Aluminium'!$Q$9:$S$28,3))))))</f>
        <v>NA</v>
      </c>
      <c r="AN51" s="351">
        <f t="shared" si="565"/>
        <v>0.58740000000000003</v>
      </c>
      <c r="AO51" s="350">
        <f t="shared" si="566"/>
        <v>22.321200000000001</v>
      </c>
      <c r="AP51" s="349">
        <f t="shared" si="567"/>
        <v>1</v>
      </c>
      <c r="AQ51" s="350" t="str">
        <f t="shared" si="568"/>
        <v>YES</v>
      </c>
      <c r="AR51" s="351">
        <f t="shared" si="136"/>
        <v>0.27752621012711665</v>
      </c>
      <c r="AS51" s="343" t="str">
        <f t="shared" si="137"/>
        <v>YES</v>
      </c>
      <c r="AT51" s="351">
        <f t="shared" si="569"/>
        <v>0.47227291745302924</v>
      </c>
      <c r="AU51" s="343" t="str">
        <f t="shared" si="570"/>
        <v>YES</v>
      </c>
      <c r="AV51" s="354" t="str">
        <f t="shared" si="571"/>
        <v>1R x 0.6/1kV x 3C x 4 Sqmm</v>
      </c>
      <c r="AW51" s="354" t="str">
        <f t="shared" ref="AW51:AW80" si="579">IF(U51="1C",CONCATENATE(AP51,"R x ",Y51,"kV x ",U51," x ",V51," Sqmm/Phase"),CONCATENATE(AP51,"R x ",0.6,"/1kV x ",U51," x ",V51,(IF(G51="MOTOR","+PE",""))," Sqmm"))</f>
        <v>1R x 0.6/1kV x 3C x 4+PE Sqmm</v>
      </c>
      <c r="AX51" s="343">
        <f t="shared" si="572"/>
        <v>84.4</v>
      </c>
      <c r="AY51" s="355"/>
      <c r="AZ51" s="355">
        <f t="shared" si="573"/>
        <v>2</v>
      </c>
      <c r="BA51" s="356" t="str">
        <f t="shared" si="574"/>
        <v>Q4Q5Q6</v>
      </c>
      <c r="BB51" s="501">
        <f>VLOOKUP(W51,'Catalogue Aluminium'!$B$9:$H$93,7,FALSE)</f>
        <v>15</v>
      </c>
      <c r="BC51" s="328">
        <f t="shared" si="575"/>
        <v>15</v>
      </c>
      <c r="BE51" s="336"/>
      <c r="BF51" s="336"/>
      <c r="BG51" s="336"/>
      <c r="BH51" s="336"/>
      <c r="BI51" s="336"/>
      <c r="BJ51" s="336"/>
      <c r="BK51" s="336"/>
      <c r="BL51" s="336"/>
      <c r="BM51" s="336"/>
      <c r="BN51" s="336"/>
      <c r="BO51" s="336"/>
      <c r="BP51" s="336"/>
      <c r="BQ51" s="336"/>
      <c r="BR51" s="336"/>
      <c r="BS51" s="336"/>
      <c r="BT51" s="336"/>
      <c r="BU51" s="336"/>
      <c r="BV51" s="336"/>
      <c r="BW51" s="336"/>
      <c r="BX51" s="336"/>
      <c r="BY51" s="336"/>
      <c r="BZ51" s="336"/>
      <c r="CA51" s="336"/>
      <c r="CB51" s="336"/>
      <c r="CC51" s="336"/>
      <c r="CD51" s="336"/>
      <c r="CE51" s="336"/>
      <c r="CF51" s="336"/>
      <c r="CG51" s="336"/>
      <c r="CH51" s="336"/>
      <c r="CI51" s="336"/>
      <c r="CJ51" s="336"/>
      <c r="CK51" s="336"/>
      <c r="CL51" s="336"/>
      <c r="CM51" s="336"/>
      <c r="CN51" s="336"/>
      <c r="CO51" s="336"/>
      <c r="CP51" s="336"/>
      <c r="CQ51" s="336"/>
      <c r="CR51" s="336"/>
      <c r="CS51" s="336"/>
      <c r="CT51" s="336"/>
      <c r="CU51" s="336"/>
      <c r="CV51" s="336"/>
      <c r="CW51" s="336"/>
      <c r="CX51" s="336"/>
      <c r="CY51" s="336"/>
      <c r="CZ51" s="336"/>
      <c r="DA51" s="336"/>
      <c r="DB51" s="336">
        <v>1</v>
      </c>
      <c r="DC51" s="336">
        <v>1</v>
      </c>
      <c r="DD51" s="336">
        <v>1</v>
      </c>
      <c r="DE51" s="336"/>
      <c r="DF51" s="336"/>
      <c r="DG51" s="336"/>
      <c r="DH51" s="336"/>
      <c r="DI51" s="336"/>
      <c r="DJ51" s="741"/>
      <c r="DK51" s="741"/>
      <c r="DL51" s="741"/>
      <c r="DM51" s="741"/>
      <c r="DN51" s="741"/>
      <c r="DO51" s="741"/>
      <c r="DP51" s="741"/>
      <c r="DQ51" s="336"/>
      <c r="DR51" s="741"/>
      <c r="DS51" s="741"/>
      <c r="DT51" s="741"/>
      <c r="DU51" s="336"/>
      <c r="DW51" s="336">
        <f t="shared" si="80"/>
        <v>0</v>
      </c>
      <c r="DX51" s="336">
        <f t="shared" si="1"/>
        <v>0</v>
      </c>
      <c r="DY51" s="336">
        <f t="shared" si="2"/>
        <v>0</v>
      </c>
      <c r="DZ51" s="336">
        <f t="shared" si="3"/>
        <v>0</v>
      </c>
      <c r="EA51" s="336">
        <f t="shared" si="4"/>
        <v>0</v>
      </c>
      <c r="EB51" s="336">
        <f t="shared" si="5"/>
        <v>0</v>
      </c>
      <c r="EC51" s="336">
        <f t="shared" si="6"/>
        <v>0</v>
      </c>
      <c r="ED51" s="336">
        <f t="shared" si="7"/>
        <v>0</v>
      </c>
      <c r="EE51" s="336">
        <f t="shared" si="8"/>
        <v>0</v>
      </c>
      <c r="EF51" s="336">
        <f t="shared" si="9"/>
        <v>0</v>
      </c>
      <c r="EG51" s="336">
        <f t="shared" si="10"/>
        <v>0</v>
      </c>
      <c r="EH51" s="336">
        <f t="shared" si="11"/>
        <v>0</v>
      </c>
      <c r="EI51" s="336">
        <f t="shared" si="12"/>
        <v>0</v>
      </c>
      <c r="EJ51" s="336">
        <f t="shared" si="13"/>
        <v>0</v>
      </c>
      <c r="EK51" s="336">
        <f t="shared" si="14"/>
        <v>0</v>
      </c>
      <c r="EL51" s="336">
        <f t="shared" si="15"/>
        <v>0</v>
      </c>
      <c r="EM51" s="336">
        <f t="shared" si="16"/>
        <v>0</v>
      </c>
      <c r="EN51" s="336">
        <f t="shared" si="17"/>
        <v>0</v>
      </c>
      <c r="EO51" s="336">
        <f t="shared" si="18"/>
        <v>0</v>
      </c>
      <c r="EP51" s="336">
        <f t="shared" si="19"/>
        <v>0</v>
      </c>
      <c r="EQ51" s="336">
        <f t="shared" si="20"/>
        <v>0</v>
      </c>
      <c r="ER51" s="336">
        <f t="shared" si="21"/>
        <v>0</v>
      </c>
      <c r="ES51" s="336">
        <f t="shared" si="22"/>
        <v>0</v>
      </c>
      <c r="ET51" s="336">
        <f t="shared" si="22"/>
        <v>0</v>
      </c>
      <c r="EU51" s="336">
        <f t="shared" si="23"/>
        <v>0</v>
      </c>
      <c r="EV51" s="336">
        <f t="shared" si="24"/>
        <v>0</v>
      </c>
      <c r="EW51" s="336">
        <f t="shared" si="25"/>
        <v>0</v>
      </c>
      <c r="EX51" s="336">
        <f t="shared" si="26"/>
        <v>0</v>
      </c>
      <c r="EY51" s="336">
        <f t="shared" si="27"/>
        <v>0</v>
      </c>
      <c r="EZ51" s="336">
        <f t="shared" si="28"/>
        <v>0</v>
      </c>
      <c r="FA51" s="336">
        <f t="shared" si="29"/>
        <v>0</v>
      </c>
      <c r="FB51" s="336">
        <f t="shared" si="30"/>
        <v>0</v>
      </c>
      <c r="FC51" s="336">
        <f t="shared" si="31"/>
        <v>0</v>
      </c>
      <c r="FD51" s="336">
        <f t="shared" si="32"/>
        <v>0</v>
      </c>
      <c r="FE51" s="336">
        <f t="shared" si="33"/>
        <v>0</v>
      </c>
      <c r="FF51" s="336">
        <f t="shared" si="34"/>
        <v>0</v>
      </c>
      <c r="FG51" s="336">
        <f t="shared" si="35"/>
        <v>0</v>
      </c>
      <c r="FH51" s="336">
        <f t="shared" si="36"/>
        <v>0</v>
      </c>
      <c r="FI51" s="336">
        <f t="shared" si="37"/>
        <v>0</v>
      </c>
      <c r="FJ51" s="336">
        <f t="shared" si="38"/>
        <v>0</v>
      </c>
      <c r="FK51" s="336">
        <f t="shared" si="39"/>
        <v>0</v>
      </c>
      <c r="FL51" s="336">
        <f t="shared" si="40"/>
        <v>0</v>
      </c>
      <c r="FM51" s="336">
        <f t="shared" si="41"/>
        <v>0</v>
      </c>
      <c r="FN51" s="336">
        <f t="shared" si="42"/>
        <v>0</v>
      </c>
      <c r="FO51" s="336">
        <f t="shared" si="43"/>
        <v>0</v>
      </c>
      <c r="FP51" s="336">
        <f t="shared" si="44"/>
        <v>0</v>
      </c>
      <c r="FQ51" s="336">
        <f t="shared" si="45"/>
        <v>0</v>
      </c>
      <c r="FR51" s="336">
        <f t="shared" si="46"/>
        <v>0</v>
      </c>
      <c r="FS51" s="336">
        <f t="shared" si="47"/>
        <v>0</v>
      </c>
      <c r="FT51" s="336">
        <f t="shared" si="48"/>
        <v>15</v>
      </c>
      <c r="FU51" s="336">
        <f t="shared" si="553"/>
        <v>15</v>
      </c>
      <c r="FV51" s="336">
        <f t="shared" si="554"/>
        <v>15</v>
      </c>
      <c r="FW51" s="336">
        <f t="shared" si="555"/>
        <v>0</v>
      </c>
      <c r="FX51" s="336">
        <f t="shared" si="556"/>
        <v>0</v>
      </c>
      <c r="FY51" s="336">
        <f t="shared" si="53"/>
        <v>0</v>
      </c>
      <c r="FZ51" s="336">
        <f t="shared" si="54"/>
        <v>0</v>
      </c>
      <c r="GA51" s="336">
        <f t="shared" si="55"/>
        <v>0</v>
      </c>
      <c r="GB51" s="336">
        <f t="shared" si="56"/>
        <v>0</v>
      </c>
      <c r="GC51" s="336">
        <f t="shared" si="57"/>
        <v>0</v>
      </c>
      <c r="GD51" s="336">
        <f t="shared" si="58"/>
        <v>0</v>
      </c>
      <c r="GE51" s="336">
        <f t="shared" si="59"/>
        <v>0</v>
      </c>
      <c r="GF51" s="336">
        <f t="shared" si="60"/>
        <v>0</v>
      </c>
      <c r="GG51" s="336">
        <f t="shared" si="61"/>
        <v>0</v>
      </c>
      <c r="GH51" s="336">
        <f t="shared" si="62"/>
        <v>0</v>
      </c>
      <c r="GI51" s="336">
        <f t="shared" si="63"/>
        <v>0</v>
      </c>
      <c r="GJ51" s="336">
        <f t="shared" si="64"/>
        <v>0</v>
      </c>
      <c r="GK51" s="336">
        <f t="shared" si="65"/>
        <v>0</v>
      </c>
      <c r="GL51" s="336">
        <f t="shared" si="557"/>
        <v>0</v>
      </c>
      <c r="GM51" s="336">
        <f t="shared" si="66"/>
        <v>0</v>
      </c>
    </row>
    <row r="52" spans="1:195" ht="20.100000000000001" customHeight="1">
      <c r="A52" s="337">
        <f t="shared" si="577"/>
        <v>41</v>
      </c>
      <c r="B52" s="406" t="s">
        <v>1725</v>
      </c>
      <c r="C52" s="372" t="str">
        <f t="shared" si="558"/>
        <v>PMCC-2</v>
      </c>
      <c r="D52" s="372" t="s">
        <v>1143</v>
      </c>
      <c r="E52" s="569" t="s">
        <v>387</v>
      </c>
      <c r="F52" s="337" t="s">
        <v>28</v>
      </c>
      <c r="G52" s="337" t="s">
        <v>350</v>
      </c>
      <c r="H52" s="350">
        <v>0.37</v>
      </c>
      <c r="I52" s="337" t="s">
        <v>330</v>
      </c>
      <c r="J52" s="337" t="s">
        <v>331</v>
      </c>
      <c r="K52" s="349">
        <v>400</v>
      </c>
      <c r="L52" s="343">
        <v>0.75</v>
      </c>
      <c r="M52" s="350">
        <v>0.85299999999999998</v>
      </c>
      <c r="N52" s="342">
        <f t="shared" si="559"/>
        <v>0.83480213384450297</v>
      </c>
      <c r="O52" s="342">
        <f t="shared" si="560"/>
        <v>5.008812803067018</v>
      </c>
      <c r="P52" s="343">
        <f t="shared" si="561"/>
        <v>0.2</v>
      </c>
      <c r="Q52" s="350">
        <v>65</v>
      </c>
      <c r="R52" s="350">
        <v>0</v>
      </c>
      <c r="S52" s="350">
        <f t="shared" si="562"/>
        <v>0</v>
      </c>
      <c r="T52" s="343" t="s">
        <v>332</v>
      </c>
      <c r="U52" s="350" t="s">
        <v>333</v>
      </c>
      <c r="V52" s="343">
        <v>4</v>
      </c>
      <c r="W52" s="343" t="str">
        <f t="shared" si="563"/>
        <v>3C X 4</v>
      </c>
      <c r="X52" s="343" t="str">
        <f t="shared" si="564"/>
        <v>3C X 4+PE</v>
      </c>
      <c r="Y52" s="343" t="s">
        <v>358</v>
      </c>
      <c r="Z52" s="344">
        <f>IF(T52="AIR",VLOOKUP(W52,'Catalogue Aluminium'!$B$9:$G$93,2,FALSE),IF(T52="GROUND",VLOOKUP(W52,'Catalogue Aluminium'!$B$9:$G$93,3,FALSE),IF(T52="DUCT",VLOOKUP(W52,'Catalogue Aluminium'!$B$9:$G$93,4,FALSE),IF(T52="TRENCH",VLOOKUP(W52,'Catalogue Aluminium'!$B$9:$G$93,2,FALSE)))))</f>
        <v>38</v>
      </c>
      <c r="AA52" s="345">
        <f>VLOOKUP(W52,'Catalogue Aluminium'!$B$9:$G$93,5,FALSE)</f>
        <v>5.9</v>
      </c>
      <c r="AB52" s="345">
        <f>VLOOKUP(W52,'Catalogue Aluminium'!$B$9:$G$93,6,FALSE)</f>
        <v>9.4700000000000006E-2</v>
      </c>
      <c r="AC52" s="343">
        <v>22</v>
      </c>
      <c r="AD52" s="346">
        <f t="shared" si="576"/>
        <v>36.4</v>
      </c>
      <c r="AE52" s="343">
        <v>20</v>
      </c>
      <c r="AF52" s="343">
        <v>8</v>
      </c>
      <c r="AG52" s="343">
        <f t="shared" si="134"/>
        <v>9</v>
      </c>
      <c r="AH52" s="347">
        <f t="shared" si="578"/>
        <v>95.4</v>
      </c>
      <c r="AI52" s="344">
        <f>IF(T52="AIR",'Catalogue Aluminium'!$K$9,IF(T52="TRENCH",'Catalogue Aluminium'!$K$12,"NA"))</f>
        <v>0.89</v>
      </c>
      <c r="AJ52" s="342">
        <f>IF(T52="Air",(IF(U52="1C",'Catalogue Aluminium'!$L$9,'Catalogue Aluminium'!$M$9)),IF(T52="DUCT",(IF($U52="1C",'Catalogue Aluminium'!$L$10,'Catalogue Aluminium'!$M$10)),IF(T52="GROUND",(IF($U52="1C",'Catalogue Aluminium'!$L$11,'Catalogue Aluminium'!$M$11)),IF(T52="TRENCH",(IF($U52="1C",'Catalogue Aluminium'!$L$12,'Catalogue Aluminium'!$M$12))))))</f>
        <v>0.66</v>
      </c>
      <c r="AK52" s="344" t="str">
        <f>IF(T52="Air",'Catalogue Aluminium'!$N$9,IF(T52="GROUND",'Catalogue Aluminium'!$N$10,IF(T52="DUCT",'Catalogue Aluminium'!$N$11,IF(T52="TRENCH",'Catalogue Aluminium'!$N$12,"NA"))))</f>
        <v>NA</v>
      </c>
      <c r="AL52" s="344" t="str">
        <f>IF(T52="Air",(IF(U52="1C",'Catalogue Aluminium'!$O$9,'Catalogue Aluminium'!$P$9)),IF(T52="DUCT",(IF($U52="1C",'Catalogue Aluminium'!$O$10,'Catalogue Aluminium'!$P$10)),IF(T52="GROUND",(IF($U52="1C",'Catalogue Aluminium'!$O$11,'Catalogue Aluminium'!$P$11)),IF(T52="TRENCH",(IF($U52="1C",'Catalogue Aluminium'!$O$12,'Catalogue Aluminium'!$P$12))))))</f>
        <v>NA</v>
      </c>
      <c r="AM52" s="344" t="str">
        <f>IF(T52="AIR","NA",IF(T52="TRENCH","NA",IF(T52="DUCT",IF(U52="1C",VLOOKUP(V52,'Catalogue Aluminium'!$Q$9:$S$28,2,FALSE),VLOOKUP(V52,'Catalogue Aluminium'!$Q$9:$S$28,3)),IF(T52="GROUND",IF(U52="1C",VLOOKUP(V52,'Catalogue Aluminium'!$Q$9:$S$28,2,FALSE),VLOOKUP(V52,'Catalogue Aluminium'!$Q$9:$S$28,3))))))</f>
        <v>NA</v>
      </c>
      <c r="AN52" s="351">
        <f t="shared" si="565"/>
        <v>0.58740000000000003</v>
      </c>
      <c r="AO52" s="350">
        <f t="shared" si="566"/>
        <v>22.321200000000001</v>
      </c>
      <c r="AP52" s="349">
        <f t="shared" si="567"/>
        <v>1</v>
      </c>
      <c r="AQ52" s="350" t="str">
        <f t="shared" si="568"/>
        <v>YES</v>
      </c>
      <c r="AR52" s="351">
        <f t="shared" si="136"/>
        <v>0.15475703262349075</v>
      </c>
      <c r="AS52" s="343" t="str">
        <f t="shared" si="137"/>
        <v>YES</v>
      </c>
      <c r="AT52" s="351">
        <f t="shared" si="569"/>
        <v>0.26335370363755178</v>
      </c>
      <c r="AU52" s="343" t="str">
        <f t="shared" si="570"/>
        <v>YES</v>
      </c>
      <c r="AV52" s="354" t="str">
        <f t="shared" si="571"/>
        <v>1R x 0.6/1kV x 3C x 4 Sqmm</v>
      </c>
      <c r="AW52" s="354" t="str">
        <f t="shared" si="579"/>
        <v>1R x 0.6/1kV x 3C x 4+PE Sqmm</v>
      </c>
      <c r="AX52" s="343">
        <f t="shared" si="572"/>
        <v>95.4</v>
      </c>
      <c r="AY52" s="355"/>
      <c r="AZ52" s="355">
        <f t="shared" si="573"/>
        <v>2</v>
      </c>
      <c r="BA52" s="356" t="str">
        <f t="shared" si="574"/>
        <v>Q4Q5Q6</v>
      </c>
      <c r="BB52" s="501">
        <f>VLOOKUP(W52,'Catalogue Aluminium'!$B$9:$H$93,7,FALSE)</f>
        <v>15</v>
      </c>
      <c r="BC52" s="328">
        <f t="shared" si="575"/>
        <v>15</v>
      </c>
      <c r="BE52" s="336"/>
      <c r="BF52" s="336"/>
      <c r="BG52" s="336"/>
      <c r="BH52" s="336"/>
      <c r="BI52" s="336"/>
      <c r="BJ52" s="336"/>
      <c r="BK52" s="336"/>
      <c r="BL52" s="336"/>
      <c r="BM52" s="336"/>
      <c r="BN52" s="336"/>
      <c r="BO52" s="336"/>
      <c r="BP52" s="336"/>
      <c r="BQ52" s="336"/>
      <c r="BR52" s="336"/>
      <c r="BS52" s="336"/>
      <c r="BT52" s="336"/>
      <c r="BU52" s="336"/>
      <c r="BV52" s="336"/>
      <c r="BW52" s="336"/>
      <c r="BX52" s="336"/>
      <c r="BY52" s="336"/>
      <c r="BZ52" s="336"/>
      <c r="CA52" s="336"/>
      <c r="CB52" s="336"/>
      <c r="CC52" s="336"/>
      <c r="CD52" s="336"/>
      <c r="CE52" s="336"/>
      <c r="CF52" s="336"/>
      <c r="CG52" s="336"/>
      <c r="CH52" s="336"/>
      <c r="CI52" s="336"/>
      <c r="CJ52" s="336"/>
      <c r="CK52" s="336"/>
      <c r="CL52" s="336"/>
      <c r="CM52" s="336"/>
      <c r="CN52" s="336"/>
      <c r="CO52" s="336"/>
      <c r="CP52" s="336"/>
      <c r="CQ52" s="336"/>
      <c r="CR52" s="336"/>
      <c r="CS52" s="336"/>
      <c r="CT52" s="336"/>
      <c r="CU52" s="336"/>
      <c r="CV52" s="336"/>
      <c r="CW52" s="336"/>
      <c r="CX52" s="336"/>
      <c r="CY52" s="336"/>
      <c r="CZ52" s="336"/>
      <c r="DA52" s="336"/>
      <c r="DB52" s="336">
        <v>1</v>
      </c>
      <c r="DC52" s="336">
        <v>1</v>
      </c>
      <c r="DD52" s="336">
        <v>1</v>
      </c>
      <c r="DE52" s="336"/>
      <c r="DF52" s="336"/>
      <c r="DG52" s="336"/>
      <c r="DH52" s="336"/>
      <c r="DI52" s="336"/>
      <c r="DJ52" s="741"/>
      <c r="DK52" s="741"/>
      <c r="DL52" s="741"/>
      <c r="DM52" s="741"/>
      <c r="DN52" s="741"/>
      <c r="DO52" s="741"/>
      <c r="DP52" s="741"/>
      <c r="DQ52" s="336"/>
      <c r="DR52" s="741"/>
      <c r="DS52" s="741"/>
      <c r="DT52" s="741"/>
      <c r="DU52" s="336"/>
      <c r="DW52" s="336">
        <f t="shared" si="80"/>
        <v>0</v>
      </c>
      <c r="DX52" s="336">
        <f t="shared" si="1"/>
        <v>0</v>
      </c>
      <c r="DY52" s="336">
        <f t="shared" si="2"/>
        <v>0</v>
      </c>
      <c r="DZ52" s="336">
        <f t="shared" si="3"/>
        <v>0</v>
      </c>
      <c r="EA52" s="336">
        <f t="shared" si="4"/>
        <v>0</v>
      </c>
      <c r="EB52" s="336">
        <f t="shared" si="5"/>
        <v>0</v>
      </c>
      <c r="EC52" s="336">
        <f t="shared" si="6"/>
        <v>0</v>
      </c>
      <c r="ED52" s="336">
        <f t="shared" si="7"/>
        <v>0</v>
      </c>
      <c r="EE52" s="336">
        <f t="shared" si="8"/>
        <v>0</v>
      </c>
      <c r="EF52" s="336">
        <f t="shared" si="9"/>
        <v>0</v>
      </c>
      <c r="EG52" s="336">
        <f t="shared" si="10"/>
        <v>0</v>
      </c>
      <c r="EH52" s="336">
        <f t="shared" si="11"/>
        <v>0</v>
      </c>
      <c r="EI52" s="336">
        <f t="shared" si="12"/>
        <v>0</v>
      </c>
      <c r="EJ52" s="336">
        <f t="shared" si="13"/>
        <v>0</v>
      </c>
      <c r="EK52" s="336">
        <f t="shared" si="14"/>
        <v>0</v>
      </c>
      <c r="EL52" s="336">
        <f t="shared" si="15"/>
        <v>0</v>
      </c>
      <c r="EM52" s="336">
        <f t="shared" si="16"/>
        <v>0</v>
      </c>
      <c r="EN52" s="336">
        <f t="shared" si="17"/>
        <v>0</v>
      </c>
      <c r="EO52" s="336">
        <f t="shared" si="18"/>
        <v>0</v>
      </c>
      <c r="EP52" s="336">
        <f t="shared" si="19"/>
        <v>0</v>
      </c>
      <c r="EQ52" s="336">
        <f t="shared" si="20"/>
        <v>0</v>
      </c>
      <c r="ER52" s="336">
        <f t="shared" si="21"/>
        <v>0</v>
      </c>
      <c r="ES52" s="336">
        <f t="shared" si="22"/>
        <v>0</v>
      </c>
      <c r="ET52" s="336">
        <f t="shared" si="22"/>
        <v>0</v>
      </c>
      <c r="EU52" s="336">
        <f t="shared" si="23"/>
        <v>0</v>
      </c>
      <c r="EV52" s="336">
        <f t="shared" si="24"/>
        <v>0</v>
      </c>
      <c r="EW52" s="336">
        <f t="shared" si="25"/>
        <v>0</v>
      </c>
      <c r="EX52" s="336">
        <f t="shared" si="26"/>
        <v>0</v>
      </c>
      <c r="EY52" s="336">
        <f t="shared" si="27"/>
        <v>0</v>
      </c>
      <c r="EZ52" s="336">
        <f t="shared" si="28"/>
        <v>0</v>
      </c>
      <c r="FA52" s="336">
        <f t="shared" si="29"/>
        <v>0</v>
      </c>
      <c r="FB52" s="336">
        <f t="shared" si="30"/>
        <v>0</v>
      </c>
      <c r="FC52" s="336">
        <f t="shared" si="31"/>
        <v>0</v>
      </c>
      <c r="FD52" s="336">
        <f t="shared" si="32"/>
        <v>0</v>
      </c>
      <c r="FE52" s="336">
        <f t="shared" si="33"/>
        <v>0</v>
      </c>
      <c r="FF52" s="336">
        <f t="shared" si="34"/>
        <v>0</v>
      </c>
      <c r="FG52" s="336">
        <f t="shared" si="35"/>
        <v>0</v>
      </c>
      <c r="FH52" s="336">
        <f t="shared" si="36"/>
        <v>0</v>
      </c>
      <c r="FI52" s="336">
        <f t="shared" si="37"/>
        <v>0</v>
      </c>
      <c r="FJ52" s="336">
        <f t="shared" si="38"/>
        <v>0</v>
      </c>
      <c r="FK52" s="336">
        <f t="shared" si="39"/>
        <v>0</v>
      </c>
      <c r="FL52" s="336">
        <f t="shared" si="40"/>
        <v>0</v>
      </c>
      <c r="FM52" s="336">
        <f t="shared" si="41"/>
        <v>0</v>
      </c>
      <c r="FN52" s="336">
        <f t="shared" si="42"/>
        <v>0</v>
      </c>
      <c r="FO52" s="336">
        <f t="shared" si="43"/>
        <v>0</v>
      </c>
      <c r="FP52" s="336">
        <f t="shared" si="44"/>
        <v>0</v>
      </c>
      <c r="FQ52" s="336">
        <f t="shared" si="45"/>
        <v>0</v>
      </c>
      <c r="FR52" s="336">
        <f t="shared" si="46"/>
        <v>0</v>
      </c>
      <c r="FS52" s="336">
        <f t="shared" si="47"/>
        <v>0</v>
      </c>
      <c r="FT52" s="336">
        <f t="shared" si="48"/>
        <v>15</v>
      </c>
      <c r="FU52" s="336">
        <f t="shared" si="553"/>
        <v>15</v>
      </c>
      <c r="FV52" s="336">
        <f t="shared" si="554"/>
        <v>15</v>
      </c>
      <c r="FW52" s="336">
        <f t="shared" si="555"/>
        <v>0</v>
      </c>
      <c r="FX52" s="336">
        <f t="shared" si="556"/>
        <v>0</v>
      </c>
      <c r="FY52" s="336">
        <f t="shared" si="53"/>
        <v>0</v>
      </c>
      <c r="FZ52" s="336">
        <f t="shared" si="54"/>
        <v>0</v>
      </c>
      <c r="GA52" s="336">
        <f t="shared" si="55"/>
        <v>0</v>
      </c>
      <c r="GB52" s="336">
        <f t="shared" si="56"/>
        <v>0</v>
      </c>
      <c r="GC52" s="336">
        <f t="shared" si="57"/>
        <v>0</v>
      </c>
      <c r="GD52" s="336">
        <f t="shared" si="58"/>
        <v>0</v>
      </c>
      <c r="GE52" s="336">
        <f t="shared" si="59"/>
        <v>0</v>
      </c>
      <c r="GF52" s="336">
        <f t="shared" si="60"/>
        <v>0</v>
      </c>
      <c r="GG52" s="336">
        <f t="shared" si="61"/>
        <v>0</v>
      </c>
      <c r="GH52" s="336">
        <f t="shared" si="62"/>
        <v>0</v>
      </c>
      <c r="GI52" s="336">
        <f t="shared" si="63"/>
        <v>0</v>
      </c>
      <c r="GJ52" s="336">
        <f t="shared" si="64"/>
        <v>0</v>
      </c>
      <c r="GK52" s="336">
        <f t="shared" si="65"/>
        <v>0</v>
      </c>
      <c r="GL52" s="336">
        <f t="shared" si="557"/>
        <v>0</v>
      </c>
      <c r="GM52" s="336">
        <f t="shared" si="66"/>
        <v>0</v>
      </c>
    </row>
    <row r="53" spans="1:195" ht="20.100000000000001" customHeight="1">
      <c r="A53" s="337">
        <f t="shared" si="577"/>
        <v>42</v>
      </c>
      <c r="B53" s="406" t="s">
        <v>1726</v>
      </c>
      <c r="C53" s="372" t="str">
        <f t="shared" si="558"/>
        <v>PMCC-2</v>
      </c>
      <c r="D53" s="372" t="s">
        <v>1144</v>
      </c>
      <c r="E53" s="569" t="s">
        <v>387</v>
      </c>
      <c r="F53" s="337" t="s">
        <v>29</v>
      </c>
      <c r="G53" s="337" t="s">
        <v>350</v>
      </c>
      <c r="H53" s="350">
        <v>0.37</v>
      </c>
      <c r="I53" s="337" t="s">
        <v>330</v>
      </c>
      <c r="J53" s="337" t="s">
        <v>331</v>
      </c>
      <c r="K53" s="349">
        <v>400</v>
      </c>
      <c r="L53" s="343">
        <v>0.75</v>
      </c>
      <c r="M53" s="350">
        <v>0.85299999999999998</v>
      </c>
      <c r="N53" s="342">
        <f t="shared" si="559"/>
        <v>0.83480213384450297</v>
      </c>
      <c r="O53" s="342">
        <f t="shared" si="560"/>
        <v>5.008812803067018</v>
      </c>
      <c r="P53" s="343">
        <f t="shared" si="561"/>
        <v>0.2</v>
      </c>
      <c r="Q53" s="350">
        <v>65</v>
      </c>
      <c r="R53" s="350">
        <v>0</v>
      </c>
      <c r="S53" s="350">
        <f t="shared" si="562"/>
        <v>0</v>
      </c>
      <c r="T53" s="343" t="s">
        <v>332</v>
      </c>
      <c r="U53" s="350" t="s">
        <v>333</v>
      </c>
      <c r="V53" s="343">
        <v>4</v>
      </c>
      <c r="W53" s="343" t="str">
        <f t="shared" si="563"/>
        <v>3C X 4</v>
      </c>
      <c r="X53" s="343" t="str">
        <f t="shared" si="564"/>
        <v>3C X 4+PE</v>
      </c>
      <c r="Y53" s="343" t="s">
        <v>358</v>
      </c>
      <c r="Z53" s="344">
        <f>IF(T53="AIR",VLOOKUP(W53,'Catalogue Aluminium'!$B$9:$G$93,2,FALSE),IF(T53="GROUND",VLOOKUP(W53,'Catalogue Aluminium'!$B$9:$G$93,3,FALSE),IF(T53="DUCT",VLOOKUP(W53,'Catalogue Aluminium'!$B$9:$G$93,4,FALSE),IF(T53="TRENCH",VLOOKUP(W53,'Catalogue Aluminium'!$B$9:$G$93,2,FALSE)))))</f>
        <v>38</v>
      </c>
      <c r="AA53" s="345">
        <f>VLOOKUP(W53,'Catalogue Aluminium'!$B$9:$G$93,5,FALSE)</f>
        <v>5.9</v>
      </c>
      <c r="AB53" s="345">
        <f>VLOOKUP(W53,'Catalogue Aluminium'!$B$9:$G$93,6,FALSE)</f>
        <v>9.4700000000000006E-2</v>
      </c>
      <c r="AC53" s="343">
        <f>9.5+2.5</f>
        <v>12</v>
      </c>
      <c r="AD53" s="346">
        <f t="shared" si="576"/>
        <v>36.4</v>
      </c>
      <c r="AE53" s="343">
        <v>20</v>
      </c>
      <c r="AF53" s="343">
        <v>8</v>
      </c>
      <c r="AG53" s="343">
        <f t="shared" si="134"/>
        <v>8</v>
      </c>
      <c r="AH53" s="347">
        <f t="shared" si="578"/>
        <v>84.4</v>
      </c>
      <c r="AI53" s="344">
        <f>IF(T53="AIR",'Catalogue Aluminium'!$K$9,IF(T53="TRENCH",'Catalogue Aluminium'!$K$12,"NA"))</f>
        <v>0.89</v>
      </c>
      <c r="AJ53" s="342">
        <f>IF(T53="Air",(IF(U53="1C",'Catalogue Aluminium'!$L$9,'Catalogue Aluminium'!$M$9)),IF(T53="DUCT",(IF($U53="1C",'Catalogue Aluminium'!$L$10,'Catalogue Aluminium'!$M$10)),IF(T53="GROUND",(IF($U53="1C",'Catalogue Aluminium'!$L$11,'Catalogue Aluminium'!$M$11)),IF(T53="TRENCH",(IF($U53="1C",'Catalogue Aluminium'!$L$12,'Catalogue Aluminium'!$M$12))))))</f>
        <v>0.66</v>
      </c>
      <c r="AK53" s="344" t="str">
        <f>IF(T53="Air",'Catalogue Aluminium'!$N$9,IF(T53="GROUND",'Catalogue Aluminium'!$N$10,IF(T53="DUCT",'Catalogue Aluminium'!$N$11,IF(T53="TRENCH",'Catalogue Aluminium'!$N$12,"NA"))))</f>
        <v>NA</v>
      </c>
      <c r="AL53" s="344" t="str">
        <f>IF(T53="Air",(IF(U53="1C",'Catalogue Aluminium'!$O$9,'Catalogue Aluminium'!$P$9)),IF(T53="DUCT",(IF($U53="1C",'Catalogue Aluminium'!$O$10,'Catalogue Aluminium'!$P$10)),IF(T53="GROUND",(IF($U53="1C",'Catalogue Aluminium'!$O$11,'Catalogue Aluminium'!$P$11)),IF(T53="TRENCH",(IF($U53="1C",'Catalogue Aluminium'!$O$12,'Catalogue Aluminium'!$P$12))))))</f>
        <v>NA</v>
      </c>
      <c r="AM53" s="344" t="str">
        <f>IF(T53="AIR","NA",IF(T53="TRENCH","NA",IF(T53="DUCT",IF(U53="1C",VLOOKUP(V53,'Catalogue Aluminium'!$Q$9:$S$28,2,FALSE),VLOOKUP(V53,'Catalogue Aluminium'!$Q$9:$S$28,3)),IF(T53="GROUND",IF(U53="1C",VLOOKUP(V53,'Catalogue Aluminium'!$Q$9:$S$28,2,FALSE),VLOOKUP(V53,'Catalogue Aluminium'!$Q$9:$S$28,3))))))</f>
        <v>NA</v>
      </c>
      <c r="AN53" s="351">
        <f t="shared" si="565"/>
        <v>0.58740000000000003</v>
      </c>
      <c r="AO53" s="350">
        <f t="shared" si="566"/>
        <v>22.321200000000001</v>
      </c>
      <c r="AP53" s="349">
        <f t="shared" si="567"/>
        <v>1</v>
      </c>
      <c r="AQ53" s="350" t="str">
        <f t="shared" si="568"/>
        <v>YES</v>
      </c>
      <c r="AR53" s="351">
        <f t="shared" si="136"/>
        <v>0.13691293032937757</v>
      </c>
      <c r="AS53" s="343" t="str">
        <f t="shared" si="137"/>
        <v>YES</v>
      </c>
      <c r="AT53" s="351">
        <f t="shared" si="569"/>
        <v>0.23298797261016113</v>
      </c>
      <c r="AU53" s="343" t="str">
        <f t="shared" si="570"/>
        <v>YES</v>
      </c>
      <c r="AV53" s="354" t="str">
        <f t="shared" si="571"/>
        <v>1R x 0.6/1kV x 3C x 4 Sqmm</v>
      </c>
      <c r="AW53" s="354" t="str">
        <f t="shared" si="579"/>
        <v>1R x 0.6/1kV x 3C x 4+PE Sqmm</v>
      </c>
      <c r="AX53" s="343">
        <f t="shared" si="572"/>
        <v>84.4</v>
      </c>
      <c r="AY53" s="355"/>
      <c r="AZ53" s="355">
        <f t="shared" si="573"/>
        <v>2</v>
      </c>
      <c r="BA53" s="356" t="str">
        <f t="shared" si="574"/>
        <v>Q4Q5Q6</v>
      </c>
      <c r="BB53" s="501">
        <f>VLOOKUP(W53,'Catalogue Aluminium'!$B$9:$H$93,7,FALSE)</f>
        <v>15</v>
      </c>
      <c r="BC53" s="328">
        <f t="shared" si="575"/>
        <v>15</v>
      </c>
      <c r="BE53" s="336"/>
      <c r="BF53" s="336"/>
      <c r="BG53" s="336"/>
      <c r="BH53" s="336"/>
      <c r="BI53" s="336"/>
      <c r="BJ53" s="336"/>
      <c r="BK53" s="336"/>
      <c r="BL53" s="336"/>
      <c r="BM53" s="336"/>
      <c r="BN53" s="336"/>
      <c r="BO53" s="336"/>
      <c r="BP53" s="336"/>
      <c r="BQ53" s="336"/>
      <c r="BR53" s="336"/>
      <c r="BS53" s="336"/>
      <c r="BT53" s="336"/>
      <c r="BU53" s="336"/>
      <c r="BV53" s="336"/>
      <c r="BW53" s="336"/>
      <c r="BX53" s="336"/>
      <c r="BY53" s="336"/>
      <c r="BZ53" s="336"/>
      <c r="CA53" s="336"/>
      <c r="CB53" s="336"/>
      <c r="CC53" s="336"/>
      <c r="CD53" s="336"/>
      <c r="CE53" s="336"/>
      <c r="CF53" s="336"/>
      <c r="CG53" s="336"/>
      <c r="CH53" s="336"/>
      <c r="CI53" s="336"/>
      <c r="CJ53" s="336"/>
      <c r="CK53" s="336"/>
      <c r="CL53" s="336"/>
      <c r="CM53" s="336"/>
      <c r="CN53" s="336"/>
      <c r="CO53" s="336"/>
      <c r="CP53" s="336"/>
      <c r="CQ53" s="336"/>
      <c r="CR53" s="336"/>
      <c r="CS53" s="336"/>
      <c r="CT53" s="336"/>
      <c r="CU53" s="336"/>
      <c r="CV53" s="336"/>
      <c r="CW53" s="336"/>
      <c r="CX53" s="336"/>
      <c r="CY53" s="336"/>
      <c r="CZ53" s="336"/>
      <c r="DA53" s="336"/>
      <c r="DB53" s="336">
        <v>1</v>
      </c>
      <c r="DC53" s="336">
        <v>1</v>
      </c>
      <c r="DD53" s="336">
        <v>1</v>
      </c>
      <c r="DE53" s="336"/>
      <c r="DF53" s="336"/>
      <c r="DG53" s="336"/>
      <c r="DH53" s="336"/>
      <c r="DI53" s="336"/>
      <c r="DJ53" s="741"/>
      <c r="DK53" s="741"/>
      <c r="DL53" s="741"/>
      <c r="DM53" s="741"/>
      <c r="DN53" s="741"/>
      <c r="DO53" s="741"/>
      <c r="DP53" s="741"/>
      <c r="DQ53" s="336"/>
      <c r="DR53" s="741"/>
      <c r="DS53" s="741"/>
      <c r="DT53" s="741"/>
      <c r="DU53" s="336"/>
      <c r="DW53" s="336">
        <f t="shared" si="80"/>
        <v>0</v>
      </c>
      <c r="DX53" s="336">
        <f t="shared" si="1"/>
        <v>0</v>
      </c>
      <c r="DY53" s="336">
        <f t="shared" si="2"/>
        <v>0</v>
      </c>
      <c r="DZ53" s="336">
        <f t="shared" si="3"/>
        <v>0</v>
      </c>
      <c r="EA53" s="336">
        <f t="shared" si="4"/>
        <v>0</v>
      </c>
      <c r="EB53" s="336">
        <f t="shared" si="5"/>
        <v>0</v>
      </c>
      <c r="EC53" s="336">
        <f t="shared" si="6"/>
        <v>0</v>
      </c>
      <c r="ED53" s="336">
        <f t="shared" si="7"/>
        <v>0</v>
      </c>
      <c r="EE53" s="336">
        <f t="shared" si="8"/>
        <v>0</v>
      </c>
      <c r="EF53" s="336">
        <f t="shared" si="9"/>
        <v>0</v>
      </c>
      <c r="EG53" s="336">
        <f t="shared" si="10"/>
        <v>0</v>
      </c>
      <c r="EH53" s="336">
        <f t="shared" si="11"/>
        <v>0</v>
      </c>
      <c r="EI53" s="336">
        <f t="shared" si="12"/>
        <v>0</v>
      </c>
      <c r="EJ53" s="336">
        <f t="shared" si="13"/>
        <v>0</v>
      </c>
      <c r="EK53" s="336">
        <f t="shared" si="14"/>
        <v>0</v>
      </c>
      <c r="EL53" s="336">
        <f t="shared" si="15"/>
        <v>0</v>
      </c>
      <c r="EM53" s="336">
        <f t="shared" si="16"/>
        <v>0</v>
      </c>
      <c r="EN53" s="336">
        <f t="shared" si="17"/>
        <v>0</v>
      </c>
      <c r="EO53" s="336">
        <f t="shared" si="18"/>
        <v>0</v>
      </c>
      <c r="EP53" s="336">
        <f t="shared" si="19"/>
        <v>0</v>
      </c>
      <c r="EQ53" s="336">
        <f t="shared" si="20"/>
        <v>0</v>
      </c>
      <c r="ER53" s="336">
        <f t="shared" si="21"/>
        <v>0</v>
      </c>
      <c r="ES53" s="336">
        <f t="shared" si="22"/>
        <v>0</v>
      </c>
      <c r="ET53" s="336">
        <f t="shared" si="22"/>
        <v>0</v>
      </c>
      <c r="EU53" s="336">
        <f t="shared" si="23"/>
        <v>0</v>
      </c>
      <c r="EV53" s="336">
        <f t="shared" si="24"/>
        <v>0</v>
      </c>
      <c r="EW53" s="336">
        <f t="shared" si="25"/>
        <v>0</v>
      </c>
      <c r="EX53" s="336">
        <f t="shared" si="26"/>
        <v>0</v>
      </c>
      <c r="EY53" s="336">
        <f t="shared" si="27"/>
        <v>0</v>
      </c>
      <c r="EZ53" s="336">
        <f t="shared" si="28"/>
        <v>0</v>
      </c>
      <c r="FA53" s="336">
        <f t="shared" si="29"/>
        <v>0</v>
      </c>
      <c r="FB53" s="336">
        <f t="shared" si="30"/>
        <v>0</v>
      </c>
      <c r="FC53" s="336">
        <f t="shared" si="31"/>
        <v>0</v>
      </c>
      <c r="FD53" s="336">
        <f t="shared" si="32"/>
        <v>0</v>
      </c>
      <c r="FE53" s="336">
        <f t="shared" si="33"/>
        <v>0</v>
      </c>
      <c r="FF53" s="336">
        <f t="shared" si="34"/>
        <v>0</v>
      </c>
      <c r="FG53" s="336">
        <f t="shared" si="35"/>
        <v>0</v>
      </c>
      <c r="FH53" s="336">
        <f t="shared" si="36"/>
        <v>0</v>
      </c>
      <c r="FI53" s="336">
        <f t="shared" si="37"/>
        <v>0</v>
      </c>
      <c r="FJ53" s="336">
        <f t="shared" si="38"/>
        <v>0</v>
      </c>
      <c r="FK53" s="336">
        <f t="shared" si="39"/>
        <v>0</v>
      </c>
      <c r="FL53" s="336">
        <f t="shared" si="40"/>
        <v>0</v>
      </c>
      <c r="FM53" s="336">
        <f t="shared" si="41"/>
        <v>0</v>
      </c>
      <c r="FN53" s="336">
        <f t="shared" si="42"/>
        <v>0</v>
      </c>
      <c r="FO53" s="336">
        <f t="shared" si="43"/>
        <v>0</v>
      </c>
      <c r="FP53" s="336">
        <f t="shared" si="44"/>
        <v>0</v>
      </c>
      <c r="FQ53" s="336">
        <f t="shared" si="45"/>
        <v>0</v>
      </c>
      <c r="FR53" s="336">
        <f t="shared" si="46"/>
        <v>0</v>
      </c>
      <c r="FS53" s="336">
        <f t="shared" si="47"/>
        <v>0</v>
      </c>
      <c r="FT53" s="336">
        <f t="shared" si="48"/>
        <v>15</v>
      </c>
      <c r="FU53" s="336">
        <f t="shared" si="553"/>
        <v>15</v>
      </c>
      <c r="FV53" s="336">
        <f t="shared" si="554"/>
        <v>15</v>
      </c>
      <c r="FW53" s="336">
        <f t="shared" si="555"/>
        <v>0</v>
      </c>
      <c r="FX53" s="336">
        <f t="shared" si="556"/>
        <v>0</v>
      </c>
      <c r="FY53" s="336">
        <f t="shared" si="53"/>
        <v>0</v>
      </c>
      <c r="FZ53" s="336">
        <f t="shared" si="54"/>
        <v>0</v>
      </c>
      <c r="GA53" s="336">
        <f t="shared" si="55"/>
        <v>0</v>
      </c>
      <c r="GB53" s="336">
        <f t="shared" si="56"/>
        <v>0</v>
      </c>
      <c r="GC53" s="336">
        <f t="shared" si="57"/>
        <v>0</v>
      </c>
      <c r="GD53" s="336">
        <f t="shared" si="58"/>
        <v>0</v>
      </c>
      <c r="GE53" s="336">
        <f t="shared" si="59"/>
        <v>0</v>
      </c>
      <c r="GF53" s="336">
        <f t="shared" si="60"/>
        <v>0</v>
      </c>
      <c r="GG53" s="336">
        <f t="shared" si="61"/>
        <v>0</v>
      </c>
      <c r="GH53" s="336">
        <f t="shared" si="62"/>
        <v>0</v>
      </c>
      <c r="GI53" s="336">
        <f t="shared" si="63"/>
        <v>0</v>
      </c>
      <c r="GJ53" s="336">
        <f t="shared" si="64"/>
        <v>0</v>
      </c>
      <c r="GK53" s="336">
        <f t="shared" si="65"/>
        <v>0</v>
      </c>
      <c r="GL53" s="336">
        <f t="shared" si="557"/>
        <v>0</v>
      </c>
      <c r="GM53" s="336">
        <f t="shared" si="66"/>
        <v>0</v>
      </c>
    </row>
    <row r="54" spans="1:195" ht="20.100000000000001" customHeight="1">
      <c r="A54" s="337">
        <f t="shared" si="577"/>
        <v>43</v>
      </c>
      <c r="B54" s="337" t="s">
        <v>527</v>
      </c>
      <c r="C54" s="372" t="str">
        <f t="shared" si="558"/>
        <v>PMCC-2</v>
      </c>
      <c r="D54" s="372" t="s">
        <v>1145</v>
      </c>
      <c r="E54" s="569" t="s">
        <v>387</v>
      </c>
      <c r="F54" s="337" t="s">
        <v>28</v>
      </c>
      <c r="G54" s="337" t="s">
        <v>350</v>
      </c>
      <c r="H54" s="350">
        <v>0.75</v>
      </c>
      <c r="I54" s="337" t="s">
        <v>330</v>
      </c>
      <c r="J54" s="337" t="s">
        <v>331</v>
      </c>
      <c r="K54" s="349">
        <v>400</v>
      </c>
      <c r="L54" s="343">
        <v>0.75</v>
      </c>
      <c r="M54" s="350">
        <v>0.85299999999999998</v>
      </c>
      <c r="N54" s="342">
        <f t="shared" si="559"/>
        <v>1.6921664875226412</v>
      </c>
      <c r="O54" s="342">
        <f t="shared" si="560"/>
        <v>10.152998925135847</v>
      </c>
      <c r="P54" s="343">
        <f t="shared" si="561"/>
        <v>0.2</v>
      </c>
      <c r="Q54" s="350">
        <v>65</v>
      </c>
      <c r="R54" s="350">
        <v>0</v>
      </c>
      <c r="S54" s="350">
        <f t="shared" si="562"/>
        <v>0</v>
      </c>
      <c r="T54" s="343" t="s">
        <v>332</v>
      </c>
      <c r="U54" s="350" t="s">
        <v>333</v>
      </c>
      <c r="V54" s="343">
        <v>4</v>
      </c>
      <c r="W54" s="343" t="str">
        <f t="shared" si="563"/>
        <v>3C X 4</v>
      </c>
      <c r="X54" s="343" t="str">
        <f t="shared" si="564"/>
        <v>3C X 4+PE</v>
      </c>
      <c r="Y54" s="343" t="s">
        <v>358</v>
      </c>
      <c r="Z54" s="344">
        <f>IF(T54="AIR",VLOOKUP(W54,'Catalogue Aluminium'!$B$9:$G$93,2,FALSE),IF(T54="GROUND",VLOOKUP(W54,'Catalogue Aluminium'!$B$9:$G$93,3,FALSE),IF(T54="DUCT",VLOOKUP(W54,'Catalogue Aluminium'!$B$9:$G$93,4,FALSE),IF(T54="TRENCH",VLOOKUP(W54,'Catalogue Aluminium'!$B$9:$G$93,2,FALSE)))))</f>
        <v>38</v>
      </c>
      <c r="AA54" s="345">
        <f>VLOOKUP(W54,'Catalogue Aluminium'!$B$9:$G$93,5,FALSE)</f>
        <v>5.9</v>
      </c>
      <c r="AB54" s="345">
        <f>VLOOKUP(W54,'Catalogue Aluminium'!$B$9:$G$93,6,FALSE)</f>
        <v>9.4700000000000006E-2</v>
      </c>
      <c r="AC54" s="343">
        <v>22</v>
      </c>
      <c r="AD54" s="346">
        <f t="shared" si="576"/>
        <v>36.4</v>
      </c>
      <c r="AE54" s="343">
        <v>20</v>
      </c>
      <c r="AF54" s="343">
        <v>8</v>
      </c>
      <c r="AG54" s="343">
        <f t="shared" si="134"/>
        <v>9</v>
      </c>
      <c r="AH54" s="347">
        <f t="shared" si="578"/>
        <v>95.4</v>
      </c>
      <c r="AI54" s="344">
        <f>IF(T54="AIR",'Catalogue Aluminium'!$K$9,IF(T54="TRENCH",'Catalogue Aluminium'!$K$12,"NA"))</f>
        <v>0.89</v>
      </c>
      <c r="AJ54" s="342">
        <f>IF(T54="Air",(IF(U54="1C",'Catalogue Aluminium'!$L$9,'Catalogue Aluminium'!$M$9)),IF(T54="DUCT",(IF($U54="1C",'Catalogue Aluminium'!$L$10,'Catalogue Aluminium'!$M$10)),IF(T54="GROUND",(IF($U54="1C",'Catalogue Aluminium'!$L$11,'Catalogue Aluminium'!$M$11)),IF(T54="TRENCH",(IF($U54="1C",'Catalogue Aluminium'!$L$12,'Catalogue Aluminium'!$M$12))))))</f>
        <v>0.66</v>
      </c>
      <c r="AK54" s="344" t="str">
        <f>IF(T54="Air",'Catalogue Aluminium'!$N$9,IF(T54="GROUND",'Catalogue Aluminium'!$N$10,IF(T54="DUCT",'Catalogue Aluminium'!$N$11,IF(T54="TRENCH",'Catalogue Aluminium'!$N$12,"NA"))))</f>
        <v>NA</v>
      </c>
      <c r="AL54" s="344" t="str">
        <f>IF(T54="Air",(IF(U54="1C",'Catalogue Aluminium'!$O$9,'Catalogue Aluminium'!$P$9)),IF(T54="DUCT",(IF($U54="1C",'Catalogue Aluminium'!$O$10,'Catalogue Aluminium'!$P$10)),IF(T54="GROUND",(IF($U54="1C",'Catalogue Aluminium'!$O$11,'Catalogue Aluminium'!$P$11)),IF(T54="TRENCH",(IF($U54="1C",'Catalogue Aluminium'!$O$12,'Catalogue Aluminium'!$P$12))))))</f>
        <v>NA</v>
      </c>
      <c r="AM54" s="344" t="str">
        <f>IF(T54="AIR","NA",IF(T54="TRENCH","NA",IF(T54="DUCT",IF(U54="1C",VLOOKUP(V54,'Catalogue Aluminium'!$Q$9:$S$28,2,FALSE),VLOOKUP(V54,'Catalogue Aluminium'!$Q$9:$S$28,3)),IF(T54="GROUND",IF(U54="1C",VLOOKUP(V54,'Catalogue Aluminium'!$Q$9:$S$28,2,FALSE),VLOOKUP(V54,'Catalogue Aluminium'!$Q$9:$S$28,3))))))</f>
        <v>NA</v>
      </c>
      <c r="AN54" s="351">
        <f t="shared" si="565"/>
        <v>0.58740000000000003</v>
      </c>
      <c r="AO54" s="350">
        <f t="shared" si="566"/>
        <v>22.321200000000001</v>
      </c>
      <c r="AP54" s="349">
        <f t="shared" si="567"/>
        <v>1</v>
      </c>
      <c r="AQ54" s="350" t="str">
        <f t="shared" si="568"/>
        <v>YES</v>
      </c>
      <c r="AR54" s="351">
        <f t="shared" si="136"/>
        <v>0.31369668775031906</v>
      </c>
      <c r="AS54" s="343" t="str">
        <f t="shared" si="137"/>
        <v>YES</v>
      </c>
      <c r="AT54" s="351">
        <f t="shared" si="569"/>
        <v>0.5338250749409833</v>
      </c>
      <c r="AU54" s="343" t="str">
        <f t="shared" si="570"/>
        <v>YES</v>
      </c>
      <c r="AV54" s="354" t="str">
        <f t="shared" si="571"/>
        <v>1R x 0.6/1kV x 3C x 4 Sqmm</v>
      </c>
      <c r="AW54" s="354" t="str">
        <f t="shared" si="579"/>
        <v>1R x 0.6/1kV x 3C x 4+PE Sqmm</v>
      </c>
      <c r="AX54" s="343">
        <f t="shared" si="572"/>
        <v>95.4</v>
      </c>
      <c r="AY54" s="355"/>
      <c r="AZ54" s="355">
        <f t="shared" si="573"/>
        <v>2</v>
      </c>
      <c r="BA54" s="356" t="str">
        <f t="shared" si="574"/>
        <v>Q4Q5Q6</v>
      </c>
      <c r="BB54" s="501">
        <f>VLOOKUP(W54,'Catalogue Aluminium'!$B$9:$H$93,7,FALSE)</f>
        <v>15</v>
      </c>
      <c r="BC54" s="328">
        <f t="shared" si="575"/>
        <v>15</v>
      </c>
      <c r="BE54" s="336"/>
      <c r="BF54" s="336"/>
      <c r="BG54" s="336"/>
      <c r="BH54" s="336"/>
      <c r="BI54" s="336"/>
      <c r="BJ54" s="336"/>
      <c r="BK54" s="336"/>
      <c r="BL54" s="336"/>
      <c r="BM54" s="336"/>
      <c r="BN54" s="336"/>
      <c r="BO54" s="336"/>
      <c r="BP54" s="336"/>
      <c r="BQ54" s="336"/>
      <c r="BR54" s="336"/>
      <c r="BS54" s="336"/>
      <c r="BT54" s="336"/>
      <c r="BU54" s="336"/>
      <c r="BV54" s="336"/>
      <c r="BW54" s="336"/>
      <c r="BX54" s="336"/>
      <c r="BY54" s="336"/>
      <c r="BZ54" s="336"/>
      <c r="CA54" s="336"/>
      <c r="CB54" s="336"/>
      <c r="CC54" s="336"/>
      <c r="CD54" s="336"/>
      <c r="CE54" s="336"/>
      <c r="CF54" s="336"/>
      <c r="CG54" s="336"/>
      <c r="CH54" s="336"/>
      <c r="CI54" s="336"/>
      <c r="CJ54" s="336"/>
      <c r="CK54" s="336"/>
      <c r="CL54" s="336"/>
      <c r="CM54" s="336"/>
      <c r="CN54" s="336"/>
      <c r="CO54" s="336"/>
      <c r="CP54" s="336"/>
      <c r="CQ54" s="336"/>
      <c r="CR54" s="336"/>
      <c r="CS54" s="336"/>
      <c r="CT54" s="336"/>
      <c r="CU54" s="336"/>
      <c r="CV54" s="336"/>
      <c r="CW54" s="336"/>
      <c r="CX54" s="336"/>
      <c r="CY54" s="336"/>
      <c r="CZ54" s="336"/>
      <c r="DA54" s="336"/>
      <c r="DB54" s="336">
        <v>1</v>
      </c>
      <c r="DC54" s="336">
        <v>1</v>
      </c>
      <c r="DD54" s="336">
        <v>1</v>
      </c>
      <c r="DE54" s="336"/>
      <c r="DF54" s="336"/>
      <c r="DG54" s="336"/>
      <c r="DH54" s="336"/>
      <c r="DI54" s="336"/>
      <c r="DJ54" s="741"/>
      <c r="DK54" s="741"/>
      <c r="DL54" s="741"/>
      <c r="DM54" s="741"/>
      <c r="DN54" s="741"/>
      <c r="DO54" s="741"/>
      <c r="DP54" s="741"/>
      <c r="DQ54" s="336"/>
      <c r="DR54" s="741"/>
      <c r="DS54" s="741"/>
      <c r="DT54" s="741"/>
      <c r="DU54" s="336"/>
      <c r="DW54" s="336">
        <f t="shared" si="80"/>
        <v>0</v>
      </c>
      <c r="DX54" s="336">
        <f t="shared" si="1"/>
        <v>0</v>
      </c>
      <c r="DY54" s="336">
        <f t="shared" si="2"/>
        <v>0</v>
      </c>
      <c r="DZ54" s="336">
        <f t="shared" si="3"/>
        <v>0</v>
      </c>
      <c r="EA54" s="336">
        <f t="shared" si="4"/>
        <v>0</v>
      </c>
      <c r="EB54" s="336">
        <f t="shared" si="5"/>
        <v>0</v>
      </c>
      <c r="EC54" s="336">
        <f t="shared" si="6"/>
        <v>0</v>
      </c>
      <c r="ED54" s="336">
        <f t="shared" si="7"/>
        <v>0</v>
      </c>
      <c r="EE54" s="336">
        <f t="shared" si="8"/>
        <v>0</v>
      </c>
      <c r="EF54" s="336">
        <f t="shared" si="9"/>
        <v>0</v>
      </c>
      <c r="EG54" s="336">
        <f t="shared" si="10"/>
        <v>0</v>
      </c>
      <c r="EH54" s="336">
        <f t="shared" si="11"/>
        <v>0</v>
      </c>
      <c r="EI54" s="336">
        <f t="shared" si="12"/>
        <v>0</v>
      </c>
      <c r="EJ54" s="336">
        <f t="shared" si="13"/>
        <v>0</v>
      </c>
      <c r="EK54" s="336">
        <f t="shared" si="14"/>
        <v>0</v>
      </c>
      <c r="EL54" s="336">
        <f t="shared" si="15"/>
        <v>0</v>
      </c>
      <c r="EM54" s="336">
        <f t="shared" si="16"/>
        <v>0</v>
      </c>
      <c r="EN54" s="336">
        <f t="shared" si="17"/>
        <v>0</v>
      </c>
      <c r="EO54" s="336">
        <f t="shared" si="18"/>
        <v>0</v>
      </c>
      <c r="EP54" s="336">
        <f t="shared" si="19"/>
        <v>0</v>
      </c>
      <c r="EQ54" s="336">
        <f t="shared" si="20"/>
        <v>0</v>
      </c>
      <c r="ER54" s="336">
        <f t="shared" si="21"/>
        <v>0</v>
      </c>
      <c r="ES54" s="336">
        <f t="shared" si="22"/>
        <v>0</v>
      </c>
      <c r="ET54" s="336">
        <f t="shared" si="22"/>
        <v>0</v>
      </c>
      <c r="EU54" s="336">
        <f t="shared" si="23"/>
        <v>0</v>
      </c>
      <c r="EV54" s="336">
        <f t="shared" si="24"/>
        <v>0</v>
      </c>
      <c r="EW54" s="336">
        <f t="shared" si="25"/>
        <v>0</v>
      </c>
      <c r="EX54" s="336">
        <f t="shared" si="26"/>
        <v>0</v>
      </c>
      <c r="EY54" s="336">
        <f t="shared" si="27"/>
        <v>0</v>
      </c>
      <c r="EZ54" s="336">
        <f t="shared" si="28"/>
        <v>0</v>
      </c>
      <c r="FA54" s="336">
        <f t="shared" si="29"/>
        <v>0</v>
      </c>
      <c r="FB54" s="336">
        <f t="shared" si="30"/>
        <v>0</v>
      </c>
      <c r="FC54" s="336">
        <f t="shared" si="31"/>
        <v>0</v>
      </c>
      <c r="FD54" s="336">
        <f t="shared" si="32"/>
        <v>0</v>
      </c>
      <c r="FE54" s="336">
        <f t="shared" si="33"/>
        <v>0</v>
      </c>
      <c r="FF54" s="336">
        <f t="shared" si="34"/>
        <v>0</v>
      </c>
      <c r="FG54" s="336">
        <f t="shared" si="35"/>
        <v>0</v>
      </c>
      <c r="FH54" s="336">
        <f t="shared" si="36"/>
        <v>0</v>
      </c>
      <c r="FI54" s="336">
        <f t="shared" si="37"/>
        <v>0</v>
      </c>
      <c r="FJ54" s="336">
        <f t="shared" si="38"/>
        <v>0</v>
      </c>
      <c r="FK54" s="336">
        <f t="shared" si="39"/>
        <v>0</v>
      </c>
      <c r="FL54" s="336">
        <f t="shared" si="40"/>
        <v>0</v>
      </c>
      <c r="FM54" s="336">
        <f t="shared" si="41"/>
        <v>0</v>
      </c>
      <c r="FN54" s="336">
        <f t="shared" si="42"/>
        <v>0</v>
      </c>
      <c r="FO54" s="336">
        <f t="shared" si="43"/>
        <v>0</v>
      </c>
      <c r="FP54" s="336">
        <f t="shared" si="44"/>
        <v>0</v>
      </c>
      <c r="FQ54" s="336">
        <f t="shared" si="45"/>
        <v>0</v>
      </c>
      <c r="FR54" s="336">
        <f t="shared" si="46"/>
        <v>0</v>
      </c>
      <c r="FS54" s="336">
        <f t="shared" si="47"/>
        <v>0</v>
      </c>
      <c r="FT54" s="336">
        <f t="shared" si="48"/>
        <v>15</v>
      </c>
      <c r="FU54" s="336">
        <f t="shared" si="553"/>
        <v>15</v>
      </c>
      <c r="FV54" s="336">
        <f t="shared" si="554"/>
        <v>15</v>
      </c>
      <c r="FW54" s="336">
        <f t="shared" si="555"/>
        <v>0</v>
      </c>
      <c r="FX54" s="336">
        <f t="shared" si="556"/>
        <v>0</v>
      </c>
      <c r="FY54" s="336">
        <f t="shared" si="53"/>
        <v>0</v>
      </c>
      <c r="FZ54" s="336">
        <f t="shared" si="54"/>
        <v>0</v>
      </c>
      <c r="GA54" s="336">
        <f t="shared" si="55"/>
        <v>0</v>
      </c>
      <c r="GB54" s="336">
        <f t="shared" si="56"/>
        <v>0</v>
      </c>
      <c r="GC54" s="336">
        <f t="shared" si="57"/>
        <v>0</v>
      </c>
      <c r="GD54" s="336">
        <f t="shared" si="58"/>
        <v>0</v>
      </c>
      <c r="GE54" s="336">
        <f t="shared" si="59"/>
        <v>0</v>
      </c>
      <c r="GF54" s="336">
        <f t="shared" si="60"/>
        <v>0</v>
      </c>
      <c r="GG54" s="336">
        <f t="shared" si="61"/>
        <v>0</v>
      </c>
      <c r="GH54" s="336">
        <f t="shared" si="62"/>
        <v>0</v>
      </c>
      <c r="GI54" s="336">
        <f t="shared" si="63"/>
        <v>0</v>
      </c>
      <c r="GJ54" s="336">
        <f t="shared" si="64"/>
        <v>0</v>
      </c>
      <c r="GK54" s="336">
        <f t="shared" si="65"/>
        <v>0</v>
      </c>
      <c r="GL54" s="336">
        <f t="shared" si="557"/>
        <v>0</v>
      </c>
      <c r="GM54" s="336">
        <f t="shared" si="66"/>
        <v>0</v>
      </c>
    </row>
    <row r="55" spans="1:195" ht="18" customHeight="1">
      <c r="A55" s="337">
        <f t="shared" si="577"/>
        <v>44</v>
      </c>
      <c r="B55" s="406" t="s">
        <v>1727</v>
      </c>
      <c r="C55" s="372" t="str">
        <f t="shared" si="558"/>
        <v>PMCC-2</v>
      </c>
      <c r="D55" s="787" t="s">
        <v>1738</v>
      </c>
      <c r="E55" s="569" t="s">
        <v>387</v>
      </c>
      <c r="F55" s="337" t="s">
        <v>29</v>
      </c>
      <c r="G55" s="337" t="s">
        <v>350</v>
      </c>
      <c r="H55" s="350">
        <v>0.37</v>
      </c>
      <c r="I55" s="337" t="s">
        <v>330</v>
      </c>
      <c r="J55" s="337" t="s">
        <v>331</v>
      </c>
      <c r="K55" s="349">
        <v>400</v>
      </c>
      <c r="L55" s="343">
        <v>0.75</v>
      </c>
      <c r="M55" s="350">
        <v>0.85299999999999998</v>
      </c>
      <c r="N55" s="342">
        <f t="shared" si="559"/>
        <v>0.83480213384450297</v>
      </c>
      <c r="O55" s="342">
        <f t="shared" si="560"/>
        <v>5.008812803067018</v>
      </c>
      <c r="P55" s="343">
        <f t="shared" si="561"/>
        <v>0.2</v>
      </c>
      <c r="Q55" s="350">
        <v>65</v>
      </c>
      <c r="R55" s="350">
        <v>0</v>
      </c>
      <c r="S55" s="350">
        <f t="shared" si="562"/>
        <v>0</v>
      </c>
      <c r="T55" s="343" t="s">
        <v>332</v>
      </c>
      <c r="U55" s="350" t="s">
        <v>333</v>
      </c>
      <c r="V55" s="343">
        <v>4</v>
      </c>
      <c r="W55" s="343" t="str">
        <f t="shared" si="563"/>
        <v>3C X 4</v>
      </c>
      <c r="X55" s="343" t="str">
        <f t="shared" si="564"/>
        <v>3C X 4+PE</v>
      </c>
      <c r="Y55" s="343" t="s">
        <v>358</v>
      </c>
      <c r="Z55" s="344">
        <f>IF(T55="AIR",VLOOKUP(W55,'Catalogue Aluminium'!$B$9:$G$93,2,FALSE),IF(T55="GROUND",VLOOKUP(W55,'Catalogue Aluminium'!$B$9:$G$93,3,FALSE),IF(T55="DUCT",VLOOKUP(W55,'Catalogue Aluminium'!$B$9:$G$93,4,FALSE),IF(T55="TRENCH",VLOOKUP(W55,'Catalogue Aluminium'!$B$9:$G$93,2,FALSE)))))</f>
        <v>38</v>
      </c>
      <c r="AA55" s="345">
        <f>VLOOKUP(W55,'Catalogue Aluminium'!$B$9:$G$93,5,FALSE)</f>
        <v>5.9</v>
      </c>
      <c r="AB55" s="345">
        <f>VLOOKUP(W55,'Catalogue Aluminium'!$B$9:$G$93,6,FALSE)</f>
        <v>9.4700000000000006E-2</v>
      </c>
      <c r="AC55" s="343">
        <f>9.5+2.5</f>
        <v>12</v>
      </c>
      <c r="AD55" s="346">
        <f t="shared" si="576"/>
        <v>36.4</v>
      </c>
      <c r="AE55" s="343">
        <v>20</v>
      </c>
      <c r="AF55" s="343">
        <v>8</v>
      </c>
      <c r="AG55" s="343">
        <f t="shared" si="134"/>
        <v>8</v>
      </c>
      <c r="AH55" s="347">
        <f t="shared" si="578"/>
        <v>84.4</v>
      </c>
      <c r="AI55" s="344">
        <f>IF(T55="AIR",'Catalogue Aluminium'!$K$9,IF(T55="TRENCH",'Catalogue Aluminium'!$K$12,"NA"))</f>
        <v>0.89</v>
      </c>
      <c r="AJ55" s="342">
        <f>IF(T55="Air",(IF(U55="1C",'Catalogue Aluminium'!$L$9,'Catalogue Aluminium'!$M$9)),IF(T55="DUCT",(IF($U55="1C",'Catalogue Aluminium'!$L$10,'Catalogue Aluminium'!$M$10)),IF(T55="GROUND",(IF($U55="1C",'Catalogue Aluminium'!$L$11,'Catalogue Aluminium'!$M$11)),IF(T55="TRENCH",(IF($U55="1C",'Catalogue Aluminium'!$L$12,'Catalogue Aluminium'!$M$12))))))</f>
        <v>0.66</v>
      </c>
      <c r="AK55" s="344" t="str">
        <f>IF(T55="Air",'Catalogue Aluminium'!$N$9,IF(T55="GROUND",'Catalogue Aluminium'!$N$10,IF(T55="DUCT",'Catalogue Aluminium'!$N$11,IF(T55="TRENCH",'Catalogue Aluminium'!$N$12,"NA"))))</f>
        <v>NA</v>
      </c>
      <c r="AL55" s="344" t="str">
        <f>IF(T55="Air",(IF(U55="1C",'Catalogue Aluminium'!$O$9,'Catalogue Aluminium'!$P$9)),IF(T55="DUCT",(IF($U55="1C",'Catalogue Aluminium'!$O$10,'Catalogue Aluminium'!$P$10)),IF(T55="GROUND",(IF($U55="1C",'Catalogue Aluminium'!$O$11,'Catalogue Aluminium'!$P$11)),IF(T55="TRENCH",(IF($U55="1C",'Catalogue Aluminium'!$O$12,'Catalogue Aluminium'!$P$12))))))</f>
        <v>NA</v>
      </c>
      <c r="AM55" s="344" t="str">
        <f>IF(T55="AIR","NA",IF(T55="TRENCH","NA",IF(T55="DUCT",IF(U55="1C",VLOOKUP(V55,'Catalogue Aluminium'!$Q$9:$S$28,2,FALSE),VLOOKUP(V55,'Catalogue Aluminium'!$Q$9:$S$28,3)),IF(T55="GROUND",IF(U55="1C",VLOOKUP(V55,'Catalogue Aluminium'!$Q$9:$S$28,2,FALSE),VLOOKUP(V55,'Catalogue Aluminium'!$Q$9:$S$28,3))))))</f>
        <v>NA</v>
      </c>
      <c r="AN55" s="351">
        <f t="shared" si="565"/>
        <v>0.58740000000000003</v>
      </c>
      <c r="AO55" s="350">
        <f t="shared" si="566"/>
        <v>22.321200000000001</v>
      </c>
      <c r="AP55" s="349">
        <f t="shared" si="567"/>
        <v>1</v>
      </c>
      <c r="AQ55" s="350" t="str">
        <f t="shared" si="568"/>
        <v>YES</v>
      </c>
      <c r="AR55" s="351">
        <f t="shared" si="136"/>
        <v>0.13691293032937757</v>
      </c>
      <c r="AS55" s="343" t="str">
        <f t="shared" si="137"/>
        <v>YES</v>
      </c>
      <c r="AT55" s="351">
        <f t="shared" si="569"/>
        <v>0.23298797261016113</v>
      </c>
      <c r="AU55" s="343" t="str">
        <f t="shared" si="570"/>
        <v>YES</v>
      </c>
      <c r="AV55" s="354" t="str">
        <f t="shared" si="571"/>
        <v>1R x 0.6/1kV x 3C x 4 Sqmm</v>
      </c>
      <c r="AW55" s="354" t="str">
        <f t="shared" si="579"/>
        <v>1R x 0.6/1kV x 3C x 4+PE Sqmm</v>
      </c>
      <c r="AX55" s="343">
        <f t="shared" si="572"/>
        <v>84.4</v>
      </c>
      <c r="AY55" s="355"/>
      <c r="AZ55" s="355">
        <f t="shared" si="573"/>
        <v>2</v>
      </c>
      <c r="BA55" s="356" t="str">
        <f t="shared" si="574"/>
        <v>Q4Q5Q6</v>
      </c>
      <c r="BB55" s="501">
        <f>VLOOKUP(W55,'Catalogue Aluminium'!$B$9:$H$93,7,FALSE)</f>
        <v>15</v>
      </c>
      <c r="BC55" s="328">
        <f t="shared" si="575"/>
        <v>15</v>
      </c>
      <c r="BE55" s="336"/>
      <c r="BF55" s="336"/>
      <c r="BG55" s="336"/>
      <c r="BH55" s="336"/>
      <c r="BI55" s="336"/>
      <c r="BJ55" s="336"/>
      <c r="BK55" s="336"/>
      <c r="BL55" s="336"/>
      <c r="BM55" s="336"/>
      <c r="BN55" s="336"/>
      <c r="BO55" s="336"/>
      <c r="BP55" s="336"/>
      <c r="BQ55" s="336"/>
      <c r="BR55" s="336"/>
      <c r="BS55" s="336"/>
      <c r="BT55" s="336"/>
      <c r="BU55" s="336"/>
      <c r="BV55" s="336"/>
      <c r="BW55" s="336"/>
      <c r="BX55" s="336"/>
      <c r="BY55" s="336"/>
      <c r="BZ55" s="336"/>
      <c r="CA55" s="336"/>
      <c r="CB55" s="336"/>
      <c r="CC55" s="336"/>
      <c r="CD55" s="336"/>
      <c r="CE55" s="336"/>
      <c r="CF55" s="336"/>
      <c r="CG55" s="336"/>
      <c r="CH55" s="336"/>
      <c r="CI55" s="336"/>
      <c r="CJ55" s="336"/>
      <c r="CK55" s="336"/>
      <c r="CL55" s="336"/>
      <c r="CM55" s="336"/>
      <c r="CN55" s="336"/>
      <c r="CO55" s="336"/>
      <c r="CP55" s="336"/>
      <c r="CQ55" s="336"/>
      <c r="CR55" s="336"/>
      <c r="CS55" s="336"/>
      <c r="CT55" s="336"/>
      <c r="CU55" s="336"/>
      <c r="CV55" s="336"/>
      <c r="CW55" s="336"/>
      <c r="CX55" s="336"/>
      <c r="CY55" s="336"/>
      <c r="CZ55" s="336"/>
      <c r="DA55" s="336"/>
      <c r="DB55" s="336">
        <v>1</v>
      </c>
      <c r="DC55" s="336">
        <v>1</v>
      </c>
      <c r="DD55" s="336">
        <v>1</v>
      </c>
      <c r="DE55" s="336"/>
      <c r="DF55" s="336"/>
      <c r="DG55" s="336"/>
      <c r="DH55" s="336"/>
      <c r="DI55" s="336"/>
      <c r="DJ55" s="741"/>
      <c r="DK55" s="741"/>
      <c r="DL55" s="741"/>
      <c r="DM55" s="741"/>
      <c r="DN55" s="741"/>
      <c r="DO55" s="741"/>
      <c r="DP55" s="741"/>
      <c r="DQ55" s="336"/>
      <c r="DR55" s="741"/>
      <c r="DS55" s="741"/>
      <c r="DT55" s="741"/>
      <c r="DU55" s="336"/>
      <c r="DW55" s="336">
        <f t="shared" si="80"/>
        <v>0</v>
      </c>
      <c r="DX55" s="336">
        <f t="shared" si="1"/>
        <v>0</v>
      </c>
      <c r="DY55" s="336">
        <f t="shared" si="2"/>
        <v>0</v>
      </c>
      <c r="DZ55" s="336">
        <f t="shared" si="3"/>
        <v>0</v>
      </c>
      <c r="EA55" s="336">
        <f t="shared" si="4"/>
        <v>0</v>
      </c>
      <c r="EB55" s="336">
        <f t="shared" si="5"/>
        <v>0</v>
      </c>
      <c r="EC55" s="336">
        <f t="shared" si="6"/>
        <v>0</v>
      </c>
      <c r="ED55" s="336">
        <f t="shared" si="7"/>
        <v>0</v>
      </c>
      <c r="EE55" s="336">
        <f t="shared" si="8"/>
        <v>0</v>
      </c>
      <c r="EF55" s="336">
        <f t="shared" si="9"/>
        <v>0</v>
      </c>
      <c r="EG55" s="336">
        <f t="shared" si="10"/>
        <v>0</v>
      </c>
      <c r="EH55" s="336">
        <f t="shared" si="11"/>
        <v>0</v>
      </c>
      <c r="EI55" s="336">
        <f t="shared" si="12"/>
        <v>0</v>
      </c>
      <c r="EJ55" s="336">
        <f t="shared" si="13"/>
        <v>0</v>
      </c>
      <c r="EK55" s="336">
        <f t="shared" si="14"/>
        <v>0</v>
      </c>
      <c r="EL55" s="336">
        <f t="shared" si="15"/>
        <v>0</v>
      </c>
      <c r="EM55" s="336">
        <f t="shared" si="16"/>
        <v>0</v>
      </c>
      <c r="EN55" s="336">
        <f t="shared" si="17"/>
        <v>0</v>
      </c>
      <c r="EO55" s="336">
        <f t="shared" si="18"/>
        <v>0</v>
      </c>
      <c r="EP55" s="336">
        <f t="shared" si="19"/>
        <v>0</v>
      </c>
      <c r="EQ55" s="336">
        <f t="shared" si="20"/>
        <v>0</v>
      </c>
      <c r="ER55" s="336">
        <f t="shared" si="21"/>
        <v>0</v>
      </c>
      <c r="ES55" s="336">
        <f t="shared" si="22"/>
        <v>0</v>
      </c>
      <c r="ET55" s="336">
        <f t="shared" si="22"/>
        <v>0</v>
      </c>
      <c r="EU55" s="336">
        <f t="shared" si="23"/>
        <v>0</v>
      </c>
      <c r="EV55" s="336">
        <f t="shared" si="24"/>
        <v>0</v>
      </c>
      <c r="EW55" s="336">
        <f t="shared" si="25"/>
        <v>0</v>
      </c>
      <c r="EX55" s="336">
        <f t="shared" si="26"/>
        <v>0</v>
      </c>
      <c r="EY55" s="336">
        <f t="shared" si="27"/>
        <v>0</v>
      </c>
      <c r="EZ55" s="336">
        <f t="shared" si="28"/>
        <v>0</v>
      </c>
      <c r="FA55" s="336">
        <f t="shared" si="29"/>
        <v>0</v>
      </c>
      <c r="FB55" s="336">
        <f t="shared" si="30"/>
        <v>0</v>
      </c>
      <c r="FC55" s="336">
        <f t="shared" si="31"/>
        <v>0</v>
      </c>
      <c r="FD55" s="336">
        <f t="shared" si="32"/>
        <v>0</v>
      </c>
      <c r="FE55" s="336">
        <f t="shared" si="33"/>
        <v>0</v>
      </c>
      <c r="FF55" s="336">
        <f t="shared" si="34"/>
        <v>0</v>
      </c>
      <c r="FG55" s="336">
        <f t="shared" si="35"/>
        <v>0</v>
      </c>
      <c r="FH55" s="336">
        <f t="shared" si="36"/>
        <v>0</v>
      </c>
      <c r="FI55" s="336">
        <f t="shared" si="37"/>
        <v>0</v>
      </c>
      <c r="FJ55" s="336">
        <f t="shared" si="38"/>
        <v>0</v>
      </c>
      <c r="FK55" s="336">
        <f t="shared" si="39"/>
        <v>0</v>
      </c>
      <c r="FL55" s="336">
        <f t="shared" si="40"/>
        <v>0</v>
      </c>
      <c r="FM55" s="336">
        <f t="shared" si="41"/>
        <v>0</v>
      </c>
      <c r="FN55" s="336">
        <f t="shared" si="42"/>
        <v>0</v>
      </c>
      <c r="FO55" s="336">
        <f t="shared" si="43"/>
        <v>0</v>
      </c>
      <c r="FP55" s="336">
        <f t="shared" si="44"/>
        <v>0</v>
      </c>
      <c r="FQ55" s="336">
        <f t="shared" si="45"/>
        <v>0</v>
      </c>
      <c r="FR55" s="336">
        <f t="shared" si="46"/>
        <v>0</v>
      </c>
      <c r="FS55" s="336">
        <f t="shared" si="47"/>
        <v>0</v>
      </c>
      <c r="FT55" s="336">
        <f t="shared" si="48"/>
        <v>15</v>
      </c>
      <c r="FU55" s="336">
        <f t="shared" si="553"/>
        <v>15</v>
      </c>
      <c r="FV55" s="336">
        <f t="shared" si="554"/>
        <v>15</v>
      </c>
      <c r="FW55" s="336">
        <f t="shared" si="555"/>
        <v>0</v>
      </c>
      <c r="FX55" s="336">
        <f t="shared" si="556"/>
        <v>0</v>
      </c>
      <c r="FY55" s="336">
        <f t="shared" si="53"/>
        <v>0</v>
      </c>
      <c r="FZ55" s="336">
        <f t="shared" si="54"/>
        <v>0</v>
      </c>
      <c r="GA55" s="336">
        <f t="shared" si="55"/>
        <v>0</v>
      </c>
      <c r="GB55" s="336">
        <f t="shared" si="56"/>
        <v>0</v>
      </c>
      <c r="GC55" s="336">
        <f t="shared" si="57"/>
        <v>0</v>
      </c>
      <c r="GD55" s="336">
        <f t="shared" si="58"/>
        <v>0</v>
      </c>
      <c r="GE55" s="336">
        <f t="shared" si="59"/>
        <v>0</v>
      </c>
      <c r="GF55" s="336">
        <f t="shared" si="60"/>
        <v>0</v>
      </c>
      <c r="GG55" s="336">
        <f t="shared" si="61"/>
        <v>0</v>
      </c>
      <c r="GH55" s="336">
        <f t="shared" si="62"/>
        <v>0</v>
      </c>
      <c r="GI55" s="336">
        <f t="shared" si="63"/>
        <v>0</v>
      </c>
      <c r="GJ55" s="336">
        <f t="shared" si="64"/>
        <v>0</v>
      </c>
      <c r="GK55" s="336">
        <f t="shared" si="65"/>
        <v>0</v>
      </c>
      <c r="GL55" s="336">
        <f t="shared" si="557"/>
        <v>0</v>
      </c>
      <c r="GM55" s="336">
        <f t="shared" si="66"/>
        <v>0</v>
      </c>
    </row>
    <row r="56" spans="1:195" ht="18" customHeight="1">
      <c r="A56" s="337">
        <f t="shared" si="577"/>
        <v>45</v>
      </c>
      <c r="B56" s="406" t="s">
        <v>1728</v>
      </c>
      <c r="C56" s="372" t="str">
        <f t="shared" si="558"/>
        <v>PMCC-2</v>
      </c>
      <c r="D56" s="787" t="s">
        <v>1739</v>
      </c>
      <c r="E56" s="569" t="s">
        <v>387</v>
      </c>
      <c r="F56" s="337" t="s">
        <v>28</v>
      </c>
      <c r="G56" s="337" t="s">
        <v>350</v>
      </c>
      <c r="H56" s="350">
        <v>0.37</v>
      </c>
      <c r="I56" s="337" t="s">
        <v>330</v>
      </c>
      <c r="J56" s="337" t="s">
        <v>331</v>
      </c>
      <c r="K56" s="349">
        <v>400</v>
      </c>
      <c r="L56" s="343">
        <v>0.75</v>
      </c>
      <c r="M56" s="350">
        <v>0.85299999999999998</v>
      </c>
      <c r="N56" s="342">
        <f t="shared" si="559"/>
        <v>0.83480213384450297</v>
      </c>
      <c r="O56" s="342">
        <f t="shared" si="560"/>
        <v>5.008812803067018</v>
      </c>
      <c r="P56" s="343">
        <f t="shared" si="561"/>
        <v>0.2</v>
      </c>
      <c r="Q56" s="350">
        <v>65</v>
      </c>
      <c r="R56" s="350">
        <v>0</v>
      </c>
      <c r="S56" s="350">
        <f t="shared" si="562"/>
        <v>0</v>
      </c>
      <c r="T56" s="343" t="s">
        <v>332</v>
      </c>
      <c r="U56" s="350" t="s">
        <v>333</v>
      </c>
      <c r="V56" s="343">
        <v>4</v>
      </c>
      <c r="W56" s="343" t="str">
        <f t="shared" si="563"/>
        <v>3C X 4</v>
      </c>
      <c r="X56" s="343" t="str">
        <f t="shared" si="564"/>
        <v>3C X 4+PE</v>
      </c>
      <c r="Y56" s="343" t="s">
        <v>358</v>
      </c>
      <c r="Z56" s="344">
        <f>IF(T56="AIR",VLOOKUP(W56,'Catalogue Aluminium'!$B$9:$G$93,2,FALSE),IF(T56="GROUND",VLOOKUP(W56,'Catalogue Aluminium'!$B$9:$G$93,3,FALSE),IF(T56="DUCT",VLOOKUP(W56,'Catalogue Aluminium'!$B$9:$G$93,4,FALSE),IF(T56="TRENCH",VLOOKUP(W56,'Catalogue Aluminium'!$B$9:$G$93,2,FALSE)))))</f>
        <v>38</v>
      </c>
      <c r="AA56" s="345">
        <f>VLOOKUP(W56,'Catalogue Aluminium'!$B$9:$G$93,5,FALSE)</f>
        <v>5.9</v>
      </c>
      <c r="AB56" s="345">
        <f>VLOOKUP(W56,'Catalogue Aluminium'!$B$9:$G$93,6,FALSE)</f>
        <v>9.4700000000000006E-2</v>
      </c>
      <c r="AC56" s="343">
        <v>22</v>
      </c>
      <c r="AD56" s="346">
        <f t="shared" si="576"/>
        <v>36.4</v>
      </c>
      <c r="AE56" s="343">
        <v>20</v>
      </c>
      <c r="AF56" s="343">
        <v>8</v>
      </c>
      <c r="AG56" s="343">
        <f t="shared" si="134"/>
        <v>9</v>
      </c>
      <c r="AH56" s="347">
        <f t="shared" si="578"/>
        <v>95.4</v>
      </c>
      <c r="AI56" s="344">
        <f>IF(T56="AIR",'Catalogue Aluminium'!$K$9,IF(T56="TRENCH",'Catalogue Aluminium'!$K$12,"NA"))</f>
        <v>0.89</v>
      </c>
      <c r="AJ56" s="342">
        <f>IF(T56="Air",(IF(U56="1C",'Catalogue Aluminium'!$L$9,'Catalogue Aluminium'!$M$9)),IF(T56="DUCT",(IF($U56="1C",'Catalogue Aluminium'!$L$10,'Catalogue Aluminium'!$M$10)),IF(T56="GROUND",(IF($U56="1C",'Catalogue Aluminium'!$L$11,'Catalogue Aluminium'!$M$11)),IF(T56="TRENCH",(IF($U56="1C",'Catalogue Aluminium'!$L$12,'Catalogue Aluminium'!$M$12))))))</f>
        <v>0.66</v>
      </c>
      <c r="AK56" s="344" t="str">
        <f>IF(T56="Air",'Catalogue Aluminium'!$N$9,IF(T56="GROUND",'Catalogue Aluminium'!$N$10,IF(T56="DUCT",'Catalogue Aluminium'!$N$11,IF(T56="TRENCH",'Catalogue Aluminium'!$N$12,"NA"))))</f>
        <v>NA</v>
      </c>
      <c r="AL56" s="344" t="str">
        <f>IF(T56="Air",(IF(U56="1C",'Catalogue Aluminium'!$O$9,'Catalogue Aluminium'!$P$9)),IF(T56="DUCT",(IF($U56="1C",'Catalogue Aluminium'!$O$10,'Catalogue Aluminium'!$P$10)),IF(T56="GROUND",(IF($U56="1C",'Catalogue Aluminium'!$O$11,'Catalogue Aluminium'!$P$11)),IF(T56="TRENCH",(IF($U56="1C",'Catalogue Aluminium'!$O$12,'Catalogue Aluminium'!$P$12))))))</f>
        <v>NA</v>
      </c>
      <c r="AM56" s="344" t="str">
        <f>IF(T56="AIR","NA",IF(T56="TRENCH","NA",IF(T56="DUCT",IF(U56="1C",VLOOKUP(V56,'Catalogue Aluminium'!$Q$9:$S$28,2,FALSE),VLOOKUP(V56,'Catalogue Aluminium'!$Q$9:$S$28,3)),IF(T56="GROUND",IF(U56="1C",VLOOKUP(V56,'Catalogue Aluminium'!$Q$9:$S$28,2,FALSE),VLOOKUP(V56,'Catalogue Aluminium'!$Q$9:$S$28,3))))))</f>
        <v>NA</v>
      </c>
      <c r="AN56" s="351">
        <f t="shared" si="565"/>
        <v>0.58740000000000003</v>
      </c>
      <c r="AO56" s="350">
        <f t="shared" si="566"/>
        <v>22.321200000000001</v>
      </c>
      <c r="AP56" s="349">
        <f t="shared" si="567"/>
        <v>1</v>
      </c>
      <c r="AQ56" s="350" t="str">
        <f t="shared" si="568"/>
        <v>YES</v>
      </c>
      <c r="AR56" s="351">
        <f t="shared" si="136"/>
        <v>0.15475703262349075</v>
      </c>
      <c r="AS56" s="343" t="str">
        <f t="shared" si="137"/>
        <v>YES</v>
      </c>
      <c r="AT56" s="351">
        <f t="shared" si="569"/>
        <v>0.26335370363755178</v>
      </c>
      <c r="AU56" s="343" t="str">
        <f t="shared" si="570"/>
        <v>YES</v>
      </c>
      <c r="AV56" s="354" t="str">
        <f t="shared" si="571"/>
        <v>1R x 0.6/1kV x 3C x 4 Sqmm</v>
      </c>
      <c r="AW56" s="354" t="str">
        <f t="shared" si="579"/>
        <v>1R x 0.6/1kV x 3C x 4+PE Sqmm</v>
      </c>
      <c r="AX56" s="343">
        <f t="shared" si="572"/>
        <v>95.4</v>
      </c>
      <c r="AY56" s="355"/>
      <c r="AZ56" s="355">
        <f t="shared" si="573"/>
        <v>2</v>
      </c>
      <c r="BA56" s="356" t="str">
        <f t="shared" si="574"/>
        <v>Q4Q5Q6</v>
      </c>
      <c r="BB56" s="501">
        <f>VLOOKUP(W56,'Catalogue Aluminium'!$B$9:$H$93,7,FALSE)</f>
        <v>15</v>
      </c>
      <c r="BC56" s="328">
        <f t="shared" si="575"/>
        <v>15</v>
      </c>
      <c r="BE56" s="336"/>
      <c r="BF56" s="336"/>
      <c r="BG56" s="336"/>
      <c r="BH56" s="336"/>
      <c r="BI56" s="336"/>
      <c r="BJ56" s="336"/>
      <c r="BK56" s="336"/>
      <c r="BL56" s="336"/>
      <c r="BM56" s="336"/>
      <c r="BN56" s="336"/>
      <c r="BO56" s="336"/>
      <c r="BP56" s="336"/>
      <c r="BQ56" s="336"/>
      <c r="BR56" s="336"/>
      <c r="BS56" s="336"/>
      <c r="BT56" s="336"/>
      <c r="BU56" s="336"/>
      <c r="BV56" s="336"/>
      <c r="BW56" s="336"/>
      <c r="BX56" s="336"/>
      <c r="BY56" s="336"/>
      <c r="BZ56" s="336"/>
      <c r="CA56" s="336"/>
      <c r="CB56" s="336"/>
      <c r="CC56" s="336"/>
      <c r="CD56" s="336"/>
      <c r="CE56" s="336"/>
      <c r="CF56" s="336"/>
      <c r="CG56" s="336"/>
      <c r="CH56" s="336"/>
      <c r="CI56" s="336"/>
      <c r="CJ56" s="336"/>
      <c r="CK56" s="336"/>
      <c r="CL56" s="336"/>
      <c r="CM56" s="336"/>
      <c r="CN56" s="336"/>
      <c r="CO56" s="336"/>
      <c r="CP56" s="336"/>
      <c r="CQ56" s="336"/>
      <c r="CR56" s="336"/>
      <c r="CS56" s="336"/>
      <c r="CT56" s="336"/>
      <c r="CU56" s="336"/>
      <c r="CV56" s="336"/>
      <c r="CW56" s="336"/>
      <c r="CX56" s="336"/>
      <c r="CY56" s="336"/>
      <c r="CZ56" s="336"/>
      <c r="DA56" s="336"/>
      <c r="DB56" s="336">
        <v>1</v>
      </c>
      <c r="DC56" s="336">
        <v>1</v>
      </c>
      <c r="DD56" s="336">
        <v>1</v>
      </c>
      <c r="DE56" s="336"/>
      <c r="DF56" s="336"/>
      <c r="DG56" s="336"/>
      <c r="DH56" s="336"/>
      <c r="DI56" s="336"/>
      <c r="DJ56" s="741"/>
      <c r="DK56" s="741"/>
      <c r="DL56" s="741"/>
      <c r="DM56" s="741"/>
      <c r="DN56" s="741"/>
      <c r="DO56" s="741"/>
      <c r="DP56" s="741"/>
      <c r="DQ56" s="336"/>
      <c r="DR56" s="741"/>
      <c r="DS56" s="741"/>
      <c r="DT56" s="741"/>
      <c r="DU56" s="336"/>
      <c r="DW56" s="336">
        <f t="shared" si="80"/>
        <v>0</v>
      </c>
      <c r="DX56" s="336">
        <f t="shared" si="1"/>
        <v>0</v>
      </c>
      <c r="DY56" s="336">
        <f t="shared" si="2"/>
        <v>0</v>
      </c>
      <c r="DZ56" s="336">
        <f t="shared" si="3"/>
        <v>0</v>
      </c>
      <c r="EA56" s="336">
        <f t="shared" si="4"/>
        <v>0</v>
      </c>
      <c r="EB56" s="336">
        <f t="shared" si="5"/>
        <v>0</v>
      </c>
      <c r="EC56" s="336">
        <f t="shared" si="6"/>
        <v>0</v>
      </c>
      <c r="ED56" s="336">
        <f t="shared" si="7"/>
        <v>0</v>
      </c>
      <c r="EE56" s="336">
        <f t="shared" si="8"/>
        <v>0</v>
      </c>
      <c r="EF56" s="336">
        <f t="shared" si="9"/>
        <v>0</v>
      </c>
      <c r="EG56" s="336">
        <f t="shared" si="10"/>
        <v>0</v>
      </c>
      <c r="EH56" s="336">
        <f t="shared" si="11"/>
        <v>0</v>
      </c>
      <c r="EI56" s="336">
        <f t="shared" si="12"/>
        <v>0</v>
      </c>
      <c r="EJ56" s="336">
        <f t="shared" si="13"/>
        <v>0</v>
      </c>
      <c r="EK56" s="336">
        <f t="shared" si="14"/>
        <v>0</v>
      </c>
      <c r="EL56" s="336">
        <f t="shared" si="15"/>
        <v>0</v>
      </c>
      <c r="EM56" s="336">
        <f t="shared" si="16"/>
        <v>0</v>
      </c>
      <c r="EN56" s="336">
        <f t="shared" si="17"/>
        <v>0</v>
      </c>
      <c r="EO56" s="336">
        <f t="shared" si="18"/>
        <v>0</v>
      </c>
      <c r="EP56" s="336">
        <f t="shared" si="19"/>
        <v>0</v>
      </c>
      <c r="EQ56" s="336">
        <f t="shared" si="20"/>
        <v>0</v>
      </c>
      <c r="ER56" s="336">
        <f t="shared" si="21"/>
        <v>0</v>
      </c>
      <c r="ES56" s="336">
        <f t="shared" si="22"/>
        <v>0</v>
      </c>
      <c r="ET56" s="336">
        <f t="shared" si="22"/>
        <v>0</v>
      </c>
      <c r="EU56" s="336">
        <f t="shared" si="23"/>
        <v>0</v>
      </c>
      <c r="EV56" s="336">
        <f t="shared" si="24"/>
        <v>0</v>
      </c>
      <c r="EW56" s="336">
        <f t="shared" si="25"/>
        <v>0</v>
      </c>
      <c r="EX56" s="336">
        <f t="shared" si="26"/>
        <v>0</v>
      </c>
      <c r="EY56" s="336">
        <f t="shared" si="27"/>
        <v>0</v>
      </c>
      <c r="EZ56" s="336">
        <f t="shared" si="28"/>
        <v>0</v>
      </c>
      <c r="FA56" s="336">
        <f t="shared" si="29"/>
        <v>0</v>
      </c>
      <c r="FB56" s="336">
        <f t="shared" si="30"/>
        <v>0</v>
      </c>
      <c r="FC56" s="336">
        <f t="shared" si="31"/>
        <v>0</v>
      </c>
      <c r="FD56" s="336">
        <f t="shared" si="32"/>
        <v>0</v>
      </c>
      <c r="FE56" s="336">
        <f t="shared" si="33"/>
        <v>0</v>
      </c>
      <c r="FF56" s="336">
        <f t="shared" si="34"/>
        <v>0</v>
      </c>
      <c r="FG56" s="336">
        <f t="shared" si="35"/>
        <v>0</v>
      </c>
      <c r="FH56" s="336">
        <f t="shared" si="36"/>
        <v>0</v>
      </c>
      <c r="FI56" s="336">
        <f t="shared" si="37"/>
        <v>0</v>
      </c>
      <c r="FJ56" s="336">
        <f t="shared" si="38"/>
        <v>0</v>
      </c>
      <c r="FK56" s="336">
        <f t="shared" si="39"/>
        <v>0</v>
      </c>
      <c r="FL56" s="336">
        <f t="shared" si="40"/>
        <v>0</v>
      </c>
      <c r="FM56" s="336">
        <f t="shared" si="41"/>
        <v>0</v>
      </c>
      <c r="FN56" s="336">
        <f t="shared" si="42"/>
        <v>0</v>
      </c>
      <c r="FO56" s="336">
        <f t="shared" si="43"/>
        <v>0</v>
      </c>
      <c r="FP56" s="336">
        <f t="shared" si="44"/>
        <v>0</v>
      </c>
      <c r="FQ56" s="336">
        <f t="shared" si="45"/>
        <v>0</v>
      </c>
      <c r="FR56" s="336">
        <f t="shared" si="46"/>
        <v>0</v>
      </c>
      <c r="FS56" s="336">
        <f t="shared" si="47"/>
        <v>0</v>
      </c>
      <c r="FT56" s="336">
        <f t="shared" si="48"/>
        <v>15</v>
      </c>
      <c r="FU56" s="336">
        <f t="shared" si="553"/>
        <v>15</v>
      </c>
      <c r="FV56" s="336">
        <f t="shared" si="554"/>
        <v>15</v>
      </c>
      <c r="FW56" s="336">
        <f t="shared" si="555"/>
        <v>0</v>
      </c>
      <c r="FX56" s="336">
        <f t="shared" si="556"/>
        <v>0</v>
      </c>
      <c r="FY56" s="336">
        <f t="shared" si="53"/>
        <v>0</v>
      </c>
      <c r="FZ56" s="336">
        <f t="shared" si="54"/>
        <v>0</v>
      </c>
      <c r="GA56" s="336">
        <f t="shared" si="55"/>
        <v>0</v>
      </c>
      <c r="GB56" s="336">
        <f t="shared" si="56"/>
        <v>0</v>
      </c>
      <c r="GC56" s="336">
        <f t="shared" si="57"/>
        <v>0</v>
      </c>
      <c r="GD56" s="336">
        <f t="shared" si="58"/>
        <v>0</v>
      </c>
      <c r="GE56" s="336">
        <f t="shared" si="59"/>
        <v>0</v>
      </c>
      <c r="GF56" s="336">
        <f t="shared" si="60"/>
        <v>0</v>
      </c>
      <c r="GG56" s="336">
        <f t="shared" si="61"/>
        <v>0</v>
      </c>
      <c r="GH56" s="336">
        <f t="shared" si="62"/>
        <v>0</v>
      </c>
      <c r="GI56" s="336">
        <f t="shared" si="63"/>
        <v>0</v>
      </c>
      <c r="GJ56" s="336">
        <f t="shared" si="64"/>
        <v>0</v>
      </c>
      <c r="GK56" s="336">
        <f t="shared" si="65"/>
        <v>0</v>
      </c>
      <c r="GL56" s="336">
        <f t="shared" si="557"/>
        <v>0</v>
      </c>
      <c r="GM56" s="336">
        <f t="shared" si="66"/>
        <v>0</v>
      </c>
    </row>
    <row r="57" spans="1:195" ht="18" customHeight="1">
      <c r="A57" s="337">
        <f t="shared" si="577"/>
        <v>46</v>
      </c>
      <c r="B57" s="337" t="s">
        <v>527</v>
      </c>
      <c r="C57" s="372" t="str">
        <f t="shared" si="558"/>
        <v>PMCC-2</v>
      </c>
      <c r="D57" s="787" t="s">
        <v>1740</v>
      </c>
      <c r="E57" s="569" t="s">
        <v>387</v>
      </c>
      <c r="F57" s="337" t="s">
        <v>29</v>
      </c>
      <c r="G57" s="337" t="s">
        <v>350</v>
      </c>
      <c r="H57" s="350">
        <v>0.75</v>
      </c>
      <c r="I57" s="337" t="s">
        <v>330</v>
      </c>
      <c r="J57" s="337" t="s">
        <v>331</v>
      </c>
      <c r="K57" s="349">
        <v>400</v>
      </c>
      <c r="L57" s="343">
        <v>0.75</v>
      </c>
      <c r="M57" s="350">
        <v>0.85299999999999998</v>
      </c>
      <c r="N57" s="342">
        <f t="shared" si="559"/>
        <v>1.6921664875226412</v>
      </c>
      <c r="O57" s="342">
        <f t="shared" si="560"/>
        <v>10.152998925135847</v>
      </c>
      <c r="P57" s="343">
        <f t="shared" si="561"/>
        <v>0.2</v>
      </c>
      <c r="Q57" s="350">
        <v>65</v>
      </c>
      <c r="R57" s="350">
        <v>0</v>
      </c>
      <c r="S57" s="350">
        <f t="shared" si="562"/>
        <v>0</v>
      </c>
      <c r="T57" s="343" t="s">
        <v>332</v>
      </c>
      <c r="U57" s="350" t="s">
        <v>333</v>
      </c>
      <c r="V57" s="343">
        <v>4</v>
      </c>
      <c r="W57" s="343" t="str">
        <f t="shared" si="563"/>
        <v>3C X 4</v>
      </c>
      <c r="X57" s="343" t="str">
        <f t="shared" si="564"/>
        <v>3C X 4+PE</v>
      </c>
      <c r="Y57" s="343" t="s">
        <v>358</v>
      </c>
      <c r="Z57" s="344">
        <f>IF(T57="AIR",VLOOKUP(W57,'Catalogue Aluminium'!$B$9:$G$93,2,FALSE),IF(T57="GROUND",VLOOKUP(W57,'Catalogue Aluminium'!$B$9:$G$93,3,FALSE),IF(T57="DUCT",VLOOKUP(W57,'Catalogue Aluminium'!$B$9:$G$93,4,FALSE),IF(T57="TRENCH",VLOOKUP(W57,'Catalogue Aluminium'!$B$9:$G$93,2,FALSE)))))</f>
        <v>38</v>
      </c>
      <c r="AA57" s="345">
        <f>VLOOKUP(W57,'Catalogue Aluminium'!$B$9:$G$93,5,FALSE)</f>
        <v>5.9</v>
      </c>
      <c r="AB57" s="345">
        <f>VLOOKUP(W57,'Catalogue Aluminium'!$B$9:$G$93,6,FALSE)</f>
        <v>9.4700000000000006E-2</v>
      </c>
      <c r="AC57" s="343">
        <f>9.5+2.5</f>
        <v>12</v>
      </c>
      <c r="AD57" s="346">
        <f t="shared" si="576"/>
        <v>36.4</v>
      </c>
      <c r="AE57" s="343">
        <v>20</v>
      </c>
      <c r="AF57" s="343">
        <v>8</v>
      </c>
      <c r="AG57" s="343">
        <f t="shared" si="134"/>
        <v>8</v>
      </c>
      <c r="AH57" s="347">
        <f t="shared" si="578"/>
        <v>84.4</v>
      </c>
      <c r="AI57" s="344">
        <f>IF(T57="AIR",'Catalogue Aluminium'!$K$9,IF(T57="TRENCH",'Catalogue Aluminium'!$K$12,"NA"))</f>
        <v>0.89</v>
      </c>
      <c r="AJ57" s="342">
        <f>IF(T57="Air",(IF(U57="1C",'Catalogue Aluminium'!$L$9,'Catalogue Aluminium'!$M$9)),IF(T57="DUCT",(IF($U57="1C",'Catalogue Aluminium'!$L$10,'Catalogue Aluminium'!$M$10)),IF(T57="GROUND",(IF($U57="1C",'Catalogue Aluminium'!$L$11,'Catalogue Aluminium'!$M$11)),IF(T57="TRENCH",(IF($U57="1C",'Catalogue Aluminium'!$L$12,'Catalogue Aluminium'!$M$12))))))</f>
        <v>0.66</v>
      </c>
      <c r="AK57" s="344" t="str">
        <f>IF(T57="Air",'Catalogue Aluminium'!$N$9,IF(T57="GROUND",'Catalogue Aluminium'!$N$10,IF(T57="DUCT",'Catalogue Aluminium'!$N$11,IF(T57="TRENCH",'Catalogue Aluminium'!$N$12,"NA"))))</f>
        <v>NA</v>
      </c>
      <c r="AL57" s="344" t="str">
        <f>IF(T57="Air",(IF(U57="1C",'Catalogue Aluminium'!$O$9,'Catalogue Aluminium'!$P$9)),IF(T57="DUCT",(IF($U57="1C",'Catalogue Aluminium'!$O$10,'Catalogue Aluminium'!$P$10)),IF(T57="GROUND",(IF($U57="1C",'Catalogue Aluminium'!$O$11,'Catalogue Aluminium'!$P$11)),IF(T57="TRENCH",(IF($U57="1C",'Catalogue Aluminium'!$O$12,'Catalogue Aluminium'!$P$12))))))</f>
        <v>NA</v>
      </c>
      <c r="AM57" s="344" t="str">
        <f>IF(T57="AIR","NA",IF(T57="TRENCH","NA",IF(T57="DUCT",IF(U57="1C",VLOOKUP(V57,'Catalogue Aluminium'!$Q$9:$S$28,2,FALSE),VLOOKUP(V57,'Catalogue Aluminium'!$Q$9:$S$28,3)),IF(T57="GROUND",IF(U57="1C",VLOOKUP(V57,'Catalogue Aluminium'!$Q$9:$S$28,2,FALSE),VLOOKUP(V57,'Catalogue Aluminium'!$Q$9:$S$28,3))))))</f>
        <v>NA</v>
      </c>
      <c r="AN57" s="351">
        <f t="shared" si="565"/>
        <v>0.58740000000000003</v>
      </c>
      <c r="AO57" s="350">
        <f t="shared" si="566"/>
        <v>22.321200000000001</v>
      </c>
      <c r="AP57" s="349">
        <f t="shared" si="567"/>
        <v>1</v>
      </c>
      <c r="AQ57" s="350" t="str">
        <f t="shared" si="568"/>
        <v>YES</v>
      </c>
      <c r="AR57" s="351">
        <f t="shared" si="136"/>
        <v>0.27752621012711665</v>
      </c>
      <c r="AS57" s="343" t="str">
        <f t="shared" si="137"/>
        <v>YES</v>
      </c>
      <c r="AT57" s="351">
        <f t="shared" si="569"/>
        <v>0.47227291745302924</v>
      </c>
      <c r="AU57" s="343" t="str">
        <f t="shared" si="570"/>
        <v>YES</v>
      </c>
      <c r="AV57" s="354" t="str">
        <f t="shared" si="571"/>
        <v>1R x 0.6/1kV x 3C x 4 Sqmm</v>
      </c>
      <c r="AW57" s="354" t="str">
        <f t="shared" si="579"/>
        <v>1R x 0.6/1kV x 3C x 4+PE Sqmm</v>
      </c>
      <c r="AX57" s="343">
        <f t="shared" si="572"/>
        <v>84.4</v>
      </c>
      <c r="AY57" s="355"/>
      <c r="AZ57" s="355">
        <f t="shared" si="573"/>
        <v>2</v>
      </c>
      <c r="BA57" s="356" t="str">
        <f t="shared" si="574"/>
        <v>Q4Q5Q6</v>
      </c>
      <c r="BB57" s="501">
        <f>VLOOKUP(W57,'Catalogue Aluminium'!$B$9:$H$93,7,FALSE)</f>
        <v>15</v>
      </c>
      <c r="BC57" s="328">
        <f t="shared" si="575"/>
        <v>15</v>
      </c>
      <c r="BE57" s="336"/>
      <c r="BF57" s="336"/>
      <c r="BG57" s="336"/>
      <c r="BH57" s="336"/>
      <c r="BI57" s="336"/>
      <c r="BJ57" s="336"/>
      <c r="BK57" s="336"/>
      <c r="BL57" s="336"/>
      <c r="BM57" s="336"/>
      <c r="BN57" s="336"/>
      <c r="BO57" s="336"/>
      <c r="BP57" s="336"/>
      <c r="BQ57" s="336"/>
      <c r="BR57" s="336"/>
      <c r="BS57" s="336"/>
      <c r="BT57" s="336"/>
      <c r="BU57" s="336"/>
      <c r="BV57" s="336"/>
      <c r="BW57" s="336"/>
      <c r="BX57" s="336"/>
      <c r="BY57" s="336"/>
      <c r="BZ57" s="336"/>
      <c r="CA57" s="336"/>
      <c r="CB57" s="336"/>
      <c r="CC57" s="336"/>
      <c r="CD57" s="336"/>
      <c r="CE57" s="336"/>
      <c r="CF57" s="336"/>
      <c r="CG57" s="336"/>
      <c r="CH57" s="336"/>
      <c r="CI57" s="336"/>
      <c r="CJ57" s="336"/>
      <c r="CK57" s="336"/>
      <c r="CL57" s="336"/>
      <c r="CM57" s="336"/>
      <c r="CN57" s="336"/>
      <c r="CO57" s="336"/>
      <c r="CP57" s="336"/>
      <c r="CQ57" s="336"/>
      <c r="CR57" s="336"/>
      <c r="CS57" s="336"/>
      <c r="CT57" s="336"/>
      <c r="CU57" s="336"/>
      <c r="CV57" s="336"/>
      <c r="CW57" s="336"/>
      <c r="CX57" s="336"/>
      <c r="CY57" s="336"/>
      <c r="CZ57" s="336"/>
      <c r="DA57" s="336"/>
      <c r="DB57" s="336">
        <v>1</v>
      </c>
      <c r="DC57" s="336">
        <v>1</v>
      </c>
      <c r="DD57" s="336">
        <v>1</v>
      </c>
      <c r="DE57" s="336"/>
      <c r="DF57" s="336"/>
      <c r="DG57" s="336"/>
      <c r="DH57" s="336"/>
      <c r="DI57" s="336"/>
      <c r="DJ57" s="741"/>
      <c r="DK57" s="741"/>
      <c r="DL57" s="741"/>
      <c r="DM57" s="741"/>
      <c r="DN57" s="741"/>
      <c r="DO57" s="741"/>
      <c r="DP57" s="741"/>
      <c r="DQ57" s="336"/>
      <c r="DR57" s="741"/>
      <c r="DS57" s="741"/>
      <c r="DT57" s="741"/>
      <c r="DU57" s="336"/>
      <c r="DW57" s="336">
        <f t="shared" si="80"/>
        <v>0</v>
      </c>
      <c r="DX57" s="336">
        <f t="shared" si="1"/>
        <v>0</v>
      </c>
      <c r="DY57" s="336">
        <f t="shared" si="2"/>
        <v>0</v>
      </c>
      <c r="DZ57" s="336">
        <f t="shared" si="3"/>
        <v>0</v>
      </c>
      <c r="EA57" s="336">
        <f t="shared" si="4"/>
        <v>0</v>
      </c>
      <c r="EB57" s="336">
        <f t="shared" si="5"/>
        <v>0</v>
      </c>
      <c r="EC57" s="336">
        <f t="shared" si="6"/>
        <v>0</v>
      </c>
      <c r="ED57" s="336">
        <f t="shared" si="7"/>
        <v>0</v>
      </c>
      <c r="EE57" s="336">
        <f t="shared" si="8"/>
        <v>0</v>
      </c>
      <c r="EF57" s="336">
        <f t="shared" si="9"/>
        <v>0</v>
      </c>
      <c r="EG57" s="336">
        <f t="shared" si="10"/>
        <v>0</v>
      </c>
      <c r="EH57" s="336">
        <f t="shared" si="11"/>
        <v>0</v>
      </c>
      <c r="EI57" s="336">
        <f t="shared" si="12"/>
        <v>0</v>
      </c>
      <c r="EJ57" s="336">
        <f t="shared" si="13"/>
        <v>0</v>
      </c>
      <c r="EK57" s="336">
        <f t="shared" si="14"/>
        <v>0</v>
      </c>
      <c r="EL57" s="336">
        <f t="shared" si="15"/>
        <v>0</v>
      </c>
      <c r="EM57" s="336">
        <f t="shared" si="16"/>
        <v>0</v>
      </c>
      <c r="EN57" s="336">
        <f t="shared" si="17"/>
        <v>0</v>
      </c>
      <c r="EO57" s="336">
        <f t="shared" si="18"/>
        <v>0</v>
      </c>
      <c r="EP57" s="336">
        <f t="shared" si="19"/>
        <v>0</v>
      </c>
      <c r="EQ57" s="336">
        <f t="shared" si="20"/>
        <v>0</v>
      </c>
      <c r="ER57" s="336">
        <f t="shared" si="21"/>
        <v>0</v>
      </c>
      <c r="ES57" s="336">
        <f t="shared" si="22"/>
        <v>0</v>
      </c>
      <c r="ET57" s="336">
        <f t="shared" si="22"/>
        <v>0</v>
      </c>
      <c r="EU57" s="336">
        <f t="shared" si="23"/>
        <v>0</v>
      </c>
      <c r="EV57" s="336">
        <f t="shared" si="24"/>
        <v>0</v>
      </c>
      <c r="EW57" s="336">
        <f t="shared" si="25"/>
        <v>0</v>
      </c>
      <c r="EX57" s="336">
        <f t="shared" si="26"/>
        <v>0</v>
      </c>
      <c r="EY57" s="336">
        <f t="shared" si="27"/>
        <v>0</v>
      </c>
      <c r="EZ57" s="336">
        <f t="shared" si="28"/>
        <v>0</v>
      </c>
      <c r="FA57" s="336">
        <f t="shared" si="29"/>
        <v>0</v>
      </c>
      <c r="FB57" s="336">
        <f t="shared" si="30"/>
        <v>0</v>
      </c>
      <c r="FC57" s="336">
        <f t="shared" si="31"/>
        <v>0</v>
      </c>
      <c r="FD57" s="336">
        <f t="shared" si="32"/>
        <v>0</v>
      </c>
      <c r="FE57" s="336">
        <f t="shared" si="33"/>
        <v>0</v>
      </c>
      <c r="FF57" s="336">
        <f t="shared" si="34"/>
        <v>0</v>
      </c>
      <c r="FG57" s="336">
        <f t="shared" si="35"/>
        <v>0</v>
      </c>
      <c r="FH57" s="336">
        <f t="shared" si="36"/>
        <v>0</v>
      </c>
      <c r="FI57" s="336">
        <f t="shared" si="37"/>
        <v>0</v>
      </c>
      <c r="FJ57" s="336">
        <f t="shared" si="38"/>
        <v>0</v>
      </c>
      <c r="FK57" s="336">
        <f t="shared" si="39"/>
        <v>0</v>
      </c>
      <c r="FL57" s="336">
        <f t="shared" si="40"/>
        <v>0</v>
      </c>
      <c r="FM57" s="336">
        <f t="shared" si="41"/>
        <v>0</v>
      </c>
      <c r="FN57" s="336">
        <f t="shared" si="42"/>
        <v>0</v>
      </c>
      <c r="FO57" s="336">
        <f t="shared" si="43"/>
        <v>0</v>
      </c>
      <c r="FP57" s="336">
        <f t="shared" si="44"/>
        <v>0</v>
      </c>
      <c r="FQ57" s="336">
        <f t="shared" si="45"/>
        <v>0</v>
      </c>
      <c r="FR57" s="336">
        <f t="shared" si="46"/>
        <v>0</v>
      </c>
      <c r="FS57" s="336">
        <f t="shared" si="47"/>
        <v>0</v>
      </c>
      <c r="FT57" s="336">
        <f t="shared" si="48"/>
        <v>15</v>
      </c>
      <c r="FU57" s="336">
        <f t="shared" si="553"/>
        <v>15</v>
      </c>
      <c r="FV57" s="336">
        <f t="shared" si="554"/>
        <v>15</v>
      </c>
      <c r="FW57" s="336">
        <f t="shared" si="555"/>
        <v>0</v>
      </c>
      <c r="FX57" s="336">
        <f t="shared" si="556"/>
        <v>0</v>
      </c>
      <c r="FY57" s="336">
        <f t="shared" si="53"/>
        <v>0</v>
      </c>
      <c r="FZ57" s="336">
        <f t="shared" si="54"/>
        <v>0</v>
      </c>
      <c r="GA57" s="336">
        <f t="shared" si="55"/>
        <v>0</v>
      </c>
      <c r="GB57" s="336">
        <f t="shared" si="56"/>
        <v>0</v>
      </c>
      <c r="GC57" s="336">
        <f t="shared" si="57"/>
        <v>0</v>
      </c>
      <c r="GD57" s="336">
        <f t="shared" si="58"/>
        <v>0</v>
      </c>
      <c r="GE57" s="336">
        <f t="shared" si="59"/>
        <v>0</v>
      </c>
      <c r="GF57" s="336">
        <f t="shared" si="60"/>
        <v>0</v>
      </c>
      <c r="GG57" s="336">
        <f t="shared" si="61"/>
        <v>0</v>
      </c>
      <c r="GH57" s="336">
        <f t="shared" si="62"/>
        <v>0</v>
      </c>
      <c r="GI57" s="336">
        <f t="shared" si="63"/>
        <v>0</v>
      </c>
      <c r="GJ57" s="336">
        <f t="shared" si="64"/>
        <v>0</v>
      </c>
      <c r="GK57" s="336">
        <f t="shared" si="65"/>
        <v>0</v>
      </c>
      <c r="GL57" s="336">
        <f t="shared" si="557"/>
        <v>0</v>
      </c>
      <c r="GM57" s="336">
        <f t="shared" si="66"/>
        <v>0</v>
      </c>
    </row>
    <row r="58" spans="1:195" ht="20.100000000000001" customHeight="1">
      <c r="A58" s="337">
        <f t="shared" si="577"/>
        <v>47</v>
      </c>
      <c r="B58" s="406" t="s">
        <v>1729</v>
      </c>
      <c r="C58" s="372" t="str">
        <f t="shared" si="558"/>
        <v>PMCC-2</v>
      </c>
      <c r="D58" s="372" t="s">
        <v>1146</v>
      </c>
      <c r="E58" s="569" t="s">
        <v>387</v>
      </c>
      <c r="F58" s="337" t="s">
        <v>28</v>
      </c>
      <c r="G58" s="337" t="s">
        <v>350</v>
      </c>
      <c r="H58" s="350">
        <v>0.37</v>
      </c>
      <c r="I58" s="337" t="s">
        <v>330</v>
      </c>
      <c r="J58" s="337" t="s">
        <v>331</v>
      </c>
      <c r="K58" s="349">
        <v>400</v>
      </c>
      <c r="L58" s="343">
        <v>0.75</v>
      </c>
      <c r="M58" s="350">
        <v>0.85299999999999998</v>
      </c>
      <c r="N58" s="342">
        <f t="shared" si="559"/>
        <v>0.83480213384450297</v>
      </c>
      <c r="O58" s="342">
        <f t="shared" si="560"/>
        <v>5.008812803067018</v>
      </c>
      <c r="P58" s="343">
        <f t="shared" si="561"/>
        <v>0.2</v>
      </c>
      <c r="Q58" s="350">
        <v>65</v>
      </c>
      <c r="R58" s="350">
        <v>0</v>
      </c>
      <c r="S58" s="350">
        <f t="shared" si="562"/>
        <v>0</v>
      </c>
      <c r="T58" s="343" t="s">
        <v>332</v>
      </c>
      <c r="U58" s="350" t="s">
        <v>333</v>
      </c>
      <c r="V58" s="343">
        <v>4</v>
      </c>
      <c r="W58" s="343" t="str">
        <f t="shared" si="563"/>
        <v>3C X 4</v>
      </c>
      <c r="X58" s="343" t="str">
        <f t="shared" si="564"/>
        <v>3C X 4+PE</v>
      </c>
      <c r="Y58" s="343" t="s">
        <v>358</v>
      </c>
      <c r="Z58" s="344">
        <f>IF(T58="AIR",VLOOKUP(W58,'Catalogue Aluminium'!$B$9:$G$93,2,FALSE),IF(T58="GROUND",VLOOKUP(W58,'Catalogue Aluminium'!$B$9:$G$93,3,FALSE),IF(T58="DUCT",VLOOKUP(W58,'Catalogue Aluminium'!$B$9:$G$93,4,FALSE),IF(T58="TRENCH",VLOOKUP(W58,'Catalogue Aluminium'!$B$9:$G$93,2,FALSE)))))</f>
        <v>38</v>
      </c>
      <c r="AA58" s="345">
        <f>VLOOKUP(W58,'Catalogue Aluminium'!$B$9:$G$93,5,FALSE)</f>
        <v>5.9</v>
      </c>
      <c r="AB58" s="345">
        <f>VLOOKUP(W58,'Catalogue Aluminium'!$B$9:$G$93,6,FALSE)</f>
        <v>9.4700000000000006E-2</v>
      </c>
      <c r="AC58" s="343">
        <v>22</v>
      </c>
      <c r="AD58" s="346">
        <f t="shared" si="576"/>
        <v>36.4</v>
      </c>
      <c r="AE58" s="343">
        <v>20</v>
      </c>
      <c r="AF58" s="343">
        <v>8</v>
      </c>
      <c r="AG58" s="343">
        <f t="shared" si="134"/>
        <v>9</v>
      </c>
      <c r="AH58" s="347">
        <f t="shared" si="578"/>
        <v>95.4</v>
      </c>
      <c r="AI58" s="344">
        <f>IF(T58="AIR",'Catalogue Aluminium'!$K$9,IF(T58="TRENCH",'Catalogue Aluminium'!$K$12,"NA"))</f>
        <v>0.89</v>
      </c>
      <c r="AJ58" s="342">
        <f>IF(T58="Air",(IF(U58="1C",'Catalogue Aluminium'!$L$9,'Catalogue Aluminium'!$M$9)),IF(T58="DUCT",(IF($U58="1C",'Catalogue Aluminium'!$L$10,'Catalogue Aluminium'!$M$10)),IF(T58="GROUND",(IF($U58="1C",'Catalogue Aluminium'!$L$11,'Catalogue Aluminium'!$M$11)),IF(T58="TRENCH",(IF($U58="1C",'Catalogue Aluminium'!$L$12,'Catalogue Aluminium'!$M$12))))))</f>
        <v>0.66</v>
      </c>
      <c r="AK58" s="344" t="str">
        <f>IF(T58="Air",'Catalogue Aluminium'!$N$9,IF(T58="GROUND",'Catalogue Aluminium'!$N$10,IF(T58="DUCT",'Catalogue Aluminium'!$N$11,IF(T58="TRENCH",'Catalogue Aluminium'!$N$12,"NA"))))</f>
        <v>NA</v>
      </c>
      <c r="AL58" s="344" t="str">
        <f>IF(T58="Air",(IF(U58="1C",'Catalogue Aluminium'!$O$9,'Catalogue Aluminium'!$P$9)),IF(T58="DUCT",(IF($U58="1C",'Catalogue Aluminium'!$O$10,'Catalogue Aluminium'!$P$10)),IF(T58="GROUND",(IF($U58="1C",'Catalogue Aluminium'!$O$11,'Catalogue Aluminium'!$P$11)),IF(T58="TRENCH",(IF($U58="1C",'Catalogue Aluminium'!$O$12,'Catalogue Aluminium'!$P$12))))))</f>
        <v>NA</v>
      </c>
      <c r="AM58" s="344" t="str">
        <f>IF(T58="AIR","NA",IF(T58="TRENCH","NA",IF(T58="DUCT",IF(U58="1C",VLOOKUP(V58,'Catalogue Aluminium'!$Q$9:$S$28,2,FALSE),VLOOKUP(V58,'Catalogue Aluminium'!$Q$9:$S$28,3)),IF(T58="GROUND",IF(U58="1C",VLOOKUP(V58,'Catalogue Aluminium'!$Q$9:$S$28,2,FALSE),VLOOKUP(V58,'Catalogue Aluminium'!$Q$9:$S$28,3))))))</f>
        <v>NA</v>
      </c>
      <c r="AN58" s="351">
        <f t="shared" si="565"/>
        <v>0.58740000000000003</v>
      </c>
      <c r="AO58" s="350">
        <f t="shared" si="566"/>
        <v>22.321200000000001</v>
      </c>
      <c r="AP58" s="349">
        <f t="shared" si="567"/>
        <v>1</v>
      </c>
      <c r="AQ58" s="350" t="str">
        <f t="shared" si="568"/>
        <v>YES</v>
      </c>
      <c r="AR58" s="351">
        <f t="shared" si="136"/>
        <v>0.15475703262349075</v>
      </c>
      <c r="AS58" s="343" t="str">
        <f t="shared" si="137"/>
        <v>YES</v>
      </c>
      <c r="AT58" s="351">
        <f t="shared" si="569"/>
        <v>0.26335370363755178</v>
      </c>
      <c r="AU58" s="343" t="str">
        <f t="shared" si="570"/>
        <v>YES</v>
      </c>
      <c r="AV58" s="354" t="str">
        <f t="shared" si="571"/>
        <v>1R x 0.6/1kV x 3C x 4 Sqmm</v>
      </c>
      <c r="AW58" s="354" t="str">
        <f t="shared" si="579"/>
        <v>1R x 0.6/1kV x 3C x 4+PE Sqmm</v>
      </c>
      <c r="AX58" s="343">
        <f t="shared" si="572"/>
        <v>95.4</v>
      </c>
      <c r="AY58" s="355"/>
      <c r="AZ58" s="355">
        <f t="shared" si="573"/>
        <v>2</v>
      </c>
      <c r="BA58" s="356" t="str">
        <f t="shared" si="574"/>
        <v>Q4Q5Q6</v>
      </c>
      <c r="BB58" s="501">
        <f>VLOOKUP(W58,'Catalogue Aluminium'!$B$9:$H$93,7,FALSE)</f>
        <v>15</v>
      </c>
      <c r="BC58" s="328">
        <f t="shared" si="575"/>
        <v>15</v>
      </c>
      <c r="BE58" s="336"/>
      <c r="BF58" s="336"/>
      <c r="BG58" s="336"/>
      <c r="BH58" s="336"/>
      <c r="BI58" s="336"/>
      <c r="BJ58" s="336"/>
      <c r="BK58" s="336"/>
      <c r="BL58" s="336"/>
      <c r="BM58" s="336"/>
      <c r="BN58" s="336"/>
      <c r="BO58" s="336"/>
      <c r="BP58" s="336"/>
      <c r="BQ58" s="336"/>
      <c r="BR58" s="336"/>
      <c r="BS58" s="336"/>
      <c r="BT58" s="336"/>
      <c r="BU58" s="336"/>
      <c r="BV58" s="336"/>
      <c r="BW58" s="336"/>
      <c r="BX58" s="336"/>
      <c r="BY58" s="336"/>
      <c r="BZ58" s="336"/>
      <c r="CA58" s="336"/>
      <c r="CB58" s="336"/>
      <c r="CC58" s="336"/>
      <c r="CD58" s="336"/>
      <c r="CE58" s="336"/>
      <c r="CF58" s="336"/>
      <c r="CG58" s="336"/>
      <c r="CH58" s="336"/>
      <c r="CI58" s="336"/>
      <c r="CJ58" s="336"/>
      <c r="CK58" s="336"/>
      <c r="CL58" s="336"/>
      <c r="CM58" s="336"/>
      <c r="CN58" s="336"/>
      <c r="CO58" s="336"/>
      <c r="CP58" s="336"/>
      <c r="CQ58" s="336"/>
      <c r="CR58" s="336"/>
      <c r="CS58" s="336"/>
      <c r="CT58" s="336"/>
      <c r="CU58" s="336"/>
      <c r="CV58" s="336"/>
      <c r="CW58" s="336"/>
      <c r="CX58" s="336"/>
      <c r="CY58" s="336"/>
      <c r="CZ58" s="336"/>
      <c r="DA58" s="336"/>
      <c r="DB58" s="336">
        <v>1</v>
      </c>
      <c r="DC58" s="336">
        <v>1</v>
      </c>
      <c r="DD58" s="336">
        <v>1</v>
      </c>
      <c r="DE58" s="336"/>
      <c r="DF58" s="336"/>
      <c r="DG58" s="336"/>
      <c r="DH58" s="336"/>
      <c r="DI58" s="336"/>
      <c r="DJ58" s="741"/>
      <c r="DK58" s="741"/>
      <c r="DL58" s="741"/>
      <c r="DM58" s="741"/>
      <c r="DN58" s="741"/>
      <c r="DO58" s="741"/>
      <c r="DP58" s="741"/>
      <c r="DQ58" s="336"/>
      <c r="DR58" s="741"/>
      <c r="DS58" s="741"/>
      <c r="DT58" s="741"/>
      <c r="DU58" s="336"/>
      <c r="DW58" s="336">
        <f t="shared" si="80"/>
        <v>0</v>
      </c>
      <c r="DX58" s="336">
        <f t="shared" si="1"/>
        <v>0</v>
      </c>
      <c r="DY58" s="336">
        <f t="shared" si="2"/>
        <v>0</v>
      </c>
      <c r="DZ58" s="336">
        <f t="shared" si="3"/>
        <v>0</v>
      </c>
      <c r="EA58" s="336">
        <f t="shared" si="4"/>
        <v>0</v>
      </c>
      <c r="EB58" s="336">
        <f t="shared" si="5"/>
        <v>0</v>
      </c>
      <c r="EC58" s="336">
        <f t="shared" si="6"/>
        <v>0</v>
      </c>
      <c r="ED58" s="336">
        <f t="shared" si="7"/>
        <v>0</v>
      </c>
      <c r="EE58" s="336">
        <f t="shared" si="8"/>
        <v>0</v>
      </c>
      <c r="EF58" s="336">
        <f t="shared" si="9"/>
        <v>0</v>
      </c>
      <c r="EG58" s="336">
        <f t="shared" si="10"/>
        <v>0</v>
      </c>
      <c r="EH58" s="336">
        <f t="shared" si="11"/>
        <v>0</v>
      </c>
      <c r="EI58" s="336">
        <f t="shared" si="12"/>
        <v>0</v>
      </c>
      <c r="EJ58" s="336">
        <f t="shared" si="13"/>
        <v>0</v>
      </c>
      <c r="EK58" s="336">
        <f t="shared" si="14"/>
        <v>0</v>
      </c>
      <c r="EL58" s="336">
        <f t="shared" si="15"/>
        <v>0</v>
      </c>
      <c r="EM58" s="336">
        <f t="shared" si="16"/>
        <v>0</v>
      </c>
      <c r="EN58" s="336">
        <f t="shared" si="17"/>
        <v>0</v>
      </c>
      <c r="EO58" s="336">
        <f t="shared" si="18"/>
        <v>0</v>
      </c>
      <c r="EP58" s="336">
        <f t="shared" si="19"/>
        <v>0</v>
      </c>
      <c r="EQ58" s="336">
        <f t="shared" si="20"/>
        <v>0</v>
      </c>
      <c r="ER58" s="336">
        <f t="shared" si="21"/>
        <v>0</v>
      </c>
      <c r="ES58" s="336">
        <f t="shared" si="22"/>
        <v>0</v>
      </c>
      <c r="ET58" s="336">
        <f t="shared" si="22"/>
        <v>0</v>
      </c>
      <c r="EU58" s="336">
        <f t="shared" si="23"/>
        <v>0</v>
      </c>
      <c r="EV58" s="336">
        <f t="shared" si="24"/>
        <v>0</v>
      </c>
      <c r="EW58" s="336">
        <f t="shared" si="25"/>
        <v>0</v>
      </c>
      <c r="EX58" s="336">
        <f t="shared" si="26"/>
        <v>0</v>
      </c>
      <c r="EY58" s="336">
        <f t="shared" si="27"/>
        <v>0</v>
      </c>
      <c r="EZ58" s="336">
        <f t="shared" si="28"/>
        <v>0</v>
      </c>
      <c r="FA58" s="336">
        <f t="shared" si="29"/>
        <v>0</v>
      </c>
      <c r="FB58" s="336">
        <f t="shared" si="30"/>
        <v>0</v>
      </c>
      <c r="FC58" s="336">
        <f t="shared" si="31"/>
        <v>0</v>
      </c>
      <c r="FD58" s="336">
        <f t="shared" si="32"/>
        <v>0</v>
      </c>
      <c r="FE58" s="336">
        <f t="shared" si="33"/>
        <v>0</v>
      </c>
      <c r="FF58" s="336">
        <f t="shared" si="34"/>
        <v>0</v>
      </c>
      <c r="FG58" s="336">
        <f t="shared" si="35"/>
        <v>0</v>
      </c>
      <c r="FH58" s="336">
        <f t="shared" si="36"/>
        <v>0</v>
      </c>
      <c r="FI58" s="336">
        <f t="shared" si="37"/>
        <v>0</v>
      </c>
      <c r="FJ58" s="336">
        <f t="shared" si="38"/>
        <v>0</v>
      </c>
      <c r="FK58" s="336">
        <f t="shared" si="39"/>
        <v>0</v>
      </c>
      <c r="FL58" s="336">
        <f t="shared" si="40"/>
        <v>0</v>
      </c>
      <c r="FM58" s="336">
        <f t="shared" si="41"/>
        <v>0</v>
      </c>
      <c r="FN58" s="336">
        <f t="shared" si="42"/>
        <v>0</v>
      </c>
      <c r="FO58" s="336">
        <f t="shared" si="43"/>
        <v>0</v>
      </c>
      <c r="FP58" s="336">
        <f t="shared" si="44"/>
        <v>0</v>
      </c>
      <c r="FQ58" s="336">
        <f t="shared" si="45"/>
        <v>0</v>
      </c>
      <c r="FR58" s="336">
        <f t="shared" si="46"/>
        <v>0</v>
      </c>
      <c r="FS58" s="336">
        <f t="shared" si="47"/>
        <v>0</v>
      </c>
      <c r="FT58" s="336">
        <f t="shared" si="48"/>
        <v>15</v>
      </c>
      <c r="FU58" s="336">
        <f t="shared" si="553"/>
        <v>15</v>
      </c>
      <c r="FV58" s="336">
        <f t="shared" si="554"/>
        <v>15</v>
      </c>
      <c r="FW58" s="336">
        <f t="shared" si="555"/>
        <v>0</v>
      </c>
      <c r="FX58" s="336">
        <f t="shared" si="556"/>
        <v>0</v>
      </c>
      <c r="FY58" s="336">
        <f t="shared" si="53"/>
        <v>0</v>
      </c>
      <c r="FZ58" s="336">
        <f t="shared" si="54"/>
        <v>0</v>
      </c>
      <c r="GA58" s="336">
        <f t="shared" si="55"/>
        <v>0</v>
      </c>
      <c r="GB58" s="336">
        <f t="shared" si="56"/>
        <v>0</v>
      </c>
      <c r="GC58" s="336">
        <f t="shared" si="57"/>
        <v>0</v>
      </c>
      <c r="GD58" s="336">
        <f t="shared" si="58"/>
        <v>0</v>
      </c>
      <c r="GE58" s="336">
        <f t="shared" si="59"/>
        <v>0</v>
      </c>
      <c r="GF58" s="336">
        <f t="shared" si="60"/>
        <v>0</v>
      </c>
      <c r="GG58" s="336">
        <f t="shared" si="61"/>
        <v>0</v>
      </c>
      <c r="GH58" s="336">
        <f t="shared" si="62"/>
        <v>0</v>
      </c>
      <c r="GI58" s="336">
        <f t="shared" si="63"/>
        <v>0</v>
      </c>
      <c r="GJ58" s="336">
        <f t="shared" si="64"/>
        <v>0</v>
      </c>
      <c r="GK58" s="336">
        <f t="shared" si="65"/>
        <v>0</v>
      </c>
      <c r="GL58" s="336">
        <f t="shared" si="557"/>
        <v>0</v>
      </c>
      <c r="GM58" s="336">
        <f t="shared" si="66"/>
        <v>0</v>
      </c>
    </row>
    <row r="59" spans="1:195" ht="20.100000000000001" customHeight="1">
      <c r="A59" s="337">
        <f t="shared" si="577"/>
        <v>48</v>
      </c>
      <c r="B59" s="406" t="s">
        <v>1730</v>
      </c>
      <c r="C59" s="372" t="str">
        <f t="shared" si="558"/>
        <v>PMCC-2</v>
      </c>
      <c r="D59" s="372" t="s">
        <v>1147</v>
      </c>
      <c r="E59" s="569" t="s">
        <v>387</v>
      </c>
      <c r="F59" s="337" t="s">
        <v>29</v>
      </c>
      <c r="G59" s="337" t="s">
        <v>350</v>
      </c>
      <c r="H59" s="350">
        <v>0.37</v>
      </c>
      <c r="I59" s="337" t="s">
        <v>330</v>
      </c>
      <c r="J59" s="337" t="s">
        <v>331</v>
      </c>
      <c r="K59" s="349">
        <v>400</v>
      </c>
      <c r="L59" s="343">
        <v>0.75</v>
      </c>
      <c r="M59" s="350">
        <v>0.85299999999999998</v>
      </c>
      <c r="N59" s="342">
        <f t="shared" si="559"/>
        <v>0.83480213384450297</v>
      </c>
      <c r="O59" s="342">
        <f t="shared" si="560"/>
        <v>5.008812803067018</v>
      </c>
      <c r="P59" s="343">
        <f t="shared" si="561"/>
        <v>0.2</v>
      </c>
      <c r="Q59" s="350">
        <v>65</v>
      </c>
      <c r="R59" s="350">
        <v>0</v>
      </c>
      <c r="S59" s="350">
        <f t="shared" si="562"/>
        <v>0</v>
      </c>
      <c r="T59" s="343" t="s">
        <v>332</v>
      </c>
      <c r="U59" s="350" t="s">
        <v>333</v>
      </c>
      <c r="V59" s="343">
        <v>4</v>
      </c>
      <c r="W59" s="343" t="str">
        <f t="shared" si="563"/>
        <v>3C X 4</v>
      </c>
      <c r="X59" s="343" t="str">
        <f t="shared" si="564"/>
        <v>3C X 4+PE</v>
      </c>
      <c r="Y59" s="343" t="s">
        <v>358</v>
      </c>
      <c r="Z59" s="344">
        <f>IF(T59="AIR",VLOOKUP(W59,'Catalogue Aluminium'!$B$9:$G$93,2,FALSE),IF(T59="GROUND",VLOOKUP(W59,'Catalogue Aluminium'!$B$9:$G$93,3,FALSE),IF(T59="DUCT",VLOOKUP(W59,'Catalogue Aluminium'!$B$9:$G$93,4,FALSE),IF(T59="TRENCH",VLOOKUP(W59,'Catalogue Aluminium'!$B$9:$G$93,2,FALSE)))))</f>
        <v>38</v>
      </c>
      <c r="AA59" s="345">
        <f>VLOOKUP(W59,'Catalogue Aluminium'!$B$9:$G$93,5,FALSE)</f>
        <v>5.9</v>
      </c>
      <c r="AB59" s="345">
        <f>VLOOKUP(W59,'Catalogue Aluminium'!$B$9:$G$93,6,FALSE)</f>
        <v>9.4700000000000006E-2</v>
      </c>
      <c r="AC59" s="343">
        <f>9.5+2.5</f>
        <v>12</v>
      </c>
      <c r="AD59" s="346">
        <f t="shared" si="576"/>
        <v>36.4</v>
      </c>
      <c r="AE59" s="343">
        <v>20</v>
      </c>
      <c r="AF59" s="343">
        <v>8</v>
      </c>
      <c r="AG59" s="343">
        <f t="shared" si="134"/>
        <v>8</v>
      </c>
      <c r="AH59" s="347">
        <f t="shared" si="578"/>
        <v>84.4</v>
      </c>
      <c r="AI59" s="344">
        <f>IF(T59="AIR",'Catalogue Aluminium'!$K$9,IF(T59="TRENCH",'Catalogue Aluminium'!$K$12,"NA"))</f>
        <v>0.89</v>
      </c>
      <c r="AJ59" s="342">
        <f>IF(T59="Air",(IF(U59="1C",'Catalogue Aluminium'!$L$9,'Catalogue Aluminium'!$M$9)),IF(T59="DUCT",(IF($U59="1C",'Catalogue Aluminium'!$L$10,'Catalogue Aluminium'!$M$10)),IF(T59="GROUND",(IF($U59="1C",'Catalogue Aluminium'!$L$11,'Catalogue Aluminium'!$M$11)),IF(T59="TRENCH",(IF($U59="1C",'Catalogue Aluminium'!$L$12,'Catalogue Aluminium'!$M$12))))))</f>
        <v>0.66</v>
      </c>
      <c r="AK59" s="344" t="str">
        <f>IF(T59="Air",'Catalogue Aluminium'!$N$9,IF(T59="GROUND",'Catalogue Aluminium'!$N$10,IF(T59="DUCT",'Catalogue Aluminium'!$N$11,IF(T59="TRENCH",'Catalogue Aluminium'!$N$12,"NA"))))</f>
        <v>NA</v>
      </c>
      <c r="AL59" s="344" t="str">
        <f>IF(T59="Air",(IF(U59="1C",'Catalogue Aluminium'!$O$9,'Catalogue Aluminium'!$P$9)),IF(T59="DUCT",(IF($U59="1C",'Catalogue Aluminium'!$O$10,'Catalogue Aluminium'!$P$10)),IF(T59="GROUND",(IF($U59="1C",'Catalogue Aluminium'!$O$11,'Catalogue Aluminium'!$P$11)),IF(T59="TRENCH",(IF($U59="1C",'Catalogue Aluminium'!$O$12,'Catalogue Aluminium'!$P$12))))))</f>
        <v>NA</v>
      </c>
      <c r="AM59" s="344" t="str">
        <f>IF(T59="AIR","NA",IF(T59="TRENCH","NA",IF(T59="DUCT",IF(U59="1C",VLOOKUP(V59,'Catalogue Aluminium'!$Q$9:$S$28,2,FALSE),VLOOKUP(V59,'Catalogue Aluminium'!$Q$9:$S$28,3)),IF(T59="GROUND",IF(U59="1C",VLOOKUP(V59,'Catalogue Aluminium'!$Q$9:$S$28,2,FALSE),VLOOKUP(V59,'Catalogue Aluminium'!$Q$9:$S$28,3))))))</f>
        <v>NA</v>
      </c>
      <c r="AN59" s="351">
        <f t="shared" si="565"/>
        <v>0.58740000000000003</v>
      </c>
      <c r="AO59" s="350">
        <f t="shared" si="566"/>
        <v>22.321200000000001</v>
      </c>
      <c r="AP59" s="349">
        <f t="shared" si="567"/>
        <v>1</v>
      </c>
      <c r="AQ59" s="350" t="str">
        <f t="shared" si="568"/>
        <v>YES</v>
      </c>
      <c r="AR59" s="351">
        <f t="shared" si="136"/>
        <v>0.13691293032937757</v>
      </c>
      <c r="AS59" s="343" t="str">
        <f t="shared" si="137"/>
        <v>YES</v>
      </c>
      <c r="AT59" s="351">
        <f t="shared" si="569"/>
        <v>0.23298797261016113</v>
      </c>
      <c r="AU59" s="343" t="str">
        <f t="shared" si="570"/>
        <v>YES</v>
      </c>
      <c r="AV59" s="354" t="str">
        <f t="shared" si="571"/>
        <v>1R x 0.6/1kV x 3C x 4 Sqmm</v>
      </c>
      <c r="AW59" s="354" t="str">
        <f t="shared" si="579"/>
        <v>1R x 0.6/1kV x 3C x 4+PE Sqmm</v>
      </c>
      <c r="AX59" s="343">
        <f t="shared" si="572"/>
        <v>84.4</v>
      </c>
      <c r="AY59" s="355"/>
      <c r="AZ59" s="355">
        <f t="shared" si="573"/>
        <v>2</v>
      </c>
      <c r="BA59" s="356" t="str">
        <f t="shared" si="574"/>
        <v>Q4Q5Q6</v>
      </c>
      <c r="BB59" s="501">
        <f>VLOOKUP(W59,'Catalogue Aluminium'!$B$9:$H$93,7,FALSE)</f>
        <v>15</v>
      </c>
      <c r="BC59" s="328">
        <f t="shared" si="575"/>
        <v>15</v>
      </c>
      <c r="BE59" s="336"/>
      <c r="BF59" s="336"/>
      <c r="BG59" s="336"/>
      <c r="BH59" s="336"/>
      <c r="BI59" s="336"/>
      <c r="BJ59" s="336"/>
      <c r="BK59" s="336"/>
      <c r="BL59" s="336"/>
      <c r="BM59" s="336"/>
      <c r="BN59" s="336"/>
      <c r="BO59" s="336"/>
      <c r="BP59" s="336"/>
      <c r="BQ59" s="336"/>
      <c r="BR59" s="336"/>
      <c r="BS59" s="336"/>
      <c r="BT59" s="336"/>
      <c r="BU59" s="336"/>
      <c r="BV59" s="336"/>
      <c r="BW59" s="336"/>
      <c r="BX59" s="336"/>
      <c r="BY59" s="336"/>
      <c r="BZ59" s="336"/>
      <c r="CA59" s="336"/>
      <c r="CB59" s="336"/>
      <c r="CC59" s="336"/>
      <c r="CD59" s="336"/>
      <c r="CE59" s="336"/>
      <c r="CF59" s="336"/>
      <c r="CG59" s="336"/>
      <c r="CH59" s="336"/>
      <c r="CI59" s="336"/>
      <c r="CJ59" s="336"/>
      <c r="CK59" s="336"/>
      <c r="CL59" s="336"/>
      <c r="CM59" s="336"/>
      <c r="CN59" s="336"/>
      <c r="CO59" s="336"/>
      <c r="CP59" s="336"/>
      <c r="CQ59" s="336"/>
      <c r="CR59" s="336"/>
      <c r="CS59" s="336"/>
      <c r="CT59" s="336"/>
      <c r="CU59" s="336"/>
      <c r="CV59" s="336"/>
      <c r="CW59" s="336"/>
      <c r="CX59" s="336"/>
      <c r="CY59" s="336"/>
      <c r="CZ59" s="336"/>
      <c r="DA59" s="336"/>
      <c r="DB59" s="336">
        <v>1</v>
      </c>
      <c r="DC59" s="336">
        <v>1</v>
      </c>
      <c r="DD59" s="336">
        <v>1</v>
      </c>
      <c r="DE59" s="336"/>
      <c r="DF59" s="336"/>
      <c r="DG59" s="336"/>
      <c r="DH59" s="336"/>
      <c r="DI59" s="336"/>
      <c r="DJ59" s="741"/>
      <c r="DK59" s="741"/>
      <c r="DL59" s="741"/>
      <c r="DM59" s="741"/>
      <c r="DN59" s="741"/>
      <c r="DO59" s="741"/>
      <c r="DP59" s="741"/>
      <c r="DQ59" s="336"/>
      <c r="DR59" s="741"/>
      <c r="DS59" s="741"/>
      <c r="DT59" s="741"/>
      <c r="DU59" s="336"/>
      <c r="DW59" s="336">
        <f t="shared" si="80"/>
        <v>0</v>
      </c>
      <c r="DX59" s="336">
        <f t="shared" si="1"/>
        <v>0</v>
      </c>
      <c r="DY59" s="336">
        <f t="shared" si="2"/>
        <v>0</v>
      </c>
      <c r="DZ59" s="336">
        <f t="shared" si="3"/>
        <v>0</v>
      </c>
      <c r="EA59" s="336">
        <f t="shared" si="4"/>
        <v>0</v>
      </c>
      <c r="EB59" s="336">
        <f t="shared" si="5"/>
        <v>0</v>
      </c>
      <c r="EC59" s="336">
        <f t="shared" si="6"/>
        <v>0</v>
      </c>
      <c r="ED59" s="336">
        <f t="shared" si="7"/>
        <v>0</v>
      </c>
      <c r="EE59" s="336">
        <f t="shared" si="8"/>
        <v>0</v>
      </c>
      <c r="EF59" s="336">
        <f t="shared" si="9"/>
        <v>0</v>
      </c>
      <c r="EG59" s="336">
        <f t="shared" si="10"/>
        <v>0</v>
      </c>
      <c r="EH59" s="336">
        <f t="shared" si="11"/>
        <v>0</v>
      </c>
      <c r="EI59" s="336">
        <f t="shared" si="12"/>
        <v>0</v>
      </c>
      <c r="EJ59" s="336">
        <f t="shared" si="13"/>
        <v>0</v>
      </c>
      <c r="EK59" s="336">
        <f t="shared" si="14"/>
        <v>0</v>
      </c>
      <c r="EL59" s="336">
        <f t="shared" si="15"/>
        <v>0</v>
      </c>
      <c r="EM59" s="336">
        <f t="shared" si="16"/>
        <v>0</v>
      </c>
      <c r="EN59" s="336">
        <f t="shared" si="17"/>
        <v>0</v>
      </c>
      <c r="EO59" s="336">
        <f t="shared" si="18"/>
        <v>0</v>
      </c>
      <c r="EP59" s="336">
        <f t="shared" si="19"/>
        <v>0</v>
      </c>
      <c r="EQ59" s="336">
        <f t="shared" si="20"/>
        <v>0</v>
      </c>
      <c r="ER59" s="336">
        <f t="shared" si="21"/>
        <v>0</v>
      </c>
      <c r="ES59" s="336">
        <f t="shared" si="22"/>
        <v>0</v>
      </c>
      <c r="ET59" s="336">
        <f t="shared" si="22"/>
        <v>0</v>
      </c>
      <c r="EU59" s="336">
        <f t="shared" si="23"/>
        <v>0</v>
      </c>
      <c r="EV59" s="336">
        <f t="shared" si="24"/>
        <v>0</v>
      </c>
      <c r="EW59" s="336">
        <f t="shared" si="25"/>
        <v>0</v>
      </c>
      <c r="EX59" s="336">
        <f t="shared" si="26"/>
        <v>0</v>
      </c>
      <c r="EY59" s="336">
        <f t="shared" si="27"/>
        <v>0</v>
      </c>
      <c r="EZ59" s="336">
        <f t="shared" si="28"/>
        <v>0</v>
      </c>
      <c r="FA59" s="336">
        <f t="shared" si="29"/>
        <v>0</v>
      </c>
      <c r="FB59" s="336">
        <f t="shared" si="30"/>
        <v>0</v>
      </c>
      <c r="FC59" s="336">
        <f t="shared" si="31"/>
        <v>0</v>
      </c>
      <c r="FD59" s="336">
        <f t="shared" si="32"/>
        <v>0</v>
      </c>
      <c r="FE59" s="336">
        <f t="shared" si="33"/>
        <v>0</v>
      </c>
      <c r="FF59" s="336">
        <f t="shared" si="34"/>
        <v>0</v>
      </c>
      <c r="FG59" s="336">
        <f t="shared" si="35"/>
        <v>0</v>
      </c>
      <c r="FH59" s="336">
        <f t="shared" si="36"/>
        <v>0</v>
      </c>
      <c r="FI59" s="336">
        <f t="shared" si="37"/>
        <v>0</v>
      </c>
      <c r="FJ59" s="336">
        <f t="shared" si="38"/>
        <v>0</v>
      </c>
      <c r="FK59" s="336">
        <f t="shared" si="39"/>
        <v>0</v>
      </c>
      <c r="FL59" s="336">
        <f t="shared" si="40"/>
        <v>0</v>
      </c>
      <c r="FM59" s="336">
        <f t="shared" si="41"/>
        <v>0</v>
      </c>
      <c r="FN59" s="336">
        <f t="shared" si="42"/>
        <v>0</v>
      </c>
      <c r="FO59" s="336">
        <f t="shared" si="43"/>
        <v>0</v>
      </c>
      <c r="FP59" s="336">
        <f t="shared" si="44"/>
        <v>0</v>
      </c>
      <c r="FQ59" s="336">
        <f t="shared" si="45"/>
        <v>0</v>
      </c>
      <c r="FR59" s="336">
        <f t="shared" si="46"/>
        <v>0</v>
      </c>
      <c r="FS59" s="336">
        <f t="shared" si="47"/>
        <v>0</v>
      </c>
      <c r="FT59" s="336">
        <f t="shared" si="48"/>
        <v>15</v>
      </c>
      <c r="FU59" s="336">
        <f t="shared" si="553"/>
        <v>15</v>
      </c>
      <c r="FV59" s="336">
        <f t="shared" si="554"/>
        <v>15</v>
      </c>
      <c r="FW59" s="336">
        <f t="shared" si="555"/>
        <v>0</v>
      </c>
      <c r="FX59" s="336">
        <f t="shared" si="556"/>
        <v>0</v>
      </c>
      <c r="FY59" s="336">
        <f t="shared" si="53"/>
        <v>0</v>
      </c>
      <c r="FZ59" s="336">
        <f t="shared" si="54"/>
        <v>0</v>
      </c>
      <c r="GA59" s="336">
        <f t="shared" si="55"/>
        <v>0</v>
      </c>
      <c r="GB59" s="336">
        <f t="shared" si="56"/>
        <v>0</v>
      </c>
      <c r="GC59" s="336">
        <f t="shared" si="57"/>
        <v>0</v>
      </c>
      <c r="GD59" s="336">
        <f t="shared" si="58"/>
        <v>0</v>
      </c>
      <c r="GE59" s="336">
        <f t="shared" si="59"/>
        <v>0</v>
      </c>
      <c r="GF59" s="336">
        <f t="shared" si="60"/>
        <v>0</v>
      </c>
      <c r="GG59" s="336">
        <f t="shared" si="61"/>
        <v>0</v>
      </c>
      <c r="GH59" s="336">
        <f t="shared" si="62"/>
        <v>0</v>
      </c>
      <c r="GI59" s="336">
        <f t="shared" si="63"/>
        <v>0</v>
      </c>
      <c r="GJ59" s="336">
        <f t="shared" si="64"/>
        <v>0</v>
      </c>
      <c r="GK59" s="336">
        <f t="shared" si="65"/>
        <v>0</v>
      </c>
      <c r="GL59" s="336">
        <f t="shared" si="557"/>
        <v>0</v>
      </c>
      <c r="GM59" s="336">
        <f t="shared" si="66"/>
        <v>0</v>
      </c>
    </row>
    <row r="60" spans="1:195" ht="20.100000000000001" customHeight="1">
      <c r="A60" s="337">
        <f t="shared" si="577"/>
        <v>49</v>
      </c>
      <c r="B60" s="337" t="s">
        <v>527</v>
      </c>
      <c r="C60" s="372" t="str">
        <f t="shared" si="558"/>
        <v>PMCC-2</v>
      </c>
      <c r="D60" s="372" t="s">
        <v>1148</v>
      </c>
      <c r="E60" s="569" t="s">
        <v>387</v>
      </c>
      <c r="F60" s="337" t="s">
        <v>29</v>
      </c>
      <c r="G60" s="337" t="s">
        <v>350</v>
      </c>
      <c r="H60" s="350">
        <v>0.75</v>
      </c>
      <c r="I60" s="337" t="s">
        <v>330</v>
      </c>
      <c r="J60" s="337" t="s">
        <v>331</v>
      </c>
      <c r="K60" s="349">
        <v>400</v>
      </c>
      <c r="L60" s="343">
        <v>0.75</v>
      </c>
      <c r="M60" s="350">
        <v>0.85299999999999998</v>
      </c>
      <c r="N60" s="342">
        <f t="shared" si="559"/>
        <v>1.6921664875226412</v>
      </c>
      <c r="O60" s="342">
        <f t="shared" si="560"/>
        <v>10.152998925135847</v>
      </c>
      <c r="P60" s="343">
        <f t="shared" si="561"/>
        <v>0.2</v>
      </c>
      <c r="Q60" s="350">
        <v>65</v>
      </c>
      <c r="R60" s="350">
        <v>0</v>
      </c>
      <c r="S60" s="350">
        <f t="shared" si="562"/>
        <v>0</v>
      </c>
      <c r="T60" s="343" t="s">
        <v>332</v>
      </c>
      <c r="U60" s="350" t="s">
        <v>333</v>
      </c>
      <c r="V60" s="343">
        <v>4</v>
      </c>
      <c r="W60" s="343" t="str">
        <f t="shared" si="563"/>
        <v>3C X 4</v>
      </c>
      <c r="X60" s="343" t="str">
        <f t="shared" si="564"/>
        <v>3C X 4+PE</v>
      </c>
      <c r="Y60" s="343" t="s">
        <v>358</v>
      </c>
      <c r="Z60" s="344">
        <f>IF(T60="AIR",VLOOKUP(W60,'Catalogue Aluminium'!$B$9:$G$93,2,FALSE),IF(T60="GROUND",VLOOKUP(W60,'Catalogue Aluminium'!$B$9:$G$93,3,FALSE),IF(T60="DUCT",VLOOKUP(W60,'Catalogue Aluminium'!$B$9:$G$93,4,FALSE),IF(T60="TRENCH",VLOOKUP(W60,'Catalogue Aluminium'!$B$9:$G$93,2,FALSE)))))</f>
        <v>38</v>
      </c>
      <c r="AA60" s="345">
        <f>VLOOKUP(W60,'Catalogue Aluminium'!$B$9:$G$93,5,FALSE)</f>
        <v>5.9</v>
      </c>
      <c r="AB60" s="345">
        <f>VLOOKUP(W60,'Catalogue Aluminium'!$B$9:$G$93,6,FALSE)</f>
        <v>9.4700000000000006E-2</v>
      </c>
      <c r="AC60" s="343">
        <f>9.5+2.5</f>
        <v>12</v>
      </c>
      <c r="AD60" s="346">
        <f t="shared" si="576"/>
        <v>36.4</v>
      </c>
      <c r="AE60" s="343">
        <v>20</v>
      </c>
      <c r="AF60" s="343">
        <v>8</v>
      </c>
      <c r="AG60" s="343">
        <f t="shared" si="134"/>
        <v>8</v>
      </c>
      <c r="AH60" s="347">
        <f t="shared" si="578"/>
        <v>84.4</v>
      </c>
      <c r="AI60" s="344">
        <f>IF(T60="AIR",'Catalogue Aluminium'!$K$9,IF(T60="TRENCH",'Catalogue Aluminium'!$K$12,"NA"))</f>
        <v>0.89</v>
      </c>
      <c r="AJ60" s="342">
        <f>IF(T60="Air",(IF(U60="1C",'Catalogue Aluminium'!$L$9,'Catalogue Aluminium'!$M$9)),IF(T60="DUCT",(IF($U60="1C",'Catalogue Aluminium'!$L$10,'Catalogue Aluminium'!$M$10)),IF(T60="GROUND",(IF($U60="1C",'Catalogue Aluminium'!$L$11,'Catalogue Aluminium'!$M$11)),IF(T60="TRENCH",(IF($U60="1C",'Catalogue Aluminium'!$L$12,'Catalogue Aluminium'!$M$12))))))</f>
        <v>0.66</v>
      </c>
      <c r="AK60" s="344" t="str">
        <f>IF(T60="Air",'Catalogue Aluminium'!$N$9,IF(T60="GROUND",'Catalogue Aluminium'!$N$10,IF(T60="DUCT",'Catalogue Aluminium'!$N$11,IF(T60="TRENCH",'Catalogue Aluminium'!$N$12,"NA"))))</f>
        <v>NA</v>
      </c>
      <c r="AL60" s="344" t="str">
        <f>IF(T60="Air",(IF(U60="1C",'Catalogue Aluminium'!$O$9,'Catalogue Aluminium'!$P$9)),IF(T60="DUCT",(IF($U60="1C",'Catalogue Aluminium'!$O$10,'Catalogue Aluminium'!$P$10)),IF(T60="GROUND",(IF($U60="1C",'Catalogue Aluminium'!$O$11,'Catalogue Aluminium'!$P$11)),IF(T60="TRENCH",(IF($U60="1C",'Catalogue Aluminium'!$O$12,'Catalogue Aluminium'!$P$12))))))</f>
        <v>NA</v>
      </c>
      <c r="AM60" s="344" t="str">
        <f>IF(T60="AIR","NA",IF(T60="TRENCH","NA",IF(T60="DUCT",IF(U60="1C",VLOOKUP(V60,'Catalogue Aluminium'!$Q$9:$S$28,2,FALSE),VLOOKUP(V60,'Catalogue Aluminium'!$Q$9:$S$28,3)),IF(T60="GROUND",IF(U60="1C",VLOOKUP(V60,'Catalogue Aluminium'!$Q$9:$S$28,2,FALSE),VLOOKUP(V60,'Catalogue Aluminium'!$Q$9:$S$28,3))))))</f>
        <v>NA</v>
      </c>
      <c r="AN60" s="351">
        <f t="shared" si="565"/>
        <v>0.58740000000000003</v>
      </c>
      <c r="AO60" s="350">
        <f t="shared" si="566"/>
        <v>22.321200000000001</v>
      </c>
      <c r="AP60" s="349">
        <f t="shared" si="567"/>
        <v>1</v>
      </c>
      <c r="AQ60" s="350" t="str">
        <f t="shared" si="568"/>
        <v>YES</v>
      </c>
      <c r="AR60" s="351">
        <f t="shared" si="136"/>
        <v>0.27752621012711665</v>
      </c>
      <c r="AS60" s="343" t="str">
        <f t="shared" si="137"/>
        <v>YES</v>
      </c>
      <c r="AT60" s="351">
        <f t="shared" si="569"/>
        <v>0.47227291745302924</v>
      </c>
      <c r="AU60" s="343" t="str">
        <f t="shared" si="570"/>
        <v>YES</v>
      </c>
      <c r="AV60" s="354" t="str">
        <f t="shared" si="571"/>
        <v>1R x 0.6/1kV x 3C x 4 Sqmm</v>
      </c>
      <c r="AW60" s="354" t="str">
        <f t="shared" si="579"/>
        <v>1R x 0.6/1kV x 3C x 4+PE Sqmm</v>
      </c>
      <c r="AX60" s="343">
        <f t="shared" si="572"/>
        <v>84.4</v>
      </c>
      <c r="AY60" s="355"/>
      <c r="AZ60" s="355">
        <f t="shared" si="573"/>
        <v>2</v>
      </c>
      <c r="BA60" s="356" t="str">
        <f t="shared" si="574"/>
        <v>Q4Q5Q6</v>
      </c>
      <c r="BB60" s="501">
        <f>VLOOKUP(W60,'Catalogue Aluminium'!$B$9:$H$93,7,FALSE)</f>
        <v>15</v>
      </c>
      <c r="BC60" s="328">
        <f t="shared" si="575"/>
        <v>15</v>
      </c>
      <c r="BE60" s="336"/>
      <c r="BF60" s="336"/>
      <c r="BG60" s="336"/>
      <c r="BH60" s="336"/>
      <c r="BI60" s="336"/>
      <c r="BJ60" s="336"/>
      <c r="BK60" s="336"/>
      <c r="BL60" s="336"/>
      <c r="BM60" s="336"/>
      <c r="BN60" s="336"/>
      <c r="BO60" s="336"/>
      <c r="BP60" s="336"/>
      <c r="BQ60" s="336"/>
      <c r="BR60" s="336"/>
      <c r="BS60" s="336"/>
      <c r="BT60" s="336"/>
      <c r="BU60" s="336"/>
      <c r="BV60" s="336"/>
      <c r="BW60" s="336"/>
      <c r="BX60" s="336"/>
      <c r="BY60" s="336"/>
      <c r="BZ60" s="336"/>
      <c r="CA60" s="336"/>
      <c r="CB60" s="336"/>
      <c r="CC60" s="336"/>
      <c r="CD60" s="336"/>
      <c r="CE60" s="336"/>
      <c r="CF60" s="336"/>
      <c r="CG60" s="336"/>
      <c r="CH60" s="336"/>
      <c r="CI60" s="336"/>
      <c r="CJ60" s="336"/>
      <c r="CK60" s="336"/>
      <c r="CL60" s="336"/>
      <c r="CM60" s="336"/>
      <c r="CN60" s="336"/>
      <c r="CO60" s="336"/>
      <c r="CP60" s="336"/>
      <c r="CQ60" s="336"/>
      <c r="CR60" s="336"/>
      <c r="CS60" s="336"/>
      <c r="CT60" s="336"/>
      <c r="CU60" s="336"/>
      <c r="CV60" s="336"/>
      <c r="CW60" s="336"/>
      <c r="CX60" s="336"/>
      <c r="CY60" s="336"/>
      <c r="CZ60" s="336"/>
      <c r="DA60" s="336"/>
      <c r="DB60" s="336">
        <v>1</v>
      </c>
      <c r="DC60" s="336">
        <v>1</v>
      </c>
      <c r="DD60" s="336">
        <v>1</v>
      </c>
      <c r="DE60" s="336"/>
      <c r="DF60" s="336"/>
      <c r="DG60" s="336"/>
      <c r="DH60" s="336"/>
      <c r="DI60" s="336"/>
      <c r="DJ60" s="741"/>
      <c r="DK60" s="741"/>
      <c r="DL60" s="741"/>
      <c r="DM60" s="741"/>
      <c r="DN60" s="741"/>
      <c r="DO60" s="741"/>
      <c r="DP60" s="741"/>
      <c r="DQ60" s="336"/>
      <c r="DR60" s="741"/>
      <c r="DS60" s="741"/>
      <c r="DT60" s="741"/>
      <c r="DU60" s="336"/>
      <c r="DW60" s="336">
        <f t="shared" si="80"/>
        <v>0</v>
      </c>
      <c r="DX60" s="336">
        <f t="shared" si="1"/>
        <v>0</v>
      </c>
      <c r="DY60" s="336">
        <f t="shared" si="2"/>
        <v>0</v>
      </c>
      <c r="DZ60" s="336">
        <f t="shared" si="3"/>
        <v>0</v>
      </c>
      <c r="EA60" s="336">
        <f t="shared" si="4"/>
        <v>0</v>
      </c>
      <c r="EB60" s="336">
        <f t="shared" si="5"/>
        <v>0</v>
      </c>
      <c r="EC60" s="336">
        <f t="shared" si="6"/>
        <v>0</v>
      </c>
      <c r="ED60" s="336">
        <f t="shared" si="7"/>
        <v>0</v>
      </c>
      <c r="EE60" s="336">
        <f t="shared" si="8"/>
        <v>0</v>
      </c>
      <c r="EF60" s="336">
        <f t="shared" si="9"/>
        <v>0</v>
      </c>
      <c r="EG60" s="336">
        <f t="shared" si="10"/>
        <v>0</v>
      </c>
      <c r="EH60" s="336">
        <f t="shared" si="11"/>
        <v>0</v>
      </c>
      <c r="EI60" s="336">
        <f t="shared" si="12"/>
        <v>0</v>
      </c>
      <c r="EJ60" s="336">
        <f t="shared" si="13"/>
        <v>0</v>
      </c>
      <c r="EK60" s="336">
        <f t="shared" si="14"/>
        <v>0</v>
      </c>
      <c r="EL60" s="336">
        <f t="shared" si="15"/>
        <v>0</v>
      </c>
      <c r="EM60" s="336">
        <f t="shared" si="16"/>
        <v>0</v>
      </c>
      <c r="EN60" s="336">
        <f t="shared" si="17"/>
        <v>0</v>
      </c>
      <c r="EO60" s="336">
        <f t="shared" si="18"/>
        <v>0</v>
      </c>
      <c r="EP60" s="336">
        <f t="shared" si="19"/>
        <v>0</v>
      </c>
      <c r="EQ60" s="336">
        <f t="shared" si="20"/>
        <v>0</v>
      </c>
      <c r="ER60" s="336">
        <f t="shared" si="21"/>
        <v>0</v>
      </c>
      <c r="ES60" s="336">
        <f t="shared" si="22"/>
        <v>0</v>
      </c>
      <c r="ET60" s="336">
        <f t="shared" si="22"/>
        <v>0</v>
      </c>
      <c r="EU60" s="336">
        <f t="shared" si="23"/>
        <v>0</v>
      </c>
      <c r="EV60" s="336">
        <f t="shared" si="24"/>
        <v>0</v>
      </c>
      <c r="EW60" s="336">
        <f t="shared" si="25"/>
        <v>0</v>
      </c>
      <c r="EX60" s="336">
        <f t="shared" si="26"/>
        <v>0</v>
      </c>
      <c r="EY60" s="336">
        <f t="shared" si="27"/>
        <v>0</v>
      </c>
      <c r="EZ60" s="336">
        <f t="shared" si="28"/>
        <v>0</v>
      </c>
      <c r="FA60" s="336">
        <f t="shared" si="29"/>
        <v>0</v>
      </c>
      <c r="FB60" s="336">
        <f t="shared" si="30"/>
        <v>0</v>
      </c>
      <c r="FC60" s="336">
        <f t="shared" si="31"/>
        <v>0</v>
      </c>
      <c r="FD60" s="336">
        <f t="shared" si="32"/>
        <v>0</v>
      </c>
      <c r="FE60" s="336">
        <f t="shared" si="33"/>
        <v>0</v>
      </c>
      <c r="FF60" s="336">
        <f t="shared" si="34"/>
        <v>0</v>
      </c>
      <c r="FG60" s="336">
        <f t="shared" si="35"/>
        <v>0</v>
      </c>
      <c r="FH60" s="336">
        <f t="shared" si="36"/>
        <v>0</v>
      </c>
      <c r="FI60" s="336">
        <f t="shared" si="37"/>
        <v>0</v>
      </c>
      <c r="FJ60" s="336">
        <f t="shared" si="38"/>
        <v>0</v>
      </c>
      <c r="FK60" s="336">
        <f t="shared" si="39"/>
        <v>0</v>
      </c>
      <c r="FL60" s="336">
        <f t="shared" si="40"/>
        <v>0</v>
      </c>
      <c r="FM60" s="336">
        <f t="shared" si="41"/>
        <v>0</v>
      </c>
      <c r="FN60" s="336">
        <f t="shared" si="42"/>
        <v>0</v>
      </c>
      <c r="FO60" s="336">
        <f t="shared" si="43"/>
        <v>0</v>
      </c>
      <c r="FP60" s="336">
        <f t="shared" si="44"/>
        <v>0</v>
      </c>
      <c r="FQ60" s="336">
        <f t="shared" si="45"/>
        <v>0</v>
      </c>
      <c r="FR60" s="336">
        <f t="shared" si="46"/>
        <v>0</v>
      </c>
      <c r="FS60" s="336">
        <f t="shared" si="47"/>
        <v>0</v>
      </c>
      <c r="FT60" s="336">
        <f t="shared" si="48"/>
        <v>15</v>
      </c>
      <c r="FU60" s="336">
        <f t="shared" si="553"/>
        <v>15</v>
      </c>
      <c r="FV60" s="336">
        <f t="shared" si="554"/>
        <v>15</v>
      </c>
      <c r="FW60" s="336">
        <f t="shared" si="555"/>
        <v>0</v>
      </c>
      <c r="FX60" s="336">
        <f t="shared" si="556"/>
        <v>0</v>
      </c>
      <c r="FY60" s="336">
        <f t="shared" si="53"/>
        <v>0</v>
      </c>
      <c r="FZ60" s="336">
        <f t="shared" si="54"/>
        <v>0</v>
      </c>
      <c r="GA60" s="336">
        <f t="shared" si="55"/>
        <v>0</v>
      </c>
      <c r="GB60" s="336">
        <f t="shared" si="56"/>
        <v>0</v>
      </c>
      <c r="GC60" s="336">
        <f t="shared" si="57"/>
        <v>0</v>
      </c>
      <c r="GD60" s="336">
        <f t="shared" si="58"/>
        <v>0</v>
      </c>
      <c r="GE60" s="336">
        <f t="shared" si="59"/>
        <v>0</v>
      </c>
      <c r="GF60" s="336">
        <f t="shared" si="60"/>
        <v>0</v>
      </c>
      <c r="GG60" s="336">
        <f t="shared" si="61"/>
        <v>0</v>
      </c>
      <c r="GH60" s="336">
        <f t="shared" si="62"/>
        <v>0</v>
      </c>
      <c r="GI60" s="336">
        <f t="shared" si="63"/>
        <v>0</v>
      </c>
      <c r="GJ60" s="336">
        <f t="shared" si="64"/>
        <v>0</v>
      </c>
      <c r="GK60" s="336">
        <f t="shared" si="65"/>
        <v>0</v>
      </c>
      <c r="GL60" s="336">
        <f t="shared" si="557"/>
        <v>0</v>
      </c>
      <c r="GM60" s="336">
        <f t="shared" si="66"/>
        <v>0</v>
      </c>
    </row>
    <row r="61" spans="1:195" s="869" customFormat="1" ht="20.100000000000001" customHeight="1">
      <c r="A61" s="406">
        <f t="shared" si="577"/>
        <v>50</v>
      </c>
      <c r="B61" s="406" t="s">
        <v>1731</v>
      </c>
      <c r="C61" s="787" t="s">
        <v>1089</v>
      </c>
      <c r="D61" s="787" t="s">
        <v>1719</v>
      </c>
      <c r="E61" s="788" t="s">
        <v>387</v>
      </c>
      <c r="F61" s="406" t="s">
        <v>29</v>
      </c>
      <c r="G61" s="406" t="s">
        <v>350</v>
      </c>
      <c r="H61" s="583">
        <v>0.37</v>
      </c>
      <c r="I61" s="406" t="s">
        <v>330</v>
      </c>
      <c r="J61" s="406" t="s">
        <v>331</v>
      </c>
      <c r="K61" s="585">
        <v>400</v>
      </c>
      <c r="L61" s="409">
        <v>0.75</v>
      </c>
      <c r="M61" s="583">
        <v>0.85299999999999998</v>
      </c>
      <c r="N61" s="407">
        <f t="shared" ref="N61:N62" si="580">IF(I61="kVA",IF(J61="3Ph",(H61*1000/(1.732*M61*K61)),(H61*1000/(M61*K61))),IF(I61="kW",IF(J61="3Ph",(H61*1000/(1.732*M61*K61*L61)),(H61*1000/(M61*K61*L61)))))</f>
        <v>0.83480213384450297</v>
      </c>
      <c r="O61" s="407">
        <f t="shared" ref="O61:O62" si="581">IF(G61="MOTOR",(6*N61),IF(G61="VFD",(1*N61),0))</f>
        <v>5.008812803067018</v>
      </c>
      <c r="P61" s="409">
        <f t="shared" ref="P61:P62" si="582">IF(G61="MOTOR",0.2,"0.00")</f>
        <v>0.2</v>
      </c>
      <c r="Q61" s="583">
        <v>65</v>
      </c>
      <c r="R61" s="583">
        <v>0</v>
      </c>
      <c r="S61" s="583">
        <f t="shared" ref="S61:S62" si="583">(Q61*1000*SQRT(R61)/143)</f>
        <v>0</v>
      </c>
      <c r="T61" s="409" t="s">
        <v>332</v>
      </c>
      <c r="U61" s="583" t="s">
        <v>333</v>
      </c>
      <c r="V61" s="409">
        <v>4</v>
      </c>
      <c r="W61" s="409" t="str">
        <f t="shared" ref="W61:W62" si="584">CONCATENATE(U61," X ",V61)</f>
        <v>3C X 4</v>
      </c>
      <c r="X61" s="409" t="str">
        <f t="shared" ref="X61:X62" si="585">(IF(J61="1Ph",W61,IF(J61="3Ph",(IF(G61="MOTOR",(CONCATENATE(W61,"+PE")),W61)))))</f>
        <v>3C X 4+PE</v>
      </c>
      <c r="Y61" s="409" t="s">
        <v>358</v>
      </c>
      <c r="Z61" s="408">
        <f>IF(T61="AIR",VLOOKUP(W61,'Catalogue Aluminium'!$B$9:$G$93,2,FALSE),IF(T61="GROUND",VLOOKUP(W61,'Catalogue Aluminium'!$B$9:$G$93,3,FALSE),IF(T61="DUCT",VLOOKUP(W61,'Catalogue Aluminium'!$B$9:$G$93,4,FALSE),IF(T61="TRENCH",VLOOKUP(W61,'Catalogue Aluminium'!$B$9:$G$93,2,FALSE)))))</f>
        <v>38</v>
      </c>
      <c r="AA61" s="410">
        <f>VLOOKUP(W61,'Catalogue Aluminium'!$B$9:$G$93,5,FALSE)</f>
        <v>5.9</v>
      </c>
      <c r="AB61" s="410">
        <f>VLOOKUP(W61,'Catalogue Aluminium'!$B$9:$G$93,6,FALSE)</f>
        <v>9.4700000000000006E-2</v>
      </c>
      <c r="AC61" s="409">
        <f t="shared" ref="AC61:AC72" si="586">9.5+2.5</f>
        <v>12</v>
      </c>
      <c r="AD61" s="896">
        <f t="shared" si="576"/>
        <v>36.4</v>
      </c>
      <c r="AE61" s="409">
        <v>20</v>
      </c>
      <c r="AF61" s="409">
        <v>8</v>
      </c>
      <c r="AG61" s="409">
        <f t="shared" ref="AG61:AG62" si="587">ROUNDUP((SUM(AC61:AF61)*0.1),0)</f>
        <v>8</v>
      </c>
      <c r="AH61" s="865">
        <f t="shared" ref="AH61:AH62" si="588">SUM(AC61:AG61)</f>
        <v>84.4</v>
      </c>
      <c r="AI61" s="408">
        <f>IF(T61="AIR",'Catalogue Aluminium'!$K$9,IF(T61="TRENCH",'Catalogue Aluminium'!$K$12,"NA"))</f>
        <v>0.89</v>
      </c>
      <c r="AJ61" s="583">
        <f>IF(T61="Air",(IF(U61="1C",'Catalogue Aluminium'!$L$9,'Catalogue Aluminium'!$M$9)),IF(T61="DUCT",(IF($U61="1C",'Catalogue Aluminium'!$L$10,'Catalogue Aluminium'!$M$10)),IF(T61="GROUND",(IF($U61="1C",'Catalogue Aluminium'!$L$11,'Catalogue Aluminium'!$M$11)),IF(T61="TRENCH",(IF($U61="1C",'Catalogue Aluminium'!$L$12,'Catalogue Aluminium'!$M$12))))))</f>
        <v>0.66</v>
      </c>
      <c r="AK61" s="585" t="str">
        <f>IF(T61="Air",'Catalogue Aluminium'!$N$9,IF(T61="GROUND",'Catalogue Aluminium'!$N$10,IF(T61="DUCT",'Catalogue Aluminium'!$N$11,IF(T61="TRENCH",'Catalogue Aluminium'!$N$12,"NA"))))</f>
        <v>NA</v>
      </c>
      <c r="AL61" s="583" t="str">
        <f>IF(T61="Air",(IF(U61="1C",'Catalogue Aluminium'!$O$9,'Catalogue Aluminium'!$P$9)),IF(T61="DUCT",(IF($U61="1C",'Catalogue Aluminium'!$O$10,'Catalogue Aluminium'!$P$10)),IF(T61="GROUND",(IF($U61="1C",'Catalogue Aluminium'!$O$11,'Catalogue Aluminium'!$P$11)),IF(T61="TRENCH",(IF($U61="1C",'Catalogue Aluminium'!$O$12,'Catalogue Aluminium'!$P$12))))))</f>
        <v>NA</v>
      </c>
      <c r="AM61" s="584" t="str">
        <f>IF(T61="AIR","NA",IF(T61="TRENCH","NA",IF(T61="DUCT",IF(U61="1C",VLOOKUP(V61,'Catalogue Aluminium'!$Q$9:$S$28,2,FALSE),VLOOKUP(V61,'Catalogue Aluminium'!$Q$9:$S$28,3)),IF(T61="GROUND",IF(U61="1C",VLOOKUP(V61,'Catalogue Aluminium'!$Q$9:$S$28,2,FALSE),VLOOKUP(V61,'Catalogue Aluminium'!$Q$9:$S$28,3))))))</f>
        <v>NA</v>
      </c>
      <c r="AN61" s="409">
        <f t="shared" ref="AN61:AN62" si="589">IF(T61="AIR",AI61*AJ61,IF(T61="TRENCH",AI61*AJ61,IF(T61="DUCT",AJ61*AK61*AL61*AM61,IF(T61="GROUND",AJ61*AK61*AL61*AM61))))</f>
        <v>0.58740000000000003</v>
      </c>
      <c r="AO61" s="584">
        <f t="shared" ref="AO61:AO62" si="590">Z61*AN61</f>
        <v>22.321200000000001</v>
      </c>
      <c r="AP61" s="409">
        <f t="shared" ref="AP61:AP62" si="591">CEILING(((N61)/AO61),1)</f>
        <v>1</v>
      </c>
      <c r="AQ61" s="586" t="str">
        <f t="shared" ref="AQ61:AQ62" si="592">IF(AO61*AP61&gt;=N61,"YES","NO")</f>
        <v>YES</v>
      </c>
      <c r="AR61" s="586">
        <f t="shared" ref="AR61:AR62" si="593">SQRT(3)*AH61*N61*((AA61*L61)+(AB61*SIN(ACOS(L61))))*100/(AP61*K61*1000)</f>
        <v>0.13691293032937757</v>
      </c>
      <c r="AS61" s="409" t="str">
        <f t="shared" ref="AS61:AS62" si="594">IF(G61="INCOMER",(IF(AR61&lt;=2,"YES","NO")),IF(G61="POWER",(IF(AR61&lt;=2.5,"YES","NO")),IF(G61="MOTOR",(IF(AR61&lt;=3,"YES","NO")))))</f>
        <v>YES</v>
      </c>
      <c r="AT61" s="866">
        <f t="shared" ref="AT61:AT62" si="595">IF(G61="MOTOR",(SQRT(3)*AH61*O61*((AA61*P61)+(AB61*SIN(ACOS(P61))))*100/(AP61*K61*1000)),"NA")</f>
        <v>0.23298797261016113</v>
      </c>
      <c r="AU61" s="866" t="str">
        <f t="shared" ref="AU61:AU62" si="596">IF(G61="MOTOR",IF(AT61&lt;=15,"YES","NO"),"NA")</f>
        <v>YES</v>
      </c>
      <c r="AV61" s="867" t="str">
        <f t="shared" ref="AV61:AV62" si="597">IF(U61="1C",CONCATENATE(AP61,"R x ",Y61,"kV x ",U61," x ",V61," Sqmm/Phase"),CONCATENATE(AP61,"R x ",0.6,"/1kV x ",U61," x ",V61," Sqmm"))</f>
        <v>1R x 0.6/1kV x 3C x 4 Sqmm</v>
      </c>
      <c r="AW61" s="868" t="str">
        <f t="shared" ref="AW61:AW62" si="598">IF(U61="1C",CONCATENATE(AP61,"R x ",Y61,"kV x ",U61," x ",V61," Sqmm/Phase"),CONCATENATE(AP61,"R x ",0.6,"/1kV x ",U61," x ",V61,(IF(G61="MOTOR","+PE",""))," Sqmm"))</f>
        <v>1R x 0.6/1kV x 3C x 4+PE Sqmm</v>
      </c>
      <c r="AX61" s="789">
        <f t="shared" ref="AX61:AX62" si="599">(IF(K61=400,(IF(U61="1C",(4*AH61*AP61),(AH61*AP61))),IF(K61=230,(AH61*AP61))))</f>
        <v>84.4</v>
      </c>
      <c r="AY61" s="866"/>
      <c r="AZ61" s="866">
        <f t="shared" ref="AZ61:AZ62" si="600">IF(U61="1C",(3*AP61*2),(AP61*2))</f>
        <v>2</v>
      </c>
      <c r="BA61" s="867" t="str">
        <f t="shared" ref="BA61:BA62" si="601">CONCATENATE(IF(BE61=1,BE$4,""),IF(BF61=1,BF$4,""),IF(BG61=1,BG$4,""),IF(BH61=1,BH$4,""),IF(BI61=1,BI$4,""),IF(BJ61=1,BJ$4,""),IF(BK61=1,BK$4,""),IF(BL61=1,BL$4,""),IF(BM61=1,BM$4,""),IF(BN61=1,BN$4,""),IF(BO61=1,BO$4,""),IF(BP61=1,BP$4,""),IF(BQ61=1,BQ$4,""),IF(BR61=1,BR$4,""),IF(BS61=1,BS$4,""),IF(BT61=1,BT$4,""),IF(BU61=1,BU$4,""),IF(BV61=1,BV$4,""),IF(BW61=1,BW$4,""),IF(BX61=1,BX$4,""),IF(BY61=1,BY$4,""),IF(BZ61=1,BZ$4,""),IF(CA61=1,CA$4,""),IF(CB61=1,CB$4,""),IF(CC61=1,CC$4,""),IF(CD61=1,CD$4,""),IF(CE61=1,CE$4,""),IF(CF61=1,CF$4,""),IF(CG61=1,CG$4,""),IF(CH61=1,CH$4,""),IF(CI61=1,CI$4,""),IF(CJ61=1,CJ$4,""),IF(CK61=1,CK$4,""),IF(CL61=1,CL$4,""),IF(CM61=1,CM$4,""),IF(CN61=1,CN$4,""),IF(CO61=1,CO$4,""),IF(CP61=1,CP$4,""),IF(CQ61=1,CQ$4,""),IF(CR61=1,CR$4,""),IF(CS61=1,CS$4,""),IF(CT61=1,CT$4,""),IF(CU61=1,CU$4,""),IF(CV61=1,CV$4,""),IF(CW61=1,CW$4,""),IF(CX61=1,CX$4,""),IF(CY61=1,CY$4,""),IF(CZ61=1,CZ$4,""),IF(DA61=1,DA$4,""),IF(DB61=1,DB$4,""),IF(DC61=1,DC$4,""),IF(DD61=1,DD$4,""),IF(DE61=1,DE$4,""),IF(DF61=1,DF$4,""),IF(DG61=1,DG$4,""),IF(DH61=1,DH$4,""),IF(DI61=1,DI$4,""),IF(DJ61=1,DJ$4,""),IF(DK61=1,DK$4,""),IF(DL61=1,DL$4,""),IF(DM61=1,DM$4,""),IF(DN61=1,DN$4,""),IF(DO61=1,DO$4,""),IF(DP61=1,DP$4,""),IF(DQ61=1,DQ$4,""),IF(DR61=1,DR$4,""),IF(DS61=1,DS$4,""),IF(DT61=1,DT$4,""),IF(DU61=1,DU$4,""))</f>
        <v/>
      </c>
      <c r="BB61" s="868">
        <f>VLOOKUP(W61,'Catalogue Aluminium'!$B$9:$H$93,7,FALSE)</f>
        <v>15</v>
      </c>
      <c r="BC61" s="789">
        <f t="shared" ref="BC61:BC62" si="602">AP61*BB61</f>
        <v>15</v>
      </c>
      <c r="BE61" s="587"/>
      <c r="BF61" s="587"/>
      <c r="BG61" s="587"/>
      <c r="BH61" s="587"/>
      <c r="BI61" s="587"/>
      <c r="BJ61" s="587"/>
      <c r="BK61" s="587"/>
      <c r="BL61" s="587"/>
      <c r="BM61" s="587"/>
      <c r="BN61" s="587"/>
      <c r="BO61" s="587"/>
      <c r="BP61" s="587"/>
      <c r="BQ61" s="587"/>
      <c r="BR61" s="587"/>
      <c r="BS61" s="587"/>
      <c r="BT61" s="587"/>
      <c r="BU61" s="587"/>
      <c r="BV61" s="587"/>
      <c r="BW61" s="587"/>
      <c r="BX61" s="587"/>
      <c r="BY61" s="587"/>
      <c r="BZ61" s="587"/>
      <c r="CA61" s="587"/>
      <c r="CB61" s="587"/>
      <c r="CC61" s="587"/>
      <c r="CD61" s="587"/>
      <c r="CE61" s="587"/>
      <c r="CF61" s="587"/>
      <c r="CG61" s="587"/>
      <c r="CH61" s="587"/>
      <c r="CI61" s="587"/>
      <c r="CJ61" s="587"/>
      <c r="CK61" s="587"/>
      <c r="CL61" s="587"/>
      <c r="CM61" s="587"/>
      <c r="CN61" s="587"/>
      <c r="CO61" s="587"/>
      <c r="CP61" s="587"/>
      <c r="CQ61" s="587"/>
      <c r="CR61" s="587"/>
      <c r="CS61" s="587"/>
      <c r="CT61" s="587"/>
      <c r="CU61" s="587"/>
      <c r="CV61" s="587"/>
      <c r="CW61" s="587"/>
      <c r="CX61" s="587"/>
      <c r="CY61" s="587"/>
      <c r="CZ61" s="587"/>
      <c r="DA61" s="587"/>
      <c r="DB61" s="587"/>
      <c r="DC61" s="587"/>
      <c r="DD61" s="587"/>
      <c r="DE61" s="587"/>
      <c r="DF61" s="587"/>
      <c r="DG61" s="587"/>
      <c r="DH61" s="587"/>
      <c r="DI61" s="587"/>
      <c r="DJ61" s="906"/>
      <c r="DK61" s="906"/>
      <c r="DL61" s="906"/>
      <c r="DM61" s="906"/>
      <c r="DN61" s="906"/>
      <c r="DO61" s="906"/>
      <c r="DP61" s="906"/>
      <c r="DQ61" s="587"/>
      <c r="DR61" s="906"/>
      <c r="DS61" s="906"/>
      <c r="DT61" s="906"/>
      <c r="DU61" s="587"/>
      <c r="DW61" s="587"/>
      <c r="DX61" s="587"/>
      <c r="DY61" s="587"/>
      <c r="DZ61" s="587"/>
      <c r="EA61" s="587"/>
      <c r="EB61" s="587"/>
      <c r="EC61" s="587"/>
      <c r="ED61" s="587"/>
      <c r="EE61" s="587"/>
      <c r="EF61" s="587"/>
      <c r="EG61" s="587"/>
      <c r="EH61" s="587"/>
      <c r="EI61" s="587"/>
      <c r="EJ61" s="587"/>
      <c r="EK61" s="587"/>
      <c r="EL61" s="587"/>
      <c r="EM61" s="587"/>
      <c r="EN61" s="587"/>
      <c r="EO61" s="587"/>
      <c r="EP61" s="587"/>
      <c r="EQ61" s="587"/>
      <c r="ER61" s="587"/>
      <c r="ES61" s="587"/>
      <c r="ET61" s="587"/>
      <c r="EU61" s="587"/>
      <c r="EV61" s="587"/>
      <c r="EW61" s="587"/>
      <c r="EX61" s="587"/>
      <c r="EY61" s="587"/>
      <c r="EZ61" s="587"/>
      <c r="FA61" s="587"/>
      <c r="FB61" s="587"/>
      <c r="FC61" s="587"/>
      <c r="FD61" s="587"/>
      <c r="FE61" s="587"/>
      <c r="FF61" s="587"/>
      <c r="FG61" s="587"/>
      <c r="FH61" s="587"/>
      <c r="FI61" s="587"/>
      <c r="FJ61" s="587"/>
      <c r="FK61" s="587"/>
      <c r="FL61" s="587"/>
      <c r="FM61" s="587"/>
      <c r="FN61" s="587"/>
      <c r="FO61" s="587"/>
      <c r="FP61" s="587"/>
      <c r="FQ61" s="587"/>
      <c r="FR61" s="587"/>
      <c r="FS61" s="587"/>
      <c r="FT61" s="587"/>
      <c r="FU61" s="587"/>
      <c r="FV61" s="587"/>
      <c r="FW61" s="587"/>
      <c r="FX61" s="587"/>
      <c r="FY61" s="587"/>
      <c r="FZ61" s="587"/>
      <c r="GA61" s="587"/>
      <c r="GB61" s="587"/>
      <c r="GC61" s="587"/>
      <c r="GD61" s="587"/>
      <c r="GE61" s="587"/>
      <c r="GF61" s="587"/>
      <c r="GG61" s="587"/>
      <c r="GH61" s="587"/>
      <c r="GI61" s="587"/>
      <c r="GJ61" s="587"/>
      <c r="GK61" s="587"/>
      <c r="GL61" s="587"/>
      <c r="GM61" s="587"/>
    </row>
    <row r="62" spans="1:195" s="869" customFormat="1" ht="20.100000000000001" customHeight="1">
      <c r="A62" s="406">
        <f t="shared" si="577"/>
        <v>51</v>
      </c>
      <c r="B62" s="406" t="s">
        <v>1732</v>
      </c>
      <c r="C62" s="787" t="s">
        <v>1089</v>
      </c>
      <c r="D62" s="787" t="s">
        <v>1720</v>
      </c>
      <c r="E62" s="788" t="s">
        <v>387</v>
      </c>
      <c r="F62" s="406" t="s">
        <v>29</v>
      </c>
      <c r="G62" s="406" t="s">
        <v>350</v>
      </c>
      <c r="H62" s="583">
        <v>0.37</v>
      </c>
      <c r="I62" s="406" t="s">
        <v>330</v>
      </c>
      <c r="J62" s="406" t="s">
        <v>331</v>
      </c>
      <c r="K62" s="585">
        <v>400</v>
      </c>
      <c r="L62" s="409">
        <v>0.75</v>
      </c>
      <c r="M62" s="583">
        <v>0.85299999999999998</v>
      </c>
      <c r="N62" s="407">
        <f t="shared" si="580"/>
        <v>0.83480213384450297</v>
      </c>
      <c r="O62" s="407">
        <f t="shared" si="581"/>
        <v>5.008812803067018</v>
      </c>
      <c r="P62" s="409">
        <f t="shared" si="582"/>
        <v>0.2</v>
      </c>
      <c r="Q62" s="583">
        <v>65</v>
      </c>
      <c r="R62" s="583">
        <v>0</v>
      </c>
      <c r="S62" s="583">
        <f t="shared" si="583"/>
        <v>0</v>
      </c>
      <c r="T62" s="409" t="s">
        <v>332</v>
      </c>
      <c r="U62" s="583" t="s">
        <v>333</v>
      </c>
      <c r="V62" s="409">
        <v>4</v>
      </c>
      <c r="W62" s="409" t="str">
        <f t="shared" si="584"/>
        <v>3C X 4</v>
      </c>
      <c r="X62" s="409" t="str">
        <f t="shared" si="585"/>
        <v>3C X 4+PE</v>
      </c>
      <c r="Y62" s="409" t="s">
        <v>358</v>
      </c>
      <c r="Z62" s="408">
        <f>IF(T62="AIR",VLOOKUP(W62,'Catalogue Aluminium'!$B$9:$G$93,2,FALSE),IF(T62="GROUND",VLOOKUP(W62,'Catalogue Aluminium'!$B$9:$G$93,3,FALSE),IF(T62="DUCT",VLOOKUP(W62,'Catalogue Aluminium'!$B$9:$G$93,4,FALSE),IF(T62="TRENCH",VLOOKUP(W62,'Catalogue Aluminium'!$B$9:$G$93,2,FALSE)))))</f>
        <v>38</v>
      </c>
      <c r="AA62" s="410">
        <f>VLOOKUP(W62,'Catalogue Aluminium'!$B$9:$G$93,5,FALSE)</f>
        <v>5.9</v>
      </c>
      <c r="AB62" s="410">
        <f>VLOOKUP(W62,'Catalogue Aluminium'!$B$9:$G$93,6,FALSE)</f>
        <v>9.4700000000000006E-2</v>
      </c>
      <c r="AC62" s="409">
        <f t="shared" si="586"/>
        <v>12</v>
      </c>
      <c r="AD62" s="896">
        <f t="shared" si="576"/>
        <v>36.4</v>
      </c>
      <c r="AE62" s="409">
        <v>20</v>
      </c>
      <c r="AF62" s="409">
        <v>8</v>
      </c>
      <c r="AG62" s="409">
        <f t="shared" si="587"/>
        <v>8</v>
      </c>
      <c r="AH62" s="865">
        <f t="shared" si="588"/>
        <v>84.4</v>
      </c>
      <c r="AI62" s="408">
        <f>IF(T62="AIR",'Catalogue Aluminium'!$K$9,IF(T62="TRENCH",'Catalogue Aluminium'!$K$12,"NA"))</f>
        <v>0.89</v>
      </c>
      <c r="AJ62" s="583">
        <f>IF(T62="Air",(IF(U62="1C",'Catalogue Aluminium'!$L$9,'Catalogue Aluminium'!$M$9)),IF(T62="DUCT",(IF($U62="1C",'Catalogue Aluminium'!$L$10,'Catalogue Aluminium'!$M$10)),IF(T62="GROUND",(IF($U62="1C",'Catalogue Aluminium'!$L$11,'Catalogue Aluminium'!$M$11)),IF(T62="TRENCH",(IF($U62="1C",'Catalogue Aluminium'!$L$12,'Catalogue Aluminium'!$M$12))))))</f>
        <v>0.66</v>
      </c>
      <c r="AK62" s="585" t="str">
        <f>IF(T62="Air",'Catalogue Aluminium'!$N$9,IF(T62="GROUND",'Catalogue Aluminium'!$N$10,IF(T62="DUCT",'Catalogue Aluminium'!$N$11,IF(T62="TRENCH",'Catalogue Aluminium'!$N$12,"NA"))))</f>
        <v>NA</v>
      </c>
      <c r="AL62" s="583" t="str">
        <f>IF(T62="Air",(IF(U62="1C",'Catalogue Aluminium'!$O$9,'Catalogue Aluminium'!$P$9)),IF(T62="DUCT",(IF($U62="1C",'Catalogue Aluminium'!$O$10,'Catalogue Aluminium'!$P$10)),IF(T62="GROUND",(IF($U62="1C",'Catalogue Aluminium'!$O$11,'Catalogue Aluminium'!$P$11)),IF(T62="TRENCH",(IF($U62="1C",'Catalogue Aluminium'!$O$12,'Catalogue Aluminium'!$P$12))))))</f>
        <v>NA</v>
      </c>
      <c r="AM62" s="584" t="str">
        <f>IF(T62="AIR","NA",IF(T62="TRENCH","NA",IF(T62="DUCT",IF(U62="1C",VLOOKUP(V62,'Catalogue Aluminium'!$Q$9:$S$28,2,FALSE),VLOOKUP(V62,'Catalogue Aluminium'!$Q$9:$S$28,3)),IF(T62="GROUND",IF(U62="1C",VLOOKUP(V62,'Catalogue Aluminium'!$Q$9:$S$28,2,FALSE),VLOOKUP(V62,'Catalogue Aluminium'!$Q$9:$S$28,3))))))</f>
        <v>NA</v>
      </c>
      <c r="AN62" s="409">
        <f t="shared" si="589"/>
        <v>0.58740000000000003</v>
      </c>
      <c r="AO62" s="584">
        <f t="shared" si="590"/>
        <v>22.321200000000001</v>
      </c>
      <c r="AP62" s="409">
        <f t="shared" si="591"/>
        <v>1</v>
      </c>
      <c r="AQ62" s="586" t="str">
        <f t="shared" si="592"/>
        <v>YES</v>
      </c>
      <c r="AR62" s="586">
        <f t="shared" si="593"/>
        <v>0.13691293032937757</v>
      </c>
      <c r="AS62" s="409" t="str">
        <f t="shared" si="594"/>
        <v>YES</v>
      </c>
      <c r="AT62" s="866">
        <f t="shared" si="595"/>
        <v>0.23298797261016113</v>
      </c>
      <c r="AU62" s="866" t="str">
        <f t="shared" si="596"/>
        <v>YES</v>
      </c>
      <c r="AV62" s="867" t="str">
        <f t="shared" si="597"/>
        <v>1R x 0.6/1kV x 3C x 4 Sqmm</v>
      </c>
      <c r="AW62" s="868" t="str">
        <f t="shared" si="598"/>
        <v>1R x 0.6/1kV x 3C x 4+PE Sqmm</v>
      </c>
      <c r="AX62" s="789">
        <f t="shared" si="599"/>
        <v>84.4</v>
      </c>
      <c r="AY62" s="866"/>
      <c r="AZ62" s="866">
        <f t="shared" si="600"/>
        <v>2</v>
      </c>
      <c r="BA62" s="867" t="str">
        <f t="shared" si="601"/>
        <v/>
      </c>
      <c r="BB62" s="868">
        <f>VLOOKUP(W62,'Catalogue Aluminium'!$B$9:$H$93,7,FALSE)</f>
        <v>15</v>
      </c>
      <c r="BC62" s="789">
        <f t="shared" si="602"/>
        <v>15</v>
      </c>
      <c r="BE62" s="587"/>
      <c r="BF62" s="587"/>
      <c r="BG62" s="587"/>
      <c r="BH62" s="587"/>
      <c r="BI62" s="587"/>
      <c r="BJ62" s="587"/>
      <c r="BK62" s="587"/>
      <c r="BL62" s="587"/>
      <c r="BM62" s="587"/>
      <c r="BN62" s="587"/>
      <c r="BO62" s="587"/>
      <c r="BP62" s="587"/>
      <c r="BQ62" s="587"/>
      <c r="BR62" s="587"/>
      <c r="BS62" s="587"/>
      <c r="BT62" s="587"/>
      <c r="BU62" s="587"/>
      <c r="BV62" s="587"/>
      <c r="BW62" s="587"/>
      <c r="BX62" s="587"/>
      <c r="BY62" s="587"/>
      <c r="BZ62" s="587"/>
      <c r="CA62" s="587"/>
      <c r="CB62" s="587"/>
      <c r="CC62" s="587"/>
      <c r="CD62" s="587"/>
      <c r="CE62" s="587"/>
      <c r="CF62" s="587"/>
      <c r="CG62" s="587"/>
      <c r="CH62" s="587"/>
      <c r="CI62" s="587"/>
      <c r="CJ62" s="587"/>
      <c r="CK62" s="587"/>
      <c r="CL62" s="587"/>
      <c r="CM62" s="587"/>
      <c r="CN62" s="587"/>
      <c r="CO62" s="587"/>
      <c r="CP62" s="587"/>
      <c r="CQ62" s="587"/>
      <c r="CR62" s="587"/>
      <c r="CS62" s="587"/>
      <c r="CT62" s="587"/>
      <c r="CU62" s="587"/>
      <c r="CV62" s="587"/>
      <c r="CW62" s="587"/>
      <c r="CX62" s="587"/>
      <c r="CY62" s="587"/>
      <c r="CZ62" s="587"/>
      <c r="DA62" s="587"/>
      <c r="DB62" s="587"/>
      <c r="DC62" s="587"/>
      <c r="DD62" s="587"/>
      <c r="DE62" s="587"/>
      <c r="DF62" s="587"/>
      <c r="DG62" s="587"/>
      <c r="DH62" s="587"/>
      <c r="DI62" s="587"/>
      <c r="DJ62" s="906"/>
      <c r="DK62" s="906"/>
      <c r="DL62" s="906"/>
      <c r="DM62" s="906"/>
      <c r="DN62" s="906"/>
      <c r="DO62" s="906"/>
      <c r="DP62" s="906"/>
      <c r="DQ62" s="587"/>
      <c r="DR62" s="906"/>
      <c r="DS62" s="906"/>
      <c r="DT62" s="906"/>
      <c r="DU62" s="587"/>
      <c r="DW62" s="587"/>
      <c r="DX62" s="587"/>
      <c r="DY62" s="587"/>
      <c r="DZ62" s="587"/>
      <c r="EA62" s="587"/>
      <c r="EB62" s="587"/>
      <c r="EC62" s="587"/>
      <c r="ED62" s="587"/>
      <c r="EE62" s="587"/>
      <c r="EF62" s="587"/>
      <c r="EG62" s="587"/>
      <c r="EH62" s="587"/>
      <c r="EI62" s="587"/>
      <c r="EJ62" s="587"/>
      <c r="EK62" s="587"/>
      <c r="EL62" s="587"/>
      <c r="EM62" s="587"/>
      <c r="EN62" s="587"/>
      <c r="EO62" s="587"/>
      <c r="EP62" s="587"/>
      <c r="EQ62" s="587"/>
      <c r="ER62" s="587"/>
      <c r="ES62" s="587"/>
      <c r="ET62" s="587"/>
      <c r="EU62" s="587"/>
      <c r="EV62" s="587"/>
      <c r="EW62" s="587"/>
      <c r="EX62" s="587"/>
      <c r="EY62" s="587"/>
      <c r="EZ62" s="587"/>
      <c r="FA62" s="587"/>
      <c r="FB62" s="587"/>
      <c r="FC62" s="587"/>
      <c r="FD62" s="587"/>
      <c r="FE62" s="587"/>
      <c r="FF62" s="587"/>
      <c r="FG62" s="587"/>
      <c r="FH62" s="587"/>
      <c r="FI62" s="587"/>
      <c r="FJ62" s="587"/>
      <c r="FK62" s="587"/>
      <c r="FL62" s="587"/>
      <c r="FM62" s="587"/>
      <c r="FN62" s="587"/>
      <c r="FO62" s="587"/>
      <c r="FP62" s="587"/>
      <c r="FQ62" s="587"/>
      <c r="FR62" s="587"/>
      <c r="FS62" s="587"/>
      <c r="FT62" s="587"/>
      <c r="FU62" s="587"/>
      <c r="FV62" s="587"/>
      <c r="FW62" s="587"/>
      <c r="FX62" s="587"/>
      <c r="FY62" s="587"/>
      <c r="FZ62" s="587"/>
      <c r="GA62" s="587"/>
      <c r="GB62" s="587"/>
      <c r="GC62" s="587"/>
      <c r="GD62" s="587"/>
      <c r="GE62" s="587"/>
      <c r="GF62" s="587"/>
      <c r="GG62" s="587"/>
      <c r="GH62" s="587"/>
      <c r="GI62" s="587"/>
      <c r="GJ62" s="587"/>
      <c r="GK62" s="587"/>
      <c r="GL62" s="587"/>
      <c r="GM62" s="587"/>
    </row>
    <row r="63" spans="1:195" ht="20.25" customHeight="1">
      <c r="A63" s="510"/>
      <c r="B63" s="510"/>
      <c r="C63" s="523"/>
      <c r="D63" s="510" t="s">
        <v>1149</v>
      </c>
      <c r="E63" s="725"/>
      <c r="F63" s="510"/>
      <c r="G63" s="510"/>
      <c r="H63" s="727"/>
      <c r="I63" s="510"/>
      <c r="J63" s="510"/>
      <c r="K63" s="728"/>
      <c r="L63" s="729"/>
      <c r="M63" s="727"/>
      <c r="N63" s="730"/>
      <c r="O63" s="730"/>
      <c r="P63" s="729"/>
      <c r="Q63" s="727"/>
      <c r="R63" s="727"/>
      <c r="S63" s="727"/>
      <c r="T63" s="729"/>
      <c r="U63" s="727"/>
      <c r="V63" s="729"/>
      <c r="W63" s="729"/>
      <c r="X63" s="729"/>
      <c r="Y63" s="729"/>
      <c r="Z63" s="731"/>
      <c r="AA63" s="732"/>
      <c r="AB63" s="732"/>
      <c r="AC63" s="733"/>
      <c r="AD63" s="733"/>
      <c r="AE63" s="733"/>
      <c r="AF63" s="733"/>
      <c r="AG63" s="733"/>
      <c r="AH63" s="734"/>
      <c r="AI63" s="731"/>
      <c r="AJ63" s="730"/>
      <c r="AK63" s="731"/>
      <c r="AL63" s="731"/>
      <c r="AM63" s="731"/>
      <c r="AN63" s="735"/>
      <c r="AO63" s="727"/>
      <c r="AP63" s="728"/>
      <c r="AQ63" s="727"/>
      <c r="AR63" s="735"/>
      <c r="AS63" s="729"/>
      <c r="AT63" s="735"/>
      <c r="AU63" s="735"/>
      <c r="AV63" s="736"/>
      <c r="AW63" s="736"/>
      <c r="AX63" s="729"/>
      <c r="AY63" s="737"/>
      <c r="AZ63" s="737"/>
      <c r="BA63" s="738"/>
      <c r="BB63" s="739"/>
      <c r="BC63" s="740"/>
      <c r="BE63" s="336"/>
      <c r="BF63" s="336"/>
      <c r="BG63" s="336"/>
      <c r="BH63" s="336"/>
      <c r="BI63" s="336"/>
      <c r="BJ63" s="336"/>
      <c r="BK63" s="336"/>
      <c r="BL63" s="336"/>
      <c r="BM63" s="336"/>
      <c r="BN63" s="336"/>
      <c r="BO63" s="336"/>
      <c r="BP63" s="336"/>
      <c r="BQ63" s="336"/>
      <c r="BR63" s="336"/>
      <c r="BS63" s="336"/>
      <c r="BT63" s="336"/>
      <c r="BU63" s="336"/>
      <c r="BV63" s="336"/>
      <c r="BW63" s="336"/>
      <c r="BX63" s="336"/>
      <c r="BY63" s="336"/>
      <c r="BZ63" s="336"/>
      <c r="CA63" s="336"/>
      <c r="CB63" s="336"/>
      <c r="CC63" s="336"/>
      <c r="CD63" s="336"/>
      <c r="CE63" s="336"/>
      <c r="CF63" s="336"/>
      <c r="CG63" s="336"/>
      <c r="CH63" s="336"/>
      <c r="CI63" s="336"/>
      <c r="CJ63" s="336"/>
      <c r="CK63" s="336"/>
      <c r="CL63" s="336"/>
      <c r="CM63" s="336"/>
      <c r="CN63" s="336"/>
      <c r="CO63" s="336"/>
      <c r="CP63" s="336"/>
      <c r="CQ63" s="336"/>
      <c r="CR63" s="336"/>
      <c r="CS63" s="336"/>
      <c r="CT63" s="336"/>
      <c r="CU63" s="336"/>
      <c r="CV63" s="336"/>
      <c r="CW63" s="336"/>
      <c r="CX63" s="336"/>
      <c r="CY63" s="336"/>
      <c r="CZ63" s="752"/>
      <c r="DA63" s="752"/>
      <c r="DB63" s="752"/>
      <c r="DC63" s="752"/>
      <c r="DD63" s="752"/>
      <c r="DE63" s="752"/>
      <c r="DF63" s="752"/>
      <c r="DG63" s="752"/>
      <c r="DH63" s="752"/>
      <c r="DI63" s="752"/>
      <c r="DJ63" s="752"/>
      <c r="DK63" s="752"/>
      <c r="DL63" s="752"/>
      <c r="DM63" s="752"/>
      <c r="DN63" s="752"/>
      <c r="DO63" s="752"/>
      <c r="DP63" s="752"/>
      <c r="DQ63" s="752"/>
      <c r="DR63" s="752"/>
      <c r="DS63" s="752"/>
      <c r="DT63" s="752"/>
      <c r="DU63" s="752"/>
      <c r="DW63" s="336">
        <f t="shared" si="80"/>
        <v>0</v>
      </c>
      <c r="DX63" s="336">
        <f t="shared" si="1"/>
        <v>0</v>
      </c>
      <c r="DY63" s="336">
        <f t="shared" si="2"/>
        <v>0</v>
      </c>
      <c r="DZ63" s="336">
        <f t="shared" si="3"/>
        <v>0</v>
      </c>
      <c r="EA63" s="336">
        <f t="shared" si="4"/>
        <v>0</v>
      </c>
      <c r="EB63" s="336">
        <f t="shared" si="5"/>
        <v>0</v>
      </c>
      <c r="EC63" s="336">
        <f t="shared" si="6"/>
        <v>0</v>
      </c>
      <c r="ED63" s="336">
        <f t="shared" si="7"/>
        <v>0</v>
      </c>
      <c r="EE63" s="336">
        <f t="shared" si="8"/>
        <v>0</v>
      </c>
      <c r="EF63" s="336">
        <f t="shared" si="9"/>
        <v>0</v>
      </c>
      <c r="EG63" s="336">
        <f t="shared" si="10"/>
        <v>0</v>
      </c>
      <c r="EH63" s="336">
        <f t="shared" si="11"/>
        <v>0</v>
      </c>
      <c r="EI63" s="336">
        <f t="shared" si="12"/>
        <v>0</v>
      </c>
      <c r="EJ63" s="336">
        <f t="shared" si="13"/>
        <v>0</v>
      </c>
      <c r="EK63" s="336">
        <f t="shared" si="14"/>
        <v>0</v>
      </c>
      <c r="EL63" s="336">
        <f t="shared" si="15"/>
        <v>0</v>
      </c>
      <c r="EM63" s="336">
        <f t="shared" si="16"/>
        <v>0</v>
      </c>
      <c r="EN63" s="336">
        <f t="shared" si="17"/>
        <v>0</v>
      </c>
      <c r="EO63" s="336">
        <f t="shared" si="18"/>
        <v>0</v>
      </c>
      <c r="EP63" s="336">
        <f t="shared" si="19"/>
        <v>0</v>
      </c>
      <c r="EQ63" s="336">
        <f t="shared" si="20"/>
        <v>0</v>
      </c>
      <c r="ER63" s="336">
        <f t="shared" si="21"/>
        <v>0</v>
      </c>
      <c r="ES63" s="336">
        <f t="shared" si="22"/>
        <v>0</v>
      </c>
      <c r="ET63" s="336">
        <f t="shared" si="22"/>
        <v>0</v>
      </c>
      <c r="EU63" s="336">
        <f t="shared" si="23"/>
        <v>0</v>
      </c>
      <c r="EV63" s="336">
        <f t="shared" si="24"/>
        <v>0</v>
      </c>
      <c r="EW63" s="336">
        <f t="shared" si="25"/>
        <v>0</v>
      </c>
      <c r="EX63" s="336">
        <f t="shared" si="26"/>
        <v>0</v>
      </c>
      <c r="EY63" s="336">
        <f t="shared" si="27"/>
        <v>0</v>
      </c>
      <c r="EZ63" s="336">
        <f t="shared" si="28"/>
        <v>0</v>
      </c>
      <c r="FA63" s="336">
        <f t="shared" si="29"/>
        <v>0</v>
      </c>
      <c r="FB63" s="336">
        <f t="shared" si="30"/>
        <v>0</v>
      </c>
      <c r="FC63" s="336">
        <f t="shared" si="31"/>
        <v>0</v>
      </c>
      <c r="FD63" s="336">
        <f t="shared" si="32"/>
        <v>0</v>
      </c>
      <c r="FE63" s="336">
        <f t="shared" si="33"/>
        <v>0</v>
      </c>
      <c r="FF63" s="336">
        <f t="shared" si="34"/>
        <v>0</v>
      </c>
      <c r="FG63" s="336">
        <f t="shared" si="35"/>
        <v>0</v>
      </c>
      <c r="FH63" s="336">
        <f t="shared" si="36"/>
        <v>0</v>
      </c>
      <c r="FI63" s="336">
        <f t="shared" si="37"/>
        <v>0</v>
      </c>
      <c r="FJ63" s="336">
        <f t="shared" si="38"/>
        <v>0</v>
      </c>
      <c r="FK63" s="336">
        <f t="shared" si="39"/>
        <v>0</v>
      </c>
      <c r="FL63" s="336">
        <f t="shared" si="40"/>
        <v>0</v>
      </c>
      <c r="FM63" s="336">
        <f t="shared" si="41"/>
        <v>0</v>
      </c>
      <c r="FN63" s="336">
        <f t="shared" si="42"/>
        <v>0</v>
      </c>
      <c r="FO63" s="336">
        <f t="shared" si="43"/>
        <v>0</v>
      </c>
      <c r="FP63" s="336">
        <f t="shared" si="44"/>
        <v>0</v>
      </c>
      <c r="FQ63" s="336">
        <f t="shared" si="45"/>
        <v>0</v>
      </c>
      <c r="FR63" s="336">
        <f t="shared" si="46"/>
        <v>0</v>
      </c>
      <c r="FS63" s="336">
        <f t="shared" si="47"/>
        <v>0</v>
      </c>
      <c r="FT63" s="336">
        <f t="shared" si="48"/>
        <v>0</v>
      </c>
      <c r="FU63" s="336">
        <f t="shared" si="553"/>
        <v>0</v>
      </c>
      <c r="FV63" s="336">
        <f t="shared" si="554"/>
        <v>0</v>
      </c>
      <c r="FW63" s="336">
        <f t="shared" si="555"/>
        <v>0</v>
      </c>
      <c r="FX63" s="336">
        <f t="shared" si="556"/>
        <v>0</v>
      </c>
      <c r="FY63" s="336">
        <f t="shared" si="53"/>
        <v>0</v>
      </c>
      <c r="FZ63" s="336">
        <f t="shared" si="54"/>
        <v>0</v>
      </c>
      <c r="GA63" s="336">
        <f t="shared" si="55"/>
        <v>0</v>
      </c>
      <c r="GB63" s="336">
        <f t="shared" si="56"/>
        <v>0</v>
      </c>
      <c r="GC63" s="336">
        <f t="shared" si="57"/>
        <v>0</v>
      </c>
      <c r="GD63" s="336">
        <f t="shared" si="58"/>
        <v>0</v>
      </c>
      <c r="GE63" s="336">
        <f t="shared" si="59"/>
        <v>0</v>
      </c>
      <c r="GF63" s="336">
        <f t="shared" si="60"/>
        <v>0</v>
      </c>
      <c r="GG63" s="336">
        <f t="shared" si="61"/>
        <v>0</v>
      </c>
      <c r="GH63" s="336">
        <f t="shared" si="62"/>
        <v>0</v>
      </c>
      <c r="GI63" s="336">
        <f t="shared" si="63"/>
        <v>0</v>
      </c>
      <c r="GJ63" s="336">
        <f t="shared" si="64"/>
        <v>0</v>
      </c>
      <c r="GK63" s="336">
        <f t="shared" si="65"/>
        <v>0</v>
      </c>
      <c r="GL63" s="336">
        <f t="shared" si="557"/>
        <v>0</v>
      </c>
      <c r="GM63" s="336">
        <f t="shared" si="66"/>
        <v>0</v>
      </c>
    </row>
    <row r="64" spans="1:195" s="888" customFormat="1" ht="24.75" hidden="1" customHeight="1">
      <c r="A64" s="870" t="s">
        <v>334</v>
      </c>
      <c r="B64" s="870" t="s">
        <v>1150</v>
      </c>
      <c r="C64" s="872" t="str">
        <f t="shared" si="558"/>
        <v>PMCC-2</v>
      </c>
      <c r="D64" s="872" t="s">
        <v>1151</v>
      </c>
      <c r="E64" s="908" t="s">
        <v>1152</v>
      </c>
      <c r="F64" s="870" t="s">
        <v>29</v>
      </c>
      <c r="G64" s="870" t="s">
        <v>350</v>
      </c>
      <c r="H64" s="877">
        <v>2.2000000000000002</v>
      </c>
      <c r="I64" s="870" t="s">
        <v>330</v>
      </c>
      <c r="J64" s="870" t="s">
        <v>331</v>
      </c>
      <c r="K64" s="875">
        <v>400</v>
      </c>
      <c r="L64" s="876">
        <v>0.75</v>
      </c>
      <c r="M64" s="877">
        <v>0.85299999999999998</v>
      </c>
      <c r="N64" s="878">
        <f t="shared" ref="N64:N67" si="603">IF(I64="kVA",IF(J64="3Ph",(H64*1000/(1.732*M64*K64)),(H64*1000/(M64*K64))),IF(I64="kW",IF(J64="3Ph",(H64*1000/(1.732*M64*K64*L64)),(H64*1000/(M64*K64*L64)))))</f>
        <v>4.9636883633997479</v>
      </c>
      <c r="O64" s="878">
        <f t="shared" ref="O64:O67" si="604">IF(G64="MOTOR",(6*N64),IF(G64="VFD",(1*N64),0))</f>
        <v>29.782130180398489</v>
      </c>
      <c r="P64" s="876">
        <f t="shared" ref="P64:P67" si="605">IF(G64="MOTOR",0.2,"0.00")</f>
        <v>0.2</v>
      </c>
      <c r="Q64" s="877">
        <v>65</v>
      </c>
      <c r="R64" s="877">
        <v>0</v>
      </c>
      <c r="S64" s="877">
        <f t="shared" ref="S64:S67" si="606">(Q64*1000*SQRT(R64)/143)</f>
        <v>0</v>
      </c>
      <c r="T64" s="876" t="s">
        <v>332</v>
      </c>
      <c r="U64" s="877" t="s">
        <v>333</v>
      </c>
      <c r="V64" s="876">
        <v>4</v>
      </c>
      <c r="W64" s="876" t="str">
        <f t="shared" ref="W64:W67" si="607">CONCATENATE(U64," X ",V64)</f>
        <v>3C X 4</v>
      </c>
      <c r="X64" s="876" t="str">
        <f t="shared" ref="X64:X67" si="608">(IF(J64="1Ph",W64,IF(J64="3Ph",(IF(G64="MOTOR",(CONCATENATE(W64,"+PE")),W64)))))</f>
        <v>3C X 4+PE</v>
      </c>
      <c r="Y64" s="876" t="s">
        <v>358</v>
      </c>
      <c r="Z64" s="879">
        <f>IF(T64="AIR",VLOOKUP(W64,'Catalogue Aluminium'!$B$9:$G$93,2,FALSE),IF(T64="GROUND",VLOOKUP(W64,'Catalogue Aluminium'!$B$9:$G$93,3,FALSE),IF(T64="DUCT",VLOOKUP(W64,'Catalogue Aluminium'!$B$9:$G$93,4,FALSE),IF(T64="TRENCH",VLOOKUP(W64,'Catalogue Aluminium'!$B$9:$G$93,2,FALSE)))))</f>
        <v>38</v>
      </c>
      <c r="AA64" s="880">
        <f>VLOOKUP(W64,'Catalogue Aluminium'!$B$9:$G$93,5,FALSE)</f>
        <v>5.9</v>
      </c>
      <c r="AB64" s="880">
        <f>VLOOKUP(W64,'Catalogue Aluminium'!$B$9:$G$93,6,FALSE)</f>
        <v>9.4700000000000006E-2</v>
      </c>
      <c r="AC64" s="876">
        <f t="shared" si="586"/>
        <v>12</v>
      </c>
      <c r="AD64" s="876">
        <f t="shared" si="576"/>
        <v>36.4</v>
      </c>
      <c r="AE64" s="876">
        <v>20</v>
      </c>
      <c r="AF64" s="876">
        <v>8</v>
      </c>
      <c r="AG64" s="876">
        <f t="shared" ref="AG64:AG66" si="609">ROUNDUP((SUM(AC64:AF64)*0.1),0)</f>
        <v>8</v>
      </c>
      <c r="AH64" s="881">
        <f t="shared" ref="AH64:AH66" si="610">SUM(AC64:AG64)</f>
        <v>84.4</v>
      </c>
      <c r="AI64" s="879">
        <f>IF(T64="AIR",'Catalogue Aluminium'!$K$9,IF(T64="TRENCH",'Catalogue Aluminium'!$K$12,"NA"))</f>
        <v>0.89</v>
      </c>
      <c r="AJ64" s="407">
        <f>IF(T64="Air",(IF(U64="1C",'Catalogue Aluminium'!$L$9,'Catalogue Aluminium'!$M$9)),IF(T64="DUCT",(IF($U64="1C",'Catalogue Aluminium'!$L$10,'Catalogue Aluminium'!$M$10)),IF(T64="GROUND",(IF($U64="1C",'Catalogue Aluminium'!$L$11,'Catalogue Aluminium'!$M$11)),IF(T64="TRENCH",(IF($U64="1C",'Catalogue Aluminium'!$L$12,'Catalogue Aluminium'!$M$12))))))</f>
        <v>0.66</v>
      </c>
      <c r="AK64" s="408" t="str">
        <f>IF(T64="Air",'Catalogue Aluminium'!$N$9,IF(T64="GROUND",'Catalogue Aluminium'!$N$10,IF(T64="DUCT",'Catalogue Aluminium'!$N$11,IF(T64="TRENCH",'Catalogue Aluminium'!$N$12,"NA"))))</f>
        <v>NA</v>
      </c>
      <c r="AL64" s="408" t="str">
        <f>IF(T64="Air",(IF(U64="1C",'Catalogue Aluminium'!$O$9,'Catalogue Aluminium'!$P$9)),IF(T64="DUCT",(IF($U64="1C",'Catalogue Aluminium'!$O$10,'Catalogue Aluminium'!$P$10)),IF(T64="GROUND",(IF($U64="1C",'Catalogue Aluminium'!$O$11,'Catalogue Aluminium'!$P$11)),IF(T64="TRENCH",(IF($U64="1C",'Catalogue Aluminium'!$O$12,'Catalogue Aluminium'!$P$12))))))</f>
        <v>NA</v>
      </c>
      <c r="AM64" s="408" t="str">
        <f>IF(T64="AIR","NA",IF(T64="TRENCH","NA",IF(T64="DUCT",IF(U64="1C",VLOOKUP(V64,'Catalogue Aluminium'!$Q$9:$S$28,2,FALSE),VLOOKUP(V64,'Catalogue Aluminium'!$Q$9:$S$28,3)),IF(T64="GROUND",IF(U64="1C",VLOOKUP(V64,'Catalogue Aluminium'!$Q$9:$S$28,2,FALSE),VLOOKUP(V64,'Catalogue Aluminium'!$Q$9:$S$28,3))))))</f>
        <v>NA</v>
      </c>
      <c r="AN64" s="584">
        <f t="shared" ref="AN64:AN67" si="611">IF(T64="AIR",AI64*AJ64,IF(T64="TRENCH",AI64*AJ64,IF(T64="DUCT",AJ64*AK64*AL64*AM64,IF(T64="GROUND",AJ64*AK64*AL64*AM64))))</f>
        <v>0.58740000000000003</v>
      </c>
      <c r="AO64" s="877">
        <f t="shared" ref="AO64:AO67" si="612">Z64*AN64</f>
        <v>22.321200000000001</v>
      </c>
      <c r="AP64" s="875">
        <f t="shared" ref="AP64:AP67" si="613">CEILING(((N64)/AO64),1)</f>
        <v>1</v>
      </c>
      <c r="AQ64" s="877" t="str">
        <f t="shared" ref="AQ64:AQ67" si="614">IF(AO64*AP64&gt;=N64,"YES","NO")</f>
        <v>YES</v>
      </c>
      <c r="AR64" s="882">
        <f t="shared" ref="AR64:AR67" si="615">SQRT(3)*AH64*N64*((AA64*L64)+(AB64*SIN(ACOS(L64))))*100/(AP64*K64*1000)</f>
        <v>0.8140768830395424</v>
      </c>
      <c r="AS64" s="876" t="str">
        <f t="shared" ref="AS64:AS67" si="616">IF(G64="INCOMER",(IF(AR64&lt;=2,"YES","NO")),IF(G64="POWER",(IF(AR64&lt;=2.5,"YES","NO")),IF(G64="MOTOR",(IF(AR64&lt;=3,"YES","NO")))))</f>
        <v>YES</v>
      </c>
      <c r="AT64" s="882">
        <f t="shared" ref="AT64:AT67" si="617">IF(G64="MOTOR",(SQRT(3)*AH64*O64*((AA64*P64)+(AB64*SIN(ACOS(P64))))*100/(AP64*K64*1000)),"NA")</f>
        <v>1.3853338911955524</v>
      </c>
      <c r="AU64" s="876" t="str">
        <f t="shared" ref="AU64:AU67" si="618">IF(G64="MOTOR",IF(AT64&lt;=15,"YES","NO"),"NA")</f>
        <v>YES</v>
      </c>
      <c r="AV64" s="883" t="str">
        <f t="shared" ref="AV64:AV67" si="619">IF(U64="1C",CONCATENATE(AP64,"R x ",Y64,"kV x ",U64," x ",V64," Sqmm/Phase"),CONCATENATE(AP64,"R x ",0.6,"/1kV x ",U64," x ",V64," Sqmm"))</f>
        <v>1R x 0.6/1kV x 3C x 4 Sqmm</v>
      </c>
      <c r="AW64" s="883" t="str">
        <f t="shared" ref="AW64:AW67" si="620">IF(U64="1C",CONCATENATE(AP64,"R x ",Y64,"kV x ",U64," x ",V64," Sqmm/Phase"),CONCATENATE(AP64,"R x ",0.6,"/1kV x ",U64," x ",V64,(IF(G64="MOTOR","+PE",""))," Sqmm"))</f>
        <v>1R x 0.6/1kV x 3C x 4+PE Sqmm</v>
      </c>
      <c r="AX64" s="876"/>
      <c r="AY64" s="884"/>
      <c r="AZ64" s="884"/>
      <c r="BA64" s="885"/>
      <c r="BB64" s="886"/>
      <c r="BC64" s="887"/>
      <c r="BE64" s="889"/>
      <c r="BF64" s="889"/>
      <c r="BG64" s="889"/>
      <c r="BH64" s="889"/>
      <c r="BI64" s="889"/>
      <c r="BJ64" s="889"/>
      <c r="BK64" s="889"/>
      <c r="BL64" s="889"/>
      <c r="BM64" s="889"/>
      <c r="BN64" s="889"/>
      <c r="BO64" s="889"/>
      <c r="BP64" s="889"/>
      <c r="BQ64" s="889"/>
      <c r="BR64" s="889"/>
      <c r="BS64" s="889"/>
      <c r="BT64" s="889"/>
      <c r="BU64" s="889"/>
      <c r="BV64" s="889"/>
      <c r="BW64" s="889"/>
      <c r="BX64" s="889"/>
      <c r="BY64" s="889"/>
      <c r="BZ64" s="889"/>
      <c r="CA64" s="889"/>
      <c r="CB64" s="889"/>
      <c r="CC64" s="889"/>
      <c r="CD64" s="889"/>
      <c r="CE64" s="889"/>
      <c r="CF64" s="889"/>
      <c r="CG64" s="889"/>
      <c r="CH64" s="889"/>
      <c r="CI64" s="889"/>
      <c r="CJ64" s="889"/>
      <c r="CK64" s="889"/>
      <c r="CL64" s="889"/>
      <c r="CM64" s="889"/>
      <c r="CN64" s="889"/>
      <c r="CO64" s="889"/>
      <c r="CP64" s="889"/>
      <c r="CQ64" s="889"/>
      <c r="CR64" s="889"/>
      <c r="CS64" s="889"/>
      <c r="CT64" s="889"/>
      <c r="CU64" s="889"/>
      <c r="CV64" s="889"/>
      <c r="CW64" s="889"/>
      <c r="CX64" s="889"/>
      <c r="CY64" s="889"/>
      <c r="CZ64" s="889"/>
      <c r="DA64" s="889"/>
      <c r="DB64" s="889">
        <v>1</v>
      </c>
      <c r="DC64" s="889">
        <v>1</v>
      </c>
      <c r="DD64" s="889">
        <v>1</v>
      </c>
      <c r="DE64" s="889">
        <v>1</v>
      </c>
      <c r="DF64" s="889">
        <v>1</v>
      </c>
      <c r="DG64" s="889"/>
      <c r="DH64" s="889"/>
      <c r="DI64" s="889"/>
      <c r="DJ64" s="909"/>
      <c r="DK64" s="909"/>
      <c r="DL64" s="909"/>
      <c r="DM64" s="909"/>
      <c r="DN64" s="909"/>
      <c r="DO64" s="909"/>
      <c r="DP64" s="909"/>
      <c r="DQ64" s="889"/>
      <c r="DR64" s="909"/>
      <c r="DS64" s="909"/>
      <c r="DT64" s="909"/>
      <c r="DU64" s="889"/>
      <c r="DW64" s="889">
        <f t="shared" si="80"/>
        <v>0</v>
      </c>
      <c r="DX64" s="889">
        <f t="shared" si="1"/>
        <v>0</v>
      </c>
      <c r="DY64" s="889">
        <f t="shared" si="2"/>
        <v>0</v>
      </c>
      <c r="DZ64" s="889">
        <f t="shared" si="3"/>
        <v>0</v>
      </c>
      <c r="EA64" s="889">
        <f t="shared" si="4"/>
        <v>0</v>
      </c>
      <c r="EB64" s="889">
        <f t="shared" si="5"/>
        <v>0</v>
      </c>
      <c r="EC64" s="889">
        <f t="shared" si="6"/>
        <v>0</v>
      </c>
      <c r="ED64" s="889">
        <f t="shared" si="7"/>
        <v>0</v>
      </c>
      <c r="EE64" s="889">
        <f t="shared" si="8"/>
        <v>0</v>
      </c>
      <c r="EF64" s="889">
        <f t="shared" si="9"/>
        <v>0</v>
      </c>
      <c r="EG64" s="889">
        <f t="shared" si="10"/>
        <v>0</v>
      </c>
      <c r="EH64" s="889">
        <f t="shared" si="11"/>
        <v>0</v>
      </c>
      <c r="EI64" s="889">
        <f t="shared" si="12"/>
        <v>0</v>
      </c>
      <c r="EJ64" s="889">
        <f t="shared" si="13"/>
        <v>0</v>
      </c>
      <c r="EK64" s="889">
        <f t="shared" si="14"/>
        <v>0</v>
      </c>
      <c r="EL64" s="889">
        <f t="shared" si="15"/>
        <v>0</v>
      </c>
      <c r="EM64" s="889">
        <f t="shared" si="16"/>
        <v>0</v>
      </c>
      <c r="EN64" s="889">
        <f t="shared" si="17"/>
        <v>0</v>
      </c>
      <c r="EO64" s="889">
        <f t="shared" si="18"/>
        <v>0</v>
      </c>
      <c r="EP64" s="889">
        <f t="shared" si="19"/>
        <v>0</v>
      </c>
      <c r="EQ64" s="889">
        <f t="shared" si="20"/>
        <v>0</v>
      </c>
      <c r="ER64" s="889">
        <f t="shared" si="21"/>
        <v>0</v>
      </c>
      <c r="ES64" s="889">
        <f t="shared" si="22"/>
        <v>0</v>
      </c>
      <c r="ET64" s="889">
        <f t="shared" si="22"/>
        <v>0</v>
      </c>
      <c r="EU64" s="889">
        <f t="shared" si="23"/>
        <v>0</v>
      </c>
      <c r="EV64" s="889">
        <f t="shared" si="24"/>
        <v>0</v>
      </c>
      <c r="EW64" s="889">
        <f t="shared" si="25"/>
        <v>0</v>
      </c>
      <c r="EX64" s="889">
        <f t="shared" si="26"/>
        <v>0</v>
      </c>
      <c r="EY64" s="889">
        <f t="shared" si="27"/>
        <v>0</v>
      </c>
      <c r="EZ64" s="889">
        <f t="shared" si="28"/>
        <v>0</v>
      </c>
      <c r="FA64" s="889">
        <f t="shared" si="29"/>
        <v>0</v>
      </c>
      <c r="FB64" s="889">
        <f t="shared" si="30"/>
        <v>0</v>
      </c>
      <c r="FC64" s="889">
        <f t="shared" si="31"/>
        <v>0</v>
      </c>
      <c r="FD64" s="889">
        <f t="shared" si="32"/>
        <v>0</v>
      </c>
      <c r="FE64" s="889">
        <f t="shared" si="33"/>
        <v>0</v>
      </c>
      <c r="FF64" s="889">
        <f t="shared" si="34"/>
        <v>0</v>
      </c>
      <c r="FG64" s="889">
        <f t="shared" si="35"/>
        <v>0</v>
      </c>
      <c r="FH64" s="889">
        <f t="shared" si="36"/>
        <v>0</v>
      </c>
      <c r="FI64" s="889">
        <f t="shared" si="37"/>
        <v>0</v>
      </c>
      <c r="FJ64" s="889">
        <f t="shared" si="38"/>
        <v>0</v>
      </c>
      <c r="FK64" s="889">
        <f t="shared" si="39"/>
        <v>0</v>
      </c>
      <c r="FL64" s="889">
        <f t="shared" si="40"/>
        <v>0</v>
      </c>
      <c r="FM64" s="889">
        <f t="shared" si="41"/>
        <v>0</v>
      </c>
      <c r="FN64" s="889">
        <f t="shared" si="42"/>
        <v>0</v>
      </c>
      <c r="FO64" s="889">
        <f t="shared" si="43"/>
        <v>0</v>
      </c>
      <c r="FP64" s="889">
        <f t="shared" si="44"/>
        <v>0</v>
      </c>
      <c r="FQ64" s="889">
        <f t="shared" si="45"/>
        <v>0</v>
      </c>
      <c r="FR64" s="889">
        <f t="shared" si="46"/>
        <v>0</v>
      </c>
      <c r="FS64" s="889">
        <f t="shared" si="47"/>
        <v>0</v>
      </c>
      <c r="FT64" s="889">
        <f t="shared" si="48"/>
        <v>0</v>
      </c>
      <c r="FU64" s="889">
        <f t="shared" si="553"/>
        <v>0</v>
      </c>
      <c r="FV64" s="889">
        <f t="shared" si="554"/>
        <v>0</v>
      </c>
      <c r="FW64" s="889">
        <f t="shared" si="555"/>
        <v>0</v>
      </c>
      <c r="FX64" s="889">
        <f t="shared" si="556"/>
        <v>0</v>
      </c>
      <c r="FY64" s="889">
        <f t="shared" si="53"/>
        <v>0</v>
      </c>
      <c r="FZ64" s="889">
        <f t="shared" si="54"/>
        <v>0</v>
      </c>
      <c r="GA64" s="889">
        <f t="shared" si="55"/>
        <v>0</v>
      </c>
      <c r="GB64" s="889">
        <f t="shared" si="56"/>
        <v>0</v>
      </c>
      <c r="GC64" s="889">
        <f t="shared" si="57"/>
        <v>0</v>
      </c>
      <c r="GD64" s="889">
        <f t="shared" si="58"/>
        <v>0</v>
      </c>
      <c r="GE64" s="889">
        <f t="shared" si="59"/>
        <v>0</v>
      </c>
      <c r="GF64" s="889">
        <f t="shared" si="60"/>
        <v>0</v>
      </c>
      <c r="GG64" s="889">
        <f t="shared" si="61"/>
        <v>0</v>
      </c>
      <c r="GH64" s="889">
        <f t="shared" si="62"/>
        <v>0</v>
      </c>
      <c r="GI64" s="889">
        <f t="shared" si="63"/>
        <v>0</v>
      </c>
      <c r="GJ64" s="889">
        <f t="shared" si="64"/>
        <v>0</v>
      </c>
      <c r="GK64" s="889">
        <f t="shared" si="65"/>
        <v>0</v>
      </c>
      <c r="GL64" s="889">
        <f t="shared" si="557"/>
        <v>0</v>
      </c>
      <c r="GM64" s="889">
        <f t="shared" si="66"/>
        <v>0</v>
      </c>
    </row>
    <row r="65" spans="1:195" s="888" customFormat="1" ht="34.5" hidden="1" customHeight="1">
      <c r="A65" s="870" t="s">
        <v>334</v>
      </c>
      <c r="B65" s="870" t="s">
        <v>1153</v>
      </c>
      <c r="C65" s="872" t="str">
        <f t="shared" si="558"/>
        <v>PMCC-2</v>
      </c>
      <c r="D65" s="872" t="s">
        <v>1154</v>
      </c>
      <c r="E65" s="908" t="s">
        <v>1152</v>
      </c>
      <c r="F65" s="870" t="s">
        <v>28</v>
      </c>
      <c r="G65" s="870" t="s">
        <v>350</v>
      </c>
      <c r="H65" s="877">
        <v>2.2000000000000002</v>
      </c>
      <c r="I65" s="870" t="s">
        <v>330</v>
      </c>
      <c r="J65" s="870" t="s">
        <v>331</v>
      </c>
      <c r="K65" s="875">
        <v>400</v>
      </c>
      <c r="L65" s="876">
        <v>0.75</v>
      </c>
      <c r="M65" s="877">
        <v>0.85299999999999998</v>
      </c>
      <c r="N65" s="878">
        <f t="shared" si="603"/>
        <v>4.9636883633997479</v>
      </c>
      <c r="O65" s="878">
        <f t="shared" si="604"/>
        <v>29.782130180398489</v>
      </c>
      <c r="P65" s="876">
        <f t="shared" si="605"/>
        <v>0.2</v>
      </c>
      <c r="Q65" s="877">
        <v>65</v>
      </c>
      <c r="R65" s="877">
        <v>0</v>
      </c>
      <c r="S65" s="877">
        <f t="shared" si="606"/>
        <v>0</v>
      </c>
      <c r="T65" s="876" t="s">
        <v>332</v>
      </c>
      <c r="U65" s="877" t="s">
        <v>333</v>
      </c>
      <c r="V65" s="876">
        <v>4</v>
      </c>
      <c r="W65" s="876" t="str">
        <f t="shared" si="607"/>
        <v>3C X 4</v>
      </c>
      <c r="X65" s="876" t="str">
        <f t="shared" si="608"/>
        <v>3C X 4+PE</v>
      </c>
      <c r="Y65" s="876" t="s">
        <v>358</v>
      </c>
      <c r="Z65" s="879">
        <f>IF(T65="AIR",VLOOKUP(W65,'Catalogue Aluminium'!$B$9:$G$93,2,FALSE),IF(T65="GROUND",VLOOKUP(W65,'Catalogue Aluminium'!$B$9:$G$93,3,FALSE),IF(T65="DUCT",VLOOKUP(W65,'Catalogue Aluminium'!$B$9:$G$93,4,FALSE),IF(T65="TRENCH",VLOOKUP(W65,'Catalogue Aluminium'!$B$9:$G$93,2,FALSE)))))</f>
        <v>38</v>
      </c>
      <c r="AA65" s="880">
        <f>VLOOKUP(W65,'Catalogue Aluminium'!$B$9:$G$93,5,FALSE)</f>
        <v>5.9</v>
      </c>
      <c r="AB65" s="880">
        <f>VLOOKUP(W65,'Catalogue Aluminium'!$B$9:$G$93,6,FALSE)</f>
        <v>9.4700000000000006E-2</v>
      </c>
      <c r="AC65" s="876">
        <f t="shared" si="586"/>
        <v>12</v>
      </c>
      <c r="AD65" s="876">
        <f t="shared" si="576"/>
        <v>36.4</v>
      </c>
      <c r="AE65" s="876">
        <v>20</v>
      </c>
      <c r="AF65" s="876">
        <v>8</v>
      </c>
      <c r="AG65" s="876">
        <f t="shared" si="609"/>
        <v>8</v>
      </c>
      <c r="AH65" s="881">
        <f t="shared" si="610"/>
        <v>84.4</v>
      </c>
      <c r="AI65" s="879">
        <f>IF(T65="AIR",'Catalogue Aluminium'!$K$9,IF(T65="TRENCH",'Catalogue Aluminium'!$K$12,"NA"))</f>
        <v>0.89</v>
      </c>
      <c r="AJ65" s="407">
        <f>IF(T65="Air",(IF(U65="1C",'Catalogue Aluminium'!$L$9,'Catalogue Aluminium'!$M$9)),IF(T65="DUCT",(IF($U65="1C",'Catalogue Aluminium'!$L$10,'Catalogue Aluminium'!$M$10)),IF(T65="GROUND",(IF($U65="1C",'Catalogue Aluminium'!$L$11,'Catalogue Aluminium'!$M$11)),IF(T65="TRENCH",(IF($U65="1C",'Catalogue Aluminium'!$L$12,'Catalogue Aluminium'!$M$12))))))</f>
        <v>0.66</v>
      </c>
      <c r="AK65" s="408" t="str">
        <f>IF(T65="Air",'Catalogue Aluminium'!$N$9,IF(T65="GROUND",'Catalogue Aluminium'!$N$10,IF(T65="DUCT",'Catalogue Aluminium'!$N$11,IF(T65="TRENCH",'Catalogue Aluminium'!$N$12,"NA"))))</f>
        <v>NA</v>
      </c>
      <c r="AL65" s="408" t="str">
        <f>IF(T65="Air",(IF(U65="1C",'Catalogue Aluminium'!$O$9,'Catalogue Aluminium'!$P$9)),IF(T65="DUCT",(IF($U65="1C",'Catalogue Aluminium'!$O$10,'Catalogue Aluminium'!$P$10)),IF(T65="GROUND",(IF($U65="1C",'Catalogue Aluminium'!$O$11,'Catalogue Aluminium'!$P$11)),IF(T65="TRENCH",(IF($U65="1C",'Catalogue Aluminium'!$O$12,'Catalogue Aluminium'!$P$12))))))</f>
        <v>NA</v>
      </c>
      <c r="AM65" s="408" t="str">
        <f>IF(T65="AIR","NA",IF(T65="TRENCH","NA",IF(T65="DUCT",IF(U65="1C",VLOOKUP(V65,'Catalogue Aluminium'!$Q$9:$S$28,2,FALSE),VLOOKUP(V65,'Catalogue Aluminium'!$Q$9:$S$28,3)),IF(T65="GROUND",IF(U65="1C",VLOOKUP(V65,'Catalogue Aluminium'!$Q$9:$S$28,2,FALSE),VLOOKUP(V65,'Catalogue Aluminium'!$Q$9:$S$28,3))))))</f>
        <v>NA</v>
      </c>
      <c r="AN65" s="584">
        <f t="shared" si="611"/>
        <v>0.58740000000000003</v>
      </c>
      <c r="AO65" s="877">
        <f t="shared" si="612"/>
        <v>22.321200000000001</v>
      </c>
      <c r="AP65" s="875">
        <f t="shared" si="613"/>
        <v>1</v>
      </c>
      <c r="AQ65" s="877" t="str">
        <f t="shared" si="614"/>
        <v>YES</v>
      </c>
      <c r="AR65" s="882">
        <f t="shared" si="615"/>
        <v>0.8140768830395424</v>
      </c>
      <c r="AS65" s="876" t="str">
        <f t="shared" si="616"/>
        <v>YES</v>
      </c>
      <c r="AT65" s="882">
        <f t="shared" si="617"/>
        <v>1.3853338911955524</v>
      </c>
      <c r="AU65" s="876" t="str">
        <f t="shared" si="618"/>
        <v>YES</v>
      </c>
      <c r="AV65" s="883" t="str">
        <f t="shared" si="619"/>
        <v>1R x 0.6/1kV x 3C x 4 Sqmm</v>
      </c>
      <c r="AW65" s="883" t="str">
        <f t="shared" si="620"/>
        <v>1R x 0.6/1kV x 3C x 4+PE Sqmm</v>
      </c>
      <c r="AX65" s="876"/>
      <c r="AY65" s="884"/>
      <c r="AZ65" s="884"/>
      <c r="BA65" s="885"/>
      <c r="BB65" s="886"/>
      <c r="BC65" s="887"/>
      <c r="BE65" s="889"/>
      <c r="BF65" s="889"/>
      <c r="BG65" s="889"/>
      <c r="BH65" s="889"/>
      <c r="BI65" s="889"/>
      <c r="BJ65" s="889"/>
      <c r="BK65" s="889"/>
      <c r="BL65" s="889"/>
      <c r="BM65" s="889"/>
      <c r="BN65" s="889"/>
      <c r="BO65" s="889"/>
      <c r="BP65" s="889"/>
      <c r="BQ65" s="889"/>
      <c r="BR65" s="889"/>
      <c r="BS65" s="889"/>
      <c r="BT65" s="889"/>
      <c r="BU65" s="889"/>
      <c r="BV65" s="889"/>
      <c r="BW65" s="889"/>
      <c r="BX65" s="889"/>
      <c r="BY65" s="889"/>
      <c r="BZ65" s="889"/>
      <c r="CA65" s="889"/>
      <c r="CB65" s="889"/>
      <c r="CC65" s="889"/>
      <c r="CD65" s="889"/>
      <c r="CE65" s="889"/>
      <c r="CF65" s="889"/>
      <c r="CG65" s="889"/>
      <c r="CH65" s="889"/>
      <c r="CI65" s="889"/>
      <c r="CJ65" s="889"/>
      <c r="CK65" s="889"/>
      <c r="CL65" s="889"/>
      <c r="CM65" s="889"/>
      <c r="CN65" s="889"/>
      <c r="CO65" s="889"/>
      <c r="CP65" s="889"/>
      <c r="CQ65" s="889"/>
      <c r="CR65" s="889"/>
      <c r="CS65" s="889"/>
      <c r="CT65" s="889"/>
      <c r="CU65" s="889"/>
      <c r="CV65" s="889"/>
      <c r="CW65" s="889"/>
      <c r="CX65" s="889"/>
      <c r="CY65" s="889"/>
      <c r="CZ65" s="889"/>
      <c r="DA65" s="889"/>
      <c r="DB65" s="889">
        <v>1</v>
      </c>
      <c r="DC65" s="889">
        <v>1</v>
      </c>
      <c r="DD65" s="889">
        <v>1</v>
      </c>
      <c r="DE65" s="889">
        <v>1</v>
      </c>
      <c r="DF65" s="889">
        <v>1</v>
      </c>
      <c r="DG65" s="889"/>
      <c r="DH65" s="889"/>
      <c r="DI65" s="889"/>
      <c r="DJ65" s="909"/>
      <c r="DK65" s="909"/>
      <c r="DL65" s="909"/>
      <c r="DM65" s="909"/>
      <c r="DN65" s="909"/>
      <c r="DO65" s="909"/>
      <c r="DP65" s="909"/>
      <c r="DQ65" s="889"/>
      <c r="DR65" s="909"/>
      <c r="DS65" s="909"/>
      <c r="DT65" s="909"/>
      <c r="DU65" s="889"/>
      <c r="DW65" s="889">
        <f t="shared" si="80"/>
        <v>0</v>
      </c>
      <c r="DX65" s="889">
        <f t="shared" si="1"/>
        <v>0</v>
      </c>
      <c r="DY65" s="889">
        <f t="shared" si="2"/>
        <v>0</v>
      </c>
      <c r="DZ65" s="889">
        <f t="shared" si="3"/>
        <v>0</v>
      </c>
      <c r="EA65" s="889">
        <f t="shared" si="4"/>
        <v>0</v>
      </c>
      <c r="EB65" s="889">
        <f t="shared" si="5"/>
        <v>0</v>
      </c>
      <c r="EC65" s="889">
        <f t="shared" si="6"/>
        <v>0</v>
      </c>
      <c r="ED65" s="889">
        <f t="shared" si="7"/>
        <v>0</v>
      </c>
      <c r="EE65" s="889">
        <f t="shared" si="8"/>
        <v>0</v>
      </c>
      <c r="EF65" s="889">
        <f t="shared" si="9"/>
        <v>0</v>
      </c>
      <c r="EG65" s="889">
        <f t="shared" si="10"/>
        <v>0</v>
      </c>
      <c r="EH65" s="889">
        <f t="shared" si="11"/>
        <v>0</v>
      </c>
      <c r="EI65" s="889">
        <f t="shared" si="12"/>
        <v>0</v>
      </c>
      <c r="EJ65" s="889">
        <f t="shared" si="13"/>
        <v>0</v>
      </c>
      <c r="EK65" s="889">
        <f t="shared" si="14"/>
        <v>0</v>
      </c>
      <c r="EL65" s="889">
        <f t="shared" si="15"/>
        <v>0</v>
      </c>
      <c r="EM65" s="889">
        <f t="shared" si="16"/>
        <v>0</v>
      </c>
      <c r="EN65" s="889">
        <f t="shared" si="17"/>
        <v>0</v>
      </c>
      <c r="EO65" s="889">
        <f t="shared" si="18"/>
        <v>0</v>
      </c>
      <c r="EP65" s="889">
        <f t="shared" si="19"/>
        <v>0</v>
      </c>
      <c r="EQ65" s="889">
        <f t="shared" si="20"/>
        <v>0</v>
      </c>
      <c r="ER65" s="889">
        <f t="shared" si="21"/>
        <v>0</v>
      </c>
      <c r="ES65" s="889">
        <f t="shared" si="22"/>
        <v>0</v>
      </c>
      <c r="ET65" s="889">
        <f t="shared" si="22"/>
        <v>0</v>
      </c>
      <c r="EU65" s="889">
        <f t="shared" si="23"/>
        <v>0</v>
      </c>
      <c r="EV65" s="889">
        <f t="shared" si="24"/>
        <v>0</v>
      </c>
      <c r="EW65" s="889">
        <f t="shared" si="25"/>
        <v>0</v>
      </c>
      <c r="EX65" s="889">
        <f t="shared" si="26"/>
        <v>0</v>
      </c>
      <c r="EY65" s="889">
        <f t="shared" si="27"/>
        <v>0</v>
      </c>
      <c r="EZ65" s="889">
        <f t="shared" si="28"/>
        <v>0</v>
      </c>
      <c r="FA65" s="889">
        <f t="shared" si="29"/>
        <v>0</v>
      </c>
      <c r="FB65" s="889">
        <f t="shared" si="30"/>
        <v>0</v>
      </c>
      <c r="FC65" s="889">
        <f t="shared" si="31"/>
        <v>0</v>
      </c>
      <c r="FD65" s="889">
        <f t="shared" si="32"/>
        <v>0</v>
      </c>
      <c r="FE65" s="889">
        <f t="shared" si="33"/>
        <v>0</v>
      </c>
      <c r="FF65" s="889">
        <f t="shared" si="34"/>
        <v>0</v>
      </c>
      <c r="FG65" s="889">
        <f t="shared" si="35"/>
        <v>0</v>
      </c>
      <c r="FH65" s="889">
        <f t="shared" si="36"/>
        <v>0</v>
      </c>
      <c r="FI65" s="889">
        <f t="shared" si="37"/>
        <v>0</v>
      </c>
      <c r="FJ65" s="889">
        <f t="shared" si="38"/>
        <v>0</v>
      </c>
      <c r="FK65" s="889">
        <f t="shared" si="39"/>
        <v>0</v>
      </c>
      <c r="FL65" s="889">
        <f t="shared" si="40"/>
        <v>0</v>
      </c>
      <c r="FM65" s="889">
        <f t="shared" si="41"/>
        <v>0</v>
      </c>
      <c r="FN65" s="889">
        <f t="shared" si="42"/>
        <v>0</v>
      </c>
      <c r="FO65" s="889">
        <f t="shared" si="43"/>
        <v>0</v>
      </c>
      <c r="FP65" s="889">
        <f t="shared" si="44"/>
        <v>0</v>
      </c>
      <c r="FQ65" s="889">
        <f t="shared" si="45"/>
        <v>0</v>
      </c>
      <c r="FR65" s="889">
        <f t="shared" si="46"/>
        <v>0</v>
      </c>
      <c r="FS65" s="889">
        <f t="shared" si="47"/>
        <v>0</v>
      </c>
      <c r="FT65" s="889">
        <f t="shared" si="48"/>
        <v>0</v>
      </c>
      <c r="FU65" s="889">
        <f t="shared" si="553"/>
        <v>0</v>
      </c>
      <c r="FV65" s="889">
        <f t="shared" si="554"/>
        <v>0</v>
      </c>
      <c r="FW65" s="889">
        <f t="shared" si="555"/>
        <v>0</v>
      </c>
      <c r="FX65" s="889">
        <f t="shared" si="556"/>
        <v>0</v>
      </c>
      <c r="FY65" s="889">
        <f t="shared" si="53"/>
        <v>0</v>
      </c>
      <c r="FZ65" s="889">
        <f t="shared" si="54"/>
        <v>0</v>
      </c>
      <c r="GA65" s="889">
        <f t="shared" si="55"/>
        <v>0</v>
      </c>
      <c r="GB65" s="889">
        <f t="shared" si="56"/>
        <v>0</v>
      </c>
      <c r="GC65" s="889">
        <f t="shared" si="57"/>
        <v>0</v>
      </c>
      <c r="GD65" s="889">
        <f t="shared" si="58"/>
        <v>0</v>
      </c>
      <c r="GE65" s="889">
        <f t="shared" si="59"/>
        <v>0</v>
      </c>
      <c r="GF65" s="889">
        <f t="shared" si="60"/>
        <v>0</v>
      </c>
      <c r="GG65" s="889">
        <f t="shared" si="61"/>
        <v>0</v>
      </c>
      <c r="GH65" s="889">
        <f t="shared" si="62"/>
        <v>0</v>
      </c>
      <c r="GI65" s="889">
        <f t="shared" si="63"/>
        <v>0</v>
      </c>
      <c r="GJ65" s="889">
        <f t="shared" si="64"/>
        <v>0</v>
      </c>
      <c r="GK65" s="889">
        <f t="shared" si="65"/>
        <v>0</v>
      </c>
      <c r="GL65" s="889">
        <f t="shared" si="557"/>
        <v>0</v>
      </c>
      <c r="GM65" s="889">
        <f t="shared" si="66"/>
        <v>0</v>
      </c>
    </row>
    <row r="66" spans="1:195" s="888" customFormat="1" ht="24" hidden="1" customHeight="1">
      <c r="A66" s="870" t="s">
        <v>334</v>
      </c>
      <c r="B66" s="870" t="s">
        <v>1155</v>
      </c>
      <c r="C66" s="872" t="str">
        <f t="shared" si="558"/>
        <v>PMCC-2</v>
      </c>
      <c r="D66" s="872" t="s">
        <v>1156</v>
      </c>
      <c r="E66" s="908" t="s">
        <v>1152</v>
      </c>
      <c r="F66" s="870" t="s">
        <v>29</v>
      </c>
      <c r="G66" s="870" t="s">
        <v>350</v>
      </c>
      <c r="H66" s="877">
        <v>18.5</v>
      </c>
      <c r="I66" s="870" t="s">
        <v>330</v>
      </c>
      <c r="J66" s="870" t="s">
        <v>331</v>
      </c>
      <c r="K66" s="875">
        <v>400</v>
      </c>
      <c r="L66" s="876">
        <v>0.75</v>
      </c>
      <c r="M66" s="877">
        <v>0.85299999999999998</v>
      </c>
      <c r="N66" s="878">
        <f t="shared" si="603"/>
        <v>41.740106692225147</v>
      </c>
      <c r="O66" s="878">
        <f t="shared" si="604"/>
        <v>250.4406401533509</v>
      </c>
      <c r="P66" s="876">
        <f t="shared" si="605"/>
        <v>0.2</v>
      </c>
      <c r="Q66" s="877">
        <v>65</v>
      </c>
      <c r="R66" s="877">
        <v>0</v>
      </c>
      <c r="S66" s="877">
        <f t="shared" si="606"/>
        <v>0</v>
      </c>
      <c r="T66" s="876" t="s">
        <v>332</v>
      </c>
      <c r="U66" s="877" t="s">
        <v>333</v>
      </c>
      <c r="V66" s="876">
        <v>4</v>
      </c>
      <c r="W66" s="876" t="str">
        <f t="shared" si="607"/>
        <v>3C X 4</v>
      </c>
      <c r="X66" s="876" t="str">
        <f t="shared" si="608"/>
        <v>3C X 4+PE</v>
      </c>
      <c r="Y66" s="876" t="s">
        <v>358</v>
      </c>
      <c r="Z66" s="879">
        <f>IF(T66="AIR",VLOOKUP(W66,'Catalogue Aluminium'!$B$9:$G$93,2,FALSE),IF(T66="GROUND",VLOOKUP(W66,'Catalogue Aluminium'!$B$9:$G$93,3,FALSE),IF(T66="DUCT",VLOOKUP(W66,'Catalogue Aluminium'!$B$9:$G$93,4,FALSE),IF(T66="TRENCH",VLOOKUP(W66,'Catalogue Aluminium'!$B$9:$G$93,2,FALSE)))))</f>
        <v>38</v>
      </c>
      <c r="AA66" s="880">
        <f>VLOOKUP(W66,'Catalogue Aluminium'!$B$9:$G$93,5,FALSE)</f>
        <v>5.9</v>
      </c>
      <c r="AB66" s="880">
        <f>VLOOKUP(W66,'Catalogue Aluminium'!$B$9:$G$93,6,FALSE)</f>
        <v>9.4700000000000006E-2</v>
      </c>
      <c r="AC66" s="876">
        <f t="shared" si="586"/>
        <v>12</v>
      </c>
      <c r="AD66" s="876">
        <f t="shared" si="576"/>
        <v>36.4</v>
      </c>
      <c r="AE66" s="876">
        <v>20</v>
      </c>
      <c r="AF66" s="876">
        <v>8</v>
      </c>
      <c r="AG66" s="876">
        <f t="shared" si="609"/>
        <v>8</v>
      </c>
      <c r="AH66" s="881">
        <f t="shared" si="610"/>
        <v>84.4</v>
      </c>
      <c r="AI66" s="879">
        <f>IF(T66="AIR",'Catalogue Aluminium'!$K$9,IF(T66="TRENCH",'Catalogue Aluminium'!$K$12,"NA"))</f>
        <v>0.89</v>
      </c>
      <c r="AJ66" s="407">
        <f>IF(T66="Air",(IF(U66="1C",'Catalogue Aluminium'!$L$9,'Catalogue Aluminium'!$M$9)),IF(T66="DUCT",(IF($U66="1C",'Catalogue Aluminium'!$L$10,'Catalogue Aluminium'!$M$10)),IF(T66="GROUND",(IF($U66="1C",'Catalogue Aluminium'!$L$11,'Catalogue Aluminium'!$M$11)),IF(T66="TRENCH",(IF($U66="1C",'Catalogue Aluminium'!$L$12,'Catalogue Aluminium'!$M$12))))))</f>
        <v>0.66</v>
      </c>
      <c r="AK66" s="408" t="str">
        <f>IF(T66="Air",'Catalogue Aluminium'!$N$9,IF(T66="GROUND",'Catalogue Aluminium'!$N$10,IF(T66="DUCT",'Catalogue Aluminium'!$N$11,IF(T66="TRENCH",'Catalogue Aluminium'!$N$12,"NA"))))</f>
        <v>NA</v>
      </c>
      <c r="AL66" s="408" t="str">
        <f>IF(T66="Air",(IF(U66="1C",'Catalogue Aluminium'!$O$9,'Catalogue Aluminium'!$P$9)),IF(T66="DUCT",(IF($U66="1C",'Catalogue Aluminium'!$O$10,'Catalogue Aluminium'!$P$10)),IF(T66="GROUND",(IF($U66="1C",'Catalogue Aluminium'!$O$11,'Catalogue Aluminium'!$P$11)),IF(T66="TRENCH",(IF($U66="1C",'Catalogue Aluminium'!$O$12,'Catalogue Aluminium'!$P$12))))))</f>
        <v>NA</v>
      </c>
      <c r="AM66" s="408" t="str">
        <f>IF(T66="AIR","NA",IF(T66="TRENCH","NA",IF(T66="DUCT",IF(U66="1C",VLOOKUP(V66,'Catalogue Aluminium'!$Q$9:$S$28,2,FALSE),VLOOKUP(V66,'Catalogue Aluminium'!$Q$9:$S$28,3)),IF(T66="GROUND",IF(U66="1C",VLOOKUP(V66,'Catalogue Aluminium'!$Q$9:$S$28,2,FALSE),VLOOKUP(V66,'Catalogue Aluminium'!$Q$9:$S$28,3))))))</f>
        <v>NA</v>
      </c>
      <c r="AN66" s="584">
        <f t="shared" si="611"/>
        <v>0.58740000000000003</v>
      </c>
      <c r="AO66" s="877">
        <f t="shared" si="612"/>
        <v>22.321200000000001</v>
      </c>
      <c r="AP66" s="875">
        <f t="shared" si="613"/>
        <v>2</v>
      </c>
      <c r="AQ66" s="877" t="str">
        <f t="shared" si="614"/>
        <v>YES</v>
      </c>
      <c r="AR66" s="882">
        <f t="shared" si="615"/>
        <v>3.4228232582344389</v>
      </c>
      <c r="AS66" s="876" t="str">
        <f t="shared" si="616"/>
        <v>NO</v>
      </c>
      <c r="AT66" s="882">
        <f t="shared" si="617"/>
        <v>5.8246993152540272</v>
      </c>
      <c r="AU66" s="876" t="str">
        <f t="shared" si="618"/>
        <v>YES</v>
      </c>
      <c r="AV66" s="883" t="str">
        <f t="shared" si="619"/>
        <v>2R x 0.6/1kV x 3C x 4 Sqmm</v>
      </c>
      <c r="AW66" s="883" t="str">
        <f t="shared" si="620"/>
        <v>2R x 0.6/1kV x 3C x 4+PE Sqmm</v>
      </c>
      <c r="AX66" s="876"/>
      <c r="AY66" s="884"/>
      <c r="AZ66" s="884"/>
      <c r="BA66" s="885"/>
      <c r="BB66" s="886"/>
      <c r="BC66" s="887"/>
      <c r="BE66" s="889"/>
      <c r="BF66" s="889"/>
      <c r="BG66" s="889"/>
      <c r="BH66" s="889"/>
      <c r="BI66" s="889"/>
      <c r="BJ66" s="889"/>
      <c r="BK66" s="889"/>
      <c r="BL66" s="889"/>
      <c r="BM66" s="889"/>
      <c r="BN66" s="889"/>
      <c r="BO66" s="889"/>
      <c r="BP66" s="889"/>
      <c r="BQ66" s="889"/>
      <c r="BR66" s="889"/>
      <c r="BS66" s="889"/>
      <c r="BT66" s="889"/>
      <c r="BU66" s="889"/>
      <c r="BV66" s="889"/>
      <c r="BW66" s="889"/>
      <c r="BX66" s="889"/>
      <c r="BY66" s="889"/>
      <c r="BZ66" s="889"/>
      <c r="CA66" s="889"/>
      <c r="CB66" s="889"/>
      <c r="CC66" s="889"/>
      <c r="CD66" s="889"/>
      <c r="CE66" s="889"/>
      <c r="CF66" s="889"/>
      <c r="CG66" s="889"/>
      <c r="CH66" s="889"/>
      <c r="CI66" s="889"/>
      <c r="CJ66" s="889"/>
      <c r="CK66" s="889"/>
      <c r="CL66" s="889"/>
      <c r="CM66" s="889"/>
      <c r="CN66" s="889"/>
      <c r="CO66" s="889"/>
      <c r="CP66" s="889"/>
      <c r="CQ66" s="889"/>
      <c r="CR66" s="889"/>
      <c r="CS66" s="889"/>
      <c r="CT66" s="889"/>
      <c r="CU66" s="889"/>
      <c r="CV66" s="889"/>
      <c r="CW66" s="889"/>
      <c r="CX66" s="889"/>
      <c r="CY66" s="889"/>
      <c r="CZ66" s="889"/>
      <c r="DA66" s="889"/>
      <c r="DB66" s="889">
        <v>1</v>
      </c>
      <c r="DC66" s="889">
        <v>1</v>
      </c>
      <c r="DD66" s="889">
        <v>1</v>
      </c>
      <c r="DE66" s="889">
        <v>1</v>
      </c>
      <c r="DF66" s="889">
        <v>1</v>
      </c>
      <c r="DG66" s="889"/>
      <c r="DH66" s="889"/>
      <c r="DI66" s="889"/>
      <c r="DJ66" s="909"/>
      <c r="DK66" s="909"/>
      <c r="DL66" s="909"/>
      <c r="DM66" s="909"/>
      <c r="DN66" s="909"/>
      <c r="DO66" s="909"/>
      <c r="DP66" s="909"/>
      <c r="DQ66" s="889"/>
      <c r="DR66" s="909"/>
      <c r="DS66" s="909"/>
      <c r="DT66" s="909"/>
      <c r="DU66" s="889"/>
      <c r="DW66" s="889">
        <f t="shared" si="80"/>
        <v>0</v>
      </c>
      <c r="DX66" s="889">
        <f t="shared" si="1"/>
        <v>0</v>
      </c>
      <c r="DY66" s="889">
        <f t="shared" si="2"/>
        <v>0</v>
      </c>
      <c r="DZ66" s="889">
        <f t="shared" si="3"/>
        <v>0</v>
      </c>
      <c r="EA66" s="889">
        <f t="shared" si="4"/>
        <v>0</v>
      </c>
      <c r="EB66" s="889">
        <f t="shared" si="5"/>
        <v>0</v>
      </c>
      <c r="EC66" s="889">
        <f t="shared" si="6"/>
        <v>0</v>
      </c>
      <c r="ED66" s="889">
        <f t="shared" si="7"/>
        <v>0</v>
      </c>
      <c r="EE66" s="889">
        <f t="shared" si="8"/>
        <v>0</v>
      </c>
      <c r="EF66" s="889">
        <f t="shared" si="9"/>
        <v>0</v>
      </c>
      <c r="EG66" s="889">
        <f t="shared" si="10"/>
        <v>0</v>
      </c>
      <c r="EH66" s="889">
        <f t="shared" si="11"/>
        <v>0</v>
      </c>
      <c r="EI66" s="889">
        <f t="shared" si="12"/>
        <v>0</v>
      </c>
      <c r="EJ66" s="889">
        <f t="shared" si="13"/>
        <v>0</v>
      </c>
      <c r="EK66" s="889">
        <f t="shared" si="14"/>
        <v>0</v>
      </c>
      <c r="EL66" s="889">
        <f t="shared" si="15"/>
        <v>0</v>
      </c>
      <c r="EM66" s="889">
        <f t="shared" si="16"/>
        <v>0</v>
      </c>
      <c r="EN66" s="889">
        <f t="shared" si="17"/>
        <v>0</v>
      </c>
      <c r="EO66" s="889">
        <f t="shared" si="18"/>
        <v>0</v>
      </c>
      <c r="EP66" s="889">
        <f t="shared" si="19"/>
        <v>0</v>
      </c>
      <c r="EQ66" s="889">
        <f t="shared" si="20"/>
        <v>0</v>
      </c>
      <c r="ER66" s="889">
        <f t="shared" si="21"/>
        <v>0</v>
      </c>
      <c r="ES66" s="889">
        <f t="shared" si="22"/>
        <v>0</v>
      </c>
      <c r="ET66" s="889">
        <f t="shared" si="22"/>
        <v>0</v>
      </c>
      <c r="EU66" s="889">
        <f t="shared" si="23"/>
        <v>0</v>
      </c>
      <c r="EV66" s="889">
        <f t="shared" si="24"/>
        <v>0</v>
      </c>
      <c r="EW66" s="889">
        <f t="shared" si="25"/>
        <v>0</v>
      </c>
      <c r="EX66" s="889">
        <f t="shared" si="26"/>
        <v>0</v>
      </c>
      <c r="EY66" s="889">
        <f t="shared" si="27"/>
        <v>0</v>
      </c>
      <c r="EZ66" s="889">
        <f t="shared" si="28"/>
        <v>0</v>
      </c>
      <c r="FA66" s="889">
        <f t="shared" si="29"/>
        <v>0</v>
      </c>
      <c r="FB66" s="889">
        <f t="shared" si="30"/>
        <v>0</v>
      </c>
      <c r="FC66" s="889">
        <f t="shared" si="31"/>
        <v>0</v>
      </c>
      <c r="FD66" s="889">
        <f t="shared" si="32"/>
        <v>0</v>
      </c>
      <c r="FE66" s="889">
        <f t="shared" si="33"/>
        <v>0</v>
      </c>
      <c r="FF66" s="889">
        <f t="shared" si="34"/>
        <v>0</v>
      </c>
      <c r="FG66" s="889">
        <f t="shared" si="35"/>
        <v>0</v>
      </c>
      <c r="FH66" s="889">
        <f t="shared" si="36"/>
        <v>0</v>
      </c>
      <c r="FI66" s="889">
        <f t="shared" si="37"/>
        <v>0</v>
      </c>
      <c r="FJ66" s="889">
        <f t="shared" si="38"/>
        <v>0</v>
      </c>
      <c r="FK66" s="889">
        <f t="shared" si="39"/>
        <v>0</v>
      </c>
      <c r="FL66" s="889">
        <f t="shared" si="40"/>
        <v>0</v>
      </c>
      <c r="FM66" s="889">
        <f t="shared" si="41"/>
        <v>0</v>
      </c>
      <c r="FN66" s="889">
        <f t="shared" si="42"/>
        <v>0</v>
      </c>
      <c r="FO66" s="889">
        <f t="shared" si="43"/>
        <v>0</v>
      </c>
      <c r="FP66" s="889">
        <f t="shared" si="44"/>
        <v>0</v>
      </c>
      <c r="FQ66" s="889">
        <f t="shared" si="45"/>
        <v>0</v>
      </c>
      <c r="FR66" s="889">
        <f t="shared" si="46"/>
        <v>0</v>
      </c>
      <c r="FS66" s="889">
        <f t="shared" si="47"/>
        <v>0</v>
      </c>
      <c r="FT66" s="889">
        <f t="shared" si="48"/>
        <v>0</v>
      </c>
      <c r="FU66" s="889">
        <f t="shared" si="553"/>
        <v>0</v>
      </c>
      <c r="FV66" s="889">
        <f t="shared" si="554"/>
        <v>0</v>
      </c>
      <c r="FW66" s="889">
        <f t="shared" si="555"/>
        <v>0</v>
      </c>
      <c r="FX66" s="889">
        <f t="shared" si="556"/>
        <v>0</v>
      </c>
      <c r="FY66" s="889">
        <f t="shared" si="53"/>
        <v>0</v>
      </c>
      <c r="FZ66" s="889">
        <f t="shared" si="54"/>
        <v>0</v>
      </c>
      <c r="GA66" s="889">
        <f t="shared" si="55"/>
        <v>0</v>
      </c>
      <c r="GB66" s="889">
        <f t="shared" si="56"/>
        <v>0</v>
      </c>
      <c r="GC66" s="889">
        <f t="shared" si="57"/>
        <v>0</v>
      </c>
      <c r="GD66" s="889">
        <f t="shared" si="58"/>
        <v>0</v>
      </c>
      <c r="GE66" s="889">
        <f t="shared" si="59"/>
        <v>0</v>
      </c>
      <c r="GF66" s="889">
        <f t="shared" si="60"/>
        <v>0</v>
      </c>
      <c r="GG66" s="889">
        <f t="shared" si="61"/>
        <v>0</v>
      </c>
      <c r="GH66" s="889">
        <f t="shared" si="62"/>
        <v>0</v>
      </c>
      <c r="GI66" s="889">
        <f t="shared" si="63"/>
        <v>0</v>
      </c>
      <c r="GJ66" s="889">
        <f t="shared" si="64"/>
        <v>0</v>
      </c>
      <c r="GK66" s="889">
        <f t="shared" si="65"/>
        <v>0</v>
      </c>
      <c r="GL66" s="889">
        <f t="shared" si="557"/>
        <v>0</v>
      </c>
      <c r="GM66" s="889">
        <f t="shared" si="66"/>
        <v>0</v>
      </c>
    </row>
    <row r="67" spans="1:195" s="888" customFormat="1" ht="24" hidden="1" customHeight="1">
      <c r="A67" s="870" t="s">
        <v>334</v>
      </c>
      <c r="B67" s="870" t="s">
        <v>1155</v>
      </c>
      <c r="C67" s="872" t="str">
        <f t="shared" si="558"/>
        <v>PMCC-2</v>
      </c>
      <c r="D67" s="872" t="s">
        <v>1598</v>
      </c>
      <c r="E67" s="908" t="s">
        <v>1152</v>
      </c>
      <c r="F67" s="870" t="s">
        <v>29</v>
      </c>
      <c r="G67" s="870" t="s">
        <v>329</v>
      </c>
      <c r="H67" s="874">
        <v>0.2</v>
      </c>
      <c r="I67" s="870" t="s">
        <v>330</v>
      </c>
      <c r="J67" s="870" t="s">
        <v>357</v>
      </c>
      <c r="K67" s="875">
        <v>230</v>
      </c>
      <c r="L67" s="876">
        <v>0.85</v>
      </c>
      <c r="M67" s="877">
        <v>0.95</v>
      </c>
      <c r="N67" s="878">
        <f t="shared" si="603"/>
        <v>1.0768609503297888</v>
      </c>
      <c r="O67" s="878">
        <f t="shared" si="604"/>
        <v>0</v>
      </c>
      <c r="P67" s="876" t="str">
        <f t="shared" si="605"/>
        <v>0.00</v>
      </c>
      <c r="Q67" s="877">
        <v>65</v>
      </c>
      <c r="R67" s="877">
        <v>0</v>
      </c>
      <c r="S67" s="877">
        <f t="shared" si="606"/>
        <v>0</v>
      </c>
      <c r="T67" s="876" t="s">
        <v>332</v>
      </c>
      <c r="U67" s="877" t="s">
        <v>333</v>
      </c>
      <c r="V67" s="876">
        <v>2.5</v>
      </c>
      <c r="W67" s="876" t="str">
        <f t="shared" si="607"/>
        <v>3C X 2.5</v>
      </c>
      <c r="X67" s="876" t="str">
        <f t="shared" si="608"/>
        <v>3C X 2.5</v>
      </c>
      <c r="Y67" s="876" t="s">
        <v>358</v>
      </c>
      <c r="Z67" s="879">
        <f>IF(T67="AIR",VLOOKUP(W67,'Catalogue Aluminium'!$B$9:$G$93,2,FALSE),IF(T67="GROUND",VLOOKUP(W67,'Catalogue Aluminium'!$B$9:$G$93,3,FALSE),IF(T67="DUCT",VLOOKUP(W67,'Catalogue Aluminium'!$B$9:$G$93,4,FALSE),IF(T67="TRENCH",VLOOKUP(W67,'Catalogue Aluminium'!$B$9:$G$93,2,FALSE)))))</f>
        <v>28</v>
      </c>
      <c r="AA67" s="880">
        <f>VLOOKUP(W67,'Catalogue Aluminium'!$B$9:$G$93,5,FALSE)</f>
        <v>9.48</v>
      </c>
      <c r="AB67" s="880">
        <f>VLOOKUP(W67,'Catalogue Aluminium'!$B$9:$G$93,6,FALSE)</f>
        <v>0.1007</v>
      </c>
      <c r="AC67" s="876">
        <v>22</v>
      </c>
      <c r="AD67" s="876">
        <f t="shared" ref="AD67" si="621">95+5</f>
        <v>100</v>
      </c>
      <c r="AE67" s="876">
        <v>10</v>
      </c>
      <c r="AF67" s="876">
        <v>8</v>
      </c>
      <c r="AG67" s="876">
        <f t="shared" ref="AG67" si="622">ROUNDUP((SUM(AC67:AF67)*0.1),0)</f>
        <v>14</v>
      </c>
      <c r="AH67" s="881">
        <f t="shared" ref="AH67" si="623">SUM(AC67:AG67)</f>
        <v>154</v>
      </c>
      <c r="AI67" s="879">
        <f>IF(T67="AIR",'Catalogue Aluminium'!$K$9,IF(T67="TRENCH",'Catalogue Aluminium'!$K$12,"NA"))</f>
        <v>0.89</v>
      </c>
      <c r="AJ67" s="407">
        <f>IF(T67="Air",(IF(U67="1C",'Catalogue Aluminium'!$L$9,'Catalogue Aluminium'!$M$9)),IF(T67="DUCT",(IF($U67="1C",'Catalogue Aluminium'!$L$10,'Catalogue Aluminium'!$M$10)),IF(T67="GROUND",(IF($U67="1C",'Catalogue Aluminium'!$L$11,'Catalogue Aluminium'!$M$11)),IF(T67="TRENCH",(IF($U67="1C",'Catalogue Aluminium'!$L$12,'Catalogue Aluminium'!$M$12))))))</f>
        <v>0.66</v>
      </c>
      <c r="AK67" s="408" t="str">
        <f>IF(T67="Air",'Catalogue Aluminium'!$N$9,IF(T67="GROUND",'Catalogue Aluminium'!$N$10,IF(T67="DUCT",'Catalogue Aluminium'!$N$11,IF(T67="TRENCH",'Catalogue Aluminium'!$N$12,"NA"))))</f>
        <v>NA</v>
      </c>
      <c r="AL67" s="408" t="str">
        <f>IF(T67="Air",(IF(U67="1C",'Catalogue Aluminium'!$O$9,'Catalogue Aluminium'!$P$9)),IF(T67="DUCT",(IF($U67="1C",'Catalogue Aluminium'!$O$10,'Catalogue Aluminium'!$P$10)),IF(T67="GROUND",(IF($U67="1C",'Catalogue Aluminium'!$O$11,'Catalogue Aluminium'!$P$11)),IF(T67="TRENCH",(IF($U67="1C",'Catalogue Aluminium'!$O$12,'Catalogue Aluminium'!$P$12))))))</f>
        <v>NA</v>
      </c>
      <c r="AM67" s="408" t="str">
        <f>IF(T67="AIR","NA",IF(T67="TRENCH","NA",IF(T67="DUCT",IF(U67="1C",VLOOKUP(V67,'Catalogue Aluminium'!$Q$9:$S$28,2,FALSE),VLOOKUP(V67,'Catalogue Aluminium'!$Q$9:$S$28,3)),IF(T67="GROUND",IF(U67="1C",VLOOKUP(V67,'Catalogue Aluminium'!$Q$9:$S$28,2,FALSE),VLOOKUP(V67,'Catalogue Aluminium'!$Q$9:$S$28,3))))))</f>
        <v>NA</v>
      </c>
      <c r="AN67" s="584">
        <f t="shared" si="611"/>
        <v>0.58740000000000003</v>
      </c>
      <c r="AO67" s="877">
        <f t="shared" si="612"/>
        <v>16.447200000000002</v>
      </c>
      <c r="AP67" s="875">
        <f t="shared" si="613"/>
        <v>1</v>
      </c>
      <c r="AQ67" s="877" t="str">
        <f t="shared" si="614"/>
        <v>YES</v>
      </c>
      <c r="AR67" s="882">
        <f t="shared" si="615"/>
        <v>1.0129547835231685</v>
      </c>
      <c r="AS67" s="876" t="str">
        <f t="shared" si="616"/>
        <v>YES</v>
      </c>
      <c r="AT67" s="882" t="str">
        <f t="shared" si="617"/>
        <v>NA</v>
      </c>
      <c r="AU67" s="876" t="str">
        <f t="shared" si="618"/>
        <v>NA</v>
      </c>
      <c r="AV67" s="883" t="str">
        <f t="shared" si="619"/>
        <v>1R x 0.6/1kV x 3C x 2.5 Sqmm</v>
      </c>
      <c r="AW67" s="883" t="str">
        <f t="shared" si="620"/>
        <v>1R x 0.6/1kV x 3C x 2.5 Sqmm</v>
      </c>
      <c r="AX67" s="876"/>
      <c r="AY67" s="884"/>
      <c r="AZ67" s="884"/>
      <c r="BA67" s="885"/>
      <c r="BB67" s="886"/>
      <c r="BC67" s="887"/>
      <c r="BE67" s="889"/>
      <c r="BF67" s="889"/>
      <c r="BG67" s="889"/>
      <c r="BH67" s="889"/>
      <c r="BI67" s="889"/>
      <c r="BJ67" s="889"/>
      <c r="BK67" s="889"/>
      <c r="BL67" s="889"/>
      <c r="BM67" s="889"/>
      <c r="BN67" s="889"/>
      <c r="BO67" s="889"/>
      <c r="BP67" s="889"/>
      <c r="BQ67" s="889"/>
      <c r="BR67" s="889"/>
      <c r="BS67" s="889"/>
      <c r="BT67" s="889"/>
      <c r="BU67" s="889"/>
      <c r="BV67" s="889"/>
      <c r="BW67" s="889"/>
      <c r="BX67" s="889"/>
      <c r="BY67" s="889"/>
      <c r="BZ67" s="889"/>
      <c r="CA67" s="889"/>
      <c r="CB67" s="889"/>
      <c r="CC67" s="889"/>
      <c r="CD67" s="889"/>
      <c r="CE67" s="889"/>
      <c r="CF67" s="889"/>
      <c r="CG67" s="889"/>
      <c r="CH67" s="889"/>
      <c r="CI67" s="889"/>
      <c r="CJ67" s="889"/>
      <c r="CK67" s="889"/>
      <c r="CL67" s="889"/>
      <c r="CM67" s="889"/>
      <c r="CN67" s="889"/>
      <c r="CO67" s="889"/>
      <c r="CP67" s="889"/>
      <c r="CQ67" s="889"/>
      <c r="CR67" s="889"/>
      <c r="CS67" s="889"/>
      <c r="CT67" s="889"/>
      <c r="CU67" s="889"/>
      <c r="CV67" s="889"/>
      <c r="CW67" s="889"/>
      <c r="CX67" s="889"/>
      <c r="CY67" s="889"/>
      <c r="CZ67" s="889"/>
      <c r="DA67" s="889"/>
      <c r="DB67" s="889">
        <v>1</v>
      </c>
      <c r="DC67" s="889">
        <v>1</v>
      </c>
      <c r="DD67" s="889">
        <v>1</v>
      </c>
      <c r="DE67" s="889">
        <v>1</v>
      </c>
      <c r="DF67" s="889">
        <v>1</v>
      </c>
      <c r="DG67" s="889"/>
      <c r="DH67" s="889"/>
      <c r="DI67" s="889"/>
      <c r="DJ67" s="909"/>
      <c r="DK67" s="909"/>
      <c r="DL67" s="909"/>
      <c r="DM67" s="909"/>
      <c r="DN67" s="909"/>
      <c r="DO67" s="909"/>
      <c r="DP67" s="909"/>
      <c r="DQ67" s="889"/>
      <c r="DR67" s="909"/>
      <c r="DS67" s="909"/>
      <c r="DT67" s="909"/>
      <c r="DU67" s="889"/>
      <c r="DW67" s="889">
        <f t="shared" ref="DW67" si="624">IF(BE67=1,($BC67*BE67),0)</f>
        <v>0</v>
      </c>
      <c r="DX67" s="889">
        <f t="shared" ref="DX67" si="625">IF(BF67=1,($BC67*BF67),0)</f>
        <v>0</v>
      </c>
      <c r="DY67" s="889">
        <f t="shared" ref="DY67" si="626">IF(BG67=1,($BC67*BG67),0)</f>
        <v>0</v>
      </c>
      <c r="DZ67" s="889">
        <f t="shared" ref="DZ67" si="627">IF(BH67=1,($BC67*BH67),0)</f>
        <v>0</v>
      </c>
      <c r="EA67" s="889">
        <f t="shared" ref="EA67" si="628">IF(BI67=1,($BC67*BI67),0)</f>
        <v>0</v>
      </c>
      <c r="EB67" s="889">
        <f t="shared" ref="EB67" si="629">IF(BJ67=1,($BC67*BJ67),0)</f>
        <v>0</v>
      </c>
      <c r="EC67" s="889">
        <f t="shared" ref="EC67" si="630">IF(BK67=1,($BC67*BK67),0)</f>
        <v>0</v>
      </c>
      <c r="ED67" s="889">
        <f t="shared" ref="ED67" si="631">IF(BL67=1,($BC67*BL67),0)</f>
        <v>0</v>
      </c>
      <c r="EE67" s="889">
        <f t="shared" ref="EE67" si="632">IF(BM67=1,($BC67*BM67),0)</f>
        <v>0</v>
      </c>
      <c r="EF67" s="889">
        <f t="shared" ref="EF67" si="633">IF(BN67=1,($BC67*BN67),0)</f>
        <v>0</v>
      </c>
      <c r="EG67" s="889">
        <f t="shared" ref="EG67" si="634">IF(BO67=1,($BC67*BO67),0)</f>
        <v>0</v>
      </c>
      <c r="EH67" s="889">
        <f t="shared" ref="EH67" si="635">IF(BP67=1,($BC67*BP67),0)</f>
        <v>0</v>
      </c>
      <c r="EI67" s="889">
        <f t="shared" ref="EI67" si="636">IF(BQ67=1,($BC67*BQ67),0)</f>
        <v>0</v>
      </c>
      <c r="EJ67" s="889">
        <f t="shared" ref="EJ67" si="637">IF(BR67=1,($BC67*BR67),0)</f>
        <v>0</v>
      </c>
      <c r="EK67" s="889">
        <f t="shared" ref="EK67" si="638">IF(BS67=1,($BC67*BS67),0)</f>
        <v>0</v>
      </c>
      <c r="EL67" s="889">
        <f t="shared" ref="EL67" si="639">IF(BT67=1,($BC67*BT67),0)</f>
        <v>0</v>
      </c>
      <c r="EM67" s="889">
        <f t="shared" ref="EM67" si="640">IF(BU67=1,($BC67*BU67),0)</f>
        <v>0</v>
      </c>
      <c r="EN67" s="889">
        <f t="shared" ref="EN67" si="641">IF(BV67=1,($BC67*BV67),0)</f>
        <v>0</v>
      </c>
      <c r="EO67" s="889">
        <f t="shared" ref="EO67" si="642">IF(BW67=1,($BC67*BW67),0)</f>
        <v>0</v>
      </c>
      <c r="EP67" s="889">
        <f t="shared" ref="EP67" si="643">IF(BX67=1,($BC67*BX67),0)</f>
        <v>0</v>
      </c>
      <c r="EQ67" s="889">
        <f t="shared" ref="EQ67" si="644">IF(BY67=1,($BC67*BY67),0)</f>
        <v>0</v>
      </c>
      <c r="ER67" s="889">
        <f t="shared" ref="ER67" si="645">IF(BZ67=1,($BC67*BZ67),0)</f>
        <v>0</v>
      </c>
      <c r="ES67" s="889">
        <f t="shared" ref="ES67" si="646">IF(CA67=1,($BC67*CA67),0)</f>
        <v>0</v>
      </c>
      <c r="ET67" s="889">
        <f t="shared" si="22"/>
        <v>0</v>
      </c>
      <c r="EU67" s="889">
        <f t="shared" ref="EU67" si="647">IF(CC67=1,($BC67*CC67),0)</f>
        <v>0</v>
      </c>
      <c r="EV67" s="889">
        <f t="shared" ref="EV67" si="648">IF(CD67=1,($BC67*CD67),0)</f>
        <v>0</v>
      </c>
      <c r="EW67" s="889">
        <f t="shared" ref="EW67" si="649">IF(CE67=1,($BC67*CE67),0)</f>
        <v>0</v>
      </c>
      <c r="EX67" s="889">
        <f t="shared" ref="EX67" si="650">IF(CF67=1,($BC67*CF67),0)</f>
        <v>0</v>
      </c>
      <c r="EY67" s="889">
        <f t="shared" ref="EY67" si="651">IF(CG67=1,($BC67*CG67),0)</f>
        <v>0</v>
      </c>
      <c r="EZ67" s="889">
        <f t="shared" ref="EZ67" si="652">IF(CH67=1,($BC67*CH67),0)</f>
        <v>0</v>
      </c>
      <c r="FA67" s="889">
        <f t="shared" ref="FA67" si="653">IF(CI67=1,($BC67*CI67),0)</f>
        <v>0</v>
      </c>
      <c r="FB67" s="889">
        <f t="shared" ref="FB67" si="654">IF(CJ67=1,($BC67*CJ67),0)</f>
        <v>0</v>
      </c>
      <c r="FC67" s="889">
        <f t="shared" ref="FC67" si="655">IF(CK67=1,($BC67*CK67),0)</f>
        <v>0</v>
      </c>
      <c r="FD67" s="889">
        <f t="shared" ref="FD67" si="656">IF(CL67=1,($BC67*CL67),0)</f>
        <v>0</v>
      </c>
      <c r="FE67" s="889">
        <f t="shared" ref="FE67" si="657">IF(CM67=1,($BC67*CM67),0)</f>
        <v>0</v>
      </c>
      <c r="FF67" s="889">
        <f t="shared" ref="FF67" si="658">IF(CN67=1,($BC67*CN67),0)</f>
        <v>0</v>
      </c>
      <c r="FG67" s="889">
        <f t="shared" ref="FG67" si="659">IF(CO67=1,($BC67*CO67),0)</f>
        <v>0</v>
      </c>
      <c r="FH67" s="889">
        <f t="shared" ref="FH67" si="660">IF(CP67=1,($BC67*CP67),0)</f>
        <v>0</v>
      </c>
      <c r="FI67" s="889">
        <f t="shared" ref="FI67" si="661">IF(CQ67=1,($BC67*CQ67),0)</f>
        <v>0</v>
      </c>
      <c r="FJ67" s="889">
        <f t="shared" ref="FJ67" si="662">IF(CR67=1,($BC67*CR67),0)</f>
        <v>0</v>
      </c>
      <c r="FK67" s="889">
        <f t="shared" ref="FK67" si="663">IF(CS67=1,($BC67*CS67),0)</f>
        <v>0</v>
      </c>
      <c r="FL67" s="889">
        <f t="shared" ref="FL67" si="664">IF(CT67=1,($BC67*CT67),0)</f>
        <v>0</v>
      </c>
      <c r="FM67" s="889">
        <f t="shared" ref="FM67" si="665">IF(CU67=1,($BC67*CU67),0)</f>
        <v>0</v>
      </c>
      <c r="FN67" s="889">
        <f t="shared" ref="FN67" si="666">IF(CV67=1,($BC67*CV67),0)</f>
        <v>0</v>
      </c>
      <c r="FO67" s="889">
        <f t="shared" ref="FO67" si="667">IF(CW67=1,($BC67*CW67),0)</f>
        <v>0</v>
      </c>
      <c r="FP67" s="889">
        <f t="shared" ref="FP67" si="668">IF(CX67=1,($BC67*CX67),0)</f>
        <v>0</v>
      </c>
      <c r="FQ67" s="889">
        <f t="shared" ref="FQ67" si="669">IF(CY67=1,($BC67*CY67),0)</f>
        <v>0</v>
      </c>
      <c r="FR67" s="889">
        <f t="shared" ref="FR67" si="670">IF(CZ67=1,($BC67*CZ67),0)</f>
        <v>0</v>
      </c>
      <c r="FS67" s="889">
        <f t="shared" ref="FS67" si="671">IF(DA67=1,($BC67*DA67),0)</f>
        <v>0</v>
      </c>
      <c r="FT67" s="889">
        <f t="shared" ref="FT67" si="672">IF(DB67=1,($BC67*DB67),0)</f>
        <v>0</v>
      </c>
      <c r="FU67" s="889">
        <f t="shared" si="553"/>
        <v>0</v>
      </c>
      <c r="FV67" s="889">
        <f t="shared" si="554"/>
        <v>0</v>
      </c>
      <c r="FW67" s="889">
        <f t="shared" si="555"/>
        <v>0</v>
      </c>
      <c r="FX67" s="889">
        <f t="shared" si="556"/>
        <v>0</v>
      </c>
      <c r="FY67" s="889">
        <f t="shared" si="53"/>
        <v>0</v>
      </c>
      <c r="FZ67" s="889">
        <f t="shared" si="54"/>
        <v>0</v>
      </c>
      <c r="GA67" s="889">
        <f t="shared" si="55"/>
        <v>0</v>
      </c>
      <c r="GB67" s="889">
        <f t="shared" si="56"/>
        <v>0</v>
      </c>
      <c r="GC67" s="889">
        <f t="shared" si="57"/>
        <v>0</v>
      </c>
      <c r="GD67" s="889">
        <f t="shared" si="58"/>
        <v>0</v>
      </c>
      <c r="GE67" s="889">
        <f t="shared" si="59"/>
        <v>0</v>
      </c>
      <c r="GF67" s="889">
        <f t="shared" si="60"/>
        <v>0</v>
      </c>
      <c r="GG67" s="889">
        <f t="shared" si="61"/>
        <v>0</v>
      </c>
      <c r="GH67" s="889">
        <f t="shared" si="62"/>
        <v>0</v>
      </c>
      <c r="GI67" s="889">
        <f t="shared" si="63"/>
        <v>0</v>
      </c>
      <c r="GJ67" s="889">
        <f t="shared" si="64"/>
        <v>0</v>
      </c>
      <c r="GK67" s="889">
        <f t="shared" si="65"/>
        <v>0</v>
      </c>
      <c r="GL67" s="889">
        <f t="shared" si="557"/>
        <v>0</v>
      </c>
      <c r="GM67" s="889">
        <f t="shared" si="66"/>
        <v>0</v>
      </c>
    </row>
    <row r="68" spans="1:195" s="888" customFormat="1" ht="36.75" hidden="1" customHeight="1">
      <c r="A68" s="870" t="s">
        <v>334</v>
      </c>
      <c r="B68" s="870" t="s">
        <v>1157</v>
      </c>
      <c r="C68" s="872" t="str">
        <f t="shared" si="558"/>
        <v>PMCC-2</v>
      </c>
      <c r="D68" s="872" t="s">
        <v>1158</v>
      </c>
      <c r="E68" s="908" t="s">
        <v>1152</v>
      </c>
      <c r="F68" s="870" t="s">
        <v>28</v>
      </c>
      <c r="G68" s="870" t="s">
        <v>350</v>
      </c>
      <c r="H68" s="877">
        <v>18.5</v>
      </c>
      <c r="I68" s="870" t="s">
        <v>330</v>
      </c>
      <c r="J68" s="870" t="s">
        <v>331</v>
      </c>
      <c r="K68" s="875">
        <v>400</v>
      </c>
      <c r="L68" s="876">
        <v>0.75</v>
      </c>
      <c r="M68" s="877">
        <v>0.85299999999999998</v>
      </c>
      <c r="N68" s="878">
        <f t="shared" ref="N68:N75" si="673">IF(I68="kVA",IF(J68="3Ph",(H68*1000/(1.732*M68*K68)),(H68*1000/(M68*K68))),IF(I68="kW",IF(J68="3Ph",(H68*1000/(1.732*M68*K68*L68)),(H68*1000/(M68*K68*L68)))))</f>
        <v>41.740106692225147</v>
      </c>
      <c r="O68" s="878">
        <f t="shared" ref="O68:O75" si="674">IF(G68="MOTOR",(6*N68),IF(G68="VFD",(1*N68),0))</f>
        <v>250.4406401533509</v>
      </c>
      <c r="P68" s="876">
        <f t="shared" ref="P68:P75" si="675">IF(G68="MOTOR",0.2,"0.00")</f>
        <v>0.2</v>
      </c>
      <c r="Q68" s="877">
        <v>65</v>
      </c>
      <c r="R68" s="877">
        <v>0</v>
      </c>
      <c r="S68" s="877">
        <f t="shared" ref="S68:S75" si="676">(Q68*1000*SQRT(R68)/143)</f>
        <v>0</v>
      </c>
      <c r="T68" s="876" t="s">
        <v>332</v>
      </c>
      <c r="U68" s="877" t="s">
        <v>333</v>
      </c>
      <c r="V68" s="876">
        <v>4</v>
      </c>
      <c r="W68" s="876" t="str">
        <f t="shared" ref="W68:W75" si="677">CONCATENATE(U68," X ",V68)</f>
        <v>3C X 4</v>
      </c>
      <c r="X68" s="876" t="str">
        <f t="shared" ref="X68:X69" si="678">(IF(J68="1Ph",W68,IF(J68="3Ph",(IF(G68="MOTOR",(CONCATENATE(W68,"+PE")),W68)))))</f>
        <v>3C X 4+PE</v>
      </c>
      <c r="Y68" s="876" t="s">
        <v>358</v>
      </c>
      <c r="Z68" s="879">
        <f>IF(T68="AIR",VLOOKUP(W68,'Catalogue Aluminium'!$B$9:$G$93,2,FALSE),IF(T68="GROUND",VLOOKUP(W68,'Catalogue Aluminium'!$B$9:$G$93,3,FALSE),IF(T68="DUCT",VLOOKUP(W68,'Catalogue Aluminium'!$B$9:$G$93,4,FALSE),IF(T68="TRENCH",VLOOKUP(W68,'Catalogue Aluminium'!$B$9:$G$93,2,FALSE)))))</f>
        <v>38</v>
      </c>
      <c r="AA68" s="880">
        <f>VLOOKUP(W68,'Catalogue Aluminium'!$B$9:$G$93,5,FALSE)</f>
        <v>5.9</v>
      </c>
      <c r="AB68" s="880">
        <f>VLOOKUP(W68,'Catalogue Aluminium'!$B$9:$G$93,6,FALSE)</f>
        <v>9.4700000000000006E-2</v>
      </c>
      <c r="AC68" s="876">
        <f t="shared" si="586"/>
        <v>12</v>
      </c>
      <c r="AD68" s="876">
        <f t="shared" si="576"/>
        <v>36.4</v>
      </c>
      <c r="AE68" s="876">
        <v>20</v>
      </c>
      <c r="AF68" s="876">
        <v>8</v>
      </c>
      <c r="AG68" s="876">
        <f t="shared" ref="AG68:AG72" si="679">ROUNDUP((SUM(AC68:AF68)*0.1),0)</f>
        <v>8</v>
      </c>
      <c r="AH68" s="881">
        <f t="shared" ref="AH68:AH72" si="680">SUM(AC68:AG68)</f>
        <v>84.4</v>
      </c>
      <c r="AI68" s="879">
        <f>IF(T68="AIR",'Catalogue Aluminium'!$K$9,IF(T68="TRENCH",'Catalogue Aluminium'!$K$12,"NA"))</f>
        <v>0.89</v>
      </c>
      <c r="AJ68" s="407">
        <f>IF(T68="Air",(IF(U68="1C",'Catalogue Aluminium'!$L$9,'Catalogue Aluminium'!$M$9)),IF(T68="DUCT",(IF($U68="1C",'Catalogue Aluminium'!$L$10,'Catalogue Aluminium'!$M$10)),IF(T68="GROUND",(IF($U68="1C",'Catalogue Aluminium'!$L$11,'Catalogue Aluminium'!$M$11)),IF(T68="TRENCH",(IF($U68="1C",'Catalogue Aluminium'!$L$12,'Catalogue Aluminium'!$M$12))))))</f>
        <v>0.66</v>
      </c>
      <c r="AK68" s="408" t="str">
        <f>IF(T68="Air",'Catalogue Aluminium'!$N$9,IF(T68="GROUND",'Catalogue Aluminium'!$N$10,IF(T68="DUCT",'Catalogue Aluminium'!$N$11,IF(T68="TRENCH",'Catalogue Aluminium'!$N$12,"NA"))))</f>
        <v>NA</v>
      </c>
      <c r="AL68" s="408" t="str">
        <f>IF(T68="Air",(IF(U68="1C",'Catalogue Aluminium'!$O$9,'Catalogue Aluminium'!$P$9)),IF(T68="DUCT",(IF($U68="1C",'Catalogue Aluminium'!$O$10,'Catalogue Aluminium'!$P$10)),IF(T68="GROUND",(IF($U68="1C",'Catalogue Aluminium'!$O$11,'Catalogue Aluminium'!$P$11)),IF(T68="TRENCH",(IF($U68="1C",'Catalogue Aluminium'!$O$12,'Catalogue Aluminium'!$P$12))))))</f>
        <v>NA</v>
      </c>
      <c r="AM68" s="408" t="str">
        <f>IF(T68="AIR","NA",IF(T68="TRENCH","NA",IF(T68="DUCT",IF(U68="1C",VLOOKUP(V68,'Catalogue Aluminium'!$Q$9:$S$28,2,FALSE),VLOOKUP(V68,'Catalogue Aluminium'!$Q$9:$S$28,3)),IF(T68="GROUND",IF(U68="1C",VLOOKUP(V68,'Catalogue Aluminium'!$Q$9:$S$28,2,FALSE),VLOOKUP(V68,'Catalogue Aluminium'!$Q$9:$S$28,3))))))</f>
        <v>NA</v>
      </c>
      <c r="AN68" s="584">
        <f t="shared" ref="AN68:AN73" si="681">IF(T68="AIR",AI68*AJ68,IF(T68="TRENCH",AI68*AJ68,IF(T68="DUCT",AJ68*AK68*AL68*AM68,IF(T68="GROUND",AJ68*AK68*AL68*AM68))))</f>
        <v>0.58740000000000003</v>
      </c>
      <c r="AO68" s="877">
        <f t="shared" ref="AO68:AO73" si="682">Z68*AN68</f>
        <v>22.321200000000001</v>
      </c>
      <c r="AP68" s="875">
        <f t="shared" ref="AP68:AP73" si="683">CEILING(((N68)/AO68),1)</f>
        <v>2</v>
      </c>
      <c r="AQ68" s="877" t="str">
        <f t="shared" ref="AQ68:AQ73" si="684">IF(AO68*AP68&gt;=N68,"YES","NO")</f>
        <v>YES</v>
      </c>
      <c r="AR68" s="882">
        <f t="shared" ref="AR68:AR73" si="685">SQRT(3)*AH68*N68*((AA68*L68)+(AB68*SIN(ACOS(L68))))*100/(AP68*K68*1000)</f>
        <v>3.4228232582344389</v>
      </c>
      <c r="AS68" s="876" t="str">
        <f t="shared" ref="AS68:AS73" si="686">IF(G68="INCOMER",(IF(AR68&lt;=2,"YES","NO")),IF(G68="POWER",(IF(AR68&lt;=2.5,"YES","NO")),IF(G68="MOTOR",(IF(AR68&lt;=3,"YES","NO")))))</f>
        <v>NO</v>
      </c>
      <c r="AT68" s="882">
        <f t="shared" ref="AT68:AT73" si="687">IF(G68="MOTOR",(SQRT(3)*AH68*O68*((AA68*P68)+(AB68*SIN(ACOS(P68))))*100/(AP68*K68*1000)),"NA")</f>
        <v>5.8246993152540272</v>
      </c>
      <c r="AU68" s="876" t="str">
        <f t="shared" ref="AU68:AU73" si="688">IF(G68="MOTOR",IF(AT68&lt;=15,"YES","NO"),"NA")</f>
        <v>YES</v>
      </c>
      <c r="AV68" s="883" t="str">
        <f t="shared" ref="AV68:AV73" si="689">IF(U68="1C",CONCATENATE(AP68,"R x ",Y68,"kV x ",U68," x ",V68," Sqmm/Phase"),CONCATENATE(AP68,"R x ",0.6,"/1kV x ",U68," x ",V68," Sqmm"))</f>
        <v>2R x 0.6/1kV x 3C x 4 Sqmm</v>
      </c>
      <c r="AW68" s="883" t="str">
        <f t="shared" ref="AW68:AW73" si="690">IF(U68="1C",CONCATENATE(AP68,"R x ",Y68,"kV x ",U68," x ",V68," Sqmm/Phase"),CONCATENATE(AP68,"R x ",0.6,"/1kV x ",U68," x ",V68,(IF(G68="MOTOR","+PE",""))," Sqmm"))</f>
        <v>2R x 0.6/1kV x 3C x 4+PE Sqmm</v>
      </c>
      <c r="AX68" s="876"/>
      <c r="AY68" s="884"/>
      <c r="AZ68" s="884"/>
      <c r="BA68" s="885"/>
      <c r="BB68" s="886"/>
      <c r="BC68" s="887"/>
      <c r="BE68" s="889"/>
      <c r="BF68" s="889"/>
      <c r="BG68" s="889"/>
      <c r="BH68" s="889"/>
      <c r="BI68" s="889"/>
      <c r="BJ68" s="889"/>
      <c r="BK68" s="889"/>
      <c r="BL68" s="889"/>
      <c r="BM68" s="889"/>
      <c r="BN68" s="889"/>
      <c r="BO68" s="889"/>
      <c r="BP68" s="889"/>
      <c r="BQ68" s="889"/>
      <c r="BR68" s="889"/>
      <c r="BS68" s="889"/>
      <c r="BT68" s="889"/>
      <c r="BU68" s="889"/>
      <c r="BV68" s="889"/>
      <c r="BW68" s="889"/>
      <c r="BX68" s="889"/>
      <c r="BY68" s="889"/>
      <c r="BZ68" s="889"/>
      <c r="CA68" s="889"/>
      <c r="CB68" s="889"/>
      <c r="CC68" s="889"/>
      <c r="CD68" s="889"/>
      <c r="CE68" s="889"/>
      <c r="CF68" s="889"/>
      <c r="CG68" s="889"/>
      <c r="CH68" s="889"/>
      <c r="CI68" s="889"/>
      <c r="CJ68" s="889"/>
      <c r="CK68" s="889"/>
      <c r="CL68" s="889"/>
      <c r="CM68" s="889"/>
      <c r="CN68" s="889"/>
      <c r="CO68" s="889"/>
      <c r="CP68" s="889"/>
      <c r="CQ68" s="889"/>
      <c r="CR68" s="889"/>
      <c r="CS68" s="889"/>
      <c r="CT68" s="889"/>
      <c r="CU68" s="889"/>
      <c r="CV68" s="889"/>
      <c r="CW68" s="889"/>
      <c r="CX68" s="889"/>
      <c r="CY68" s="889"/>
      <c r="CZ68" s="889"/>
      <c r="DA68" s="889"/>
      <c r="DB68" s="889">
        <v>1</v>
      </c>
      <c r="DC68" s="889">
        <v>1</v>
      </c>
      <c r="DD68" s="889">
        <v>1</v>
      </c>
      <c r="DE68" s="889">
        <v>1</v>
      </c>
      <c r="DF68" s="889">
        <v>1</v>
      </c>
      <c r="DG68" s="889"/>
      <c r="DH68" s="889"/>
      <c r="DI68" s="889"/>
      <c r="DJ68" s="909"/>
      <c r="DK68" s="909"/>
      <c r="DL68" s="909"/>
      <c r="DM68" s="909"/>
      <c r="DN68" s="909"/>
      <c r="DO68" s="909"/>
      <c r="DP68" s="909"/>
      <c r="DQ68" s="889"/>
      <c r="DR68" s="909"/>
      <c r="DS68" s="909"/>
      <c r="DT68" s="909"/>
      <c r="DU68" s="889"/>
      <c r="DW68" s="889">
        <f t="shared" si="80"/>
        <v>0</v>
      </c>
      <c r="DX68" s="889">
        <f t="shared" si="1"/>
        <v>0</v>
      </c>
      <c r="DY68" s="889">
        <f t="shared" si="2"/>
        <v>0</v>
      </c>
      <c r="DZ68" s="889">
        <f t="shared" si="3"/>
        <v>0</v>
      </c>
      <c r="EA68" s="889">
        <f t="shared" si="4"/>
        <v>0</v>
      </c>
      <c r="EB68" s="889">
        <f t="shared" si="5"/>
        <v>0</v>
      </c>
      <c r="EC68" s="889">
        <f t="shared" si="6"/>
        <v>0</v>
      </c>
      <c r="ED68" s="889">
        <f t="shared" si="7"/>
        <v>0</v>
      </c>
      <c r="EE68" s="889">
        <f t="shared" si="8"/>
        <v>0</v>
      </c>
      <c r="EF68" s="889">
        <f t="shared" si="9"/>
        <v>0</v>
      </c>
      <c r="EG68" s="889">
        <f t="shared" si="10"/>
        <v>0</v>
      </c>
      <c r="EH68" s="889">
        <f t="shared" si="11"/>
        <v>0</v>
      </c>
      <c r="EI68" s="889">
        <f t="shared" si="12"/>
        <v>0</v>
      </c>
      <c r="EJ68" s="889">
        <f t="shared" si="13"/>
        <v>0</v>
      </c>
      <c r="EK68" s="889">
        <f t="shared" si="14"/>
        <v>0</v>
      </c>
      <c r="EL68" s="889">
        <f t="shared" si="15"/>
        <v>0</v>
      </c>
      <c r="EM68" s="889">
        <f t="shared" si="16"/>
        <v>0</v>
      </c>
      <c r="EN68" s="889">
        <f t="shared" si="17"/>
        <v>0</v>
      </c>
      <c r="EO68" s="889">
        <f t="shared" si="18"/>
        <v>0</v>
      </c>
      <c r="EP68" s="889">
        <f t="shared" si="19"/>
        <v>0</v>
      </c>
      <c r="EQ68" s="889">
        <f t="shared" si="20"/>
        <v>0</v>
      </c>
      <c r="ER68" s="889">
        <f t="shared" si="21"/>
        <v>0</v>
      </c>
      <c r="ES68" s="889">
        <f t="shared" si="22"/>
        <v>0</v>
      </c>
      <c r="ET68" s="889">
        <f t="shared" si="22"/>
        <v>0</v>
      </c>
      <c r="EU68" s="889">
        <f t="shared" si="23"/>
        <v>0</v>
      </c>
      <c r="EV68" s="889">
        <f t="shared" si="24"/>
        <v>0</v>
      </c>
      <c r="EW68" s="889">
        <f t="shared" si="25"/>
        <v>0</v>
      </c>
      <c r="EX68" s="889">
        <f t="shared" si="26"/>
        <v>0</v>
      </c>
      <c r="EY68" s="889">
        <f t="shared" si="27"/>
        <v>0</v>
      </c>
      <c r="EZ68" s="889">
        <f t="shared" si="28"/>
        <v>0</v>
      </c>
      <c r="FA68" s="889">
        <f t="shared" si="29"/>
        <v>0</v>
      </c>
      <c r="FB68" s="889">
        <f t="shared" si="30"/>
        <v>0</v>
      </c>
      <c r="FC68" s="889">
        <f t="shared" si="31"/>
        <v>0</v>
      </c>
      <c r="FD68" s="889">
        <f t="shared" si="32"/>
        <v>0</v>
      </c>
      <c r="FE68" s="889">
        <f t="shared" si="33"/>
        <v>0</v>
      </c>
      <c r="FF68" s="889">
        <f t="shared" si="34"/>
        <v>0</v>
      </c>
      <c r="FG68" s="889">
        <f t="shared" si="35"/>
        <v>0</v>
      </c>
      <c r="FH68" s="889">
        <f t="shared" si="36"/>
        <v>0</v>
      </c>
      <c r="FI68" s="889">
        <f t="shared" si="37"/>
        <v>0</v>
      </c>
      <c r="FJ68" s="889">
        <f t="shared" si="38"/>
        <v>0</v>
      </c>
      <c r="FK68" s="889">
        <f t="shared" si="39"/>
        <v>0</v>
      </c>
      <c r="FL68" s="889">
        <f t="shared" si="40"/>
        <v>0</v>
      </c>
      <c r="FM68" s="889">
        <f t="shared" si="41"/>
        <v>0</v>
      </c>
      <c r="FN68" s="889">
        <f t="shared" si="42"/>
        <v>0</v>
      </c>
      <c r="FO68" s="889">
        <f t="shared" si="43"/>
        <v>0</v>
      </c>
      <c r="FP68" s="889">
        <f t="shared" si="44"/>
        <v>0</v>
      </c>
      <c r="FQ68" s="889">
        <f t="shared" si="45"/>
        <v>0</v>
      </c>
      <c r="FR68" s="889">
        <f t="shared" si="46"/>
        <v>0</v>
      </c>
      <c r="FS68" s="889">
        <f t="shared" si="47"/>
        <v>0</v>
      </c>
      <c r="FT68" s="889">
        <f t="shared" si="48"/>
        <v>0</v>
      </c>
      <c r="FU68" s="889">
        <f t="shared" si="553"/>
        <v>0</v>
      </c>
      <c r="FV68" s="889">
        <f t="shared" si="554"/>
        <v>0</v>
      </c>
      <c r="FW68" s="889">
        <f t="shared" si="555"/>
        <v>0</v>
      </c>
      <c r="FX68" s="889">
        <f t="shared" si="556"/>
        <v>0</v>
      </c>
      <c r="FY68" s="889">
        <f t="shared" si="53"/>
        <v>0</v>
      </c>
      <c r="FZ68" s="889">
        <f t="shared" si="54"/>
        <v>0</v>
      </c>
      <c r="GA68" s="889">
        <f t="shared" si="55"/>
        <v>0</v>
      </c>
      <c r="GB68" s="889">
        <f t="shared" si="56"/>
        <v>0</v>
      </c>
      <c r="GC68" s="889">
        <f t="shared" si="57"/>
        <v>0</v>
      </c>
      <c r="GD68" s="889">
        <f t="shared" si="58"/>
        <v>0</v>
      </c>
      <c r="GE68" s="889">
        <f t="shared" si="59"/>
        <v>0</v>
      </c>
      <c r="GF68" s="889">
        <f t="shared" si="60"/>
        <v>0</v>
      </c>
      <c r="GG68" s="889">
        <f t="shared" si="61"/>
        <v>0</v>
      </c>
      <c r="GH68" s="889">
        <f t="shared" si="62"/>
        <v>0</v>
      </c>
      <c r="GI68" s="889">
        <f t="shared" si="63"/>
        <v>0</v>
      </c>
      <c r="GJ68" s="889">
        <f t="shared" si="64"/>
        <v>0</v>
      </c>
      <c r="GK68" s="889">
        <f t="shared" si="65"/>
        <v>0</v>
      </c>
      <c r="GL68" s="889">
        <f t="shared" si="557"/>
        <v>0</v>
      </c>
      <c r="GM68" s="889">
        <f t="shared" si="66"/>
        <v>0</v>
      </c>
    </row>
    <row r="69" spans="1:195" s="888" customFormat="1" ht="36.75" hidden="1" customHeight="1">
      <c r="A69" s="870" t="s">
        <v>334</v>
      </c>
      <c r="B69" s="870" t="s">
        <v>1157</v>
      </c>
      <c r="C69" s="872" t="str">
        <f t="shared" si="558"/>
        <v>PMCC-2</v>
      </c>
      <c r="D69" s="872" t="s">
        <v>1599</v>
      </c>
      <c r="E69" s="908" t="s">
        <v>1152</v>
      </c>
      <c r="F69" s="870" t="s">
        <v>28</v>
      </c>
      <c r="G69" s="870" t="s">
        <v>329</v>
      </c>
      <c r="H69" s="874">
        <v>0.2</v>
      </c>
      <c r="I69" s="870" t="s">
        <v>330</v>
      </c>
      <c r="J69" s="870" t="s">
        <v>357</v>
      </c>
      <c r="K69" s="875">
        <v>230</v>
      </c>
      <c r="L69" s="876">
        <v>0.85</v>
      </c>
      <c r="M69" s="877">
        <v>0.95</v>
      </c>
      <c r="N69" s="878">
        <f t="shared" si="673"/>
        <v>1.0768609503297888</v>
      </c>
      <c r="O69" s="878">
        <f t="shared" si="674"/>
        <v>0</v>
      </c>
      <c r="P69" s="876" t="str">
        <f t="shared" si="675"/>
        <v>0.00</v>
      </c>
      <c r="Q69" s="877">
        <v>65</v>
      </c>
      <c r="R69" s="877">
        <v>0</v>
      </c>
      <c r="S69" s="877">
        <f t="shared" si="676"/>
        <v>0</v>
      </c>
      <c r="T69" s="876" t="s">
        <v>332</v>
      </c>
      <c r="U69" s="877" t="s">
        <v>333</v>
      </c>
      <c r="V69" s="876">
        <v>2.5</v>
      </c>
      <c r="W69" s="876" t="str">
        <f t="shared" si="677"/>
        <v>3C X 2.5</v>
      </c>
      <c r="X69" s="876" t="str">
        <f t="shared" si="678"/>
        <v>3C X 2.5</v>
      </c>
      <c r="Y69" s="876" t="s">
        <v>358</v>
      </c>
      <c r="Z69" s="879">
        <f>IF(T69="AIR",VLOOKUP(W69,'Catalogue Aluminium'!$B$9:$G$93,2,FALSE),IF(T69="GROUND",VLOOKUP(W69,'Catalogue Aluminium'!$B$9:$G$93,3,FALSE),IF(T69="DUCT",VLOOKUP(W69,'Catalogue Aluminium'!$B$9:$G$93,4,FALSE),IF(T69="TRENCH",VLOOKUP(W69,'Catalogue Aluminium'!$B$9:$G$93,2,FALSE)))))</f>
        <v>28</v>
      </c>
      <c r="AA69" s="880">
        <f>VLOOKUP(W69,'Catalogue Aluminium'!$B$9:$G$93,5,FALSE)</f>
        <v>9.48</v>
      </c>
      <c r="AB69" s="880">
        <f>VLOOKUP(W69,'Catalogue Aluminium'!$B$9:$G$93,6,FALSE)</f>
        <v>0.1007</v>
      </c>
      <c r="AC69" s="876">
        <v>22</v>
      </c>
      <c r="AD69" s="876">
        <f t="shared" ref="AD69" si="691">95+5</f>
        <v>100</v>
      </c>
      <c r="AE69" s="876">
        <v>10</v>
      </c>
      <c r="AF69" s="876">
        <v>8</v>
      </c>
      <c r="AG69" s="876">
        <f t="shared" ref="AG69" si="692">ROUNDUP((SUM(AC69:AF69)*0.1),0)</f>
        <v>14</v>
      </c>
      <c r="AH69" s="881">
        <f t="shared" ref="AH69" si="693">SUM(AC69:AG69)</f>
        <v>154</v>
      </c>
      <c r="AI69" s="879">
        <f>IF(T69="AIR",'Catalogue Aluminium'!$K$9,IF(T69="TRENCH",'Catalogue Aluminium'!$K$12,"NA"))</f>
        <v>0.89</v>
      </c>
      <c r="AJ69" s="407">
        <f>IF(T69="Air",(IF(U69="1C",'Catalogue Aluminium'!$L$9,'Catalogue Aluminium'!$M$9)),IF(T69="DUCT",(IF($U69="1C",'Catalogue Aluminium'!$L$10,'Catalogue Aluminium'!$M$10)),IF(T69="GROUND",(IF($U69="1C",'Catalogue Aluminium'!$L$11,'Catalogue Aluminium'!$M$11)),IF(T69="TRENCH",(IF($U69="1C",'Catalogue Aluminium'!$L$12,'Catalogue Aluminium'!$M$12))))))</f>
        <v>0.66</v>
      </c>
      <c r="AK69" s="408" t="str">
        <f>IF(T69="Air",'Catalogue Aluminium'!$N$9,IF(T69="GROUND",'Catalogue Aluminium'!$N$10,IF(T69="DUCT",'Catalogue Aluminium'!$N$11,IF(T69="TRENCH",'Catalogue Aluminium'!$N$12,"NA"))))</f>
        <v>NA</v>
      </c>
      <c r="AL69" s="408" t="str">
        <f>IF(T69="Air",(IF(U69="1C",'Catalogue Aluminium'!$O$9,'Catalogue Aluminium'!$P$9)),IF(T69="DUCT",(IF($U69="1C",'Catalogue Aluminium'!$O$10,'Catalogue Aluminium'!$P$10)),IF(T69="GROUND",(IF($U69="1C",'Catalogue Aluminium'!$O$11,'Catalogue Aluminium'!$P$11)),IF(T69="TRENCH",(IF($U69="1C",'Catalogue Aluminium'!$O$12,'Catalogue Aluminium'!$P$12))))))</f>
        <v>NA</v>
      </c>
      <c r="AM69" s="408" t="str">
        <f>IF(T69="AIR","NA",IF(T69="TRENCH","NA",IF(T69="DUCT",IF(U69="1C",VLOOKUP(V69,'Catalogue Aluminium'!$Q$9:$S$28,2,FALSE),VLOOKUP(V69,'Catalogue Aluminium'!$Q$9:$S$28,3)),IF(T69="GROUND",IF(U69="1C",VLOOKUP(V69,'Catalogue Aluminium'!$Q$9:$S$28,2,FALSE),VLOOKUP(V69,'Catalogue Aluminium'!$Q$9:$S$28,3))))))</f>
        <v>NA</v>
      </c>
      <c r="AN69" s="584">
        <f t="shared" si="681"/>
        <v>0.58740000000000003</v>
      </c>
      <c r="AO69" s="877">
        <f t="shared" si="682"/>
        <v>16.447200000000002</v>
      </c>
      <c r="AP69" s="875">
        <f t="shared" si="683"/>
        <v>1</v>
      </c>
      <c r="AQ69" s="877" t="str">
        <f t="shared" si="684"/>
        <v>YES</v>
      </c>
      <c r="AR69" s="882">
        <f t="shared" si="685"/>
        <v>1.0129547835231685</v>
      </c>
      <c r="AS69" s="876" t="str">
        <f t="shared" si="686"/>
        <v>YES</v>
      </c>
      <c r="AT69" s="882" t="str">
        <f t="shared" si="687"/>
        <v>NA</v>
      </c>
      <c r="AU69" s="876" t="str">
        <f t="shared" si="688"/>
        <v>NA</v>
      </c>
      <c r="AV69" s="883" t="str">
        <f t="shared" si="689"/>
        <v>1R x 0.6/1kV x 3C x 2.5 Sqmm</v>
      </c>
      <c r="AW69" s="883" t="str">
        <f t="shared" si="690"/>
        <v>1R x 0.6/1kV x 3C x 2.5 Sqmm</v>
      </c>
      <c r="AX69" s="876"/>
      <c r="AY69" s="884"/>
      <c r="AZ69" s="884"/>
      <c r="BA69" s="885"/>
      <c r="BB69" s="886"/>
      <c r="BC69" s="887"/>
      <c r="BE69" s="889"/>
      <c r="BF69" s="889"/>
      <c r="BG69" s="889"/>
      <c r="BH69" s="889"/>
      <c r="BI69" s="889"/>
      <c r="BJ69" s="889"/>
      <c r="BK69" s="889"/>
      <c r="BL69" s="889"/>
      <c r="BM69" s="889"/>
      <c r="BN69" s="889"/>
      <c r="BO69" s="889"/>
      <c r="BP69" s="889"/>
      <c r="BQ69" s="889"/>
      <c r="BR69" s="889"/>
      <c r="BS69" s="889"/>
      <c r="BT69" s="889"/>
      <c r="BU69" s="889"/>
      <c r="BV69" s="889"/>
      <c r="BW69" s="889"/>
      <c r="BX69" s="889"/>
      <c r="BY69" s="889"/>
      <c r="BZ69" s="889"/>
      <c r="CA69" s="889"/>
      <c r="CB69" s="889"/>
      <c r="CC69" s="889"/>
      <c r="CD69" s="889"/>
      <c r="CE69" s="889"/>
      <c r="CF69" s="889"/>
      <c r="CG69" s="889"/>
      <c r="CH69" s="889"/>
      <c r="CI69" s="889"/>
      <c r="CJ69" s="889"/>
      <c r="CK69" s="889"/>
      <c r="CL69" s="889"/>
      <c r="CM69" s="889"/>
      <c r="CN69" s="889"/>
      <c r="CO69" s="889"/>
      <c r="CP69" s="889"/>
      <c r="CQ69" s="889"/>
      <c r="CR69" s="889"/>
      <c r="CS69" s="889"/>
      <c r="CT69" s="889"/>
      <c r="CU69" s="889"/>
      <c r="CV69" s="889"/>
      <c r="CW69" s="889"/>
      <c r="CX69" s="889"/>
      <c r="CY69" s="889"/>
      <c r="CZ69" s="889"/>
      <c r="DA69" s="889"/>
      <c r="DB69" s="889">
        <v>1</v>
      </c>
      <c r="DC69" s="889">
        <v>1</v>
      </c>
      <c r="DD69" s="889">
        <v>1</v>
      </c>
      <c r="DE69" s="889">
        <v>1</v>
      </c>
      <c r="DF69" s="889">
        <v>1</v>
      </c>
      <c r="DG69" s="889"/>
      <c r="DH69" s="889"/>
      <c r="DI69" s="889"/>
      <c r="DJ69" s="909"/>
      <c r="DK69" s="909"/>
      <c r="DL69" s="909"/>
      <c r="DM69" s="909"/>
      <c r="DN69" s="909"/>
      <c r="DO69" s="909"/>
      <c r="DP69" s="909"/>
      <c r="DQ69" s="889"/>
      <c r="DR69" s="909"/>
      <c r="DS69" s="909"/>
      <c r="DT69" s="909"/>
      <c r="DU69" s="889"/>
      <c r="DW69" s="889">
        <f t="shared" ref="DW69" si="694">IF(BE69=1,($BC69*BE69),0)</f>
        <v>0</v>
      </c>
      <c r="DX69" s="889">
        <f t="shared" ref="DX69" si="695">IF(BF69=1,($BC69*BF69),0)</f>
        <v>0</v>
      </c>
      <c r="DY69" s="889">
        <f t="shared" ref="DY69" si="696">IF(BG69=1,($BC69*BG69),0)</f>
        <v>0</v>
      </c>
      <c r="DZ69" s="889">
        <f t="shared" ref="DZ69" si="697">IF(BH69=1,($BC69*BH69),0)</f>
        <v>0</v>
      </c>
      <c r="EA69" s="889">
        <f t="shared" ref="EA69" si="698">IF(BI69=1,($BC69*BI69),0)</f>
        <v>0</v>
      </c>
      <c r="EB69" s="889">
        <f t="shared" ref="EB69" si="699">IF(BJ69=1,($BC69*BJ69),0)</f>
        <v>0</v>
      </c>
      <c r="EC69" s="889">
        <f t="shared" ref="EC69" si="700">IF(BK69=1,($BC69*BK69),0)</f>
        <v>0</v>
      </c>
      <c r="ED69" s="889">
        <f t="shared" ref="ED69" si="701">IF(BL69=1,($BC69*BL69),0)</f>
        <v>0</v>
      </c>
      <c r="EE69" s="889">
        <f t="shared" ref="EE69" si="702">IF(BM69=1,($BC69*BM69),0)</f>
        <v>0</v>
      </c>
      <c r="EF69" s="889">
        <f t="shared" ref="EF69" si="703">IF(BN69=1,($BC69*BN69),0)</f>
        <v>0</v>
      </c>
      <c r="EG69" s="889">
        <f t="shared" ref="EG69" si="704">IF(BO69=1,($BC69*BO69),0)</f>
        <v>0</v>
      </c>
      <c r="EH69" s="889">
        <f t="shared" ref="EH69" si="705">IF(BP69=1,($BC69*BP69),0)</f>
        <v>0</v>
      </c>
      <c r="EI69" s="889">
        <f t="shared" ref="EI69" si="706">IF(BQ69=1,($BC69*BQ69),0)</f>
        <v>0</v>
      </c>
      <c r="EJ69" s="889">
        <f t="shared" ref="EJ69" si="707">IF(BR69=1,($BC69*BR69),0)</f>
        <v>0</v>
      </c>
      <c r="EK69" s="889">
        <f t="shared" ref="EK69" si="708">IF(BS69=1,($BC69*BS69),0)</f>
        <v>0</v>
      </c>
      <c r="EL69" s="889">
        <f t="shared" ref="EL69" si="709">IF(BT69=1,($BC69*BT69),0)</f>
        <v>0</v>
      </c>
      <c r="EM69" s="889">
        <f t="shared" ref="EM69" si="710">IF(BU69=1,($BC69*BU69),0)</f>
        <v>0</v>
      </c>
      <c r="EN69" s="889">
        <f t="shared" ref="EN69" si="711">IF(BV69=1,($BC69*BV69),0)</f>
        <v>0</v>
      </c>
      <c r="EO69" s="889">
        <f t="shared" ref="EO69" si="712">IF(BW69=1,($BC69*BW69),0)</f>
        <v>0</v>
      </c>
      <c r="EP69" s="889">
        <f t="shared" ref="EP69" si="713">IF(BX69=1,($BC69*BX69),0)</f>
        <v>0</v>
      </c>
      <c r="EQ69" s="889">
        <f t="shared" ref="EQ69" si="714">IF(BY69=1,($BC69*BY69),0)</f>
        <v>0</v>
      </c>
      <c r="ER69" s="889">
        <f t="shared" ref="ER69" si="715">IF(BZ69=1,($BC69*BZ69),0)</f>
        <v>0</v>
      </c>
      <c r="ES69" s="889">
        <f t="shared" ref="ES69" si="716">IF(CA69=1,($BC69*CA69),0)</f>
        <v>0</v>
      </c>
      <c r="ET69" s="889">
        <f t="shared" si="22"/>
        <v>0</v>
      </c>
      <c r="EU69" s="889">
        <f t="shared" ref="EU69" si="717">IF(CC69=1,($BC69*CC69),0)</f>
        <v>0</v>
      </c>
      <c r="EV69" s="889">
        <f t="shared" ref="EV69" si="718">IF(CD69=1,($BC69*CD69),0)</f>
        <v>0</v>
      </c>
      <c r="EW69" s="889">
        <f t="shared" ref="EW69" si="719">IF(CE69=1,($BC69*CE69),0)</f>
        <v>0</v>
      </c>
      <c r="EX69" s="889">
        <f t="shared" ref="EX69" si="720">IF(CF69=1,($BC69*CF69),0)</f>
        <v>0</v>
      </c>
      <c r="EY69" s="889">
        <f t="shared" ref="EY69" si="721">IF(CG69=1,($BC69*CG69),0)</f>
        <v>0</v>
      </c>
      <c r="EZ69" s="889">
        <f t="shared" ref="EZ69" si="722">IF(CH69=1,($BC69*CH69),0)</f>
        <v>0</v>
      </c>
      <c r="FA69" s="889">
        <f t="shared" ref="FA69" si="723">IF(CI69=1,($BC69*CI69),0)</f>
        <v>0</v>
      </c>
      <c r="FB69" s="889">
        <f t="shared" ref="FB69" si="724">IF(CJ69=1,($BC69*CJ69),0)</f>
        <v>0</v>
      </c>
      <c r="FC69" s="889">
        <f t="shared" ref="FC69" si="725">IF(CK69=1,($BC69*CK69),0)</f>
        <v>0</v>
      </c>
      <c r="FD69" s="889">
        <f t="shared" ref="FD69" si="726">IF(CL69=1,($BC69*CL69),0)</f>
        <v>0</v>
      </c>
      <c r="FE69" s="889">
        <f t="shared" ref="FE69" si="727">IF(CM69=1,($BC69*CM69),0)</f>
        <v>0</v>
      </c>
      <c r="FF69" s="889">
        <f t="shared" ref="FF69" si="728">IF(CN69=1,($BC69*CN69),0)</f>
        <v>0</v>
      </c>
      <c r="FG69" s="889">
        <f t="shared" ref="FG69" si="729">IF(CO69=1,($BC69*CO69),0)</f>
        <v>0</v>
      </c>
      <c r="FH69" s="889">
        <f t="shared" ref="FH69" si="730">IF(CP69=1,($BC69*CP69),0)</f>
        <v>0</v>
      </c>
      <c r="FI69" s="889">
        <f t="shared" ref="FI69" si="731">IF(CQ69=1,($BC69*CQ69),0)</f>
        <v>0</v>
      </c>
      <c r="FJ69" s="889">
        <f t="shared" ref="FJ69" si="732">IF(CR69=1,($BC69*CR69),0)</f>
        <v>0</v>
      </c>
      <c r="FK69" s="889">
        <f t="shared" ref="FK69" si="733">IF(CS69=1,($BC69*CS69),0)</f>
        <v>0</v>
      </c>
      <c r="FL69" s="889">
        <f t="shared" ref="FL69" si="734">IF(CT69=1,($BC69*CT69),0)</f>
        <v>0</v>
      </c>
      <c r="FM69" s="889">
        <f t="shared" ref="FM69" si="735">IF(CU69=1,($BC69*CU69),0)</f>
        <v>0</v>
      </c>
      <c r="FN69" s="889">
        <f t="shared" ref="FN69" si="736">IF(CV69=1,($BC69*CV69),0)</f>
        <v>0</v>
      </c>
      <c r="FO69" s="889">
        <f t="shared" ref="FO69" si="737">IF(CW69=1,($BC69*CW69),0)</f>
        <v>0</v>
      </c>
      <c r="FP69" s="889">
        <f t="shared" ref="FP69" si="738">IF(CX69=1,($BC69*CX69),0)</f>
        <v>0</v>
      </c>
      <c r="FQ69" s="889">
        <f t="shared" ref="FQ69" si="739">IF(CY69=1,($BC69*CY69),0)</f>
        <v>0</v>
      </c>
      <c r="FR69" s="889">
        <f t="shared" ref="FR69" si="740">IF(CZ69=1,($BC69*CZ69),0)</f>
        <v>0</v>
      </c>
      <c r="FS69" s="889">
        <f t="shared" ref="FS69" si="741">IF(DA69=1,($BC69*DA69),0)</f>
        <v>0</v>
      </c>
      <c r="FT69" s="889">
        <f t="shared" ref="FT69" si="742">IF(DB69=1,($BC69*DB69),0)</f>
        <v>0</v>
      </c>
      <c r="FU69" s="889">
        <f t="shared" si="553"/>
        <v>0</v>
      </c>
      <c r="FV69" s="889">
        <f t="shared" si="554"/>
        <v>0</v>
      </c>
      <c r="FW69" s="889">
        <f t="shared" si="555"/>
        <v>0</v>
      </c>
      <c r="FX69" s="889">
        <f t="shared" si="556"/>
        <v>0</v>
      </c>
      <c r="FY69" s="889">
        <f t="shared" si="53"/>
        <v>0</v>
      </c>
      <c r="FZ69" s="889">
        <f t="shared" si="54"/>
        <v>0</v>
      </c>
      <c r="GA69" s="889">
        <f t="shared" si="55"/>
        <v>0</v>
      </c>
      <c r="GB69" s="889">
        <f t="shared" si="56"/>
        <v>0</v>
      </c>
      <c r="GC69" s="889">
        <f t="shared" si="57"/>
        <v>0</v>
      </c>
      <c r="GD69" s="889">
        <f t="shared" si="58"/>
        <v>0</v>
      </c>
      <c r="GE69" s="889">
        <f t="shared" si="59"/>
        <v>0</v>
      </c>
      <c r="GF69" s="889">
        <f t="shared" si="60"/>
        <v>0</v>
      </c>
      <c r="GG69" s="889">
        <f t="shared" si="61"/>
        <v>0</v>
      </c>
      <c r="GH69" s="889">
        <f t="shared" si="62"/>
        <v>0</v>
      </c>
      <c r="GI69" s="889">
        <f t="shared" si="63"/>
        <v>0</v>
      </c>
      <c r="GJ69" s="889">
        <f t="shared" si="64"/>
        <v>0</v>
      </c>
      <c r="GK69" s="889">
        <f t="shared" si="65"/>
        <v>0</v>
      </c>
      <c r="GL69" s="889">
        <f t="shared" si="557"/>
        <v>0</v>
      </c>
      <c r="GM69" s="889">
        <f t="shared" si="66"/>
        <v>0</v>
      </c>
    </row>
    <row r="70" spans="1:195" s="888" customFormat="1" ht="27.75" hidden="1" customHeight="1">
      <c r="A70" s="870" t="s">
        <v>334</v>
      </c>
      <c r="B70" s="870" t="s">
        <v>1159</v>
      </c>
      <c r="C70" s="872" t="str">
        <f t="shared" si="558"/>
        <v>PMCC-2</v>
      </c>
      <c r="D70" s="872" t="s">
        <v>1160</v>
      </c>
      <c r="E70" s="908" t="s">
        <v>1152</v>
      </c>
      <c r="F70" s="870" t="s">
        <v>29</v>
      </c>
      <c r="G70" s="870" t="s">
        <v>350</v>
      </c>
      <c r="H70" s="877">
        <v>18.5</v>
      </c>
      <c r="I70" s="870" t="s">
        <v>330</v>
      </c>
      <c r="J70" s="870" t="s">
        <v>331</v>
      </c>
      <c r="K70" s="875">
        <v>400</v>
      </c>
      <c r="L70" s="876">
        <v>0.75</v>
      </c>
      <c r="M70" s="877">
        <v>0.85299999999999998</v>
      </c>
      <c r="N70" s="878">
        <f t="shared" si="673"/>
        <v>41.740106692225147</v>
      </c>
      <c r="O70" s="878">
        <f t="shared" si="674"/>
        <v>250.4406401533509</v>
      </c>
      <c r="P70" s="876">
        <f t="shared" si="675"/>
        <v>0.2</v>
      </c>
      <c r="Q70" s="877">
        <v>65</v>
      </c>
      <c r="R70" s="877">
        <v>0</v>
      </c>
      <c r="S70" s="877">
        <f t="shared" si="676"/>
        <v>0</v>
      </c>
      <c r="T70" s="876" t="s">
        <v>332</v>
      </c>
      <c r="U70" s="877" t="s">
        <v>535</v>
      </c>
      <c r="V70" s="876">
        <v>35</v>
      </c>
      <c r="W70" s="876" t="str">
        <f t="shared" si="677"/>
        <v>3.5C X 35</v>
      </c>
      <c r="X70" s="876" t="str">
        <f t="shared" ref="X70:X71" si="743">(IF(J70="1Ph",W70,IF(J70="3Ph",(IF(G70="MOTOR",(CONCATENATE(W70,"+PE")),W70)))))</f>
        <v>3.5C X 35+PE</v>
      </c>
      <c r="Y70" s="876" t="s">
        <v>358</v>
      </c>
      <c r="Z70" s="879">
        <f>IF(T70="AIR",VLOOKUP(W70,'Catalogue Aluminium'!$B$9:$G$93,2,FALSE),IF(T70="GROUND",VLOOKUP(W70,'Catalogue Aluminium'!$B$9:$G$93,3,FALSE),IF(T70="DUCT",VLOOKUP(W70,'Catalogue Aluminium'!$B$9:$G$93,4,FALSE),IF(T70="TRENCH",VLOOKUP(W70,'Catalogue Aluminium'!$B$9:$G$93,2,FALSE)))))</f>
        <v>117</v>
      </c>
      <c r="AA70" s="880">
        <f>VLOOKUP(W70,'Catalogue Aluminium'!$B$9:$G$93,5,FALSE)</f>
        <v>1.1100000000000001</v>
      </c>
      <c r="AB70" s="880">
        <f>VLOOKUP(W70,'Catalogue Aluminium'!$B$9:$G$93,6,FALSE)</f>
        <v>7.9399999999999998E-2</v>
      </c>
      <c r="AC70" s="876">
        <f t="shared" si="586"/>
        <v>12</v>
      </c>
      <c r="AD70" s="876">
        <f t="shared" si="576"/>
        <v>36.4</v>
      </c>
      <c r="AE70" s="876">
        <v>20</v>
      </c>
      <c r="AF70" s="876">
        <v>8</v>
      </c>
      <c r="AG70" s="876">
        <f t="shared" si="679"/>
        <v>8</v>
      </c>
      <c r="AH70" s="881">
        <f t="shared" si="680"/>
        <v>84.4</v>
      </c>
      <c r="AI70" s="879">
        <f>IF(T70="AIR",'Catalogue Aluminium'!$K$9,IF(T70="TRENCH",'Catalogue Aluminium'!$K$12,"NA"))</f>
        <v>0.89</v>
      </c>
      <c r="AJ70" s="407">
        <f>IF(T70="Air",(IF(U70="1C",'Catalogue Aluminium'!$L$9,'Catalogue Aluminium'!$M$9)),IF(T70="DUCT",(IF($U70="1C",'Catalogue Aluminium'!$L$10,'Catalogue Aluminium'!$M$10)),IF(T70="GROUND",(IF($U70="1C",'Catalogue Aluminium'!$L$11,'Catalogue Aluminium'!$M$11)),IF(T70="TRENCH",(IF($U70="1C",'Catalogue Aluminium'!$L$12,'Catalogue Aluminium'!$M$12))))))</f>
        <v>0.66</v>
      </c>
      <c r="AK70" s="408" t="str">
        <f>IF(T70="Air",'Catalogue Aluminium'!$N$9,IF(T70="GROUND",'Catalogue Aluminium'!$N$10,IF(T70="DUCT",'Catalogue Aluminium'!$N$11,IF(T70="TRENCH",'Catalogue Aluminium'!$N$12,"NA"))))</f>
        <v>NA</v>
      </c>
      <c r="AL70" s="408" t="str">
        <f>IF(T70="Air",(IF(U70="1C",'Catalogue Aluminium'!$O$9,'Catalogue Aluminium'!$P$9)),IF(T70="DUCT",(IF($U70="1C",'Catalogue Aluminium'!$O$10,'Catalogue Aluminium'!$P$10)),IF(T70="GROUND",(IF($U70="1C",'Catalogue Aluminium'!$O$11,'Catalogue Aluminium'!$P$11)),IF(T70="TRENCH",(IF($U70="1C",'Catalogue Aluminium'!$O$12,'Catalogue Aluminium'!$P$12))))))</f>
        <v>NA</v>
      </c>
      <c r="AM70" s="408" t="str">
        <f>IF(T70="AIR","NA",IF(T70="TRENCH","NA",IF(T70="DUCT",IF(U70="1C",VLOOKUP(V70,'Catalogue Aluminium'!$Q$9:$S$28,2,FALSE),VLOOKUP(V70,'Catalogue Aluminium'!$Q$9:$S$28,3)),IF(T70="GROUND",IF(U70="1C",VLOOKUP(V70,'Catalogue Aluminium'!$Q$9:$S$28,2,FALSE),VLOOKUP(V70,'Catalogue Aluminium'!$Q$9:$S$28,3))))))</f>
        <v>NA</v>
      </c>
      <c r="AN70" s="584">
        <f t="shared" si="681"/>
        <v>0.58740000000000003</v>
      </c>
      <c r="AO70" s="877">
        <f t="shared" si="682"/>
        <v>68.725800000000007</v>
      </c>
      <c r="AP70" s="875">
        <f t="shared" si="683"/>
        <v>1</v>
      </c>
      <c r="AQ70" s="877" t="str">
        <f t="shared" si="684"/>
        <v>YES</v>
      </c>
      <c r="AR70" s="882">
        <f t="shared" si="685"/>
        <v>1.3500467927773416</v>
      </c>
      <c r="AS70" s="876" t="str">
        <f t="shared" si="686"/>
        <v>YES</v>
      </c>
      <c r="AT70" s="882">
        <f t="shared" si="687"/>
        <v>2.7439325010745104</v>
      </c>
      <c r="AU70" s="876" t="str">
        <f t="shared" si="688"/>
        <v>YES</v>
      </c>
      <c r="AV70" s="883" t="str">
        <f t="shared" si="689"/>
        <v>1R x 0.6/1kV x 3.5C x 35 Sqmm</v>
      </c>
      <c r="AW70" s="883" t="str">
        <f t="shared" si="690"/>
        <v>1R x 0.6/1kV x 3.5C x 35+PE Sqmm</v>
      </c>
      <c r="AX70" s="876"/>
      <c r="AY70" s="884"/>
      <c r="AZ70" s="884"/>
      <c r="BA70" s="885"/>
      <c r="BB70" s="886"/>
      <c r="BC70" s="887"/>
      <c r="BE70" s="889"/>
      <c r="BF70" s="889"/>
      <c r="BG70" s="889"/>
      <c r="BH70" s="889"/>
      <c r="BI70" s="889"/>
      <c r="BJ70" s="889"/>
      <c r="BK70" s="889"/>
      <c r="BL70" s="889"/>
      <c r="BM70" s="889"/>
      <c r="BN70" s="889"/>
      <c r="BO70" s="889"/>
      <c r="BP70" s="889"/>
      <c r="BQ70" s="889"/>
      <c r="BR70" s="889"/>
      <c r="BS70" s="889"/>
      <c r="BT70" s="889"/>
      <c r="BU70" s="889"/>
      <c r="BV70" s="889"/>
      <c r="BW70" s="889"/>
      <c r="BX70" s="889"/>
      <c r="BY70" s="889"/>
      <c r="BZ70" s="889"/>
      <c r="CA70" s="889"/>
      <c r="CB70" s="889"/>
      <c r="CC70" s="889"/>
      <c r="CD70" s="889"/>
      <c r="CE70" s="889"/>
      <c r="CF70" s="889"/>
      <c r="CG70" s="889"/>
      <c r="CH70" s="889"/>
      <c r="CI70" s="889"/>
      <c r="CJ70" s="889"/>
      <c r="CK70" s="889"/>
      <c r="CL70" s="889"/>
      <c r="CM70" s="889"/>
      <c r="CN70" s="889"/>
      <c r="CO70" s="889"/>
      <c r="CP70" s="889"/>
      <c r="CQ70" s="889"/>
      <c r="CR70" s="889"/>
      <c r="CS70" s="889"/>
      <c r="CT70" s="889"/>
      <c r="CU70" s="889"/>
      <c r="CV70" s="889"/>
      <c r="CW70" s="889"/>
      <c r="CX70" s="889"/>
      <c r="CY70" s="889"/>
      <c r="CZ70" s="889"/>
      <c r="DA70" s="889"/>
      <c r="DB70" s="889">
        <v>1</v>
      </c>
      <c r="DC70" s="889">
        <v>1</v>
      </c>
      <c r="DD70" s="889">
        <v>1</v>
      </c>
      <c r="DE70" s="889">
        <v>1</v>
      </c>
      <c r="DF70" s="889">
        <v>1</v>
      </c>
      <c r="DG70" s="889"/>
      <c r="DH70" s="889"/>
      <c r="DI70" s="889"/>
      <c r="DJ70" s="909"/>
      <c r="DK70" s="909"/>
      <c r="DL70" s="909"/>
      <c r="DM70" s="909"/>
      <c r="DN70" s="909"/>
      <c r="DO70" s="909"/>
      <c r="DP70" s="909"/>
      <c r="DQ70" s="889"/>
      <c r="DR70" s="909"/>
      <c r="DS70" s="909"/>
      <c r="DT70" s="909"/>
      <c r="DU70" s="889"/>
      <c r="DW70" s="889">
        <f t="shared" si="80"/>
        <v>0</v>
      </c>
      <c r="DX70" s="889">
        <f t="shared" si="1"/>
        <v>0</v>
      </c>
      <c r="DY70" s="889">
        <f t="shared" si="2"/>
        <v>0</v>
      </c>
      <c r="DZ70" s="889">
        <f t="shared" si="3"/>
        <v>0</v>
      </c>
      <c r="EA70" s="889">
        <f t="shared" si="4"/>
        <v>0</v>
      </c>
      <c r="EB70" s="889">
        <f t="shared" si="5"/>
        <v>0</v>
      </c>
      <c r="EC70" s="889">
        <f t="shared" si="6"/>
        <v>0</v>
      </c>
      <c r="ED70" s="889">
        <f t="shared" si="7"/>
        <v>0</v>
      </c>
      <c r="EE70" s="889">
        <f t="shared" si="8"/>
        <v>0</v>
      </c>
      <c r="EF70" s="889">
        <f t="shared" si="9"/>
        <v>0</v>
      </c>
      <c r="EG70" s="889">
        <f t="shared" si="10"/>
        <v>0</v>
      </c>
      <c r="EH70" s="889">
        <f t="shared" si="11"/>
        <v>0</v>
      </c>
      <c r="EI70" s="889">
        <f t="shared" si="12"/>
        <v>0</v>
      </c>
      <c r="EJ70" s="889">
        <f t="shared" si="13"/>
        <v>0</v>
      </c>
      <c r="EK70" s="889">
        <f t="shared" si="14"/>
        <v>0</v>
      </c>
      <c r="EL70" s="889">
        <f t="shared" si="15"/>
        <v>0</v>
      </c>
      <c r="EM70" s="889">
        <f t="shared" si="16"/>
        <v>0</v>
      </c>
      <c r="EN70" s="889">
        <f t="shared" si="17"/>
        <v>0</v>
      </c>
      <c r="EO70" s="889">
        <f t="shared" si="18"/>
        <v>0</v>
      </c>
      <c r="EP70" s="889">
        <f t="shared" si="19"/>
        <v>0</v>
      </c>
      <c r="EQ70" s="889">
        <f t="shared" si="20"/>
        <v>0</v>
      </c>
      <c r="ER70" s="889">
        <f t="shared" si="21"/>
        <v>0</v>
      </c>
      <c r="ES70" s="889">
        <f t="shared" si="22"/>
        <v>0</v>
      </c>
      <c r="ET70" s="889">
        <f t="shared" si="22"/>
        <v>0</v>
      </c>
      <c r="EU70" s="889">
        <f t="shared" si="23"/>
        <v>0</v>
      </c>
      <c r="EV70" s="889">
        <f t="shared" si="24"/>
        <v>0</v>
      </c>
      <c r="EW70" s="889">
        <f t="shared" si="25"/>
        <v>0</v>
      </c>
      <c r="EX70" s="889">
        <f t="shared" si="26"/>
        <v>0</v>
      </c>
      <c r="EY70" s="889">
        <f t="shared" si="27"/>
        <v>0</v>
      </c>
      <c r="EZ70" s="889">
        <f t="shared" si="28"/>
        <v>0</v>
      </c>
      <c r="FA70" s="889">
        <f t="shared" si="29"/>
        <v>0</v>
      </c>
      <c r="FB70" s="889">
        <f t="shared" si="30"/>
        <v>0</v>
      </c>
      <c r="FC70" s="889">
        <f t="shared" si="31"/>
        <v>0</v>
      </c>
      <c r="FD70" s="889">
        <f t="shared" si="32"/>
        <v>0</v>
      </c>
      <c r="FE70" s="889">
        <f t="shared" si="33"/>
        <v>0</v>
      </c>
      <c r="FF70" s="889">
        <f t="shared" si="34"/>
        <v>0</v>
      </c>
      <c r="FG70" s="889">
        <f t="shared" si="35"/>
        <v>0</v>
      </c>
      <c r="FH70" s="889">
        <f t="shared" si="36"/>
        <v>0</v>
      </c>
      <c r="FI70" s="889">
        <f t="shared" si="37"/>
        <v>0</v>
      </c>
      <c r="FJ70" s="889">
        <f t="shared" si="38"/>
        <v>0</v>
      </c>
      <c r="FK70" s="889">
        <f t="shared" si="39"/>
        <v>0</v>
      </c>
      <c r="FL70" s="889">
        <f t="shared" si="40"/>
        <v>0</v>
      </c>
      <c r="FM70" s="889">
        <f t="shared" si="41"/>
        <v>0</v>
      </c>
      <c r="FN70" s="889">
        <f t="shared" si="42"/>
        <v>0</v>
      </c>
      <c r="FO70" s="889">
        <f t="shared" si="43"/>
        <v>0</v>
      </c>
      <c r="FP70" s="889">
        <f t="shared" si="44"/>
        <v>0</v>
      </c>
      <c r="FQ70" s="889">
        <f t="shared" si="45"/>
        <v>0</v>
      </c>
      <c r="FR70" s="889">
        <f t="shared" si="46"/>
        <v>0</v>
      </c>
      <c r="FS70" s="889">
        <f t="shared" si="47"/>
        <v>0</v>
      </c>
      <c r="FT70" s="889">
        <f t="shared" si="48"/>
        <v>0</v>
      </c>
      <c r="FU70" s="889">
        <f t="shared" si="553"/>
        <v>0</v>
      </c>
      <c r="FV70" s="889">
        <f t="shared" si="554"/>
        <v>0</v>
      </c>
      <c r="FW70" s="889">
        <f t="shared" si="555"/>
        <v>0</v>
      </c>
      <c r="FX70" s="889">
        <f t="shared" si="556"/>
        <v>0</v>
      </c>
      <c r="FY70" s="889">
        <f t="shared" si="53"/>
        <v>0</v>
      </c>
      <c r="FZ70" s="889">
        <f t="shared" si="54"/>
        <v>0</v>
      </c>
      <c r="GA70" s="889">
        <f t="shared" si="55"/>
        <v>0</v>
      </c>
      <c r="GB70" s="889">
        <f t="shared" si="56"/>
        <v>0</v>
      </c>
      <c r="GC70" s="889">
        <f t="shared" si="57"/>
        <v>0</v>
      </c>
      <c r="GD70" s="889">
        <f t="shared" si="58"/>
        <v>0</v>
      </c>
      <c r="GE70" s="889">
        <f t="shared" si="59"/>
        <v>0</v>
      </c>
      <c r="GF70" s="889">
        <f t="shared" si="60"/>
        <v>0</v>
      </c>
      <c r="GG70" s="889">
        <f t="shared" si="61"/>
        <v>0</v>
      </c>
      <c r="GH70" s="889">
        <f t="shared" si="62"/>
        <v>0</v>
      </c>
      <c r="GI70" s="889">
        <f t="shared" si="63"/>
        <v>0</v>
      </c>
      <c r="GJ70" s="889">
        <f t="shared" si="64"/>
        <v>0</v>
      </c>
      <c r="GK70" s="889">
        <f t="shared" si="65"/>
        <v>0</v>
      </c>
      <c r="GL70" s="889">
        <f t="shared" si="557"/>
        <v>0</v>
      </c>
      <c r="GM70" s="889">
        <f t="shared" si="66"/>
        <v>0</v>
      </c>
    </row>
    <row r="71" spans="1:195" s="888" customFormat="1" ht="27.75" hidden="1" customHeight="1">
      <c r="A71" s="870" t="s">
        <v>334</v>
      </c>
      <c r="B71" s="870" t="s">
        <v>1159</v>
      </c>
      <c r="C71" s="872" t="str">
        <f t="shared" si="558"/>
        <v>PMCC-2</v>
      </c>
      <c r="D71" s="872" t="s">
        <v>1600</v>
      </c>
      <c r="E71" s="908" t="s">
        <v>1152</v>
      </c>
      <c r="F71" s="870" t="s">
        <v>29</v>
      </c>
      <c r="G71" s="870" t="s">
        <v>329</v>
      </c>
      <c r="H71" s="874">
        <v>0.2</v>
      </c>
      <c r="I71" s="870" t="s">
        <v>330</v>
      </c>
      <c r="J71" s="870" t="s">
        <v>357</v>
      </c>
      <c r="K71" s="875">
        <v>230</v>
      </c>
      <c r="L71" s="876">
        <v>0.85</v>
      </c>
      <c r="M71" s="877">
        <v>0.95</v>
      </c>
      <c r="N71" s="878">
        <f t="shared" si="673"/>
        <v>1.0768609503297888</v>
      </c>
      <c r="O71" s="878">
        <f t="shared" si="674"/>
        <v>0</v>
      </c>
      <c r="P71" s="876" t="str">
        <f t="shared" si="675"/>
        <v>0.00</v>
      </c>
      <c r="Q71" s="877">
        <v>65</v>
      </c>
      <c r="R71" s="877">
        <v>0</v>
      </c>
      <c r="S71" s="877">
        <f t="shared" si="676"/>
        <v>0</v>
      </c>
      <c r="T71" s="876" t="s">
        <v>332</v>
      </c>
      <c r="U71" s="877" t="s">
        <v>333</v>
      </c>
      <c r="V71" s="876">
        <v>2.5</v>
      </c>
      <c r="W71" s="876" t="str">
        <f t="shared" si="677"/>
        <v>3C X 2.5</v>
      </c>
      <c r="X71" s="876" t="str">
        <f t="shared" si="743"/>
        <v>3C X 2.5</v>
      </c>
      <c r="Y71" s="876" t="s">
        <v>358</v>
      </c>
      <c r="Z71" s="879">
        <f>IF(T71="AIR",VLOOKUP(W71,'Catalogue Aluminium'!$B$9:$G$93,2,FALSE),IF(T71="GROUND",VLOOKUP(W71,'Catalogue Aluminium'!$B$9:$G$93,3,FALSE),IF(T71="DUCT",VLOOKUP(W71,'Catalogue Aluminium'!$B$9:$G$93,4,FALSE),IF(T71="TRENCH",VLOOKUP(W71,'Catalogue Aluminium'!$B$9:$G$93,2,FALSE)))))</f>
        <v>28</v>
      </c>
      <c r="AA71" s="880">
        <f>VLOOKUP(W71,'Catalogue Aluminium'!$B$9:$G$93,5,FALSE)</f>
        <v>9.48</v>
      </c>
      <c r="AB71" s="880">
        <f>VLOOKUP(W71,'Catalogue Aluminium'!$B$9:$G$93,6,FALSE)</f>
        <v>0.1007</v>
      </c>
      <c r="AC71" s="876">
        <v>22</v>
      </c>
      <c r="AD71" s="876">
        <f t="shared" ref="AD71" si="744">95+5</f>
        <v>100</v>
      </c>
      <c r="AE71" s="876">
        <v>10</v>
      </c>
      <c r="AF71" s="876">
        <v>8</v>
      </c>
      <c r="AG71" s="876">
        <f t="shared" ref="AG71" si="745">ROUNDUP((SUM(AC71:AF71)*0.1),0)</f>
        <v>14</v>
      </c>
      <c r="AH71" s="881">
        <f t="shared" ref="AH71" si="746">SUM(AC71:AG71)</f>
        <v>154</v>
      </c>
      <c r="AI71" s="879">
        <f>IF(T71="AIR",'Catalogue Aluminium'!$K$9,IF(T71="TRENCH",'Catalogue Aluminium'!$K$12,"NA"))</f>
        <v>0.89</v>
      </c>
      <c r="AJ71" s="407">
        <f>IF(T71="Air",(IF(U71="1C",'Catalogue Aluminium'!$L$9,'Catalogue Aluminium'!$M$9)),IF(T71="DUCT",(IF($U71="1C",'Catalogue Aluminium'!$L$10,'Catalogue Aluminium'!$M$10)),IF(T71="GROUND",(IF($U71="1C",'Catalogue Aluminium'!$L$11,'Catalogue Aluminium'!$M$11)),IF(T71="TRENCH",(IF($U71="1C",'Catalogue Aluminium'!$L$12,'Catalogue Aluminium'!$M$12))))))</f>
        <v>0.66</v>
      </c>
      <c r="AK71" s="408" t="str">
        <f>IF(T71="Air",'Catalogue Aluminium'!$N$9,IF(T71="GROUND",'Catalogue Aluminium'!$N$10,IF(T71="DUCT",'Catalogue Aluminium'!$N$11,IF(T71="TRENCH",'Catalogue Aluminium'!$N$12,"NA"))))</f>
        <v>NA</v>
      </c>
      <c r="AL71" s="408" t="str">
        <f>IF(T71="Air",(IF(U71="1C",'Catalogue Aluminium'!$O$9,'Catalogue Aluminium'!$P$9)),IF(T71="DUCT",(IF($U71="1C",'Catalogue Aluminium'!$O$10,'Catalogue Aluminium'!$P$10)),IF(T71="GROUND",(IF($U71="1C",'Catalogue Aluminium'!$O$11,'Catalogue Aluminium'!$P$11)),IF(T71="TRENCH",(IF($U71="1C",'Catalogue Aluminium'!$O$12,'Catalogue Aluminium'!$P$12))))))</f>
        <v>NA</v>
      </c>
      <c r="AM71" s="408" t="str">
        <f>IF(T71="AIR","NA",IF(T71="TRENCH","NA",IF(T71="DUCT",IF(U71="1C",VLOOKUP(V71,'Catalogue Aluminium'!$Q$9:$S$28,2,FALSE),VLOOKUP(V71,'Catalogue Aluminium'!$Q$9:$S$28,3)),IF(T71="GROUND",IF(U71="1C",VLOOKUP(V71,'Catalogue Aluminium'!$Q$9:$S$28,2,FALSE),VLOOKUP(V71,'Catalogue Aluminium'!$Q$9:$S$28,3))))))</f>
        <v>NA</v>
      </c>
      <c r="AN71" s="584">
        <f t="shared" si="681"/>
        <v>0.58740000000000003</v>
      </c>
      <c r="AO71" s="877">
        <f t="shared" si="682"/>
        <v>16.447200000000002</v>
      </c>
      <c r="AP71" s="875">
        <f t="shared" si="683"/>
        <v>1</v>
      </c>
      <c r="AQ71" s="877" t="str">
        <f t="shared" si="684"/>
        <v>YES</v>
      </c>
      <c r="AR71" s="882">
        <f t="shared" si="685"/>
        <v>1.0129547835231685</v>
      </c>
      <c r="AS71" s="876" t="str">
        <f t="shared" si="686"/>
        <v>YES</v>
      </c>
      <c r="AT71" s="882" t="str">
        <f t="shared" si="687"/>
        <v>NA</v>
      </c>
      <c r="AU71" s="876" t="str">
        <f t="shared" si="688"/>
        <v>NA</v>
      </c>
      <c r="AV71" s="883" t="str">
        <f t="shared" si="689"/>
        <v>1R x 0.6/1kV x 3C x 2.5 Sqmm</v>
      </c>
      <c r="AW71" s="883" t="str">
        <f t="shared" si="690"/>
        <v>1R x 0.6/1kV x 3C x 2.5 Sqmm</v>
      </c>
      <c r="AX71" s="876"/>
      <c r="AY71" s="884"/>
      <c r="AZ71" s="884"/>
      <c r="BA71" s="885"/>
      <c r="BB71" s="886"/>
      <c r="BC71" s="887"/>
      <c r="BE71" s="889"/>
      <c r="BF71" s="889"/>
      <c r="BG71" s="889"/>
      <c r="BH71" s="889"/>
      <c r="BI71" s="889"/>
      <c r="BJ71" s="889"/>
      <c r="BK71" s="889"/>
      <c r="BL71" s="889"/>
      <c r="BM71" s="889"/>
      <c r="BN71" s="889"/>
      <c r="BO71" s="889"/>
      <c r="BP71" s="889"/>
      <c r="BQ71" s="889"/>
      <c r="BR71" s="889"/>
      <c r="BS71" s="889"/>
      <c r="BT71" s="889"/>
      <c r="BU71" s="889"/>
      <c r="BV71" s="889"/>
      <c r="BW71" s="889"/>
      <c r="BX71" s="889"/>
      <c r="BY71" s="889"/>
      <c r="BZ71" s="889"/>
      <c r="CA71" s="889"/>
      <c r="CB71" s="889"/>
      <c r="CC71" s="889"/>
      <c r="CD71" s="889"/>
      <c r="CE71" s="889"/>
      <c r="CF71" s="889"/>
      <c r="CG71" s="889"/>
      <c r="CH71" s="889"/>
      <c r="CI71" s="889"/>
      <c r="CJ71" s="889"/>
      <c r="CK71" s="889"/>
      <c r="CL71" s="889"/>
      <c r="CM71" s="889"/>
      <c r="CN71" s="889"/>
      <c r="CO71" s="889"/>
      <c r="CP71" s="889"/>
      <c r="CQ71" s="889"/>
      <c r="CR71" s="889"/>
      <c r="CS71" s="889"/>
      <c r="CT71" s="889"/>
      <c r="CU71" s="889"/>
      <c r="CV71" s="889"/>
      <c r="CW71" s="889"/>
      <c r="CX71" s="889"/>
      <c r="CY71" s="889"/>
      <c r="CZ71" s="889"/>
      <c r="DA71" s="889"/>
      <c r="DB71" s="889">
        <v>1</v>
      </c>
      <c r="DC71" s="889">
        <v>1</v>
      </c>
      <c r="DD71" s="889">
        <v>1</v>
      </c>
      <c r="DE71" s="889">
        <v>1</v>
      </c>
      <c r="DF71" s="889">
        <v>1</v>
      </c>
      <c r="DG71" s="889"/>
      <c r="DH71" s="889"/>
      <c r="DI71" s="889"/>
      <c r="DJ71" s="909"/>
      <c r="DK71" s="909"/>
      <c r="DL71" s="909"/>
      <c r="DM71" s="909"/>
      <c r="DN71" s="909"/>
      <c r="DO71" s="909"/>
      <c r="DP71" s="909"/>
      <c r="DQ71" s="889"/>
      <c r="DR71" s="909"/>
      <c r="DS71" s="909"/>
      <c r="DT71" s="909"/>
      <c r="DU71" s="889"/>
      <c r="DW71" s="889">
        <f t="shared" ref="DW71" si="747">IF(BE71=1,($BC71*BE71),0)</f>
        <v>0</v>
      </c>
      <c r="DX71" s="889">
        <f t="shared" ref="DX71" si="748">IF(BF71=1,($BC71*BF71),0)</f>
        <v>0</v>
      </c>
      <c r="DY71" s="889">
        <f t="shared" ref="DY71" si="749">IF(BG71=1,($BC71*BG71),0)</f>
        <v>0</v>
      </c>
      <c r="DZ71" s="889">
        <f t="shared" ref="DZ71" si="750">IF(BH71=1,($BC71*BH71),0)</f>
        <v>0</v>
      </c>
      <c r="EA71" s="889">
        <f t="shared" ref="EA71" si="751">IF(BI71=1,($BC71*BI71),0)</f>
        <v>0</v>
      </c>
      <c r="EB71" s="889">
        <f t="shared" ref="EB71" si="752">IF(BJ71=1,($BC71*BJ71),0)</f>
        <v>0</v>
      </c>
      <c r="EC71" s="889">
        <f t="shared" ref="EC71" si="753">IF(BK71=1,($BC71*BK71),0)</f>
        <v>0</v>
      </c>
      <c r="ED71" s="889">
        <f t="shared" ref="ED71" si="754">IF(BL71=1,($BC71*BL71),0)</f>
        <v>0</v>
      </c>
      <c r="EE71" s="889">
        <f t="shared" ref="EE71" si="755">IF(BM71=1,($BC71*BM71),0)</f>
        <v>0</v>
      </c>
      <c r="EF71" s="889">
        <f t="shared" ref="EF71" si="756">IF(BN71=1,($BC71*BN71),0)</f>
        <v>0</v>
      </c>
      <c r="EG71" s="889">
        <f t="shared" ref="EG71" si="757">IF(BO71=1,($BC71*BO71),0)</f>
        <v>0</v>
      </c>
      <c r="EH71" s="889">
        <f t="shared" ref="EH71" si="758">IF(BP71=1,($BC71*BP71),0)</f>
        <v>0</v>
      </c>
      <c r="EI71" s="889">
        <f t="shared" ref="EI71" si="759">IF(BQ71=1,($BC71*BQ71),0)</f>
        <v>0</v>
      </c>
      <c r="EJ71" s="889">
        <f t="shared" ref="EJ71" si="760">IF(BR71=1,($BC71*BR71),0)</f>
        <v>0</v>
      </c>
      <c r="EK71" s="889">
        <f t="shared" ref="EK71" si="761">IF(BS71=1,($BC71*BS71),0)</f>
        <v>0</v>
      </c>
      <c r="EL71" s="889">
        <f t="shared" ref="EL71" si="762">IF(BT71=1,($BC71*BT71),0)</f>
        <v>0</v>
      </c>
      <c r="EM71" s="889">
        <f t="shared" ref="EM71" si="763">IF(BU71=1,($BC71*BU71),0)</f>
        <v>0</v>
      </c>
      <c r="EN71" s="889">
        <f t="shared" ref="EN71" si="764">IF(BV71=1,($BC71*BV71),0)</f>
        <v>0</v>
      </c>
      <c r="EO71" s="889">
        <f t="shared" ref="EO71" si="765">IF(BW71=1,($BC71*BW71),0)</f>
        <v>0</v>
      </c>
      <c r="EP71" s="889">
        <f t="shared" ref="EP71" si="766">IF(BX71=1,($BC71*BX71),0)</f>
        <v>0</v>
      </c>
      <c r="EQ71" s="889">
        <f t="shared" ref="EQ71" si="767">IF(BY71=1,($BC71*BY71),0)</f>
        <v>0</v>
      </c>
      <c r="ER71" s="889">
        <f t="shared" ref="ER71" si="768">IF(BZ71=1,($BC71*BZ71),0)</f>
        <v>0</v>
      </c>
      <c r="ES71" s="889">
        <f t="shared" ref="ES71" si="769">IF(CA71=1,($BC71*CA71),0)</f>
        <v>0</v>
      </c>
      <c r="ET71" s="889">
        <f t="shared" si="22"/>
        <v>0</v>
      </c>
      <c r="EU71" s="889">
        <f t="shared" ref="EU71" si="770">IF(CC71=1,($BC71*CC71),0)</f>
        <v>0</v>
      </c>
      <c r="EV71" s="889">
        <f t="shared" ref="EV71" si="771">IF(CD71=1,($BC71*CD71),0)</f>
        <v>0</v>
      </c>
      <c r="EW71" s="889">
        <f t="shared" ref="EW71" si="772">IF(CE71=1,($BC71*CE71),0)</f>
        <v>0</v>
      </c>
      <c r="EX71" s="889">
        <f t="shared" ref="EX71" si="773">IF(CF71=1,($BC71*CF71),0)</f>
        <v>0</v>
      </c>
      <c r="EY71" s="889">
        <f t="shared" ref="EY71" si="774">IF(CG71=1,($BC71*CG71),0)</f>
        <v>0</v>
      </c>
      <c r="EZ71" s="889">
        <f t="shared" ref="EZ71" si="775">IF(CH71=1,($BC71*CH71),0)</f>
        <v>0</v>
      </c>
      <c r="FA71" s="889">
        <f t="shared" ref="FA71" si="776">IF(CI71=1,($BC71*CI71),0)</f>
        <v>0</v>
      </c>
      <c r="FB71" s="889">
        <f t="shared" ref="FB71" si="777">IF(CJ71=1,($BC71*CJ71),0)</f>
        <v>0</v>
      </c>
      <c r="FC71" s="889">
        <f t="shared" ref="FC71" si="778">IF(CK71=1,($BC71*CK71),0)</f>
        <v>0</v>
      </c>
      <c r="FD71" s="889">
        <f t="shared" ref="FD71" si="779">IF(CL71=1,($BC71*CL71),0)</f>
        <v>0</v>
      </c>
      <c r="FE71" s="889">
        <f t="shared" ref="FE71" si="780">IF(CM71=1,($BC71*CM71),0)</f>
        <v>0</v>
      </c>
      <c r="FF71" s="889">
        <f t="shared" ref="FF71" si="781">IF(CN71=1,($BC71*CN71),0)</f>
        <v>0</v>
      </c>
      <c r="FG71" s="889">
        <f t="shared" ref="FG71" si="782">IF(CO71=1,($BC71*CO71),0)</f>
        <v>0</v>
      </c>
      <c r="FH71" s="889">
        <f t="shared" ref="FH71" si="783">IF(CP71=1,($BC71*CP71),0)</f>
        <v>0</v>
      </c>
      <c r="FI71" s="889">
        <f t="shared" ref="FI71" si="784">IF(CQ71=1,($BC71*CQ71),0)</f>
        <v>0</v>
      </c>
      <c r="FJ71" s="889">
        <f t="shared" ref="FJ71" si="785">IF(CR71=1,($BC71*CR71),0)</f>
        <v>0</v>
      </c>
      <c r="FK71" s="889">
        <f t="shared" ref="FK71" si="786">IF(CS71=1,($BC71*CS71),0)</f>
        <v>0</v>
      </c>
      <c r="FL71" s="889">
        <f t="shared" ref="FL71" si="787">IF(CT71=1,($BC71*CT71),0)</f>
        <v>0</v>
      </c>
      <c r="FM71" s="889">
        <f t="shared" ref="FM71" si="788">IF(CU71=1,($BC71*CU71),0)</f>
        <v>0</v>
      </c>
      <c r="FN71" s="889">
        <f t="shared" ref="FN71" si="789">IF(CV71=1,($BC71*CV71),0)</f>
        <v>0</v>
      </c>
      <c r="FO71" s="889">
        <f t="shared" ref="FO71" si="790">IF(CW71=1,($BC71*CW71),0)</f>
        <v>0</v>
      </c>
      <c r="FP71" s="889">
        <f t="shared" ref="FP71" si="791">IF(CX71=1,($BC71*CX71),0)</f>
        <v>0</v>
      </c>
      <c r="FQ71" s="889">
        <f t="shared" ref="FQ71" si="792">IF(CY71=1,($BC71*CY71),0)</f>
        <v>0</v>
      </c>
      <c r="FR71" s="889">
        <f t="shared" ref="FR71" si="793">IF(CZ71=1,($BC71*CZ71),0)</f>
        <v>0</v>
      </c>
      <c r="FS71" s="889">
        <f t="shared" ref="FS71" si="794">IF(DA71=1,($BC71*DA71),0)</f>
        <v>0</v>
      </c>
      <c r="FT71" s="889">
        <f t="shared" ref="FT71" si="795">IF(DB71=1,($BC71*DB71),0)</f>
        <v>0</v>
      </c>
      <c r="FU71" s="889">
        <f t="shared" si="553"/>
        <v>0</v>
      </c>
      <c r="FV71" s="889">
        <f t="shared" si="554"/>
        <v>0</v>
      </c>
      <c r="FW71" s="889">
        <f t="shared" si="555"/>
        <v>0</v>
      </c>
      <c r="FX71" s="889">
        <f t="shared" si="556"/>
        <v>0</v>
      </c>
      <c r="FY71" s="889">
        <f t="shared" si="53"/>
        <v>0</v>
      </c>
      <c r="FZ71" s="889">
        <f t="shared" si="54"/>
        <v>0</v>
      </c>
      <c r="GA71" s="889">
        <f t="shared" si="55"/>
        <v>0</v>
      </c>
      <c r="GB71" s="889">
        <f t="shared" si="56"/>
        <v>0</v>
      </c>
      <c r="GC71" s="889">
        <f t="shared" si="57"/>
        <v>0</v>
      </c>
      <c r="GD71" s="889">
        <f t="shared" si="58"/>
        <v>0</v>
      </c>
      <c r="GE71" s="889">
        <f t="shared" si="59"/>
        <v>0</v>
      </c>
      <c r="GF71" s="889">
        <f t="shared" si="60"/>
        <v>0</v>
      </c>
      <c r="GG71" s="889">
        <f t="shared" si="61"/>
        <v>0</v>
      </c>
      <c r="GH71" s="889">
        <f t="shared" si="62"/>
        <v>0</v>
      </c>
      <c r="GI71" s="889">
        <f t="shared" si="63"/>
        <v>0</v>
      </c>
      <c r="GJ71" s="889">
        <f t="shared" si="64"/>
        <v>0</v>
      </c>
      <c r="GK71" s="889">
        <f t="shared" si="65"/>
        <v>0</v>
      </c>
      <c r="GL71" s="889">
        <f t="shared" si="557"/>
        <v>0</v>
      </c>
      <c r="GM71" s="889">
        <f t="shared" si="66"/>
        <v>0</v>
      </c>
    </row>
    <row r="72" spans="1:195" s="888" customFormat="1" ht="27.75" hidden="1" customHeight="1">
      <c r="A72" s="870" t="s">
        <v>334</v>
      </c>
      <c r="B72" s="870" t="s">
        <v>1161</v>
      </c>
      <c r="C72" s="872" t="str">
        <f t="shared" si="558"/>
        <v>PMCC-2</v>
      </c>
      <c r="D72" s="872" t="s">
        <v>1162</v>
      </c>
      <c r="E72" s="908" t="s">
        <v>1152</v>
      </c>
      <c r="F72" s="870" t="s">
        <v>29</v>
      </c>
      <c r="G72" s="870" t="s">
        <v>350</v>
      </c>
      <c r="H72" s="877">
        <v>18.5</v>
      </c>
      <c r="I72" s="870" t="s">
        <v>330</v>
      </c>
      <c r="J72" s="870" t="s">
        <v>331</v>
      </c>
      <c r="K72" s="875">
        <v>400</v>
      </c>
      <c r="L72" s="876">
        <v>0.75</v>
      </c>
      <c r="M72" s="877">
        <v>0.85299999999999998</v>
      </c>
      <c r="N72" s="878">
        <f t="shared" si="673"/>
        <v>41.740106692225147</v>
      </c>
      <c r="O72" s="878">
        <f t="shared" si="674"/>
        <v>250.4406401533509</v>
      </c>
      <c r="P72" s="876">
        <f t="shared" si="675"/>
        <v>0.2</v>
      </c>
      <c r="Q72" s="877">
        <v>65</v>
      </c>
      <c r="R72" s="877">
        <v>0</v>
      </c>
      <c r="S72" s="877">
        <f t="shared" si="676"/>
        <v>0</v>
      </c>
      <c r="T72" s="876" t="s">
        <v>332</v>
      </c>
      <c r="U72" s="877" t="s">
        <v>333</v>
      </c>
      <c r="V72" s="876">
        <v>4</v>
      </c>
      <c r="W72" s="876" t="str">
        <f t="shared" si="677"/>
        <v>3C X 4</v>
      </c>
      <c r="X72" s="876" t="str">
        <f t="shared" ref="X72:X73" si="796">(IF(J72="1Ph",W72,IF(J72="3Ph",(IF(G72="MOTOR",(CONCATENATE(W72,"+PE")),W72)))))</f>
        <v>3C X 4+PE</v>
      </c>
      <c r="Y72" s="876" t="s">
        <v>358</v>
      </c>
      <c r="Z72" s="879">
        <f>IF(T72="AIR",VLOOKUP(W72,'Catalogue Aluminium'!$B$9:$G$93,2,FALSE),IF(T72="GROUND",VLOOKUP(W72,'Catalogue Aluminium'!$B$9:$G$93,3,FALSE),IF(T72="DUCT",VLOOKUP(W72,'Catalogue Aluminium'!$B$9:$G$93,4,FALSE),IF(T72="TRENCH",VLOOKUP(W72,'Catalogue Aluminium'!$B$9:$G$93,2,FALSE)))))</f>
        <v>38</v>
      </c>
      <c r="AA72" s="880">
        <f>VLOOKUP(W72,'Catalogue Aluminium'!$B$9:$G$93,5,FALSE)</f>
        <v>5.9</v>
      </c>
      <c r="AB72" s="880">
        <f>VLOOKUP(W72,'Catalogue Aluminium'!$B$9:$G$93,6,FALSE)</f>
        <v>9.4700000000000006E-2</v>
      </c>
      <c r="AC72" s="876">
        <f t="shared" si="586"/>
        <v>12</v>
      </c>
      <c r="AD72" s="876">
        <f t="shared" si="576"/>
        <v>36.4</v>
      </c>
      <c r="AE72" s="876">
        <v>20</v>
      </c>
      <c r="AF72" s="876">
        <v>8</v>
      </c>
      <c r="AG72" s="876">
        <f t="shared" si="679"/>
        <v>8</v>
      </c>
      <c r="AH72" s="881">
        <f t="shared" si="680"/>
        <v>84.4</v>
      </c>
      <c r="AI72" s="879">
        <f>IF(T72="AIR",'Catalogue Aluminium'!$K$9,IF(T72="TRENCH",'Catalogue Aluminium'!$K$12,"NA"))</f>
        <v>0.89</v>
      </c>
      <c r="AJ72" s="407">
        <f>IF(T72="Air",(IF(U72="1C",'Catalogue Aluminium'!$L$9,'Catalogue Aluminium'!$M$9)),IF(T72="DUCT",(IF($U72="1C",'Catalogue Aluminium'!$L$10,'Catalogue Aluminium'!$M$10)),IF(T72="GROUND",(IF($U72="1C",'Catalogue Aluminium'!$L$11,'Catalogue Aluminium'!$M$11)),IF(T72="TRENCH",(IF($U72="1C",'Catalogue Aluminium'!$L$12,'Catalogue Aluminium'!$M$12))))))</f>
        <v>0.66</v>
      </c>
      <c r="AK72" s="408" t="str">
        <f>IF(T72="Air",'Catalogue Aluminium'!$N$9,IF(T72="GROUND",'Catalogue Aluminium'!$N$10,IF(T72="DUCT",'Catalogue Aluminium'!$N$11,IF(T72="TRENCH",'Catalogue Aluminium'!$N$12,"NA"))))</f>
        <v>NA</v>
      </c>
      <c r="AL72" s="408" t="str">
        <f>IF(T72="Air",(IF(U72="1C",'Catalogue Aluminium'!$O$9,'Catalogue Aluminium'!$P$9)),IF(T72="DUCT",(IF($U72="1C",'Catalogue Aluminium'!$O$10,'Catalogue Aluminium'!$P$10)),IF(T72="GROUND",(IF($U72="1C",'Catalogue Aluminium'!$O$11,'Catalogue Aluminium'!$P$11)),IF(T72="TRENCH",(IF($U72="1C",'Catalogue Aluminium'!$O$12,'Catalogue Aluminium'!$P$12))))))</f>
        <v>NA</v>
      </c>
      <c r="AM72" s="408" t="str">
        <f>IF(T72="AIR","NA",IF(T72="TRENCH","NA",IF(T72="DUCT",IF(U72="1C",VLOOKUP(V72,'Catalogue Aluminium'!$Q$9:$S$28,2,FALSE),VLOOKUP(V72,'Catalogue Aluminium'!$Q$9:$S$28,3)),IF(T72="GROUND",IF(U72="1C",VLOOKUP(V72,'Catalogue Aluminium'!$Q$9:$S$28,2,FALSE),VLOOKUP(V72,'Catalogue Aluminium'!$Q$9:$S$28,3))))))</f>
        <v>NA</v>
      </c>
      <c r="AN72" s="584">
        <f t="shared" si="681"/>
        <v>0.58740000000000003</v>
      </c>
      <c r="AO72" s="877">
        <f t="shared" si="682"/>
        <v>22.321200000000001</v>
      </c>
      <c r="AP72" s="875">
        <f t="shared" si="683"/>
        <v>2</v>
      </c>
      <c r="AQ72" s="877" t="str">
        <f t="shared" si="684"/>
        <v>YES</v>
      </c>
      <c r="AR72" s="882">
        <f t="shared" si="685"/>
        <v>3.4228232582344389</v>
      </c>
      <c r="AS72" s="876" t="str">
        <f t="shared" si="686"/>
        <v>NO</v>
      </c>
      <c r="AT72" s="882">
        <f t="shared" si="687"/>
        <v>5.8246993152540272</v>
      </c>
      <c r="AU72" s="876" t="str">
        <f t="shared" si="688"/>
        <v>YES</v>
      </c>
      <c r="AV72" s="883" t="str">
        <f t="shared" si="689"/>
        <v>2R x 0.6/1kV x 3C x 4 Sqmm</v>
      </c>
      <c r="AW72" s="883" t="str">
        <f t="shared" si="690"/>
        <v>2R x 0.6/1kV x 3C x 4+PE Sqmm</v>
      </c>
      <c r="AX72" s="876"/>
      <c r="AY72" s="884"/>
      <c r="AZ72" s="884"/>
      <c r="BA72" s="885"/>
      <c r="BB72" s="886"/>
      <c r="BC72" s="887"/>
      <c r="BE72" s="889"/>
      <c r="BF72" s="889"/>
      <c r="BG72" s="889"/>
      <c r="BH72" s="889"/>
      <c r="BI72" s="889"/>
      <c r="BJ72" s="889"/>
      <c r="BK72" s="889"/>
      <c r="BL72" s="889"/>
      <c r="BM72" s="889"/>
      <c r="BN72" s="889"/>
      <c r="BO72" s="889"/>
      <c r="BP72" s="889"/>
      <c r="BQ72" s="889"/>
      <c r="BR72" s="889"/>
      <c r="BS72" s="889"/>
      <c r="BT72" s="889"/>
      <c r="BU72" s="889"/>
      <c r="BV72" s="889"/>
      <c r="BW72" s="889"/>
      <c r="BX72" s="889"/>
      <c r="BY72" s="889"/>
      <c r="BZ72" s="889"/>
      <c r="CA72" s="889"/>
      <c r="CB72" s="889"/>
      <c r="CC72" s="889"/>
      <c r="CD72" s="889"/>
      <c r="CE72" s="889"/>
      <c r="CF72" s="889"/>
      <c r="CG72" s="889"/>
      <c r="CH72" s="889"/>
      <c r="CI72" s="889"/>
      <c r="CJ72" s="889"/>
      <c r="CK72" s="889"/>
      <c r="CL72" s="889"/>
      <c r="CM72" s="889"/>
      <c r="CN72" s="889"/>
      <c r="CO72" s="889"/>
      <c r="CP72" s="889"/>
      <c r="CQ72" s="889"/>
      <c r="CR72" s="889"/>
      <c r="CS72" s="889"/>
      <c r="CT72" s="889"/>
      <c r="CU72" s="889"/>
      <c r="CV72" s="889"/>
      <c r="CW72" s="889"/>
      <c r="CX72" s="889"/>
      <c r="CY72" s="889"/>
      <c r="CZ72" s="889"/>
      <c r="DA72" s="889"/>
      <c r="DB72" s="889">
        <v>1</v>
      </c>
      <c r="DC72" s="889">
        <v>1</v>
      </c>
      <c r="DD72" s="889">
        <v>1</v>
      </c>
      <c r="DE72" s="889">
        <v>1</v>
      </c>
      <c r="DF72" s="889">
        <v>1</v>
      </c>
      <c r="DG72" s="889"/>
      <c r="DH72" s="889"/>
      <c r="DI72" s="889"/>
      <c r="DJ72" s="909"/>
      <c r="DK72" s="909"/>
      <c r="DL72" s="909"/>
      <c r="DM72" s="909"/>
      <c r="DN72" s="909"/>
      <c r="DO72" s="909"/>
      <c r="DP72" s="909"/>
      <c r="DQ72" s="889"/>
      <c r="DR72" s="909"/>
      <c r="DS72" s="909"/>
      <c r="DT72" s="909"/>
      <c r="DU72" s="889"/>
      <c r="DW72" s="889">
        <f t="shared" si="80"/>
        <v>0</v>
      </c>
      <c r="DX72" s="889">
        <f t="shared" si="1"/>
        <v>0</v>
      </c>
      <c r="DY72" s="889">
        <f t="shared" si="2"/>
        <v>0</v>
      </c>
      <c r="DZ72" s="889">
        <f t="shared" si="3"/>
        <v>0</v>
      </c>
      <c r="EA72" s="889">
        <f t="shared" si="4"/>
        <v>0</v>
      </c>
      <c r="EB72" s="889">
        <f t="shared" si="5"/>
        <v>0</v>
      </c>
      <c r="EC72" s="889">
        <f t="shared" si="6"/>
        <v>0</v>
      </c>
      <c r="ED72" s="889">
        <f t="shared" si="7"/>
        <v>0</v>
      </c>
      <c r="EE72" s="889">
        <f t="shared" si="8"/>
        <v>0</v>
      </c>
      <c r="EF72" s="889">
        <f t="shared" si="9"/>
        <v>0</v>
      </c>
      <c r="EG72" s="889">
        <f t="shared" si="10"/>
        <v>0</v>
      </c>
      <c r="EH72" s="889">
        <f t="shared" si="11"/>
        <v>0</v>
      </c>
      <c r="EI72" s="889">
        <f t="shared" si="12"/>
        <v>0</v>
      </c>
      <c r="EJ72" s="889">
        <f t="shared" si="13"/>
        <v>0</v>
      </c>
      <c r="EK72" s="889">
        <f t="shared" si="14"/>
        <v>0</v>
      </c>
      <c r="EL72" s="889">
        <f t="shared" si="15"/>
        <v>0</v>
      </c>
      <c r="EM72" s="889">
        <f t="shared" si="16"/>
        <v>0</v>
      </c>
      <c r="EN72" s="889">
        <f t="shared" si="17"/>
        <v>0</v>
      </c>
      <c r="EO72" s="889">
        <f t="shared" si="18"/>
        <v>0</v>
      </c>
      <c r="EP72" s="889">
        <f t="shared" si="19"/>
        <v>0</v>
      </c>
      <c r="EQ72" s="889">
        <f t="shared" si="20"/>
        <v>0</v>
      </c>
      <c r="ER72" s="889">
        <f t="shared" si="21"/>
        <v>0</v>
      </c>
      <c r="ES72" s="889">
        <f t="shared" si="22"/>
        <v>0</v>
      </c>
      <c r="ET72" s="889">
        <f t="shared" si="22"/>
        <v>0</v>
      </c>
      <c r="EU72" s="889">
        <f t="shared" si="23"/>
        <v>0</v>
      </c>
      <c r="EV72" s="889">
        <f t="shared" si="24"/>
        <v>0</v>
      </c>
      <c r="EW72" s="889">
        <f t="shared" si="25"/>
        <v>0</v>
      </c>
      <c r="EX72" s="889">
        <f t="shared" si="26"/>
        <v>0</v>
      </c>
      <c r="EY72" s="889">
        <f t="shared" si="27"/>
        <v>0</v>
      </c>
      <c r="EZ72" s="889">
        <f t="shared" si="28"/>
        <v>0</v>
      </c>
      <c r="FA72" s="889">
        <f t="shared" si="29"/>
        <v>0</v>
      </c>
      <c r="FB72" s="889">
        <f t="shared" si="30"/>
        <v>0</v>
      </c>
      <c r="FC72" s="889">
        <f t="shared" si="31"/>
        <v>0</v>
      </c>
      <c r="FD72" s="889">
        <f t="shared" si="32"/>
        <v>0</v>
      </c>
      <c r="FE72" s="889">
        <f t="shared" si="33"/>
        <v>0</v>
      </c>
      <c r="FF72" s="889">
        <f t="shared" si="34"/>
        <v>0</v>
      </c>
      <c r="FG72" s="889">
        <f t="shared" si="35"/>
        <v>0</v>
      </c>
      <c r="FH72" s="889">
        <f t="shared" si="36"/>
        <v>0</v>
      </c>
      <c r="FI72" s="889">
        <f t="shared" si="37"/>
        <v>0</v>
      </c>
      <c r="FJ72" s="889">
        <f t="shared" si="38"/>
        <v>0</v>
      </c>
      <c r="FK72" s="889">
        <f t="shared" si="39"/>
        <v>0</v>
      </c>
      <c r="FL72" s="889">
        <f t="shared" si="40"/>
        <v>0</v>
      </c>
      <c r="FM72" s="889">
        <f t="shared" si="41"/>
        <v>0</v>
      </c>
      <c r="FN72" s="889">
        <f t="shared" si="42"/>
        <v>0</v>
      </c>
      <c r="FO72" s="889">
        <f t="shared" si="43"/>
        <v>0</v>
      </c>
      <c r="FP72" s="889">
        <f t="shared" si="44"/>
        <v>0</v>
      </c>
      <c r="FQ72" s="889">
        <f t="shared" si="45"/>
        <v>0</v>
      </c>
      <c r="FR72" s="889">
        <f t="shared" si="46"/>
        <v>0</v>
      </c>
      <c r="FS72" s="889">
        <f t="shared" si="47"/>
        <v>0</v>
      </c>
      <c r="FT72" s="889">
        <f t="shared" si="48"/>
        <v>0</v>
      </c>
      <c r="FU72" s="889">
        <f t="shared" si="553"/>
        <v>0</v>
      </c>
      <c r="FV72" s="889">
        <f t="shared" si="554"/>
        <v>0</v>
      </c>
      <c r="FW72" s="889">
        <f t="shared" si="555"/>
        <v>0</v>
      </c>
      <c r="FX72" s="889">
        <f t="shared" si="556"/>
        <v>0</v>
      </c>
      <c r="FY72" s="889">
        <f t="shared" si="53"/>
        <v>0</v>
      </c>
      <c r="FZ72" s="889">
        <f t="shared" si="54"/>
        <v>0</v>
      </c>
      <c r="GA72" s="889">
        <f t="shared" si="55"/>
        <v>0</v>
      </c>
      <c r="GB72" s="889">
        <f t="shared" si="56"/>
        <v>0</v>
      </c>
      <c r="GC72" s="889">
        <f t="shared" si="57"/>
        <v>0</v>
      </c>
      <c r="GD72" s="889">
        <f t="shared" si="58"/>
        <v>0</v>
      </c>
      <c r="GE72" s="889">
        <f t="shared" si="59"/>
        <v>0</v>
      </c>
      <c r="GF72" s="889">
        <f t="shared" si="60"/>
        <v>0</v>
      </c>
      <c r="GG72" s="889">
        <f t="shared" si="61"/>
        <v>0</v>
      </c>
      <c r="GH72" s="889">
        <f t="shared" si="62"/>
        <v>0</v>
      </c>
      <c r="GI72" s="889">
        <f t="shared" si="63"/>
        <v>0</v>
      </c>
      <c r="GJ72" s="889">
        <f t="shared" si="64"/>
        <v>0</v>
      </c>
      <c r="GK72" s="889">
        <f t="shared" si="65"/>
        <v>0</v>
      </c>
      <c r="GL72" s="889">
        <f t="shared" si="557"/>
        <v>0</v>
      </c>
      <c r="GM72" s="889">
        <f t="shared" si="66"/>
        <v>0</v>
      </c>
    </row>
    <row r="73" spans="1:195" s="888" customFormat="1" ht="27.75" hidden="1" customHeight="1">
      <c r="A73" s="870" t="s">
        <v>334</v>
      </c>
      <c r="B73" s="870" t="s">
        <v>1161</v>
      </c>
      <c r="C73" s="872" t="str">
        <f t="shared" si="558"/>
        <v>PMCC-2</v>
      </c>
      <c r="D73" s="872" t="s">
        <v>1601</v>
      </c>
      <c r="E73" s="908" t="s">
        <v>1152</v>
      </c>
      <c r="F73" s="870" t="s">
        <v>29</v>
      </c>
      <c r="G73" s="870" t="s">
        <v>329</v>
      </c>
      <c r="H73" s="874">
        <v>0.2</v>
      </c>
      <c r="I73" s="870" t="s">
        <v>330</v>
      </c>
      <c r="J73" s="870" t="s">
        <v>357</v>
      </c>
      <c r="K73" s="875">
        <v>230</v>
      </c>
      <c r="L73" s="876">
        <v>0.85</v>
      </c>
      <c r="M73" s="877">
        <v>0.95</v>
      </c>
      <c r="N73" s="878">
        <f t="shared" si="673"/>
        <v>1.0768609503297888</v>
      </c>
      <c r="O73" s="878">
        <f t="shared" si="674"/>
        <v>0</v>
      </c>
      <c r="P73" s="876" t="str">
        <f t="shared" si="675"/>
        <v>0.00</v>
      </c>
      <c r="Q73" s="877">
        <v>65</v>
      </c>
      <c r="R73" s="877">
        <v>0</v>
      </c>
      <c r="S73" s="877">
        <f t="shared" si="676"/>
        <v>0</v>
      </c>
      <c r="T73" s="876" t="s">
        <v>332</v>
      </c>
      <c r="U73" s="877" t="s">
        <v>333</v>
      </c>
      <c r="V73" s="876">
        <v>2.5</v>
      </c>
      <c r="W73" s="876" t="str">
        <f t="shared" si="677"/>
        <v>3C X 2.5</v>
      </c>
      <c r="X73" s="876" t="str">
        <f t="shared" si="796"/>
        <v>3C X 2.5</v>
      </c>
      <c r="Y73" s="876" t="s">
        <v>358</v>
      </c>
      <c r="Z73" s="879">
        <f>IF(T73="AIR",VLOOKUP(W73,'Catalogue Aluminium'!$B$9:$G$93,2,FALSE),IF(T73="GROUND",VLOOKUP(W73,'Catalogue Aluminium'!$B$9:$G$93,3,FALSE),IF(T73="DUCT",VLOOKUP(W73,'Catalogue Aluminium'!$B$9:$G$93,4,FALSE),IF(T73="TRENCH",VLOOKUP(W73,'Catalogue Aluminium'!$B$9:$G$93,2,FALSE)))))</f>
        <v>28</v>
      </c>
      <c r="AA73" s="880">
        <f>VLOOKUP(W73,'Catalogue Aluminium'!$B$9:$G$93,5,FALSE)</f>
        <v>9.48</v>
      </c>
      <c r="AB73" s="880">
        <f>VLOOKUP(W73,'Catalogue Aluminium'!$B$9:$G$93,6,FALSE)</f>
        <v>0.1007</v>
      </c>
      <c r="AC73" s="876">
        <v>22</v>
      </c>
      <c r="AD73" s="876">
        <f t="shared" ref="AD73" si="797">95+5</f>
        <v>100</v>
      </c>
      <c r="AE73" s="876">
        <v>10</v>
      </c>
      <c r="AF73" s="876">
        <v>8</v>
      </c>
      <c r="AG73" s="876">
        <f t="shared" ref="AG73" si="798">ROUNDUP((SUM(AC73:AF73)*0.1),0)</f>
        <v>14</v>
      </c>
      <c r="AH73" s="881">
        <f t="shared" ref="AH73" si="799">SUM(AC73:AG73)</f>
        <v>154</v>
      </c>
      <c r="AI73" s="879">
        <f>IF(T73="AIR",'Catalogue Aluminium'!$K$9,IF(T73="TRENCH",'Catalogue Aluminium'!$K$12,"NA"))</f>
        <v>0.89</v>
      </c>
      <c r="AJ73" s="407">
        <f>IF(T73="Air",(IF(U73="1C",'Catalogue Aluminium'!$L$9,'Catalogue Aluminium'!$M$9)),IF(T73="DUCT",(IF($U73="1C",'Catalogue Aluminium'!$L$10,'Catalogue Aluminium'!$M$10)),IF(T73="GROUND",(IF($U73="1C",'Catalogue Aluminium'!$L$11,'Catalogue Aluminium'!$M$11)),IF(T73="TRENCH",(IF($U73="1C",'Catalogue Aluminium'!$L$12,'Catalogue Aluminium'!$M$12))))))</f>
        <v>0.66</v>
      </c>
      <c r="AK73" s="408" t="str">
        <f>IF(T73="Air",'Catalogue Aluminium'!$N$9,IF(T73="GROUND",'Catalogue Aluminium'!$N$10,IF(T73="DUCT",'Catalogue Aluminium'!$N$11,IF(T73="TRENCH",'Catalogue Aluminium'!$N$12,"NA"))))</f>
        <v>NA</v>
      </c>
      <c r="AL73" s="408" t="str">
        <f>IF(T73="Air",(IF(U73="1C",'Catalogue Aluminium'!$O$9,'Catalogue Aluminium'!$P$9)),IF(T73="DUCT",(IF($U73="1C",'Catalogue Aluminium'!$O$10,'Catalogue Aluminium'!$P$10)),IF(T73="GROUND",(IF($U73="1C",'Catalogue Aluminium'!$O$11,'Catalogue Aluminium'!$P$11)),IF(T73="TRENCH",(IF($U73="1C",'Catalogue Aluminium'!$O$12,'Catalogue Aluminium'!$P$12))))))</f>
        <v>NA</v>
      </c>
      <c r="AM73" s="408" t="str">
        <f>IF(T73="AIR","NA",IF(T73="TRENCH","NA",IF(T73="DUCT",IF(U73="1C",VLOOKUP(V73,'Catalogue Aluminium'!$Q$9:$S$28,2,FALSE),VLOOKUP(V73,'Catalogue Aluminium'!$Q$9:$S$28,3)),IF(T73="GROUND",IF(U73="1C",VLOOKUP(V73,'Catalogue Aluminium'!$Q$9:$S$28,2,FALSE),VLOOKUP(V73,'Catalogue Aluminium'!$Q$9:$S$28,3))))))</f>
        <v>NA</v>
      </c>
      <c r="AN73" s="584">
        <f t="shared" si="681"/>
        <v>0.58740000000000003</v>
      </c>
      <c r="AO73" s="877">
        <f t="shared" si="682"/>
        <v>16.447200000000002</v>
      </c>
      <c r="AP73" s="875">
        <f t="shared" si="683"/>
        <v>1</v>
      </c>
      <c r="AQ73" s="877" t="str">
        <f t="shared" si="684"/>
        <v>YES</v>
      </c>
      <c r="AR73" s="882">
        <f t="shared" si="685"/>
        <v>1.0129547835231685</v>
      </c>
      <c r="AS73" s="876" t="str">
        <f t="shared" si="686"/>
        <v>YES</v>
      </c>
      <c r="AT73" s="882" t="str">
        <f t="shared" si="687"/>
        <v>NA</v>
      </c>
      <c r="AU73" s="876" t="str">
        <f t="shared" si="688"/>
        <v>NA</v>
      </c>
      <c r="AV73" s="883" t="str">
        <f t="shared" si="689"/>
        <v>1R x 0.6/1kV x 3C x 2.5 Sqmm</v>
      </c>
      <c r="AW73" s="883" t="str">
        <f t="shared" si="690"/>
        <v>1R x 0.6/1kV x 3C x 2.5 Sqmm</v>
      </c>
      <c r="AX73" s="876"/>
      <c r="AY73" s="884"/>
      <c r="AZ73" s="884"/>
      <c r="BA73" s="885"/>
      <c r="BB73" s="886"/>
      <c r="BC73" s="887"/>
      <c r="BE73" s="889"/>
      <c r="BF73" s="889"/>
      <c r="BG73" s="889"/>
      <c r="BH73" s="889"/>
      <c r="BI73" s="889"/>
      <c r="BJ73" s="889"/>
      <c r="BK73" s="889"/>
      <c r="BL73" s="889"/>
      <c r="BM73" s="889"/>
      <c r="BN73" s="889"/>
      <c r="BO73" s="889"/>
      <c r="BP73" s="889"/>
      <c r="BQ73" s="889"/>
      <c r="BR73" s="889"/>
      <c r="BS73" s="889"/>
      <c r="BT73" s="889"/>
      <c r="BU73" s="889"/>
      <c r="BV73" s="889"/>
      <c r="BW73" s="889"/>
      <c r="BX73" s="889"/>
      <c r="BY73" s="889"/>
      <c r="BZ73" s="889"/>
      <c r="CA73" s="889"/>
      <c r="CB73" s="889"/>
      <c r="CC73" s="889"/>
      <c r="CD73" s="889"/>
      <c r="CE73" s="889"/>
      <c r="CF73" s="889"/>
      <c r="CG73" s="889"/>
      <c r="CH73" s="889"/>
      <c r="CI73" s="889"/>
      <c r="CJ73" s="889"/>
      <c r="CK73" s="889"/>
      <c r="CL73" s="889"/>
      <c r="CM73" s="889"/>
      <c r="CN73" s="889"/>
      <c r="CO73" s="889"/>
      <c r="CP73" s="889"/>
      <c r="CQ73" s="889"/>
      <c r="CR73" s="889"/>
      <c r="CS73" s="889"/>
      <c r="CT73" s="889"/>
      <c r="CU73" s="889"/>
      <c r="CV73" s="889"/>
      <c r="CW73" s="889"/>
      <c r="CX73" s="889"/>
      <c r="CY73" s="889"/>
      <c r="CZ73" s="889"/>
      <c r="DA73" s="889"/>
      <c r="DB73" s="889">
        <v>1</v>
      </c>
      <c r="DC73" s="889">
        <v>1</v>
      </c>
      <c r="DD73" s="889">
        <v>1</v>
      </c>
      <c r="DE73" s="889">
        <v>1</v>
      </c>
      <c r="DF73" s="889">
        <v>1</v>
      </c>
      <c r="DG73" s="889"/>
      <c r="DH73" s="889"/>
      <c r="DI73" s="889"/>
      <c r="DJ73" s="909"/>
      <c r="DK73" s="909"/>
      <c r="DL73" s="909"/>
      <c r="DM73" s="909"/>
      <c r="DN73" s="909"/>
      <c r="DO73" s="909"/>
      <c r="DP73" s="909"/>
      <c r="DQ73" s="889"/>
      <c r="DR73" s="909"/>
      <c r="DS73" s="909"/>
      <c r="DT73" s="909"/>
      <c r="DU73" s="889"/>
      <c r="DW73" s="889">
        <f t="shared" ref="DW73" si="800">IF(BE73=1,($BC73*BE73),0)</f>
        <v>0</v>
      </c>
      <c r="DX73" s="889">
        <f t="shared" ref="DX73" si="801">IF(BF73=1,($BC73*BF73),0)</f>
        <v>0</v>
      </c>
      <c r="DY73" s="889">
        <f t="shared" ref="DY73" si="802">IF(BG73=1,($BC73*BG73),0)</f>
        <v>0</v>
      </c>
      <c r="DZ73" s="889">
        <f t="shared" ref="DZ73" si="803">IF(BH73=1,($BC73*BH73),0)</f>
        <v>0</v>
      </c>
      <c r="EA73" s="889">
        <f t="shared" ref="EA73" si="804">IF(BI73=1,($BC73*BI73),0)</f>
        <v>0</v>
      </c>
      <c r="EB73" s="889">
        <f t="shared" ref="EB73" si="805">IF(BJ73=1,($BC73*BJ73),0)</f>
        <v>0</v>
      </c>
      <c r="EC73" s="889">
        <f t="shared" ref="EC73" si="806">IF(BK73=1,($BC73*BK73),0)</f>
        <v>0</v>
      </c>
      <c r="ED73" s="889">
        <f t="shared" ref="ED73" si="807">IF(BL73=1,($BC73*BL73),0)</f>
        <v>0</v>
      </c>
      <c r="EE73" s="889">
        <f t="shared" ref="EE73" si="808">IF(BM73=1,($BC73*BM73),0)</f>
        <v>0</v>
      </c>
      <c r="EF73" s="889">
        <f t="shared" ref="EF73" si="809">IF(BN73=1,($BC73*BN73),0)</f>
        <v>0</v>
      </c>
      <c r="EG73" s="889">
        <f t="shared" ref="EG73" si="810">IF(BO73=1,($BC73*BO73),0)</f>
        <v>0</v>
      </c>
      <c r="EH73" s="889">
        <f t="shared" ref="EH73" si="811">IF(BP73=1,($BC73*BP73),0)</f>
        <v>0</v>
      </c>
      <c r="EI73" s="889">
        <f t="shared" ref="EI73" si="812">IF(BQ73=1,($BC73*BQ73),0)</f>
        <v>0</v>
      </c>
      <c r="EJ73" s="889">
        <f t="shared" ref="EJ73" si="813">IF(BR73=1,($BC73*BR73),0)</f>
        <v>0</v>
      </c>
      <c r="EK73" s="889">
        <f t="shared" ref="EK73" si="814">IF(BS73=1,($BC73*BS73),0)</f>
        <v>0</v>
      </c>
      <c r="EL73" s="889">
        <f t="shared" ref="EL73" si="815">IF(BT73=1,($BC73*BT73),0)</f>
        <v>0</v>
      </c>
      <c r="EM73" s="889">
        <f t="shared" ref="EM73" si="816">IF(BU73=1,($BC73*BU73),0)</f>
        <v>0</v>
      </c>
      <c r="EN73" s="889">
        <f t="shared" ref="EN73" si="817">IF(BV73=1,($BC73*BV73),0)</f>
        <v>0</v>
      </c>
      <c r="EO73" s="889">
        <f t="shared" ref="EO73" si="818">IF(BW73=1,($BC73*BW73),0)</f>
        <v>0</v>
      </c>
      <c r="EP73" s="889">
        <f t="shared" ref="EP73" si="819">IF(BX73=1,($BC73*BX73),0)</f>
        <v>0</v>
      </c>
      <c r="EQ73" s="889">
        <f t="shared" ref="EQ73" si="820">IF(BY73=1,($BC73*BY73),0)</f>
        <v>0</v>
      </c>
      <c r="ER73" s="889">
        <f t="shared" ref="ER73" si="821">IF(BZ73=1,($BC73*BZ73),0)</f>
        <v>0</v>
      </c>
      <c r="ES73" s="889">
        <f t="shared" ref="ES73" si="822">IF(CA73=1,($BC73*CA73),0)</f>
        <v>0</v>
      </c>
      <c r="ET73" s="889">
        <f t="shared" si="22"/>
        <v>0</v>
      </c>
      <c r="EU73" s="889">
        <f t="shared" ref="EU73" si="823">IF(CC73=1,($BC73*CC73),0)</f>
        <v>0</v>
      </c>
      <c r="EV73" s="889">
        <f t="shared" ref="EV73" si="824">IF(CD73=1,($BC73*CD73),0)</f>
        <v>0</v>
      </c>
      <c r="EW73" s="889">
        <f t="shared" ref="EW73" si="825">IF(CE73=1,($BC73*CE73),0)</f>
        <v>0</v>
      </c>
      <c r="EX73" s="889">
        <f t="shared" ref="EX73" si="826">IF(CF73=1,($BC73*CF73),0)</f>
        <v>0</v>
      </c>
      <c r="EY73" s="889">
        <f t="shared" ref="EY73" si="827">IF(CG73=1,($BC73*CG73),0)</f>
        <v>0</v>
      </c>
      <c r="EZ73" s="889">
        <f t="shared" ref="EZ73" si="828">IF(CH73=1,($BC73*CH73),0)</f>
        <v>0</v>
      </c>
      <c r="FA73" s="889">
        <f t="shared" ref="FA73" si="829">IF(CI73=1,($BC73*CI73),0)</f>
        <v>0</v>
      </c>
      <c r="FB73" s="889">
        <f t="shared" ref="FB73" si="830">IF(CJ73=1,($BC73*CJ73),0)</f>
        <v>0</v>
      </c>
      <c r="FC73" s="889">
        <f t="shared" ref="FC73" si="831">IF(CK73=1,($BC73*CK73),0)</f>
        <v>0</v>
      </c>
      <c r="FD73" s="889">
        <f t="shared" ref="FD73" si="832">IF(CL73=1,($BC73*CL73),0)</f>
        <v>0</v>
      </c>
      <c r="FE73" s="889">
        <f t="shared" ref="FE73" si="833">IF(CM73=1,($BC73*CM73),0)</f>
        <v>0</v>
      </c>
      <c r="FF73" s="889">
        <f t="shared" ref="FF73" si="834">IF(CN73=1,($BC73*CN73),0)</f>
        <v>0</v>
      </c>
      <c r="FG73" s="889">
        <f t="shared" ref="FG73" si="835">IF(CO73=1,($BC73*CO73),0)</f>
        <v>0</v>
      </c>
      <c r="FH73" s="889">
        <f t="shared" ref="FH73" si="836">IF(CP73=1,($BC73*CP73),0)</f>
        <v>0</v>
      </c>
      <c r="FI73" s="889">
        <f t="shared" ref="FI73" si="837">IF(CQ73=1,($BC73*CQ73),0)</f>
        <v>0</v>
      </c>
      <c r="FJ73" s="889">
        <f t="shared" ref="FJ73" si="838">IF(CR73=1,($BC73*CR73),0)</f>
        <v>0</v>
      </c>
      <c r="FK73" s="889">
        <f t="shared" ref="FK73" si="839">IF(CS73=1,($BC73*CS73),0)</f>
        <v>0</v>
      </c>
      <c r="FL73" s="889">
        <f t="shared" ref="FL73" si="840">IF(CT73=1,($BC73*CT73),0)</f>
        <v>0</v>
      </c>
      <c r="FM73" s="889">
        <f t="shared" ref="FM73" si="841">IF(CU73=1,($BC73*CU73),0)</f>
        <v>0</v>
      </c>
      <c r="FN73" s="889">
        <f t="shared" ref="FN73" si="842">IF(CV73=1,($BC73*CV73),0)</f>
        <v>0</v>
      </c>
      <c r="FO73" s="889">
        <f t="shared" ref="FO73" si="843">IF(CW73=1,($BC73*CW73),0)</f>
        <v>0</v>
      </c>
      <c r="FP73" s="889">
        <f t="shared" ref="FP73" si="844">IF(CX73=1,($BC73*CX73),0)</f>
        <v>0</v>
      </c>
      <c r="FQ73" s="889">
        <f t="shared" ref="FQ73" si="845">IF(CY73=1,($BC73*CY73),0)</f>
        <v>0</v>
      </c>
      <c r="FR73" s="889">
        <f t="shared" ref="FR73" si="846">IF(CZ73=1,($BC73*CZ73),0)</f>
        <v>0</v>
      </c>
      <c r="FS73" s="889">
        <f t="shared" ref="FS73" si="847">IF(DA73=1,($BC73*DA73),0)</f>
        <v>0</v>
      </c>
      <c r="FT73" s="889">
        <f t="shared" ref="FT73" si="848">IF(DB73=1,($BC73*DB73),0)</f>
        <v>0</v>
      </c>
      <c r="FU73" s="889">
        <f t="shared" si="553"/>
        <v>0</v>
      </c>
      <c r="FV73" s="889">
        <f t="shared" si="554"/>
        <v>0</v>
      </c>
      <c r="FW73" s="889">
        <f t="shared" si="555"/>
        <v>0</v>
      </c>
      <c r="FX73" s="889">
        <f t="shared" si="556"/>
        <v>0</v>
      </c>
      <c r="FY73" s="889">
        <f t="shared" si="53"/>
        <v>0</v>
      </c>
      <c r="FZ73" s="889">
        <f t="shared" si="54"/>
        <v>0</v>
      </c>
      <c r="GA73" s="889">
        <f t="shared" si="55"/>
        <v>0</v>
      </c>
      <c r="GB73" s="889">
        <f t="shared" si="56"/>
        <v>0</v>
      </c>
      <c r="GC73" s="889">
        <f t="shared" si="57"/>
        <v>0</v>
      </c>
      <c r="GD73" s="889">
        <f t="shared" si="58"/>
        <v>0</v>
      </c>
      <c r="GE73" s="889">
        <f t="shared" si="59"/>
        <v>0</v>
      </c>
      <c r="GF73" s="889">
        <f t="shared" si="60"/>
        <v>0</v>
      </c>
      <c r="GG73" s="889">
        <f t="shared" si="61"/>
        <v>0</v>
      </c>
      <c r="GH73" s="889">
        <f t="shared" si="62"/>
        <v>0</v>
      </c>
      <c r="GI73" s="889">
        <f t="shared" si="63"/>
        <v>0</v>
      </c>
      <c r="GJ73" s="889">
        <f t="shared" si="64"/>
        <v>0</v>
      </c>
      <c r="GK73" s="889">
        <f t="shared" si="65"/>
        <v>0</v>
      </c>
      <c r="GL73" s="889">
        <f t="shared" si="557"/>
        <v>0</v>
      </c>
      <c r="GM73" s="889">
        <f t="shared" si="66"/>
        <v>0</v>
      </c>
    </row>
    <row r="74" spans="1:195" s="869" customFormat="1" ht="27.75" customHeight="1">
      <c r="A74" s="406">
        <f>A62+1</f>
        <v>52</v>
      </c>
      <c r="B74" s="406" t="s">
        <v>527</v>
      </c>
      <c r="C74" s="787" t="s">
        <v>1089</v>
      </c>
      <c r="D74" s="787" t="s">
        <v>1733</v>
      </c>
      <c r="E74" s="788" t="s">
        <v>1152</v>
      </c>
      <c r="F74" s="406" t="s">
        <v>29</v>
      </c>
      <c r="G74" s="406" t="s">
        <v>329</v>
      </c>
      <c r="H74" s="583">
        <v>74</v>
      </c>
      <c r="I74" s="406" t="s">
        <v>330</v>
      </c>
      <c r="J74" s="406" t="s">
        <v>331</v>
      </c>
      <c r="K74" s="585">
        <v>400</v>
      </c>
      <c r="L74" s="409">
        <v>0.75</v>
      </c>
      <c r="M74" s="583">
        <v>0.85299999999999998</v>
      </c>
      <c r="N74" s="407">
        <f t="shared" si="673"/>
        <v>166.96042676890059</v>
      </c>
      <c r="O74" s="407">
        <f t="shared" si="674"/>
        <v>0</v>
      </c>
      <c r="P74" s="409" t="str">
        <f t="shared" si="675"/>
        <v>0.00</v>
      </c>
      <c r="Q74" s="583">
        <v>65</v>
      </c>
      <c r="R74" s="583">
        <v>0</v>
      </c>
      <c r="S74" s="583">
        <f t="shared" si="676"/>
        <v>0</v>
      </c>
      <c r="T74" s="409" t="s">
        <v>332</v>
      </c>
      <c r="U74" s="583" t="s">
        <v>535</v>
      </c>
      <c r="V74" s="409">
        <v>150</v>
      </c>
      <c r="W74" s="409" t="str">
        <f t="shared" si="677"/>
        <v>3.5C X 150</v>
      </c>
      <c r="X74" s="409" t="str">
        <f t="shared" ref="X74:X75" si="849">(IF(J74="1Ph",W74,IF(J74="3Ph",(IF(G74="MOTOR",(CONCATENATE(W74,"+PE")),W74)))))</f>
        <v>3.5C X 150</v>
      </c>
      <c r="Y74" s="409" t="s">
        <v>358</v>
      </c>
      <c r="Z74" s="408">
        <f>IF(T74="AIR",VLOOKUP(W74,'Catalogue Aluminium'!$B$9:$G$93,2,FALSE),IF(T74="GROUND",VLOOKUP(W74,'Catalogue Aluminium'!$B$9:$G$93,3,FALSE),IF(T74="DUCT",VLOOKUP(W74,'Catalogue Aluminium'!$B$9:$G$93,4,FALSE),IF(T74="TRENCH",VLOOKUP(W74,'Catalogue Aluminium'!$B$9:$G$93,2,FALSE)))))</f>
        <v>293</v>
      </c>
      <c r="AA74" s="410">
        <f>VLOOKUP(W74,'Catalogue Aluminium'!$B$9:$G$93,5,FALSE)</f>
        <v>0.26400000000000001</v>
      </c>
      <c r="AB74" s="410">
        <f>VLOOKUP(W74,'Catalogue Aluminium'!$B$9:$G$93,6,FALSE)</f>
        <v>7.3200000000000001E-2</v>
      </c>
      <c r="AC74" s="409">
        <f t="shared" ref="AC74:AC75" si="850">9.5+2.5</f>
        <v>12</v>
      </c>
      <c r="AD74" s="409">
        <f t="shared" ref="AD74:AD75" si="851">6+6.7+4.7+19</f>
        <v>36.4</v>
      </c>
      <c r="AE74" s="409">
        <v>20</v>
      </c>
      <c r="AF74" s="409">
        <v>8</v>
      </c>
      <c r="AG74" s="409">
        <f t="shared" ref="AG74:AG75" si="852">ROUNDUP((SUM(AC74:AF74)*0.1),0)</f>
        <v>8</v>
      </c>
      <c r="AH74" s="865">
        <f t="shared" ref="AH74:AH75" si="853">SUM(AC74:AG74)</f>
        <v>84.4</v>
      </c>
      <c r="AI74" s="408">
        <f>IF(T74="AIR",'Catalogue Aluminium'!$K$9,IF(T74="TRENCH",'Catalogue Aluminium'!$K$12,"NA"))</f>
        <v>0.89</v>
      </c>
      <c r="AJ74" s="583">
        <f>IF(T74="Air",(IF(U74="1C",'Catalogue Aluminium'!$L$9,'Catalogue Aluminium'!$M$9)),IF(T74="DUCT",(IF($U74="1C",'Catalogue Aluminium'!$L$10,'Catalogue Aluminium'!$M$10)),IF(T74="GROUND",(IF($U74="1C",'Catalogue Aluminium'!$L$11,'Catalogue Aluminium'!$M$11)),IF(T74="TRENCH",(IF($U74="1C",'Catalogue Aluminium'!$L$12,'Catalogue Aluminium'!$M$12))))))</f>
        <v>0.66</v>
      </c>
      <c r="AK74" s="585" t="str">
        <f>IF(T74="Air",'Catalogue Aluminium'!$N$9,IF(T74="GROUND",'Catalogue Aluminium'!$N$10,IF(T74="DUCT",'Catalogue Aluminium'!$N$11,IF(T74="TRENCH",'Catalogue Aluminium'!$N$12,"NA"))))</f>
        <v>NA</v>
      </c>
      <c r="AL74" s="583" t="str">
        <f>IF(T74="Air",(IF(U74="1C",'Catalogue Aluminium'!$O$9,'Catalogue Aluminium'!$P$9)),IF(T74="DUCT",(IF($U74="1C",'Catalogue Aluminium'!$O$10,'Catalogue Aluminium'!$P$10)),IF(T74="GROUND",(IF($U74="1C",'Catalogue Aluminium'!$O$11,'Catalogue Aluminium'!$P$11)),IF(T74="TRENCH",(IF($U74="1C",'Catalogue Aluminium'!$O$12,'Catalogue Aluminium'!$P$12))))))</f>
        <v>NA</v>
      </c>
      <c r="AM74" s="584" t="str">
        <f>IF(T74="AIR","NA",IF(T74="TRENCH","NA",IF(T74="DUCT",IF(U74="1C",VLOOKUP(V74,'Catalogue Aluminium'!$Q$9:$S$28,2,FALSE),VLOOKUP(V74,'Catalogue Aluminium'!$Q$9:$S$28,3)),IF(T74="GROUND",IF(U74="1C",VLOOKUP(V74,'Catalogue Aluminium'!$Q$9:$S$28,2,FALSE),VLOOKUP(V74,'Catalogue Aluminium'!$Q$9:$S$28,3))))))</f>
        <v>NA</v>
      </c>
      <c r="AN74" s="409">
        <f t="shared" ref="AN74:AN75" si="854">IF(T74="AIR",AI74*AJ74,IF(T74="TRENCH",AI74*AJ74,IF(T74="DUCT",AJ74*AK74*AL74*AM74,IF(T74="GROUND",AJ74*AK74*AL74*AM74))))</f>
        <v>0.58740000000000003</v>
      </c>
      <c r="AO74" s="584">
        <f t="shared" ref="AO74:AO75" si="855">Z74*AN74</f>
        <v>172.10820000000001</v>
      </c>
      <c r="AP74" s="409">
        <f t="shared" ref="AP74:AP75" si="856">CEILING(((N74)/AO74),1)</f>
        <v>1</v>
      </c>
      <c r="AQ74" s="586" t="str">
        <f t="shared" ref="AQ74:AQ75" si="857">IF(AO74*AP74&gt;=N74,"YES","NO")</f>
        <v>YES</v>
      </c>
      <c r="AR74" s="586">
        <f t="shared" ref="AR74:AR75" si="858">SQRT(3)*AH74*N74*((AA74*L74)+(AB74*SIN(ACOS(L74))))*100/(AP74*K74*1000)</f>
        <v>1.5035841314823222</v>
      </c>
      <c r="AS74" s="409" t="str">
        <f t="shared" ref="AS74:AS75" si="859">IF(G74="INCOMER",(IF(AR74&lt;=2,"YES","NO")),IF(G74="POWER",(IF(AR74&lt;=2.5,"YES","NO")),IF(G74="MOTOR",(IF(AR74&lt;=3,"YES","NO")))))</f>
        <v>YES</v>
      </c>
      <c r="AT74" s="866" t="str">
        <f t="shared" ref="AT74:AT75" si="860">IF(G74="MOTOR",(SQRT(3)*AH74*O74*((AA74*P74)+(AB74*SIN(ACOS(P74))))*100/(AP74*K74*1000)),"NA")</f>
        <v>NA</v>
      </c>
      <c r="AU74" s="866" t="str">
        <f t="shared" ref="AU74:AU75" si="861">IF(G74="MOTOR",IF(AT74&lt;=15,"YES","NO"),"NA")</f>
        <v>NA</v>
      </c>
      <c r="AV74" s="867" t="str">
        <f t="shared" ref="AV74:AV75" si="862">IF(U74="1C",CONCATENATE(AP74,"R x ",Y74,"kV x ",U74," x ",V74," Sqmm/Phase"),CONCATENATE(AP74,"R x ",0.6,"/1kV x ",U74," x ",V74," Sqmm"))</f>
        <v>1R x 0.6/1kV x 3.5C x 150 Sqmm</v>
      </c>
      <c r="AW74" s="868" t="str">
        <f t="shared" ref="AW74:AW75" si="863">IF(U74="1C",CONCATENATE(AP74,"R x ",Y74,"kV x ",U74," x ",V74," Sqmm/Phase"),CONCATENATE(AP74,"R x ",0.6,"/1kV x ",U74," x ",V74,(IF(G74="MOTOR","+PE",""))," Sqmm"))</f>
        <v>1R x 0.6/1kV x 3.5C x 150 Sqmm</v>
      </c>
      <c r="AX74" s="789">
        <f t="shared" ref="AX74:AX75" si="864">(IF(K74=400,(IF(U74="1C",(4*AH74*AP74),(AH74*AP74))),IF(K74=230,(AH74*AP74))))</f>
        <v>84.4</v>
      </c>
      <c r="AY74" s="587"/>
      <c r="AZ74" s="866">
        <f t="shared" ref="AZ74:AZ75" si="865">IF(U74="1C",(3*AP74*2),(AP74*2))</f>
        <v>2</v>
      </c>
      <c r="BA74" s="867" t="str">
        <f t="shared" ref="BA74:BA75" si="866">CONCATENATE(IF(BE74=1,BE$4,""),IF(BF74=1,BF$4,""),IF(BG74=1,BG$4,""),IF(BH74=1,BH$4,""),IF(BI74=1,BI$4,""),IF(BJ74=1,BJ$4,""),IF(BK74=1,BK$4,""),IF(BL74=1,BL$4,""),IF(BM74=1,BM$4,""),IF(BN74=1,BN$4,""),IF(BO74=1,BO$4,""),IF(BP74=1,BP$4,""),IF(BQ74=1,BQ$4,""),IF(BR74=1,BR$4,""),IF(BS74=1,BS$4,""),IF(BT74=1,BT$4,""),IF(BU74=1,BU$4,""),IF(BV74=1,BV$4,""),IF(BW74=1,BW$4,""),IF(BX74=1,BX$4,""),IF(BY74=1,BY$4,""),IF(BZ74=1,BZ$4,""),IF(CA74=1,CA$4,""),IF(CB74=1,CB$4,""),IF(CC74=1,CC$4,""),IF(CD74=1,CD$4,""),IF(CE74=1,CE$4,""),IF(CF74=1,CF$4,""),IF(CG74=1,CG$4,""),IF(CH74=1,CH$4,""),IF(CI74=1,CI$4,""),IF(CJ74=1,CJ$4,""),IF(CK74=1,CK$4,""),IF(CL74=1,CL$4,""),IF(CM74=1,CM$4,""),IF(CN74=1,CN$4,""),IF(CO74=1,CO$4,""),IF(CP74=1,CP$4,""),IF(CQ74=1,CQ$4,""),IF(CR74=1,CR$4,""),IF(CS74=1,CS$4,""),IF(CT74=1,CT$4,""),IF(CU74=1,CU$4,""),IF(CV74=1,CV$4,""),IF(CW74=1,CW$4,""),IF(CX74=1,CX$4,""),IF(CY74=1,CY$4,""),IF(CZ74=1,CZ$4,""),IF(DA74=1,DA$4,""),IF(DB74=1,DB$4,""),IF(DC74=1,DC$4,""),IF(DD74=1,DD$4,""),IF(DE74=1,DE$4,""),IF(DF74=1,DF$4,""),IF(DG74=1,DG$4,""),IF(DH74=1,DH$4,""),IF(DI74=1,DI$4,""),IF(DJ74=1,DJ$4,""),IF(DK74=1,DK$4,""),IF(DL74=1,DL$4,""),IF(DM74=1,DM$4,""),IF(DN74=1,DN$4,""),IF(DO74=1,DO$4,""),IF(DP74=1,DP$4,""),IF(DQ74=1,DQ$4,""),IF(DR74=1,DR$4,""),IF(DS74=1,DS$4,""),IF(DT74=1,DT$4,""),IF(DU74=1,DU$4,""))</f>
        <v/>
      </c>
      <c r="BB74" s="868">
        <f>VLOOKUP(W74,'Catalogue Aluminium'!$B$9:$H$93,7,FALSE)</f>
        <v>48</v>
      </c>
      <c r="BC74" s="789">
        <f t="shared" ref="BC74:BC75" si="867">AP74*BB74</f>
        <v>48</v>
      </c>
      <c r="BE74" s="587"/>
      <c r="BF74" s="587"/>
      <c r="BG74" s="587"/>
      <c r="BH74" s="587"/>
      <c r="BI74" s="587"/>
      <c r="BJ74" s="587"/>
      <c r="BK74" s="587"/>
      <c r="BL74" s="587"/>
      <c r="BM74" s="587"/>
      <c r="BN74" s="587"/>
      <c r="BO74" s="587"/>
      <c r="BP74" s="587"/>
      <c r="BQ74" s="587"/>
      <c r="BR74" s="587"/>
      <c r="BS74" s="587"/>
      <c r="BT74" s="587"/>
      <c r="BU74" s="587"/>
      <c r="BV74" s="587"/>
      <c r="BW74" s="587"/>
      <c r="BX74" s="587"/>
      <c r="BY74" s="587"/>
      <c r="BZ74" s="587"/>
      <c r="CA74" s="587"/>
      <c r="CB74" s="587"/>
      <c r="CC74" s="587"/>
      <c r="CD74" s="587"/>
      <c r="CE74" s="587"/>
      <c r="CF74" s="587"/>
      <c r="CG74" s="587"/>
      <c r="CH74" s="587"/>
      <c r="CI74" s="587"/>
      <c r="CJ74" s="587"/>
      <c r="CK74" s="587"/>
      <c r="CL74" s="587"/>
      <c r="CM74" s="587"/>
      <c r="CN74" s="587"/>
      <c r="CO74" s="587"/>
      <c r="CP74" s="587"/>
      <c r="CQ74" s="587"/>
      <c r="CR74" s="587"/>
      <c r="CS74" s="587"/>
      <c r="CT74" s="587"/>
      <c r="CU74" s="587"/>
      <c r="CV74" s="587"/>
      <c r="CW74" s="587"/>
      <c r="CX74" s="587"/>
      <c r="CY74" s="587"/>
      <c r="CZ74" s="587"/>
      <c r="DA74" s="587"/>
      <c r="DB74" s="587"/>
      <c r="DC74" s="587"/>
      <c r="DD74" s="587"/>
      <c r="DE74" s="587"/>
      <c r="DF74" s="587"/>
      <c r="DG74" s="587"/>
      <c r="DH74" s="587"/>
      <c r="DI74" s="587"/>
      <c r="DJ74" s="906"/>
      <c r="DK74" s="906"/>
      <c r="DL74" s="906"/>
      <c r="DM74" s="906"/>
      <c r="DN74" s="906"/>
      <c r="DO74" s="906"/>
      <c r="DP74" s="906"/>
      <c r="DQ74" s="587"/>
      <c r="DR74" s="906"/>
      <c r="DS74" s="906"/>
      <c r="DT74" s="906"/>
      <c r="DU74" s="587"/>
      <c r="DW74" s="587"/>
      <c r="DX74" s="587"/>
      <c r="DY74" s="587"/>
      <c r="DZ74" s="587"/>
      <c r="EA74" s="587"/>
      <c r="EB74" s="587"/>
      <c r="EC74" s="587"/>
      <c r="ED74" s="587"/>
      <c r="EE74" s="587"/>
      <c r="EF74" s="587"/>
      <c r="EG74" s="587"/>
      <c r="EH74" s="587"/>
      <c r="EI74" s="587"/>
      <c r="EJ74" s="587"/>
      <c r="EK74" s="587"/>
      <c r="EL74" s="587"/>
      <c r="EM74" s="587"/>
      <c r="EN74" s="587"/>
      <c r="EO74" s="587"/>
      <c r="EP74" s="587"/>
      <c r="EQ74" s="587"/>
      <c r="ER74" s="587"/>
      <c r="ES74" s="587"/>
      <c r="ET74" s="587"/>
      <c r="EU74" s="587"/>
      <c r="EV74" s="587"/>
      <c r="EW74" s="587"/>
      <c r="EX74" s="587"/>
      <c r="EY74" s="587"/>
      <c r="EZ74" s="587"/>
      <c r="FA74" s="587"/>
      <c r="FB74" s="587"/>
      <c r="FC74" s="587"/>
      <c r="FD74" s="587"/>
      <c r="FE74" s="587"/>
      <c r="FF74" s="587"/>
      <c r="FG74" s="587"/>
      <c r="FH74" s="587"/>
      <c r="FI74" s="587"/>
      <c r="FJ74" s="587"/>
      <c r="FK74" s="587"/>
      <c r="FL74" s="587"/>
      <c r="FM74" s="587"/>
      <c r="FN74" s="587"/>
      <c r="FO74" s="587"/>
      <c r="FP74" s="587"/>
      <c r="FQ74" s="587"/>
      <c r="FR74" s="587"/>
      <c r="FS74" s="587"/>
      <c r="FT74" s="587"/>
      <c r="FU74" s="587"/>
      <c r="FV74" s="587"/>
      <c r="FW74" s="587"/>
      <c r="FX74" s="587"/>
      <c r="FY74" s="587"/>
      <c r="FZ74" s="587"/>
      <c r="GA74" s="587"/>
      <c r="GB74" s="587"/>
      <c r="GC74" s="587"/>
      <c r="GD74" s="587"/>
      <c r="GE74" s="587"/>
      <c r="GF74" s="587"/>
      <c r="GG74" s="587"/>
      <c r="GH74" s="587"/>
      <c r="GI74" s="587"/>
      <c r="GJ74" s="587"/>
      <c r="GK74" s="587"/>
      <c r="GL74" s="587"/>
      <c r="GM74" s="587"/>
    </row>
    <row r="75" spans="1:195" s="869" customFormat="1" ht="27.75" customHeight="1">
      <c r="A75" s="406">
        <f>A74+1</f>
        <v>53</v>
      </c>
      <c r="B75" s="406" t="s">
        <v>527</v>
      </c>
      <c r="C75" s="787" t="s">
        <v>1089</v>
      </c>
      <c r="D75" s="787" t="s">
        <v>1734</v>
      </c>
      <c r="E75" s="788" t="s">
        <v>1152</v>
      </c>
      <c r="F75" s="406" t="s">
        <v>29</v>
      </c>
      <c r="G75" s="406" t="s">
        <v>329</v>
      </c>
      <c r="H75" s="583">
        <v>4.4000000000000004</v>
      </c>
      <c r="I75" s="406" t="s">
        <v>330</v>
      </c>
      <c r="J75" s="406" t="s">
        <v>331</v>
      </c>
      <c r="K75" s="585">
        <v>400</v>
      </c>
      <c r="L75" s="409">
        <v>0.75</v>
      </c>
      <c r="M75" s="583">
        <v>0.85299999999999998</v>
      </c>
      <c r="N75" s="407">
        <f t="shared" si="673"/>
        <v>9.9273767267994959</v>
      </c>
      <c r="O75" s="407">
        <f t="shared" si="674"/>
        <v>0</v>
      </c>
      <c r="P75" s="409" t="str">
        <f t="shared" si="675"/>
        <v>0.00</v>
      </c>
      <c r="Q75" s="583">
        <v>65</v>
      </c>
      <c r="R75" s="583">
        <v>0</v>
      </c>
      <c r="S75" s="583">
        <f t="shared" si="676"/>
        <v>0</v>
      </c>
      <c r="T75" s="409" t="s">
        <v>332</v>
      </c>
      <c r="U75" s="583" t="s">
        <v>522</v>
      </c>
      <c r="V75" s="409">
        <v>4</v>
      </c>
      <c r="W75" s="409" t="str">
        <f t="shared" si="677"/>
        <v>4C X 4</v>
      </c>
      <c r="X75" s="409" t="str">
        <f t="shared" si="849"/>
        <v>4C X 4</v>
      </c>
      <c r="Y75" s="409" t="s">
        <v>358</v>
      </c>
      <c r="Z75" s="408">
        <f>IF(T75="AIR",VLOOKUP(W75,'Catalogue Aluminium'!$B$9:$G$93,2,FALSE),IF(T75="GROUND",VLOOKUP(W75,'Catalogue Aluminium'!$B$9:$G$93,3,FALSE),IF(T75="DUCT",VLOOKUP(W75,'Catalogue Aluminium'!$B$9:$G$93,4,FALSE),IF(T75="TRENCH",VLOOKUP(W75,'Catalogue Aluminium'!$B$9:$G$93,2,FALSE)))))</f>
        <v>38</v>
      </c>
      <c r="AA75" s="410">
        <f>VLOOKUP(W75,'Catalogue Aluminium'!$B$9:$G$93,5,FALSE)</f>
        <v>5.9</v>
      </c>
      <c r="AB75" s="410">
        <f>VLOOKUP(W75,'Catalogue Aluminium'!$B$9:$G$93,6,FALSE)</f>
        <v>9.4700000000000006E-2</v>
      </c>
      <c r="AC75" s="409">
        <f t="shared" si="850"/>
        <v>12</v>
      </c>
      <c r="AD75" s="409">
        <f t="shared" si="851"/>
        <v>36.4</v>
      </c>
      <c r="AE75" s="409">
        <v>20</v>
      </c>
      <c r="AF75" s="409">
        <v>8</v>
      </c>
      <c r="AG75" s="409">
        <f t="shared" si="852"/>
        <v>8</v>
      </c>
      <c r="AH75" s="865">
        <f t="shared" si="853"/>
        <v>84.4</v>
      </c>
      <c r="AI75" s="408">
        <f>IF(T75="AIR",'Catalogue Aluminium'!$K$9,IF(T75="TRENCH",'Catalogue Aluminium'!$K$12,"NA"))</f>
        <v>0.89</v>
      </c>
      <c r="AJ75" s="583">
        <f>IF(T75="Air",(IF(U75="1C",'Catalogue Aluminium'!$L$9,'Catalogue Aluminium'!$M$9)),IF(T75="DUCT",(IF($U75="1C",'Catalogue Aluminium'!$L$10,'Catalogue Aluminium'!$M$10)),IF(T75="GROUND",(IF($U75="1C",'Catalogue Aluminium'!$L$11,'Catalogue Aluminium'!$M$11)),IF(T75="TRENCH",(IF($U75="1C",'Catalogue Aluminium'!$L$12,'Catalogue Aluminium'!$M$12))))))</f>
        <v>0.66</v>
      </c>
      <c r="AK75" s="585" t="str">
        <f>IF(T75="Air",'Catalogue Aluminium'!$N$9,IF(T75="GROUND",'Catalogue Aluminium'!$N$10,IF(T75="DUCT",'Catalogue Aluminium'!$N$11,IF(T75="TRENCH",'Catalogue Aluminium'!$N$12,"NA"))))</f>
        <v>NA</v>
      </c>
      <c r="AL75" s="583" t="str">
        <f>IF(T75="Air",(IF(U75="1C",'Catalogue Aluminium'!$O$9,'Catalogue Aluminium'!$P$9)),IF(T75="DUCT",(IF($U75="1C",'Catalogue Aluminium'!$O$10,'Catalogue Aluminium'!$P$10)),IF(T75="GROUND",(IF($U75="1C",'Catalogue Aluminium'!$O$11,'Catalogue Aluminium'!$P$11)),IF(T75="TRENCH",(IF($U75="1C",'Catalogue Aluminium'!$O$12,'Catalogue Aluminium'!$P$12))))))</f>
        <v>NA</v>
      </c>
      <c r="AM75" s="584" t="str">
        <f>IF(T75="AIR","NA",IF(T75="TRENCH","NA",IF(T75="DUCT",IF(U75="1C",VLOOKUP(V75,'Catalogue Aluminium'!$Q$9:$S$28,2,FALSE),VLOOKUP(V75,'Catalogue Aluminium'!$Q$9:$S$28,3)),IF(T75="GROUND",IF(U75="1C",VLOOKUP(V75,'Catalogue Aluminium'!$Q$9:$S$28,2,FALSE),VLOOKUP(V75,'Catalogue Aluminium'!$Q$9:$S$28,3))))))</f>
        <v>NA</v>
      </c>
      <c r="AN75" s="409">
        <f t="shared" si="854"/>
        <v>0.58740000000000003</v>
      </c>
      <c r="AO75" s="584">
        <f t="shared" si="855"/>
        <v>22.321200000000001</v>
      </c>
      <c r="AP75" s="409">
        <f t="shared" si="856"/>
        <v>1</v>
      </c>
      <c r="AQ75" s="586" t="str">
        <f t="shared" si="857"/>
        <v>YES</v>
      </c>
      <c r="AR75" s="586">
        <f t="shared" si="858"/>
        <v>1.6281537660790848</v>
      </c>
      <c r="AS75" s="409" t="str">
        <f t="shared" si="859"/>
        <v>YES</v>
      </c>
      <c r="AT75" s="866" t="str">
        <f t="shared" si="860"/>
        <v>NA</v>
      </c>
      <c r="AU75" s="866" t="str">
        <f t="shared" si="861"/>
        <v>NA</v>
      </c>
      <c r="AV75" s="867" t="str">
        <f t="shared" si="862"/>
        <v>1R x 0.6/1kV x 4C x 4 Sqmm</v>
      </c>
      <c r="AW75" s="868" t="str">
        <f t="shared" si="863"/>
        <v>1R x 0.6/1kV x 4C x 4 Sqmm</v>
      </c>
      <c r="AX75" s="789">
        <f t="shared" si="864"/>
        <v>84.4</v>
      </c>
      <c r="AY75" s="587"/>
      <c r="AZ75" s="866">
        <f t="shared" si="865"/>
        <v>2</v>
      </c>
      <c r="BA75" s="867" t="str">
        <f t="shared" si="866"/>
        <v/>
      </c>
      <c r="BB75" s="868">
        <f>VLOOKUP(W75,'Catalogue Aluminium'!$B$9:$H$93,7,FALSE)</f>
        <v>16</v>
      </c>
      <c r="BC75" s="789">
        <f t="shared" si="867"/>
        <v>16</v>
      </c>
      <c r="BE75" s="587"/>
      <c r="BF75" s="587"/>
      <c r="BG75" s="587"/>
      <c r="BH75" s="587"/>
      <c r="BI75" s="587"/>
      <c r="BJ75" s="587"/>
      <c r="BK75" s="587"/>
      <c r="BL75" s="587"/>
      <c r="BM75" s="587"/>
      <c r="BN75" s="587"/>
      <c r="BO75" s="587"/>
      <c r="BP75" s="587"/>
      <c r="BQ75" s="587"/>
      <c r="BR75" s="587"/>
      <c r="BS75" s="587"/>
      <c r="BT75" s="587"/>
      <c r="BU75" s="587"/>
      <c r="BV75" s="587"/>
      <c r="BW75" s="587"/>
      <c r="BX75" s="587"/>
      <c r="BY75" s="587"/>
      <c r="BZ75" s="587"/>
      <c r="CA75" s="587"/>
      <c r="CB75" s="587"/>
      <c r="CC75" s="587"/>
      <c r="CD75" s="587"/>
      <c r="CE75" s="587"/>
      <c r="CF75" s="587"/>
      <c r="CG75" s="587"/>
      <c r="CH75" s="587"/>
      <c r="CI75" s="587"/>
      <c r="CJ75" s="587"/>
      <c r="CK75" s="587"/>
      <c r="CL75" s="587"/>
      <c r="CM75" s="587"/>
      <c r="CN75" s="587"/>
      <c r="CO75" s="587"/>
      <c r="CP75" s="587"/>
      <c r="CQ75" s="587"/>
      <c r="CR75" s="587"/>
      <c r="CS75" s="587"/>
      <c r="CT75" s="587"/>
      <c r="CU75" s="587"/>
      <c r="CV75" s="587"/>
      <c r="CW75" s="587"/>
      <c r="CX75" s="587"/>
      <c r="CY75" s="587"/>
      <c r="CZ75" s="587"/>
      <c r="DA75" s="587"/>
      <c r="DB75" s="587"/>
      <c r="DC75" s="587"/>
      <c r="DD75" s="587"/>
      <c r="DE75" s="587"/>
      <c r="DF75" s="587"/>
      <c r="DG75" s="587"/>
      <c r="DH75" s="587"/>
      <c r="DI75" s="587"/>
      <c r="DJ75" s="906"/>
      <c r="DK75" s="906"/>
      <c r="DL75" s="906"/>
      <c r="DM75" s="906"/>
      <c r="DN75" s="906"/>
      <c r="DO75" s="906"/>
      <c r="DP75" s="906"/>
      <c r="DQ75" s="587"/>
      <c r="DR75" s="906"/>
      <c r="DS75" s="906"/>
      <c r="DT75" s="906"/>
      <c r="DU75" s="587"/>
      <c r="DW75" s="587"/>
      <c r="DX75" s="587"/>
      <c r="DY75" s="587"/>
      <c r="DZ75" s="587"/>
      <c r="EA75" s="587"/>
      <c r="EB75" s="587"/>
      <c r="EC75" s="587"/>
      <c r="ED75" s="587"/>
      <c r="EE75" s="587"/>
      <c r="EF75" s="587"/>
      <c r="EG75" s="587"/>
      <c r="EH75" s="587"/>
      <c r="EI75" s="587"/>
      <c r="EJ75" s="587"/>
      <c r="EK75" s="587"/>
      <c r="EL75" s="587"/>
      <c r="EM75" s="587"/>
      <c r="EN75" s="587"/>
      <c r="EO75" s="587"/>
      <c r="EP75" s="587"/>
      <c r="EQ75" s="587"/>
      <c r="ER75" s="587"/>
      <c r="ES75" s="587"/>
      <c r="ET75" s="587"/>
      <c r="EU75" s="587"/>
      <c r="EV75" s="587"/>
      <c r="EW75" s="587"/>
      <c r="EX75" s="587"/>
      <c r="EY75" s="587"/>
      <c r="EZ75" s="587"/>
      <c r="FA75" s="587"/>
      <c r="FB75" s="587"/>
      <c r="FC75" s="587"/>
      <c r="FD75" s="587"/>
      <c r="FE75" s="587"/>
      <c r="FF75" s="587"/>
      <c r="FG75" s="587"/>
      <c r="FH75" s="587"/>
      <c r="FI75" s="587"/>
      <c r="FJ75" s="587"/>
      <c r="FK75" s="587"/>
      <c r="FL75" s="587"/>
      <c r="FM75" s="587"/>
      <c r="FN75" s="587"/>
      <c r="FO75" s="587"/>
      <c r="FP75" s="587"/>
      <c r="FQ75" s="587"/>
      <c r="FR75" s="587"/>
      <c r="FS75" s="587"/>
      <c r="FT75" s="587"/>
      <c r="FU75" s="587"/>
      <c r="FV75" s="587"/>
      <c r="FW75" s="587"/>
      <c r="FX75" s="587"/>
      <c r="FY75" s="587"/>
      <c r="FZ75" s="587"/>
      <c r="GA75" s="587"/>
      <c r="GB75" s="587"/>
      <c r="GC75" s="587"/>
      <c r="GD75" s="587"/>
      <c r="GE75" s="587"/>
      <c r="GF75" s="587"/>
      <c r="GG75" s="587"/>
      <c r="GH75" s="587"/>
      <c r="GI75" s="587"/>
      <c r="GJ75" s="587"/>
      <c r="GK75" s="587"/>
      <c r="GL75" s="587"/>
      <c r="GM75" s="587"/>
    </row>
    <row r="76" spans="1:195" ht="20.25" customHeight="1">
      <c r="A76" s="510"/>
      <c r="B76" s="510"/>
      <c r="C76" s="523"/>
      <c r="D76" s="523" t="s">
        <v>605</v>
      </c>
      <c r="E76" s="725"/>
      <c r="F76" s="510"/>
      <c r="G76" s="510"/>
      <c r="H76" s="727"/>
      <c r="I76" s="510"/>
      <c r="J76" s="510"/>
      <c r="K76" s="728"/>
      <c r="L76" s="729"/>
      <c r="M76" s="727"/>
      <c r="N76" s="730"/>
      <c r="O76" s="730"/>
      <c r="P76" s="729"/>
      <c r="Q76" s="727"/>
      <c r="R76" s="727"/>
      <c r="S76" s="727"/>
      <c r="T76" s="729"/>
      <c r="U76" s="727"/>
      <c r="V76" s="729"/>
      <c r="W76" s="729"/>
      <c r="X76" s="729"/>
      <c r="Y76" s="729"/>
      <c r="Z76" s="731"/>
      <c r="AA76" s="732"/>
      <c r="AB76" s="732"/>
      <c r="AC76" s="733"/>
      <c r="AD76" s="733"/>
      <c r="AE76" s="733"/>
      <c r="AF76" s="733"/>
      <c r="AG76" s="733"/>
      <c r="AH76" s="734"/>
      <c r="AI76" s="731"/>
      <c r="AJ76" s="730"/>
      <c r="AK76" s="731"/>
      <c r="AL76" s="731"/>
      <c r="AM76" s="731"/>
      <c r="AN76" s="735"/>
      <c r="AO76" s="727"/>
      <c r="AP76" s="728"/>
      <c r="AQ76" s="727"/>
      <c r="AR76" s="735"/>
      <c r="AS76" s="729"/>
      <c r="AT76" s="735"/>
      <c r="AU76" s="735"/>
      <c r="AV76" s="736"/>
      <c r="AW76" s="736"/>
      <c r="AX76" s="729"/>
      <c r="AY76" s="737"/>
      <c r="AZ76" s="737"/>
      <c r="BA76" s="738"/>
      <c r="BB76" s="739"/>
      <c r="BC76" s="740"/>
      <c r="BE76" s="336"/>
      <c r="BF76" s="336"/>
      <c r="BG76" s="336"/>
      <c r="BH76" s="336"/>
      <c r="BI76" s="336"/>
      <c r="BJ76" s="336"/>
      <c r="BK76" s="336"/>
      <c r="BL76" s="336"/>
      <c r="BM76" s="336"/>
      <c r="BN76" s="336"/>
      <c r="BO76" s="336"/>
      <c r="BP76" s="336"/>
      <c r="BQ76" s="336"/>
      <c r="BR76" s="336"/>
      <c r="BS76" s="336"/>
      <c r="BT76" s="336"/>
      <c r="BU76" s="336"/>
      <c r="BV76" s="336"/>
      <c r="BW76" s="336"/>
      <c r="BX76" s="336"/>
      <c r="BY76" s="336"/>
      <c r="BZ76" s="336"/>
      <c r="CA76" s="336"/>
      <c r="CB76" s="336"/>
      <c r="CC76" s="336"/>
      <c r="CD76" s="336"/>
      <c r="CE76" s="336"/>
      <c r="CF76" s="336"/>
      <c r="CG76" s="336"/>
      <c r="CH76" s="336"/>
      <c r="CI76" s="336"/>
      <c r="CJ76" s="336"/>
      <c r="CK76" s="336"/>
      <c r="CL76" s="336"/>
      <c r="CM76" s="336"/>
      <c r="CN76" s="336"/>
      <c r="CO76" s="336"/>
      <c r="CP76" s="336"/>
      <c r="CQ76" s="336"/>
      <c r="CR76" s="336"/>
      <c r="CS76" s="336"/>
      <c r="CT76" s="336"/>
      <c r="CU76" s="336"/>
      <c r="CV76" s="336"/>
      <c r="CW76" s="336"/>
      <c r="CX76" s="336"/>
      <c r="CY76" s="336"/>
      <c r="CZ76" s="752"/>
      <c r="DA76" s="752"/>
      <c r="DB76" s="752"/>
      <c r="DC76" s="752"/>
      <c r="DD76" s="752"/>
      <c r="DE76" s="752"/>
      <c r="DF76" s="752"/>
      <c r="DG76" s="752"/>
      <c r="DH76" s="752"/>
      <c r="DI76" s="752"/>
      <c r="DJ76" s="752"/>
      <c r="DK76" s="752"/>
      <c r="DL76" s="752"/>
      <c r="DM76" s="752"/>
      <c r="DN76" s="752"/>
      <c r="DO76" s="752"/>
      <c r="DP76" s="752"/>
      <c r="DQ76" s="752"/>
      <c r="DR76" s="752"/>
      <c r="DS76" s="752"/>
      <c r="DT76" s="752"/>
      <c r="DU76" s="752"/>
      <c r="DW76" s="336">
        <f t="shared" si="80"/>
        <v>0</v>
      </c>
      <c r="DX76" s="336">
        <f t="shared" si="1"/>
        <v>0</v>
      </c>
      <c r="DY76" s="336">
        <f t="shared" si="2"/>
        <v>0</v>
      </c>
      <c r="DZ76" s="336">
        <f t="shared" si="3"/>
        <v>0</v>
      </c>
      <c r="EA76" s="336">
        <f t="shared" si="4"/>
        <v>0</v>
      </c>
      <c r="EB76" s="336">
        <f t="shared" si="5"/>
        <v>0</v>
      </c>
      <c r="EC76" s="336">
        <f t="shared" si="6"/>
        <v>0</v>
      </c>
      <c r="ED76" s="336">
        <f t="shared" si="7"/>
        <v>0</v>
      </c>
      <c r="EE76" s="336">
        <f t="shared" si="8"/>
        <v>0</v>
      </c>
      <c r="EF76" s="336">
        <f t="shared" si="9"/>
        <v>0</v>
      </c>
      <c r="EG76" s="336">
        <f t="shared" si="10"/>
        <v>0</v>
      </c>
      <c r="EH76" s="336">
        <f t="shared" si="11"/>
        <v>0</v>
      </c>
      <c r="EI76" s="336">
        <f t="shared" si="12"/>
        <v>0</v>
      </c>
      <c r="EJ76" s="336">
        <f t="shared" si="13"/>
        <v>0</v>
      </c>
      <c r="EK76" s="336">
        <f t="shared" si="14"/>
        <v>0</v>
      </c>
      <c r="EL76" s="336">
        <f t="shared" si="15"/>
        <v>0</v>
      </c>
      <c r="EM76" s="336">
        <f t="shared" si="16"/>
        <v>0</v>
      </c>
      <c r="EN76" s="336">
        <f t="shared" si="17"/>
        <v>0</v>
      </c>
      <c r="EO76" s="336">
        <f t="shared" si="18"/>
        <v>0</v>
      </c>
      <c r="EP76" s="336">
        <f t="shared" si="19"/>
        <v>0</v>
      </c>
      <c r="EQ76" s="336">
        <f t="shared" si="20"/>
        <v>0</v>
      </c>
      <c r="ER76" s="336">
        <f t="shared" si="21"/>
        <v>0</v>
      </c>
      <c r="ES76" s="336">
        <f t="shared" si="22"/>
        <v>0</v>
      </c>
      <c r="ET76" s="336">
        <f t="shared" si="22"/>
        <v>0</v>
      </c>
      <c r="EU76" s="336">
        <f t="shared" si="23"/>
        <v>0</v>
      </c>
      <c r="EV76" s="336">
        <f t="shared" si="24"/>
        <v>0</v>
      </c>
      <c r="EW76" s="336">
        <f t="shared" si="25"/>
        <v>0</v>
      </c>
      <c r="EX76" s="336">
        <f t="shared" si="26"/>
        <v>0</v>
      </c>
      <c r="EY76" s="336">
        <f t="shared" si="27"/>
        <v>0</v>
      </c>
      <c r="EZ76" s="336">
        <f t="shared" si="28"/>
        <v>0</v>
      </c>
      <c r="FA76" s="336">
        <f t="shared" si="29"/>
        <v>0</v>
      </c>
      <c r="FB76" s="336">
        <f t="shared" si="30"/>
        <v>0</v>
      </c>
      <c r="FC76" s="336">
        <f t="shared" si="31"/>
        <v>0</v>
      </c>
      <c r="FD76" s="336">
        <f t="shared" si="32"/>
        <v>0</v>
      </c>
      <c r="FE76" s="336">
        <f t="shared" si="33"/>
        <v>0</v>
      </c>
      <c r="FF76" s="336">
        <f t="shared" si="34"/>
        <v>0</v>
      </c>
      <c r="FG76" s="336">
        <f t="shared" si="35"/>
        <v>0</v>
      </c>
      <c r="FH76" s="336">
        <f t="shared" si="36"/>
        <v>0</v>
      </c>
      <c r="FI76" s="336">
        <f t="shared" si="37"/>
        <v>0</v>
      </c>
      <c r="FJ76" s="336">
        <f t="shared" si="38"/>
        <v>0</v>
      </c>
      <c r="FK76" s="336">
        <f t="shared" si="39"/>
        <v>0</v>
      </c>
      <c r="FL76" s="336">
        <f t="shared" si="40"/>
        <v>0</v>
      </c>
      <c r="FM76" s="336">
        <f t="shared" si="41"/>
        <v>0</v>
      </c>
      <c r="FN76" s="336">
        <f t="shared" si="42"/>
        <v>0</v>
      </c>
      <c r="FO76" s="336">
        <f t="shared" si="43"/>
        <v>0</v>
      </c>
      <c r="FP76" s="336">
        <f t="shared" si="44"/>
        <v>0</v>
      </c>
      <c r="FQ76" s="336">
        <f t="shared" si="45"/>
        <v>0</v>
      </c>
      <c r="FR76" s="336">
        <f t="shared" si="46"/>
        <v>0</v>
      </c>
      <c r="FS76" s="336">
        <f t="shared" si="47"/>
        <v>0</v>
      </c>
      <c r="FT76" s="336">
        <f t="shared" si="48"/>
        <v>0</v>
      </c>
      <c r="FU76" s="336">
        <f t="shared" si="553"/>
        <v>0</v>
      </c>
      <c r="FV76" s="336">
        <f t="shared" si="554"/>
        <v>0</v>
      </c>
      <c r="FW76" s="336">
        <f t="shared" si="555"/>
        <v>0</v>
      </c>
      <c r="FX76" s="336">
        <f t="shared" si="556"/>
        <v>0</v>
      </c>
      <c r="FY76" s="336">
        <f t="shared" si="53"/>
        <v>0</v>
      </c>
      <c r="FZ76" s="336">
        <f t="shared" si="54"/>
        <v>0</v>
      </c>
      <c r="GA76" s="336">
        <f t="shared" si="55"/>
        <v>0</v>
      </c>
      <c r="GB76" s="336">
        <f t="shared" si="56"/>
        <v>0</v>
      </c>
      <c r="GC76" s="336">
        <f t="shared" si="57"/>
        <v>0</v>
      </c>
      <c r="GD76" s="336">
        <f t="shared" si="58"/>
        <v>0</v>
      </c>
      <c r="GE76" s="336">
        <f t="shared" si="59"/>
        <v>0</v>
      </c>
      <c r="GF76" s="336">
        <f t="shared" si="60"/>
        <v>0</v>
      </c>
      <c r="GG76" s="336">
        <f t="shared" si="61"/>
        <v>0</v>
      </c>
      <c r="GH76" s="336">
        <f t="shared" si="62"/>
        <v>0</v>
      </c>
      <c r="GI76" s="336">
        <f t="shared" si="63"/>
        <v>0</v>
      </c>
      <c r="GJ76" s="336">
        <f t="shared" si="64"/>
        <v>0</v>
      </c>
      <c r="GK76" s="336">
        <f t="shared" si="65"/>
        <v>0</v>
      </c>
      <c r="GL76" s="336">
        <f t="shared" si="557"/>
        <v>0</v>
      </c>
      <c r="GM76" s="336">
        <f t="shared" si="66"/>
        <v>0</v>
      </c>
    </row>
    <row r="77" spans="1:195" ht="24.75" customHeight="1">
      <c r="A77" s="337">
        <f>A75+1</f>
        <v>54</v>
      </c>
      <c r="B77" s="337" t="s">
        <v>1163</v>
      </c>
      <c r="C77" s="372" t="str">
        <f t="shared" ref="C77:C82" si="868">$D$6</f>
        <v>PMCC-2</v>
      </c>
      <c r="D77" s="372" t="s">
        <v>1164</v>
      </c>
      <c r="E77" s="569" t="s">
        <v>419</v>
      </c>
      <c r="F77" s="337" t="s">
        <v>28</v>
      </c>
      <c r="G77" s="337" t="s">
        <v>329</v>
      </c>
      <c r="H77" s="350">
        <v>63.75</v>
      </c>
      <c r="I77" s="337" t="s">
        <v>330</v>
      </c>
      <c r="J77" s="337" t="s">
        <v>331</v>
      </c>
      <c r="K77" s="349">
        <v>400</v>
      </c>
      <c r="L77" s="343">
        <v>0.85</v>
      </c>
      <c r="M77" s="350">
        <v>0.95</v>
      </c>
      <c r="N77" s="342">
        <f t="shared" ref="N77:N114" si="869">IF(I77="kVA",IF(J77="3Ph",(H77*1000/(1.732*M77*K77)),(H77*1000/(M77*K77))),IF(I77="kW",IF(J77="3Ph",(H77*1000/(1.732*M77*K77*L77)),(H77*1000/(M77*K77*L77)))))</f>
        <v>113.95405372553788</v>
      </c>
      <c r="O77" s="342">
        <f t="shared" ref="O77:O80" si="870">IF(G77="MOTOR",(6*N77),IF(G77="VFD",(1*N77),0))</f>
        <v>0</v>
      </c>
      <c r="P77" s="343" t="str">
        <f t="shared" ref="P77:P110" si="871">IF(G77="MOTOR",0.2,"0.00")</f>
        <v>0.00</v>
      </c>
      <c r="Q77" s="350">
        <v>65</v>
      </c>
      <c r="R77" s="350">
        <v>0</v>
      </c>
      <c r="S77" s="350">
        <f t="shared" ref="S77:S110" si="872">(Q77*1000*SQRT(R77)/143)</f>
        <v>0</v>
      </c>
      <c r="T77" s="343" t="s">
        <v>332</v>
      </c>
      <c r="U77" s="350" t="s">
        <v>535</v>
      </c>
      <c r="V77" s="343">
        <v>95</v>
      </c>
      <c r="W77" s="343" t="str">
        <f t="shared" ref="W77:W110" si="873">CONCATENATE(U77," X ",V77)</f>
        <v>3.5C X 95</v>
      </c>
      <c r="X77" s="343" t="str">
        <f>(IF(J77="1Ph",W77,IF(J77="3Ph",(IF(G77="MOTOR",(CONCATENATE(W77,"+PE")),W77)))))</f>
        <v>3.5C X 95</v>
      </c>
      <c r="Y77" s="343" t="s">
        <v>358</v>
      </c>
      <c r="Z77" s="344">
        <f>IF(T77="AIR",VLOOKUP(W77,'Catalogue Aluminium'!$B$9:$G$93,2,FALSE),IF(T77="GROUND",VLOOKUP(W77,'Catalogue Aluminium'!$B$9:$G$93,3,FALSE),IF(T77="DUCT",VLOOKUP(W77,'Catalogue Aluminium'!$B$9:$G$93,4,FALSE),IF(T77="TRENCH",VLOOKUP(W77,'Catalogue Aluminium'!$B$9:$G$93,2,FALSE)))))</f>
        <v>221</v>
      </c>
      <c r="AA77" s="345">
        <f>VLOOKUP(W77,'Catalogue Aluminium'!$B$9:$G$93,5,FALSE)</f>
        <v>0.41</v>
      </c>
      <c r="AB77" s="345">
        <f>VLOOKUP(W77,'Catalogue Aluminium'!$B$9:$G$93,6,FALSE)</f>
        <v>7.3400000000000007E-2</v>
      </c>
      <c r="AC77" s="343">
        <f>15+5</f>
        <v>20</v>
      </c>
      <c r="AD77" s="343">
        <v>0</v>
      </c>
      <c r="AE77" s="343">
        <v>5</v>
      </c>
      <c r="AF77" s="343">
        <v>8</v>
      </c>
      <c r="AG77" s="343">
        <f t="shared" si="134"/>
        <v>4</v>
      </c>
      <c r="AH77" s="347">
        <f t="shared" ref="AH77:AH80" si="874">SUM(AC77:AG77)</f>
        <v>37</v>
      </c>
      <c r="AI77" s="344">
        <f>IF(T77="AIR",'Catalogue Aluminium'!$K$9,IF(T77="TRENCH",'Catalogue Aluminium'!$K$12,"NA"))</f>
        <v>0.89</v>
      </c>
      <c r="AJ77" s="342">
        <f>IF(T77="Air",(IF(U77="1C",'Catalogue Aluminium'!$L$9,'Catalogue Aluminium'!$M$9)),IF(T77="DUCT",(IF($U77="1C",'Catalogue Aluminium'!$L$10,'Catalogue Aluminium'!$M$10)),IF(T77="GROUND",(IF($U77="1C",'Catalogue Aluminium'!$L$11,'Catalogue Aluminium'!$M$11)),IF(T77="TRENCH",(IF($U77="1C",'Catalogue Aluminium'!$L$12,'Catalogue Aluminium'!$M$12))))))</f>
        <v>0.66</v>
      </c>
      <c r="AK77" s="344" t="str">
        <f>IF(T77="Air",'Catalogue Aluminium'!$N$9,IF(T77="GROUND",'Catalogue Aluminium'!$N$10,IF(T77="DUCT",'Catalogue Aluminium'!$N$11,IF(T77="TRENCH",'Catalogue Aluminium'!$N$12,"NA"))))</f>
        <v>NA</v>
      </c>
      <c r="AL77" s="344" t="str">
        <f>IF(T77="Air",(IF(U77="1C",'Catalogue Aluminium'!$O$9,'Catalogue Aluminium'!$P$9)),IF(T77="DUCT",(IF($U77="1C",'Catalogue Aluminium'!$O$10,'Catalogue Aluminium'!$P$10)),IF(T77="GROUND",(IF($U77="1C",'Catalogue Aluminium'!$O$11,'Catalogue Aluminium'!$P$11)),IF(T77="TRENCH",(IF($U77="1C",'Catalogue Aluminium'!$O$12,'Catalogue Aluminium'!$P$12))))))</f>
        <v>NA</v>
      </c>
      <c r="AM77" s="344" t="str">
        <f>IF(T77="AIR","NA",IF(T77="TRENCH","NA",IF(T77="DUCT",IF(U77="1C",VLOOKUP(V77,'Catalogue Aluminium'!$Q$9:$S$28,2,FALSE),VLOOKUP(V77,'Catalogue Aluminium'!$Q$9:$S$28,3)),IF(T77="GROUND",IF(U77="1C",VLOOKUP(V77,'Catalogue Aluminium'!$Q$9:$S$28,2,FALSE),VLOOKUP(V77,'Catalogue Aluminium'!$Q$9:$S$28,3))))))</f>
        <v>NA</v>
      </c>
      <c r="AN77" s="351">
        <f t="shared" ref="AN77:AN80" si="875">IF(T77="AIR",AI77*AJ77,IF(T77="TRENCH",AI77*AJ77,IF(T77="DUCT",AJ77*AK77*AL77*AM77,IF(T77="GROUND",AJ77*AK77*AL77*AM77))))</f>
        <v>0.58740000000000003</v>
      </c>
      <c r="AO77" s="350">
        <f t="shared" ref="AO77:AO80" si="876">Z77*AN77</f>
        <v>129.81540000000001</v>
      </c>
      <c r="AP77" s="349">
        <f t="shared" ref="AP77:AP80" si="877">CEILING(((N77)/AO77),1)</f>
        <v>1</v>
      </c>
      <c r="AQ77" s="350" t="str">
        <f t="shared" ref="AQ77:AQ80" si="878">IF(AO77*AP77&gt;=N77,"YES","NO")</f>
        <v>YES</v>
      </c>
      <c r="AR77" s="351">
        <f t="shared" si="136"/>
        <v>0.7068531239601068</v>
      </c>
      <c r="AS77" s="343" t="str">
        <f t="shared" si="137"/>
        <v>YES</v>
      </c>
      <c r="AT77" s="351" t="str">
        <f>IF(G77="MOTOR",(SQRT(3)*AH77*O77*((AA77*P77)+(AB77*SIN(ACOS(P77))))*100/(AP77*K77*1000)),"NA")</f>
        <v>NA</v>
      </c>
      <c r="AU77" s="343" t="str">
        <f>IF(G77="MOTOR",IF(AT77&lt;=15,"YES","NO"),"NA")</f>
        <v>NA</v>
      </c>
      <c r="AV77" s="354" t="str">
        <f>IF(U77="1C",CONCATENATE(AP77,"R x ",Y77,"kV x ",U77," x ",V77," Sqmm/Phase"),CONCATENATE(AP77,"R x ",0.6,"/1kV x ",U77," x ",V77," Sqmm"))</f>
        <v>1R x 0.6/1kV x 3.5C x 95 Sqmm</v>
      </c>
      <c r="AW77" s="354" t="str">
        <f t="shared" si="579"/>
        <v>1R x 0.6/1kV x 3.5C x 95 Sqmm</v>
      </c>
      <c r="AX77" s="343">
        <f>(IF(K77=400,(IF(U77="1C",(4*AH77*AP77),(AH77*AP77))),IF(K77=230,(AH77*AP77))))</f>
        <v>37</v>
      </c>
      <c r="AY77" s="355"/>
      <c r="AZ77" s="355">
        <f>IF(U77="1C",(3*AP77*2),(AP77*2))</f>
        <v>2</v>
      </c>
      <c r="BA77" s="356" t="str">
        <f t="shared" ref="BA77:BA80" si="879">CONCATENATE(IF(BE77=1,BE$4,""),IF(BF77=1,BF$4,""),IF(BG77=1,BG$4,""),IF(BH77=1,BH$4,""),IF(BI77=1,BI$4,""),IF(BJ77=1,BJ$4,""),IF(BK77=1,BK$4,""),IF(BL77=1,BL$4,""),IF(BM77=1,BM$4,""),IF(BN77=1,BN$4,""),IF(BO77=1,BO$4,""),IF(BP77=1,BP$4,""),IF(BQ77=1,BQ$4,""),IF(BR77=1,BR$4,""),IF(BS77=1,BS$4,""),IF(BT77=1,BT$4,""),IF(BU77=1,BU$4,""),IF(BV77=1,BV$4,""),IF(BW77=1,BW$4,""),IF(BX77=1,BX$4,""),IF(BY77=1,BY$4,""),IF(BZ77=1,BZ$4,""),IF(CA77=1,CA$4,""),IF(CB77=1,CB$4,""),IF(CC77=1,CC$4,""),IF(CD77=1,CD$4,""),IF(CE77=1,CE$4,""),IF(CF77=1,CF$4,""),IF(CG77=1,CG$4,""),IF(CH77=1,CH$4,""),IF(CI77=1,CI$4,""),IF(CJ77=1,CJ$4,""),IF(CK77=1,CK$4,""),IF(CL77=1,CL$4,""),IF(CM77=1,CM$4,""),IF(CN77=1,CN$4,""),IF(CO77=1,CO$4,""),IF(CP77=1,CP$4,""),IF(CQ77=1,CQ$4,""),IF(CR77=1,CR$4,""),IF(CS77=1,CS$4,""),IF(CT77=1,CT$4,""),IF(CU77=1,CU$4,""),IF(CV77=1,CV$4,""),IF(CW77=1,CW$4,""),IF(CX77=1,CX$4,""),IF(CY77=1,CY$4,""),IF(CZ77=1,CZ$4,""),IF(DA77=1,DA$4,""),IF(DB77=1,DB$4,""),IF(DC77=1,DC$4,""),IF(DD77=1,DD$4,""),IF(DE77=1,DE$4,""),IF(DF77=1,DF$4,""),IF(DG77=1,DG$4,""),IF(DH77=1,DH$4,""),IF(DI77=1,DI$4,""),IF(DJ77=1,DJ$4,""),IF(DK77=1,DK$4,""),IF(DL77=1,DL$4,""),IF(DM77=1,DM$4,""),IF(DN77=1,DN$4,""),IF(DO77=1,DO$4,""),IF(DP77=1,DP$4,""),IF(DQ77=1,DQ$4,""),IF(DR77=1,DR$4,""),IF(DS77=1,DS$4,""),IF(DT77=1,DT$4,""),IF(DU77=1,DU$4,""))</f>
        <v/>
      </c>
      <c r="BB77" s="501">
        <f>VLOOKUP(W77,'Catalogue Aluminium'!$B$9:$H$93,7,FALSE)</f>
        <v>39</v>
      </c>
      <c r="BC77" s="328">
        <f>AP77*BB77</f>
        <v>39</v>
      </c>
      <c r="BE77" s="336"/>
      <c r="BF77" s="336"/>
      <c r="BG77" s="336"/>
      <c r="BH77" s="336"/>
      <c r="BI77" s="336"/>
      <c r="BJ77" s="336"/>
      <c r="BK77" s="336"/>
      <c r="BL77" s="336"/>
      <c r="BM77" s="336"/>
      <c r="BN77" s="336"/>
      <c r="BO77" s="336"/>
      <c r="BP77" s="336"/>
      <c r="BQ77" s="336"/>
      <c r="BR77" s="336"/>
      <c r="BS77" s="336"/>
      <c r="BT77" s="336"/>
      <c r="BU77" s="336"/>
      <c r="BV77" s="336"/>
      <c r="BW77" s="336"/>
      <c r="BX77" s="336"/>
      <c r="BY77" s="336"/>
      <c r="BZ77" s="336"/>
      <c r="CA77" s="336"/>
      <c r="CB77" s="336"/>
      <c r="CC77" s="336"/>
      <c r="CD77" s="336"/>
      <c r="CE77" s="336"/>
      <c r="CF77" s="336"/>
      <c r="CG77" s="336"/>
      <c r="CH77" s="336"/>
      <c r="CI77" s="336"/>
      <c r="CJ77" s="336"/>
      <c r="CK77" s="336"/>
      <c r="CL77" s="336"/>
      <c r="CM77" s="336"/>
      <c r="CN77" s="336"/>
      <c r="CO77" s="336"/>
      <c r="CP77" s="336"/>
      <c r="CQ77" s="336"/>
      <c r="CR77" s="336"/>
      <c r="CS77" s="336"/>
      <c r="CT77" s="336"/>
      <c r="CU77" s="336"/>
      <c r="CV77" s="336"/>
      <c r="CW77" s="336"/>
      <c r="CX77" s="336"/>
      <c r="CY77" s="336"/>
      <c r="CZ77" s="336"/>
      <c r="DA77" s="336"/>
      <c r="DB77" s="336"/>
      <c r="DC77" s="336"/>
      <c r="DD77" s="336"/>
      <c r="DE77" s="336"/>
      <c r="DF77" s="336"/>
      <c r="DG77" s="336"/>
      <c r="DH77" s="336"/>
      <c r="DI77" s="336"/>
      <c r="DJ77" s="336"/>
      <c r="DK77" s="336"/>
      <c r="DL77" s="336"/>
      <c r="DM77" s="336"/>
      <c r="DN77" s="336"/>
      <c r="DO77" s="336"/>
      <c r="DP77" s="336"/>
      <c r="DQ77" s="336"/>
      <c r="DR77" s="336"/>
      <c r="DS77" s="336"/>
      <c r="DT77" s="336"/>
      <c r="DU77" s="336"/>
      <c r="DW77" s="336">
        <f t="shared" si="80"/>
        <v>0</v>
      </c>
      <c r="DX77" s="336">
        <f t="shared" si="1"/>
        <v>0</v>
      </c>
      <c r="DY77" s="336">
        <f t="shared" si="2"/>
        <v>0</v>
      </c>
      <c r="DZ77" s="336">
        <f t="shared" si="3"/>
        <v>0</v>
      </c>
      <c r="EA77" s="336">
        <f t="shared" si="4"/>
        <v>0</v>
      </c>
      <c r="EB77" s="336">
        <f t="shared" si="5"/>
        <v>0</v>
      </c>
      <c r="EC77" s="336">
        <f t="shared" si="6"/>
        <v>0</v>
      </c>
      <c r="ED77" s="336">
        <f t="shared" si="7"/>
        <v>0</v>
      </c>
      <c r="EE77" s="336">
        <f t="shared" si="8"/>
        <v>0</v>
      </c>
      <c r="EF77" s="336">
        <f t="shared" si="9"/>
        <v>0</v>
      </c>
      <c r="EG77" s="336">
        <f t="shared" si="10"/>
        <v>0</v>
      </c>
      <c r="EH77" s="336">
        <f t="shared" si="11"/>
        <v>0</v>
      </c>
      <c r="EI77" s="336">
        <f t="shared" si="12"/>
        <v>0</v>
      </c>
      <c r="EJ77" s="336">
        <f t="shared" si="13"/>
        <v>0</v>
      </c>
      <c r="EK77" s="336">
        <f t="shared" si="14"/>
        <v>0</v>
      </c>
      <c r="EL77" s="336">
        <f t="shared" si="15"/>
        <v>0</v>
      </c>
      <c r="EM77" s="336">
        <f t="shared" si="16"/>
        <v>0</v>
      </c>
      <c r="EN77" s="336">
        <f t="shared" si="17"/>
        <v>0</v>
      </c>
      <c r="EO77" s="336">
        <f t="shared" si="18"/>
        <v>0</v>
      </c>
      <c r="EP77" s="336">
        <f t="shared" si="19"/>
        <v>0</v>
      </c>
      <c r="EQ77" s="336">
        <f t="shared" si="20"/>
        <v>0</v>
      </c>
      <c r="ER77" s="336">
        <f t="shared" si="21"/>
        <v>0</v>
      </c>
      <c r="ES77" s="336">
        <f t="shared" si="22"/>
        <v>0</v>
      </c>
      <c r="ET77" s="336">
        <f t="shared" si="22"/>
        <v>0</v>
      </c>
      <c r="EU77" s="336">
        <f t="shared" si="23"/>
        <v>0</v>
      </c>
      <c r="EV77" s="336">
        <f t="shared" si="24"/>
        <v>0</v>
      </c>
      <c r="EW77" s="336">
        <f t="shared" si="25"/>
        <v>0</v>
      </c>
      <c r="EX77" s="336">
        <f t="shared" si="26"/>
        <v>0</v>
      </c>
      <c r="EY77" s="336">
        <f t="shared" si="27"/>
        <v>0</v>
      </c>
      <c r="EZ77" s="336">
        <f t="shared" si="28"/>
        <v>0</v>
      </c>
      <c r="FA77" s="336">
        <f t="shared" si="29"/>
        <v>0</v>
      </c>
      <c r="FB77" s="336">
        <f t="shared" si="30"/>
        <v>0</v>
      </c>
      <c r="FC77" s="336">
        <f t="shared" si="31"/>
        <v>0</v>
      </c>
      <c r="FD77" s="336">
        <f t="shared" si="32"/>
        <v>0</v>
      </c>
      <c r="FE77" s="336">
        <f t="shared" si="33"/>
        <v>0</v>
      </c>
      <c r="FF77" s="336">
        <f t="shared" si="34"/>
        <v>0</v>
      </c>
      <c r="FG77" s="336">
        <f t="shared" si="35"/>
        <v>0</v>
      </c>
      <c r="FH77" s="336">
        <f t="shared" si="36"/>
        <v>0</v>
      </c>
      <c r="FI77" s="336">
        <f t="shared" si="37"/>
        <v>0</v>
      </c>
      <c r="FJ77" s="336">
        <f t="shared" si="38"/>
        <v>0</v>
      </c>
      <c r="FK77" s="336">
        <f t="shared" si="39"/>
        <v>0</v>
      </c>
      <c r="FL77" s="336">
        <f t="shared" si="40"/>
        <v>0</v>
      </c>
      <c r="FM77" s="336">
        <f t="shared" si="41"/>
        <v>0</v>
      </c>
      <c r="FN77" s="336">
        <f t="shared" si="42"/>
        <v>0</v>
      </c>
      <c r="FO77" s="336">
        <f t="shared" si="43"/>
        <v>0</v>
      </c>
      <c r="FP77" s="336">
        <f t="shared" si="44"/>
        <v>0</v>
      </c>
      <c r="FQ77" s="336">
        <f t="shared" si="45"/>
        <v>0</v>
      </c>
      <c r="FR77" s="336">
        <f t="shared" si="46"/>
        <v>0</v>
      </c>
      <c r="FS77" s="336">
        <f t="shared" si="47"/>
        <v>0</v>
      </c>
      <c r="FT77" s="336">
        <f t="shared" si="48"/>
        <v>0</v>
      </c>
      <c r="FU77" s="336">
        <f t="shared" si="553"/>
        <v>0</v>
      </c>
      <c r="FV77" s="336">
        <f t="shared" si="554"/>
        <v>0</v>
      </c>
      <c r="FW77" s="336">
        <f t="shared" si="555"/>
        <v>0</v>
      </c>
      <c r="FX77" s="336">
        <f t="shared" si="556"/>
        <v>0</v>
      </c>
      <c r="FY77" s="336">
        <f t="shared" si="53"/>
        <v>0</v>
      </c>
      <c r="FZ77" s="336">
        <f t="shared" si="54"/>
        <v>0</v>
      </c>
      <c r="GA77" s="336">
        <f t="shared" si="55"/>
        <v>0</v>
      </c>
      <c r="GB77" s="336">
        <f t="shared" si="56"/>
        <v>0</v>
      </c>
      <c r="GC77" s="336">
        <f t="shared" si="57"/>
        <v>0</v>
      </c>
      <c r="GD77" s="336">
        <f t="shared" si="58"/>
        <v>0</v>
      </c>
      <c r="GE77" s="336">
        <f t="shared" si="59"/>
        <v>0</v>
      </c>
      <c r="GF77" s="336">
        <f t="shared" si="60"/>
        <v>0</v>
      </c>
      <c r="GG77" s="336">
        <f t="shared" si="61"/>
        <v>0</v>
      </c>
      <c r="GH77" s="336">
        <f t="shared" si="62"/>
        <v>0</v>
      </c>
      <c r="GI77" s="336">
        <f t="shared" si="63"/>
        <v>0</v>
      </c>
      <c r="GJ77" s="336">
        <f t="shared" si="64"/>
        <v>0</v>
      </c>
      <c r="GK77" s="336">
        <f t="shared" si="65"/>
        <v>0</v>
      </c>
      <c r="GL77" s="336">
        <f t="shared" si="557"/>
        <v>0</v>
      </c>
      <c r="GM77" s="336">
        <f t="shared" si="66"/>
        <v>0</v>
      </c>
    </row>
    <row r="78" spans="1:195" ht="24.75" customHeight="1">
      <c r="A78" s="337">
        <f>A77+1</f>
        <v>55</v>
      </c>
      <c r="B78" s="337" t="s">
        <v>1165</v>
      </c>
      <c r="C78" s="372" t="str">
        <f t="shared" si="868"/>
        <v>PMCC-2</v>
      </c>
      <c r="D78" s="372" t="s">
        <v>1166</v>
      </c>
      <c r="E78" s="569" t="s">
        <v>419</v>
      </c>
      <c r="F78" s="337" t="s">
        <v>28</v>
      </c>
      <c r="G78" s="337" t="s">
        <v>329</v>
      </c>
      <c r="H78" s="350">
        <v>100</v>
      </c>
      <c r="I78" s="337" t="s">
        <v>330</v>
      </c>
      <c r="J78" s="337" t="s">
        <v>331</v>
      </c>
      <c r="K78" s="349">
        <v>400</v>
      </c>
      <c r="L78" s="343">
        <v>0.85</v>
      </c>
      <c r="M78" s="350">
        <v>0.95</v>
      </c>
      <c r="N78" s="342">
        <f t="shared" si="869"/>
        <v>178.75145682437315</v>
      </c>
      <c r="O78" s="342">
        <f t="shared" si="870"/>
        <v>0</v>
      </c>
      <c r="P78" s="343" t="str">
        <f t="shared" si="871"/>
        <v>0.00</v>
      </c>
      <c r="Q78" s="350">
        <v>65</v>
      </c>
      <c r="R78" s="350">
        <v>0</v>
      </c>
      <c r="S78" s="350">
        <f t="shared" si="872"/>
        <v>0</v>
      </c>
      <c r="T78" s="343" t="s">
        <v>332</v>
      </c>
      <c r="U78" s="350" t="s">
        <v>535</v>
      </c>
      <c r="V78" s="343">
        <v>70</v>
      </c>
      <c r="W78" s="343" t="str">
        <f t="shared" ref="W78:W80" si="880">CONCATENATE(U78," X ",V78)</f>
        <v>3.5C X 70</v>
      </c>
      <c r="X78" s="343" t="str">
        <f>(IF(J78="1Ph",W78,IF(J78="3Ph",(IF(G78="MOTOR",(CONCATENATE(W78,"+PE")),W78)))))</f>
        <v>3.5C X 70</v>
      </c>
      <c r="Y78" s="343" t="s">
        <v>358</v>
      </c>
      <c r="Z78" s="344">
        <f>IF(T78="AIR",VLOOKUP(W78,'Catalogue Aluminium'!$B$9:$G$93,2,FALSE),IF(T78="GROUND",VLOOKUP(W78,'Catalogue Aluminium'!$B$9:$G$93,3,FALSE),IF(T78="DUCT",VLOOKUP(W78,'Catalogue Aluminium'!$B$9:$G$93,4,FALSE),IF(T78="TRENCH",VLOOKUP(W78,'Catalogue Aluminium'!$B$9:$G$93,2,FALSE)))))</f>
        <v>177</v>
      </c>
      <c r="AA78" s="345">
        <f>VLOOKUP(W78,'Catalogue Aluminium'!$B$9:$G$93,5,FALSE)</f>
        <v>0.56699999999999995</v>
      </c>
      <c r="AB78" s="345">
        <f>VLOOKUP(W78,'Catalogue Aluminium'!$B$9:$G$93,6,FALSE)</f>
        <v>7.5200000000000003E-2</v>
      </c>
      <c r="AC78" s="343">
        <f t="shared" ref="AC78:AC79" si="881">15+5</f>
        <v>20</v>
      </c>
      <c r="AD78" s="343">
        <v>0</v>
      </c>
      <c r="AE78" s="343">
        <v>5</v>
      </c>
      <c r="AF78" s="343">
        <v>8</v>
      </c>
      <c r="AG78" s="343">
        <f t="shared" si="134"/>
        <v>4</v>
      </c>
      <c r="AH78" s="347">
        <f t="shared" si="874"/>
        <v>37</v>
      </c>
      <c r="AI78" s="344">
        <f>IF(T78="AIR",'Catalogue Aluminium'!$K$9,IF(T78="TRENCH",'Catalogue Aluminium'!$K$12,"NA"))</f>
        <v>0.89</v>
      </c>
      <c r="AJ78" s="342">
        <f>IF(T78="Air",(IF(U78="1C",'Catalogue Aluminium'!$L$9,'Catalogue Aluminium'!$M$9)),IF(T78="DUCT",(IF($U78="1C",'Catalogue Aluminium'!$L$10,'Catalogue Aluminium'!$M$10)),IF(T78="GROUND",(IF($U78="1C",'Catalogue Aluminium'!$L$11,'Catalogue Aluminium'!$M$11)),IF(T78="TRENCH",(IF($U78="1C",'Catalogue Aluminium'!$L$12,'Catalogue Aluminium'!$M$12))))))</f>
        <v>0.66</v>
      </c>
      <c r="AK78" s="344" t="str">
        <f>IF(T78="Air",'Catalogue Aluminium'!$N$9,IF(T78="GROUND",'Catalogue Aluminium'!$N$10,IF(T78="DUCT",'Catalogue Aluminium'!$N$11,IF(T78="TRENCH",'Catalogue Aluminium'!$N$12,"NA"))))</f>
        <v>NA</v>
      </c>
      <c r="AL78" s="344" t="str">
        <f>IF(T78="Air",(IF(U78="1C",'Catalogue Aluminium'!$O$9,'Catalogue Aluminium'!$P$9)),IF(T78="DUCT",(IF($U78="1C",'Catalogue Aluminium'!$O$10,'Catalogue Aluminium'!$P$10)),IF(T78="GROUND",(IF($U78="1C",'Catalogue Aluminium'!$O$11,'Catalogue Aluminium'!$P$11)),IF(T78="TRENCH",(IF($U78="1C",'Catalogue Aluminium'!$O$12,'Catalogue Aluminium'!$P$12))))))</f>
        <v>NA</v>
      </c>
      <c r="AM78" s="344" t="str">
        <f>IF(T78="AIR","NA",IF(T78="TRENCH","NA",IF(T78="DUCT",IF(U78="1C",VLOOKUP(V78,'Catalogue Aluminium'!$Q$9:$S$28,2,FALSE),VLOOKUP(V78,'Catalogue Aluminium'!$Q$9:$S$28,3)),IF(T78="GROUND",IF(U78="1C",VLOOKUP(V78,'Catalogue Aluminium'!$Q$9:$S$28,2,FALSE),VLOOKUP(V78,'Catalogue Aluminium'!$Q$9:$S$28,3))))))</f>
        <v>NA</v>
      </c>
      <c r="AN78" s="351">
        <f t="shared" si="875"/>
        <v>0.58740000000000003</v>
      </c>
      <c r="AO78" s="350">
        <f t="shared" si="876"/>
        <v>103.96980000000001</v>
      </c>
      <c r="AP78" s="349">
        <f t="shared" si="877"/>
        <v>2</v>
      </c>
      <c r="AQ78" s="350" t="str">
        <f t="shared" si="878"/>
        <v>YES</v>
      </c>
      <c r="AR78" s="351">
        <f t="shared" si="136"/>
        <v>0.74684350796683208</v>
      </c>
      <c r="AS78" s="343" t="str">
        <f t="shared" si="137"/>
        <v>YES</v>
      </c>
      <c r="AT78" s="351" t="str">
        <f>IF(G78="MOTOR",(SQRT(3)*AH78*O78*((AA78*P78)+(AB78*SIN(ACOS(P78))))*100/(AP78*K78*1000)),"NA")</f>
        <v>NA</v>
      </c>
      <c r="AU78" s="343" t="str">
        <f>IF(G78="MOTOR",IF(AT78&lt;=15,"YES","NO"),"NA")</f>
        <v>NA</v>
      </c>
      <c r="AV78" s="354" t="str">
        <f>IF(U78="1C",CONCATENATE(AP78,"R x ",Y78,"kV x ",U78," x ",V78," Sqmm/Phase"),CONCATENATE(AP78,"R x ",0.6,"/1kV x ",U78," x ",V78," Sqmm"))</f>
        <v>2R x 0.6/1kV x 3.5C x 70 Sqmm</v>
      </c>
      <c r="AW78" s="354" t="str">
        <f t="shared" si="579"/>
        <v>2R x 0.6/1kV x 3.5C x 70 Sqmm</v>
      </c>
      <c r="AX78" s="343">
        <f>(IF(K78=400,(IF(U78="1C",(4*AH78*AP78),(AH78*AP78))),IF(K78=230,(AH78*AP78))))</f>
        <v>74</v>
      </c>
      <c r="AY78" s="355"/>
      <c r="AZ78" s="355">
        <f>IF(U78="1C",(3*AP78*2),(AP78*2))</f>
        <v>4</v>
      </c>
      <c r="BA78" s="356" t="str">
        <f t="shared" si="879"/>
        <v/>
      </c>
      <c r="BB78" s="501">
        <f>VLOOKUP(W78,'Catalogue Aluminium'!$B$9:$H$93,7,FALSE)</f>
        <v>36</v>
      </c>
      <c r="BC78" s="328">
        <f>AP78*BB78</f>
        <v>72</v>
      </c>
      <c r="BE78" s="336"/>
      <c r="BF78" s="336"/>
      <c r="BG78" s="336"/>
      <c r="BH78" s="336"/>
      <c r="BI78" s="336"/>
      <c r="BJ78" s="336"/>
      <c r="BK78" s="336"/>
      <c r="BL78" s="336"/>
      <c r="BM78" s="336"/>
      <c r="BN78" s="336"/>
      <c r="BO78" s="336"/>
      <c r="BP78" s="336"/>
      <c r="BQ78" s="336"/>
      <c r="BR78" s="336"/>
      <c r="BS78" s="336"/>
      <c r="BT78" s="336"/>
      <c r="BU78" s="336"/>
      <c r="BV78" s="336"/>
      <c r="BW78" s="336"/>
      <c r="BX78" s="336"/>
      <c r="BY78" s="336"/>
      <c r="BZ78" s="336"/>
      <c r="CA78" s="336"/>
      <c r="CB78" s="336"/>
      <c r="CC78" s="336"/>
      <c r="CD78" s="336"/>
      <c r="CE78" s="336"/>
      <c r="CF78" s="336"/>
      <c r="CG78" s="336"/>
      <c r="CH78" s="336"/>
      <c r="CI78" s="336"/>
      <c r="CJ78" s="336"/>
      <c r="CK78" s="336"/>
      <c r="CL78" s="336"/>
      <c r="CM78" s="336"/>
      <c r="CN78" s="336"/>
      <c r="CO78" s="336"/>
      <c r="CP78" s="336"/>
      <c r="CQ78" s="336"/>
      <c r="CR78" s="336"/>
      <c r="CS78" s="336"/>
      <c r="CT78" s="336"/>
      <c r="CU78" s="336"/>
      <c r="CV78" s="336"/>
      <c r="CW78" s="336"/>
      <c r="CX78" s="336"/>
      <c r="CY78" s="336"/>
      <c r="CZ78" s="336"/>
      <c r="DA78" s="336"/>
      <c r="DB78" s="336"/>
      <c r="DC78" s="336"/>
      <c r="DD78" s="336"/>
      <c r="DE78" s="336"/>
      <c r="DF78" s="336"/>
      <c r="DG78" s="336"/>
      <c r="DH78" s="336"/>
      <c r="DI78" s="336"/>
      <c r="DJ78" s="336"/>
      <c r="DK78" s="336"/>
      <c r="DL78" s="336"/>
      <c r="DM78" s="336"/>
      <c r="DN78" s="336"/>
      <c r="DO78" s="336"/>
      <c r="DP78" s="336"/>
      <c r="DQ78" s="336"/>
      <c r="DR78" s="336"/>
      <c r="DS78" s="336"/>
      <c r="DT78" s="336"/>
      <c r="DU78" s="336"/>
      <c r="DW78" s="336">
        <f t="shared" si="80"/>
        <v>0</v>
      </c>
      <c r="DX78" s="336">
        <f t="shared" si="1"/>
        <v>0</v>
      </c>
      <c r="DY78" s="336">
        <f t="shared" si="2"/>
        <v>0</v>
      </c>
      <c r="DZ78" s="336">
        <f t="shared" si="3"/>
        <v>0</v>
      </c>
      <c r="EA78" s="336">
        <f t="shared" si="4"/>
        <v>0</v>
      </c>
      <c r="EB78" s="336">
        <f t="shared" si="5"/>
        <v>0</v>
      </c>
      <c r="EC78" s="336">
        <f t="shared" si="6"/>
        <v>0</v>
      </c>
      <c r="ED78" s="336">
        <f t="shared" si="7"/>
        <v>0</v>
      </c>
      <c r="EE78" s="336">
        <f t="shared" si="8"/>
        <v>0</v>
      </c>
      <c r="EF78" s="336">
        <f t="shared" si="9"/>
        <v>0</v>
      </c>
      <c r="EG78" s="336">
        <f t="shared" si="10"/>
        <v>0</v>
      </c>
      <c r="EH78" s="336">
        <f t="shared" si="11"/>
        <v>0</v>
      </c>
      <c r="EI78" s="336">
        <f t="shared" si="12"/>
        <v>0</v>
      </c>
      <c r="EJ78" s="336">
        <f t="shared" si="13"/>
        <v>0</v>
      </c>
      <c r="EK78" s="336">
        <f t="shared" si="14"/>
        <v>0</v>
      </c>
      <c r="EL78" s="336">
        <f t="shared" si="15"/>
        <v>0</v>
      </c>
      <c r="EM78" s="336">
        <f t="shared" si="16"/>
        <v>0</v>
      </c>
      <c r="EN78" s="336">
        <f t="shared" si="17"/>
        <v>0</v>
      </c>
      <c r="EO78" s="336">
        <f t="shared" si="18"/>
        <v>0</v>
      </c>
      <c r="EP78" s="336">
        <f t="shared" si="19"/>
        <v>0</v>
      </c>
      <c r="EQ78" s="336">
        <f t="shared" si="20"/>
        <v>0</v>
      </c>
      <c r="ER78" s="336">
        <f t="shared" si="21"/>
        <v>0</v>
      </c>
      <c r="ES78" s="336">
        <f t="shared" si="22"/>
        <v>0</v>
      </c>
      <c r="ET78" s="336">
        <f t="shared" si="22"/>
        <v>0</v>
      </c>
      <c r="EU78" s="336">
        <f t="shared" si="23"/>
        <v>0</v>
      </c>
      <c r="EV78" s="336">
        <f t="shared" si="24"/>
        <v>0</v>
      </c>
      <c r="EW78" s="336">
        <f t="shared" si="25"/>
        <v>0</v>
      </c>
      <c r="EX78" s="336">
        <f t="shared" si="26"/>
        <v>0</v>
      </c>
      <c r="EY78" s="336">
        <f t="shared" si="27"/>
        <v>0</v>
      </c>
      <c r="EZ78" s="336">
        <f t="shared" si="28"/>
        <v>0</v>
      </c>
      <c r="FA78" s="336">
        <f t="shared" si="29"/>
        <v>0</v>
      </c>
      <c r="FB78" s="336">
        <f t="shared" si="30"/>
        <v>0</v>
      </c>
      <c r="FC78" s="336">
        <f t="shared" si="31"/>
        <v>0</v>
      </c>
      <c r="FD78" s="336">
        <f t="shared" si="32"/>
        <v>0</v>
      </c>
      <c r="FE78" s="336">
        <f t="shared" si="33"/>
        <v>0</v>
      </c>
      <c r="FF78" s="336">
        <f t="shared" si="34"/>
        <v>0</v>
      </c>
      <c r="FG78" s="336">
        <f t="shared" si="35"/>
        <v>0</v>
      </c>
      <c r="FH78" s="336">
        <f t="shared" si="36"/>
        <v>0</v>
      </c>
      <c r="FI78" s="336">
        <f t="shared" si="37"/>
        <v>0</v>
      </c>
      <c r="FJ78" s="336">
        <f t="shared" si="38"/>
        <v>0</v>
      </c>
      <c r="FK78" s="336">
        <f t="shared" si="39"/>
        <v>0</v>
      </c>
      <c r="FL78" s="336">
        <f t="shared" si="40"/>
        <v>0</v>
      </c>
      <c r="FM78" s="336">
        <f t="shared" si="41"/>
        <v>0</v>
      </c>
      <c r="FN78" s="336">
        <f t="shared" si="42"/>
        <v>0</v>
      </c>
      <c r="FO78" s="336">
        <f t="shared" si="43"/>
        <v>0</v>
      </c>
      <c r="FP78" s="336">
        <f t="shared" si="44"/>
        <v>0</v>
      </c>
      <c r="FQ78" s="336">
        <f t="shared" si="45"/>
        <v>0</v>
      </c>
      <c r="FR78" s="336">
        <f t="shared" si="46"/>
        <v>0</v>
      </c>
      <c r="FS78" s="336">
        <f t="shared" si="47"/>
        <v>0</v>
      </c>
      <c r="FT78" s="336">
        <f t="shared" si="48"/>
        <v>0</v>
      </c>
      <c r="FU78" s="336">
        <f t="shared" si="553"/>
        <v>0</v>
      </c>
      <c r="FV78" s="336">
        <f t="shared" si="554"/>
        <v>0</v>
      </c>
      <c r="FW78" s="336">
        <f t="shared" si="555"/>
        <v>0</v>
      </c>
      <c r="FX78" s="336">
        <f t="shared" si="556"/>
        <v>0</v>
      </c>
      <c r="FY78" s="336">
        <f t="shared" si="53"/>
        <v>0</v>
      </c>
      <c r="FZ78" s="336">
        <f t="shared" si="54"/>
        <v>0</v>
      </c>
      <c r="GA78" s="336">
        <f t="shared" si="55"/>
        <v>0</v>
      </c>
      <c r="GB78" s="336">
        <f t="shared" si="56"/>
        <v>0</v>
      </c>
      <c r="GC78" s="336">
        <f t="shared" si="57"/>
        <v>0</v>
      </c>
      <c r="GD78" s="336">
        <f t="shared" si="58"/>
        <v>0</v>
      </c>
      <c r="GE78" s="336">
        <f t="shared" si="59"/>
        <v>0</v>
      </c>
      <c r="GF78" s="336">
        <f t="shared" si="60"/>
        <v>0</v>
      </c>
      <c r="GG78" s="336">
        <f t="shared" si="61"/>
        <v>0</v>
      </c>
      <c r="GH78" s="336">
        <f t="shared" si="62"/>
        <v>0</v>
      </c>
      <c r="GI78" s="336">
        <f t="shared" si="63"/>
        <v>0</v>
      </c>
      <c r="GJ78" s="336">
        <f t="shared" si="64"/>
        <v>0</v>
      </c>
      <c r="GK78" s="336">
        <f t="shared" si="65"/>
        <v>0</v>
      </c>
      <c r="GL78" s="336">
        <f t="shared" si="557"/>
        <v>0</v>
      </c>
      <c r="GM78" s="336">
        <f t="shared" si="66"/>
        <v>0</v>
      </c>
    </row>
    <row r="79" spans="1:195" ht="24.75" customHeight="1">
      <c r="A79" s="337">
        <f t="shared" ref="A79:A82" si="882">A78+1</f>
        <v>56</v>
      </c>
      <c r="B79" s="337" t="s">
        <v>1167</v>
      </c>
      <c r="C79" s="372" t="str">
        <f t="shared" si="868"/>
        <v>PMCC-2</v>
      </c>
      <c r="D79" s="372" t="s">
        <v>1168</v>
      </c>
      <c r="E79" s="569" t="s">
        <v>419</v>
      </c>
      <c r="F79" s="337" t="s">
        <v>28</v>
      </c>
      <c r="G79" s="337" t="s">
        <v>329</v>
      </c>
      <c r="H79" s="350">
        <v>301.13705824893941</v>
      </c>
      <c r="I79" s="337" t="s">
        <v>330</v>
      </c>
      <c r="J79" s="337" t="s">
        <v>331</v>
      </c>
      <c r="K79" s="349">
        <v>400</v>
      </c>
      <c r="L79" s="343">
        <v>0.85</v>
      </c>
      <c r="M79" s="350">
        <v>0.95</v>
      </c>
      <c r="N79" s="342">
        <f t="shared" si="869"/>
        <v>538.28687865804034</v>
      </c>
      <c r="O79" s="342">
        <f t="shared" si="870"/>
        <v>0</v>
      </c>
      <c r="P79" s="343" t="str">
        <f t="shared" si="871"/>
        <v>0.00</v>
      </c>
      <c r="Q79" s="350">
        <v>65</v>
      </c>
      <c r="R79" s="350">
        <v>0</v>
      </c>
      <c r="S79" s="350">
        <f t="shared" si="872"/>
        <v>0</v>
      </c>
      <c r="T79" s="343" t="s">
        <v>332</v>
      </c>
      <c r="U79" s="418" t="s">
        <v>535</v>
      </c>
      <c r="V79" s="401">
        <v>300</v>
      </c>
      <c r="W79" s="343" t="str">
        <f t="shared" si="880"/>
        <v>3.5C X 300</v>
      </c>
      <c r="X79" s="343" t="str">
        <f>(IF(J79="1Ph",W79,IF(J79="3Ph",(IF(G79="MOTOR",(CONCATENATE(W79,"+PE")),W79)))))</f>
        <v>3.5C X 300</v>
      </c>
      <c r="Y79" s="343" t="s">
        <v>358</v>
      </c>
      <c r="Z79" s="344">
        <f>IF(T79="AIR",VLOOKUP(W79,'Catalogue Aluminium'!$B$9:$G$93,2,FALSE),IF(T79="GROUND",VLOOKUP(W79,'Catalogue Aluminium'!$B$9:$G$93,3,FALSE),IF(T79="DUCT",VLOOKUP(W79,'Catalogue Aluminium'!$B$9:$G$93,4,FALSE),IF(T79="TRENCH",VLOOKUP(W79,'Catalogue Aluminium'!$B$9:$G$93,2,FALSE)))))</f>
        <v>459</v>
      </c>
      <c r="AA79" s="345">
        <f>VLOOKUP(W79,'Catalogue Aluminium'!$B$9:$G$93,5,FALSE)</f>
        <v>0.128</v>
      </c>
      <c r="AB79" s="345">
        <f>VLOOKUP(W79,'Catalogue Aluminium'!$B$9:$G$93,6,FALSE)</f>
        <v>7.1099999999999997E-2</v>
      </c>
      <c r="AC79" s="343">
        <f t="shared" si="881"/>
        <v>20</v>
      </c>
      <c r="AD79" s="343">
        <v>0</v>
      </c>
      <c r="AE79" s="343">
        <v>5</v>
      </c>
      <c r="AF79" s="343">
        <v>8</v>
      </c>
      <c r="AG79" s="343">
        <f t="shared" si="134"/>
        <v>4</v>
      </c>
      <c r="AH79" s="347">
        <f t="shared" si="874"/>
        <v>37</v>
      </c>
      <c r="AI79" s="344">
        <f>IF(T79="AIR",'Catalogue Aluminium'!$K$9,IF(T79="TRENCH",'Catalogue Aluminium'!$K$12,"NA"))</f>
        <v>0.89</v>
      </c>
      <c r="AJ79" s="342">
        <f>IF(T79="Air",(IF(U79="1C",'Catalogue Aluminium'!$L$9,'Catalogue Aluminium'!$M$9)),IF(T79="DUCT",(IF($U79="1C",'Catalogue Aluminium'!$L$10,'Catalogue Aluminium'!$M$10)),IF(T79="GROUND",(IF($U79="1C",'Catalogue Aluminium'!$L$11,'Catalogue Aluminium'!$M$11)),IF(T79="TRENCH",(IF($U79="1C",'Catalogue Aluminium'!$L$12,'Catalogue Aluminium'!$M$12))))))</f>
        <v>0.66</v>
      </c>
      <c r="AK79" s="344" t="str">
        <f>IF(T79="Air",'Catalogue Aluminium'!$N$9,IF(T79="GROUND",'Catalogue Aluminium'!$N$10,IF(T79="DUCT",'Catalogue Aluminium'!$N$11,IF(T79="TRENCH",'Catalogue Aluminium'!$N$12,"NA"))))</f>
        <v>NA</v>
      </c>
      <c r="AL79" s="344" t="str">
        <f>IF(T79="Air",(IF(U79="1C",'Catalogue Aluminium'!$O$9,'Catalogue Aluminium'!$P$9)),IF(T79="DUCT",(IF($U79="1C",'Catalogue Aluminium'!$O$10,'Catalogue Aluminium'!$P$10)),IF(T79="GROUND",(IF($U79="1C",'Catalogue Aluminium'!$O$11,'Catalogue Aluminium'!$P$11)),IF(T79="TRENCH",(IF($U79="1C",'Catalogue Aluminium'!$O$12,'Catalogue Aluminium'!$P$12))))))</f>
        <v>NA</v>
      </c>
      <c r="AM79" s="344" t="str">
        <f>IF(T79="AIR","NA",IF(T79="TRENCH","NA",IF(T79="DUCT",IF(U79="1C",VLOOKUP(V79,'Catalogue Aluminium'!$Q$9:$S$28,2,FALSE),VLOOKUP(V79,'Catalogue Aluminium'!$Q$9:$S$28,3)),IF(T79="GROUND",IF(U79="1C",VLOOKUP(V79,'Catalogue Aluminium'!$Q$9:$S$28,2,FALSE),VLOOKUP(V79,'Catalogue Aluminium'!$Q$9:$S$28,3))))))</f>
        <v>NA</v>
      </c>
      <c r="AN79" s="351">
        <f t="shared" si="875"/>
        <v>0.58740000000000003</v>
      </c>
      <c r="AO79" s="350">
        <f t="shared" si="876"/>
        <v>269.61660000000001</v>
      </c>
      <c r="AP79" s="434">
        <f t="shared" si="877"/>
        <v>2</v>
      </c>
      <c r="AQ79" s="350" t="str">
        <f t="shared" si="878"/>
        <v>YES</v>
      </c>
      <c r="AR79" s="351">
        <f t="shared" si="136"/>
        <v>0.63065907627923645</v>
      </c>
      <c r="AS79" s="343" t="str">
        <f t="shared" si="137"/>
        <v>YES</v>
      </c>
      <c r="AT79" s="351" t="str">
        <f>IF(G79="MOTOR",(SQRT(3)*AH79*O79*((AA79*P79)+(AB79*SIN(ACOS(P79))))*100/(AP79*K79*1000)),"NA")</f>
        <v>NA</v>
      </c>
      <c r="AU79" s="343" t="str">
        <f>IF(G79="MOTOR",IF(AT79&lt;=15,"YES","NO"),"NA")</f>
        <v>NA</v>
      </c>
      <c r="AV79" s="354" t="str">
        <f>IF(U79="1C",CONCATENATE(AP79,"R x ",Y79,"kV x ",U79," x ",V79," Sqmm/Phase"),CONCATENATE(AP79,"R x ",0.6,"/1kV x ",U79," x ",V79," Sqmm"))</f>
        <v>2R x 0.6/1kV x 3.5C x 300 Sqmm</v>
      </c>
      <c r="AW79" s="354" t="str">
        <f t="shared" si="579"/>
        <v>2R x 0.6/1kV x 3.5C x 300 Sqmm</v>
      </c>
      <c r="AX79" s="343">
        <f>(IF(K79=400,(IF(U79="1C",(4*AH79*AP79),(AH79*AP79))),IF(K79=230,(AH79*AP79))))</f>
        <v>74</v>
      </c>
      <c r="AY79" s="355"/>
      <c r="AZ79" s="355">
        <f>IF(U79="1C",(3*AP79*2),(AP79*2))</f>
        <v>4</v>
      </c>
      <c r="BA79" s="356" t="str">
        <f t="shared" si="879"/>
        <v/>
      </c>
      <c r="BB79" s="501">
        <f>VLOOKUP(W79,'Catalogue Aluminium'!$B$9:$H$93,7,FALSE)</f>
        <v>64</v>
      </c>
      <c r="BC79" s="328">
        <f>AP79*BB79</f>
        <v>128</v>
      </c>
      <c r="BE79" s="336"/>
      <c r="BF79" s="336"/>
      <c r="BG79" s="336"/>
      <c r="BH79" s="336"/>
      <c r="BI79" s="336"/>
      <c r="BJ79" s="336"/>
      <c r="BK79" s="336"/>
      <c r="BL79" s="336"/>
      <c r="BM79" s="336"/>
      <c r="BN79" s="336"/>
      <c r="BO79" s="336"/>
      <c r="BP79" s="336"/>
      <c r="BQ79" s="336"/>
      <c r="BR79" s="336"/>
      <c r="BS79" s="336"/>
      <c r="BT79" s="336"/>
      <c r="BU79" s="336"/>
      <c r="BV79" s="336"/>
      <c r="BW79" s="336"/>
      <c r="BX79" s="336"/>
      <c r="BY79" s="336"/>
      <c r="BZ79" s="336"/>
      <c r="CA79" s="336"/>
      <c r="CB79" s="336"/>
      <c r="CC79" s="336"/>
      <c r="CD79" s="336"/>
      <c r="CE79" s="336"/>
      <c r="CF79" s="336"/>
      <c r="CG79" s="336"/>
      <c r="CH79" s="336"/>
      <c r="CI79" s="336"/>
      <c r="CJ79" s="336"/>
      <c r="CK79" s="336"/>
      <c r="CL79" s="336"/>
      <c r="CM79" s="336"/>
      <c r="CN79" s="336"/>
      <c r="CO79" s="336"/>
      <c r="CP79" s="336"/>
      <c r="CQ79" s="336"/>
      <c r="CR79" s="336"/>
      <c r="CS79" s="336"/>
      <c r="CT79" s="336"/>
      <c r="CU79" s="336"/>
      <c r="CV79" s="336"/>
      <c r="CW79" s="336"/>
      <c r="CX79" s="336"/>
      <c r="CY79" s="336"/>
      <c r="CZ79" s="336"/>
      <c r="DA79" s="336"/>
      <c r="DB79" s="336"/>
      <c r="DC79" s="336"/>
      <c r="DD79" s="336"/>
      <c r="DE79" s="336"/>
      <c r="DF79" s="336"/>
      <c r="DG79" s="336"/>
      <c r="DH79" s="336"/>
      <c r="DI79" s="336"/>
      <c r="DJ79" s="336"/>
      <c r="DK79" s="336"/>
      <c r="DL79" s="336"/>
      <c r="DM79" s="336"/>
      <c r="DN79" s="336"/>
      <c r="DO79" s="336"/>
      <c r="DP79" s="336"/>
      <c r="DQ79" s="336"/>
      <c r="DR79" s="336"/>
      <c r="DS79" s="336"/>
      <c r="DT79" s="336"/>
      <c r="DU79" s="336"/>
      <c r="DW79" s="336">
        <f t="shared" si="80"/>
        <v>0</v>
      </c>
      <c r="DX79" s="336">
        <f t="shared" si="1"/>
        <v>0</v>
      </c>
      <c r="DY79" s="336">
        <f t="shared" si="2"/>
        <v>0</v>
      </c>
      <c r="DZ79" s="336">
        <f t="shared" si="3"/>
        <v>0</v>
      </c>
      <c r="EA79" s="336">
        <f t="shared" si="4"/>
        <v>0</v>
      </c>
      <c r="EB79" s="336">
        <f t="shared" si="5"/>
        <v>0</v>
      </c>
      <c r="EC79" s="336">
        <f t="shared" si="6"/>
        <v>0</v>
      </c>
      <c r="ED79" s="336">
        <f t="shared" si="7"/>
        <v>0</v>
      </c>
      <c r="EE79" s="336">
        <f t="shared" si="8"/>
        <v>0</v>
      </c>
      <c r="EF79" s="336">
        <f t="shared" si="9"/>
        <v>0</v>
      </c>
      <c r="EG79" s="336">
        <f t="shared" si="10"/>
        <v>0</v>
      </c>
      <c r="EH79" s="336">
        <f t="shared" si="11"/>
        <v>0</v>
      </c>
      <c r="EI79" s="336">
        <f t="shared" si="12"/>
        <v>0</v>
      </c>
      <c r="EJ79" s="336">
        <f t="shared" si="13"/>
        <v>0</v>
      </c>
      <c r="EK79" s="336">
        <f t="shared" si="14"/>
        <v>0</v>
      </c>
      <c r="EL79" s="336">
        <f t="shared" si="15"/>
        <v>0</v>
      </c>
      <c r="EM79" s="336">
        <f t="shared" si="16"/>
        <v>0</v>
      </c>
      <c r="EN79" s="336">
        <f t="shared" si="17"/>
        <v>0</v>
      </c>
      <c r="EO79" s="336">
        <f t="shared" si="18"/>
        <v>0</v>
      </c>
      <c r="EP79" s="336">
        <f t="shared" si="19"/>
        <v>0</v>
      </c>
      <c r="EQ79" s="336">
        <f t="shared" si="20"/>
        <v>0</v>
      </c>
      <c r="ER79" s="336">
        <f t="shared" si="21"/>
        <v>0</v>
      </c>
      <c r="ES79" s="336">
        <f t="shared" si="22"/>
        <v>0</v>
      </c>
      <c r="ET79" s="336">
        <f t="shared" si="22"/>
        <v>0</v>
      </c>
      <c r="EU79" s="336">
        <f t="shared" si="23"/>
        <v>0</v>
      </c>
      <c r="EV79" s="336">
        <f t="shared" si="24"/>
        <v>0</v>
      </c>
      <c r="EW79" s="336">
        <f t="shared" si="25"/>
        <v>0</v>
      </c>
      <c r="EX79" s="336">
        <f t="shared" si="26"/>
        <v>0</v>
      </c>
      <c r="EY79" s="336">
        <f t="shared" si="27"/>
        <v>0</v>
      </c>
      <c r="EZ79" s="336">
        <f t="shared" si="28"/>
        <v>0</v>
      </c>
      <c r="FA79" s="336">
        <f t="shared" si="29"/>
        <v>0</v>
      </c>
      <c r="FB79" s="336">
        <f t="shared" si="30"/>
        <v>0</v>
      </c>
      <c r="FC79" s="336">
        <f t="shared" si="31"/>
        <v>0</v>
      </c>
      <c r="FD79" s="336">
        <f t="shared" si="32"/>
        <v>0</v>
      </c>
      <c r="FE79" s="336">
        <f t="shared" si="33"/>
        <v>0</v>
      </c>
      <c r="FF79" s="336">
        <f t="shared" si="34"/>
        <v>0</v>
      </c>
      <c r="FG79" s="336">
        <f t="shared" si="35"/>
        <v>0</v>
      </c>
      <c r="FH79" s="336">
        <f t="shared" si="36"/>
        <v>0</v>
      </c>
      <c r="FI79" s="336">
        <f t="shared" si="37"/>
        <v>0</v>
      </c>
      <c r="FJ79" s="336">
        <f t="shared" si="38"/>
        <v>0</v>
      </c>
      <c r="FK79" s="336">
        <f t="shared" si="39"/>
        <v>0</v>
      </c>
      <c r="FL79" s="336">
        <f t="shared" si="40"/>
        <v>0</v>
      </c>
      <c r="FM79" s="336">
        <f t="shared" si="41"/>
        <v>0</v>
      </c>
      <c r="FN79" s="336">
        <f t="shared" si="42"/>
        <v>0</v>
      </c>
      <c r="FO79" s="336">
        <f t="shared" si="43"/>
        <v>0</v>
      </c>
      <c r="FP79" s="336">
        <f t="shared" si="44"/>
        <v>0</v>
      </c>
      <c r="FQ79" s="336">
        <f t="shared" si="45"/>
        <v>0</v>
      </c>
      <c r="FR79" s="336">
        <f t="shared" si="46"/>
        <v>0</v>
      </c>
      <c r="FS79" s="336">
        <f t="shared" si="47"/>
        <v>0</v>
      </c>
      <c r="FT79" s="336">
        <f t="shared" si="48"/>
        <v>0</v>
      </c>
      <c r="FU79" s="336">
        <f t="shared" si="553"/>
        <v>0</v>
      </c>
      <c r="FV79" s="336">
        <f t="shared" si="554"/>
        <v>0</v>
      </c>
      <c r="FW79" s="336">
        <f t="shared" si="555"/>
        <v>0</v>
      </c>
      <c r="FX79" s="336">
        <f t="shared" si="556"/>
        <v>0</v>
      </c>
      <c r="FY79" s="336">
        <f t="shared" si="53"/>
        <v>0</v>
      </c>
      <c r="FZ79" s="336">
        <f t="shared" si="54"/>
        <v>0</v>
      </c>
      <c r="GA79" s="336">
        <f t="shared" si="55"/>
        <v>0</v>
      </c>
      <c r="GB79" s="336">
        <f t="shared" si="56"/>
        <v>0</v>
      </c>
      <c r="GC79" s="336">
        <f t="shared" si="57"/>
        <v>0</v>
      </c>
      <c r="GD79" s="336">
        <f t="shared" si="58"/>
        <v>0</v>
      </c>
      <c r="GE79" s="336">
        <f t="shared" si="59"/>
        <v>0</v>
      </c>
      <c r="GF79" s="336">
        <f t="shared" si="60"/>
        <v>0</v>
      </c>
      <c r="GG79" s="336">
        <f t="shared" si="61"/>
        <v>0</v>
      </c>
      <c r="GH79" s="336">
        <f t="shared" si="62"/>
        <v>0</v>
      </c>
      <c r="GI79" s="336">
        <f t="shared" si="63"/>
        <v>0</v>
      </c>
      <c r="GJ79" s="336">
        <f t="shared" si="64"/>
        <v>0</v>
      </c>
      <c r="GK79" s="336">
        <f t="shared" si="65"/>
        <v>0</v>
      </c>
      <c r="GL79" s="336">
        <f t="shared" si="557"/>
        <v>0</v>
      </c>
      <c r="GM79" s="336">
        <f t="shared" si="66"/>
        <v>0</v>
      </c>
    </row>
    <row r="80" spans="1:195" ht="24.75" customHeight="1">
      <c r="A80" s="337">
        <f t="shared" si="882"/>
        <v>57</v>
      </c>
      <c r="B80" s="337" t="s">
        <v>1167</v>
      </c>
      <c r="C80" s="372" t="str">
        <f t="shared" si="868"/>
        <v>PMCC-2</v>
      </c>
      <c r="D80" s="372" t="s">
        <v>1169</v>
      </c>
      <c r="E80" s="569" t="s">
        <v>419</v>
      </c>
      <c r="F80" s="337" t="s">
        <v>29</v>
      </c>
      <c r="G80" s="337" t="s">
        <v>329</v>
      </c>
      <c r="H80" s="350">
        <v>301.13705824893941</v>
      </c>
      <c r="I80" s="337" t="s">
        <v>330</v>
      </c>
      <c r="J80" s="337" t="s">
        <v>331</v>
      </c>
      <c r="K80" s="349">
        <v>400</v>
      </c>
      <c r="L80" s="343">
        <v>0.85</v>
      </c>
      <c r="M80" s="350">
        <v>0.95</v>
      </c>
      <c r="N80" s="342">
        <f t="shared" si="869"/>
        <v>538.28687865804034</v>
      </c>
      <c r="O80" s="342">
        <f t="shared" si="870"/>
        <v>0</v>
      </c>
      <c r="P80" s="343" t="str">
        <f t="shared" si="871"/>
        <v>0.00</v>
      </c>
      <c r="Q80" s="350">
        <v>65</v>
      </c>
      <c r="R80" s="350">
        <v>0</v>
      </c>
      <c r="S80" s="350">
        <f t="shared" si="872"/>
        <v>0</v>
      </c>
      <c r="T80" s="343" t="s">
        <v>332</v>
      </c>
      <c r="U80" s="418" t="s">
        <v>535</v>
      </c>
      <c r="V80" s="401">
        <v>300</v>
      </c>
      <c r="W80" s="343" t="str">
        <f t="shared" si="880"/>
        <v>3.5C X 300</v>
      </c>
      <c r="X80" s="343" t="str">
        <f>(IF(J80="1Ph",W80,IF(J80="3Ph",(IF(G80="MOTOR",(CONCATENATE(W80,"+PE")),W80)))))</f>
        <v>3.5C X 300</v>
      </c>
      <c r="Y80" s="343" t="s">
        <v>358</v>
      </c>
      <c r="Z80" s="344">
        <f>IF(T80="AIR",VLOOKUP(W80,'Catalogue Aluminium'!$B$9:$G$93,2,FALSE),IF(T80="GROUND",VLOOKUP(W80,'Catalogue Aluminium'!$B$9:$G$93,3,FALSE),IF(T80="DUCT",VLOOKUP(W80,'Catalogue Aluminium'!$B$9:$G$93,4,FALSE),IF(T80="TRENCH",VLOOKUP(W80,'Catalogue Aluminium'!$B$9:$G$93,2,FALSE)))))</f>
        <v>459</v>
      </c>
      <c r="AA80" s="345">
        <f>VLOOKUP(W80,'Catalogue Aluminium'!$B$9:$G$93,5,FALSE)</f>
        <v>0.128</v>
      </c>
      <c r="AB80" s="345">
        <f>VLOOKUP(W80,'Catalogue Aluminium'!$B$9:$G$93,6,FALSE)</f>
        <v>7.1099999999999997E-2</v>
      </c>
      <c r="AC80" s="343">
        <f>9.5+2.5</f>
        <v>12</v>
      </c>
      <c r="AD80" s="343">
        <v>0</v>
      </c>
      <c r="AE80" s="343">
        <v>5</v>
      </c>
      <c r="AF80" s="343">
        <v>8</v>
      </c>
      <c r="AG80" s="343">
        <f t="shared" si="134"/>
        <v>3</v>
      </c>
      <c r="AH80" s="347">
        <f t="shared" si="874"/>
        <v>28</v>
      </c>
      <c r="AI80" s="344">
        <f>IF(T80="AIR",'Catalogue Aluminium'!$K$9,IF(T80="TRENCH",'Catalogue Aluminium'!$K$12,"NA"))</f>
        <v>0.89</v>
      </c>
      <c r="AJ80" s="342">
        <f>IF(T80="Air",(IF(U80="1C",'Catalogue Aluminium'!$L$9,'Catalogue Aluminium'!$M$9)),IF(T80="DUCT",(IF($U80="1C",'Catalogue Aluminium'!$L$10,'Catalogue Aluminium'!$M$10)),IF(T80="GROUND",(IF($U80="1C",'Catalogue Aluminium'!$L$11,'Catalogue Aluminium'!$M$11)),IF(T80="TRENCH",(IF($U80="1C",'Catalogue Aluminium'!$L$12,'Catalogue Aluminium'!$M$12))))))</f>
        <v>0.66</v>
      </c>
      <c r="AK80" s="344" t="str">
        <f>IF(T80="Air",'Catalogue Aluminium'!$N$9,IF(T80="GROUND",'Catalogue Aluminium'!$N$10,IF(T80="DUCT",'Catalogue Aluminium'!$N$11,IF(T80="TRENCH",'Catalogue Aluminium'!$N$12,"NA"))))</f>
        <v>NA</v>
      </c>
      <c r="AL80" s="344" t="str">
        <f>IF(T80="Air",(IF(U80="1C",'Catalogue Aluminium'!$O$9,'Catalogue Aluminium'!$P$9)),IF(T80="DUCT",(IF($U80="1C",'Catalogue Aluminium'!$O$10,'Catalogue Aluminium'!$P$10)),IF(T80="GROUND",(IF($U80="1C",'Catalogue Aluminium'!$O$11,'Catalogue Aluminium'!$P$11)),IF(T80="TRENCH",(IF($U80="1C",'Catalogue Aluminium'!$O$12,'Catalogue Aluminium'!$P$12))))))</f>
        <v>NA</v>
      </c>
      <c r="AM80" s="344" t="str">
        <f>IF(T80="AIR","NA",IF(T80="TRENCH","NA",IF(T80="DUCT",IF(U80="1C",VLOOKUP(V80,'Catalogue Aluminium'!$Q$9:$S$28,2,FALSE),VLOOKUP(V80,'Catalogue Aluminium'!$Q$9:$S$28,3)),IF(T80="GROUND",IF(U80="1C",VLOOKUP(V80,'Catalogue Aluminium'!$Q$9:$S$28,2,FALSE),VLOOKUP(V80,'Catalogue Aluminium'!$Q$9:$S$28,3))))))</f>
        <v>NA</v>
      </c>
      <c r="AN80" s="351">
        <f t="shared" si="875"/>
        <v>0.58740000000000003</v>
      </c>
      <c r="AO80" s="350">
        <f t="shared" si="876"/>
        <v>269.61660000000001</v>
      </c>
      <c r="AP80" s="434">
        <f t="shared" si="877"/>
        <v>2</v>
      </c>
      <c r="AQ80" s="350" t="str">
        <f t="shared" si="878"/>
        <v>YES</v>
      </c>
      <c r="AR80" s="351">
        <f t="shared" si="136"/>
        <v>0.47725551718428721</v>
      </c>
      <c r="AS80" s="343" t="str">
        <f t="shared" si="137"/>
        <v>YES</v>
      </c>
      <c r="AT80" s="351" t="str">
        <f>IF(G80="MOTOR",(SQRT(3)*AH80*O80*((AA80*P80)+(AB80*SIN(ACOS(P80))))*100/(AP80*K80*1000)),"NA")</f>
        <v>NA</v>
      </c>
      <c r="AU80" s="343" t="str">
        <f>IF(G80="MOTOR",IF(AT80&lt;=15,"YES","NO"),"NA")</f>
        <v>NA</v>
      </c>
      <c r="AV80" s="354" t="str">
        <f>IF(U80="1C",CONCATENATE(AP80,"R x ",Y80,"kV x ",U80," x ",V80," Sqmm/Phase"),CONCATENATE(AP80,"R x ",0.6,"/1kV x ",U80," x ",V80," Sqmm"))</f>
        <v>2R x 0.6/1kV x 3.5C x 300 Sqmm</v>
      </c>
      <c r="AW80" s="354" t="str">
        <f t="shared" si="579"/>
        <v>2R x 0.6/1kV x 3.5C x 300 Sqmm</v>
      </c>
      <c r="AX80" s="343">
        <f>(IF(K80=400,(IF(U80="1C",(4*AH80*AP80),(AH80*AP80))),IF(K80=230,(AH80*AP80))))</f>
        <v>56</v>
      </c>
      <c r="AY80" s="355"/>
      <c r="AZ80" s="355">
        <f>IF(U80="1C",(3*AP80*2),(AP80*2))</f>
        <v>4</v>
      </c>
      <c r="BA80" s="356" t="str">
        <f t="shared" si="879"/>
        <v/>
      </c>
      <c r="BB80" s="501">
        <f>VLOOKUP(W80,'Catalogue Aluminium'!$B$9:$H$93,7,FALSE)</f>
        <v>64</v>
      </c>
      <c r="BC80" s="328">
        <f>AP80*BB80</f>
        <v>128</v>
      </c>
      <c r="BE80" s="336"/>
      <c r="BF80" s="336"/>
      <c r="BG80" s="336"/>
      <c r="BH80" s="336"/>
      <c r="BI80" s="336"/>
      <c r="BJ80" s="336"/>
      <c r="BK80" s="336"/>
      <c r="BL80" s="336"/>
      <c r="BM80" s="336"/>
      <c r="BN80" s="336"/>
      <c r="BO80" s="336"/>
      <c r="BP80" s="336"/>
      <c r="BQ80" s="336"/>
      <c r="BR80" s="336"/>
      <c r="BS80" s="336"/>
      <c r="BT80" s="336"/>
      <c r="BU80" s="336"/>
      <c r="BV80" s="336"/>
      <c r="BW80" s="336"/>
      <c r="BX80" s="336"/>
      <c r="BY80" s="336"/>
      <c r="BZ80" s="336"/>
      <c r="CA80" s="336"/>
      <c r="CB80" s="336"/>
      <c r="CC80" s="336"/>
      <c r="CD80" s="336"/>
      <c r="CE80" s="336"/>
      <c r="CF80" s="336"/>
      <c r="CG80" s="336"/>
      <c r="CH80" s="336"/>
      <c r="CI80" s="336"/>
      <c r="CJ80" s="336"/>
      <c r="CK80" s="336"/>
      <c r="CL80" s="336"/>
      <c r="CM80" s="336"/>
      <c r="CN80" s="336"/>
      <c r="CO80" s="336"/>
      <c r="CP80" s="336"/>
      <c r="CQ80" s="336"/>
      <c r="CR80" s="336"/>
      <c r="CS80" s="336"/>
      <c r="CT80" s="336"/>
      <c r="CU80" s="336"/>
      <c r="CV80" s="336"/>
      <c r="CW80" s="336"/>
      <c r="CX80" s="336"/>
      <c r="CY80" s="336"/>
      <c r="CZ80" s="336"/>
      <c r="DA80" s="336"/>
      <c r="DB80" s="336"/>
      <c r="DC80" s="336"/>
      <c r="DD80" s="336"/>
      <c r="DE80" s="336"/>
      <c r="DF80" s="336"/>
      <c r="DG80" s="336"/>
      <c r="DH80" s="336"/>
      <c r="DI80" s="336"/>
      <c r="DJ80" s="336"/>
      <c r="DK80" s="336"/>
      <c r="DL80" s="336"/>
      <c r="DM80" s="336"/>
      <c r="DN80" s="336"/>
      <c r="DO80" s="336"/>
      <c r="DP80" s="336"/>
      <c r="DQ80" s="336"/>
      <c r="DR80" s="336"/>
      <c r="DS80" s="336"/>
      <c r="DT80" s="336"/>
      <c r="DU80" s="336"/>
      <c r="DW80" s="336">
        <f t="shared" si="80"/>
        <v>0</v>
      </c>
      <c r="DX80" s="336">
        <f t="shared" si="1"/>
        <v>0</v>
      </c>
      <c r="DY80" s="336">
        <f t="shared" si="2"/>
        <v>0</v>
      </c>
      <c r="DZ80" s="336">
        <f t="shared" si="3"/>
        <v>0</v>
      </c>
      <c r="EA80" s="336">
        <f t="shared" si="4"/>
        <v>0</v>
      </c>
      <c r="EB80" s="336">
        <f t="shared" si="5"/>
        <v>0</v>
      </c>
      <c r="EC80" s="336">
        <f t="shared" si="6"/>
        <v>0</v>
      </c>
      <c r="ED80" s="336">
        <f t="shared" si="7"/>
        <v>0</v>
      </c>
      <c r="EE80" s="336">
        <f t="shared" si="8"/>
        <v>0</v>
      </c>
      <c r="EF80" s="336">
        <f t="shared" si="9"/>
        <v>0</v>
      </c>
      <c r="EG80" s="336">
        <f t="shared" si="10"/>
        <v>0</v>
      </c>
      <c r="EH80" s="336">
        <f t="shared" si="11"/>
        <v>0</v>
      </c>
      <c r="EI80" s="336">
        <f t="shared" si="12"/>
        <v>0</v>
      </c>
      <c r="EJ80" s="336">
        <f t="shared" si="13"/>
        <v>0</v>
      </c>
      <c r="EK80" s="336">
        <f t="shared" si="14"/>
        <v>0</v>
      </c>
      <c r="EL80" s="336">
        <f t="shared" si="15"/>
        <v>0</v>
      </c>
      <c r="EM80" s="336">
        <f t="shared" si="16"/>
        <v>0</v>
      </c>
      <c r="EN80" s="336">
        <f t="shared" si="17"/>
        <v>0</v>
      </c>
      <c r="EO80" s="336">
        <f t="shared" si="18"/>
        <v>0</v>
      </c>
      <c r="EP80" s="336">
        <f t="shared" si="19"/>
        <v>0</v>
      </c>
      <c r="EQ80" s="336">
        <f t="shared" si="20"/>
        <v>0</v>
      </c>
      <c r="ER80" s="336">
        <f t="shared" si="21"/>
        <v>0</v>
      </c>
      <c r="ES80" s="336">
        <f t="shared" si="22"/>
        <v>0</v>
      </c>
      <c r="ET80" s="336">
        <f t="shared" si="22"/>
        <v>0</v>
      </c>
      <c r="EU80" s="336">
        <f t="shared" si="23"/>
        <v>0</v>
      </c>
      <c r="EV80" s="336">
        <f t="shared" si="24"/>
        <v>0</v>
      </c>
      <c r="EW80" s="336">
        <f t="shared" si="25"/>
        <v>0</v>
      </c>
      <c r="EX80" s="336">
        <f t="shared" si="26"/>
        <v>0</v>
      </c>
      <c r="EY80" s="336">
        <f t="shared" si="27"/>
        <v>0</v>
      </c>
      <c r="EZ80" s="336">
        <f t="shared" si="28"/>
        <v>0</v>
      </c>
      <c r="FA80" s="336">
        <f t="shared" si="29"/>
        <v>0</v>
      </c>
      <c r="FB80" s="336">
        <f t="shared" si="30"/>
        <v>0</v>
      </c>
      <c r="FC80" s="336">
        <f t="shared" si="31"/>
        <v>0</v>
      </c>
      <c r="FD80" s="336">
        <f t="shared" si="32"/>
        <v>0</v>
      </c>
      <c r="FE80" s="336">
        <f t="shared" si="33"/>
        <v>0</v>
      </c>
      <c r="FF80" s="336">
        <f t="shared" si="34"/>
        <v>0</v>
      </c>
      <c r="FG80" s="336">
        <f t="shared" si="35"/>
        <v>0</v>
      </c>
      <c r="FH80" s="336">
        <f t="shared" si="36"/>
        <v>0</v>
      </c>
      <c r="FI80" s="336">
        <f t="shared" si="37"/>
        <v>0</v>
      </c>
      <c r="FJ80" s="336">
        <f t="shared" si="38"/>
        <v>0</v>
      </c>
      <c r="FK80" s="336">
        <f t="shared" si="39"/>
        <v>0</v>
      </c>
      <c r="FL80" s="336">
        <f t="shared" si="40"/>
        <v>0</v>
      </c>
      <c r="FM80" s="336">
        <f t="shared" si="41"/>
        <v>0</v>
      </c>
      <c r="FN80" s="336">
        <f t="shared" si="42"/>
        <v>0</v>
      </c>
      <c r="FO80" s="336">
        <f t="shared" si="43"/>
        <v>0</v>
      </c>
      <c r="FP80" s="336">
        <f t="shared" si="44"/>
        <v>0</v>
      </c>
      <c r="FQ80" s="336">
        <f t="shared" si="45"/>
        <v>0</v>
      </c>
      <c r="FR80" s="336">
        <f t="shared" si="46"/>
        <v>0</v>
      </c>
      <c r="FS80" s="336">
        <f t="shared" si="47"/>
        <v>0</v>
      </c>
      <c r="FT80" s="336">
        <f t="shared" si="48"/>
        <v>0</v>
      </c>
      <c r="FU80" s="336">
        <f t="shared" si="553"/>
        <v>0</v>
      </c>
      <c r="FV80" s="336">
        <f t="shared" si="554"/>
        <v>0</v>
      </c>
      <c r="FW80" s="336">
        <f t="shared" si="555"/>
        <v>0</v>
      </c>
      <c r="FX80" s="336">
        <f t="shared" si="556"/>
        <v>0</v>
      </c>
      <c r="FY80" s="336">
        <f t="shared" si="53"/>
        <v>0</v>
      </c>
      <c r="FZ80" s="336">
        <f t="shared" si="54"/>
        <v>0</v>
      </c>
      <c r="GA80" s="336">
        <f t="shared" si="55"/>
        <v>0</v>
      </c>
      <c r="GB80" s="336">
        <f t="shared" si="56"/>
        <v>0</v>
      </c>
      <c r="GC80" s="336">
        <f t="shared" si="57"/>
        <v>0</v>
      </c>
      <c r="GD80" s="336">
        <f t="shared" si="58"/>
        <v>0</v>
      </c>
      <c r="GE80" s="336">
        <f t="shared" si="59"/>
        <v>0</v>
      </c>
      <c r="GF80" s="336">
        <f t="shared" si="60"/>
        <v>0</v>
      </c>
      <c r="GG80" s="336">
        <f t="shared" si="61"/>
        <v>0</v>
      </c>
      <c r="GH80" s="336">
        <f t="shared" si="62"/>
        <v>0</v>
      </c>
      <c r="GI80" s="336">
        <f t="shared" si="63"/>
        <v>0</v>
      </c>
      <c r="GJ80" s="336">
        <f t="shared" si="64"/>
        <v>0</v>
      </c>
      <c r="GK80" s="336">
        <f t="shared" si="65"/>
        <v>0</v>
      </c>
      <c r="GL80" s="336">
        <f t="shared" si="557"/>
        <v>0</v>
      </c>
      <c r="GM80" s="336">
        <f t="shared" si="66"/>
        <v>0</v>
      </c>
    </row>
    <row r="81" spans="1:195" ht="20.100000000000001" customHeight="1">
      <c r="A81" s="337">
        <f t="shared" si="882"/>
        <v>58</v>
      </c>
      <c r="B81" s="337" t="s">
        <v>1170</v>
      </c>
      <c r="C81" s="372" t="str">
        <f t="shared" si="868"/>
        <v>PMCC-2</v>
      </c>
      <c r="D81" s="372" t="s">
        <v>1171</v>
      </c>
      <c r="E81" s="569" t="s">
        <v>419</v>
      </c>
      <c r="F81" s="337" t="s">
        <v>28</v>
      </c>
      <c r="G81" s="340" t="s">
        <v>337</v>
      </c>
      <c r="H81" s="350">
        <v>3150</v>
      </c>
      <c r="I81" s="337" t="s">
        <v>414</v>
      </c>
      <c r="J81" s="337" t="s">
        <v>331</v>
      </c>
      <c r="K81" s="349">
        <v>400</v>
      </c>
      <c r="L81" s="343">
        <v>0.85544407501889297</v>
      </c>
      <c r="M81" s="350">
        <v>0.91530769230769315</v>
      </c>
      <c r="N81" s="342">
        <f t="shared" si="869"/>
        <v>4967.4735412586306</v>
      </c>
      <c r="O81" s="924" t="s">
        <v>630</v>
      </c>
      <c r="P81" s="925"/>
      <c r="Q81" s="925"/>
      <c r="R81" s="925"/>
      <c r="S81" s="925"/>
      <c r="T81" s="925"/>
      <c r="U81" s="925"/>
      <c r="V81" s="925"/>
      <c r="W81" s="925"/>
      <c r="X81" s="925"/>
      <c r="Y81" s="925"/>
      <c r="Z81" s="925"/>
      <c r="AA81" s="925"/>
      <c r="AB81" s="925"/>
      <c r="AC81" s="925"/>
      <c r="AD81" s="925"/>
      <c r="AE81" s="925"/>
      <c r="AF81" s="925"/>
      <c r="AG81" s="925"/>
      <c r="AH81" s="925"/>
      <c r="AI81" s="925"/>
      <c r="AJ81" s="925"/>
      <c r="AK81" s="925"/>
      <c r="AL81" s="925"/>
      <c r="AM81" s="925"/>
      <c r="AN81" s="925"/>
      <c r="AO81" s="925"/>
      <c r="AP81" s="925"/>
      <c r="AQ81" s="925"/>
      <c r="AR81" s="925"/>
      <c r="AS81" s="925"/>
      <c r="AT81" s="925"/>
      <c r="AU81" s="925"/>
      <c r="AV81" s="925"/>
      <c r="AW81" s="925"/>
      <c r="AX81" s="925"/>
      <c r="AY81" s="925"/>
      <c r="AZ81" s="925"/>
      <c r="BA81" s="925"/>
      <c r="BB81" s="925"/>
      <c r="BC81" s="1019"/>
      <c r="BE81" s="336"/>
      <c r="BF81" s="336"/>
      <c r="BG81" s="336"/>
      <c r="BH81" s="336"/>
      <c r="BI81" s="336"/>
      <c r="BJ81" s="336"/>
      <c r="BK81" s="336"/>
      <c r="BL81" s="336"/>
      <c r="BM81" s="336"/>
      <c r="BN81" s="336"/>
      <c r="BO81" s="336"/>
      <c r="BP81" s="336"/>
      <c r="BQ81" s="336"/>
      <c r="BR81" s="336"/>
      <c r="BS81" s="336"/>
      <c r="BT81" s="336"/>
      <c r="BU81" s="336"/>
      <c r="BV81" s="336"/>
      <c r="BW81" s="336"/>
      <c r="BX81" s="336"/>
      <c r="BY81" s="336"/>
      <c r="BZ81" s="336"/>
      <c r="CA81" s="336"/>
      <c r="CB81" s="336"/>
      <c r="CC81" s="336"/>
      <c r="CD81" s="336"/>
      <c r="CE81" s="336"/>
      <c r="CF81" s="336"/>
      <c r="CG81" s="336"/>
      <c r="CH81" s="336"/>
      <c r="CI81" s="336"/>
      <c r="CJ81" s="336"/>
      <c r="CK81" s="336"/>
      <c r="CL81" s="336"/>
      <c r="CM81" s="336"/>
      <c r="CN81" s="336"/>
      <c r="CO81" s="336"/>
      <c r="CP81" s="336"/>
      <c r="CQ81" s="336"/>
      <c r="CR81" s="336"/>
      <c r="CS81" s="336"/>
      <c r="CT81" s="336"/>
      <c r="CU81" s="336"/>
      <c r="CV81" s="336"/>
      <c r="CW81" s="336"/>
      <c r="CX81" s="336"/>
      <c r="CY81" s="336"/>
      <c r="CZ81" s="336"/>
      <c r="DA81" s="336"/>
      <c r="DB81" s="336"/>
      <c r="DC81" s="336"/>
      <c r="DD81" s="336"/>
      <c r="DE81" s="336"/>
      <c r="DF81" s="336"/>
      <c r="DG81" s="336"/>
      <c r="DH81" s="336"/>
      <c r="DI81" s="336"/>
      <c r="DJ81" s="336"/>
      <c r="DK81" s="336"/>
      <c r="DL81" s="336"/>
      <c r="DM81" s="336"/>
      <c r="DN81" s="336"/>
      <c r="DO81" s="336"/>
      <c r="DP81" s="336"/>
      <c r="DQ81" s="336"/>
      <c r="DR81" s="336"/>
      <c r="DS81" s="336"/>
      <c r="DT81" s="336"/>
      <c r="DU81" s="336"/>
      <c r="DW81" s="336">
        <f t="shared" si="80"/>
        <v>0</v>
      </c>
      <c r="DX81" s="336">
        <f t="shared" si="1"/>
        <v>0</v>
      </c>
      <c r="DY81" s="336">
        <f t="shared" si="2"/>
        <v>0</v>
      </c>
      <c r="DZ81" s="336">
        <f t="shared" si="3"/>
        <v>0</v>
      </c>
      <c r="EA81" s="336">
        <f t="shared" si="4"/>
        <v>0</v>
      </c>
      <c r="EB81" s="336">
        <f t="shared" si="5"/>
        <v>0</v>
      </c>
      <c r="EC81" s="336">
        <f t="shared" si="6"/>
        <v>0</v>
      </c>
      <c r="ED81" s="336">
        <f t="shared" si="7"/>
        <v>0</v>
      </c>
      <c r="EE81" s="336">
        <f t="shared" si="8"/>
        <v>0</v>
      </c>
      <c r="EF81" s="336">
        <f t="shared" si="9"/>
        <v>0</v>
      </c>
      <c r="EG81" s="336">
        <f t="shared" si="10"/>
        <v>0</v>
      </c>
      <c r="EH81" s="336">
        <f t="shared" si="11"/>
        <v>0</v>
      </c>
      <c r="EI81" s="336">
        <f t="shared" si="12"/>
        <v>0</v>
      </c>
      <c r="EJ81" s="336">
        <f t="shared" si="13"/>
        <v>0</v>
      </c>
      <c r="EK81" s="336">
        <f t="shared" si="14"/>
        <v>0</v>
      </c>
      <c r="EL81" s="336">
        <f t="shared" si="15"/>
        <v>0</v>
      </c>
      <c r="EM81" s="336">
        <f t="shared" si="16"/>
        <v>0</v>
      </c>
      <c r="EN81" s="336">
        <f t="shared" si="17"/>
        <v>0</v>
      </c>
      <c r="EO81" s="336">
        <f t="shared" si="18"/>
        <v>0</v>
      </c>
      <c r="EP81" s="336">
        <f t="shared" si="19"/>
        <v>0</v>
      </c>
      <c r="EQ81" s="336">
        <f t="shared" si="20"/>
        <v>0</v>
      </c>
      <c r="ER81" s="336">
        <f t="shared" si="21"/>
        <v>0</v>
      </c>
      <c r="ES81" s="336">
        <f t="shared" si="22"/>
        <v>0</v>
      </c>
      <c r="ET81" s="336">
        <f t="shared" si="22"/>
        <v>0</v>
      </c>
      <c r="EU81" s="336">
        <f t="shared" si="23"/>
        <v>0</v>
      </c>
      <c r="EV81" s="336">
        <f t="shared" si="24"/>
        <v>0</v>
      </c>
      <c r="EW81" s="336">
        <f t="shared" si="25"/>
        <v>0</v>
      </c>
      <c r="EX81" s="336">
        <f t="shared" si="26"/>
        <v>0</v>
      </c>
      <c r="EY81" s="336">
        <f t="shared" si="27"/>
        <v>0</v>
      </c>
      <c r="EZ81" s="336">
        <f t="shared" si="28"/>
        <v>0</v>
      </c>
      <c r="FA81" s="336">
        <f t="shared" si="29"/>
        <v>0</v>
      </c>
      <c r="FB81" s="336">
        <f t="shared" si="30"/>
        <v>0</v>
      </c>
      <c r="FC81" s="336">
        <f t="shared" si="31"/>
        <v>0</v>
      </c>
      <c r="FD81" s="336">
        <f t="shared" si="32"/>
        <v>0</v>
      </c>
      <c r="FE81" s="336">
        <f t="shared" si="33"/>
        <v>0</v>
      </c>
      <c r="FF81" s="336">
        <f t="shared" si="34"/>
        <v>0</v>
      </c>
      <c r="FG81" s="336">
        <f t="shared" si="35"/>
        <v>0</v>
      </c>
      <c r="FH81" s="336">
        <f t="shared" si="36"/>
        <v>0</v>
      </c>
      <c r="FI81" s="336">
        <f t="shared" si="37"/>
        <v>0</v>
      </c>
      <c r="FJ81" s="336">
        <f t="shared" si="38"/>
        <v>0</v>
      </c>
      <c r="FK81" s="336">
        <f t="shared" si="39"/>
        <v>0</v>
      </c>
      <c r="FL81" s="336">
        <f t="shared" si="40"/>
        <v>0</v>
      </c>
      <c r="FM81" s="336">
        <f t="shared" si="41"/>
        <v>0</v>
      </c>
      <c r="FN81" s="336">
        <f t="shared" si="42"/>
        <v>0</v>
      </c>
      <c r="FO81" s="336">
        <f t="shared" si="43"/>
        <v>0</v>
      </c>
      <c r="FP81" s="336">
        <f t="shared" si="44"/>
        <v>0</v>
      </c>
      <c r="FQ81" s="336">
        <f t="shared" si="45"/>
        <v>0</v>
      </c>
      <c r="FR81" s="336">
        <f t="shared" si="46"/>
        <v>0</v>
      </c>
      <c r="FS81" s="336">
        <f t="shared" si="47"/>
        <v>0</v>
      </c>
      <c r="FT81" s="336">
        <f t="shared" si="48"/>
        <v>0</v>
      </c>
      <c r="FU81" s="336">
        <f t="shared" si="553"/>
        <v>0</v>
      </c>
      <c r="FV81" s="336">
        <f t="shared" si="554"/>
        <v>0</v>
      </c>
      <c r="FW81" s="336">
        <f t="shared" si="555"/>
        <v>0</v>
      </c>
      <c r="FX81" s="336">
        <f t="shared" si="556"/>
        <v>0</v>
      </c>
      <c r="FY81" s="336">
        <f t="shared" si="53"/>
        <v>0</v>
      </c>
      <c r="FZ81" s="336">
        <f t="shared" si="54"/>
        <v>0</v>
      </c>
      <c r="GA81" s="336">
        <f t="shared" si="55"/>
        <v>0</v>
      </c>
      <c r="GB81" s="336">
        <f t="shared" si="56"/>
        <v>0</v>
      </c>
      <c r="GC81" s="336">
        <f t="shared" si="57"/>
        <v>0</v>
      </c>
      <c r="GD81" s="336">
        <f t="shared" si="58"/>
        <v>0</v>
      </c>
      <c r="GE81" s="336">
        <f t="shared" si="59"/>
        <v>0</v>
      </c>
      <c r="GF81" s="336">
        <f t="shared" si="60"/>
        <v>0</v>
      </c>
      <c r="GG81" s="336">
        <f t="shared" si="61"/>
        <v>0</v>
      </c>
      <c r="GH81" s="336">
        <f t="shared" si="62"/>
        <v>0</v>
      </c>
      <c r="GI81" s="336">
        <f t="shared" si="63"/>
        <v>0</v>
      </c>
      <c r="GJ81" s="336">
        <f t="shared" si="64"/>
        <v>0</v>
      </c>
      <c r="GK81" s="336">
        <f t="shared" si="65"/>
        <v>0</v>
      </c>
      <c r="GL81" s="336">
        <f t="shared" si="557"/>
        <v>0</v>
      </c>
      <c r="GM81" s="336">
        <f t="shared" si="66"/>
        <v>0</v>
      </c>
    </row>
    <row r="82" spans="1:195" ht="20.100000000000001" customHeight="1">
      <c r="A82" s="337">
        <f t="shared" si="882"/>
        <v>59</v>
      </c>
      <c r="B82" s="337" t="s">
        <v>1170</v>
      </c>
      <c r="C82" s="372" t="str">
        <f t="shared" si="868"/>
        <v>PMCC-2</v>
      </c>
      <c r="D82" s="372" t="s">
        <v>1172</v>
      </c>
      <c r="E82" s="569" t="s">
        <v>419</v>
      </c>
      <c r="F82" s="337" t="s">
        <v>29</v>
      </c>
      <c r="G82" s="340" t="s">
        <v>337</v>
      </c>
      <c r="H82" s="350">
        <v>3150</v>
      </c>
      <c r="I82" s="337" t="s">
        <v>414</v>
      </c>
      <c r="J82" s="337" t="s">
        <v>331</v>
      </c>
      <c r="K82" s="349">
        <v>400</v>
      </c>
      <c r="L82" s="343">
        <v>0.85544407501889297</v>
      </c>
      <c r="M82" s="350">
        <v>0.91530769230769315</v>
      </c>
      <c r="N82" s="342">
        <f t="shared" si="869"/>
        <v>4967.4735412586306</v>
      </c>
      <c r="O82" s="924" t="s">
        <v>630</v>
      </c>
      <c r="P82" s="925"/>
      <c r="Q82" s="925"/>
      <c r="R82" s="925"/>
      <c r="S82" s="925"/>
      <c r="T82" s="925"/>
      <c r="U82" s="925"/>
      <c r="V82" s="925"/>
      <c r="W82" s="925"/>
      <c r="X82" s="925"/>
      <c r="Y82" s="925"/>
      <c r="Z82" s="925"/>
      <c r="AA82" s="925"/>
      <c r="AB82" s="925"/>
      <c r="AC82" s="925"/>
      <c r="AD82" s="925"/>
      <c r="AE82" s="925"/>
      <c r="AF82" s="925"/>
      <c r="AG82" s="925"/>
      <c r="AH82" s="925"/>
      <c r="AI82" s="925"/>
      <c r="AJ82" s="925"/>
      <c r="AK82" s="925"/>
      <c r="AL82" s="925"/>
      <c r="AM82" s="925"/>
      <c r="AN82" s="925"/>
      <c r="AO82" s="925"/>
      <c r="AP82" s="925"/>
      <c r="AQ82" s="925"/>
      <c r="AR82" s="925"/>
      <c r="AS82" s="925"/>
      <c r="AT82" s="925"/>
      <c r="AU82" s="925"/>
      <c r="AV82" s="925"/>
      <c r="AW82" s="925"/>
      <c r="AX82" s="925"/>
      <c r="AY82" s="925"/>
      <c r="AZ82" s="925"/>
      <c r="BA82" s="925"/>
      <c r="BB82" s="925"/>
      <c r="BC82" s="1019"/>
      <c r="BE82" s="336"/>
      <c r="BF82" s="336"/>
      <c r="BG82" s="336"/>
      <c r="BH82" s="336"/>
      <c r="BI82" s="336"/>
      <c r="BJ82" s="336"/>
      <c r="BK82" s="336"/>
      <c r="BL82" s="336"/>
      <c r="BM82" s="336"/>
      <c r="BN82" s="336"/>
      <c r="BO82" s="336"/>
      <c r="BP82" s="336"/>
      <c r="BQ82" s="336"/>
      <c r="BR82" s="336"/>
      <c r="BS82" s="336"/>
      <c r="BT82" s="336"/>
      <c r="BU82" s="336"/>
      <c r="BV82" s="336"/>
      <c r="BW82" s="336"/>
      <c r="BX82" s="336"/>
      <c r="BY82" s="336"/>
      <c r="BZ82" s="336"/>
      <c r="CA82" s="336"/>
      <c r="CB82" s="336"/>
      <c r="CC82" s="336"/>
      <c r="CD82" s="336"/>
      <c r="CE82" s="336"/>
      <c r="CF82" s="336"/>
      <c r="CG82" s="336"/>
      <c r="CH82" s="336"/>
      <c r="CI82" s="336"/>
      <c r="CJ82" s="336"/>
      <c r="CK82" s="336"/>
      <c r="CL82" s="336"/>
      <c r="CM82" s="336"/>
      <c r="CN82" s="336"/>
      <c r="CO82" s="336"/>
      <c r="CP82" s="336"/>
      <c r="CQ82" s="336"/>
      <c r="CR82" s="336"/>
      <c r="CS82" s="336"/>
      <c r="CT82" s="336"/>
      <c r="CU82" s="336"/>
      <c r="CV82" s="336"/>
      <c r="CW82" s="336"/>
      <c r="CX82" s="336"/>
      <c r="CY82" s="336"/>
      <c r="CZ82" s="336"/>
      <c r="DA82" s="336"/>
      <c r="DB82" s="336"/>
      <c r="DC82" s="336"/>
      <c r="DD82" s="336"/>
      <c r="DE82" s="336"/>
      <c r="DF82" s="336"/>
      <c r="DG82" s="336"/>
      <c r="DH82" s="336"/>
      <c r="DI82" s="336"/>
      <c r="DJ82" s="336"/>
      <c r="DK82" s="336"/>
      <c r="DL82" s="336"/>
      <c r="DM82" s="336"/>
      <c r="DN82" s="336"/>
      <c r="DO82" s="336"/>
      <c r="DP82" s="336"/>
      <c r="DQ82" s="336"/>
      <c r="DR82" s="336"/>
      <c r="DS82" s="336"/>
      <c r="DT82" s="336"/>
      <c r="DU82" s="336"/>
      <c r="DW82" s="336">
        <f t="shared" si="80"/>
        <v>0</v>
      </c>
      <c r="DX82" s="336">
        <f t="shared" si="1"/>
        <v>0</v>
      </c>
      <c r="DY82" s="336">
        <f t="shared" si="2"/>
        <v>0</v>
      </c>
      <c r="DZ82" s="336">
        <f t="shared" si="3"/>
        <v>0</v>
      </c>
      <c r="EA82" s="336">
        <f t="shared" si="4"/>
        <v>0</v>
      </c>
      <c r="EB82" s="336">
        <f t="shared" si="5"/>
        <v>0</v>
      </c>
      <c r="EC82" s="336">
        <f t="shared" si="6"/>
        <v>0</v>
      </c>
      <c r="ED82" s="336">
        <f t="shared" si="7"/>
        <v>0</v>
      </c>
      <c r="EE82" s="336">
        <f t="shared" si="8"/>
        <v>0</v>
      </c>
      <c r="EF82" s="336">
        <f t="shared" si="9"/>
        <v>0</v>
      </c>
      <c r="EG82" s="336">
        <f t="shared" si="10"/>
        <v>0</v>
      </c>
      <c r="EH82" s="336">
        <f t="shared" si="11"/>
        <v>0</v>
      </c>
      <c r="EI82" s="336">
        <f t="shared" si="12"/>
        <v>0</v>
      </c>
      <c r="EJ82" s="336">
        <f t="shared" si="13"/>
        <v>0</v>
      </c>
      <c r="EK82" s="336">
        <f t="shared" si="14"/>
        <v>0</v>
      </c>
      <c r="EL82" s="336">
        <f t="shared" si="15"/>
        <v>0</v>
      </c>
      <c r="EM82" s="336">
        <f t="shared" si="16"/>
        <v>0</v>
      </c>
      <c r="EN82" s="336">
        <f t="shared" si="17"/>
        <v>0</v>
      </c>
      <c r="EO82" s="336">
        <f t="shared" si="18"/>
        <v>0</v>
      </c>
      <c r="EP82" s="336">
        <f t="shared" si="19"/>
        <v>0</v>
      </c>
      <c r="EQ82" s="336">
        <f t="shared" si="20"/>
        <v>0</v>
      </c>
      <c r="ER82" s="336">
        <f t="shared" si="21"/>
        <v>0</v>
      </c>
      <c r="ES82" s="336">
        <f t="shared" si="22"/>
        <v>0</v>
      </c>
      <c r="ET82" s="336">
        <f t="shared" si="22"/>
        <v>0</v>
      </c>
      <c r="EU82" s="336">
        <f t="shared" si="23"/>
        <v>0</v>
      </c>
      <c r="EV82" s="336">
        <f t="shared" si="24"/>
        <v>0</v>
      </c>
      <c r="EW82" s="336">
        <f t="shared" si="25"/>
        <v>0</v>
      </c>
      <c r="EX82" s="336">
        <f t="shared" si="26"/>
        <v>0</v>
      </c>
      <c r="EY82" s="336">
        <f t="shared" si="27"/>
        <v>0</v>
      </c>
      <c r="EZ82" s="336">
        <f t="shared" si="28"/>
        <v>0</v>
      </c>
      <c r="FA82" s="336">
        <f t="shared" si="29"/>
        <v>0</v>
      </c>
      <c r="FB82" s="336">
        <f t="shared" si="30"/>
        <v>0</v>
      </c>
      <c r="FC82" s="336">
        <f t="shared" si="31"/>
        <v>0</v>
      </c>
      <c r="FD82" s="336">
        <f t="shared" si="32"/>
        <v>0</v>
      </c>
      <c r="FE82" s="336">
        <f t="shared" si="33"/>
        <v>0</v>
      </c>
      <c r="FF82" s="336">
        <f t="shared" si="34"/>
        <v>0</v>
      </c>
      <c r="FG82" s="336">
        <f t="shared" si="35"/>
        <v>0</v>
      </c>
      <c r="FH82" s="336">
        <f t="shared" si="36"/>
        <v>0</v>
      </c>
      <c r="FI82" s="336">
        <f t="shared" si="37"/>
        <v>0</v>
      </c>
      <c r="FJ82" s="336">
        <f t="shared" si="38"/>
        <v>0</v>
      </c>
      <c r="FK82" s="336">
        <f t="shared" si="39"/>
        <v>0</v>
      </c>
      <c r="FL82" s="336">
        <f t="shared" si="40"/>
        <v>0</v>
      </c>
      <c r="FM82" s="336">
        <f t="shared" si="41"/>
        <v>0</v>
      </c>
      <c r="FN82" s="336">
        <f t="shared" si="42"/>
        <v>0</v>
      </c>
      <c r="FO82" s="336">
        <f t="shared" si="43"/>
        <v>0</v>
      </c>
      <c r="FP82" s="336">
        <f t="shared" si="44"/>
        <v>0</v>
      </c>
      <c r="FQ82" s="336">
        <f t="shared" si="45"/>
        <v>0</v>
      </c>
      <c r="FR82" s="336">
        <f t="shared" si="46"/>
        <v>0</v>
      </c>
      <c r="FS82" s="336">
        <f t="shared" si="47"/>
        <v>0</v>
      </c>
      <c r="FT82" s="336">
        <f t="shared" si="48"/>
        <v>0</v>
      </c>
      <c r="FU82" s="336">
        <f t="shared" si="553"/>
        <v>0</v>
      </c>
      <c r="FV82" s="336">
        <f t="shared" si="554"/>
        <v>0</v>
      </c>
      <c r="FW82" s="336">
        <f t="shared" si="555"/>
        <v>0</v>
      </c>
      <c r="FX82" s="336">
        <f t="shared" si="556"/>
        <v>0</v>
      </c>
      <c r="FY82" s="336">
        <f t="shared" si="53"/>
        <v>0</v>
      </c>
      <c r="FZ82" s="336">
        <f t="shared" si="54"/>
        <v>0</v>
      </c>
      <c r="GA82" s="336">
        <f t="shared" si="55"/>
        <v>0</v>
      </c>
      <c r="GB82" s="336">
        <f t="shared" si="56"/>
        <v>0</v>
      </c>
      <c r="GC82" s="336">
        <f t="shared" si="57"/>
        <v>0</v>
      </c>
      <c r="GD82" s="336">
        <f t="shared" si="58"/>
        <v>0</v>
      </c>
      <c r="GE82" s="336">
        <f t="shared" si="59"/>
        <v>0</v>
      </c>
      <c r="GF82" s="336">
        <f t="shared" si="60"/>
        <v>0</v>
      </c>
      <c r="GG82" s="336">
        <f t="shared" si="61"/>
        <v>0</v>
      </c>
      <c r="GH82" s="336">
        <f t="shared" si="62"/>
        <v>0</v>
      </c>
      <c r="GI82" s="336">
        <f t="shared" si="63"/>
        <v>0</v>
      </c>
      <c r="GJ82" s="336">
        <f t="shared" si="64"/>
        <v>0</v>
      </c>
      <c r="GK82" s="336">
        <f t="shared" si="65"/>
        <v>0</v>
      </c>
      <c r="GL82" s="336">
        <f t="shared" si="557"/>
        <v>0</v>
      </c>
      <c r="GM82" s="336">
        <f t="shared" si="66"/>
        <v>0</v>
      </c>
    </row>
    <row r="83" spans="1:195" s="60" customFormat="1" ht="33.75" customHeight="1">
      <c r="A83" s="710"/>
      <c r="B83" s="710"/>
      <c r="C83" s="711"/>
      <c r="D83" s="477" t="s">
        <v>1173</v>
      </c>
      <c r="E83" s="712"/>
      <c r="F83" s="710"/>
      <c r="G83" s="713"/>
      <c r="H83" s="714"/>
      <c r="I83" s="715"/>
      <c r="J83" s="715"/>
      <c r="K83" s="715"/>
      <c r="L83" s="714"/>
      <c r="M83" s="714"/>
      <c r="N83" s="716"/>
      <c r="O83" s="716"/>
      <c r="P83" s="717"/>
      <c r="Q83" s="714"/>
      <c r="R83" s="714"/>
      <c r="S83" s="714"/>
      <c r="T83" s="717"/>
      <c r="U83" s="714"/>
      <c r="V83" s="717"/>
      <c r="W83" s="717"/>
      <c r="X83" s="717"/>
      <c r="Y83" s="717"/>
      <c r="Z83" s="718"/>
      <c r="AA83" s="719"/>
      <c r="AB83" s="719"/>
      <c r="AC83" s="719"/>
      <c r="AD83" s="719"/>
      <c r="AE83" s="719"/>
      <c r="AF83" s="719"/>
      <c r="AG83" s="719"/>
      <c r="AH83" s="720"/>
      <c r="AI83" s="718"/>
      <c r="AJ83" s="716"/>
      <c r="AK83" s="718"/>
      <c r="AL83" s="718"/>
      <c r="AM83" s="718"/>
      <c r="AN83" s="721"/>
      <c r="AO83" s="714"/>
      <c r="AP83" s="722"/>
      <c r="AQ83" s="714"/>
      <c r="AR83" s="721"/>
      <c r="AS83" s="717"/>
      <c r="AT83" s="721"/>
      <c r="AU83" s="721"/>
      <c r="AV83" s="723"/>
      <c r="AW83" s="723"/>
      <c r="AX83" s="717"/>
      <c r="AY83" s="724"/>
      <c r="AZ83" s="724"/>
      <c r="BA83" s="724"/>
      <c r="BB83" s="753"/>
      <c r="BC83" s="754"/>
      <c r="BE83" s="336"/>
      <c r="BF83" s="336"/>
      <c r="BG83" s="336"/>
      <c r="BH83" s="336"/>
      <c r="BI83" s="336"/>
      <c r="BJ83" s="336"/>
      <c r="BK83" s="336"/>
      <c r="BL83" s="336"/>
      <c r="BM83" s="336"/>
      <c r="BN83" s="336"/>
      <c r="BO83" s="336"/>
      <c r="BP83" s="336"/>
      <c r="BQ83" s="336"/>
      <c r="BR83" s="336"/>
      <c r="BS83" s="336"/>
      <c r="BT83" s="336"/>
      <c r="BU83" s="336"/>
      <c r="BV83" s="336"/>
      <c r="BW83" s="336"/>
      <c r="BX83" s="336"/>
      <c r="BY83" s="336"/>
      <c r="BZ83" s="336"/>
      <c r="CA83" s="336"/>
      <c r="CB83" s="336"/>
      <c r="CC83" s="336"/>
      <c r="CD83" s="336"/>
      <c r="CE83" s="336"/>
      <c r="CF83" s="336"/>
      <c r="CG83" s="336"/>
      <c r="CH83" s="336"/>
      <c r="CI83" s="336"/>
      <c r="CJ83" s="336"/>
      <c r="CK83" s="336"/>
      <c r="CL83" s="336"/>
      <c r="CM83" s="336"/>
      <c r="CN83" s="336"/>
      <c r="CO83" s="336"/>
      <c r="CP83" s="336"/>
      <c r="CQ83" s="336"/>
      <c r="CR83" s="336"/>
      <c r="CS83" s="336"/>
      <c r="CT83" s="336"/>
      <c r="CU83" s="336"/>
      <c r="CV83" s="336"/>
      <c r="CW83" s="336"/>
      <c r="CX83" s="336"/>
      <c r="CY83" s="336"/>
      <c r="CZ83" s="755"/>
      <c r="DA83" s="755"/>
      <c r="DB83" s="755"/>
      <c r="DC83" s="755"/>
      <c r="DD83" s="755"/>
      <c r="DE83" s="755"/>
      <c r="DF83" s="755"/>
      <c r="DG83" s="755"/>
      <c r="DH83" s="755"/>
      <c r="DI83" s="755"/>
      <c r="DJ83" s="755"/>
      <c r="DK83" s="755"/>
      <c r="DL83" s="755"/>
      <c r="DM83" s="755"/>
      <c r="DN83" s="755"/>
      <c r="DO83" s="755"/>
      <c r="DP83" s="755"/>
      <c r="DQ83" s="755"/>
      <c r="DR83" s="755"/>
      <c r="DS83" s="755"/>
      <c r="DT83" s="755"/>
      <c r="DU83" s="755"/>
      <c r="DV83" s="61"/>
      <c r="DW83" s="336">
        <f t="shared" si="80"/>
        <v>0</v>
      </c>
      <c r="DX83" s="336">
        <f t="shared" si="1"/>
        <v>0</v>
      </c>
      <c r="DY83" s="336">
        <f t="shared" si="2"/>
        <v>0</v>
      </c>
      <c r="DZ83" s="336">
        <f t="shared" si="3"/>
        <v>0</v>
      </c>
      <c r="EA83" s="336">
        <f t="shared" si="4"/>
        <v>0</v>
      </c>
      <c r="EB83" s="336">
        <f t="shared" si="5"/>
        <v>0</v>
      </c>
      <c r="EC83" s="336">
        <f t="shared" si="6"/>
        <v>0</v>
      </c>
      <c r="ED83" s="336">
        <f t="shared" si="7"/>
        <v>0</v>
      </c>
      <c r="EE83" s="336">
        <f t="shared" si="8"/>
        <v>0</v>
      </c>
      <c r="EF83" s="336">
        <f t="shared" si="9"/>
        <v>0</v>
      </c>
      <c r="EG83" s="336">
        <f t="shared" si="10"/>
        <v>0</v>
      </c>
      <c r="EH83" s="336">
        <f t="shared" si="11"/>
        <v>0</v>
      </c>
      <c r="EI83" s="336">
        <f t="shared" si="12"/>
        <v>0</v>
      </c>
      <c r="EJ83" s="336">
        <f t="shared" si="13"/>
        <v>0</v>
      </c>
      <c r="EK83" s="336">
        <f t="shared" si="14"/>
        <v>0</v>
      </c>
      <c r="EL83" s="336">
        <f t="shared" si="15"/>
        <v>0</v>
      </c>
      <c r="EM83" s="336">
        <f t="shared" si="16"/>
        <v>0</v>
      </c>
      <c r="EN83" s="336">
        <f t="shared" si="17"/>
        <v>0</v>
      </c>
      <c r="EO83" s="336">
        <f t="shared" si="18"/>
        <v>0</v>
      </c>
      <c r="EP83" s="336">
        <f t="shared" si="19"/>
        <v>0</v>
      </c>
      <c r="EQ83" s="336">
        <f t="shared" si="20"/>
        <v>0</v>
      </c>
      <c r="ER83" s="336">
        <f t="shared" si="21"/>
        <v>0</v>
      </c>
      <c r="ES83" s="336">
        <f t="shared" si="22"/>
        <v>0</v>
      </c>
      <c r="ET83" s="336">
        <f t="shared" si="22"/>
        <v>0</v>
      </c>
      <c r="EU83" s="336">
        <f t="shared" si="23"/>
        <v>0</v>
      </c>
      <c r="EV83" s="336">
        <f t="shared" si="24"/>
        <v>0</v>
      </c>
      <c r="EW83" s="336">
        <f t="shared" si="25"/>
        <v>0</v>
      </c>
      <c r="EX83" s="336">
        <f t="shared" si="26"/>
        <v>0</v>
      </c>
      <c r="EY83" s="336">
        <f t="shared" si="27"/>
        <v>0</v>
      </c>
      <c r="EZ83" s="336">
        <f t="shared" si="28"/>
        <v>0</v>
      </c>
      <c r="FA83" s="336">
        <f t="shared" si="29"/>
        <v>0</v>
      </c>
      <c r="FB83" s="336">
        <f t="shared" si="30"/>
        <v>0</v>
      </c>
      <c r="FC83" s="336">
        <f t="shared" si="31"/>
        <v>0</v>
      </c>
      <c r="FD83" s="336">
        <f t="shared" si="32"/>
        <v>0</v>
      </c>
      <c r="FE83" s="336">
        <f t="shared" si="33"/>
        <v>0</v>
      </c>
      <c r="FF83" s="336">
        <f t="shared" si="34"/>
        <v>0</v>
      </c>
      <c r="FG83" s="336">
        <f t="shared" si="35"/>
        <v>0</v>
      </c>
      <c r="FH83" s="336">
        <f t="shared" si="36"/>
        <v>0</v>
      </c>
      <c r="FI83" s="336">
        <f t="shared" si="37"/>
        <v>0</v>
      </c>
      <c r="FJ83" s="336">
        <f t="shared" si="38"/>
        <v>0</v>
      </c>
      <c r="FK83" s="336">
        <f t="shared" si="39"/>
        <v>0</v>
      </c>
      <c r="FL83" s="336">
        <f t="shared" si="40"/>
        <v>0</v>
      </c>
      <c r="FM83" s="336">
        <f t="shared" si="41"/>
        <v>0</v>
      </c>
      <c r="FN83" s="336">
        <f t="shared" si="42"/>
        <v>0</v>
      </c>
      <c r="FO83" s="336">
        <f t="shared" si="43"/>
        <v>0</v>
      </c>
      <c r="FP83" s="336">
        <f t="shared" si="44"/>
        <v>0</v>
      </c>
      <c r="FQ83" s="336">
        <f t="shared" si="45"/>
        <v>0</v>
      </c>
      <c r="FR83" s="336">
        <f t="shared" si="46"/>
        <v>0</v>
      </c>
      <c r="FS83" s="336">
        <f t="shared" si="47"/>
        <v>0</v>
      </c>
      <c r="FT83" s="336">
        <f t="shared" si="48"/>
        <v>0</v>
      </c>
      <c r="FU83" s="336">
        <f t="shared" si="553"/>
        <v>0</v>
      </c>
      <c r="FV83" s="336">
        <f t="shared" si="554"/>
        <v>0</v>
      </c>
      <c r="FW83" s="336">
        <f t="shared" si="555"/>
        <v>0</v>
      </c>
      <c r="FX83" s="336">
        <f t="shared" si="556"/>
        <v>0</v>
      </c>
      <c r="FY83" s="336">
        <f t="shared" si="53"/>
        <v>0</v>
      </c>
      <c r="FZ83" s="336">
        <f t="shared" si="54"/>
        <v>0</v>
      </c>
      <c r="GA83" s="336">
        <f t="shared" si="55"/>
        <v>0</v>
      </c>
      <c r="GB83" s="336">
        <f t="shared" si="56"/>
        <v>0</v>
      </c>
      <c r="GC83" s="336">
        <f t="shared" si="57"/>
        <v>0</v>
      </c>
      <c r="GD83" s="336">
        <f t="shared" si="58"/>
        <v>0</v>
      </c>
      <c r="GE83" s="336">
        <f t="shared" si="59"/>
        <v>0</v>
      </c>
      <c r="GF83" s="336">
        <f t="shared" si="60"/>
        <v>0</v>
      </c>
      <c r="GG83" s="336">
        <f t="shared" si="61"/>
        <v>0</v>
      </c>
      <c r="GH83" s="336">
        <f t="shared" si="62"/>
        <v>0</v>
      </c>
      <c r="GI83" s="336">
        <f t="shared" si="63"/>
        <v>0</v>
      </c>
      <c r="GJ83" s="336">
        <f t="shared" si="64"/>
        <v>0</v>
      </c>
      <c r="GK83" s="336">
        <f t="shared" si="65"/>
        <v>0</v>
      </c>
      <c r="GL83" s="336">
        <f t="shared" si="557"/>
        <v>0</v>
      </c>
      <c r="GM83" s="336">
        <f t="shared" si="66"/>
        <v>0</v>
      </c>
    </row>
    <row r="84" spans="1:195" ht="20.25" customHeight="1">
      <c r="A84" s="510"/>
      <c r="B84" s="510"/>
      <c r="C84" s="523"/>
      <c r="D84" s="523" t="s">
        <v>742</v>
      </c>
      <c r="E84" s="725"/>
      <c r="F84" s="726"/>
      <c r="G84" s="510"/>
      <c r="H84" s="727"/>
      <c r="I84" s="510"/>
      <c r="J84" s="510"/>
      <c r="K84" s="728"/>
      <c r="L84" s="729"/>
      <c r="M84" s="727"/>
      <c r="N84" s="730"/>
      <c r="O84" s="730"/>
      <c r="P84" s="729"/>
      <c r="Q84" s="727"/>
      <c r="R84" s="727"/>
      <c r="S84" s="727"/>
      <c r="T84" s="729"/>
      <c r="U84" s="727"/>
      <c r="V84" s="729"/>
      <c r="W84" s="729"/>
      <c r="X84" s="729"/>
      <c r="Y84" s="729"/>
      <c r="Z84" s="731"/>
      <c r="AA84" s="732"/>
      <c r="AB84" s="732"/>
      <c r="AC84" s="733"/>
      <c r="AD84" s="733"/>
      <c r="AE84" s="733"/>
      <c r="AF84" s="733"/>
      <c r="AG84" s="733"/>
      <c r="AH84" s="734"/>
      <c r="AI84" s="731"/>
      <c r="AJ84" s="730"/>
      <c r="AK84" s="731"/>
      <c r="AL84" s="731"/>
      <c r="AM84" s="731"/>
      <c r="AN84" s="735"/>
      <c r="AO84" s="727"/>
      <c r="AP84" s="728"/>
      <c r="AQ84" s="727"/>
      <c r="AR84" s="735"/>
      <c r="AS84" s="729"/>
      <c r="AT84" s="735"/>
      <c r="AU84" s="735"/>
      <c r="AV84" s="736"/>
      <c r="AW84" s="736"/>
      <c r="AX84" s="729"/>
      <c r="AY84" s="737"/>
      <c r="AZ84" s="737"/>
      <c r="BA84" s="738"/>
      <c r="BB84" s="739"/>
      <c r="BC84" s="740"/>
      <c r="BE84" s="336"/>
      <c r="BF84" s="336"/>
      <c r="BG84" s="336"/>
      <c r="BH84" s="336"/>
      <c r="BI84" s="336"/>
      <c r="BJ84" s="336"/>
      <c r="BK84" s="336"/>
      <c r="BL84" s="336"/>
      <c r="BM84" s="336"/>
      <c r="BN84" s="336"/>
      <c r="BO84" s="336"/>
      <c r="BP84" s="336"/>
      <c r="BQ84" s="336"/>
      <c r="BR84" s="336"/>
      <c r="BS84" s="336"/>
      <c r="BT84" s="336"/>
      <c r="BU84" s="336"/>
      <c r="BV84" s="336"/>
      <c r="BW84" s="336"/>
      <c r="BX84" s="336"/>
      <c r="BY84" s="336"/>
      <c r="BZ84" s="336"/>
      <c r="CA84" s="336"/>
      <c r="CB84" s="336"/>
      <c r="CC84" s="336"/>
      <c r="CD84" s="336"/>
      <c r="CE84" s="336"/>
      <c r="CF84" s="336"/>
      <c r="CG84" s="336"/>
      <c r="CH84" s="336"/>
      <c r="CI84" s="336"/>
      <c r="CJ84" s="336"/>
      <c r="CK84" s="336"/>
      <c r="CL84" s="336"/>
      <c r="CM84" s="336"/>
      <c r="CN84" s="336"/>
      <c r="CO84" s="336"/>
      <c r="CP84" s="336"/>
      <c r="CQ84" s="336"/>
      <c r="CR84" s="336"/>
      <c r="CS84" s="336"/>
      <c r="CT84" s="336"/>
      <c r="CU84" s="336"/>
      <c r="CV84" s="336"/>
      <c r="CW84" s="336"/>
      <c r="CX84" s="336"/>
      <c r="CY84" s="336"/>
      <c r="CZ84" s="752"/>
      <c r="DA84" s="752"/>
      <c r="DB84" s="752"/>
      <c r="DC84" s="752"/>
      <c r="DD84" s="752"/>
      <c r="DE84" s="752"/>
      <c r="DF84" s="752"/>
      <c r="DG84" s="752"/>
      <c r="DH84" s="752"/>
      <c r="DI84" s="752"/>
      <c r="DJ84" s="752"/>
      <c r="DK84" s="752"/>
      <c r="DL84" s="752"/>
      <c r="DM84" s="752"/>
      <c r="DN84" s="752"/>
      <c r="DO84" s="752"/>
      <c r="DP84" s="752"/>
      <c r="DQ84" s="752"/>
      <c r="DR84" s="752"/>
      <c r="DS84" s="752"/>
      <c r="DT84" s="752"/>
      <c r="DU84" s="752"/>
      <c r="DW84" s="336">
        <f t="shared" si="80"/>
        <v>0</v>
      </c>
      <c r="DX84" s="336">
        <f t="shared" si="1"/>
        <v>0</v>
      </c>
      <c r="DY84" s="336">
        <f t="shared" si="2"/>
        <v>0</v>
      </c>
      <c r="DZ84" s="336">
        <f t="shared" si="3"/>
        <v>0</v>
      </c>
      <c r="EA84" s="336">
        <f t="shared" si="4"/>
        <v>0</v>
      </c>
      <c r="EB84" s="336">
        <f t="shared" si="5"/>
        <v>0</v>
      </c>
      <c r="EC84" s="336">
        <f t="shared" si="6"/>
        <v>0</v>
      </c>
      <c r="ED84" s="336">
        <f t="shared" si="7"/>
        <v>0</v>
      </c>
      <c r="EE84" s="336">
        <f t="shared" si="8"/>
        <v>0</v>
      </c>
      <c r="EF84" s="336">
        <f t="shared" si="9"/>
        <v>0</v>
      </c>
      <c r="EG84" s="336">
        <f t="shared" si="10"/>
        <v>0</v>
      </c>
      <c r="EH84" s="336">
        <f t="shared" si="11"/>
        <v>0</v>
      </c>
      <c r="EI84" s="336">
        <f t="shared" si="12"/>
        <v>0</v>
      </c>
      <c r="EJ84" s="336">
        <f t="shared" si="13"/>
        <v>0</v>
      </c>
      <c r="EK84" s="336">
        <f t="shared" si="14"/>
        <v>0</v>
      </c>
      <c r="EL84" s="336">
        <f t="shared" si="15"/>
        <v>0</v>
      </c>
      <c r="EM84" s="336">
        <f t="shared" si="16"/>
        <v>0</v>
      </c>
      <c r="EN84" s="336">
        <f t="shared" si="17"/>
        <v>0</v>
      </c>
      <c r="EO84" s="336">
        <f t="shared" si="18"/>
        <v>0</v>
      </c>
      <c r="EP84" s="336">
        <f t="shared" si="19"/>
        <v>0</v>
      </c>
      <c r="EQ84" s="336">
        <f t="shared" si="20"/>
        <v>0</v>
      </c>
      <c r="ER84" s="336">
        <f t="shared" si="21"/>
        <v>0</v>
      </c>
      <c r="ES84" s="336">
        <f t="shared" si="22"/>
        <v>0</v>
      </c>
      <c r="ET84" s="336">
        <f t="shared" si="22"/>
        <v>0</v>
      </c>
      <c r="EU84" s="336">
        <f t="shared" si="23"/>
        <v>0</v>
      </c>
      <c r="EV84" s="336">
        <f t="shared" si="24"/>
        <v>0</v>
      </c>
      <c r="EW84" s="336">
        <f t="shared" si="25"/>
        <v>0</v>
      </c>
      <c r="EX84" s="336">
        <f t="shared" si="26"/>
        <v>0</v>
      </c>
      <c r="EY84" s="336">
        <f t="shared" si="27"/>
        <v>0</v>
      </c>
      <c r="EZ84" s="336">
        <f t="shared" si="28"/>
        <v>0</v>
      </c>
      <c r="FA84" s="336">
        <f t="shared" si="29"/>
        <v>0</v>
      </c>
      <c r="FB84" s="336">
        <f t="shared" si="30"/>
        <v>0</v>
      </c>
      <c r="FC84" s="336">
        <f t="shared" si="31"/>
        <v>0</v>
      </c>
      <c r="FD84" s="336">
        <f t="shared" si="32"/>
        <v>0</v>
      </c>
      <c r="FE84" s="336">
        <f t="shared" si="33"/>
        <v>0</v>
      </c>
      <c r="FF84" s="336">
        <f t="shared" si="34"/>
        <v>0</v>
      </c>
      <c r="FG84" s="336">
        <f t="shared" si="35"/>
        <v>0</v>
      </c>
      <c r="FH84" s="336">
        <f t="shared" si="36"/>
        <v>0</v>
      </c>
      <c r="FI84" s="336">
        <f t="shared" si="37"/>
        <v>0</v>
      </c>
      <c r="FJ84" s="336">
        <f t="shared" si="38"/>
        <v>0</v>
      </c>
      <c r="FK84" s="336">
        <f t="shared" si="39"/>
        <v>0</v>
      </c>
      <c r="FL84" s="336">
        <f t="shared" si="40"/>
        <v>0</v>
      </c>
      <c r="FM84" s="336">
        <f t="shared" si="41"/>
        <v>0</v>
      </c>
      <c r="FN84" s="336">
        <f t="shared" si="42"/>
        <v>0</v>
      </c>
      <c r="FO84" s="336">
        <f t="shared" si="43"/>
        <v>0</v>
      </c>
      <c r="FP84" s="336">
        <f t="shared" si="44"/>
        <v>0</v>
      </c>
      <c r="FQ84" s="336">
        <f t="shared" si="45"/>
        <v>0</v>
      </c>
      <c r="FR84" s="336">
        <f t="shared" si="46"/>
        <v>0</v>
      </c>
      <c r="FS84" s="336">
        <f t="shared" si="47"/>
        <v>0</v>
      </c>
      <c r="FT84" s="336">
        <f t="shared" si="48"/>
        <v>0</v>
      </c>
      <c r="FU84" s="336">
        <f t="shared" si="553"/>
        <v>0</v>
      </c>
      <c r="FV84" s="336">
        <f t="shared" si="554"/>
        <v>0</v>
      </c>
      <c r="FW84" s="336">
        <f t="shared" si="555"/>
        <v>0</v>
      </c>
      <c r="FX84" s="336">
        <f t="shared" si="556"/>
        <v>0</v>
      </c>
      <c r="FY84" s="336">
        <f t="shared" si="53"/>
        <v>0</v>
      </c>
      <c r="FZ84" s="336">
        <f t="shared" si="54"/>
        <v>0</v>
      </c>
      <c r="GA84" s="336">
        <f t="shared" si="55"/>
        <v>0</v>
      </c>
      <c r="GB84" s="336">
        <f t="shared" si="56"/>
        <v>0</v>
      </c>
      <c r="GC84" s="336">
        <f t="shared" si="57"/>
        <v>0</v>
      </c>
      <c r="GD84" s="336">
        <f t="shared" si="58"/>
        <v>0</v>
      </c>
      <c r="GE84" s="336">
        <f t="shared" si="59"/>
        <v>0</v>
      </c>
      <c r="GF84" s="336">
        <f t="shared" si="60"/>
        <v>0</v>
      </c>
      <c r="GG84" s="336">
        <f t="shared" si="61"/>
        <v>0</v>
      </c>
      <c r="GH84" s="336">
        <f t="shared" si="62"/>
        <v>0</v>
      </c>
      <c r="GI84" s="336">
        <f t="shared" si="63"/>
        <v>0</v>
      </c>
      <c r="GJ84" s="336">
        <f t="shared" si="64"/>
        <v>0</v>
      </c>
      <c r="GK84" s="336">
        <f t="shared" si="65"/>
        <v>0</v>
      </c>
      <c r="GL84" s="336">
        <f t="shared" si="557"/>
        <v>0</v>
      </c>
      <c r="GM84" s="336">
        <f t="shared" si="66"/>
        <v>0</v>
      </c>
    </row>
    <row r="85" spans="1:195" ht="26.25" customHeight="1">
      <c r="A85" s="337">
        <f>A82+1</f>
        <v>60</v>
      </c>
      <c r="B85" s="444" t="s">
        <v>1174</v>
      </c>
      <c r="C85" s="372" t="str">
        <f>$D$83</f>
        <v>PDB-2</v>
      </c>
      <c r="D85" s="444" t="s">
        <v>1175</v>
      </c>
      <c r="E85" s="569" t="s">
        <v>419</v>
      </c>
      <c r="F85" s="756" t="s">
        <v>28</v>
      </c>
      <c r="G85" s="337" t="s">
        <v>329</v>
      </c>
      <c r="H85" s="917">
        <v>15.79</v>
      </c>
      <c r="I85" s="337" t="s">
        <v>330</v>
      </c>
      <c r="J85" s="337" t="s">
        <v>331</v>
      </c>
      <c r="K85" s="349">
        <v>400</v>
      </c>
      <c r="L85" s="343">
        <v>0.85</v>
      </c>
      <c r="M85" s="350">
        <v>0.95</v>
      </c>
      <c r="N85" s="342">
        <f t="shared" si="869"/>
        <v>28.22485503256852</v>
      </c>
      <c r="O85" s="342">
        <f t="shared" ref="O85:O103" si="883">IF(G85="MOTOR",(6*N85),IF(G85="VFD",(1*N85),0))</f>
        <v>0</v>
      </c>
      <c r="P85" s="343" t="str">
        <f t="shared" si="871"/>
        <v>0.00</v>
      </c>
      <c r="Q85" s="350">
        <v>65</v>
      </c>
      <c r="R85" s="350">
        <v>0</v>
      </c>
      <c r="S85" s="350">
        <f t="shared" si="872"/>
        <v>0</v>
      </c>
      <c r="T85" s="343" t="s">
        <v>332</v>
      </c>
      <c r="U85" s="917" t="s">
        <v>522</v>
      </c>
      <c r="V85" s="916">
        <v>10</v>
      </c>
      <c r="W85" s="343" t="str">
        <f t="shared" si="873"/>
        <v>4C X 10</v>
      </c>
      <c r="X85" s="343" t="str">
        <f t="shared" ref="X85:X103" si="884">(IF(J85="1Ph",W85,IF(J85="3Ph",(IF(G85="MOTOR",(CONCATENATE(W85,"+PE")),W85)))))</f>
        <v>4C X 10</v>
      </c>
      <c r="Y85" s="343" t="s">
        <v>358</v>
      </c>
      <c r="Z85" s="344">
        <f>IF(T85="AIR",VLOOKUP(W85,'Catalogue Aluminium'!$B$9:$G$93,2,FALSE),IF(T85="GROUND",VLOOKUP(W85,'Catalogue Aluminium'!$B$9:$G$93,3,FALSE),IF(T85="DUCT",VLOOKUP(W85,'Catalogue Aluminium'!$B$9:$G$93,4,FALSE),IF(T85="TRENCH",VLOOKUP(W85,'Catalogue Aluminium'!$B$9:$G$93,2,FALSE)))))</f>
        <v>60</v>
      </c>
      <c r="AA85" s="345">
        <f>VLOOKUP(W85,'Catalogue Aluminium'!$B$9:$G$93,5,FALSE)</f>
        <v>3.94</v>
      </c>
      <c r="AB85" s="345">
        <f>VLOOKUP(W85,'Catalogue Aluminium'!$B$9:$G$93,6,FALSE)</f>
        <v>8.5199999999999998E-2</v>
      </c>
      <c r="AC85" s="343">
        <v>22</v>
      </c>
      <c r="AD85" s="346">
        <v>0</v>
      </c>
      <c r="AE85" s="343">
        <v>10</v>
      </c>
      <c r="AF85" s="343">
        <v>8</v>
      </c>
      <c r="AG85" s="343">
        <f t="shared" si="134"/>
        <v>4</v>
      </c>
      <c r="AH85" s="347">
        <f t="shared" ref="AH85:AH103" si="885">SUM(AC85:AG85)</f>
        <v>44</v>
      </c>
      <c r="AI85" s="344">
        <f>IF(T85="AIR",'Catalogue Aluminium'!$K$9,IF(T85="TRENCH",'Catalogue Aluminium'!$K$12,"NA"))</f>
        <v>0.89</v>
      </c>
      <c r="AJ85" s="342">
        <f>IF(T85="Air",(IF(U85="1C",'Catalogue Aluminium'!$L$9,'Catalogue Aluminium'!$M$9)),IF(T85="DUCT",(IF($U85="1C",'Catalogue Aluminium'!$L$10,'Catalogue Aluminium'!$M$10)),IF(T85="GROUND",(IF($U85="1C",'Catalogue Aluminium'!$L$11,'Catalogue Aluminium'!$M$11)),IF(T85="TRENCH",(IF($U85="1C",'Catalogue Aluminium'!$L$12,'Catalogue Aluminium'!$M$12))))))</f>
        <v>0.66</v>
      </c>
      <c r="AK85" s="344" t="str">
        <f>IF(T85="Air",'Catalogue Aluminium'!$N$9,IF(T85="GROUND",'Catalogue Aluminium'!$N$10,IF(T85="DUCT",'Catalogue Aluminium'!$N$11,IF(T85="TRENCH",'Catalogue Aluminium'!$N$12,"NA"))))</f>
        <v>NA</v>
      </c>
      <c r="AL85" s="344" t="str">
        <f>IF(T85="Air",(IF(U85="1C",'Catalogue Aluminium'!$O$9,'Catalogue Aluminium'!$P$9)),IF(T85="DUCT",(IF($U85="1C",'Catalogue Aluminium'!$O$10,'Catalogue Aluminium'!$P$10)),IF(T85="GROUND",(IF($U85="1C",'Catalogue Aluminium'!$O$11,'Catalogue Aluminium'!$P$11)),IF(T85="TRENCH",(IF($U85="1C",'Catalogue Aluminium'!$O$12,'Catalogue Aluminium'!$P$12))))))</f>
        <v>NA</v>
      </c>
      <c r="AM85" s="344" t="str">
        <f>IF(T85="AIR","NA",IF(T85="TRENCH","NA",IF(T85="DUCT",IF(U85="1C",VLOOKUP(V85,'Catalogue Aluminium'!$Q$9:$S$28,2,FALSE),VLOOKUP(V85,'Catalogue Aluminium'!$Q$9:$S$28,3)),IF(T85="GROUND",IF(U85="1C",VLOOKUP(V85,'Catalogue Aluminium'!$Q$9:$S$28,2,FALSE),VLOOKUP(V85,'Catalogue Aluminium'!$Q$9:$S$28,3))))))</f>
        <v>NA</v>
      </c>
      <c r="AN85" s="351">
        <f t="shared" ref="AN85:AN103" si="886">IF(T85="AIR",AI85*AJ85,IF(T85="TRENCH",AI85*AJ85,IF(T85="DUCT",AJ85*AK85*AL85*AM85,IF(T85="GROUND",AJ85*AK85*AL85*AM85))))</f>
        <v>0.58740000000000003</v>
      </c>
      <c r="AO85" s="350">
        <f t="shared" ref="AO85:AO103" si="887">Z85*AN85</f>
        <v>35.244</v>
      </c>
      <c r="AP85" s="349">
        <f t="shared" ref="AP85:AP103" si="888">CEILING(((N85)/AO85),1)</f>
        <v>1</v>
      </c>
      <c r="AQ85" s="350" t="str">
        <f t="shared" ref="AQ85:AQ103" si="889">IF(AO85*AP85&gt;=N85,"YES","NO")</f>
        <v>YES</v>
      </c>
      <c r="AR85" s="351">
        <f t="shared" si="136"/>
        <v>1.8250793711322724</v>
      </c>
      <c r="AS85" s="343" t="str">
        <f t="shared" si="137"/>
        <v>YES</v>
      </c>
      <c r="AT85" s="351" t="str">
        <f t="shared" ref="AT85:AT103" si="890">IF(G85="MOTOR",(SQRT(3)*AH85*O85*((AA85*P85)+(AB85*SIN(ACOS(P85))))*100/(AP85*K85*1000)),"NA")</f>
        <v>NA</v>
      </c>
      <c r="AU85" s="343" t="str">
        <f t="shared" ref="AU85:AU103" si="891">IF(G85="MOTOR",IF(AT85&lt;=15,"YES","NO"),"NA")</f>
        <v>NA</v>
      </c>
      <c r="AV85" s="354" t="str">
        <f t="shared" ref="AV85:AV103" si="892">IF(U85="1C",CONCATENATE(AP85,"R x ",Y85,"kV x ",U85," x ",V85," Sqmm/Phase"),CONCATENATE(AP85,"R x ",0.6,"/1kV x ",U85," x ",V85," Sqmm"))</f>
        <v>1R x 0.6/1kV x 4C x 10 Sqmm</v>
      </c>
      <c r="AW85" s="354" t="str">
        <f t="shared" ref="AW85:AW112" si="893">IF(U85="1C",CONCATENATE(AP85,"R x ",Y85,"kV x ",U85," x ",V85," Sqmm/Phase"),CONCATENATE(AP85,"R x ",0.6,"/1kV x ",U85," x ",V85,(IF(G85="MOTOR","+PE",""))," Sqmm"))</f>
        <v>1R x 0.6/1kV x 4C x 10 Sqmm</v>
      </c>
      <c r="AX85" s="343">
        <f t="shared" ref="AX85:AX103" si="894">(IF(K85=400,(IF(U85="1C",(4*AH85*AP85),(AH85*AP85))),IF(K85=230,(AH85*AP85))))</f>
        <v>44</v>
      </c>
      <c r="AY85" s="355"/>
      <c r="AZ85" s="355">
        <f t="shared" ref="AZ85:AZ103" si="895">IF(U85="1C",(3*AP85*2),(AP85*2))</f>
        <v>2</v>
      </c>
      <c r="BA85" s="356" t="str">
        <f t="shared" ref="BA85:BA103" si="896">CONCATENATE(IF(BE85=1,BE$4,""),IF(BF85=1,BF$4,""),IF(BG85=1,BG$4,""),IF(BH85=1,BH$4,""),IF(BI85=1,BI$4,""),IF(BJ85=1,BJ$4,""),IF(BK85=1,BK$4,""),IF(BL85=1,BL$4,""),IF(BM85=1,BM$4,""),IF(BN85=1,BN$4,""),IF(BO85=1,BO$4,""),IF(BP85=1,BP$4,""),IF(BQ85=1,BQ$4,""),IF(BR85=1,BR$4,""),IF(BS85=1,BS$4,""),IF(BT85=1,BT$4,""),IF(BU85=1,BU$4,""),IF(BV85=1,BV$4,""),IF(BW85=1,BW$4,""),IF(BX85=1,BX$4,""),IF(BY85=1,BY$4,""),IF(BZ85=1,BZ$4,""),IF(CA85=1,CA$4,""),IF(CB85=1,CB$4,""),IF(CC85=1,CC$4,""),IF(CD85=1,CD$4,""),IF(CE85=1,CE$4,""),IF(CF85=1,CF$4,""),IF(CG85=1,CG$4,""),IF(CH85=1,CH$4,""),IF(CI85=1,CI$4,""),IF(CJ85=1,CJ$4,""),IF(CK85=1,CK$4,""),IF(CL85=1,CL$4,""),IF(CM85=1,CM$4,""),IF(CN85=1,CN$4,""),IF(CO85=1,CO$4,""),IF(CP85=1,CP$4,""),IF(CQ85=1,CQ$4,""),IF(CR85=1,CR$4,""),IF(CS85=1,CS$4,""),IF(CT85=1,CT$4,""),IF(CU85=1,CU$4,""),IF(CV85=1,CV$4,""),IF(CW85=1,CW$4,""),IF(CX85=1,CX$4,""),IF(CY85=1,CY$4,""),IF(CZ85=1,CZ$4,""),IF(DA85=1,DA$4,""),IF(DB85=1,DB$4,""),IF(DC85=1,DC$4,""),IF(DD85=1,DD$4,""),IF(DE85=1,DE$4,""),IF(DF85=1,DF$4,""),IF(DG85=1,DG$4,""),IF(DH85=1,DH$4,""),IF(DI85=1,DI$4,""),IF(DJ85=1,DJ$4,""),IF(DK85=1,DK$4,""),IF(DL85=1,DL$4,""),IF(DM85=1,DM$4,""),IF(DN85=1,DN$4,""),IF(DO85=1,DO$4,""),IF(DP85=1,DP$4,""),IF(DQ85=1,DQ$4,""),IF(DR85=1,DR$4,""),IF(DS85=1,DS$4,""),IF(DT85=1,DT$4,""),IF(DU85=1,DU$4,""))</f>
        <v/>
      </c>
      <c r="BB85" s="501">
        <f>VLOOKUP(W85,'Catalogue Aluminium'!$B$9:$H$93,7,FALSE)</f>
        <v>20</v>
      </c>
      <c r="BC85" s="328">
        <f t="shared" ref="BC85:BC103" si="897">AP85*BB85</f>
        <v>20</v>
      </c>
      <c r="BE85" s="336"/>
      <c r="BF85" s="336"/>
      <c r="BG85" s="336"/>
      <c r="BH85" s="336"/>
      <c r="BI85" s="336"/>
      <c r="BJ85" s="336"/>
      <c r="BK85" s="336"/>
      <c r="BL85" s="336"/>
      <c r="BM85" s="336"/>
      <c r="BN85" s="336"/>
      <c r="BO85" s="336"/>
      <c r="BP85" s="336"/>
      <c r="BQ85" s="336"/>
      <c r="BR85" s="336"/>
      <c r="BS85" s="336"/>
      <c r="BT85" s="336"/>
      <c r="BU85" s="336"/>
      <c r="BV85" s="336"/>
      <c r="BW85" s="336"/>
      <c r="BX85" s="336"/>
      <c r="BY85" s="336"/>
      <c r="BZ85" s="336"/>
      <c r="CA85" s="336"/>
      <c r="CB85" s="336"/>
      <c r="CC85" s="336"/>
      <c r="CD85" s="336"/>
      <c r="CE85" s="336"/>
      <c r="CF85" s="336"/>
      <c r="CG85" s="336"/>
      <c r="CH85" s="336"/>
      <c r="CI85" s="336"/>
      <c r="CJ85" s="336"/>
      <c r="CK85" s="336"/>
      <c r="CL85" s="336"/>
      <c r="CM85" s="336"/>
      <c r="CN85" s="336"/>
      <c r="CO85" s="336"/>
      <c r="CP85" s="336"/>
      <c r="CQ85" s="336"/>
      <c r="CR85" s="336"/>
      <c r="CS85" s="336"/>
      <c r="CT85" s="336"/>
      <c r="CU85" s="336"/>
      <c r="CV85" s="336"/>
      <c r="CW85" s="336"/>
      <c r="CX85" s="336"/>
      <c r="CY85" s="336"/>
      <c r="CZ85" s="336"/>
      <c r="DA85" s="336"/>
      <c r="DB85" s="336"/>
      <c r="DC85" s="336"/>
      <c r="DD85" s="336"/>
      <c r="DE85" s="336"/>
      <c r="DF85" s="336"/>
      <c r="DG85" s="336"/>
      <c r="DH85" s="336"/>
      <c r="DI85" s="336"/>
      <c r="DJ85" s="336"/>
      <c r="DK85" s="336"/>
      <c r="DL85" s="336"/>
      <c r="DM85" s="336"/>
      <c r="DN85" s="336"/>
      <c r="DO85" s="336"/>
      <c r="DP85" s="336"/>
      <c r="DQ85" s="336"/>
      <c r="DR85" s="336"/>
      <c r="DS85" s="336"/>
      <c r="DT85" s="336"/>
      <c r="DU85" s="336"/>
      <c r="DW85" s="336">
        <f t="shared" si="80"/>
        <v>0</v>
      </c>
      <c r="DX85" s="336">
        <f t="shared" si="1"/>
        <v>0</v>
      </c>
      <c r="DY85" s="336">
        <f t="shared" si="2"/>
        <v>0</v>
      </c>
      <c r="DZ85" s="336">
        <f t="shared" si="3"/>
        <v>0</v>
      </c>
      <c r="EA85" s="336">
        <f t="shared" si="4"/>
        <v>0</v>
      </c>
      <c r="EB85" s="336">
        <f t="shared" si="5"/>
        <v>0</v>
      </c>
      <c r="EC85" s="336">
        <f t="shared" si="6"/>
        <v>0</v>
      </c>
      <c r="ED85" s="336">
        <f t="shared" si="7"/>
        <v>0</v>
      </c>
      <c r="EE85" s="336">
        <f t="shared" si="8"/>
        <v>0</v>
      </c>
      <c r="EF85" s="336">
        <f t="shared" si="9"/>
        <v>0</v>
      </c>
      <c r="EG85" s="336">
        <f t="shared" si="10"/>
        <v>0</v>
      </c>
      <c r="EH85" s="336">
        <f t="shared" si="11"/>
        <v>0</v>
      </c>
      <c r="EI85" s="336">
        <f t="shared" si="12"/>
        <v>0</v>
      </c>
      <c r="EJ85" s="336">
        <f t="shared" si="13"/>
        <v>0</v>
      </c>
      <c r="EK85" s="336">
        <f t="shared" si="14"/>
        <v>0</v>
      </c>
      <c r="EL85" s="336">
        <f t="shared" si="15"/>
        <v>0</v>
      </c>
      <c r="EM85" s="336">
        <f t="shared" si="16"/>
        <v>0</v>
      </c>
      <c r="EN85" s="336">
        <f t="shared" si="17"/>
        <v>0</v>
      </c>
      <c r="EO85" s="336">
        <f t="shared" si="18"/>
        <v>0</v>
      </c>
      <c r="EP85" s="336">
        <f t="shared" si="19"/>
        <v>0</v>
      </c>
      <c r="EQ85" s="336">
        <f t="shared" si="20"/>
        <v>0</v>
      </c>
      <c r="ER85" s="336">
        <f t="shared" si="21"/>
        <v>0</v>
      </c>
      <c r="ES85" s="336">
        <f t="shared" si="22"/>
        <v>0</v>
      </c>
      <c r="ET85" s="336">
        <f t="shared" si="22"/>
        <v>0</v>
      </c>
      <c r="EU85" s="336">
        <f t="shared" si="23"/>
        <v>0</v>
      </c>
      <c r="EV85" s="336">
        <f t="shared" si="24"/>
        <v>0</v>
      </c>
      <c r="EW85" s="336">
        <f t="shared" si="25"/>
        <v>0</v>
      </c>
      <c r="EX85" s="336">
        <f t="shared" si="26"/>
        <v>0</v>
      </c>
      <c r="EY85" s="336">
        <f t="shared" si="27"/>
        <v>0</v>
      </c>
      <c r="EZ85" s="336">
        <f t="shared" si="28"/>
        <v>0</v>
      </c>
      <c r="FA85" s="336">
        <f t="shared" si="29"/>
        <v>0</v>
      </c>
      <c r="FB85" s="336">
        <f t="shared" si="30"/>
        <v>0</v>
      </c>
      <c r="FC85" s="336">
        <f t="shared" si="31"/>
        <v>0</v>
      </c>
      <c r="FD85" s="336">
        <f t="shared" si="32"/>
        <v>0</v>
      </c>
      <c r="FE85" s="336">
        <f t="shared" si="33"/>
        <v>0</v>
      </c>
      <c r="FF85" s="336">
        <f t="shared" si="34"/>
        <v>0</v>
      </c>
      <c r="FG85" s="336">
        <f t="shared" si="35"/>
        <v>0</v>
      </c>
      <c r="FH85" s="336">
        <f t="shared" si="36"/>
        <v>0</v>
      </c>
      <c r="FI85" s="336">
        <f t="shared" si="37"/>
        <v>0</v>
      </c>
      <c r="FJ85" s="336">
        <f t="shared" si="38"/>
        <v>0</v>
      </c>
      <c r="FK85" s="336">
        <f t="shared" si="39"/>
        <v>0</v>
      </c>
      <c r="FL85" s="336">
        <f t="shared" si="40"/>
        <v>0</v>
      </c>
      <c r="FM85" s="336">
        <f t="shared" si="41"/>
        <v>0</v>
      </c>
      <c r="FN85" s="336">
        <f t="shared" si="42"/>
        <v>0</v>
      </c>
      <c r="FO85" s="336">
        <f t="shared" si="43"/>
        <v>0</v>
      </c>
      <c r="FP85" s="336">
        <f t="shared" si="44"/>
        <v>0</v>
      </c>
      <c r="FQ85" s="336">
        <f t="shared" si="45"/>
        <v>0</v>
      </c>
      <c r="FR85" s="336">
        <f t="shared" si="46"/>
        <v>0</v>
      </c>
      <c r="FS85" s="336">
        <f t="shared" si="47"/>
        <v>0</v>
      </c>
      <c r="FT85" s="336">
        <f t="shared" si="48"/>
        <v>0</v>
      </c>
      <c r="FU85" s="336">
        <f t="shared" si="553"/>
        <v>0</v>
      </c>
      <c r="FV85" s="336">
        <f t="shared" si="554"/>
        <v>0</v>
      </c>
      <c r="FW85" s="336">
        <f t="shared" si="555"/>
        <v>0</v>
      </c>
      <c r="FX85" s="336">
        <f t="shared" si="556"/>
        <v>0</v>
      </c>
      <c r="FY85" s="336">
        <f t="shared" si="53"/>
        <v>0</v>
      </c>
      <c r="FZ85" s="336">
        <f t="shared" si="54"/>
        <v>0</v>
      </c>
      <c r="GA85" s="336">
        <f t="shared" si="55"/>
        <v>0</v>
      </c>
      <c r="GB85" s="336">
        <f t="shared" si="56"/>
        <v>0</v>
      </c>
      <c r="GC85" s="336">
        <f t="shared" si="57"/>
        <v>0</v>
      </c>
      <c r="GD85" s="336">
        <f t="shared" si="58"/>
        <v>0</v>
      </c>
      <c r="GE85" s="336">
        <f t="shared" si="59"/>
        <v>0</v>
      </c>
      <c r="GF85" s="336">
        <f t="shared" si="60"/>
        <v>0</v>
      </c>
      <c r="GG85" s="336">
        <f t="shared" si="61"/>
        <v>0</v>
      </c>
      <c r="GH85" s="336">
        <f t="shared" si="62"/>
        <v>0</v>
      </c>
      <c r="GI85" s="336">
        <f t="shared" si="63"/>
        <v>0</v>
      </c>
      <c r="GJ85" s="336">
        <f t="shared" si="64"/>
        <v>0</v>
      </c>
      <c r="GK85" s="336">
        <f t="shared" si="65"/>
        <v>0</v>
      </c>
      <c r="GL85" s="336">
        <f t="shared" si="557"/>
        <v>0</v>
      </c>
      <c r="GM85" s="336">
        <f t="shared" si="66"/>
        <v>0</v>
      </c>
    </row>
    <row r="86" spans="1:195" ht="20.100000000000001" customHeight="1">
      <c r="A86" s="337">
        <f>A85+1</f>
        <v>61</v>
      </c>
      <c r="B86" s="444" t="s">
        <v>1176</v>
      </c>
      <c r="C86" s="372" t="str">
        <f t="shared" ref="C86:C103" si="898">$D$83</f>
        <v>PDB-2</v>
      </c>
      <c r="D86" s="444" t="s">
        <v>1177</v>
      </c>
      <c r="E86" s="567" t="s">
        <v>1178</v>
      </c>
      <c r="F86" s="343" t="s">
        <v>29</v>
      </c>
      <c r="G86" s="337" t="s">
        <v>329</v>
      </c>
      <c r="H86" s="917">
        <v>43.37</v>
      </c>
      <c r="I86" s="337" t="s">
        <v>330</v>
      </c>
      <c r="J86" s="337" t="s">
        <v>331</v>
      </c>
      <c r="K86" s="349">
        <v>400</v>
      </c>
      <c r="L86" s="343">
        <v>0.85</v>
      </c>
      <c r="M86" s="350">
        <v>0.95</v>
      </c>
      <c r="N86" s="342">
        <f t="shared" si="869"/>
        <v>77.524506824730636</v>
      </c>
      <c r="O86" s="342">
        <f t="shared" si="883"/>
        <v>0</v>
      </c>
      <c r="P86" s="343" t="str">
        <f t="shared" si="871"/>
        <v>0.00</v>
      </c>
      <c r="Q86" s="350">
        <v>65</v>
      </c>
      <c r="R86" s="350">
        <v>0</v>
      </c>
      <c r="S86" s="350">
        <f t="shared" si="872"/>
        <v>0</v>
      </c>
      <c r="T86" s="343" t="s">
        <v>332</v>
      </c>
      <c r="U86" s="350" t="s">
        <v>535</v>
      </c>
      <c r="V86" s="343">
        <v>95</v>
      </c>
      <c r="W86" s="343" t="str">
        <f t="shared" si="873"/>
        <v>3.5C X 95</v>
      </c>
      <c r="X86" s="343" t="str">
        <f t="shared" si="884"/>
        <v>3.5C X 95</v>
      </c>
      <c r="Y86" s="343" t="s">
        <v>358</v>
      </c>
      <c r="Z86" s="344">
        <f>IF(T86="AIR",VLOOKUP(W86,'Catalogue Aluminium'!$B$9:$G$93,2,FALSE),IF(T86="GROUND",VLOOKUP(W86,'Catalogue Aluminium'!$B$9:$G$93,3,FALSE),IF(T86="DUCT",VLOOKUP(W86,'Catalogue Aluminium'!$B$9:$G$93,4,FALSE),IF(T86="TRENCH",VLOOKUP(W86,'Catalogue Aluminium'!$B$9:$G$93,2,FALSE)))))</f>
        <v>221</v>
      </c>
      <c r="AA86" s="345">
        <f>VLOOKUP(W86,'Catalogue Aluminium'!$B$9:$G$93,5,FALSE)</f>
        <v>0.41</v>
      </c>
      <c r="AB86" s="345">
        <f>VLOOKUP(W86,'Catalogue Aluminium'!$B$9:$G$93,6,FALSE)</f>
        <v>7.3400000000000007E-2</v>
      </c>
      <c r="AC86" s="343">
        <f t="shared" ref="AC86:AC103" si="899">8+9</f>
        <v>17</v>
      </c>
      <c r="AD86" s="343">
        <f>12+58+20+5</f>
        <v>95</v>
      </c>
      <c r="AE86" s="343">
        <v>10</v>
      </c>
      <c r="AF86" s="343">
        <v>8</v>
      </c>
      <c r="AG86" s="343">
        <f t="shared" si="134"/>
        <v>13</v>
      </c>
      <c r="AH86" s="347">
        <f t="shared" si="885"/>
        <v>143</v>
      </c>
      <c r="AI86" s="344">
        <f>IF(T86="AIR",'Catalogue Aluminium'!$K$9,IF(T86="TRENCH",'Catalogue Aluminium'!$K$12,"NA"))</f>
        <v>0.89</v>
      </c>
      <c r="AJ86" s="342">
        <f>IF(T86="Air",(IF(U86="1C",'Catalogue Aluminium'!$L$9,'Catalogue Aluminium'!$M$9)),IF(T86="DUCT",(IF($U86="1C",'Catalogue Aluminium'!$L$10,'Catalogue Aluminium'!$M$10)),IF(T86="GROUND",(IF($U86="1C",'Catalogue Aluminium'!$L$11,'Catalogue Aluminium'!$M$11)),IF(T86="TRENCH",(IF($U86="1C",'Catalogue Aluminium'!$L$12,'Catalogue Aluminium'!$M$12))))))</f>
        <v>0.66</v>
      </c>
      <c r="AK86" s="344" t="str">
        <f>IF(T86="Air",'Catalogue Aluminium'!$N$9,IF(T86="GROUND",'Catalogue Aluminium'!$N$10,IF(T86="DUCT",'Catalogue Aluminium'!$N$11,IF(T86="TRENCH",'Catalogue Aluminium'!$N$12,"NA"))))</f>
        <v>NA</v>
      </c>
      <c r="AL86" s="344" t="str">
        <f>IF(T86="Air",(IF(U86="1C",'Catalogue Aluminium'!$O$9,'Catalogue Aluminium'!$P$9)),IF(T86="DUCT",(IF($U86="1C",'Catalogue Aluminium'!$O$10,'Catalogue Aluminium'!$P$10)),IF(T86="GROUND",(IF($U86="1C",'Catalogue Aluminium'!$O$11,'Catalogue Aluminium'!$P$11)),IF(T86="TRENCH",(IF($U86="1C",'Catalogue Aluminium'!$O$12,'Catalogue Aluminium'!$P$12))))))</f>
        <v>NA</v>
      </c>
      <c r="AM86" s="344" t="str">
        <f>IF(T86="AIR","NA",IF(T86="TRENCH","NA",IF(T86="DUCT",IF(U86="1C",VLOOKUP(V86,'Catalogue Aluminium'!$Q$9:$S$28,2,FALSE),VLOOKUP(V86,'Catalogue Aluminium'!$Q$9:$S$28,3)),IF(T86="GROUND",IF(U86="1C",VLOOKUP(V86,'Catalogue Aluminium'!$Q$9:$S$28,2,FALSE),VLOOKUP(V86,'Catalogue Aluminium'!$Q$9:$S$28,3))))))</f>
        <v>NA</v>
      </c>
      <c r="AN86" s="351">
        <f t="shared" si="886"/>
        <v>0.58740000000000003</v>
      </c>
      <c r="AO86" s="350">
        <f t="shared" si="887"/>
        <v>129.81540000000001</v>
      </c>
      <c r="AP86" s="349">
        <f t="shared" si="888"/>
        <v>1</v>
      </c>
      <c r="AQ86" s="350" t="str">
        <f t="shared" si="889"/>
        <v>YES</v>
      </c>
      <c r="AR86" s="351">
        <f t="shared" si="136"/>
        <v>1.858543490416291</v>
      </c>
      <c r="AS86" s="343" t="str">
        <f t="shared" si="137"/>
        <v>YES</v>
      </c>
      <c r="AT86" s="351" t="str">
        <f t="shared" si="890"/>
        <v>NA</v>
      </c>
      <c r="AU86" s="343" t="str">
        <f t="shared" si="891"/>
        <v>NA</v>
      </c>
      <c r="AV86" s="354" t="str">
        <f t="shared" si="892"/>
        <v>1R x 0.6/1kV x 3.5C x 95 Sqmm</v>
      </c>
      <c r="AW86" s="354" t="str">
        <f t="shared" si="893"/>
        <v>1R x 0.6/1kV x 3.5C x 95 Sqmm</v>
      </c>
      <c r="AX86" s="343">
        <f t="shared" si="894"/>
        <v>143</v>
      </c>
      <c r="AY86" s="355"/>
      <c r="AZ86" s="355">
        <f t="shared" si="895"/>
        <v>2</v>
      </c>
      <c r="BA86" s="356" t="str">
        <f t="shared" si="896"/>
        <v>Q3RR1R2R2.A</v>
      </c>
      <c r="BB86" s="501">
        <f>VLOOKUP(W86,'Catalogue Aluminium'!$B$9:$H$93,7,FALSE)</f>
        <v>39</v>
      </c>
      <c r="BC86" s="328">
        <f t="shared" si="897"/>
        <v>39</v>
      </c>
      <c r="BE86" s="336"/>
      <c r="BF86" s="336"/>
      <c r="BG86" s="336"/>
      <c r="BH86" s="336"/>
      <c r="BI86" s="336"/>
      <c r="BJ86" s="336"/>
      <c r="BK86" s="336"/>
      <c r="BL86" s="336"/>
      <c r="BM86" s="336"/>
      <c r="BN86" s="336"/>
      <c r="BO86" s="336"/>
      <c r="BP86" s="336"/>
      <c r="BQ86" s="336"/>
      <c r="BR86" s="336"/>
      <c r="BS86" s="336"/>
      <c r="BT86" s="336"/>
      <c r="BU86" s="336"/>
      <c r="BV86" s="336"/>
      <c r="BW86" s="336"/>
      <c r="BX86" s="336"/>
      <c r="BY86" s="336"/>
      <c r="BZ86" s="336"/>
      <c r="CA86" s="336"/>
      <c r="CB86" s="336"/>
      <c r="CC86" s="336"/>
      <c r="CD86" s="336"/>
      <c r="CE86" s="336"/>
      <c r="CF86" s="336"/>
      <c r="CG86" s="336"/>
      <c r="CH86" s="336"/>
      <c r="CI86" s="336"/>
      <c r="CJ86" s="336"/>
      <c r="CK86" s="336"/>
      <c r="CL86" s="336"/>
      <c r="CM86" s="336"/>
      <c r="CN86" s="336"/>
      <c r="CO86" s="336"/>
      <c r="CP86" s="336"/>
      <c r="CQ86" s="336"/>
      <c r="CR86" s="336"/>
      <c r="CS86" s="336"/>
      <c r="CT86" s="336"/>
      <c r="CU86" s="336"/>
      <c r="CV86" s="336"/>
      <c r="CW86" s="336"/>
      <c r="CX86" s="336"/>
      <c r="CY86" s="336"/>
      <c r="CZ86" s="336"/>
      <c r="DA86" s="336">
        <v>1</v>
      </c>
      <c r="DB86" s="336"/>
      <c r="DC86" s="336"/>
      <c r="DD86" s="336"/>
      <c r="DE86" s="336"/>
      <c r="DF86" s="336"/>
      <c r="DG86" s="336">
        <v>1</v>
      </c>
      <c r="DH86" s="336">
        <v>1</v>
      </c>
      <c r="DI86" s="336">
        <v>1</v>
      </c>
      <c r="DJ86" s="336"/>
      <c r="DK86" s="336">
        <v>1</v>
      </c>
      <c r="DL86" s="336"/>
      <c r="DM86" s="336"/>
      <c r="DN86" s="336"/>
      <c r="DO86" s="336"/>
      <c r="DP86" s="336"/>
      <c r="DQ86" s="336"/>
      <c r="DR86" s="336"/>
      <c r="DS86" s="336"/>
      <c r="DT86" s="336"/>
      <c r="DU86" s="336"/>
      <c r="DW86" s="336">
        <f t="shared" si="80"/>
        <v>0</v>
      </c>
      <c r="DX86" s="336">
        <f t="shared" ref="DX86:DX133" si="900">IF(BF86=1,($BC86*BF86),0)</f>
        <v>0</v>
      </c>
      <c r="DY86" s="336">
        <f t="shared" ref="DY86:DY133" si="901">IF(BG86=1,($BC86*BG86),0)</f>
        <v>0</v>
      </c>
      <c r="DZ86" s="336">
        <f t="shared" ref="DZ86:DZ133" si="902">IF(BH86=1,($BC86*BH86),0)</f>
        <v>0</v>
      </c>
      <c r="EA86" s="336">
        <f t="shared" ref="EA86:EA133" si="903">IF(BI86=1,($BC86*BI86),0)</f>
        <v>0</v>
      </c>
      <c r="EB86" s="336">
        <f t="shared" ref="EB86:EB133" si="904">IF(BJ86=1,($BC86*BJ86),0)</f>
        <v>0</v>
      </c>
      <c r="EC86" s="336">
        <f t="shared" ref="EC86:EC133" si="905">IF(BK86=1,($BC86*BK86),0)</f>
        <v>0</v>
      </c>
      <c r="ED86" s="336">
        <f t="shared" ref="ED86:ED133" si="906">IF(BL86=1,($BC86*BL86),0)</f>
        <v>0</v>
      </c>
      <c r="EE86" s="336">
        <f t="shared" ref="EE86:EE133" si="907">IF(BM86=1,($BC86*BM86),0)</f>
        <v>0</v>
      </c>
      <c r="EF86" s="336">
        <f t="shared" ref="EF86:EF133" si="908">IF(BN86=1,($BC86*BN86),0)</f>
        <v>0</v>
      </c>
      <c r="EG86" s="336">
        <f t="shared" ref="EG86:EG133" si="909">IF(BO86=1,($BC86*BO86),0)</f>
        <v>0</v>
      </c>
      <c r="EH86" s="336">
        <f t="shared" ref="EH86:EH133" si="910">IF(BP86=1,($BC86*BP86),0)</f>
        <v>0</v>
      </c>
      <c r="EI86" s="336">
        <f t="shared" ref="EI86:EI133" si="911">IF(BQ86=1,($BC86*BQ86),0)</f>
        <v>0</v>
      </c>
      <c r="EJ86" s="336">
        <f t="shared" ref="EJ86:EJ133" si="912">IF(BR86=1,($BC86*BR86),0)</f>
        <v>0</v>
      </c>
      <c r="EK86" s="336">
        <f t="shared" ref="EK86:EK133" si="913">IF(BS86=1,($BC86*BS86),0)</f>
        <v>0</v>
      </c>
      <c r="EL86" s="336">
        <f t="shared" ref="EL86:EL133" si="914">IF(BT86=1,($BC86*BT86),0)</f>
        <v>0</v>
      </c>
      <c r="EM86" s="336">
        <f t="shared" ref="EM86:EM133" si="915">IF(BU86=1,($BC86*BU86),0)</f>
        <v>0</v>
      </c>
      <c r="EN86" s="336">
        <f t="shared" ref="EN86:EN133" si="916">IF(BV86=1,($BC86*BV86),0)</f>
        <v>0</v>
      </c>
      <c r="EO86" s="336">
        <f t="shared" ref="EO86:EO133" si="917">IF(BW86=1,($BC86*BW86),0)</f>
        <v>0</v>
      </c>
      <c r="EP86" s="336">
        <f t="shared" ref="EP86:EP133" si="918">IF(BX86=1,($BC86*BX86),0)</f>
        <v>0</v>
      </c>
      <c r="EQ86" s="336">
        <f t="shared" ref="EQ86:EQ133" si="919">IF(BY86=1,($BC86*BY86),0)</f>
        <v>0</v>
      </c>
      <c r="ER86" s="336">
        <f t="shared" ref="ER86:ER133" si="920">IF(BZ86=1,($BC86*BZ86),0)</f>
        <v>0</v>
      </c>
      <c r="ES86" s="336">
        <f t="shared" ref="ES86:ET133" si="921">IF(CA86=1,($BC86*CA86),0)</f>
        <v>0</v>
      </c>
      <c r="ET86" s="336">
        <f t="shared" si="921"/>
        <v>0</v>
      </c>
      <c r="EU86" s="336">
        <f t="shared" ref="EU86:EU133" si="922">IF(CC86=1,($BC86*CC86),0)</f>
        <v>0</v>
      </c>
      <c r="EV86" s="336">
        <f t="shared" ref="EV86:EV133" si="923">IF(CD86=1,($BC86*CD86),0)</f>
        <v>0</v>
      </c>
      <c r="EW86" s="336">
        <f t="shared" ref="EW86:EW133" si="924">IF(CE86=1,($BC86*CE86),0)</f>
        <v>0</v>
      </c>
      <c r="EX86" s="336">
        <f t="shared" ref="EX86:EX133" si="925">IF(CF86=1,($BC86*CF86),0)</f>
        <v>0</v>
      </c>
      <c r="EY86" s="336">
        <f t="shared" ref="EY86:EY133" si="926">IF(CG86=1,($BC86*CG86),0)</f>
        <v>0</v>
      </c>
      <c r="EZ86" s="336">
        <f t="shared" ref="EZ86:EZ133" si="927">IF(CH86=1,($BC86*CH86),0)</f>
        <v>0</v>
      </c>
      <c r="FA86" s="336">
        <f t="shared" ref="FA86:FA133" si="928">IF(CI86=1,($BC86*CI86),0)</f>
        <v>0</v>
      </c>
      <c r="FB86" s="336">
        <f t="shared" ref="FB86:FB133" si="929">IF(CJ86=1,($BC86*CJ86),0)</f>
        <v>0</v>
      </c>
      <c r="FC86" s="336">
        <f t="shared" ref="FC86:FC133" si="930">IF(CK86=1,($BC86*CK86),0)</f>
        <v>0</v>
      </c>
      <c r="FD86" s="336">
        <f t="shared" ref="FD86:FD133" si="931">IF(CL86=1,($BC86*CL86),0)</f>
        <v>0</v>
      </c>
      <c r="FE86" s="336">
        <f t="shared" ref="FE86:FE133" si="932">IF(CM86=1,($BC86*CM86),0)</f>
        <v>0</v>
      </c>
      <c r="FF86" s="336">
        <f t="shared" ref="FF86:FF133" si="933">IF(CN86=1,($BC86*CN86),0)</f>
        <v>0</v>
      </c>
      <c r="FG86" s="336">
        <f t="shared" ref="FG86:FG133" si="934">IF(CO86=1,($BC86*CO86),0)</f>
        <v>0</v>
      </c>
      <c r="FH86" s="336">
        <f t="shared" ref="FH86:FH133" si="935">IF(CP86=1,($BC86*CP86),0)</f>
        <v>0</v>
      </c>
      <c r="FI86" s="336">
        <f t="shared" ref="FI86:FI133" si="936">IF(CQ86=1,($BC86*CQ86),0)</f>
        <v>0</v>
      </c>
      <c r="FJ86" s="336">
        <f t="shared" ref="FJ86:FJ133" si="937">IF(CR86=1,($BC86*CR86),0)</f>
        <v>0</v>
      </c>
      <c r="FK86" s="336">
        <f t="shared" ref="FK86:FK133" si="938">IF(CS86=1,($BC86*CS86),0)</f>
        <v>0</v>
      </c>
      <c r="FL86" s="336">
        <f t="shared" ref="FL86:FL133" si="939">IF(CT86=1,($BC86*CT86),0)</f>
        <v>0</v>
      </c>
      <c r="FM86" s="336">
        <f t="shared" ref="FM86:FM133" si="940">IF(CU86=1,($BC86*CU86),0)</f>
        <v>0</v>
      </c>
      <c r="FN86" s="336">
        <f t="shared" ref="FN86:FN133" si="941">IF(CV86=1,($BC86*CV86),0)</f>
        <v>0</v>
      </c>
      <c r="FO86" s="336">
        <f t="shared" ref="FO86:FO133" si="942">IF(CW86=1,($BC86*CW86),0)</f>
        <v>0</v>
      </c>
      <c r="FP86" s="336">
        <f t="shared" ref="FP86:FP133" si="943">IF(CX86=1,($BC86*CX86),0)</f>
        <v>0</v>
      </c>
      <c r="FQ86" s="336">
        <f t="shared" ref="FQ86:FQ133" si="944">IF(CY86=1,($BC86*CY86),0)</f>
        <v>0</v>
      </c>
      <c r="FR86" s="336">
        <f t="shared" ref="FR86:FR133" si="945">IF(CZ86=1,($BC86*CZ86),0)</f>
        <v>0</v>
      </c>
      <c r="FS86" s="336">
        <f t="shared" ref="FS86:FS133" si="946">IF(DA86=1,($BC86*DA86),0)</f>
        <v>39</v>
      </c>
      <c r="FT86" s="336">
        <f t="shared" ref="FT86:FT133" si="947">IF(DB86=1,($BC86*DB86),0)</f>
        <v>0</v>
      </c>
      <c r="FU86" s="336">
        <f t="shared" si="553"/>
        <v>0</v>
      </c>
      <c r="FV86" s="336">
        <f t="shared" si="554"/>
        <v>0</v>
      </c>
      <c r="FW86" s="336">
        <f t="shared" si="555"/>
        <v>0</v>
      </c>
      <c r="FX86" s="336">
        <f t="shared" si="556"/>
        <v>0</v>
      </c>
      <c r="FY86" s="336">
        <f t="shared" ref="FY86:FY153" si="948">IF(DG86=1,($BC86*DG86),0)</f>
        <v>39</v>
      </c>
      <c r="FZ86" s="336">
        <f t="shared" ref="FZ86:FZ153" si="949">IF(DH86=1,($BC86*DH86),0)</f>
        <v>39</v>
      </c>
      <c r="GA86" s="336">
        <f t="shared" ref="GA86:GA153" si="950">IF(DI86=1,($BC86*DI86),0)</f>
        <v>39</v>
      </c>
      <c r="GB86" s="336">
        <f t="shared" ref="GB86:GB153" si="951">IF(DJ86=1,($BC86*DJ86),0)</f>
        <v>0</v>
      </c>
      <c r="GC86" s="336">
        <f t="shared" ref="GC86:GC153" si="952">IF(DK86=1,($BC86*DK86),0)</f>
        <v>39</v>
      </c>
      <c r="GD86" s="336">
        <f t="shared" ref="GD86:GD153" si="953">IF(DL86=1,($BC86*DL86),0)</f>
        <v>0</v>
      </c>
      <c r="GE86" s="336">
        <f t="shared" ref="GE86:GE153" si="954">IF(DM86=1,($BC86*DM86),0)</f>
        <v>0</v>
      </c>
      <c r="GF86" s="336">
        <f t="shared" ref="GF86:GF153" si="955">IF(DN86=1,($BC86*DN86),0)</f>
        <v>0</v>
      </c>
      <c r="GG86" s="336">
        <f t="shared" ref="GG86:GG153" si="956">IF(DO86=1,($BC86*DO86),0)</f>
        <v>0</v>
      </c>
      <c r="GH86" s="336">
        <f t="shared" ref="GH86:GH153" si="957">IF(DP86=1,($BC86*DP86),0)</f>
        <v>0</v>
      </c>
      <c r="GI86" s="336">
        <f t="shared" ref="GI86:GI153" si="958">IF(DQ86=1,($BC86*DQ86),0)</f>
        <v>0</v>
      </c>
      <c r="GJ86" s="336">
        <f t="shared" ref="GJ86:GJ153" si="959">IF(DR86=1,($BC86*DR86),0)</f>
        <v>0</v>
      </c>
      <c r="GK86" s="336">
        <f t="shared" ref="GK86:GK153" si="960">IF(DS86=1,($BC86*DS86),0)</f>
        <v>0</v>
      </c>
      <c r="GL86" s="336">
        <f t="shared" si="557"/>
        <v>0</v>
      </c>
      <c r="GM86" s="336">
        <f t="shared" ref="GM86:GM153" si="961">IF(DU86=1,($BC86*DU86),0)</f>
        <v>0</v>
      </c>
    </row>
    <row r="87" spans="1:195" ht="20.100000000000001" customHeight="1">
      <c r="A87" s="337">
        <f t="shared" ref="A87:A102" si="962">A86+1</f>
        <v>62</v>
      </c>
      <c r="B87" s="444" t="s">
        <v>1179</v>
      </c>
      <c r="C87" s="372" t="str">
        <f t="shared" si="898"/>
        <v>PDB-2</v>
      </c>
      <c r="D87" s="444" t="s">
        <v>1180</v>
      </c>
      <c r="E87" s="567" t="s">
        <v>1181</v>
      </c>
      <c r="F87" s="343" t="s">
        <v>29</v>
      </c>
      <c r="G87" s="337" t="s">
        <v>329</v>
      </c>
      <c r="H87" s="917">
        <v>11.97</v>
      </c>
      <c r="I87" s="337" t="s">
        <v>330</v>
      </c>
      <c r="J87" s="337" t="s">
        <v>331</v>
      </c>
      <c r="K87" s="349">
        <v>400</v>
      </c>
      <c r="L87" s="343">
        <v>0.85</v>
      </c>
      <c r="M87" s="350">
        <v>0.95</v>
      </c>
      <c r="N87" s="342">
        <f t="shared" si="869"/>
        <v>21.396549381877467</v>
      </c>
      <c r="O87" s="342">
        <f t="shared" si="883"/>
        <v>0</v>
      </c>
      <c r="P87" s="343" t="str">
        <f t="shared" si="871"/>
        <v>0.00</v>
      </c>
      <c r="Q87" s="350">
        <v>65</v>
      </c>
      <c r="R87" s="350">
        <v>0</v>
      </c>
      <c r="S87" s="350">
        <f t="shared" si="872"/>
        <v>0</v>
      </c>
      <c r="T87" s="343" t="s">
        <v>332</v>
      </c>
      <c r="U87" s="917" t="s">
        <v>535</v>
      </c>
      <c r="V87" s="916">
        <v>35</v>
      </c>
      <c r="W87" s="343" t="str">
        <f t="shared" si="873"/>
        <v>3.5C X 35</v>
      </c>
      <c r="X87" s="343" t="str">
        <f t="shared" si="884"/>
        <v>3.5C X 35</v>
      </c>
      <c r="Y87" s="343" t="s">
        <v>358</v>
      </c>
      <c r="Z87" s="344">
        <f>IF(T87="AIR",VLOOKUP(W87,'Catalogue Aluminium'!$B$9:$G$93,2,FALSE),IF(T87="GROUND",VLOOKUP(W87,'Catalogue Aluminium'!$B$9:$G$93,3,FALSE),IF(T87="DUCT",VLOOKUP(W87,'Catalogue Aluminium'!$B$9:$G$93,4,FALSE),IF(T87="TRENCH",VLOOKUP(W87,'Catalogue Aluminium'!$B$9:$G$93,2,FALSE)))))</f>
        <v>117</v>
      </c>
      <c r="AA87" s="345">
        <f>VLOOKUP(W87,'Catalogue Aluminium'!$B$9:$G$93,5,FALSE)</f>
        <v>1.1100000000000001</v>
      </c>
      <c r="AB87" s="345">
        <f>VLOOKUP(W87,'Catalogue Aluminium'!$B$9:$G$93,6,FALSE)</f>
        <v>7.9399999999999998E-2</v>
      </c>
      <c r="AC87" s="343">
        <f t="shared" si="899"/>
        <v>17</v>
      </c>
      <c r="AD87" s="343">
        <f>12+58+20+41+2</f>
        <v>133</v>
      </c>
      <c r="AE87" s="343">
        <v>10</v>
      </c>
      <c r="AF87" s="343">
        <v>8</v>
      </c>
      <c r="AG87" s="343">
        <f t="shared" si="134"/>
        <v>17</v>
      </c>
      <c r="AH87" s="347">
        <f t="shared" si="885"/>
        <v>185</v>
      </c>
      <c r="AI87" s="344">
        <f>IF(T87="AIR",'Catalogue Aluminium'!$K$9,IF(T87="TRENCH",'Catalogue Aluminium'!$K$12,"NA"))</f>
        <v>0.89</v>
      </c>
      <c r="AJ87" s="342">
        <f>IF(T87="Air",(IF(U87="1C",'Catalogue Aluminium'!$L$9,'Catalogue Aluminium'!$M$9)),IF(T87="DUCT",(IF($U87="1C",'Catalogue Aluminium'!$L$10,'Catalogue Aluminium'!$M$10)),IF(T87="GROUND",(IF($U87="1C",'Catalogue Aluminium'!$L$11,'Catalogue Aluminium'!$M$11)),IF(T87="TRENCH",(IF($U87="1C",'Catalogue Aluminium'!$L$12,'Catalogue Aluminium'!$M$12))))))</f>
        <v>0.66</v>
      </c>
      <c r="AK87" s="344" t="str">
        <f>IF(T87="Air",'Catalogue Aluminium'!$N$9,IF(T87="GROUND",'Catalogue Aluminium'!$N$10,IF(T87="DUCT",'Catalogue Aluminium'!$N$11,IF(T87="TRENCH",'Catalogue Aluminium'!$N$12,"NA"))))</f>
        <v>NA</v>
      </c>
      <c r="AL87" s="344" t="str">
        <f>IF(T87="Air",(IF(U87="1C",'Catalogue Aluminium'!$O$9,'Catalogue Aluminium'!$P$9)),IF(T87="DUCT",(IF($U87="1C",'Catalogue Aluminium'!$O$10,'Catalogue Aluminium'!$P$10)),IF(T87="GROUND",(IF($U87="1C",'Catalogue Aluminium'!$O$11,'Catalogue Aluminium'!$P$11)),IF(T87="TRENCH",(IF($U87="1C",'Catalogue Aluminium'!$O$12,'Catalogue Aluminium'!$P$12))))))</f>
        <v>NA</v>
      </c>
      <c r="AM87" s="344" t="str">
        <f>IF(T87="AIR","NA",IF(T87="TRENCH","NA",IF(T87="DUCT",IF(U87="1C",VLOOKUP(V87,'Catalogue Aluminium'!$Q$9:$S$28,2,FALSE),VLOOKUP(V87,'Catalogue Aluminium'!$Q$9:$S$28,3)),IF(T87="GROUND",IF(U87="1C",VLOOKUP(V87,'Catalogue Aluminium'!$Q$9:$S$28,2,FALSE),VLOOKUP(V87,'Catalogue Aluminium'!$Q$9:$S$28,3))))))</f>
        <v>NA</v>
      </c>
      <c r="AN87" s="351">
        <f t="shared" si="886"/>
        <v>0.58740000000000003</v>
      </c>
      <c r="AO87" s="350">
        <f t="shared" si="887"/>
        <v>68.725800000000007</v>
      </c>
      <c r="AP87" s="349">
        <f t="shared" si="888"/>
        <v>1</v>
      </c>
      <c r="AQ87" s="350" t="str">
        <f t="shared" si="889"/>
        <v>YES</v>
      </c>
      <c r="AR87" s="351">
        <f t="shared" si="136"/>
        <v>1.6888702595419658</v>
      </c>
      <c r="AS87" s="343" t="str">
        <f t="shared" si="137"/>
        <v>YES</v>
      </c>
      <c r="AT87" s="351" t="str">
        <f t="shared" si="890"/>
        <v>NA</v>
      </c>
      <c r="AU87" s="343" t="str">
        <f t="shared" si="891"/>
        <v>NA</v>
      </c>
      <c r="AV87" s="354" t="str">
        <f t="shared" si="892"/>
        <v>1R x 0.6/1kV x 3.5C x 35 Sqmm</v>
      </c>
      <c r="AW87" s="354" t="str">
        <f t="shared" si="893"/>
        <v>1R x 0.6/1kV x 3.5C x 35 Sqmm</v>
      </c>
      <c r="AX87" s="343">
        <f t="shared" si="894"/>
        <v>185</v>
      </c>
      <c r="AY87" s="355"/>
      <c r="AZ87" s="355">
        <f t="shared" si="895"/>
        <v>2</v>
      </c>
      <c r="BA87" s="356" t="str">
        <f t="shared" si="896"/>
        <v>Q3RR1R2SS.B</v>
      </c>
      <c r="BB87" s="501">
        <f>VLOOKUP(W87,'Catalogue Aluminium'!$B$9:$H$93,7,FALSE)</f>
        <v>27</v>
      </c>
      <c r="BC87" s="328">
        <f t="shared" si="897"/>
        <v>27</v>
      </c>
      <c r="BE87" s="336"/>
      <c r="BF87" s="336"/>
      <c r="BG87" s="336"/>
      <c r="BH87" s="336"/>
      <c r="BI87" s="336"/>
      <c r="BJ87" s="336"/>
      <c r="BK87" s="336"/>
      <c r="BL87" s="336"/>
      <c r="BM87" s="336"/>
      <c r="BN87" s="336"/>
      <c r="BO87" s="336"/>
      <c r="BP87" s="336"/>
      <c r="BQ87" s="336"/>
      <c r="BR87" s="336"/>
      <c r="BS87" s="336"/>
      <c r="BT87" s="336"/>
      <c r="BU87" s="336"/>
      <c r="BV87" s="336"/>
      <c r="BW87" s="336"/>
      <c r="BX87" s="336"/>
      <c r="BY87" s="336"/>
      <c r="BZ87" s="336"/>
      <c r="CA87" s="336"/>
      <c r="CB87" s="336"/>
      <c r="CC87" s="336"/>
      <c r="CD87" s="336"/>
      <c r="CE87" s="336"/>
      <c r="CF87" s="336"/>
      <c r="CG87" s="336"/>
      <c r="CH87" s="336"/>
      <c r="CI87" s="336"/>
      <c r="CJ87" s="336"/>
      <c r="CK87" s="336"/>
      <c r="CL87" s="336"/>
      <c r="CM87" s="336"/>
      <c r="CN87" s="336"/>
      <c r="CO87" s="336"/>
      <c r="CP87" s="336"/>
      <c r="CQ87" s="336"/>
      <c r="CR87" s="336"/>
      <c r="CS87" s="336"/>
      <c r="CT87" s="336"/>
      <c r="CU87" s="336"/>
      <c r="CV87" s="336"/>
      <c r="CW87" s="336"/>
      <c r="CX87" s="336"/>
      <c r="CY87" s="336"/>
      <c r="CZ87" s="336"/>
      <c r="DA87" s="336">
        <v>1</v>
      </c>
      <c r="DB87" s="336"/>
      <c r="DC87" s="336"/>
      <c r="DD87" s="336"/>
      <c r="DE87" s="336"/>
      <c r="DF87" s="336"/>
      <c r="DG87" s="336">
        <v>1</v>
      </c>
      <c r="DH87" s="336">
        <v>1</v>
      </c>
      <c r="DI87" s="336">
        <v>1</v>
      </c>
      <c r="DJ87" s="336"/>
      <c r="DK87" s="336"/>
      <c r="DL87" s="336">
        <v>1</v>
      </c>
      <c r="DM87" s="336"/>
      <c r="DN87" s="336">
        <v>1</v>
      </c>
      <c r="DO87" s="336"/>
      <c r="DP87" s="336"/>
      <c r="DQ87" s="336"/>
      <c r="DR87" s="336"/>
      <c r="DS87" s="336"/>
      <c r="DT87" s="336"/>
      <c r="DU87" s="336"/>
      <c r="DW87" s="336">
        <f t="shared" si="80"/>
        <v>0</v>
      </c>
      <c r="DX87" s="336">
        <f t="shared" si="900"/>
        <v>0</v>
      </c>
      <c r="DY87" s="336">
        <f t="shared" si="901"/>
        <v>0</v>
      </c>
      <c r="DZ87" s="336">
        <f t="shared" si="902"/>
        <v>0</v>
      </c>
      <c r="EA87" s="336">
        <f t="shared" si="903"/>
        <v>0</v>
      </c>
      <c r="EB87" s="336">
        <f t="shared" si="904"/>
        <v>0</v>
      </c>
      <c r="EC87" s="336">
        <f t="shared" si="905"/>
        <v>0</v>
      </c>
      <c r="ED87" s="336">
        <f t="shared" si="906"/>
        <v>0</v>
      </c>
      <c r="EE87" s="336">
        <f t="shared" si="907"/>
        <v>0</v>
      </c>
      <c r="EF87" s="336">
        <f t="shared" si="908"/>
        <v>0</v>
      </c>
      <c r="EG87" s="336">
        <f t="shared" si="909"/>
        <v>0</v>
      </c>
      <c r="EH87" s="336">
        <f t="shared" si="910"/>
        <v>0</v>
      </c>
      <c r="EI87" s="336">
        <f t="shared" si="911"/>
        <v>0</v>
      </c>
      <c r="EJ87" s="336">
        <f t="shared" si="912"/>
        <v>0</v>
      </c>
      <c r="EK87" s="336">
        <f t="shared" si="913"/>
        <v>0</v>
      </c>
      <c r="EL87" s="336">
        <f t="shared" si="914"/>
        <v>0</v>
      </c>
      <c r="EM87" s="336">
        <f t="shared" si="915"/>
        <v>0</v>
      </c>
      <c r="EN87" s="336">
        <f t="shared" si="916"/>
        <v>0</v>
      </c>
      <c r="EO87" s="336">
        <f t="shared" si="917"/>
        <v>0</v>
      </c>
      <c r="EP87" s="336">
        <f t="shared" si="918"/>
        <v>0</v>
      </c>
      <c r="EQ87" s="336">
        <f t="shared" si="919"/>
        <v>0</v>
      </c>
      <c r="ER87" s="336">
        <f t="shared" si="920"/>
        <v>0</v>
      </c>
      <c r="ES87" s="336">
        <f t="shared" si="921"/>
        <v>0</v>
      </c>
      <c r="ET87" s="336">
        <f t="shared" si="921"/>
        <v>0</v>
      </c>
      <c r="EU87" s="336">
        <f t="shared" si="922"/>
        <v>0</v>
      </c>
      <c r="EV87" s="336">
        <f t="shared" si="923"/>
        <v>0</v>
      </c>
      <c r="EW87" s="336">
        <f t="shared" si="924"/>
        <v>0</v>
      </c>
      <c r="EX87" s="336">
        <f t="shared" si="925"/>
        <v>0</v>
      </c>
      <c r="EY87" s="336">
        <f t="shared" si="926"/>
        <v>0</v>
      </c>
      <c r="EZ87" s="336">
        <f t="shared" si="927"/>
        <v>0</v>
      </c>
      <c r="FA87" s="336">
        <f t="shared" si="928"/>
        <v>0</v>
      </c>
      <c r="FB87" s="336">
        <f t="shared" si="929"/>
        <v>0</v>
      </c>
      <c r="FC87" s="336">
        <f t="shared" si="930"/>
        <v>0</v>
      </c>
      <c r="FD87" s="336">
        <f t="shared" si="931"/>
        <v>0</v>
      </c>
      <c r="FE87" s="336">
        <f t="shared" si="932"/>
        <v>0</v>
      </c>
      <c r="FF87" s="336">
        <f t="shared" si="933"/>
        <v>0</v>
      </c>
      <c r="FG87" s="336">
        <f t="shared" si="934"/>
        <v>0</v>
      </c>
      <c r="FH87" s="336">
        <f t="shared" si="935"/>
        <v>0</v>
      </c>
      <c r="FI87" s="336">
        <f t="shared" si="936"/>
        <v>0</v>
      </c>
      <c r="FJ87" s="336">
        <f t="shared" si="937"/>
        <v>0</v>
      </c>
      <c r="FK87" s="336">
        <f t="shared" si="938"/>
        <v>0</v>
      </c>
      <c r="FL87" s="336">
        <f t="shared" si="939"/>
        <v>0</v>
      </c>
      <c r="FM87" s="336">
        <f t="shared" si="940"/>
        <v>0</v>
      </c>
      <c r="FN87" s="336">
        <f t="shared" si="941"/>
        <v>0</v>
      </c>
      <c r="FO87" s="336">
        <f t="shared" si="942"/>
        <v>0</v>
      </c>
      <c r="FP87" s="336">
        <f t="shared" si="943"/>
        <v>0</v>
      </c>
      <c r="FQ87" s="336">
        <f t="shared" si="944"/>
        <v>0</v>
      </c>
      <c r="FR87" s="336">
        <f t="shared" si="945"/>
        <v>0</v>
      </c>
      <c r="FS87" s="336">
        <f t="shared" si="946"/>
        <v>27</v>
      </c>
      <c r="FT87" s="336">
        <f t="shared" si="947"/>
        <v>0</v>
      </c>
      <c r="FU87" s="336">
        <f t="shared" si="553"/>
        <v>0</v>
      </c>
      <c r="FV87" s="336">
        <f t="shared" si="554"/>
        <v>0</v>
      </c>
      <c r="FW87" s="336">
        <f t="shared" si="555"/>
        <v>0</v>
      </c>
      <c r="FX87" s="336">
        <f t="shared" si="556"/>
        <v>0</v>
      </c>
      <c r="FY87" s="336">
        <f t="shared" si="948"/>
        <v>27</v>
      </c>
      <c r="FZ87" s="336">
        <f t="shared" si="949"/>
        <v>27</v>
      </c>
      <c r="GA87" s="336">
        <f t="shared" si="950"/>
        <v>27</v>
      </c>
      <c r="GB87" s="336">
        <f t="shared" si="951"/>
        <v>0</v>
      </c>
      <c r="GC87" s="336">
        <f t="shared" si="952"/>
        <v>0</v>
      </c>
      <c r="GD87" s="336">
        <f t="shared" si="953"/>
        <v>27</v>
      </c>
      <c r="GE87" s="336">
        <f t="shared" si="954"/>
        <v>0</v>
      </c>
      <c r="GF87" s="336">
        <f t="shared" si="955"/>
        <v>27</v>
      </c>
      <c r="GG87" s="336">
        <f t="shared" si="956"/>
        <v>0</v>
      </c>
      <c r="GH87" s="336">
        <f t="shared" si="957"/>
        <v>0</v>
      </c>
      <c r="GI87" s="336">
        <f t="shared" si="958"/>
        <v>0</v>
      </c>
      <c r="GJ87" s="336">
        <f t="shared" si="959"/>
        <v>0</v>
      </c>
      <c r="GK87" s="336">
        <f t="shared" si="960"/>
        <v>0</v>
      </c>
      <c r="GL87" s="336">
        <f t="shared" si="557"/>
        <v>0</v>
      </c>
      <c r="GM87" s="336">
        <f t="shared" si="961"/>
        <v>0</v>
      </c>
    </row>
    <row r="88" spans="1:195" ht="20.100000000000001" customHeight="1">
      <c r="A88" s="337">
        <f t="shared" si="962"/>
        <v>63</v>
      </c>
      <c r="B88" s="444" t="s">
        <v>527</v>
      </c>
      <c r="C88" s="372" t="str">
        <f t="shared" si="898"/>
        <v>PDB-2</v>
      </c>
      <c r="D88" s="444" t="s">
        <v>743</v>
      </c>
      <c r="E88" s="567" t="s">
        <v>1182</v>
      </c>
      <c r="F88" s="343" t="s">
        <v>28</v>
      </c>
      <c r="G88" s="337" t="s">
        <v>350</v>
      </c>
      <c r="H88" s="583">
        <v>65</v>
      </c>
      <c r="I88" s="337" t="s">
        <v>330</v>
      </c>
      <c r="J88" s="337" t="s">
        <v>331</v>
      </c>
      <c r="K88" s="349">
        <v>400</v>
      </c>
      <c r="L88" s="343">
        <v>0.85</v>
      </c>
      <c r="M88" s="350">
        <v>0.95400000000000007</v>
      </c>
      <c r="N88" s="342">
        <f t="shared" si="869"/>
        <v>115.70128363632118</v>
      </c>
      <c r="O88" s="342">
        <f t="shared" si="883"/>
        <v>694.20770181792705</v>
      </c>
      <c r="P88" s="343">
        <f t="shared" si="871"/>
        <v>0.2</v>
      </c>
      <c r="Q88" s="350">
        <v>65</v>
      </c>
      <c r="R88" s="350">
        <v>0</v>
      </c>
      <c r="S88" s="350">
        <f t="shared" si="872"/>
        <v>0</v>
      </c>
      <c r="T88" s="343" t="s">
        <v>332</v>
      </c>
      <c r="U88" s="350" t="s">
        <v>333</v>
      </c>
      <c r="V88" s="343">
        <v>150</v>
      </c>
      <c r="W88" s="343" t="str">
        <f t="shared" si="873"/>
        <v>3C X 150</v>
      </c>
      <c r="X88" s="343" t="str">
        <f t="shared" si="884"/>
        <v>3C X 150+PE</v>
      </c>
      <c r="Y88" s="343" t="s">
        <v>358</v>
      </c>
      <c r="Z88" s="344">
        <f>IF(T88="AIR",VLOOKUP(W88,'Catalogue Aluminium'!$B$9:$G$93,2,FALSE),IF(T88="GROUND",VLOOKUP(W88,'Catalogue Aluminium'!$B$9:$G$93,3,FALSE),IF(T88="DUCT",VLOOKUP(W88,'Catalogue Aluminium'!$B$9:$G$93,4,FALSE),IF(T88="TRENCH",VLOOKUP(W88,'Catalogue Aluminium'!$B$9:$G$93,2,FALSE)))))</f>
        <v>293</v>
      </c>
      <c r="AA88" s="345">
        <f>VLOOKUP(W88,'Catalogue Aluminium'!$B$9:$G$93,5,FALSE)</f>
        <v>0.26400000000000001</v>
      </c>
      <c r="AB88" s="345">
        <f>VLOOKUP(W88,'Catalogue Aluminium'!$B$9:$G$93,6,FALSE)</f>
        <v>7.3200000000000001E-2</v>
      </c>
      <c r="AC88" s="343">
        <f t="shared" si="899"/>
        <v>17</v>
      </c>
      <c r="AD88" s="343">
        <f>12+58+20+41+2+10</f>
        <v>143</v>
      </c>
      <c r="AE88" s="343">
        <v>10</v>
      </c>
      <c r="AF88" s="343">
        <v>8</v>
      </c>
      <c r="AG88" s="343">
        <f t="shared" si="134"/>
        <v>18</v>
      </c>
      <c r="AH88" s="347">
        <f t="shared" ref="AH88:AH96" si="963">SUM(AC88:AG88)</f>
        <v>196</v>
      </c>
      <c r="AI88" s="344">
        <f>IF(T88="AIR",'Catalogue Aluminium'!$K$9,IF(T88="TRENCH",'Catalogue Aluminium'!$K$12,"NA"))</f>
        <v>0.89</v>
      </c>
      <c r="AJ88" s="342">
        <f>IF(T88="Air",(IF(U88="1C",'Catalogue Aluminium'!$L$9,'Catalogue Aluminium'!$M$9)),IF(T88="DUCT",(IF($U88="1C",'Catalogue Aluminium'!$L$10,'Catalogue Aluminium'!$M$10)),IF(T88="GROUND",(IF($U88="1C",'Catalogue Aluminium'!$L$11,'Catalogue Aluminium'!$M$11)),IF(T88="TRENCH",(IF($U88="1C",'Catalogue Aluminium'!$L$12,'Catalogue Aluminium'!$M$12))))))</f>
        <v>0.66</v>
      </c>
      <c r="AK88" s="344" t="str">
        <f>IF(T88="Air",'Catalogue Aluminium'!$N$9,IF(T88="GROUND",'Catalogue Aluminium'!$N$10,IF(T88="DUCT",'Catalogue Aluminium'!$N$11,IF(T88="TRENCH",'Catalogue Aluminium'!$N$12,"NA"))))</f>
        <v>NA</v>
      </c>
      <c r="AL88" s="344" t="str">
        <f>IF(T88="Air",(IF(U88="1C",'Catalogue Aluminium'!$O$9,'Catalogue Aluminium'!$P$9)),IF(T88="DUCT",(IF($U88="1C",'Catalogue Aluminium'!$O$10,'Catalogue Aluminium'!$P$10)),IF(T88="GROUND",(IF($U88="1C",'Catalogue Aluminium'!$O$11,'Catalogue Aluminium'!$P$11)),IF(T88="TRENCH",(IF($U88="1C",'Catalogue Aluminium'!$O$12,'Catalogue Aluminium'!$P$12))))))</f>
        <v>NA</v>
      </c>
      <c r="AM88" s="344" t="str">
        <f>IF(T88="AIR","NA",IF(T88="TRENCH","NA",IF(T88="DUCT",IF(U88="1C",VLOOKUP(V88,'Catalogue Aluminium'!$Q$9:$S$28,2,FALSE),VLOOKUP(V88,'Catalogue Aluminium'!$Q$9:$S$28,3)),IF(T88="GROUND",IF(U88="1C",VLOOKUP(V88,'Catalogue Aluminium'!$Q$9:$S$28,2,FALSE),VLOOKUP(V88,'Catalogue Aluminium'!$Q$9:$S$28,3))))))</f>
        <v>NA</v>
      </c>
      <c r="AN88" s="351">
        <f t="shared" si="886"/>
        <v>0.58740000000000003</v>
      </c>
      <c r="AO88" s="350">
        <f t="shared" si="887"/>
        <v>172.10820000000001</v>
      </c>
      <c r="AP88" s="349">
        <f t="shared" si="888"/>
        <v>1</v>
      </c>
      <c r="AQ88" s="350" t="str">
        <f t="shared" si="889"/>
        <v>YES</v>
      </c>
      <c r="AR88" s="351">
        <f t="shared" si="136"/>
        <v>2.5821733196624268</v>
      </c>
      <c r="AS88" s="343" t="str">
        <f t="shared" si="137"/>
        <v>YES</v>
      </c>
      <c r="AT88" s="351">
        <f t="shared" si="890"/>
        <v>7.3365003541291118</v>
      </c>
      <c r="AU88" s="343" t="str">
        <f t="shared" si="891"/>
        <v>YES</v>
      </c>
      <c r="AV88" s="354" t="str">
        <f t="shared" si="892"/>
        <v>1R x 0.6/1kV x 3C x 150 Sqmm</v>
      </c>
      <c r="AW88" s="354" t="str">
        <f t="shared" si="893"/>
        <v>1R x 0.6/1kV x 3C x 150+PE Sqmm</v>
      </c>
      <c r="AX88" s="343">
        <f t="shared" si="894"/>
        <v>196</v>
      </c>
      <c r="AY88" s="355"/>
      <c r="AZ88" s="355">
        <f t="shared" si="895"/>
        <v>2</v>
      </c>
      <c r="BA88" s="356" t="str">
        <f t="shared" si="896"/>
        <v>Q3RR1R2SS.B</v>
      </c>
      <c r="BB88" s="501">
        <f>VLOOKUP(W88,'Catalogue Aluminium'!$B$9:$H$93,7,FALSE)</f>
        <v>39</v>
      </c>
      <c r="BC88" s="328">
        <f t="shared" si="897"/>
        <v>39</v>
      </c>
      <c r="BE88" s="336"/>
      <c r="BF88" s="336"/>
      <c r="BG88" s="336"/>
      <c r="BH88" s="336"/>
      <c r="BI88" s="336"/>
      <c r="BJ88" s="336"/>
      <c r="BK88" s="336"/>
      <c r="BL88" s="336"/>
      <c r="BM88" s="336"/>
      <c r="BN88" s="336"/>
      <c r="BO88" s="336"/>
      <c r="BP88" s="336"/>
      <c r="BQ88" s="336"/>
      <c r="BR88" s="336"/>
      <c r="BS88" s="336"/>
      <c r="BT88" s="336"/>
      <c r="BU88" s="336"/>
      <c r="BV88" s="336"/>
      <c r="BW88" s="336"/>
      <c r="BX88" s="336"/>
      <c r="BY88" s="336"/>
      <c r="BZ88" s="336"/>
      <c r="CA88" s="336"/>
      <c r="CB88" s="336"/>
      <c r="CC88" s="336"/>
      <c r="CD88" s="336"/>
      <c r="CE88" s="336"/>
      <c r="CF88" s="336"/>
      <c r="CG88" s="336"/>
      <c r="CH88" s="336"/>
      <c r="CI88" s="336"/>
      <c r="CJ88" s="336"/>
      <c r="CK88" s="336"/>
      <c r="CL88" s="336"/>
      <c r="CM88" s="336"/>
      <c r="CN88" s="336"/>
      <c r="CO88" s="336"/>
      <c r="CP88" s="336"/>
      <c r="CQ88" s="336"/>
      <c r="CR88" s="336"/>
      <c r="CS88" s="336"/>
      <c r="CT88" s="336"/>
      <c r="CU88" s="336"/>
      <c r="CV88" s="336"/>
      <c r="CW88" s="336"/>
      <c r="CX88" s="336"/>
      <c r="CY88" s="336"/>
      <c r="CZ88" s="336"/>
      <c r="DA88" s="336">
        <v>1</v>
      </c>
      <c r="DB88" s="336"/>
      <c r="DC88" s="336"/>
      <c r="DD88" s="336"/>
      <c r="DE88" s="336"/>
      <c r="DF88" s="336"/>
      <c r="DG88" s="336">
        <v>1</v>
      </c>
      <c r="DH88" s="336">
        <v>1</v>
      </c>
      <c r="DI88" s="336">
        <v>1</v>
      </c>
      <c r="DJ88" s="336"/>
      <c r="DK88" s="336"/>
      <c r="DL88" s="336">
        <v>1</v>
      </c>
      <c r="DM88" s="336"/>
      <c r="DN88" s="336">
        <v>1</v>
      </c>
      <c r="DO88" s="336"/>
      <c r="DP88" s="336"/>
      <c r="DQ88" s="336"/>
      <c r="DR88" s="336"/>
      <c r="DS88" s="336"/>
      <c r="DT88" s="336"/>
      <c r="DU88" s="336"/>
      <c r="DW88" s="336">
        <f t="shared" si="80"/>
        <v>0</v>
      </c>
      <c r="DX88" s="336">
        <f t="shared" si="900"/>
        <v>0</v>
      </c>
      <c r="DY88" s="336">
        <f t="shared" si="901"/>
        <v>0</v>
      </c>
      <c r="DZ88" s="336">
        <f t="shared" si="902"/>
        <v>0</v>
      </c>
      <c r="EA88" s="336">
        <f t="shared" si="903"/>
        <v>0</v>
      </c>
      <c r="EB88" s="336">
        <f t="shared" si="904"/>
        <v>0</v>
      </c>
      <c r="EC88" s="336">
        <f t="shared" si="905"/>
        <v>0</v>
      </c>
      <c r="ED88" s="336">
        <f t="shared" si="906"/>
        <v>0</v>
      </c>
      <c r="EE88" s="336">
        <f t="shared" si="907"/>
        <v>0</v>
      </c>
      <c r="EF88" s="336">
        <f t="shared" si="908"/>
        <v>0</v>
      </c>
      <c r="EG88" s="336">
        <f t="shared" si="909"/>
        <v>0</v>
      </c>
      <c r="EH88" s="336">
        <f t="shared" si="910"/>
        <v>0</v>
      </c>
      <c r="EI88" s="336">
        <f t="shared" si="911"/>
        <v>0</v>
      </c>
      <c r="EJ88" s="336">
        <f t="shared" si="912"/>
        <v>0</v>
      </c>
      <c r="EK88" s="336">
        <f t="shared" si="913"/>
        <v>0</v>
      </c>
      <c r="EL88" s="336">
        <f t="shared" si="914"/>
        <v>0</v>
      </c>
      <c r="EM88" s="336">
        <f t="shared" si="915"/>
        <v>0</v>
      </c>
      <c r="EN88" s="336">
        <f t="shared" si="916"/>
        <v>0</v>
      </c>
      <c r="EO88" s="336">
        <f t="shared" si="917"/>
        <v>0</v>
      </c>
      <c r="EP88" s="336">
        <f t="shared" si="918"/>
        <v>0</v>
      </c>
      <c r="EQ88" s="336">
        <f t="shared" si="919"/>
        <v>0</v>
      </c>
      <c r="ER88" s="336">
        <f t="shared" si="920"/>
        <v>0</v>
      </c>
      <c r="ES88" s="336">
        <f t="shared" si="921"/>
        <v>0</v>
      </c>
      <c r="ET88" s="336">
        <f t="shared" si="921"/>
        <v>0</v>
      </c>
      <c r="EU88" s="336">
        <f t="shared" si="922"/>
        <v>0</v>
      </c>
      <c r="EV88" s="336">
        <f t="shared" si="923"/>
        <v>0</v>
      </c>
      <c r="EW88" s="336">
        <f t="shared" si="924"/>
        <v>0</v>
      </c>
      <c r="EX88" s="336">
        <f t="shared" si="925"/>
        <v>0</v>
      </c>
      <c r="EY88" s="336">
        <f t="shared" si="926"/>
        <v>0</v>
      </c>
      <c r="EZ88" s="336">
        <f t="shared" si="927"/>
        <v>0</v>
      </c>
      <c r="FA88" s="336">
        <f t="shared" si="928"/>
        <v>0</v>
      </c>
      <c r="FB88" s="336">
        <f t="shared" si="929"/>
        <v>0</v>
      </c>
      <c r="FC88" s="336">
        <f t="shared" si="930"/>
        <v>0</v>
      </c>
      <c r="FD88" s="336">
        <f t="shared" si="931"/>
        <v>0</v>
      </c>
      <c r="FE88" s="336">
        <f t="shared" si="932"/>
        <v>0</v>
      </c>
      <c r="FF88" s="336">
        <f t="shared" si="933"/>
        <v>0</v>
      </c>
      <c r="FG88" s="336">
        <f t="shared" si="934"/>
        <v>0</v>
      </c>
      <c r="FH88" s="336">
        <f t="shared" si="935"/>
        <v>0</v>
      </c>
      <c r="FI88" s="336">
        <f t="shared" si="936"/>
        <v>0</v>
      </c>
      <c r="FJ88" s="336">
        <f t="shared" si="937"/>
        <v>0</v>
      </c>
      <c r="FK88" s="336">
        <f t="shared" si="938"/>
        <v>0</v>
      </c>
      <c r="FL88" s="336">
        <f t="shared" si="939"/>
        <v>0</v>
      </c>
      <c r="FM88" s="336">
        <f t="shared" si="940"/>
        <v>0</v>
      </c>
      <c r="FN88" s="336">
        <f t="shared" si="941"/>
        <v>0</v>
      </c>
      <c r="FO88" s="336">
        <f t="shared" si="942"/>
        <v>0</v>
      </c>
      <c r="FP88" s="336">
        <f t="shared" si="943"/>
        <v>0</v>
      </c>
      <c r="FQ88" s="336">
        <f t="shared" si="944"/>
        <v>0</v>
      </c>
      <c r="FR88" s="336">
        <f t="shared" si="945"/>
        <v>0</v>
      </c>
      <c r="FS88" s="336">
        <f t="shared" si="946"/>
        <v>39</v>
      </c>
      <c r="FT88" s="336">
        <f t="shared" si="947"/>
        <v>0</v>
      </c>
      <c r="FU88" s="336">
        <f t="shared" si="553"/>
        <v>0</v>
      </c>
      <c r="FV88" s="336">
        <f t="shared" si="554"/>
        <v>0</v>
      </c>
      <c r="FW88" s="336">
        <f t="shared" si="555"/>
        <v>0</v>
      </c>
      <c r="FX88" s="336">
        <f t="shared" si="556"/>
        <v>0</v>
      </c>
      <c r="FY88" s="336">
        <f t="shared" si="948"/>
        <v>39</v>
      </c>
      <c r="FZ88" s="336">
        <f t="shared" si="949"/>
        <v>39</v>
      </c>
      <c r="GA88" s="336">
        <f t="shared" si="950"/>
        <v>39</v>
      </c>
      <c r="GB88" s="336">
        <f t="shared" si="951"/>
        <v>0</v>
      </c>
      <c r="GC88" s="336">
        <f t="shared" si="952"/>
        <v>0</v>
      </c>
      <c r="GD88" s="336">
        <f t="shared" si="953"/>
        <v>39</v>
      </c>
      <c r="GE88" s="336">
        <f t="shared" si="954"/>
        <v>0</v>
      </c>
      <c r="GF88" s="336">
        <f t="shared" si="955"/>
        <v>39</v>
      </c>
      <c r="GG88" s="336">
        <f t="shared" si="956"/>
        <v>0</v>
      </c>
      <c r="GH88" s="336">
        <f t="shared" si="957"/>
        <v>0</v>
      </c>
      <c r="GI88" s="336">
        <f t="shared" si="958"/>
        <v>0</v>
      </c>
      <c r="GJ88" s="336">
        <f t="shared" si="959"/>
        <v>0</v>
      </c>
      <c r="GK88" s="336">
        <f t="shared" si="960"/>
        <v>0</v>
      </c>
      <c r="GL88" s="336">
        <f t="shared" si="557"/>
        <v>0</v>
      </c>
      <c r="GM88" s="336">
        <f t="shared" si="961"/>
        <v>0</v>
      </c>
    </row>
    <row r="89" spans="1:195" ht="20.100000000000001" customHeight="1">
      <c r="A89" s="337">
        <f t="shared" si="962"/>
        <v>64</v>
      </c>
      <c r="B89" s="445" t="s">
        <v>527</v>
      </c>
      <c r="C89" s="338" t="str">
        <f t="shared" si="898"/>
        <v>PDB-2</v>
      </c>
      <c r="D89" s="445" t="s">
        <v>744</v>
      </c>
      <c r="E89" s="757" t="s">
        <v>1182</v>
      </c>
      <c r="F89" s="401" t="s">
        <v>28</v>
      </c>
      <c r="G89" s="388" t="s">
        <v>329</v>
      </c>
      <c r="H89" s="742">
        <v>0.2</v>
      </c>
      <c r="I89" s="388" t="s">
        <v>330</v>
      </c>
      <c r="J89" s="388" t="s">
        <v>357</v>
      </c>
      <c r="K89" s="434">
        <v>230</v>
      </c>
      <c r="L89" s="401">
        <v>0.85</v>
      </c>
      <c r="M89" s="418">
        <v>0.95</v>
      </c>
      <c r="N89" s="392">
        <f t="shared" si="869"/>
        <v>1.0768609503297888</v>
      </c>
      <c r="O89" s="392">
        <f t="shared" si="883"/>
        <v>0</v>
      </c>
      <c r="P89" s="401" t="str">
        <f t="shared" si="871"/>
        <v>0.00</v>
      </c>
      <c r="Q89" s="418">
        <v>65</v>
      </c>
      <c r="R89" s="418">
        <v>0</v>
      </c>
      <c r="S89" s="418">
        <f t="shared" si="872"/>
        <v>0</v>
      </c>
      <c r="T89" s="401" t="s">
        <v>332</v>
      </c>
      <c r="U89" s="418" t="s">
        <v>333</v>
      </c>
      <c r="V89" s="401">
        <v>2.5</v>
      </c>
      <c r="W89" s="401" t="str">
        <f t="shared" si="873"/>
        <v>3C X 2.5</v>
      </c>
      <c r="X89" s="401" t="str">
        <f t="shared" ref="X89" si="964">(IF(J89="1Ph",W89,IF(J89="3Ph",(IF(G89="MOTOR",(CONCATENATE(W89,"+PE")),W89)))))</f>
        <v>3C X 2.5</v>
      </c>
      <c r="Y89" s="401" t="s">
        <v>358</v>
      </c>
      <c r="Z89" s="393">
        <f>IF(T89="AIR",VLOOKUP(W89,'Catalogue Aluminium'!$B$9:$G$93,2,FALSE),IF(T89="GROUND",VLOOKUP(W89,'Catalogue Aluminium'!$B$9:$G$93,3,FALSE),IF(T89="DUCT",VLOOKUP(W89,'Catalogue Aluminium'!$B$9:$G$93,4,FALSE),IF(T89="TRENCH",VLOOKUP(W89,'Catalogue Aluminium'!$B$9:$G$93,2,FALSE)))))</f>
        <v>28</v>
      </c>
      <c r="AA89" s="402">
        <f>VLOOKUP(W89,'Catalogue Aluminium'!$B$9:$G$93,5,FALSE)</f>
        <v>9.48</v>
      </c>
      <c r="AB89" s="402">
        <f>VLOOKUP(W89,'Catalogue Aluminium'!$B$9:$G$93,6,FALSE)</f>
        <v>0.1007</v>
      </c>
      <c r="AC89" s="401">
        <f t="shared" si="899"/>
        <v>17</v>
      </c>
      <c r="AD89" s="401">
        <f>12+58+20+41+2+10</f>
        <v>143</v>
      </c>
      <c r="AE89" s="401">
        <v>10</v>
      </c>
      <c r="AF89" s="401">
        <v>8</v>
      </c>
      <c r="AG89" s="401">
        <f t="shared" ref="AG89" si="965">ROUNDUP((SUM(AC89:AF89)*0.1),0)</f>
        <v>18</v>
      </c>
      <c r="AH89" s="436">
        <f t="shared" si="963"/>
        <v>196</v>
      </c>
      <c r="AI89" s="393">
        <f>IF(T89="AIR",'Catalogue Aluminium'!$K$9,IF(T89="TRENCH",'Catalogue Aluminium'!$K$12,"NA"))</f>
        <v>0.89</v>
      </c>
      <c r="AJ89" s="392">
        <f>IF(T89="Air",(IF(U89="1C",'Catalogue Aluminium'!$L$9,'Catalogue Aluminium'!$M$9)),IF(T89="DUCT",(IF($U89="1C",'Catalogue Aluminium'!$L$10,'Catalogue Aluminium'!$M$10)),IF(T89="GROUND",(IF($U89="1C",'Catalogue Aluminium'!$L$11,'Catalogue Aluminium'!$M$11)),IF(T89="TRENCH",(IF($U89="1C",'Catalogue Aluminium'!$L$12,'Catalogue Aluminium'!$M$12))))))</f>
        <v>0.66</v>
      </c>
      <c r="AK89" s="393" t="str">
        <f>IF(T89="Air",'Catalogue Aluminium'!$N$9,IF(T89="GROUND",'Catalogue Aluminium'!$N$10,IF(T89="DUCT",'Catalogue Aluminium'!$N$11,IF(T89="TRENCH",'Catalogue Aluminium'!$N$12,"NA"))))</f>
        <v>NA</v>
      </c>
      <c r="AL89" s="393" t="str">
        <f>IF(T89="Air",(IF(U89="1C",'Catalogue Aluminium'!$O$9,'Catalogue Aluminium'!$P$9)),IF(T89="DUCT",(IF($U89="1C",'Catalogue Aluminium'!$O$10,'Catalogue Aluminium'!$P$10)),IF(T89="GROUND",(IF($U89="1C",'Catalogue Aluminium'!$O$11,'Catalogue Aluminium'!$P$11)),IF(T89="TRENCH",(IF($U89="1C",'Catalogue Aluminium'!$O$12,'Catalogue Aluminium'!$P$12))))))</f>
        <v>NA</v>
      </c>
      <c r="AM89" s="393" t="str">
        <f>IF(T89="AIR","NA",IF(T89="TRENCH","NA",IF(T89="DUCT",IF(U89="1C",VLOOKUP(V89,'Catalogue Aluminium'!$Q$9:$S$28,2,FALSE),VLOOKUP(V89,'Catalogue Aluminium'!$Q$9:$S$28,3)),IF(T89="GROUND",IF(U89="1C",VLOOKUP(V89,'Catalogue Aluminium'!$Q$9:$S$28,2,FALSE),VLOOKUP(V89,'Catalogue Aluminium'!$Q$9:$S$28,3))))))</f>
        <v>NA</v>
      </c>
      <c r="AN89" s="437">
        <f t="shared" ref="AN89" si="966">IF(T89="AIR",AI89*AJ89,IF(T89="TRENCH",AI89*AJ89,IF(T89="DUCT",AJ89*AK89*AL89*AM89,IF(T89="GROUND",AJ89*AK89*AL89*AM89))))</f>
        <v>0.58740000000000003</v>
      </c>
      <c r="AO89" s="418">
        <f t="shared" ref="AO89" si="967">Z89*AN89</f>
        <v>16.447200000000002</v>
      </c>
      <c r="AP89" s="434">
        <f t="shared" ref="AP89" si="968">CEILING(((N89)/AO89),1)</f>
        <v>1</v>
      </c>
      <c r="AQ89" s="418" t="str">
        <f t="shared" ref="AQ89" si="969">IF(AO89*AP89&gt;=N89,"YES","NO")</f>
        <v>YES</v>
      </c>
      <c r="AR89" s="437">
        <f t="shared" ref="AR89" si="970">SQRT(3)*AH89*N89*((AA89*L89)+(AB89*SIN(ACOS(L89))))*100/(AP89*K89*1000)</f>
        <v>1.2892151790294875</v>
      </c>
      <c r="AS89" s="401" t="str">
        <f t="shared" ref="AS89" si="971">IF(G89="INCOMER",(IF(AR89&lt;=2,"YES","NO")),IF(G89="POWER",(IF(AR89&lt;=2.5,"YES","NO")),IF(G89="MOTOR",(IF(AR89&lt;=3,"YES","NO")))))</f>
        <v>YES</v>
      </c>
      <c r="AT89" s="437" t="str">
        <f t="shared" si="890"/>
        <v>NA</v>
      </c>
      <c r="AU89" s="401" t="str">
        <f t="shared" si="891"/>
        <v>NA</v>
      </c>
      <c r="AV89" s="503" t="str">
        <f t="shared" si="892"/>
        <v>1R x 0.6/1kV x 3C x 2.5 Sqmm</v>
      </c>
      <c r="AW89" s="503" t="str">
        <f t="shared" si="893"/>
        <v>1R x 0.6/1kV x 3C x 2.5 Sqmm</v>
      </c>
      <c r="AX89" s="401">
        <f t="shared" si="894"/>
        <v>196</v>
      </c>
      <c r="AY89" s="504"/>
      <c r="AZ89" s="504">
        <f t="shared" si="895"/>
        <v>2</v>
      </c>
      <c r="BA89" s="438" t="str">
        <f t="shared" si="896"/>
        <v>Q3RR1R2SS.B</v>
      </c>
      <c r="BB89" s="505">
        <f>VLOOKUP(W89,'Catalogue Aluminium'!$B$9:$H$93,7,FALSE)</f>
        <v>14</v>
      </c>
      <c r="BC89" s="439">
        <f t="shared" si="897"/>
        <v>14</v>
      </c>
      <c r="BE89" s="336"/>
      <c r="BF89" s="336"/>
      <c r="BG89" s="336"/>
      <c r="BH89" s="336"/>
      <c r="BI89" s="336"/>
      <c r="BJ89" s="336"/>
      <c r="BK89" s="336"/>
      <c r="BL89" s="336"/>
      <c r="BM89" s="336"/>
      <c r="BN89" s="336"/>
      <c r="BO89" s="336"/>
      <c r="BP89" s="336"/>
      <c r="BQ89" s="336"/>
      <c r="BR89" s="336"/>
      <c r="BS89" s="336"/>
      <c r="BT89" s="336"/>
      <c r="BU89" s="336"/>
      <c r="BV89" s="336"/>
      <c r="BW89" s="336"/>
      <c r="BX89" s="336"/>
      <c r="BY89" s="336"/>
      <c r="BZ89" s="336"/>
      <c r="CA89" s="336"/>
      <c r="CB89" s="336"/>
      <c r="CC89" s="336"/>
      <c r="CD89" s="336"/>
      <c r="CE89" s="336"/>
      <c r="CF89" s="336"/>
      <c r="CG89" s="336"/>
      <c r="CH89" s="336"/>
      <c r="CI89" s="336"/>
      <c r="CJ89" s="336"/>
      <c r="CK89" s="336"/>
      <c r="CL89" s="336"/>
      <c r="CM89" s="336"/>
      <c r="CN89" s="336"/>
      <c r="CO89" s="336"/>
      <c r="CP89" s="336"/>
      <c r="CQ89" s="336"/>
      <c r="CR89" s="336"/>
      <c r="CS89" s="336"/>
      <c r="CT89" s="336"/>
      <c r="CU89" s="336"/>
      <c r="CV89" s="336"/>
      <c r="CW89" s="336"/>
      <c r="CX89" s="336"/>
      <c r="CY89" s="336"/>
      <c r="CZ89" s="336"/>
      <c r="DA89" s="336">
        <v>1</v>
      </c>
      <c r="DB89" s="336"/>
      <c r="DC89" s="336"/>
      <c r="DD89" s="336"/>
      <c r="DE89" s="336"/>
      <c r="DF89" s="336"/>
      <c r="DG89" s="336">
        <v>1</v>
      </c>
      <c r="DH89" s="336">
        <v>1</v>
      </c>
      <c r="DI89" s="336">
        <v>1</v>
      </c>
      <c r="DJ89" s="336"/>
      <c r="DK89" s="336"/>
      <c r="DL89" s="336">
        <v>1</v>
      </c>
      <c r="DM89" s="336"/>
      <c r="DN89" s="336">
        <v>1</v>
      </c>
      <c r="DO89" s="336"/>
      <c r="DP89" s="336"/>
      <c r="DQ89" s="336"/>
      <c r="DR89" s="336"/>
      <c r="DS89" s="336"/>
      <c r="DT89" s="336"/>
      <c r="DU89" s="336"/>
      <c r="DW89" s="336">
        <f t="shared" ref="DW89" si="972">IF(BE89=1,($BC89*BE89),0)</f>
        <v>0</v>
      </c>
      <c r="DX89" s="336">
        <f t="shared" ref="DX89" si="973">IF(BF89=1,($BC89*BF89),0)</f>
        <v>0</v>
      </c>
      <c r="DY89" s="336">
        <f t="shared" ref="DY89" si="974">IF(BG89=1,($BC89*BG89),0)</f>
        <v>0</v>
      </c>
      <c r="DZ89" s="336">
        <f t="shared" ref="DZ89" si="975">IF(BH89=1,($BC89*BH89),0)</f>
        <v>0</v>
      </c>
      <c r="EA89" s="336">
        <f t="shared" ref="EA89" si="976">IF(BI89=1,($BC89*BI89),0)</f>
        <v>0</v>
      </c>
      <c r="EB89" s="336">
        <f t="shared" ref="EB89" si="977">IF(BJ89=1,($BC89*BJ89),0)</f>
        <v>0</v>
      </c>
      <c r="EC89" s="336">
        <f t="shared" ref="EC89" si="978">IF(BK89=1,($BC89*BK89),0)</f>
        <v>0</v>
      </c>
      <c r="ED89" s="336">
        <f t="shared" ref="ED89" si="979">IF(BL89=1,($BC89*BL89),0)</f>
        <v>0</v>
      </c>
      <c r="EE89" s="336">
        <f t="shared" ref="EE89" si="980">IF(BM89=1,($BC89*BM89),0)</f>
        <v>0</v>
      </c>
      <c r="EF89" s="336">
        <f t="shared" ref="EF89" si="981">IF(BN89=1,($BC89*BN89),0)</f>
        <v>0</v>
      </c>
      <c r="EG89" s="336">
        <f t="shared" ref="EG89" si="982">IF(BO89=1,($BC89*BO89),0)</f>
        <v>0</v>
      </c>
      <c r="EH89" s="336">
        <f t="shared" ref="EH89" si="983">IF(BP89=1,($BC89*BP89),0)</f>
        <v>0</v>
      </c>
      <c r="EI89" s="336">
        <f t="shared" ref="EI89" si="984">IF(BQ89=1,($BC89*BQ89),0)</f>
        <v>0</v>
      </c>
      <c r="EJ89" s="336">
        <f t="shared" ref="EJ89" si="985">IF(BR89=1,($BC89*BR89),0)</f>
        <v>0</v>
      </c>
      <c r="EK89" s="336">
        <f t="shared" ref="EK89" si="986">IF(BS89=1,($BC89*BS89),0)</f>
        <v>0</v>
      </c>
      <c r="EL89" s="336">
        <f t="shared" ref="EL89" si="987">IF(BT89=1,($BC89*BT89),0)</f>
        <v>0</v>
      </c>
      <c r="EM89" s="336">
        <f t="shared" ref="EM89" si="988">IF(BU89=1,($BC89*BU89),0)</f>
        <v>0</v>
      </c>
      <c r="EN89" s="336">
        <f t="shared" ref="EN89" si="989">IF(BV89=1,($BC89*BV89),0)</f>
        <v>0</v>
      </c>
      <c r="EO89" s="336">
        <f t="shared" ref="EO89" si="990">IF(BW89=1,($BC89*BW89),0)</f>
        <v>0</v>
      </c>
      <c r="EP89" s="336">
        <f t="shared" ref="EP89" si="991">IF(BX89=1,($BC89*BX89),0)</f>
        <v>0</v>
      </c>
      <c r="EQ89" s="336">
        <f t="shared" ref="EQ89" si="992">IF(BY89=1,($BC89*BY89),0)</f>
        <v>0</v>
      </c>
      <c r="ER89" s="336">
        <f t="shared" ref="ER89" si="993">IF(BZ89=1,($BC89*BZ89),0)</f>
        <v>0</v>
      </c>
      <c r="ES89" s="336">
        <f t="shared" ref="ES89" si="994">IF(CA89=1,($BC89*CA89),0)</f>
        <v>0</v>
      </c>
      <c r="ET89" s="336">
        <f t="shared" si="921"/>
        <v>0</v>
      </c>
      <c r="EU89" s="336">
        <f t="shared" ref="EU89" si="995">IF(CC89=1,($BC89*CC89),0)</f>
        <v>0</v>
      </c>
      <c r="EV89" s="336">
        <f t="shared" ref="EV89" si="996">IF(CD89=1,($BC89*CD89),0)</f>
        <v>0</v>
      </c>
      <c r="EW89" s="336">
        <f t="shared" ref="EW89" si="997">IF(CE89=1,($BC89*CE89),0)</f>
        <v>0</v>
      </c>
      <c r="EX89" s="336">
        <f t="shared" ref="EX89" si="998">IF(CF89=1,($BC89*CF89),0)</f>
        <v>0</v>
      </c>
      <c r="EY89" s="336">
        <f t="shared" ref="EY89" si="999">IF(CG89=1,($BC89*CG89),0)</f>
        <v>0</v>
      </c>
      <c r="EZ89" s="336">
        <f t="shared" ref="EZ89" si="1000">IF(CH89=1,($BC89*CH89),0)</f>
        <v>0</v>
      </c>
      <c r="FA89" s="336">
        <f t="shared" ref="FA89" si="1001">IF(CI89=1,($BC89*CI89),0)</f>
        <v>0</v>
      </c>
      <c r="FB89" s="336">
        <f t="shared" ref="FB89" si="1002">IF(CJ89=1,($BC89*CJ89),0)</f>
        <v>0</v>
      </c>
      <c r="FC89" s="336">
        <f t="shared" ref="FC89" si="1003">IF(CK89=1,($BC89*CK89),0)</f>
        <v>0</v>
      </c>
      <c r="FD89" s="336">
        <f t="shared" ref="FD89" si="1004">IF(CL89=1,($BC89*CL89),0)</f>
        <v>0</v>
      </c>
      <c r="FE89" s="336">
        <f t="shared" ref="FE89" si="1005">IF(CM89=1,($BC89*CM89),0)</f>
        <v>0</v>
      </c>
      <c r="FF89" s="336">
        <f t="shared" ref="FF89" si="1006">IF(CN89=1,($BC89*CN89),0)</f>
        <v>0</v>
      </c>
      <c r="FG89" s="336">
        <f t="shared" ref="FG89" si="1007">IF(CO89=1,($BC89*CO89),0)</f>
        <v>0</v>
      </c>
      <c r="FH89" s="336">
        <f t="shared" ref="FH89" si="1008">IF(CP89=1,($BC89*CP89),0)</f>
        <v>0</v>
      </c>
      <c r="FI89" s="336">
        <f t="shared" ref="FI89" si="1009">IF(CQ89=1,($BC89*CQ89),0)</f>
        <v>0</v>
      </c>
      <c r="FJ89" s="336">
        <f t="shared" ref="FJ89" si="1010">IF(CR89=1,($BC89*CR89),0)</f>
        <v>0</v>
      </c>
      <c r="FK89" s="336">
        <f t="shared" ref="FK89" si="1011">IF(CS89=1,($BC89*CS89),0)</f>
        <v>0</v>
      </c>
      <c r="FL89" s="336">
        <f t="shared" ref="FL89" si="1012">IF(CT89=1,($BC89*CT89),0)</f>
        <v>0</v>
      </c>
      <c r="FM89" s="336">
        <f t="shared" ref="FM89" si="1013">IF(CU89=1,($BC89*CU89),0)</f>
        <v>0</v>
      </c>
      <c r="FN89" s="336">
        <f t="shared" ref="FN89" si="1014">IF(CV89=1,($BC89*CV89),0)</f>
        <v>0</v>
      </c>
      <c r="FO89" s="336">
        <f t="shared" ref="FO89" si="1015">IF(CW89=1,($BC89*CW89),0)</f>
        <v>0</v>
      </c>
      <c r="FP89" s="336">
        <f t="shared" ref="FP89" si="1016">IF(CX89=1,($BC89*CX89),0)</f>
        <v>0</v>
      </c>
      <c r="FQ89" s="336">
        <f t="shared" ref="FQ89" si="1017">IF(CY89=1,($BC89*CY89),0)</f>
        <v>0</v>
      </c>
      <c r="FR89" s="336">
        <f t="shared" ref="FR89" si="1018">IF(CZ89=1,($BC89*CZ89),0)</f>
        <v>0</v>
      </c>
      <c r="FS89" s="336">
        <f t="shared" ref="FS89" si="1019">IF(DA89=1,($BC89*DA89),0)</f>
        <v>14</v>
      </c>
      <c r="FT89" s="336">
        <f t="shared" ref="FT89" si="1020">IF(DB89=1,($BC89*DB89),0)</f>
        <v>0</v>
      </c>
      <c r="FU89" s="336">
        <f t="shared" si="553"/>
        <v>0</v>
      </c>
      <c r="FV89" s="336">
        <f t="shared" si="554"/>
        <v>0</v>
      </c>
      <c r="FW89" s="336">
        <f t="shared" si="555"/>
        <v>0</v>
      </c>
      <c r="FX89" s="336">
        <f t="shared" si="556"/>
        <v>0</v>
      </c>
      <c r="FY89" s="336">
        <f t="shared" si="948"/>
        <v>14</v>
      </c>
      <c r="FZ89" s="336">
        <f t="shared" si="949"/>
        <v>14</v>
      </c>
      <c r="GA89" s="336">
        <f t="shared" si="950"/>
        <v>14</v>
      </c>
      <c r="GB89" s="336">
        <f t="shared" si="951"/>
        <v>0</v>
      </c>
      <c r="GC89" s="336">
        <f t="shared" si="952"/>
        <v>0</v>
      </c>
      <c r="GD89" s="336">
        <f t="shared" si="953"/>
        <v>14</v>
      </c>
      <c r="GE89" s="336">
        <f t="shared" si="954"/>
        <v>0</v>
      </c>
      <c r="GF89" s="336">
        <f t="shared" si="955"/>
        <v>14</v>
      </c>
      <c r="GG89" s="336">
        <f t="shared" si="956"/>
        <v>0</v>
      </c>
      <c r="GH89" s="336">
        <f t="shared" si="957"/>
        <v>0</v>
      </c>
      <c r="GI89" s="336">
        <f t="shared" si="958"/>
        <v>0</v>
      </c>
      <c r="GJ89" s="336">
        <f t="shared" si="959"/>
        <v>0</v>
      </c>
      <c r="GK89" s="336">
        <f t="shared" si="960"/>
        <v>0</v>
      </c>
      <c r="GL89" s="336">
        <f t="shared" si="557"/>
        <v>0</v>
      </c>
      <c r="GM89" s="336">
        <f t="shared" si="961"/>
        <v>0</v>
      </c>
    </row>
    <row r="90" spans="1:195" ht="20.100000000000001" customHeight="1">
      <c r="A90" s="337">
        <f t="shared" si="962"/>
        <v>65</v>
      </c>
      <c r="B90" s="444" t="s">
        <v>527</v>
      </c>
      <c r="C90" s="372" t="str">
        <f t="shared" si="898"/>
        <v>PDB-2</v>
      </c>
      <c r="D90" s="444" t="s">
        <v>745</v>
      </c>
      <c r="E90" s="567" t="s">
        <v>1182</v>
      </c>
      <c r="F90" s="343" t="s">
        <v>28</v>
      </c>
      <c r="G90" s="337" t="s">
        <v>329</v>
      </c>
      <c r="H90" s="350">
        <v>15</v>
      </c>
      <c r="I90" s="337" t="s">
        <v>330</v>
      </c>
      <c r="J90" s="337" t="s">
        <v>331</v>
      </c>
      <c r="K90" s="349">
        <v>400</v>
      </c>
      <c r="L90" s="343">
        <v>0.85</v>
      </c>
      <c r="M90" s="350">
        <v>0.95</v>
      </c>
      <c r="N90" s="342">
        <f t="shared" si="869"/>
        <v>26.81271852365597</v>
      </c>
      <c r="O90" s="342">
        <f t="shared" si="883"/>
        <v>0</v>
      </c>
      <c r="P90" s="343" t="str">
        <f t="shared" si="871"/>
        <v>0.00</v>
      </c>
      <c r="Q90" s="350">
        <v>65</v>
      </c>
      <c r="R90" s="350">
        <v>0</v>
      </c>
      <c r="S90" s="350">
        <f t="shared" si="872"/>
        <v>0</v>
      </c>
      <c r="T90" s="343" t="s">
        <v>332</v>
      </c>
      <c r="U90" s="350" t="s">
        <v>535</v>
      </c>
      <c r="V90" s="343">
        <v>35</v>
      </c>
      <c r="W90" s="343" t="str">
        <f t="shared" si="873"/>
        <v>3.5C X 35</v>
      </c>
      <c r="X90" s="343" t="str">
        <f t="shared" si="884"/>
        <v>3.5C X 35</v>
      </c>
      <c r="Y90" s="343" t="s">
        <v>358</v>
      </c>
      <c r="Z90" s="344">
        <f>IF(T90="AIR",VLOOKUP(W90,'Catalogue Aluminium'!$B$9:$G$93,2,FALSE),IF(T90="GROUND",VLOOKUP(W90,'Catalogue Aluminium'!$B$9:$G$93,3,FALSE),IF(T90="DUCT",VLOOKUP(W90,'Catalogue Aluminium'!$B$9:$G$93,4,FALSE),IF(T90="TRENCH",VLOOKUP(W90,'Catalogue Aluminium'!$B$9:$G$93,2,FALSE)))))</f>
        <v>117</v>
      </c>
      <c r="AA90" s="345">
        <f>VLOOKUP(W90,'Catalogue Aluminium'!$B$9:$G$93,5,FALSE)</f>
        <v>1.1100000000000001</v>
      </c>
      <c r="AB90" s="345">
        <f>VLOOKUP(W90,'Catalogue Aluminium'!$B$9:$G$93,6,FALSE)</f>
        <v>7.9399999999999998E-2</v>
      </c>
      <c r="AC90" s="343">
        <f t="shared" si="899"/>
        <v>17</v>
      </c>
      <c r="AD90" s="343">
        <f t="shared" ref="AD90:AD99" si="1021">12+58+20+41+2+10</f>
        <v>143</v>
      </c>
      <c r="AE90" s="343">
        <v>10</v>
      </c>
      <c r="AF90" s="343">
        <v>8</v>
      </c>
      <c r="AG90" s="343">
        <f t="shared" si="134"/>
        <v>18</v>
      </c>
      <c r="AH90" s="347">
        <f t="shared" si="963"/>
        <v>196</v>
      </c>
      <c r="AI90" s="344">
        <f>IF(T90="AIR",'Catalogue Aluminium'!$K$9,IF(T90="TRENCH",'Catalogue Aluminium'!$K$12,"NA"))</f>
        <v>0.89</v>
      </c>
      <c r="AJ90" s="342">
        <f>IF(T90="Air",(IF(U90="1C",'Catalogue Aluminium'!$L$9,'Catalogue Aluminium'!$M$9)),IF(T90="DUCT",(IF($U90="1C",'Catalogue Aluminium'!$L$10,'Catalogue Aluminium'!$M$10)),IF(T90="GROUND",(IF($U90="1C",'Catalogue Aluminium'!$L$11,'Catalogue Aluminium'!$M$11)),IF(T90="TRENCH",(IF($U90="1C",'Catalogue Aluminium'!$L$12,'Catalogue Aluminium'!$M$12))))))</f>
        <v>0.66</v>
      </c>
      <c r="AK90" s="344" t="str">
        <f>IF(T90="Air",'Catalogue Aluminium'!$N$9,IF(T90="GROUND",'Catalogue Aluminium'!$N$10,IF(T90="DUCT",'Catalogue Aluminium'!$N$11,IF(T90="TRENCH",'Catalogue Aluminium'!$N$12,"NA"))))</f>
        <v>NA</v>
      </c>
      <c r="AL90" s="344" t="str">
        <f>IF(T90="Air",(IF(U90="1C",'Catalogue Aluminium'!$O$9,'Catalogue Aluminium'!$P$9)),IF(T90="DUCT",(IF($U90="1C",'Catalogue Aluminium'!$O$10,'Catalogue Aluminium'!$P$10)),IF(T90="GROUND",(IF($U90="1C",'Catalogue Aluminium'!$O$11,'Catalogue Aluminium'!$P$11)),IF(T90="TRENCH",(IF($U90="1C",'Catalogue Aluminium'!$O$12,'Catalogue Aluminium'!$P$12))))))</f>
        <v>NA</v>
      </c>
      <c r="AM90" s="344" t="str">
        <f>IF(T90="AIR","NA",IF(T90="TRENCH","NA",IF(T90="DUCT",IF(U90="1C",VLOOKUP(V90,'Catalogue Aluminium'!$Q$9:$S$28,2,FALSE),VLOOKUP(V90,'Catalogue Aluminium'!$Q$9:$S$28,3)),IF(T90="GROUND",IF(U90="1C",VLOOKUP(V90,'Catalogue Aluminium'!$Q$9:$S$28,2,FALSE),VLOOKUP(V90,'Catalogue Aluminium'!$Q$9:$S$28,3))))))</f>
        <v>NA</v>
      </c>
      <c r="AN90" s="351">
        <f t="shared" si="886"/>
        <v>0.58740000000000003</v>
      </c>
      <c r="AO90" s="350">
        <f t="shared" si="887"/>
        <v>68.725800000000007</v>
      </c>
      <c r="AP90" s="349">
        <f t="shared" si="888"/>
        <v>1</v>
      </c>
      <c r="AQ90" s="350" t="str">
        <f t="shared" si="889"/>
        <v>YES</v>
      </c>
      <c r="AR90" s="351">
        <f t="shared" si="136"/>
        <v>2.2422175091121406</v>
      </c>
      <c r="AS90" s="343" t="str">
        <f t="shared" si="137"/>
        <v>YES</v>
      </c>
      <c r="AT90" s="351" t="str">
        <f t="shared" si="890"/>
        <v>NA</v>
      </c>
      <c r="AU90" s="343" t="str">
        <f t="shared" si="891"/>
        <v>NA</v>
      </c>
      <c r="AV90" s="354" t="str">
        <f t="shared" si="892"/>
        <v>1R x 0.6/1kV x 3.5C x 35 Sqmm</v>
      </c>
      <c r="AW90" s="354" t="str">
        <f t="shared" si="893"/>
        <v>1R x 0.6/1kV x 3.5C x 35 Sqmm</v>
      </c>
      <c r="AX90" s="343">
        <f t="shared" si="894"/>
        <v>196</v>
      </c>
      <c r="AY90" s="355"/>
      <c r="AZ90" s="355">
        <f t="shared" si="895"/>
        <v>2</v>
      </c>
      <c r="BA90" s="356" t="str">
        <f t="shared" si="896"/>
        <v>Q3RR1R2SS.B</v>
      </c>
      <c r="BB90" s="501">
        <f>VLOOKUP(W90,'Catalogue Aluminium'!$B$9:$H$93,7,FALSE)</f>
        <v>27</v>
      </c>
      <c r="BC90" s="328">
        <f t="shared" si="897"/>
        <v>27</v>
      </c>
      <c r="BE90" s="527"/>
      <c r="BF90" s="527"/>
      <c r="BG90" s="527"/>
      <c r="BH90" s="527"/>
      <c r="BI90" s="527"/>
      <c r="BJ90" s="527"/>
      <c r="BK90" s="527"/>
      <c r="BL90" s="527"/>
      <c r="BM90" s="527"/>
      <c r="BN90" s="527"/>
      <c r="BO90" s="527"/>
      <c r="BP90" s="527"/>
      <c r="BQ90" s="527"/>
      <c r="BR90" s="527"/>
      <c r="BS90" s="527"/>
      <c r="BT90" s="527"/>
      <c r="BU90" s="527"/>
      <c r="BV90" s="527"/>
      <c r="BW90" s="527"/>
      <c r="BX90" s="527"/>
      <c r="BY90" s="527"/>
      <c r="BZ90" s="527"/>
      <c r="CA90" s="527"/>
      <c r="CB90" s="527"/>
      <c r="CC90" s="527"/>
      <c r="CD90" s="527"/>
      <c r="CE90" s="527"/>
      <c r="CF90" s="527"/>
      <c r="CG90" s="527"/>
      <c r="CH90" s="527"/>
      <c r="CI90" s="527"/>
      <c r="CJ90" s="527"/>
      <c r="CK90" s="527"/>
      <c r="CL90" s="527"/>
      <c r="CM90" s="527"/>
      <c r="CN90" s="527"/>
      <c r="CO90" s="527"/>
      <c r="CP90" s="527"/>
      <c r="CQ90" s="527"/>
      <c r="CR90" s="527"/>
      <c r="CS90" s="527"/>
      <c r="CT90" s="527"/>
      <c r="CU90" s="527"/>
      <c r="CV90" s="527"/>
      <c r="CW90" s="527"/>
      <c r="CX90" s="527"/>
      <c r="CY90" s="527"/>
      <c r="CZ90" s="336"/>
      <c r="DA90" s="336">
        <v>1</v>
      </c>
      <c r="DB90" s="336"/>
      <c r="DC90" s="336"/>
      <c r="DD90" s="336"/>
      <c r="DE90" s="336"/>
      <c r="DF90" s="336"/>
      <c r="DG90" s="336">
        <v>1</v>
      </c>
      <c r="DH90" s="336">
        <v>1</v>
      </c>
      <c r="DI90" s="336">
        <v>1</v>
      </c>
      <c r="DJ90" s="336"/>
      <c r="DK90" s="336"/>
      <c r="DL90" s="336">
        <v>1</v>
      </c>
      <c r="DM90" s="336"/>
      <c r="DN90" s="336">
        <v>1</v>
      </c>
      <c r="DO90" s="336"/>
      <c r="DP90" s="336"/>
      <c r="DQ90" s="336"/>
      <c r="DR90" s="336"/>
      <c r="DS90" s="336"/>
      <c r="DT90" s="336"/>
      <c r="DU90" s="336"/>
      <c r="DW90" s="336">
        <f t="shared" ref="DW90:DW133" si="1022">IF(BE90=1,($BC90*BE90),0)</f>
        <v>0</v>
      </c>
      <c r="DX90" s="336">
        <f t="shared" si="900"/>
        <v>0</v>
      </c>
      <c r="DY90" s="336">
        <f t="shared" si="901"/>
        <v>0</v>
      </c>
      <c r="DZ90" s="336">
        <f t="shared" si="902"/>
        <v>0</v>
      </c>
      <c r="EA90" s="336">
        <f t="shared" si="903"/>
        <v>0</v>
      </c>
      <c r="EB90" s="336">
        <f t="shared" si="904"/>
        <v>0</v>
      </c>
      <c r="EC90" s="336">
        <f t="shared" si="905"/>
        <v>0</v>
      </c>
      <c r="ED90" s="336">
        <f t="shared" si="906"/>
        <v>0</v>
      </c>
      <c r="EE90" s="336">
        <f t="shared" si="907"/>
        <v>0</v>
      </c>
      <c r="EF90" s="336">
        <f t="shared" si="908"/>
        <v>0</v>
      </c>
      <c r="EG90" s="336">
        <f t="shared" si="909"/>
        <v>0</v>
      </c>
      <c r="EH90" s="336">
        <f t="shared" si="910"/>
        <v>0</v>
      </c>
      <c r="EI90" s="336">
        <f t="shared" si="911"/>
        <v>0</v>
      </c>
      <c r="EJ90" s="336">
        <f t="shared" si="912"/>
        <v>0</v>
      </c>
      <c r="EK90" s="336">
        <f t="shared" si="913"/>
        <v>0</v>
      </c>
      <c r="EL90" s="336">
        <f t="shared" si="914"/>
        <v>0</v>
      </c>
      <c r="EM90" s="336">
        <f t="shared" si="915"/>
        <v>0</v>
      </c>
      <c r="EN90" s="336">
        <f t="shared" si="916"/>
        <v>0</v>
      </c>
      <c r="EO90" s="336">
        <f t="shared" si="917"/>
        <v>0</v>
      </c>
      <c r="EP90" s="336">
        <f t="shared" si="918"/>
        <v>0</v>
      </c>
      <c r="EQ90" s="336">
        <f t="shared" si="919"/>
        <v>0</v>
      </c>
      <c r="ER90" s="336">
        <f t="shared" si="920"/>
        <v>0</v>
      </c>
      <c r="ES90" s="336">
        <f t="shared" si="921"/>
        <v>0</v>
      </c>
      <c r="ET90" s="336">
        <f t="shared" si="921"/>
        <v>0</v>
      </c>
      <c r="EU90" s="336">
        <f t="shared" si="922"/>
        <v>0</v>
      </c>
      <c r="EV90" s="336">
        <f t="shared" si="923"/>
        <v>0</v>
      </c>
      <c r="EW90" s="336">
        <f t="shared" si="924"/>
        <v>0</v>
      </c>
      <c r="EX90" s="336">
        <f t="shared" si="925"/>
        <v>0</v>
      </c>
      <c r="EY90" s="336">
        <f t="shared" si="926"/>
        <v>0</v>
      </c>
      <c r="EZ90" s="336">
        <f t="shared" si="927"/>
        <v>0</v>
      </c>
      <c r="FA90" s="336">
        <f t="shared" si="928"/>
        <v>0</v>
      </c>
      <c r="FB90" s="336">
        <f t="shared" si="929"/>
        <v>0</v>
      </c>
      <c r="FC90" s="336">
        <f t="shared" si="930"/>
        <v>0</v>
      </c>
      <c r="FD90" s="336">
        <f t="shared" si="931"/>
        <v>0</v>
      </c>
      <c r="FE90" s="336">
        <f t="shared" si="932"/>
        <v>0</v>
      </c>
      <c r="FF90" s="336">
        <f t="shared" si="933"/>
        <v>0</v>
      </c>
      <c r="FG90" s="336">
        <f t="shared" si="934"/>
        <v>0</v>
      </c>
      <c r="FH90" s="336">
        <f t="shared" si="935"/>
        <v>0</v>
      </c>
      <c r="FI90" s="336">
        <f t="shared" si="936"/>
        <v>0</v>
      </c>
      <c r="FJ90" s="336">
        <f t="shared" si="937"/>
        <v>0</v>
      </c>
      <c r="FK90" s="336">
        <f t="shared" si="938"/>
        <v>0</v>
      </c>
      <c r="FL90" s="336">
        <f t="shared" si="939"/>
        <v>0</v>
      </c>
      <c r="FM90" s="336">
        <f t="shared" si="940"/>
        <v>0</v>
      </c>
      <c r="FN90" s="336">
        <f t="shared" si="941"/>
        <v>0</v>
      </c>
      <c r="FO90" s="336">
        <f t="shared" si="942"/>
        <v>0</v>
      </c>
      <c r="FP90" s="336">
        <f t="shared" si="943"/>
        <v>0</v>
      </c>
      <c r="FQ90" s="336">
        <f t="shared" si="944"/>
        <v>0</v>
      </c>
      <c r="FR90" s="336">
        <f t="shared" si="945"/>
        <v>0</v>
      </c>
      <c r="FS90" s="336">
        <f t="shared" si="946"/>
        <v>27</v>
      </c>
      <c r="FT90" s="336">
        <f t="shared" si="947"/>
        <v>0</v>
      </c>
      <c r="FU90" s="336">
        <f t="shared" si="553"/>
        <v>0</v>
      </c>
      <c r="FV90" s="336">
        <f t="shared" si="554"/>
        <v>0</v>
      </c>
      <c r="FW90" s="336">
        <f t="shared" si="555"/>
        <v>0</v>
      </c>
      <c r="FX90" s="336">
        <f t="shared" si="556"/>
        <v>0</v>
      </c>
      <c r="FY90" s="336">
        <f t="shared" si="948"/>
        <v>27</v>
      </c>
      <c r="FZ90" s="336">
        <f t="shared" si="949"/>
        <v>27</v>
      </c>
      <c r="GA90" s="336">
        <f t="shared" si="950"/>
        <v>27</v>
      </c>
      <c r="GB90" s="336">
        <f t="shared" si="951"/>
        <v>0</v>
      </c>
      <c r="GC90" s="336">
        <f t="shared" si="952"/>
        <v>0</v>
      </c>
      <c r="GD90" s="336">
        <f t="shared" si="953"/>
        <v>27</v>
      </c>
      <c r="GE90" s="336">
        <f t="shared" si="954"/>
        <v>0</v>
      </c>
      <c r="GF90" s="336">
        <f t="shared" si="955"/>
        <v>27</v>
      </c>
      <c r="GG90" s="336">
        <f t="shared" si="956"/>
        <v>0</v>
      </c>
      <c r="GH90" s="336">
        <f t="shared" si="957"/>
        <v>0</v>
      </c>
      <c r="GI90" s="336">
        <f t="shared" si="958"/>
        <v>0</v>
      </c>
      <c r="GJ90" s="336">
        <f t="shared" si="959"/>
        <v>0</v>
      </c>
      <c r="GK90" s="336">
        <f t="shared" si="960"/>
        <v>0</v>
      </c>
      <c r="GL90" s="336">
        <f t="shared" si="557"/>
        <v>0</v>
      </c>
      <c r="GM90" s="336">
        <f t="shared" si="961"/>
        <v>0</v>
      </c>
    </row>
    <row r="91" spans="1:195" ht="20.100000000000001" customHeight="1">
      <c r="A91" s="337">
        <f t="shared" si="962"/>
        <v>66</v>
      </c>
      <c r="B91" s="444" t="s">
        <v>527</v>
      </c>
      <c r="C91" s="372" t="str">
        <f t="shared" si="898"/>
        <v>PDB-2</v>
      </c>
      <c r="D91" s="444" t="s">
        <v>746</v>
      </c>
      <c r="E91" s="567" t="s">
        <v>1182</v>
      </c>
      <c r="F91" s="343" t="s">
        <v>28</v>
      </c>
      <c r="G91" s="337" t="s">
        <v>329</v>
      </c>
      <c r="H91" s="350">
        <v>10</v>
      </c>
      <c r="I91" s="337" t="s">
        <v>330</v>
      </c>
      <c r="J91" s="337" t="s">
        <v>331</v>
      </c>
      <c r="K91" s="349">
        <v>400</v>
      </c>
      <c r="L91" s="343">
        <v>0.85</v>
      </c>
      <c r="M91" s="350">
        <v>0.95</v>
      </c>
      <c r="N91" s="342">
        <f t="shared" si="869"/>
        <v>17.875145682437314</v>
      </c>
      <c r="O91" s="342">
        <f t="shared" si="883"/>
        <v>0</v>
      </c>
      <c r="P91" s="343" t="str">
        <f t="shared" si="871"/>
        <v>0.00</v>
      </c>
      <c r="Q91" s="350">
        <v>65</v>
      </c>
      <c r="R91" s="350">
        <v>0</v>
      </c>
      <c r="S91" s="350">
        <f t="shared" si="872"/>
        <v>0</v>
      </c>
      <c r="T91" s="343" t="s">
        <v>332</v>
      </c>
      <c r="U91" s="350" t="s">
        <v>535</v>
      </c>
      <c r="V91" s="343">
        <v>25</v>
      </c>
      <c r="W91" s="343" t="str">
        <f t="shared" si="873"/>
        <v>3.5C X 25</v>
      </c>
      <c r="X91" s="343" t="str">
        <f t="shared" si="884"/>
        <v>3.5C X 25</v>
      </c>
      <c r="Y91" s="343" t="s">
        <v>358</v>
      </c>
      <c r="Z91" s="344">
        <f>IF(T91="AIR",VLOOKUP(W91,'Catalogue Aluminium'!$B$9:$G$93,2,FALSE),IF(T91="GROUND",VLOOKUP(W91,'Catalogue Aluminium'!$B$9:$G$93,3,FALSE),IF(T91="DUCT",VLOOKUP(W91,'Catalogue Aluminium'!$B$9:$G$93,4,FALSE),IF(T91="TRENCH",VLOOKUP(W91,'Catalogue Aluminium'!$B$9:$G$93,2,FALSE)))))</f>
        <v>95</v>
      </c>
      <c r="AA91" s="345">
        <f>VLOOKUP(W91,'Catalogue Aluminium'!$B$9:$G$93,5,FALSE)</f>
        <v>1.54</v>
      </c>
      <c r="AB91" s="345">
        <f>VLOOKUP(W91,'Catalogue Aluminium'!$B$9:$G$93,6,FALSE)</f>
        <v>8.1600000000000006E-2</v>
      </c>
      <c r="AC91" s="343">
        <f t="shared" si="899"/>
        <v>17</v>
      </c>
      <c r="AD91" s="343">
        <f t="shared" si="1021"/>
        <v>143</v>
      </c>
      <c r="AE91" s="343">
        <v>10</v>
      </c>
      <c r="AF91" s="343">
        <v>8</v>
      </c>
      <c r="AG91" s="343">
        <f t="shared" si="134"/>
        <v>18</v>
      </c>
      <c r="AH91" s="347">
        <f t="shared" si="963"/>
        <v>196</v>
      </c>
      <c r="AI91" s="344">
        <f>IF(T91="AIR",'Catalogue Aluminium'!$K$9,IF(T91="TRENCH",'Catalogue Aluminium'!$K$12,"NA"))</f>
        <v>0.89</v>
      </c>
      <c r="AJ91" s="342">
        <f>IF(T91="Air",(IF(U91="1C",'Catalogue Aluminium'!$L$9,'Catalogue Aluminium'!$M$9)),IF(T91="DUCT",(IF($U91="1C",'Catalogue Aluminium'!$L$10,'Catalogue Aluminium'!$M$10)),IF(T91="GROUND",(IF($U91="1C",'Catalogue Aluminium'!$L$11,'Catalogue Aluminium'!$M$11)),IF(T91="TRENCH",(IF($U91="1C",'Catalogue Aluminium'!$L$12,'Catalogue Aluminium'!$M$12))))))</f>
        <v>0.66</v>
      </c>
      <c r="AK91" s="344" t="str">
        <f>IF(T91="Air",'Catalogue Aluminium'!$N$9,IF(T91="GROUND",'Catalogue Aluminium'!$N$10,IF(T91="DUCT",'Catalogue Aluminium'!$N$11,IF(T91="TRENCH",'Catalogue Aluminium'!$N$12,"NA"))))</f>
        <v>NA</v>
      </c>
      <c r="AL91" s="344" t="str">
        <f>IF(T91="Air",(IF(U91="1C",'Catalogue Aluminium'!$O$9,'Catalogue Aluminium'!$P$9)),IF(T91="DUCT",(IF($U91="1C",'Catalogue Aluminium'!$O$10,'Catalogue Aluminium'!$P$10)),IF(T91="GROUND",(IF($U91="1C",'Catalogue Aluminium'!$O$11,'Catalogue Aluminium'!$P$11)),IF(T91="TRENCH",(IF($U91="1C",'Catalogue Aluminium'!$O$12,'Catalogue Aluminium'!$P$12))))))</f>
        <v>NA</v>
      </c>
      <c r="AM91" s="344" t="str">
        <f>IF(T91="AIR","NA",IF(T91="TRENCH","NA",IF(T91="DUCT",IF(U91="1C",VLOOKUP(V91,'Catalogue Aluminium'!$Q$9:$S$28,2,FALSE),VLOOKUP(V91,'Catalogue Aluminium'!$Q$9:$S$28,3)),IF(T91="GROUND",IF(U91="1C",VLOOKUP(V91,'Catalogue Aluminium'!$Q$9:$S$28,2,FALSE),VLOOKUP(V91,'Catalogue Aluminium'!$Q$9:$S$28,3))))))</f>
        <v>NA</v>
      </c>
      <c r="AN91" s="351">
        <f t="shared" si="886"/>
        <v>0.58740000000000003</v>
      </c>
      <c r="AO91" s="350">
        <f t="shared" si="887"/>
        <v>55.803000000000004</v>
      </c>
      <c r="AP91" s="349">
        <f t="shared" si="888"/>
        <v>1</v>
      </c>
      <c r="AQ91" s="350" t="str">
        <f t="shared" si="889"/>
        <v>YES</v>
      </c>
      <c r="AR91" s="351">
        <f t="shared" si="136"/>
        <v>2.0510597906364092</v>
      </c>
      <c r="AS91" s="343" t="str">
        <f t="shared" si="137"/>
        <v>YES</v>
      </c>
      <c r="AT91" s="351" t="str">
        <f t="shared" si="890"/>
        <v>NA</v>
      </c>
      <c r="AU91" s="343" t="str">
        <f t="shared" si="891"/>
        <v>NA</v>
      </c>
      <c r="AV91" s="354" t="str">
        <f t="shared" si="892"/>
        <v>1R x 0.6/1kV x 3.5C x 25 Sqmm</v>
      </c>
      <c r="AW91" s="354" t="str">
        <f t="shared" si="893"/>
        <v>1R x 0.6/1kV x 3.5C x 25 Sqmm</v>
      </c>
      <c r="AX91" s="343">
        <f t="shared" si="894"/>
        <v>196</v>
      </c>
      <c r="AY91" s="355"/>
      <c r="AZ91" s="355">
        <f t="shared" si="895"/>
        <v>2</v>
      </c>
      <c r="BA91" s="356" t="str">
        <f t="shared" si="896"/>
        <v>Q3RR1R2SS.B</v>
      </c>
      <c r="BB91" s="501">
        <f>VLOOKUP(W91,'Catalogue Aluminium'!$B$9:$H$93,7,FALSE)</f>
        <v>25</v>
      </c>
      <c r="BC91" s="328">
        <f t="shared" si="897"/>
        <v>25</v>
      </c>
      <c r="BE91" s="527"/>
      <c r="BF91" s="527"/>
      <c r="BG91" s="527"/>
      <c r="BH91" s="527"/>
      <c r="BI91" s="527"/>
      <c r="BJ91" s="527"/>
      <c r="BK91" s="527"/>
      <c r="BL91" s="527"/>
      <c r="BM91" s="527"/>
      <c r="BN91" s="527"/>
      <c r="BO91" s="527"/>
      <c r="BP91" s="527"/>
      <c r="BQ91" s="527"/>
      <c r="BR91" s="527"/>
      <c r="BS91" s="527"/>
      <c r="BT91" s="527"/>
      <c r="BU91" s="527"/>
      <c r="BV91" s="527"/>
      <c r="BW91" s="527"/>
      <c r="BX91" s="527"/>
      <c r="BY91" s="527"/>
      <c r="BZ91" s="527"/>
      <c r="CA91" s="527"/>
      <c r="CB91" s="527"/>
      <c r="CC91" s="527"/>
      <c r="CD91" s="527"/>
      <c r="CE91" s="527"/>
      <c r="CF91" s="527"/>
      <c r="CG91" s="527"/>
      <c r="CH91" s="527"/>
      <c r="CI91" s="527"/>
      <c r="CJ91" s="527"/>
      <c r="CK91" s="527"/>
      <c r="CL91" s="527"/>
      <c r="CM91" s="527"/>
      <c r="CN91" s="527"/>
      <c r="CO91" s="527"/>
      <c r="CP91" s="527"/>
      <c r="CQ91" s="527"/>
      <c r="CR91" s="527"/>
      <c r="CS91" s="527"/>
      <c r="CT91" s="527"/>
      <c r="CU91" s="527"/>
      <c r="CV91" s="527"/>
      <c r="CW91" s="527"/>
      <c r="CX91" s="527"/>
      <c r="CY91" s="527"/>
      <c r="CZ91" s="336"/>
      <c r="DA91" s="336">
        <v>1</v>
      </c>
      <c r="DB91" s="336"/>
      <c r="DC91" s="336"/>
      <c r="DD91" s="336"/>
      <c r="DE91" s="336"/>
      <c r="DF91" s="336"/>
      <c r="DG91" s="336">
        <v>1</v>
      </c>
      <c r="DH91" s="336">
        <v>1</v>
      </c>
      <c r="DI91" s="336">
        <v>1</v>
      </c>
      <c r="DJ91" s="336"/>
      <c r="DK91" s="336"/>
      <c r="DL91" s="336">
        <v>1</v>
      </c>
      <c r="DM91" s="336"/>
      <c r="DN91" s="336">
        <v>1</v>
      </c>
      <c r="DO91" s="336"/>
      <c r="DP91" s="336"/>
      <c r="DQ91" s="336"/>
      <c r="DR91" s="336"/>
      <c r="DS91" s="336"/>
      <c r="DT91" s="336"/>
      <c r="DU91" s="336"/>
      <c r="DW91" s="336">
        <f t="shared" si="1022"/>
        <v>0</v>
      </c>
      <c r="DX91" s="336">
        <f t="shared" si="900"/>
        <v>0</v>
      </c>
      <c r="DY91" s="336">
        <f t="shared" si="901"/>
        <v>0</v>
      </c>
      <c r="DZ91" s="336">
        <f t="shared" si="902"/>
        <v>0</v>
      </c>
      <c r="EA91" s="336">
        <f t="shared" si="903"/>
        <v>0</v>
      </c>
      <c r="EB91" s="336">
        <f t="shared" si="904"/>
        <v>0</v>
      </c>
      <c r="EC91" s="336">
        <f t="shared" si="905"/>
        <v>0</v>
      </c>
      <c r="ED91" s="336">
        <f t="shared" si="906"/>
        <v>0</v>
      </c>
      <c r="EE91" s="336">
        <f t="shared" si="907"/>
        <v>0</v>
      </c>
      <c r="EF91" s="336">
        <f t="shared" si="908"/>
        <v>0</v>
      </c>
      <c r="EG91" s="336">
        <f t="shared" si="909"/>
        <v>0</v>
      </c>
      <c r="EH91" s="336">
        <f t="shared" si="910"/>
        <v>0</v>
      </c>
      <c r="EI91" s="336">
        <f t="shared" si="911"/>
        <v>0</v>
      </c>
      <c r="EJ91" s="336">
        <f t="shared" si="912"/>
        <v>0</v>
      </c>
      <c r="EK91" s="336">
        <f t="shared" si="913"/>
        <v>0</v>
      </c>
      <c r="EL91" s="336">
        <f t="shared" si="914"/>
        <v>0</v>
      </c>
      <c r="EM91" s="336">
        <f t="shared" si="915"/>
        <v>0</v>
      </c>
      <c r="EN91" s="336">
        <f t="shared" si="916"/>
        <v>0</v>
      </c>
      <c r="EO91" s="336">
        <f t="shared" si="917"/>
        <v>0</v>
      </c>
      <c r="EP91" s="336">
        <f t="shared" si="918"/>
        <v>0</v>
      </c>
      <c r="EQ91" s="336">
        <f t="shared" si="919"/>
        <v>0</v>
      </c>
      <c r="ER91" s="336">
        <f t="shared" si="920"/>
        <v>0</v>
      </c>
      <c r="ES91" s="336">
        <f t="shared" si="921"/>
        <v>0</v>
      </c>
      <c r="ET91" s="336">
        <f t="shared" si="921"/>
        <v>0</v>
      </c>
      <c r="EU91" s="336">
        <f t="shared" si="922"/>
        <v>0</v>
      </c>
      <c r="EV91" s="336">
        <f t="shared" si="923"/>
        <v>0</v>
      </c>
      <c r="EW91" s="336">
        <f t="shared" si="924"/>
        <v>0</v>
      </c>
      <c r="EX91" s="336">
        <f t="shared" si="925"/>
        <v>0</v>
      </c>
      <c r="EY91" s="336">
        <f t="shared" si="926"/>
        <v>0</v>
      </c>
      <c r="EZ91" s="336">
        <f t="shared" si="927"/>
        <v>0</v>
      </c>
      <c r="FA91" s="336">
        <f t="shared" si="928"/>
        <v>0</v>
      </c>
      <c r="FB91" s="336">
        <f t="shared" si="929"/>
        <v>0</v>
      </c>
      <c r="FC91" s="336">
        <f t="shared" si="930"/>
        <v>0</v>
      </c>
      <c r="FD91" s="336">
        <f t="shared" si="931"/>
        <v>0</v>
      </c>
      <c r="FE91" s="336">
        <f t="shared" si="932"/>
        <v>0</v>
      </c>
      <c r="FF91" s="336">
        <f t="shared" si="933"/>
        <v>0</v>
      </c>
      <c r="FG91" s="336">
        <f t="shared" si="934"/>
        <v>0</v>
      </c>
      <c r="FH91" s="336">
        <f t="shared" si="935"/>
        <v>0</v>
      </c>
      <c r="FI91" s="336">
        <f t="shared" si="936"/>
        <v>0</v>
      </c>
      <c r="FJ91" s="336">
        <f t="shared" si="937"/>
        <v>0</v>
      </c>
      <c r="FK91" s="336">
        <f t="shared" si="938"/>
        <v>0</v>
      </c>
      <c r="FL91" s="336">
        <f t="shared" si="939"/>
        <v>0</v>
      </c>
      <c r="FM91" s="336">
        <f t="shared" si="940"/>
        <v>0</v>
      </c>
      <c r="FN91" s="336">
        <f t="shared" si="941"/>
        <v>0</v>
      </c>
      <c r="FO91" s="336">
        <f t="shared" si="942"/>
        <v>0</v>
      </c>
      <c r="FP91" s="336">
        <f t="shared" si="943"/>
        <v>0</v>
      </c>
      <c r="FQ91" s="336">
        <f t="shared" si="944"/>
        <v>0</v>
      </c>
      <c r="FR91" s="336">
        <f t="shared" si="945"/>
        <v>0</v>
      </c>
      <c r="FS91" s="336">
        <f t="shared" si="946"/>
        <v>25</v>
      </c>
      <c r="FT91" s="336">
        <f t="shared" si="947"/>
        <v>0</v>
      </c>
      <c r="FU91" s="336">
        <f t="shared" si="553"/>
        <v>0</v>
      </c>
      <c r="FV91" s="336">
        <f t="shared" si="554"/>
        <v>0</v>
      </c>
      <c r="FW91" s="336">
        <f t="shared" si="555"/>
        <v>0</v>
      </c>
      <c r="FX91" s="336">
        <f t="shared" si="556"/>
        <v>0</v>
      </c>
      <c r="FY91" s="336">
        <f t="shared" si="948"/>
        <v>25</v>
      </c>
      <c r="FZ91" s="336">
        <f t="shared" si="949"/>
        <v>25</v>
      </c>
      <c r="GA91" s="336">
        <f t="shared" si="950"/>
        <v>25</v>
      </c>
      <c r="GB91" s="336">
        <f t="shared" si="951"/>
        <v>0</v>
      </c>
      <c r="GC91" s="336">
        <f t="shared" si="952"/>
        <v>0</v>
      </c>
      <c r="GD91" s="336">
        <f t="shared" si="953"/>
        <v>25</v>
      </c>
      <c r="GE91" s="336">
        <f t="shared" si="954"/>
        <v>0</v>
      </c>
      <c r="GF91" s="336">
        <f t="shared" si="955"/>
        <v>25</v>
      </c>
      <c r="GG91" s="336">
        <f t="shared" si="956"/>
        <v>0</v>
      </c>
      <c r="GH91" s="336">
        <f t="shared" si="957"/>
        <v>0</v>
      </c>
      <c r="GI91" s="336">
        <f t="shared" si="958"/>
        <v>0</v>
      </c>
      <c r="GJ91" s="336">
        <f t="shared" si="959"/>
        <v>0</v>
      </c>
      <c r="GK91" s="336">
        <f t="shared" si="960"/>
        <v>0</v>
      </c>
      <c r="GL91" s="336">
        <f t="shared" si="557"/>
        <v>0</v>
      </c>
      <c r="GM91" s="336">
        <f t="shared" si="961"/>
        <v>0</v>
      </c>
    </row>
    <row r="92" spans="1:195" ht="19.5" customHeight="1">
      <c r="A92" s="337">
        <f t="shared" si="962"/>
        <v>67</v>
      </c>
      <c r="B92" s="444" t="s">
        <v>527</v>
      </c>
      <c r="C92" s="372" t="str">
        <f t="shared" si="898"/>
        <v>PDB-2</v>
      </c>
      <c r="D92" s="444" t="s">
        <v>747</v>
      </c>
      <c r="E92" s="567" t="s">
        <v>1182</v>
      </c>
      <c r="F92" s="343" t="s">
        <v>29</v>
      </c>
      <c r="G92" s="337" t="s">
        <v>350</v>
      </c>
      <c r="H92" s="583">
        <v>65</v>
      </c>
      <c r="I92" s="337" t="s">
        <v>330</v>
      </c>
      <c r="J92" s="337" t="s">
        <v>331</v>
      </c>
      <c r="K92" s="349">
        <v>400</v>
      </c>
      <c r="L92" s="343">
        <v>0.85</v>
      </c>
      <c r="M92" s="350">
        <v>0.95400000000000007</v>
      </c>
      <c r="N92" s="342">
        <f t="shared" si="869"/>
        <v>115.70128363632118</v>
      </c>
      <c r="O92" s="342">
        <f t="shared" si="883"/>
        <v>694.20770181792705</v>
      </c>
      <c r="P92" s="343">
        <f t="shared" si="871"/>
        <v>0.2</v>
      </c>
      <c r="Q92" s="350">
        <v>65</v>
      </c>
      <c r="R92" s="350">
        <v>0</v>
      </c>
      <c r="S92" s="350">
        <f t="shared" si="872"/>
        <v>0</v>
      </c>
      <c r="T92" s="343" t="s">
        <v>332</v>
      </c>
      <c r="U92" s="350" t="s">
        <v>333</v>
      </c>
      <c r="V92" s="343">
        <v>150</v>
      </c>
      <c r="W92" s="343" t="str">
        <f t="shared" si="873"/>
        <v>3C X 150</v>
      </c>
      <c r="X92" s="343" t="str">
        <f t="shared" si="884"/>
        <v>3C X 150+PE</v>
      </c>
      <c r="Y92" s="343" t="s">
        <v>358</v>
      </c>
      <c r="Z92" s="344">
        <f>IF(T92="AIR",VLOOKUP(W92,'Catalogue Aluminium'!$B$9:$G$93,2,FALSE),IF(T92="GROUND",VLOOKUP(W92,'Catalogue Aluminium'!$B$9:$G$93,3,FALSE),IF(T92="DUCT",VLOOKUP(W92,'Catalogue Aluminium'!$B$9:$G$93,4,FALSE),IF(T92="TRENCH",VLOOKUP(W92,'Catalogue Aluminium'!$B$9:$G$93,2,FALSE)))))</f>
        <v>293</v>
      </c>
      <c r="AA92" s="345">
        <f>VLOOKUP(W92,'Catalogue Aluminium'!$B$9:$G$93,5,FALSE)</f>
        <v>0.26400000000000001</v>
      </c>
      <c r="AB92" s="345">
        <f>VLOOKUP(W92,'Catalogue Aluminium'!$B$9:$G$93,6,FALSE)</f>
        <v>7.3200000000000001E-2</v>
      </c>
      <c r="AC92" s="343">
        <f t="shared" si="899"/>
        <v>17</v>
      </c>
      <c r="AD92" s="343">
        <f t="shared" si="1021"/>
        <v>143</v>
      </c>
      <c r="AE92" s="343">
        <v>10</v>
      </c>
      <c r="AF92" s="343">
        <v>8</v>
      </c>
      <c r="AG92" s="343">
        <f t="shared" si="134"/>
        <v>18</v>
      </c>
      <c r="AH92" s="347">
        <f t="shared" si="963"/>
        <v>196</v>
      </c>
      <c r="AI92" s="344">
        <f>IF(T92="AIR",'Catalogue Aluminium'!$K$9,IF(T92="TRENCH",'Catalogue Aluminium'!$K$12,"NA"))</f>
        <v>0.89</v>
      </c>
      <c r="AJ92" s="342">
        <f>IF(T92="Air",(IF(U92="1C",'Catalogue Aluminium'!$L$9,'Catalogue Aluminium'!$M$9)),IF(T92="DUCT",(IF($U92="1C",'Catalogue Aluminium'!$L$10,'Catalogue Aluminium'!$M$10)),IF(T92="GROUND",(IF($U92="1C",'Catalogue Aluminium'!$L$11,'Catalogue Aluminium'!$M$11)),IF(T92="TRENCH",(IF($U92="1C",'Catalogue Aluminium'!$L$12,'Catalogue Aluminium'!$M$12))))))</f>
        <v>0.66</v>
      </c>
      <c r="AK92" s="344" t="str">
        <f>IF(T92="Air",'Catalogue Aluminium'!$N$9,IF(T92="GROUND",'Catalogue Aluminium'!$N$10,IF(T92="DUCT",'Catalogue Aluminium'!$N$11,IF(T92="TRENCH",'Catalogue Aluminium'!$N$12,"NA"))))</f>
        <v>NA</v>
      </c>
      <c r="AL92" s="344" t="str">
        <f>IF(T92="Air",(IF(U92="1C",'Catalogue Aluminium'!$O$9,'Catalogue Aluminium'!$P$9)),IF(T92="DUCT",(IF($U92="1C",'Catalogue Aluminium'!$O$10,'Catalogue Aluminium'!$P$10)),IF(T92="GROUND",(IF($U92="1C",'Catalogue Aluminium'!$O$11,'Catalogue Aluminium'!$P$11)),IF(T92="TRENCH",(IF($U92="1C",'Catalogue Aluminium'!$O$12,'Catalogue Aluminium'!$P$12))))))</f>
        <v>NA</v>
      </c>
      <c r="AM92" s="344" t="str">
        <f>IF(T92="AIR","NA",IF(T92="TRENCH","NA",IF(T92="DUCT",IF(U92="1C",VLOOKUP(V92,'Catalogue Aluminium'!$Q$9:$S$28,2,FALSE),VLOOKUP(V92,'Catalogue Aluminium'!$Q$9:$S$28,3)),IF(T92="GROUND",IF(U92="1C",VLOOKUP(V92,'Catalogue Aluminium'!$Q$9:$S$28,2,FALSE),VLOOKUP(V92,'Catalogue Aluminium'!$Q$9:$S$28,3))))))</f>
        <v>NA</v>
      </c>
      <c r="AN92" s="351">
        <f t="shared" si="886"/>
        <v>0.58740000000000003</v>
      </c>
      <c r="AO92" s="350">
        <f t="shared" si="887"/>
        <v>172.10820000000001</v>
      </c>
      <c r="AP92" s="349">
        <f t="shared" si="888"/>
        <v>1</v>
      </c>
      <c r="AQ92" s="350" t="str">
        <f t="shared" si="889"/>
        <v>YES</v>
      </c>
      <c r="AR92" s="351">
        <f t="shared" si="136"/>
        <v>2.5821733196624268</v>
      </c>
      <c r="AS92" s="343" t="str">
        <f t="shared" si="137"/>
        <v>YES</v>
      </c>
      <c r="AT92" s="351">
        <f t="shared" si="890"/>
        <v>7.3365003541291118</v>
      </c>
      <c r="AU92" s="343" t="str">
        <f t="shared" si="891"/>
        <v>YES</v>
      </c>
      <c r="AV92" s="354" t="str">
        <f t="shared" si="892"/>
        <v>1R x 0.6/1kV x 3C x 150 Sqmm</v>
      </c>
      <c r="AW92" s="354" t="str">
        <f t="shared" si="893"/>
        <v>1R x 0.6/1kV x 3C x 150+PE Sqmm</v>
      </c>
      <c r="AX92" s="343">
        <f t="shared" si="894"/>
        <v>196</v>
      </c>
      <c r="AY92" s="355"/>
      <c r="AZ92" s="355">
        <f t="shared" si="895"/>
        <v>2</v>
      </c>
      <c r="BA92" s="356" t="str">
        <f t="shared" si="896"/>
        <v>Q3RR1R2SS.B</v>
      </c>
      <c r="BB92" s="501">
        <f>VLOOKUP(W92,'Catalogue Aluminium'!$B$9:$H$93,7,FALSE)</f>
        <v>39</v>
      </c>
      <c r="BC92" s="328">
        <f t="shared" si="897"/>
        <v>39</v>
      </c>
      <c r="BE92" s="758"/>
      <c r="BF92" s="758"/>
      <c r="BG92" s="758"/>
      <c r="BH92" s="758"/>
      <c r="BI92" s="758"/>
      <c r="BJ92" s="758"/>
      <c r="BK92" s="758"/>
      <c r="BL92" s="758"/>
      <c r="BM92" s="758"/>
      <c r="BN92" s="758"/>
      <c r="BO92" s="758"/>
      <c r="BP92" s="758"/>
      <c r="BQ92" s="758"/>
      <c r="BR92" s="758"/>
      <c r="BS92" s="758"/>
      <c r="BT92" s="758"/>
      <c r="BU92" s="758"/>
      <c r="BV92" s="758"/>
      <c r="BW92" s="758"/>
      <c r="BX92" s="758"/>
      <c r="BY92" s="758"/>
      <c r="BZ92" s="758"/>
      <c r="CA92" s="758"/>
      <c r="CB92" s="758"/>
      <c r="CC92" s="758"/>
      <c r="CD92" s="758"/>
      <c r="CE92" s="758"/>
      <c r="CF92" s="758"/>
      <c r="CG92" s="758"/>
      <c r="CH92" s="758"/>
      <c r="CI92" s="758"/>
      <c r="CJ92" s="758"/>
      <c r="CK92" s="758"/>
      <c r="CL92" s="758"/>
      <c r="CM92" s="758"/>
      <c r="CN92" s="758"/>
      <c r="CO92" s="758"/>
      <c r="CP92" s="758"/>
      <c r="CQ92" s="758"/>
      <c r="CR92" s="758"/>
      <c r="CS92" s="758"/>
      <c r="CT92" s="758"/>
      <c r="CU92" s="758"/>
      <c r="CV92" s="758"/>
      <c r="CW92" s="758"/>
      <c r="CX92" s="758"/>
      <c r="CY92" s="758"/>
      <c r="CZ92" s="336"/>
      <c r="DA92" s="336">
        <v>1</v>
      </c>
      <c r="DB92" s="336"/>
      <c r="DC92" s="336"/>
      <c r="DD92" s="336"/>
      <c r="DE92" s="336"/>
      <c r="DF92" s="336"/>
      <c r="DG92" s="336">
        <v>1</v>
      </c>
      <c r="DH92" s="336">
        <v>1</v>
      </c>
      <c r="DI92" s="336">
        <v>1</v>
      </c>
      <c r="DJ92" s="336"/>
      <c r="DK92" s="336"/>
      <c r="DL92" s="336">
        <v>1</v>
      </c>
      <c r="DM92" s="336"/>
      <c r="DN92" s="336">
        <v>1</v>
      </c>
      <c r="DO92" s="336"/>
      <c r="DP92" s="336"/>
      <c r="DQ92" s="336"/>
      <c r="DR92" s="336"/>
      <c r="DS92" s="336"/>
      <c r="DT92" s="336"/>
      <c r="DU92" s="336"/>
      <c r="DW92" s="336">
        <f t="shared" si="1022"/>
        <v>0</v>
      </c>
      <c r="DX92" s="336">
        <f t="shared" si="900"/>
        <v>0</v>
      </c>
      <c r="DY92" s="336">
        <f t="shared" si="901"/>
        <v>0</v>
      </c>
      <c r="DZ92" s="336">
        <f t="shared" si="902"/>
        <v>0</v>
      </c>
      <c r="EA92" s="336">
        <f t="shared" si="903"/>
        <v>0</v>
      </c>
      <c r="EB92" s="336">
        <f t="shared" si="904"/>
        <v>0</v>
      </c>
      <c r="EC92" s="336">
        <f t="shared" si="905"/>
        <v>0</v>
      </c>
      <c r="ED92" s="336">
        <f t="shared" si="906"/>
        <v>0</v>
      </c>
      <c r="EE92" s="336">
        <f t="shared" si="907"/>
        <v>0</v>
      </c>
      <c r="EF92" s="336">
        <f t="shared" si="908"/>
        <v>0</v>
      </c>
      <c r="EG92" s="336">
        <f t="shared" si="909"/>
        <v>0</v>
      </c>
      <c r="EH92" s="336">
        <f t="shared" si="910"/>
        <v>0</v>
      </c>
      <c r="EI92" s="336">
        <f t="shared" si="911"/>
        <v>0</v>
      </c>
      <c r="EJ92" s="336">
        <f t="shared" si="912"/>
        <v>0</v>
      </c>
      <c r="EK92" s="336">
        <f t="shared" si="913"/>
        <v>0</v>
      </c>
      <c r="EL92" s="336">
        <f t="shared" si="914"/>
        <v>0</v>
      </c>
      <c r="EM92" s="336">
        <f t="shared" si="915"/>
        <v>0</v>
      </c>
      <c r="EN92" s="336">
        <f t="shared" si="916"/>
        <v>0</v>
      </c>
      <c r="EO92" s="336">
        <f t="shared" si="917"/>
        <v>0</v>
      </c>
      <c r="EP92" s="336">
        <f t="shared" si="918"/>
        <v>0</v>
      </c>
      <c r="EQ92" s="336">
        <f t="shared" si="919"/>
        <v>0</v>
      </c>
      <c r="ER92" s="336">
        <f t="shared" si="920"/>
        <v>0</v>
      </c>
      <c r="ES92" s="336">
        <f t="shared" si="921"/>
        <v>0</v>
      </c>
      <c r="ET92" s="336">
        <f t="shared" si="921"/>
        <v>0</v>
      </c>
      <c r="EU92" s="336">
        <f t="shared" si="922"/>
        <v>0</v>
      </c>
      <c r="EV92" s="336">
        <f t="shared" si="923"/>
        <v>0</v>
      </c>
      <c r="EW92" s="336">
        <f t="shared" si="924"/>
        <v>0</v>
      </c>
      <c r="EX92" s="336">
        <f t="shared" si="925"/>
        <v>0</v>
      </c>
      <c r="EY92" s="336">
        <f t="shared" si="926"/>
        <v>0</v>
      </c>
      <c r="EZ92" s="336">
        <f t="shared" si="927"/>
        <v>0</v>
      </c>
      <c r="FA92" s="336">
        <f t="shared" si="928"/>
        <v>0</v>
      </c>
      <c r="FB92" s="336">
        <f t="shared" si="929"/>
        <v>0</v>
      </c>
      <c r="FC92" s="336">
        <f t="shared" si="930"/>
        <v>0</v>
      </c>
      <c r="FD92" s="336">
        <f t="shared" si="931"/>
        <v>0</v>
      </c>
      <c r="FE92" s="336">
        <f t="shared" si="932"/>
        <v>0</v>
      </c>
      <c r="FF92" s="336">
        <f t="shared" si="933"/>
        <v>0</v>
      </c>
      <c r="FG92" s="336">
        <f t="shared" si="934"/>
        <v>0</v>
      </c>
      <c r="FH92" s="336">
        <f t="shared" si="935"/>
        <v>0</v>
      </c>
      <c r="FI92" s="336">
        <f t="shared" si="936"/>
        <v>0</v>
      </c>
      <c r="FJ92" s="336">
        <f t="shared" si="937"/>
        <v>0</v>
      </c>
      <c r="FK92" s="336">
        <f t="shared" si="938"/>
        <v>0</v>
      </c>
      <c r="FL92" s="336">
        <f t="shared" si="939"/>
        <v>0</v>
      </c>
      <c r="FM92" s="336">
        <f t="shared" si="940"/>
        <v>0</v>
      </c>
      <c r="FN92" s="336">
        <f t="shared" si="941"/>
        <v>0</v>
      </c>
      <c r="FO92" s="336">
        <f t="shared" si="942"/>
        <v>0</v>
      </c>
      <c r="FP92" s="336">
        <f t="shared" si="943"/>
        <v>0</v>
      </c>
      <c r="FQ92" s="336">
        <f t="shared" si="944"/>
        <v>0</v>
      </c>
      <c r="FR92" s="336">
        <f t="shared" si="945"/>
        <v>0</v>
      </c>
      <c r="FS92" s="336">
        <f t="shared" si="946"/>
        <v>39</v>
      </c>
      <c r="FT92" s="336">
        <f t="shared" si="947"/>
        <v>0</v>
      </c>
      <c r="FU92" s="336">
        <f t="shared" si="553"/>
        <v>0</v>
      </c>
      <c r="FV92" s="336">
        <f t="shared" si="554"/>
        <v>0</v>
      </c>
      <c r="FW92" s="336">
        <f t="shared" si="555"/>
        <v>0</v>
      </c>
      <c r="FX92" s="336">
        <f t="shared" si="556"/>
        <v>0</v>
      </c>
      <c r="FY92" s="336">
        <f t="shared" si="948"/>
        <v>39</v>
      </c>
      <c r="FZ92" s="336">
        <f t="shared" si="949"/>
        <v>39</v>
      </c>
      <c r="GA92" s="336">
        <f t="shared" si="950"/>
        <v>39</v>
      </c>
      <c r="GB92" s="336">
        <f t="shared" si="951"/>
        <v>0</v>
      </c>
      <c r="GC92" s="336">
        <f t="shared" si="952"/>
        <v>0</v>
      </c>
      <c r="GD92" s="336">
        <f t="shared" si="953"/>
        <v>39</v>
      </c>
      <c r="GE92" s="336">
        <f t="shared" si="954"/>
        <v>0</v>
      </c>
      <c r="GF92" s="336">
        <f t="shared" si="955"/>
        <v>39</v>
      </c>
      <c r="GG92" s="336">
        <f t="shared" si="956"/>
        <v>0</v>
      </c>
      <c r="GH92" s="336">
        <f t="shared" si="957"/>
        <v>0</v>
      </c>
      <c r="GI92" s="336">
        <f t="shared" si="958"/>
        <v>0</v>
      </c>
      <c r="GJ92" s="336">
        <f t="shared" si="959"/>
        <v>0</v>
      </c>
      <c r="GK92" s="336">
        <f t="shared" si="960"/>
        <v>0</v>
      </c>
      <c r="GL92" s="336">
        <f t="shared" si="557"/>
        <v>0</v>
      </c>
      <c r="GM92" s="336">
        <f t="shared" si="961"/>
        <v>0</v>
      </c>
    </row>
    <row r="93" spans="1:195" ht="20.100000000000001" customHeight="1">
      <c r="A93" s="337">
        <f t="shared" si="962"/>
        <v>68</v>
      </c>
      <c r="B93" s="445" t="s">
        <v>527</v>
      </c>
      <c r="C93" s="338" t="str">
        <f t="shared" si="898"/>
        <v>PDB-2</v>
      </c>
      <c r="D93" s="445" t="s">
        <v>748</v>
      </c>
      <c r="E93" s="757" t="s">
        <v>1182</v>
      </c>
      <c r="F93" s="401" t="s">
        <v>29</v>
      </c>
      <c r="G93" s="388" t="s">
        <v>329</v>
      </c>
      <c r="H93" s="742">
        <v>0.2</v>
      </c>
      <c r="I93" s="388" t="s">
        <v>330</v>
      </c>
      <c r="J93" s="388" t="s">
        <v>357</v>
      </c>
      <c r="K93" s="434">
        <v>230</v>
      </c>
      <c r="L93" s="401">
        <v>0.85</v>
      </c>
      <c r="M93" s="418">
        <v>0.95</v>
      </c>
      <c r="N93" s="392">
        <f t="shared" si="869"/>
        <v>1.0768609503297888</v>
      </c>
      <c r="O93" s="392">
        <f t="shared" si="883"/>
        <v>0</v>
      </c>
      <c r="P93" s="401" t="str">
        <f t="shared" si="871"/>
        <v>0.00</v>
      </c>
      <c r="Q93" s="418">
        <v>65</v>
      </c>
      <c r="R93" s="418">
        <v>0</v>
      </c>
      <c r="S93" s="418">
        <f t="shared" si="872"/>
        <v>0</v>
      </c>
      <c r="T93" s="401" t="s">
        <v>332</v>
      </c>
      <c r="U93" s="418" t="s">
        <v>333</v>
      </c>
      <c r="V93" s="401">
        <v>2.5</v>
      </c>
      <c r="W93" s="401" t="str">
        <f t="shared" si="873"/>
        <v>3C X 2.5</v>
      </c>
      <c r="X93" s="401" t="str">
        <f t="shared" ref="X93" si="1023">(IF(J93="1Ph",W93,IF(J93="3Ph",(IF(G93="MOTOR",(CONCATENATE(W93,"+PE")),W93)))))</f>
        <v>3C X 2.5</v>
      </c>
      <c r="Y93" s="401" t="s">
        <v>358</v>
      </c>
      <c r="Z93" s="393">
        <f>IF(T93="AIR",VLOOKUP(W93,'Catalogue Aluminium'!$B$9:$G$93,2,FALSE),IF(T93="GROUND",VLOOKUP(W93,'Catalogue Aluminium'!$B$9:$G$93,3,FALSE),IF(T93="DUCT",VLOOKUP(W93,'Catalogue Aluminium'!$B$9:$G$93,4,FALSE),IF(T93="TRENCH",VLOOKUP(W93,'Catalogue Aluminium'!$B$9:$G$93,2,FALSE)))))</f>
        <v>28</v>
      </c>
      <c r="AA93" s="402">
        <f>VLOOKUP(W93,'Catalogue Aluminium'!$B$9:$G$93,5,FALSE)</f>
        <v>9.48</v>
      </c>
      <c r="AB93" s="402">
        <f>VLOOKUP(W93,'Catalogue Aluminium'!$B$9:$G$93,6,FALSE)</f>
        <v>0.1007</v>
      </c>
      <c r="AC93" s="401">
        <f t="shared" si="899"/>
        <v>17</v>
      </c>
      <c r="AD93" s="401">
        <f t="shared" si="1021"/>
        <v>143</v>
      </c>
      <c r="AE93" s="401">
        <v>10</v>
      </c>
      <c r="AF93" s="401">
        <v>8</v>
      </c>
      <c r="AG93" s="401">
        <f t="shared" ref="AG93" si="1024">ROUNDUP((SUM(AC93:AF93)*0.1),0)</f>
        <v>18</v>
      </c>
      <c r="AH93" s="436">
        <f t="shared" si="963"/>
        <v>196</v>
      </c>
      <c r="AI93" s="393">
        <f>IF(T93="AIR",'Catalogue Aluminium'!$K$9,IF(T93="TRENCH",'Catalogue Aluminium'!$K$12,"NA"))</f>
        <v>0.89</v>
      </c>
      <c r="AJ93" s="392">
        <f>IF(T93="Air",(IF(U93="1C",'Catalogue Aluminium'!$L$9,'Catalogue Aluminium'!$M$9)),IF(T93="DUCT",(IF($U93="1C",'Catalogue Aluminium'!$L$10,'Catalogue Aluminium'!$M$10)),IF(T93="GROUND",(IF($U93="1C",'Catalogue Aluminium'!$L$11,'Catalogue Aluminium'!$M$11)),IF(T93="TRENCH",(IF($U93="1C",'Catalogue Aluminium'!$L$12,'Catalogue Aluminium'!$M$12))))))</f>
        <v>0.66</v>
      </c>
      <c r="AK93" s="393" t="str">
        <f>IF(T93="Air",'Catalogue Aluminium'!$N$9,IF(T93="GROUND",'Catalogue Aluminium'!$N$10,IF(T93="DUCT",'Catalogue Aluminium'!$N$11,IF(T93="TRENCH",'Catalogue Aluminium'!$N$12,"NA"))))</f>
        <v>NA</v>
      </c>
      <c r="AL93" s="393" t="str">
        <f>IF(T93="Air",(IF(U93="1C",'Catalogue Aluminium'!$O$9,'Catalogue Aluminium'!$P$9)),IF(T93="DUCT",(IF($U93="1C",'Catalogue Aluminium'!$O$10,'Catalogue Aluminium'!$P$10)),IF(T93="GROUND",(IF($U93="1C",'Catalogue Aluminium'!$O$11,'Catalogue Aluminium'!$P$11)),IF(T93="TRENCH",(IF($U93="1C",'Catalogue Aluminium'!$O$12,'Catalogue Aluminium'!$P$12))))))</f>
        <v>NA</v>
      </c>
      <c r="AM93" s="393" t="str">
        <f>IF(T93="AIR","NA",IF(T93="TRENCH","NA",IF(T93="DUCT",IF(U93="1C",VLOOKUP(V93,'Catalogue Aluminium'!$Q$9:$S$28,2,FALSE),VLOOKUP(V93,'Catalogue Aluminium'!$Q$9:$S$28,3)),IF(T93="GROUND",IF(U93="1C",VLOOKUP(V93,'Catalogue Aluminium'!$Q$9:$S$28,2,FALSE),VLOOKUP(V93,'Catalogue Aluminium'!$Q$9:$S$28,3))))))</f>
        <v>NA</v>
      </c>
      <c r="AN93" s="437">
        <f t="shared" ref="AN93" si="1025">IF(T93="AIR",AI93*AJ93,IF(T93="TRENCH",AI93*AJ93,IF(T93="DUCT",AJ93*AK93*AL93*AM93,IF(T93="GROUND",AJ93*AK93*AL93*AM93))))</f>
        <v>0.58740000000000003</v>
      </c>
      <c r="AO93" s="418">
        <f t="shared" ref="AO93" si="1026">Z93*AN93</f>
        <v>16.447200000000002</v>
      </c>
      <c r="AP93" s="434">
        <f t="shared" ref="AP93" si="1027">CEILING(((N93)/AO93),1)</f>
        <v>1</v>
      </c>
      <c r="AQ93" s="418" t="str">
        <f t="shared" ref="AQ93" si="1028">IF(AO93*AP93&gt;=N93,"YES","NO")</f>
        <v>YES</v>
      </c>
      <c r="AR93" s="437">
        <f t="shared" ref="AR93" si="1029">SQRT(3)*AH93*N93*((AA93*L93)+(AB93*SIN(ACOS(L93))))*100/(AP93*K93*1000)</f>
        <v>1.2892151790294875</v>
      </c>
      <c r="AS93" s="401" t="str">
        <f t="shared" ref="AS93" si="1030">IF(G93="INCOMER",(IF(AR93&lt;=2,"YES","NO")),IF(G93="POWER",(IF(AR93&lt;=2.5,"YES","NO")),IF(G93="MOTOR",(IF(AR93&lt;=3,"YES","NO")))))</f>
        <v>YES</v>
      </c>
      <c r="AT93" s="437" t="str">
        <f t="shared" si="890"/>
        <v>NA</v>
      </c>
      <c r="AU93" s="401" t="str">
        <f t="shared" si="891"/>
        <v>NA</v>
      </c>
      <c r="AV93" s="503" t="str">
        <f t="shared" si="892"/>
        <v>1R x 0.6/1kV x 3C x 2.5 Sqmm</v>
      </c>
      <c r="AW93" s="503" t="str">
        <f t="shared" si="893"/>
        <v>1R x 0.6/1kV x 3C x 2.5 Sqmm</v>
      </c>
      <c r="AX93" s="401">
        <f t="shared" si="894"/>
        <v>196</v>
      </c>
      <c r="AY93" s="504"/>
      <c r="AZ93" s="504">
        <f t="shared" si="895"/>
        <v>2</v>
      </c>
      <c r="BA93" s="438" t="str">
        <f t="shared" si="896"/>
        <v>Q3RR1R2SS.B</v>
      </c>
      <c r="BB93" s="505">
        <f>VLOOKUP(W93,'Catalogue Aluminium'!$B$9:$H$93,7,FALSE)</f>
        <v>14</v>
      </c>
      <c r="BC93" s="439">
        <f t="shared" si="897"/>
        <v>14</v>
      </c>
      <c r="BE93" s="758"/>
      <c r="BF93" s="758"/>
      <c r="BG93" s="758"/>
      <c r="BH93" s="758"/>
      <c r="BI93" s="758"/>
      <c r="BJ93" s="758"/>
      <c r="BK93" s="758"/>
      <c r="BL93" s="758"/>
      <c r="BM93" s="758"/>
      <c r="BN93" s="758"/>
      <c r="BO93" s="758"/>
      <c r="BP93" s="758"/>
      <c r="BQ93" s="758"/>
      <c r="BR93" s="758"/>
      <c r="BS93" s="758"/>
      <c r="BT93" s="758"/>
      <c r="BU93" s="758"/>
      <c r="BV93" s="758"/>
      <c r="BW93" s="758"/>
      <c r="BX93" s="758"/>
      <c r="BY93" s="758"/>
      <c r="BZ93" s="758"/>
      <c r="CA93" s="758"/>
      <c r="CB93" s="758"/>
      <c r="CC93" s="758"/>
      <c r="CD93" s="758"/>
      <c r="CE93" s="758"/>
      <c r="CF93" s="758"/>
      <c r="CG93" s="758"/>
      <c r="CH93" s="758"/>
      <c r="CI93" s="758"/>
      <c r="CJ93" s="758"/>
      <c r="CK93" s="758"/>
      <c r="CL93" s="758"/>
      <c r="CM93" s="758"/>
      <c r="CN93" s="758"/>
      <c r="CO93" s="758"/>
      <c r="CP93" s="758"/>
      <c r="CQ93" s="758"/>
      <c r="CR93" s="758"/>
      <c r="CS93" s="758"/>
      <c r="CT93" s="758"/>
      <c r="CU93" s="758"/>
      <c r="CV93" s="758"/>
      <c r="CW93" s="758"/>
      <c r="CX93" s="758"/>
      <c r="CY93" s="758"/>
      <c r="CZ93" s="336"/>
      <c r="DA93" s="336">
        <v>1</v>
      </c>
      <c r="DB93" s="336"/>
      <c r="DC93" s="336"/>
      <c r="DD93" s="336"/>
      <c r="DE93" s="336"/>
      <c r="DF93" s="336"/>
      <c r="DG93" s="336">
        <v>1</v>
      </c>
      <c r="DH93" s="336">
        <v>1</v>
      </c>
      <c r="DI93" s="336">
        <v>1</v>
      </c>
      <c r="DJ93" s="336"/>
      <c r="DK93" s="336"/>
      <c r="DL93" s="336">
        <v>1</v>
      </c>
      <c r="DM93" s="336"/>
      <c r="DN93" s="336">
        <v>1</v>
      </c>
      <c r="DO93" s="336"/>
      <c r="DP93" s="336"/>
      <c r="DQ93" s="336"/>
      <c r="DR93" s="336"/>
      <c r="DS93" s="336"/>
      <c r="DT93" s="336"/>
      <c r="DU93" s="336"/>
      <c r="DW93" s="336">
        <f t="shared" ref="DW93" si="1031">IF(BE93=1,($BC93*BE93),0)</f>
        <v>0</v>
      </c>
      <c r="DX93" s="336">
        <f t="shared" ref="DX93" si="1032">IF(BF93=1,($BC93*BF93),0)</f>
        <v>0</v>
      </c>
      <c r="DY93" s="336">
        <f t="shared" ref="DY93" si="1033">IF(BG93=1,($BC93*BG93),0)</f>
        <v>0</v>
      </c>
      <c r="DZ93" s="336">
        <f t="shared" ref="DZ93" si="1034">IF(BH93=1,($BC93*BH93),0)</f>
        <v>0</v>
      </c>
      <c r="EA93" s="336">
        <f t="shared" ref="EA93" si="1035">IF(BI93=1,($BC93*BI93),0)</f>
        <v>0</v>
      </c>
      <c r="EB93" s="336">
        <f t="shared" ref="EB93" si="1036">IF(BJ93=1,($BC93*BJ93),0)</f>
        <v>0</v>
      </c>
      <c r="EC93" s="336">
        <f t="shared" ref="EC93" si="1037">IF(BK93=1,($BC93*BK93),0)</f>
        <v>0</v>
      </c>
      <c r="ED93" s="336">
        <f t="shared" ref="ED93" si="1038">IF(BL93=1,($BC93*BL93),0)</f>
        <v>0</v>
      </c>
      <c r="EE93" s="336">
        <f t="shared" ref="EE93" si="1039">IF(BM93=1,($BC93*BM93),0)</f>
        <v>0</v>
      </c>
      <c r="EF93" s="336">
        <f t="shared" ref="EF93" si="1040">IF(BN93=1,($BC93*BN93),0)</f>
        <v>0</v>
      </c>
      <c r="EG93" s="336">
        <f t="shared" ref="EG93" si="1041">IF(BO93=1,($BC93*BO93),0)</f>
        <v>0</v>
      </c>
      <c r="EH93" s="336">
        <f t="shared" ref="EH93" si="1042">IF(BP93=1,($BC93*BP93),0)</f>
        <v>0</v>
      </c>
      <c r="EI93" s="336">
        <f t="shared" ref="EI93" si="1043">IF(BQ93=1,($BC93*BQ93),0)</f>
        <v>0</v>
      </c>
      <c r="EJ93" s="336">
        <f t="shared" ref="EJ93" si="1044">IF(BR93=1,($BC93*BR93),0)</f>
        <v>0</v>
      </c>
      <c r="EK93" s="336">
        <f t="shared" ref="EK93" si="1045">IF(BS93=1,($BC93*BS93),0)</f>
        <v>0</v>
      </c>
      <c r="EL93" s="336">
        <f t="shared" ref="EL93" si="1046">IF(BT93=1,($BC93*BT93),0)</f>
        <v>0</v>
      </c>
      <c r="EM93" s="336">
        <f t="shared" ref="EM93" si="1047">IF(BU93=1,($BC93*BU93),0)</f>
        <v>0</v>
      </c>
      <c r="EN93" s="336">
        <f t="shared" ref="EN93" si="1048">IF(BV93=1,($BC93*BV93),0)</f>
        <v>0</v>
      </c>
      <c r="EO93" s="336">
        <f t="shared" ref="EO93" si="1049">IF(BW93=1,($BC93*BW93),0)</f>
        <v>0</v>
      </c>
      <c r="EP93" s="336">
        <f t="shared" ref="EP93" si="1050">IF(BX93=1,($BC93*BX93),0)</f>
        <v>0</v>
      </c>
      <c r="EQ93" s="336">
        <f t="shared" ref="EQ93" si="1051">IF(BY93=1,($BC93*BY93),0)</f>
        <v>0</v>
      </c>
      <c r="ER93" s="336">
        <f t="shared" ref="ER93" si="1052">IF(BZ93=1,($BC93*BZ93),0)</f>
        <v>0</v>
      </c>
      <c r="ES93" s="336">
        <f t="shared" ref="ES93" si="1053">IF(CA93=1,($BC93*CA93),0)</f>
        <v>0</v>
      </c>
      <c r="ET93" s="336">
        <f t="shared" si="921"/>
        <v>0</v>
      </c>
      <c r="EU93" s="336">
        <f t="shared" ref="EU93" si="1054">IF(CC93=1,($BC93*CC93),0)</f>
        <v>0</v>
      </c>
      <c r="EV93" s="336">
        <f t="shared" ref="EV93" si="1055">IF(CD93=1,($BC93*CD93),0)</f>
        <v>0</v>
      </c>
      <c r="EW93" s="336">
        <f t="shared" ref="EW93" si="1056">IF(CE93=1,($BC93*CE93),0)</f>
        <v>0</v>
      </c>
      <c r="EX93" s="336">
        <f t="shared" ref="EX93" si="1057">IF(CF93=1,($BC93*CF93),0)</f>
        <v>0</v>
      </c>
      <c r="EY93" s="336">
        <f t="shared" ref="EY93" si="1058">IF(CG93=1,($BC93*CG93),0)</f>
        <v>0</v>
      </c>
      <c r="EZ93" s="336">
        <f t="shared" ref="EZ93" si="1059">IF(CH93=1,($BC93*CH93),0)</f>
        <v>0</v>
      </c>
      <c r="FA93" s="336">
        <f t="shared" ref="FA93" si="1060">IF(CI93=1,($BC93*CI93),0)</f>
        <v>0</v>
      </c>
      <c r="FB93" s="336">
        <f t="shared" ref="FB93" si="1061">IF(CJ93=1,($BC93*CJ93),0)</f>
        <v>0</v>
      </c>
      <c r="FC93" s="336">
        <f t="shared" ref="FC93" si="1062">IF(CK93=1,($BC93*CK93),0)</f>
        <v>0</v>
      </c>
      <c r="FD93" s="336">
        <f t="shared" ref="FD93" si="1063">IF(CL93=1,($BC93*CL93),0)</f>
        <v>0</v>
      </c>
      <c r="FE93" s="336">
        <f t="shared" ref="FE93" si="1064">IF(CM93=1,($BC93*CM93),0)</f>
        <v>0</v>
      </c>
      <c r="FF93" s="336">
        <f t="shared" ref="FF93" si="1065">IF(CN93=1,($BC93*CN93),0)</f>
        <v>0</v>
      </c>
      <c r="FG93" s="336">
        <f t="shared" ref="FG93" si="1066">IF(CO93=1,($BC93*CO93),0)</f>
        <v>0</v>
      </c>
      <c r="FH93" s="336">
        <f t="shared" ref="FH93" si="1067">IF(CP93=1,($BC93*CP93),0)</f>
        <v>0</v>
      </c>
      <c r="FI93" s="336">
        <f t="shared" ref="FI93" si="1068">IF(CQ93=1,($BC93*CQ93),0)</f>
        <v>0</v>
      </c>
      <c r="FJ93" s="336">
        <f t="shared" ref="FJ93" si="1069">IF(CR93=1,($BC93*CR93),0)</f>
        <v>0</v>
      </c>
      <c r="FK93" s="336">
        <f t="shared" ref="FK93" si="1070">IF(CS93=1,($BC93*CS93),0)</f>
        <v>0</v>
      </c>
      <c r="FL93" s="336">
        <f t="shared" ref="FL93" si="1071">IF(CT93=1,($BC93*CT93),0)</f>
        <v>0</v>
      </c>
      <c r="FM93" s="336">
        <f t="shared" ref="FM93" si="1072">IF(CU93=1,($BC93*CU93),0)</f>
        <v>0</v>
      </c>
      <c r="FN93" s="336">
        <f t="shared" ref="FN93" si="1073">IF(CV93=1,($BC93*CV93),0)</f>
        <v>0</v>
      </c>
      <c r="FO93" s="336">
        <f t="shared" ref="FO93" si="1074">IF(CW93=1,($BC93*CW93),0)</f>
        <v>0</v>
      </c>
      <c r="FP93" s="336">
        <f t="shared" ref="FP93" si="1075">IF(CX93=1,($BC93*CX93),0)</f>
        <v>0</v>
      </c>
      <c r="FQ93" s="336">
        <f t="shared" ref="FQ93" si="1076">IF(CY93=1,($BC93*CY93),0)</f>
        <v>0</v>
      </c>
      <c r="FR93" s="336">
        <f t="shared" ref="FR93" si="1077">IF(CZ93=1,($BC93*CZ93),0)</f>
        <v>0</v>
      </c>
      <c r="FS93" s="336">
        <f t="shared" ref="FS93" si="1078">IF(DA93=1,($BC93*DA93),0)</f>
        <v>14</v>
      </c>
      <c r="FT93" s="336">
        <f t="shared" ref="FT93" si="1079">IF(DB93=1,($BC93*DB93),0)</f>
        <v>0</v>
      </c>
      <c r="FU93" s="336">
        <f t="shared" si="553"/>
        <v>0</v>
      </c>
      <c r="FV93" s="336">
        <f t="shared" si="554"/>
        <v>0</v>
      </c>
      <c r="FW93" s="336">
        <f t="shared" si="555"/>
        <v>0</v>
      </c>
      <c r="FX93" s="336">
        <f t="shared" si="556"/>
        <v>0</v>
      </c>
      <c r="FY93" s="336">
        <f t="shared" si="948"/>
        <v>14</v>
      </c>
      <c r="FZ93" s="336">
        <f t="shared" si="949"/>
        <v>14</v>
      </c>
      <c r="GA93" s="336">
        <f t="shared" si="950"/>
        <v>14</v>
      </c>
      <c r="GB93" s="336">
        <f t="shared" si="951"/>
        <v>0</v>
      </c>
      <c r="GC93" s="336">
        <f t="shared" si="952"/>
        <v>0</v>
      </c>
      <c r="GD93" s="336">
        <f t="shared" si="953"/>
        <v>14</v>
      </c>
      <c r="GE93" s="336">
        <f t="shared" si="954"/>
        <v>0</v>
      </c>
      <c r="GF93" s="336">
        <f t="shared" si="955"/>
        <v>14</v>
      </c>
      <c r="GG93" s="336">
        <f t="shared" si="956"/>
        <v>0</v>
      </c>
      <c r="GH93" s="336">
        <f t="shared" si="957"/>
        <v>0</v>
      </c>
      <c r="GI93" s="336">
        <f t="shared" si="958"/>
        <v>0</v>
      </c>
      <c r="GJ93" s="336">
        <f t="shared" si="959"/>
        <v>0</v>
      </c>
      <c r="GK93" s="336">
        <f t="shared" si="960"/>
        <v>0</v>
      </c>
      <c r="GL93" s="336">
        <f t="shared" si="557"/>
        <v>0</v>
      </c>
      <c r="GM93" s="336">
        <f t="shared" si="961"/>
        <v>0</v>
      </c>
    </row>
    <row r="94" spans="1:195" ht="20.100000000000001" customHeight="1">
      <c r="A94" s="337">
        <f t="shared" si="962"/>
        <v>69</v>
      </c>
      <c r="B94" s="444" t="s">
        <v>527</v>
      </c>
      <c r="C94" s="372" t="str">
        <f t="shared" si="898"/>
        <v>PDB-2</v>
      </c>
      <c r="D94" s="444" t="s">
        <v>749</v>
      </c>
      <c r="E94" s="567" t="s">
        <v>1182</v>
      </c>
      <c r="F94" s="343" t="s">
        <v>29</v>
      </c>
      <c r="G94" s="337" t="s">
        <v>329</v>
      </c>
      <c r="H94" s="350">
        <v>15</v>
      </c>
      <c r="I94" s="337" t="s">
        <v>330</v>
      </c>
      <c r="J94" s="337" t="s">
        <v>331</v>
      </c>
      <c r="K94" s="349">
        <v>400</v>
      </c>
      <c r="L94" s="343">
        <v>0.85</v>
      </c>
      <c r="M94" s="350">
        <v>0.95</v>
      </c>
      <c r="N94" s="342">
        <f t="shared" si="869"/>
        <v>26.81271852365597</v>
      </c>
      <c r="O94" s="342">
        <f t="shared" si="883"/>
        <v>0</v>
      </c>
      <c r="P94" s="343" t="str">
        <f t="shared" si="871"/>
        <v>0.00</v>
      </c>
      <c r="Q94" s="350">
        <v>65</v>
      </c>
      <c r="R94" s="350">
        <v>0</v>
      </c>
      <c r="S94" s="350">
        <f t="shared" si="872"/>
        <v>0</v>
      </c>
      <c r="T94" s="343" t="s">
        <v>332</v>
      </c>
      <c r="U94" s="350" t="s">
        <v>535</v>
      </c>
      <c r="V94" s="343">
        <v>35</v>
      </c>
      <c r="W94" s="343" t="str">
        <f t="shared" si="873"/>
        <v>3.5C X 35</v>
      </c>
      <c r="X94" s="343" t="str">
        <f t="shared" si="884"/>
        <v>3.5C X 35</v>
      </c>
      <c r="Y94" s="343" t="s">
        <v>358</v>
      </c>
      <c r="Z94" s="344">
        <f>IF(T94="AIR",VLOOKUP(W94,'Catalogue Aluminium'!$B$9:$G$93,2,FALSE),IF(T94="GROUND",VLOOKUP(W94,'Catalogue Aluminium'!$B$9:$G$93,3,FALSE),IF(T94="DUCT",VLOOKUP(W94,'Catalogue Aluminium'!$B$9:$G$93,4,FALSE),IF(T94="TRENCH",VLOOKUP(W94,'Catalogue Aluminium'!$B$9:$G$93,2,FALSE)))))</f>
        <v>117</v>
      </c>
      <c r="AA94" s="345">
        <f>VLOOKUP(W94,'Catalogue Aluminium'!$B$9:$G$93,5,FALSE)</f>
        <v>1.1100000000000001</v>
      </c>
      <c r="AB94" s="345">
        <f>VLOOKUP(W94,'Catalogue Aluminium'!$B$9:$G$93,6,FALSE)</f>
        <v>7.9399999999999998E-2</v>
      </c>
      <c r="AC94" s="343">
        <f t="shared" si="899"/>
        <v>17</v>
      </c>
      <c r="AD94" s="343">
        <f t="shared" si="1021"/>
        <v>143</v>
      </c>
      <c r="AE94" s="343">
        <v>10</v>
      </c>
      <c r="AF94" s="343">
        <v>8</v>
      </c>
      <c r="AG94" s="343">
        <f t="shared" si="134"/>
        <v>18</v>
      </c>
      <c r="AH94" s="347">
        <f t="shared" si="963"/>
        <v>196</v>
      </c>
      <c r="AI94" s="344">
        <f>IF(T94="AIR",'Catalogue Aluminium'!$K$9,IF(T94="TRENCH",'Catalogue Aluminium'!$K$12,"NA"))</f>
        <v>0.89</v>
      </c>
      <c r="AJ94" s="342">
        <f>IF(T94="Air",(IF(U94="1C",'Catalogue Aluminium'!$L$9,'Catalogue Aluminium'!$M$9)),IF(T94="DUCT",(IF($U94="1C",'Catalogue Aluminium'!$L$10,'Catalogue Aluminium'!$M$10)),IF(T94="GROUND",(IF($U94="1C",'Catalogue Aluminium'!$L$11,'Catalogue Aluminium'!$M$11)),IF(T94="TRENCH",(IF($U94="1C",'Catalogue Aluminium'!$L$12,'Catalogue Aluminium'!$M$12))))))</f>
        <v>0.66</v>
      </c>
      <c r="AK94" s="344" t="str">
        <f>IF(T94="Air",'Catalogue Aluminium'!$N$9,IF(T94="GROUND",'Catalogue Aluminium'!$N$10,IF(T94="DUCT",'Catalogue Aluminium'!$N$11,IF(T94="TRENCH",'Catalogue Aluminium'!$N$12,"NA"))))</f>
        <v>NA</v>
      </c>
      <c r="AL94" s="344" t="str">
        <f>IF(T94="Air",(IF(U94="1C",'Catalogue Aluminium'!$O$9,'Catalogue Aluminium'!$P$9)),IF(T94="DUCT",(IF($U94="1C",'Catalogue Aluminium'!$O$10,'Catalogue Aluminium'!$P$10)),IF(T94="GROUND",(IF($U94="1C",'Catalogue Aluminium'!$O$11,'Catalogue Aluminium'!$P$11)),IF(T94="TRENCH",(IF($U94="1C",'Catalogue Aluminium'!$O$12,'Catalogue Aluminium'!$P$12))))))</f>
        <v>NA</v>
      </c>
      <c r="AM94" s="344" t="str">
        <f>IF(T94="AIR","NA",IF(T94="TRENCH","NA",IF(T94="DUCT",IF(U94="1C",VLOOKUP(V94,'Catalogue Aluminium'!$Q$9:$S$28,2,FALSE),VLOOKUP(V94,'Catalogue Aluminium'!$Q$9:$S$28,3)),IF(T94="GROUND",IF(U94="1C",VLOOKUP(V94,'Catalogue Aluminium'!$Q$9:$S$28,2,FALSE),VLOOKUP(V94,'Catalogue Aluminium'!$Q$9:$S$28,3))))))</f>
        <v>NA</v>
      </c>
      <c r="AN94" s="351">
        <f t="shared" si="886"/>
        <v>0.58740000000000003</v>
      </c>
      <c r="AO94" s="350">
        <f t="shared" si="887"/>
        <v>68.725800000000007</v>
      </c>
      <c r="AP94" s="349">
        <f t="shared" si="888"/>
        <v>1</v>
      </c>
      <c r="AQ94" s="350" t="str">
        <f t="shared" si="889"/>
        <v>YES</v>
      </c>
      <c r="AR94" s="351">
        <f t="shared" si="136"/>
        <v>2.2422175091121406</v>
      </c>
      <c r="AS94" s="343" t="str">
        <f t="shared" si="137"/>
        <v>YES</v>
      </c>
      <c r="AT94" s="351" t="str">
        <f t="shared" si="890"/>
        <v>NA</v>
      </c>
      <c r="AU94" s="343" t="str">
        <f t="shared" si="891"/>
        <v>NA</v>
      </c>
      <c r="AV94" s="354" t="str">
        <f t="shared" si="892"/>
        <v>1R x 0.6/1kV x 3.5C x 35 Sqmm</v>
      </c>
      <c r="AW94" s="354" t="str">
        <f t="shared" si="893"/>
        <v>1R x 0.6/1kV x 3.5C x 35 Sqmm</v>
      </c>
      <c r="AX94" s="343">
        <f t="shared" si="894"/>
        <v>196</v>
      </c>
      <c r="AY94" s="355"/>
      <c r="AZ94" s="355">
        <f t="shared" si="895"/>
        <v>2</v>
      </c>
      <c r="BA94" s="356" t="str">
        <f t="shared" si="896"/>
        <v>Q3RR1R2SS.B</v>
      </c>
      <c r="BB94" s="501">
        <f>VLOOKUP(W94,'Catalogue Aluminium'!$B$9:$H$93,7,FALSE)</f>
        <v>27</v>
      </c>
      <c r="BC94" s="328">
        <f t="shared" si="897"/>
        <v>27</v>
      </c>
      <c r="BE94" s="336"/>
      <c r="BF94" s="336"/>
      <c r="BG94" s="336"/>
      <c r="BH94" s="336"/>
      <c r="BI94" s="336"/>
      <c r="BJ94" s="336"/>
      <c r="BK94" s="336"/>
      <c r="BL94" s="336"/>
      <c r="BM94" s="336"/>
      <c r="BN94" s="336"/>
      <c r="BO94" s="336"/>
      <c r="BP94" s="336"/>
      <c r="BQ94" s="336"/>
      <c r="BR94" s="336"/>
      <c r="BS94" s="336"/>
      <c r="BT94" s="336"/>
      <c r="BU94" s="336"/>
      <c r="BV94" s="336"/>
      <c r="BW94" s="336"/>
      <c r="BX94" s="336"/>
      <c r="BY94" s="336"/>
      <c r="BZ94" s="336"/>
      <c r="CA94" s="336"/>
      <c r="CB94" s="336"/>
      <c r="CC94" s="336"/>
      <c r="CD94" s="336"/>
      <c r="CE94" s="336"/>
      <c r="CF94" s="336"/>
      <c r="CG94" s="336"/>
      <c r="CH94" s="336"/>
      <c r="CI94" s="336"/>
      <c r="CJ94" s="336"/>
      <c r="CK94" s="336"/>
      <c r="CL94" s="336"/>
      <c r="CM94" s="336"/>
      <c r="CN94" s="336"/>
      <c r="CO94" s="336"/>
      <c r="CP94" s="336"/>
      <c r="CQ94" s="336"/>
      <c r="CR94" s="336"/>
      <c r="CS94" s="336"/>
      <c r="CT94" s="336"/>
      <c r="CU94" s="336"/>
      <c r="CV94" s="336"/>
      <c r="CW94" s="336"/>
      <c r="CX94" s="336"/>
      <c r="CY94" s="336"/>
      <c r="CZ94" s="336"/>
      <c r="DA94" s="336">
        <v>1</v>
      </c>
      <c r="DB94" s="336"/>
      <c r="DC94" s="336"/>
      <c r="DD94" s="336"/>
      <c r="DE94" s="336"/>
      <c r="DF94" s="336"/>
      <c r="DG94" s="336">
        <v>1</v>
      </c>
      <c r="DH94" s="336">
        <v>1</v>
      </c>
      <c r="DI94" s="336">
        <v>1</v>
      </c>
      <c r="DJ94" s="336"/>
      <c r="DK94" s="336"/>
      <c r="DL94" s="336">
        <v>1</v>
      </c>
      <c r="DM94" s="336"/>
      <c r="DN94" s="336">
        <v>1</v>
      </c>
      <c r="DO94" s="336"/>
      <c r="DP94" s="336"/>
      <c r="DQ94" s="336"/>
      <c r="DR94" s="336"/>
      <c r="DS94" s="336"/>
      <c r="DT94" s="336"/>
      <c r="DU94" s="336"/>
      <c r="DW94" s="336">
        <f t="shared" si="1022"/>
        <v>0</v>
      </c>
      <c r="DX94" s="336">
        <f t="shared" si="900"/>
        <v>0</v>
      </c>
      <c r="DY94" s="336">
        <f t="shared" si="901"/>
        <v>0</v>
      </c>
      <c r="DZ94" s="336">
        <f t="shared" si="902"/>
        <v>0</v>
      </c>
      <c r="EA94" s="336">
        <f t="shared" si="903"/>
        <v>0</v>
      </c>
      <c r="EB94" s="336">
        <f t="shared" si="904"/>
        <v>0</v>
      </c>
      <c r="EC94" s="336">
        <f t="shared" si="905"/>
        <v>0</v>
      </c>
      <c r="ED94" s="336">
        <f t="shared" si="906"/>
        <v>0</v>
      </c>
      <c r="EE94" s="336">
        <f t="shared" si="907"/>
        <v>0</v>
      </c>
      <c r="EF94" s="336">
        <f t="shared" si="908"/>
        <v>0</v>
      </c>
      <c r="EG94" s="336">
        <f t="shared" si="909"/>
        <v>0</v>
      </c>
      <c r="EH94" s="336">
        <f t="shared" si="910"/>
        <v>0</v>
      </c>
      <c r="EI94" s="336">
        <f t="shared" si="911"/>
        <v>0</v>
      </c>
      <c r="EJ94" s="336">
        <f t="shared" si="912"/>
        <v>0</v>
      </c>
      <c r="EK94" s="336">
        <f t="shared" si="913"/>
        <v>0</v>
      </c>
      <c r="EL94" s="336">
        <f t="shared" si="914"/>
        <v>0</v>
      </c>
      <c r="EM94" s="336">
        <f t="shared" si="915"/>
        <v>0</v>
      </c>
      <c r="EN94" s="336">
        <f t="shared" si="916"/>
        <v>0</v>
      </c>
      <c r="EO94" s="336">
        <f t="shared" si="917"/>
        <v>0</v>
      </c>
      <c r="EP94" s="336">
        <f t="shared" si="918"/>
        <v>0</v>
      </c>
      <c r="EQ94" s="336">
        <f t="shared" si="919"/>
        <v>0</v>
      </c>
      <c r="ER94" s="336">
        <f t="shared" si="920"/>
        <v>0</v>
      </c>
      <c r="ES94" s="336">
        <f t="shared" si="921"/>
        <v>0</v>
      </c>
      <c r="ET94" s="336">
        <f t="shared" si="921"/>
        <v>0</v>
      </c>
      <c r="EU94" s="336">
        <f t="shared" si="922"/>
        <v>0</v>
      </c>
      <c r="EV94" s="336">
        <f t="shared" si="923"/>
        <v>0</v>
      </c>
      <c r="EW94" s="336">
        <f t="shared" si="924"/>
        <v>0</v>
      </c>
      <c r="EX94" s="336">
        <f t="shared" si="925"/>
        <v>0</v>
      </c>
      <c r="EY94" s="336">
        <f t="shared" si="926"/>
        <v>0</v>
      </c>
      <c r="EZ94" s="336">
        <f t="shared" si="927"/>
        <v>0</v>
      </c>
      <c r="FA94" s="336">
        <f t="shared" si="928"/>
        <v>0</v>
      </c>
      <c r="FB94" s="336">
        <f t="shared" si="929"/>
        <v>0</v>
      </c>
      <c r="FC94" s="336">
        <f t="shared" si="930"/>
        <v>0</v>
      </c>
      <c r="FD94" s="336">
        <f t="shared" si="931"/>
        <v>0</v>
      </c>
      <c r="FE94" s="336">
        <f t="shared" si="932"/>
        <v>0</v>
      </c>
      <c r="FF94" s="336">
        <f t="shared" si="933"/>
        <v>0</v>
      </c>
      <c r="FG94" s="336">
        <f t="shared" si="934"/>
        <v>0</v>
      </c>
      <c r="FH94" s="336">
        <f t="shared" si="935"/>
        <v>0</v>
      </c>
      <c r="FI94" s="336">
        <f t="shared" si="936"/>
        <v>0</v>
      </c>
      <c r="FJ94" s="336">
        <f t="shared" si="937"/>
        <v>0</v>
      </c>
      <c r="FK94" s="336">
        <f t="shared" si="938"/>
        <v>0</v>
      </c>
      <c r="FL94" s="336">
        <f t="shared" si="939"/>
        <v>0</v>
      </c>
      <c r="FM94" s="336">
        <f t="shared" si="940"/>
        <v>0</v>
      </c>
      <c r="FN94" s="336">
        <f t="shared" si="941"/>
        <v>0</v>
      </c>
      <c r="FO94" s="336">
        <f t="shared" si="942"/>
        <v>0</v>
      </c>
      <c r="FP94" s="336">
        <f t="shared" si="943"/>
        <v>0</v>
      </c>
      <c r="FQ94" s="336">
        <f t="shared" si="944"/>
        <v>0</v>
      </c>
      <c r="FR94" s="336">
        <f t="shared" si="945"/>
        <v>0</v>
      </c>
      <c r="FS94" s="336">
        <f t="shared" si="946"/>
        <v>27</v>
      </c>
      <c r="FT94" s="336">
        <f t="shared" si="947"/>
        <v>0</v>
      </c>
      <c r="FU94" s="336">
        <f t="shared" si="553"/>
        <v>0</v>
      </c>
      <c r="FV94" s="336">
        <f t="shared" si="554"/>
        <v>0</v>
      </c>
      <c r="FW94" s="336">
        <f t="shared" si="555"/>
        <v>0</v>
      </c>
      <c r="FX94" s="336">
        <f t="shared" si="556"/>
        <v>0</v>
      </c>
      <c r="FY94" s="336">
        <f t="shared" si="948"/>
        <v>27</v>
      </c>
      <c r="FZ94" s="336">
        <f t="shared" si="949"/>
        <v>27</v>
      </c>
      <c r="GA94" s="336">
        <f t="shared" si="950"/>
        <v>27</v>
      </c>
      <c r="GB94" s="336">
        <f t="shared" si="951"/>
        <v>0</v>
      </c>
      <c r="GC94" s="336">
        <f t="shared" si="952"/>
        <v>0</v>
      </c>
      <c r="GD94" s="336">
        <f t="shared" si="953"/>
        <v>27</v>
      </c>
      <c r="GE94" s="336">
        <f t="shared" si="954"/>
        <v>0</v>
      </c>
      <c r="GF94" s="336">
        <f t="shared" si="955"/>
        <v>27</v>
      </c>
      <c r="GG94" s="336">
        <f t="shared" si="956"/>
        <v>0</v>
      </c>
      <c r="GH94" s="336">
        <f t="shared" si="957"/>
        <v>0</v>
      </c>
      <c r="GI94" s="336">
        <f t="shared" si="958"/>
        <v>0</v>
      </c>
      <c r="GJ94" s="336">
        <f t="shared" si="959"/>
        <v>0</v>
      </c>
      <c r="GK94" s="336">
        <f t="shared" si="960"/>
        <v>0</v>
      </c>
      <c r="GL94" s="336">
        <f t="shared" si="557"/>
        <v>0</v>
      </c>
      <c r="GM94" s="336">
        <f t="shared" si="961"/>
        <v>0</v>
      </c>
    </row>
    <row r="95" spans="1:195" ht="20.100000000000001" customHeight="1">
      <c r="A95" s="337">
        <f t="shared" si="962"/>
        <v>70</v>
      </c>
      <c r="B95" s="444" t="s">
        <v>527</v>
      </c>
      <c r="C95" s="372" t="str">
        <f t="shared" si="898"/>
        <v>PDB-2</v>
      </c>
      <c r="D95" s="444" t="s">
        <v>750</v>
      </c>
      <c r="E95" s="567" t="s">
        <v>1182</v>
      </c>
      <c r="F95" s="343" t="s">
        <v>29</v>
      </c>
      <c r="G95" s="337" t="s">
        <v>329</v>
      </c>
      <c r="H95" s="350">
        <v>10</v>
      </c>
      <c r="I95" s="337" t="s">
        <v>330</v>
      </c>
      <c r="J95" s="337" t="s">
        <v>331</v>
      </c>
      <c r="K95" s="349">
        <v>400</v>
      </c>
      <c r="L95" s="343">
        <v>0.85</v>
      </c>
      <c r="M95" s="350">
        <v>0.95</v>
      </c>
      <c r="N95" s="342">
        <f t="shared" si="869"/>
        <v>17.875145682437314</v>
      </c>
      <c r="O95" s="342">
        <f t="shared" si="883"/>
        <v>0</v>
      </c>
      <c r="P95" s="343" t="str">
        <f t="shared" si="871"/>
        <v>0.00</v>
      </c>
      <c r="Q95" s="350">
        <v>65</v>
      </c>
      <c r="R95" s="350">
        <v>0</v>
      </c>
      <c r="S95" s="350">
        <f t="shared" si="872"/>
        <v>0</v>
      </c>
      <c r="T95" s="343" t="s">
        <v>332</v>
      </c>
      <c r="U95" s="350" t="s">
        <v>535</v>
      </c>
      <c r="V95" s="343">
        <v>25</v>
      </c>
      <c r="W95" s="343" t="str">
        <f t="shared" si="873"/>
        <v>3.5C X 25</v>
      </c>
      <c r="X95" s="343" t="str">
        <f t="shared" si="884"/>
        <v>3.5C X 25</v>
      </c>
      <c r="Y95" s="343" t="s">
        <v>358</v>
      </c>
      <c r="Z95" s="344">
        <f>IF(T95="AIR",VLOOKUP(W95,'Catalogue Aluminium'!$B$9:$G$93,2,FALSE),IF(T95="GROUND",VLOOKUP(W95,'Catalogue Aluminium'!$B$9:$G$93,3,FALSE),IF(T95="DUCT",VLOOKUP(W95,'Catalogue Aluminium'!$B$9:$G$93,4,FALSE),IF(T95="TRENCH",VLOOKUP(W95,'Catalogue Aluminium'!$B$9:$G$93,2,FALSE)))))</f>
        <v>95</v>
      </c>
      <c r="AA95" s="345">
        <f>VLOOKUP(W95,'Catalogue Aluminium'!$B$9:$G$93,5,FALSE)</f>
        <v>1.54</v>
      </c>
      <c r="AB95" s="345">
        <f>VLOOKUP(W95,'Catalogue Aluminium'!$B$9:$G$93,6,FALSE)</f>
        <v>8.1600000000000006E-2</v>
      </c>
      <c r="AC95" s="343">
        <f t="shared" si="899"/>
        <v>17</v>
      </c>
      <c r="AD95" s="343">
        <f t="shared" si="1021"/>
        <v>143</v>
      </c>
      <c r="AE95" s="343">
        <v>10</v>
      </c>
      <c r="AF95" s="343">
        <v>8</v>
      </c>
      <c r="AG95" s="343">
        <f t="shared" si="134"/>
        <v>18</v>
      </c>
      <c r="AH95" s="347">
        <f t="shared" si="963"/>
        <v>196</v>
      </c>
      <c r="AI95" s="344">
        <f>IF(T95="AIR",'Catalogue Aluminium'!$K$9,IF(T95="TRENCH",'Catalogue Aluminium'!$K$12,"NA"))</f>
        <v>0.89</v>
      </c>
      <c r="AJ95" s="342">
        <f>IF(T95="Air",(IF(U95="1C",'Catalogue Aluminium'!$L$9,'Catalogue Aluminium'!$M$9)),IF(T95="DUCT",(IF($U95="1C",'Catalogue Aluminium'!$L$10,'Catalogue Aluminium'!$M$10)),IF(T95="GROUND",(IF($U95="1C",'Catalogue Aluminium'!$L$11,'Catalogue Aluminium'!$M$11)),IF(T95="TRENCH",(IF($U95="1C",'Catalogue Aluminium'!$L$12,'Catalogue Aluminium'!$M$12))))))</f>
        <v>0.66</v>
      </c>
      <c r="AK95" s="344" t="str">
        <f>IF(T95="Air",'Catalogue Aluminium'!$N$9,IF(T95="GROUND",'Catalogue Aluminium'!$N$10,IF(T95="DUCT",'Catalogue Aluminium'!$N$11,IF(T95="TRENCH",'Catalogue Aluminium'!$N$12,"NA"))))</f>
        <v>NA</v>
      </c>
      <c r="AL95" s="344" t="str">
        <f>IF(T95="Air",(IF(U95="1C",'Catalogue Aluminium'!$O$9,'Catalogue Aluminium'!$P$9)),IF(T95="DUCT",(IF($U95="1C",'Catalogue Aluminium'!$O$10,'Catalogue Aluminium'!$P$10)),IF(T95="GROUND",(IF($U95="1C",'Catalogue Aluminium'!$O$11,'Catalogue Aluminium'!$P$11)),IF(T95="TRENCH",(IF($U95="1C",'Catalogue Aluminium'!$O$12,'Catalogue Aluminium'!$P$12))))))</f>
        <v>NA</v>
      </c>
      <c r="AM95" s="344" t="str">
        <f>IF(T95="AIR","NA",IF(T95="TRENCH","NA",IF(T95="DUCT",IF(U95="1C",VLOOKUP(V95,'Catalogue Aluminium'!$Q$9:$S$28,2,FALSE),VLOOKUP(V95,'Catalogue Aluminium'!$Q$9:$S$28,3)),IF(T95="GROUND",IF(U95="1C",VLOOKUP(V95,'Catalogue Aluminium'!$Q$9:$S$28,2,FALSE),VLOOKUP(V95,'Catalogue Aluminium'!$Q$9:$S$28,3))))))</f>
        <v>NA</v>
      </c>
      <c r="AN95" s="351">
        <f t="shared" si="886"/>
        <v>0.58740000000000003</v>
      </c>
      <c r="AO95" s="350">
        <f t="shared" si="887"/>
        <v>55.803000000000004</v>
      </c>
      <c r="AP95" s="349">
        <f t="shared" si="888"/>
        <v>1</v>
      </c>
      <c r="AQ95" s="350" t="str">
        <f t="shared" si="889"/>
        <v>YES</v>
      </c>
      <c r="AR95" s="351">
        <f t="shared" si="136"/>
        <v>2.0510597906364092</v>
      </c>
      <c r="AS95" s="343" t="str">
        <f t="shared" si="137"/>
        <v>YES</v>
      </c>
      <c r="AT95" s="351" t="str">
        <f t="shared" si="890"/>
        <v>NA</v>
      </c>
      <c r="AU95" s="343" t="str">
        <f t="shared" si="891"/>
        <v>NA</v>
      </c>
      <c r="AV95" s="354" t="str">
        <f t="shared" si="892"/>
        <v>1R x 0.6/1kV x 3.5C x 25 Sqmm</v>
      </c>
      <c r="AW95" s="354" t="str">
        <f t="shared" si="893"/>
        <v>1R x 0.6/1kV x 3.5C x 25 Sqmm</v>
      </c>
      <c r="AX95" s="343">
        <f t="shared" si="894"/>
        <v>196</v>
      </c>
      <c r="AY95" s="355"/>
      <c r="AZ95" s="355">
        <f t="shared" si="895"/>
        <v>2</v>
      </c>
      <c r="BA95" s="356" t="str">
        <f t="shared" si="896"/>
        <v>Q3RR1R2SS.B</v>
      </c>
      <c r="BB95" s="501">
        <f>VLOOKUP(W95,'Catalogue Aluminium'!$B$9:$H$93,7,FALSE)</f>
        <v>25</v>
      </c>
      <c r="BC95" s="328">
        <f t="shared" si="897"/>
        <v>25</v>
      </c>
      <c r="BE95" s="336"/>
      <c r="BF95" s="336"/>
      <c r="BG95" s="336"/>
      <c r="BH95" s="336"/>
      <c r="BI95" s="336"/>
      <c r="BJ95" s="336"/>
      <c r="BK95" s="336"/>
      <c r="BL95" s="336"/>
      <c r="BM95" s="336"/>
      <c r="BN95" s="336"/>
      <c r="BO95" s="336"/>
      <c r="BP95" s="336"/>
      <c r="BQ95" s="336"/>
      <c r="BR95" s="336"/>
      <c r="BS95" s="336"/>
      <c r="BT95" s="336"/>
      <c r="BU95" s="336"/>
      <c r="BV95" s="336"/>
      <c r="BW95" s="336"/>
      <c r="BX95" s="336"/>
      <c r="BY95" s="336"/>
      <c r="BZ95" s="336"/>
      <c r="CA95" s="336"/>
      <c r="CB95" s="336"/>
      <c r="CC95" s="336"/>
      <c r="CD95" s="336"/>
      <c r="CE95" s="336"/>
      <c r="CF95" s="336"/>
      <c r="CG95" s="336"/>
      <c r="CH95" s="336"/>
      <c r="CI95" s="336"/>
      <c r="CJ95" s="336"/>
      <c r="CK95" s="336"/>
      <c r="CL95" s="336"/>
      <c r="CM95" s="336"/>
      <c r="CN95" s="336"/>
      <c r="CO95" s="336"/>
      <c r="CP95" s="336"/>
      <c r="CQ95" s="336"/>
      <c r="CR95" s="336"/>
      <c r="CS95" s="336"/>
      <c r="CT95" s="336"/>
      <c r="CU95" s="336"/>
      <c r="CV95" s="336"/>
      <c r="CW95" s="336"/>
      <c r="CX95" s="336"/>
      <c r="CY95" s="336"/>
      <c r="CZ95" s="336"/>
      <c r="DA95" s="336">
        <v>1</v>
      </c>
      <c r="DB95" s="336"/>
      <c r="DC95" s="336"/>
      <c r="DD95" s="336"/>
      <c r="DE95" s="336"/>
      <c r="DF95" s="336"/>
      <c r="DG95" s="336">
        <v>1</v>
      </c>
      <c r="DH95" s="336">
        <v>1</v>
      </c>
      <c r="DI95" s="336">
        <v>1</v>
      </c>
      <c r="DJ95" s="336"/>
      <c r="DK95" s="336"/>
      <c r="DL95" s="336">
        <v>1</v>
      </c>
      <c r="DM95" s="336"/>
      <c r="DN95" s="336">
        <v>1</v>
      </c>
      <c r="DO95" s="336"/>
      <c r="DP95" s="336"/>
      <c r="DQ95" s="336"/>
      <c r="DR95" s="336"/>
      <c r="DS95" s="336"/>
      <c r="DT95" s="336"/>
      <c r="DU95" s="336"/>
      <c r="DW95" s="336">
        <f t="shared" si="1022"/>
        <v>0</v>
      </c>
      <c r="DX95" s="336">
        <f t="shared" si="900"/>
        <v>0</v>
      </c>
      <c r="DY95" s="336">
        <f t="shared" si="901"/>
        <v>0</v>
      </c>
      <c r="DZ95" s="336">
        <f t="shared" si="902"/>
        <v>0</v>
      </c>
      <c r="EA95" s="336">
        <f t="shared" si="903"/>
        <v>0</v>
      </c>
      <c r="EB95" s="336">
        <f t="shared" si="904"/>
        <v>0</v>
      </c>
      <c r="EC95" s="336">
        <f t="shared" si="905"/>
        <v>0</v>
      </c>
      <c r="ED95" s="336">
        <f t="shared" si="906"/>
        <v>0</v>
      </c>
      <c r="EE95" s="336">
        <f t="shared" si="907"/>
        <v>0</v>
      </c>
      <c r="EF95" s="336">
        <f t="shared" si="908"/>
        <v>0</v>
      </c>
      <c r="EG95" s="336">
        <f t="shared" si="909"/>
        <v>0</v>
      </c>
      <c r="EH95" s="336">
        <f t="shared" si="910"/>
        <v>0</v>
      </c>
      <c r="EI95" s="336">
        <f t="shared" si="911"/>
        <v>0</v>
      </c>
      <c r="EJ95" s="336">
        <f t="shared" si="912"/>
        <v>0</v>
      </c>
      <c r="EK95" s="336">
        <f t="shared" si="913"/>
        <v>0</v>
      </c>
      <c r="EL95" s="336">
        <f t="shared" si="914"/>
        <v>0</v>
      </c>
      <c r="EM95" s="336">
        <f t="shared" si="915"/>
        <v>0</v>
      </c>
      <c r="EN95" s="336">
        <f t="shared" si="916"/>
        <v>0</v>
      </c>
      <c r="EO95" s="336">
        <f t="shared" si="917"/>
        <v>0</v>
      </c>
      <c r="EP95" s="336">
        <f t="shared" si="918"/>
        <v>0</v>
      </c>
      <c r="EQ95" s="336">
        <f t="shared" si="919"/>
        <v>0</v>
      </c>
      <c r="ER95" s="336">
        <f t="shared" si="920"/>
        <v>0</v>
      </c>
      <c r="ES95" s="336">
        <f t="shared" si="921"/>
        <v>0</v>
      </c>
      <c r="ET95" s="336">
        <f t="shared" si="921"/>
        <v>0</v>
      </c>
      <c r="EU95" s="336">
        <f t="shared" si="922"/>
        <v>0</v>
      </c>
      <c r="EV95" s="336">
        <f t="shared" si="923"/>
        <v>0</v>
      </c>
      <c r="EW95" s="336">
        <f t="shared" si="924"/>
        <v>0</v>
      </c>
      <c r="EX95" s="336">
        <f t="shared" si="925"/>
        <v>0</v>
      </c>
      <c r="EY95" s="336">
        <f t="shared" si="926"/>
        <v>0</v>
      </c>
      <c r="EZ95" s="336">
        <f t="shared" si="927"/>
        <v>0</v>
      </c>
      <c r="FA95" s="336">
        <f t="shared" si="928"/>
        <v>0</v>
      </c>
      <c r="FB95" s="336">
        <f t="shared" si="929"/>
        <v>0</v>
      </c>
      <c r="FC95" s="336">
        <f t="shared" si="930"/>
        <v>0</v>
      </c>
      <c r="FD95" s="336">
        <f t="shared" si="931"/>
        <v>0</v>
      </c>
      <c r="FE95" s="336">
        <f t="shared" si="932"/>
        <v>0</v>
      </c>
      <c r="FF95" s="336">
        <f t="shared" si="933"/>
        <v>0</v>
      </c>
      <c r="FG95" s="336">
        <f t="shared" si="934"/>
        <v>0</v>
      </c>
      <c r="FH95" s="336">
        <f t="shared" si="935"/>
        <v>0</v>
      </c>
      <c r="FI95" s="336">
        <f t="shared" si="936"/>
        <v>0</v>
      </c>
      <c r="FJ95" s="336">
        <f t="shared" si="937"/>
        <v>0</v>
      </c>
      <c r="FK95" s="336">
        <f t="shared" si="938"/>
        <v>0</v>
      </c>
      <c r="FL95" s="336">
        <f t="shared" si="939"/>
        <v>0</v>
      </c>
      <c r="FM95" s="336">
        <f t="shared" si="940"/>
        <v>0</v>
      </c>
      <c r="FN95" s="336">
        <f t="shared" si="941"/>
        <v>0</v>
      </c>
      <c r="FO95" s="336">
        <f t="shared" si="942"/>
        <v>0</v>
      </c>
      <c r="FP95" s="336">
        <f t="shared" si="943"/>
        <v>0</v>
      </c>
      <c r="FQ95" s="336">
        <f t="shared" si="944"/>
        <v>0</v>
      </c>
      <c r="FR95" s="336">
        <f t="shared" si="945"/>
        <v>0</v>
      </c>
      <c r="FS95" s="336">
        <f t="shared" si="946"/>
        <v>25</v>
      </c>
      <c r="FT95" s="336">
        <f t="shared" si="947"/>
        <v>0</v>
      </c>
      <c r="FU95" s="336">
        <f t="shared" si="553"/>
        <v>0</v>
      </c>
      <c r="FV95" s="336">
        <f t="shared" si="554"/>
        <v>0</v>
      </c>
      <c r="FW95" s="336">
        <f t="shared" si="555"/>
        <v>0</v>
      </c>
      <c r="FX95" s="336">
        <f t="shared" si="556"/>
        <v>0</v>
      </c>
      <c r="FY95" s="336">
        <f t="shared" si="948"/>
        <v>25</v>
      </c>
      <c r="FZ95" s="336">
        <f t="shared" si="949"/>
        <v>25</v>
      </c>
      <c r="GA95" s="336">
        <f t="shared" si="950"/>
        <v>25</v>
      </c>
      <c r="GB95" s="336">
        <f t="shared" si="951"/>
        <v>0</v>
      </c>
      <c r="GC95" s="336">
        <f t="shared" si="952"/>
        <v>0</v>
      </c>
      <c r="GD95" s="336">
        <f t="shared" si="953"/>
        <v>25</v>
      </c>
      <c r="GE95" s="336">
        <f t="shared" si="954"/>
        <v>0</v>
      </c>
      <c r="GF95" s="336">
        <f t="shared" si="955"/>
        <v>25</v>
      </c>
      <c r="GG95" s="336">
        <f t="shared" si="956"/>
        <v>0</v>
      </c>
      <c r="GH95" s="336">
        <f t="shared" si="957"/>
        <v>0</v>
      </c>
      <c r="GI95" s="336">
        <f t="shared" si="958"/>
        <v>0</v>
      </c>
      <c r="GJ95" s="336">
        <f t="shared" si="959"/>
        <v>0</v>
      </c>
      <c r="GK95" s="336">
        <f t="shared" si="960"/>
        <v>0</v>
      </c>
      <c r="GL95" s="336">
        <f t="shared" si="557"/>
        <v>0</v>
      </c>
      <c r="GM95" s="336">
        <f t="shared" si="961"/>
        <v>0</v>
      </c>
    </row>
    <row r="96" spans="1:195" s="869" customFormat="1" ht="20.100000000000001" customHeight="1">
      <c r="A96" s="406">
        <f t="shared" si="962"/>
        <v>71</v>
      </c>
      <c r="B96" s="901" t="s">
        <v>527</v>
      </c>
      <c r="C96" s="787" t="str">
        <f t="shared" si="898"/>
        <v>PDB-2</v>
      </c>
      <c r="D96" s="901" t="s">
        <v>1703</v>
      </c>
      <c r="E96" s="907" t="s">
        <v>1182</v>
      </c>
      <c r="F96" s="409" t="s">
        <v>29</v>
      </c>
      <c r="G96" s="406" t="s">
        <v>350</v>
      </c>
      <c r="H96" s="583">
        <v>65</v>
      </c>
      <c r="I96" s="406" t="s">
        <v>330</v>
      </c>
      <c r="J96" s="406" t="s">
        <v>331</v>
      </c>
      <c r="K96" s="585">
        <v>400</v>
      </c>
      <c r="L96" s="409">
        <v>0.85</v>
      </c>
      <c r="M96" s="583">
        <v>0.95</v>
      </c>
      <c r="N96" s="407">
        <f t="shared" ref="N96:N99" si="1080">IF(I96="kVA",IF(J96="3Ph",(H96*1000/(1.732*M96*K96)),(H96*1000/(M96*K96))),IF(I96="kW",IF(J96="3Ph",(H96*1000/(1.732*M96*K96*L96)),(H96*1000/(M96*K96*L96)))))</f>
        <v>116.18844693584255</v>
      </c>
      <c r="O96" s="407">
        <f t="shared" ref="O96:O99" si="1081">IF(G96="MOTOR",(6*N96),IF(G96="VFD",(1*N96),0))</f>
        <v>697.13068161505532</v>
      </c>
      <c r="P96" s="409">
        <f t="shared" ref="P96:P99" si="1082">IF(G96="MOTOR",0.2,"0.00")</f>
        <v>0.2</v>
      </c>
      <c r="Q96" s="583">
        <v>65</v>
      </c>
      <c r="R96" s="583">
        <v>0</v>
      </c>
      <c r="S96" s="583">
        <f t="shared" ref="S96:S99" si="1083">(Q96*1000*SQRT(R96)/143)</f>
        <v>0</v>
      </c>
      <c r="T96" s="409" t="s">
        <v>332</v>
      </c>
      <c r="U96" s="583" t="s">
        <v>333</v>
      </c>
      <c r="V96" s="409">
        <v>150</v>
      </c>
      <c r="W96" s="409" t="str">
        <f t="shared" ref="W96:W99" si="1084">CONCATENATE(U96," X ",V96)</f>
        <v>3C X 150</v>
      </c>
      <c r="X96" s="409" t="str">
        <f t="shared" ref="X96:X99" si="1085">(IF(J96="1Ph",W96,IF(J96="3Ph",(IF(G96="MOTOR",(CONCATENATE(W96,"+PE")),W96)))))</f>
        <v>3C X 150+PE</v>
      </c>
      <c r="Y96" s="409" t="s">
        <v>358</v>
      </c>
      <c r="Z96" s="408">
        <f>IF(T96="AIR",VLOOKUP(W96,'Catalogue Aluminium'!$B$9:$G$93,2,FALSE),IF(T96="GROUND",VLOOKUP(W96,'Catalogue Aluminium'!$B$9:$G$93,3,FALSE),IF(T96="DUCT",VLOOKUP(W96,'Catalogue Aluminium'!$B$9:$G$93,4,FALSE),IF(T96="TRENCH",VLOOKUP(W96,'Catalogue Aluminium'!$B$9:$G$93,2,FALSE)))))</f>
        <v>293</v>
      </c>
      <c r="AA96" s="410">
        <f>VLOOKUP(W96,'Catalogue Aluminium'!$B$9:$G$93,5,FALSE)</f>
        <v>0.26400000000000001</v>
      </c>
      <c r="AB96" s="410">
        <f>VLOOKUP(W96,'Catalogue Aluminium'!$B$9:$G$93,6,FALSE)</f>
        <v>7.3200000000000001E-2</v>
      </c>
      <c r="AC96" s="409">
        <f t="shared" si="899"/>
        <v>17</v>
      </c>
      <c r="AD96" s="409">
        <f t="shared" si="1021"/>
        <v>143</v>
      </c>
      <c r="AE96" s="409">
        <v>10</v>
      </c>
      <c r="AF96" s="409">
        <v>8</v>
      </c>
      <c r="AG96" s="409">
        <f t="shared" ref="AG96:AG99" si="1086">ROUNDUP((SUM(AC96:AF96)*0.1),0)</f>
        <v>18</v>
      </c>
      <c r="AH96" s="865">
        <f t="shared" si="963"/>
        <v>196</v>
      </c>
      <c r="AI96" s="408">
        <f>IF(T96="AIR",'Catalogue Aluminium'!$K$9,IF(T96="TRENCH",'Catalogue Aluminium'!$K$12,"NA"))</f>
        <v>0.89</v>
      </c>
      <c r="AJ96" s="407">
        <f>IF(T96="Air",(IF(U96="1C",'Catalogue Aluminium'!$L$9,'Catalogue Aluminium'!$M$9)),IF(T96="DUCT",(IF($U96="1C",'Catalogue Aluminium'!$L$10,'Catalogue Aluminium'!$M$10)),IF(T96="GROUND",(IF($U96="1C",'Catalogue Aluminium'!$L$11,'Catalogue Aluminium'!$M$11)),IF(T96="TRENCH",(IF($U96="1C",'Catalogue Aluminium'!$L$12,'Catalogue Aluminium'!$M$12))))))</f>
        <v>0.66</v>
      </c>
      <c r="AK96" s="408" t="str">
        <f>IF(T96="Air",'Catalogue Aluminium'!$N$9,IF(T96="GROUND",'Catalogue Aluminium'!$N$10,IF(T96="DUCT",'Catalogue Aluminium'!$N$11,IF(T96="TRENCH",'Catalogue Aluminium'!$N$12,"NA"))))</f>
        <v>NA</v>
      </c>
      <c r="AL96" s="408" t="str">
        <f>IF(T96="Air",(IF(U96="1C",'Catalogue Aluminium'!$O$9,'Catalogue Aluminium'!$P$9)),IF(T96="DUCT",(IF($U96="1C",'Catalogue Aluminium'!$O$10,'Catalogue Aluminium'!$P$10)),IF(T96="GROUND",(IF($U96="1C",'Catalogue Aluminium'!$O$11,'Catalogue Aluminium'!$P$11)),IF(T96="TRENCH",(IF($U96="1C",'Catalogue Aluminium'!$O$12,'Catalogue Aluminium'!$P$12))))))</f>
        <v>NA</v>
      </c>
      <c r="AM96" s="408" t="str">
        <f>IF(T96="AIR","NA",IF(T96="TRENCH","NA",IF(T96="DUCT",IF(U96="1C",VLOOKUP(V96,'Catalogue Aluminium'!$Q$9:$S$28,2,FALSE),VLOOKUP(V96,'Catalogue Aluminium'!$Q$9:$S$28,3)),IF(T96="GROUND",IF(U96="1C",VLOOKUP(V96,'Catalogue Aluminium'!$Q$9:$S$28,2,FALSE),VLOOKUP(V96,'Catalogue Aluminium'!$Q$9:$S$28,3))))))</f>
        <v>NA</v>
      </c>
      <c r="AN96" s="584">
        <f t="shared" si="886"/>
        <v>0.58740000000000003</v>
      </c>
      <c r="AO96" s="583">
        <f t="shared" si="887"/>
        <v>172.10820000000001</v>
      </c>
      <c r="AP96" s="585">
        <f t="shared" si="888"/>
        <v>1</v>
      </c>
      <c r="AQ96" s="583" t="str">
        <f t="shared" si="889"/>
        <v>YES</v>
      </c>
      <c r="AR96" s="584">
        <f t="shared" ref="AR96:AR99" si="1087">SQRT(3)*AH96*N96*((AA96*L96)+(AB96*SIN(ACOS(L96))))*100/(AP96*K96*1000)</f>
        <v>2.593045628376796</v>
      </c>
      <c r="AS96" s="409" t="str">
        <f t="shared" ref="AS96:AS99" si="1088">IF(G96="INCOMER",(IF(AR96&lt;=2,"YES","NO")),IF(G96="POWER",(IF(AR96&lt;=2.5,"YES","NO")),IF(G96="MOTOR",(IF(AR96&lt;=3,"YES","NO")))))</f>
        <v>YES</v>
      </c>
      <c r="AT96" s="584">
        <f t="shared" si="890"/>
        <v>7.3673908819359726</v>
      </c>
      <c r="AU96" s="409" t="str">
        <f t="shared" si="891"/>
        <v>YES</v>
      </c>
      <c r="AV96" s="586" t="str">
        <f t="shared" si="892"/>
        <v>1R x 0.6/1kV x 3C x 150 Sqmm</v>
      </c>
      <c r="AW96" s="586" t="str">
        <f t="shared" si="893"/>
        <v>1R x 0.6/1kV x 3C x 150+PE Sqmm</v>
      </c>
      <c r="AX96" s="409">
        <f t="shared" si="894"/>
        <v>196</v>
      </c>
      <c r="AY96" s="866"/>
      <c r="AZ96" s="866">
        <f t="shared" si="895"/>
        <v>2</v>
      </c>
      <c r="BA96" s="867" t="str">
        <f t="shared" si="896"/>
        <v>Q3RR1R2SS.B</v>
      </c>
      <c r="BB96" s="868">
        <f>VLOOKUP(W96,'Catalogue Aluminium'!$B$9:$H$93,7,FALSE)</f>
        <v>39</v>
      </c>
      <c r="BC96" s="789">
        <f t="shared" si="897"/>
        <v>39</v>
      </c>
      <c r="BE96" s="587"/>
      <c r="BF96" s="587"/>
      <c r="BG96" s="587"/>
      <c r="BH96" s="587"/>
      <c r="BI96" s="587"/>
      <c r="BJ96" s="587"/>
      <c r="BK96" s="587"/>
      <c r="BL96" s="587"/>
      <c r="BM96" s="587"/>
      <c r="BN96" s="587"/>
      <c r="BO96" s="587"/>
      <c r="BP96" s="587"/>
      <c r="BQ96" s="587"/>
      <c r="BR96" s="587"/>
      <c r="BS96" s="587"/>
      <c r="BT96" s="587"/>
      <c r="BU96" s="587"/>
      <c r="BV96" s="587"/>
      <c r="BW96" s="587"/>
      <c r="BX96" s="587"/>
      <c r="BY96" s="587"/>
      <c r="BZ96" s="587"/>
      <c r="CA96" s="587"/>
      <c r="CB96" s="587"/>
      <c r="CC96" s="587"/>
      <c r="CD96" s="587"/>
      <c r="CE96" s="587"/>
      <c r="CF96" s="587"/>
      <c r="CG96" s="587"/>
      <c r="CH96" s="587"/>
      <c r="CI96" s="587"/>
      <c r="CJ96" s="587"/>
      <c r="CK96" s="587"/>
      <c r="CL96" s="587"/>
      <c r="CM96" s="587"/>
      <c r="CN96" s="587"/>
      <c r="CO96" s="587"/>
      <c r="CP96" s="587"/>
      <c r="CQ96" s="587"/>
      <c r="CR96" s="587"/>
      <c r="CS96" s="587"/>
      <c r="CT96" s="587"/>
      <c r="CU96" s="587"/>
      <c r="CV96" s="587"/>
      <c r="CW96" s="587"/>
      <c r="CX96" s="587"/>
      <c r="CY96" s="587"/>
      <c r="CZ96" s="587"/>
      <c r="DA96" s="587">
        <v>1</v>
      </c>
      <c r="DB96" s="587"/>
      <c r="DC96" s="587"/>
      <c r="DD96" s="587"/>
      <c r="DE96" s="587"/>
      <c r="DF96" s="587"/>
      <c r="DG96" s="587">
        <v>1</v>
      </c>
      <c r="DH96" s="587">
        <v>1</v>
      </c>
      <c r="DI96" s="587">
        <v>1</v>
      </c>
      <c r="DJ96" s="587"/>
      <c r="DK96" s="587"/>
      <c r="DL96" s="587">
        <v>1</v>
      </c>
      <c r="DM96" s="587"/>
      <c r="DN96" s="587">
        <v>1</v>
      </c>
      <c r="DO96" s="587"/>
      <c r="DP96" s="587"/>
      <c r="DQ96" s="587"/>
      <c r="DR96" s="587"/>
      <c r="DS96" s="587"/>
      <c r="DT96" s="587"/>
      <c r="DU96" s="587"/>
      <c r="DW96" s="587">
        <f t="shared" ref="DW96:DW99" si="1089">IF(BE96=1,($BC96*BE96),0)</f>
        <v>0</v>
      </c>
      <c r="DX96" s="587">
        <f t="shared" ref="DX96:DX99" si="1090">IF(BF96=1,($BC96*BF96),0)</f>
        <v>0</v>
      </c>
      <c r="DY96" s="587">
        <f t="shared" ref="DY96:DY99" si="1091">IF(BG96=1,($BC96*BG96),0)</f>
        <v>0</v>
      </c>
      <c r="DZ96" s="587">
        <f t="shared" ref="DZ96:DZ99" si="1092">IF(BH96=1,($BC96*BH96),0)</f>
        <v>0</v>
      </c>
      <c r="EA96" s="587">
        <f t="shared" ref="EA96:EA99" si="1093">IF(BI96=1,($BC96*BI96),0)</f>
        <v>0</v>
      </c>
      <c r="EB96" s="587">
        <f t="shared" ref="EB96:EB99" si="1094">IF(BJ96=1,($BC96*BJ96),0)</f>
        <v>0</v>
      </c>
      <c r="EC96" s="587">
        <f t="shared" ref="EC96:EC99" si="1095">IF(BK96=1,($BC96*BK96),0)</f>
        <v>0</v>
      </c>
      <c r="ED96" s="587">
        <f t="shared" ref="ED96:ED99" si="1096">IF(BL96=1,($BC96*BL96),0)</f>
        <v>0</v>
      </c>
      <c r="EE96" s="587">
        <f t="shared" ref="EE96:EE99" si="1097">IF(BM96=1,($BC96*BM96),0)</f>
        <v>0</v>
      </c>
      <c r="EF96" s="587">
        <f t="shared" ref="EF96:EF99" si="1098">IF(BN96=1,($BC96*BN96),0)</f>
        <v>0</v>
      </c>
      <c r="EG96" s="587">
        <f t="shared" ref="EG96:EG99" si="1099">IF(BO96=1,($BC96*BO96),0)</f>
        <v>0</v>
      </c>
      <c r="EH96" s="587">
        <f t="shared" ref="EH96:EH99" si="1100">IF(BP96=1,($BC96*BP96),0)</f>
        <v>0</v>
      </c>
      <c r="EI96" s="587">
        <f t="shared" ref="EI96:EI99" si="1101">IF(BQ96=1,($BC96*BQ96),0)</f>
        <v>0</v>
      </c>
      <c r="EJ96" s="587">
        <f t="shared" ref="EJ96:EJ99" si="1102">IF(BR96=1,($BC96*BR96),0)</f>
        <v>0</v>
      </c>
      <c r="EK96" s="587">
        <f t="shared" ref="EK96:EK99" si="1103">IF(BS96=1,($BC96*BS96),0)</f>
        <v>0</v>
      </c>
      <c r="EL96" s="587">
        <f t="shared" ref="EL96:EL99" si="1104">IF(BT96=1,($BC96*BT96),0)</f>
        <v>0</v>
      </c>
      <c r="EM96" s="587">
        <f t="shared" ref="EM96:EM99" si="1105">IF(BU96=1,($BC96*BU96),0)</f>
        <v>0</v>
      </c>
      <c r="EN96" s="587">
        <f t="shared" ref="EN96:EN99" si="1106">IF(BV96=1,($BC96*BV96),0)</f>
        <v>0</v>
      </c>
      <c r="EO96" s="587">
        <f t="shared" ref="EO96:EO99" si="1107">IF(BW96=1,($BC96*BW96),0)</f>
        <v>0</v>
      </c>
      <c r="EP96" s="587">
        <f t="shared" ref="EP96:EP99" si="1108">IF(BX96=1,($BC96*BX96),0)</f>
        <v>0</v>
      </c>
      <c r="EQ96" s="587">
        <f t="shared" ref="EQ96:EQ99" si="1109">IF(BY96=1,($BC96*BY96),0)</f>
        <v>0</v>
      </c>
      <c r="ER96" s="587">
        <f t="shared" ref="ER96:ER99" si="1110">IF(BZ96=1,($BC96*BZ96),0)</f>
        <v>0</v>
      </c>
      <c r="ES96" s="587">
        <f t="shared" ref="ES96:ES99" si="1111">IF(CA96=1,($BC96*CA96),0)</f>
        <v>0</v>
      </c>
      <c r="ET96" s="587">
        <f t="shared" ref="ET96:ET99" si="1112">IF(CB96=1,($BC96*CB96),0)</f>
        <v>0</v>
      </c>
      <c r="EU96" s="587">
        <f t="shared" ref="EU96:EU99" si="1113">IF(CC96=1,($BC96*CC96),0)</f>
        <v>0</v>
      </c>
      <c r="EV96" s="587">
        <f t="shared" ref="EV96:EV99" si="1114">IF(CD96=1,($BC96*CD96),0)</f>
        <v>0</v>
      </c>
      <c r="EW96" s="587">
        <f t="shared" ref="EW96:EW99" si="1115">IF(CE96=1,($BC96*CE96),0)</f>
        <v>0</v>
      </c>
      <c r="EX96" s="587">
        <f t="shared" ref="EX96:EX99" si="1116">IF(CF96=1,($BC96*CF96),0)</f>
        <v>0</v>
      </c>
      <c r="EY96" s="587">
        <f t="shared" ref="EY96:EY99" si="1117">IF(CG96=1,($BC96*CG96),0)</f>
        <v>0</v>
      </c>
      <c r="EZ96" s="587">
        <f t="shared" ref="EZ96:EZ99" si="1118">IF(CH96=1,($BC96*CH96),0)</f>
        <v>0</v>
      </c>
      <c r="FA96" s="587">
        <f t="shared" ref="FA96:FA99" si="1119">IF(CI96=1,($BC96*CI96),0)</f>
        <v>0</v>
      </c>
      <c r="FB96" s="587">
        <f t="shared" ref="FB96:FB99" si="1120">IF(CJ96=1,($BC96*CJ96),0)</f>
        <v>0</v>
      </c>
      <c r="FC96" s="587">
        <f t="shared" ref="FC96:FC99" si="1121">IF(CK96=1,($BC96*CK96),0)</f>
        <v>0</v>
      </c>
      <c r="FD96" s="587">
        <f t="shared" ref="FD96:FD99" si="1122">IF(CL96=1,($BC96*CL96),0)</f>
        <v>0</v>
      </c>
      <c r="FE96" s="587">
        <f t="shared" ref="FE96:FE99" si="1123">IF(CM96=1,($BC96*CM96),0)</f>
        <v>0</v>
      </c>
      <c r="FF96" s="587">
        <f t="shared" ref="FF96:FF99" si="1124">IF(CN96=1,($BC96*CN96),0)</f>
        <v>0</v>
      </c>
      <c r="FG96" s="587">
        <f t="shared" ref="FG96:FG99" si="1125">IF(CO96=1,($BC96*CO96),0)</f>
        <v>0</v>
      </c>
      <c r="FH96" s="587">
        <f t="shared" ref="FH96:FH99" si="1126">IF(CP96=1,($BC96*CP96),0)</f>
        <v>0</v>
      </c>
      <c r="FI96" s="587">
        <f t="shared" ref="FI96:FI99" si="1127">IF(CQ96=1,($BC96*CQ96),0)</f>
        <v>0</v>
      </c>
      <c r="FJ96" s="587">
        <f t="shared" ref="FJ96:FJ99" si="1128">IF(CR96=1,($BC96*CR96),0)</f>
        <v>0</v>
      </c>
      <c r="FK96" s="587">
        <f t="shared" ref="FK96:FK99" si="1129">IF(CS96=1,($BC96*CS96),0)</f>
        <v>0</v>
      </c>
      <c r="FL96" s="587">
        <f t="shared" ref="FL96:FL99" si="1130">IF(CT96=1,($BC96*CT96),0)</f>
        <v>0</v>
      </c>
      <c r="FM96" s="587">
        <f t="shared" ref="FM96:FM99" si="1131">IF(CU96=1,($BC96*CU96),0)</f>
        <v>0</v>
      </c>
      <c r="FN96" s="587">
        <f t="shared" ref="FN96:FN99" si="1132">IF(CV96=1,($BC96*CV96),0)</f>
        <v>0</v>
      </c>
      <c r="FO96" s="587">
        <f t="shared" ref="FO96:FO99" si="1133">IF(CW96=1,($BC96*CW96),0)</f>
        <v>0</v>
      </c>
      <c r="FP96" s="587">
        <f t="shared" ref="FP96:FP99" si="1134">IF(CX96=1,($BC96*CX96),0)</f>
        <v>0</v>
      </c>
      <c r="FQ96" s="587">
        <f t="shared" ref="FQ96:FQ99" si="1135">IF(CY96=1,($BC96*CY96),0)</f>
        <v>0</v>
      </c>
      <c r="FR96" s="587">
        <f t="shared" ref="FR96:FR99" si="1136">IF(CZ96=1,($BC96*CZ96),0)</f>
        <v>0</v>
      </c>
      <c r="FS96" s="587">
        <f t="shared" ref="FS96:FS99" si="1137">IF(DA96=1,($BC96*DA96),0)</f>
        <v>39</v>
      </c>
      <c r="FT96" s="587">
        <f t="shared" ref="FT96:FT99" si="1138">IF(DB96=1,($BC96*DB96),0)</f>
        <v>0</v>
      </c>
      <c r="FU96" s="587">
        <f t="shared" ref="FU96:FU99" si="1139">IF(DC96=1,($BC96*DC96),0)</f>
        <v>0</v>
      </c>
      <c r="FV96" s="587">
        <f t="shared" ref="FV96:FV99" si="1140">IF(DD96=1,($BC96*DD96),0)</f>
        <v>0</v>
      </c>
      <c r="FW96" s="587">
        <f t="shared" ref="FW96:FW99" si="1141">IF(DE96=1,($BC96*DE96),0)</f>
        <v>0</v>
      </c>
      <c r="FX96" s="587">
        <f t="shared" ref="FX96:FX99" si="1142">IF(DF96=1,($BC96*DF96),0)</f>
        <v>0</v>
      </c>
      <c r="FY96" s="587">
        <f t="shared" ref="FY96:FY99" si="1143">IF(DG96=1,($BC96*DG96),0)</f>
        <v>39</v>
      </c>
      <c r="FZ96" s="587">
        <f t="shared" ref="FZ96:FZ99" si="1144">IF(DH96=1,($BC96*DH96),0)</f>
        <v>39</v>
      </c>
      <c r="GA96" s="587">
        <f t="shared" ref="GA96:GA99" si="1145">IF(DI96=1,($BC96*DI96),0)</f>
        <v>39</v>
      </c>
      <c r="GB96" s="587">
        <f t="shared" ref="GB96:GB99" si="1146">IF(DJ96=1,($BC96*DJ96),0)</f>
        <v>0</v>
      </c>
      <c r="GC96" s="587">
        <f t="shared" ref="GC96:GC99" si="1147">IF(DK96=1,($BC96*DK96),0)</f>
        <v>0</v>
      </c>
      <c r="GD96" s="587">
        <f t="shared" ref="GD96:GD99" si="1148">IF(DL96=1,($BC96*DL96),0)</f>
        <v>39</v>
      </c>
      <c r="GE96" s="587">
        <f t="shared" ref="GE96:GE99" si="1149">IF(DM96=1,($BC96*DM96),0)</f>
        <v>0</v>
      </c>
      <c r="GF96" s="587">
        <f t="shared" ref="GF96:GF99" si="1150">IF(DN96=1,($BC96*DN96),0)</f>
        <v>39</v>
      </c>
      <c r="GG96" s="587">
        <f t="shared" ref="GG96:GG99" si="1151">IF(DO96=1,($BC96*DO96),0)</f>
        <v>0</v>
      </c>
      <c r="GH96" s="587">
        <f t="shared" ref="GH96:GH99" si="1152">IF(DP96=1,($BC96*DP96),0)</f>
        <v>0</v>
      </c>
      <c r="GI96" s="587">
        <f t="shared" ref="GI96:GI99" si="1153">IF(DQ96=1,($BC96*DQ96),0)</f>
        <v>0</v>
      </c>
      <c r="GJ96" s="587">
        <f t="shared" ref="GJ96:GJ99" si="1154">IF(DR96=1,($BC96*DR96),0)</f>
        <v>0</v>
      </c>
      <c r="GK96" s="587">
        <f t="shared" ref="GK96:GK99" si="1155">IF(DS96=1,($BC96*DS96),0)</f>
        <v>0</v>
      </c>
      <c r="GL96" s="587">
        <f t="shared" ref="GL96:GL99" si="1156">IF(DT96=1,($BC96*DT96),0)</f>
        <v>0</v>
      </c>
      <c r="GM96" s="587">
        <f t="shared" ref="GM96:GM99" si="1157">IF(DU96=1,($BC96*DU96),0)</f>
        <v>0</v>
      </c>
    </row>
    <row r="97" spans="1:195" s="869" customFormat="1" ht="20.100000000000001" customHeight="1">
      <c r="A97" s="406">
        <f t="shared" si="962"/>
        <v>72</v>
      </c>
      <c r="B97" s="901" t="s">
        <v>527</v>
      </c>
      <c r="C97" s="787" t="str">
        <f t="shared" si="898"/>
        <v>PDB-2</v>
      </c>
      <c r="D97" s="901" t="s">
        <v>1704</v>
      </c>
      <c r="E97" s="907" t="s">
        <v>1182</v>
      </c>
      <c r="F97" s="409" t="s">
        <v>29</v>
      </c>
      <c r="G97" s="406" t="s">
        <v>329</v>
      </c>
      <c r="H97" s="583">
        <v>0.2</v>
      </c>
      <c r="I97" s="406" t="s">
        <v>330</v>
      </c>
      <c r="J97" s="406" t="s">
        <v>357</v>
      </c>
      <c r="K97" s="585">
        <v>230</v>
      </c>
      <c r="L97" s="409">
        <v>0.85</v>
      </c>
      <c r="M97" s="583">
        <v>0.95</v>
      </c>
      <c r="N97" s="407">
        <f t="shared" si="1080"/>
        <v>1.0768609503297888</v>
      </c>
      <c r="O97" s="407">
        <f t="shared" si="1081"/>
        <v>0</v>
      </c>
      <c r="P97" s="409" t="str">
        <f t="shared" si="1082"/>
        <v>0.00</v>
      </c>
      <c r="Q97" s="583">
        <v>65</v>
      </c>
      <c r="R97" s="583">
        <v>0</v>
      </c>
      <c r="S97" s="583">
        <f t="shared" si="1083"/>
        <v>0</v>
      </c>
      <c r="T97" s="409" t="s">
        <v>332</v>
      </c>
      <c r="U97" s="583" t="s">
        <v>333</v>
      </c>
      <c r="V97" s="409">
        <v>2.5</v>
      </c>
      <c r="W97" s="409" t="str">
        <f t="shared" si="1084"/>
        <v>3C X 2.5</v>
      </c>
      <c r="X97" s="409" t="str">
        <f t="shared" si="1085"/>
        <v>3C X 2.5</v>
      </c>
      <c r="Y97" s="409" t="s">
        <v>358</v>
      </c>
      <c r="Z97" s="408">
        <f>IF(T97="AIR",VLOOKUP(W97,'Catalogue Aluminium'!$B$9:$G$93,2,FALSE),IF(T97="GROUND",VLOOKUP(W97,'Catalogue Aluminium'!$B$9:$G$93,3,FALSE),IF(T97="DUCT",VLOOKUP(W97,'Catalogue Aluminium'!$B$9:$G$93,4,FALSE),IF(T97="TRENCH",VLOOKUP(W97,'Catalogue Aluminium'!$B$9:$G$93,2,FALSE)))))</f>
        <v>28</v>
      </c>
      <c r="AA97" s="410">
        <f>VLOOKUP(W97,'Catalogue Aluminium'!$B$9:$G$93,5,FALSE)</f>
        <v>9.48</v>
      </c>
      <c r="AB97" s="410">
        <f>VLOOKUP(W97,'Catalogue Aluminium'!$B$9:$G$93,6,FALSE)</f>
        <v>0.1007</v>
      </c>
      <c r="AC97" s="409">
        <f t="shared" si="899"/>
        <v>17</v>
      </c>
      <c r="AD97" s="409">
        <f t="shared" si="1021"/>
        <v>143</v>
      </c>
      <c r="AE97" s="409">
        <v>10</v>
      </c>
      <c r="AF97" s="409">
        <v>8</v>
      </c>
      <c r="AG97" s="409">
        <f t="shared" si="1086"/>
        <v>18</v>
      </c>
      <c r="AH97" s="865">
        <f t="shared" ref="AH97:AH99" si="1158">SUM(AC97:AG97)</f>
        <v>196</v>
      </c>
      <c r="AI97" s="408">
        <f>IF(T97="AIR",'Catalogue Aluminium'!$K$9,IF(T97="TRENCH",'Catalogue Aluminium'!$K$12,"NA"))</f>
        <v>0.89</v>
      </c>
      <c r="AJ97" s="407">
        <f>IF(T97="Air",(IF(U97="1C",'Catalogue Aluminium'!$L$9,'Catalogue Aluminium'!$M$9)),IF(T97="DUCT",(IF($U97="1C",'Catalogue Aluminium'!$L$10,'Catalogue Aluminium'!$M$10)),IF(T97="GROUND",(IF($U97="1C",'Catalogue Aluminium'!$L$11,'Catalogue Aluminium'!$M$11)),IF(T97="TRENCH",(IF($U97="1C",'Catalogue Aluminium'!$L$12,'Catalogue Aluminium'!$M$12))))))</f>
        <v>0.66</v>
      </c>
      <c r="AK97" s="408" t="str">
        <f>IF(T97="Air",'Catalogue Aluminium'!$N$9,IF(T97="GROUND",'Catalogue Aluminium'!$N$10,IF(T97="DUCT",'Catalogue Aluminium'!$N$11,IF(T97="TRENCH",'Catalogue Aluminium'!$N$12,"NA"))))</f>
        <v>NA</v>
      </c>
      <c r="AL97" s="408" t="str">
        <f>IF(T97="Air",(IF(U97="1C",'Catalogue Aluminium'!$O$9,'Catalogue Aluminium'!$P$9)),IF(T97="DUCT",(IF($U97="1C",'Catalogue Aluminium'!$O$10,'Catalogue Aluminium'!$P$10)),IF(T97="GROUND",(IF($U97="1C",'Catalogue Aluminium'!$O$11,'Catalogue Aluminium'!$P$11)),IF(T97="TRENCH",(IF($U97="1C",'Catalogue Aluminium'!$O$12,'Catalogue Aluminium'!$P$12))))))</f>
        <v>NA</v>
      </c>
      <c r="AM97" s="408" t="str">
        <f>IF(T97="AIR","NA",IF(T97="TRENCH","NA",IF(T97="DUCT",IF(U97="1C",VLOOKUP(V97,'Catalogue Aluminium'!$Q$9:$S$28,2,FALSE),VLOOKUP(V97,'Catalogue Aluminium'!$Q$9:$S$28,3)),IF(T97="GROUND",IF(U97="1C",VLOOKUP(V97,'Catalogue Aluminium'!$Q$9:$S$28,2,FALSE),VLOOKUP(V97,'Catalogue Aluminium'!$Q$9:$S$28,3))))))</f>
        <v>NA</v>
      </c>
      <c r="AN97" s="584">
        <f t="shared" si="886"/>
        <v>0.58740000000000003</v>
      </c>
      <c r="AO97" s="583">
        <f t="shared" si="887"/>
        <v>16.447200000000002</v>
      </c>
      <c r="AP97" s="585">
        <f t="shared" si="888"/>
        <v>1</v>
      </c>
      <c r="AQ97" s="583" t="str">
        <f t="shared" si="889"/>
        <v>YES</v>
      </c>
      <c r="AR97" s="584">
        <f t="shared" si="1087"/>
        <v>1.2892151790294875</v>
      </c>
      <c r="AS97" s="409" t="str">
        <f t="shared" si="1088"/>
        <v>YES</v>
      </c>
      <c r="AT97" s="584" t="str">
        <f t="shared" si="890"/>
        <v>NA</v>
      </c>
      <c r="AU97" s="409" t="str">
        <f t="shared" si="891"/>
        <v>NA</v>
      </c>
      <c r="AV97" s="586" t="str">
        <f t="shared" si="892"/>
        <v>1R x 0.6/1kV x 3C x 2.5 Sqmm</v>
      </c>
      <c r="AW97" s="586" t="str">
        <f t="shared" si="893"/>
        <v>1R x 0.6/1kV x 3C x 2.5 Sqmm</v>
      </c>
      <c r="AX97" s="409">
        <f t="shared" si="894"/>
        <v>196</v>
      </c>
      <c r="AY97" s="866"/>
      <c r="AZ97" s="866">
        <f t="shared" si="895"/>
        <v>2</v>
      </c>
      <c r="BA97" s="867" t="str">
        <f t="shared" si="896"/>
        <v>Q3RR1R2SS.B</v>
      </c>
      <c r="BB97" s="868">
        <f>VLOOKUP(W97,'Catalogue Aluminium'!$B$9:$H$93,7,FALSE)</f>
        <v>14</v>
      </c>
      <c r="BC97" s="789">
        <f t="shared" si="897"/>
        <v>14</v>
      </c>
      <c r="BE97" s="587"/>
      <c r="BF97" s="587"/>
      <c r="BG97" s="587"/>
      <c r="BH97" s="587"/>
      <c r="BI97" s="587"/>
      <c r="BJ97" s="587"/>
      <c r="BK97" s="587"/>
      <c r="BL97" s="587"/>
      <c r="BM97" s="587"/>
      <c r="BN97" s="587"/>
      <c r="BO97" s="587"/>
      <c r="BP97" s="587"/>
      <c r="BQ97" s="587"/>
      <c r="BR97" s="587"/>
      <c r="BS97" s="587"/>
      <c r="BT97" s="587"/>
      <c r="BU97" s="587"/>
      <c r="BV97" s="587"/>
      <c r="BW97" s="587"/>
      <c r="BX97" s="587"/>
      <c r="BY97" s="587"/>
      <c r="BZ97" s="587"/>
      <c r="CA97" s="587"/>
      <c r="CB97" s="587"/>
      <c r="CC97" s="587"/>
      <c r="CD97" s="587"/>
      <c r="CE97" s="587"/>
      <c r="CF97" s="587"/>
      <c r="CG97" s="587"/>
      <c r="CH97" s="587"/>
      <c r="CI97" s="587"/>
      <c r="CJ97" s="587"/>
      <c r="CK97" s="587"/>
      <c r="CL97" s="587"/>
      <c r="CM97" s="587"/>
      <c r="CN97" s="587"/>
      <c r="CO97" s="587"/>
      <c r="CP97" s="587"/>
      <c r="CQ97" s="587"/>
      <c r="CR97" s="587"/>
      <c r="CS97" s="587"/>
      <c r="CT97" s="587"/>
      <c r="CU97" s="587"/>
      <c r="CV97" s="587"/>
      <c r="CW97" s="587"/>
      <c r="CX97" s="587"/>
      <c r="CY97" s="587"/>
      <c r="CZ97" s="587"/>
      <c r="DA97" s="587">
        <v>1</v>
      </c>
      <c r="DB97" s="587"/>
      <c r="DC97" s="587"/>
      <c r="DD97" s="587"/>
      <c r="DE97" s="587"/>
      <c r="DF97" s="587"/>
      <c r="DG97" s="587">
        <v>1</v>
      </c>
      <c r="DH97" s="587">
        <v>1</v>
      </c>
      <c r="DI97" s="587">
        <v>1</v>
      </c>
      <c r="DJ97" s="587"/>
      <c r="DK97" s="587"/>
      <c r="DL97" s="587">
        <v>1</v>
      </c>
      <c r="DM97" s="587"/>
      <c r="DN97" s="587">
        <v>1</v>
      </c>
      <c r="DO97" s="587"/>
      <c r="DP97" s="587"/>
      <c r="DQ97" s="587"/>
      <c r="DR97" s="587"/>
      <c r="DS97" s="587"/>
      <c r="DT97" s="587"/>
      <c r="DU97" s="587"/>
      <c r="DW97" s="587">
        <f t="shared" si="1089"/>
        <v>0</v>
      </c>
      <c r="DX97" s="587">
        <f t="shared" si="1090"/>
        <v>0</v>
      </c>
      <c r="DY97" s="587">
        <f t="shared" si="1091"/>
        <v>0</v>
      </c>
      <c r="DZ97" s="587">
        <f t="shared" si="1092"/>
        <v>0</v>
      </c>
      <c r="EA97" s="587">
        <f t="shared" si="1093"/>
        <v>0</v>
      </c>
      <c r="EB97" s="587">
        <f t="shared" si="1094"/>
        <v>0</v>
      </c>
      <c r="EC97" s="587">
        <f t="shared" si="1095"/>
        <v>0</v>
      </c>
      <c r="ED97" s="587">
        <f t="shared" si="1096"/>
        <v>0</v>
      </c>
      <c r="EE97" s="587">
        <f t="shared" si="1097"/>
        <v>0</v>
      </c>
      <c r="EF97" s="587">
        <f t="shared" si="1098"/>
        <v>0</v>
      </c>
      <c r="EG97" s="587">
        <f t="shared" si="1099"/>
        <v>0</v>
      </c>
      <c r="EH97" s="587">
        <f t="shared" si="1100"/>
        <v>0</v>
      </c>
      <c r="EI97" s="587">
        <f t="shared" si="1101"/>
        <v>0</v>
      </c>
      <c r="EJ97" s="587">
        <f t="shared" si="1102"/>
        <v>0</v>
      </c>
      <c r="EK97" s="587">
        <f t="shared" si="1103"/>
        <v>0</v>
      </c>
      <c r="EL97" s="587">
        <f t="shared" si="1104"/>
        <v>0</v>
      </c>
      <c r="EM97" s="587">
        <f t="shared" si="1105"/>
        <v>0</v>
      </c>
      <c r="EN97" s="587">
        <f t="shared" si="1106"/>
        <v>0</v>
      </c>
      <c r="EO97" s="587">
        <f t="shared" si="1107"/>
        <v>0</v>
      </c>
      <c r="EP97" s="587">
        <f t="shared" si="1108"/>
        <v>0</v>
      </c>
      <c r="EQ97" s="587">
        <f t="shared" si="1109"/>
        <v>0</v>
      </c>
      <c r="ER97" s="587">
        <f t="shared" si="1110"/>
        <v>0</v>
      </c>
      <c r="ES97" s="587">
        <f t="shared" si="1111"/>
        <v>0</v>
      </c>
      <c r="ET97" s="587">
        <f t="shared" si="1112"/>
        <v>0</v>
      </c>
      <c r="EU97" s="587">
        <f t="shared" si="1113"/>
        <v>0</v>
      </c>
      <c r="EV97" s="587">
        <f t="shared" si="1114"/>
        <v>0</v>
      </c>
      <c r="EW97" s="587">
        <f t="shared" si="1115"/>
        <v>0</v>
      </c>
      <c r="EX97" s="587">
        <f t="shared" si="1116"/>
        <v>0</v>
      </c>
      <c r="EY97" s="587">
        <f t="shared" si="1117"/>
        <v>0</v>
      </c>
      <c r="EZ97" s="587">
        <f t="shared" si="1118"/>
        <v>0</v>
      </c>
      <c r="FA97" s="587">
        <f t="shared" si="1119"/>
        <v>0</v>
      </c>
      <c r="FB97" s="587">
        <f t="shared" si="1120"/>
        <v>0</v>
      </c>
      <c r="FC97" s="587">
        <f t="shared" si="1121"/>
        <v>0</v>
      </c>
      <c r="FD97" s="587">
        <f t="shared" si="1122"/>
        <v>0</v>
      </c>
      <c r="FE97" s="587">
        <f t="shared" si="1123"/>
        <v>0</v>
      </c>
      <c r="FF97" s="587">
        <f t="shared" si="1124"/>
        <v>0</v>
      </c>
      <c r="FG97" s="587">
        <f t="shared" si="1125"/>
        <v>0</v>
      </c>
      <c r="FH97" s="587">
        <f t="shared" si="1126"/>
        <v>0</v>
      </c>
      <c r="FI97" s="587">
        <f t="shared" si="1127"/>
        <v>0</v>
      </c>
      <c r="FJ97" s="587">
        <f t="shared" si="1128"/>
        <v>0</v>
      </c>
      <c r="FK97" s="587">
        <f t="shared" si="1129"/>
        <v>0</v>
      </c>
      <c r="FL97" s="587">
        <f t="shared" si="1130"/>
        <v>0</v>
      </c>
      <c r="FM97" s="587">
        <f t="shared" si="1131"/>
        <v>0</v>
      </c>
      <c r="FN97" s="587">
        <f t="shared" si="1132"/>
        <v>0</v>
      </c>
      <c r="FO97" s="587">
        <f t="shared" si="1133"/>
        <v>0</v>
      </c>
      <c r="FP97" s="587">
        <f t="shared" si="1134"/>
        <v>0</v>
      </c>
      <c r="FQ97" s="587">
        <f t="shared" si="1135"/>
        <v>0</v>
      </c>
      <c r="FR97" s="587">
        <f t="shared" si="1136"/>
        <v>0</v>
      </c>
      <c r="FS97" s="587">
        <f t="shared" si="1137"/>
        <v>14</v>
      </c>
      <c r="FT97" s="587">
        <f t="shared" si="1138"/>
        <v>0</v>
      </c>
      <c r="FU97" s="587">
        <f t="shared" si="1139"/>
        <v>0</v>
      </c>
      <c r="FV97" s="587">
        <f t="shared" si="1140"/>
        <v>0</v>
      </c>
      <c r="FW97" s="587">
        <f t="shared" si="1141"/>
        <v>0</v>
      </c>
      <c r="FX97" s="587">
        <f t="shared" si="1142"/>
        <v>0</v>
      </c>
      <c r="FY97" s="587">
        <f t="shared" si="1143"/>
        <v>14</v>
      </c>
      <c r="FZ97" s="587">
        <f t="shared" si="1144"/>
        <v>14</v>
      </c>
      <c r="GA97" s="587">
        <f t="shared" si="1145"/>
        <v>14</v>
      </c>
      <c r="GB97" s="587">
        <f t="shared" si="1146"/>
        <v>0</v>
      </c>
      <c r="GC97" s="587">
        <f t="shared" si="1147"/>
        <v>0</v>
      </c>
      <c r="GD97" s="587">
        <f t="shared" si="1148"/>
        <v>14</v>
      </c>
      <c r="GE97" s="587">
        <f t="shared" si="1149"/>
        <v>0</v>
      </c>
      <c r="GF97" s="587">
        <f t="shared" si="1150"/>
        <v>14</v>
      </c>
      <c r="GG97" s="587">
        <f t="shared" si="1151"/>
        <v>0</v>
      </c>
      <c r="GH97" s="587">
        <f t="shared" si="1152"/>
        <v>0</v>
      </c>
      <c r="GI97" s="587">
        <f t="shared" si="1153"/>
        <v>0</v>
      </c>
      <c r="GJ97" s="587">
        <f t="shared" si="1154"/>
        <v>0</v>
      </c>
      <c r="GK97" s="587">
        <f t="shared" si="1155"/>
        <v>0</v>
      </c>
      <c r="GL97" s="587">
        <f t="shared" si="1156"/>
        <v>0</v>
      </c>
      <c r="GM97" s="587">
        <f t="shared" si="1157"/>
        <v>0</v>
      </c>
    </row>
    <row r="98" spans="1:195" s="869" customFormat="1" ht="20.100000000000001" customHeight="1">
      <c r="A98" s="406">
        <f t="shared" si="962"/>
        <v>73</v>
      </c>
      <c r="B98" s="901" t="s">
        <v>527</v>
      </c>
      <c r="C98" s="787" t="str">
        <f t="shared" si="898"/>
        <v>PDB-2</v>
      </c>
      <c r="D98" s="901" t="s">
        <v>1705</v>
      </c>
      <c r="E98" s="907" t="s">
        <v>1182</v>
      </c>
      <c r="F98" s="409" t="s">
        <v>29</v>
      </c>
      <c r="G98" s="406" t="s">
        <v>329</v>
      </c>
      <c r="H98" s="583">
        <v>15</v>
      </c>
      <c r="I98" s="406" t="s">
        <v>330</v>
      </c>
      <c r="J98" s="406" t="s">
        <v>331</v>
      </c>
      <c r="K98" s="585">
        <v>400</v>
      </c>
      <c r="L98" s="409">
        <v>0.85</v>
      </c>
      <c r="M98" s="583">
        <v>0.95</v>
      </c>
      <c r="N98" s="407">
        <f t="shared" si="1080"/>
        <v>26.81271852365597</v>
      </c>
      <c r="O98" s="407">
        <f t="shared" si="1081"/>
        <v>0</v>
      </c>
      <c r="P98" s="409" t="str">
        <f t="shared" si="1082"/>
        <v>0.00</v>
      </c>
      <c r="Q98" s="583">
        <v>65</v>
      </c>
      <c r="R98" s="583">
        <v>0</v>
      </c>
      <c r="S98" s="583">
        <f t="shared" si="1083"/>
        <v>0</v>
      </c>
      <c r="T98" s="409" t="s">
        <v>332</v>
      </c>
      <c r="U98" s="583" t="s">
        <v>535</v>
      </c>
      <c r="V98" s="409">
        <v>35</v>
      </c>
      <c r="W98" s="409" t="str">
        <f t="shared" si="1084"/>
        <v>3.5C X 35</v>
      </c>
      <c r="X98" s="409" t="str">
        <f t="shared" si="1085"/>
        <v>3.5C X 35</v>
      </c>
      <c r="Y98" s="409" t="s">
        <v>358</v>
      </c>
      <c r="Z98" s="408">
        <f>IF(T98="AIR",VLOOKUP(W98,'Catalogue Aluminium'!$B$9:$G$93,2,FALSE),IF(T98="GROUND",VLOOKUP(W98,'Catalogue Aluminium'!$B$9:$G$93,3,FALSE),IF(T98="DUCT",VLOOKUP(W98,'Catalogue Aluminium'!$B$9:$G$93,4,FALSE),IF(T98="TRENCH",VLOOKUP(W98,'Catalogue Aluminium'!$B$9:$G$93,2,FALSE)))))</f>
        <v>117</v>
      </c>
      <c r="AA98" s="410">
        <f>VLOOKUP(W98,'Catalogue Aluminium'!$B$9:$G$93,5,FALSE)</f>
        <v>1.1100000000000001</v>
      </c>
      <c r="AB98" s="410">
        <f>VLOOKUP(W98,'Catalogue Aluminium'!$B$9:$G$93,6,FALSE)</f>
        <v>7.9399999999999998E-2</v>
      </c>
      <c r="AC98" s="409">
        <f t="shared" si="899"/>
        <v>17</v>
      </c>
      <c r="AD98" s="409">
        <f t="shared" si="1021"/>
        <v>143</v>
      </c>
      <c r="AE98" s="409">
        <v>10</v>
      </c>
      <c r="AF98" s="409">
        <v>8</v>
      </c>
      <c r="AG98" s="409">
        <f t="shared" si="1086"/>
        <v>18</v>
      </c>
      <c r="AH98" s="865">
        <f t="shared" si="1158"/>
        <v>196</v>
      </c>
      <c r="AI98" s="408">
        <f>IF(T98="AIR",'Catalogue Aluminium'!$K$9,IF(T98="TRENCH",'Catalogue Aluminium'!$K$12,"NA"))</f>
        <v>0.89</v>
      </c>
      <c r="AJ98" s="407">
        <f>IF(T98="Air",(IF(U98="1C",'Catalogue Aluminium'!$L$9,'Catalogue Aluminium'!$M$9)),IF(T98="DUCT",(IF($U98="1C",'Catalogue Aluminium'!$L$10,'Catalogue Aluminium'!$M$10)),IF(T98="GROUND",(IF($U98="1C",'Catalogue Aluminium'!$L$11,'Catalogue Aluminium'!$M$11)),IF(T98="TRENCH",(IF($U98="1C",'Catalogue Aluminium'!$L$12,'Catalogue Aluminium'!$M$12))))))</f>
        <v>0.66</v>
      </c>
      <c r="AK98" s="408" t="str">
        <f>IF(T98="Air",'Catalogue Aluminium'!$N$9,IF(T98="GROUND",'Catalogue Aluminium'!$N$10,IF(T98="DUCT",'Catalogue Aluminium'!$N$11,IF(T98="TRENCH",'Catalogue Aluminium'!$N$12,"NA"))))</f>
        <v>NA</v>
      </c>
      <c r="AL98" s="408" t="str">
        <f>IF(T98="Air",(IF(U98="1C",'Catalogue Aluminium'!$O$9,'Catalogue Aluminium'!$P$9)),IF(T98="DUCT",(IF($U98="1C",'Catalogue Aluminium'!$O$10,'Catalogue Aluminium'!$P$10)),IF(T98="GROUND",(IF($U98="1C",'Catalogue Aluminium'!$O$11,'Catalogue Aluminium'!$P$11)),IF(T98="TRENCH",(IF($U98="1C",'Catalogue Aluminium'!$O$12,'Catalogue Aluminium'!$P$12))))))</f>
        <v>NA</v>
      </c>
      <c r="AM98" s="408" t="str">
        <f>IF(T98="AIR","NA",IF(T98="TRENCH","NA",IF(T98="DUCT",IF(U98="1C",VLOOKUP(V98,'Catalogue Aluminium'!$Q$9:$S$28,2,FALSE),VLOOKUP(V98,'Catalogue Aluminium'!$Q$9:$S$28,3)),IF(T98="GROUND",IF(U98="1C",VLOOKUP(V98,'Catalogue Aluminium'!$Q$9:$S$28,2,FALSE),VLOOKUP(V98,'Catalogue Aluminium'!$Q$9:$S$28,3))))))</f>
        <v>NA</v>
      </c>
      <c r="AN98" s="584">
        <f t="shared" si="886"/>
        <v>0.58740000000000003</v>
      </c>
      <c r="AO98" s="583">
        <f t="shared" si="887"/>
        <v>68.725800000000007</v>
      </c>
      <c r="AP98" s="585">
        <f t="shared" si="888"/>
        <v>1</v>
      </c>
      <c r="AQ98" s="583" t="str">
        <f t="shared" si="889"/>
        <v>YES</v>
      </c>
      <c r="AR98" s="584">
        <f t="shared" si="1087"/>
        <v>2.2422175091121406</v>
      </c>
      <c r="AS98" s="409" t="str">
        <f t="shared" si="1088"/>
        <v>YES</v>
      </c>
      <c r="AT98" s="584" t="str">
        <f t="shared" si="890"/>
        <v>NA</v>
      </c>
      <c r="AU98" s="409" t="str">
        <f t="shared" si="891"/>
        <v>NA</v>
      </c>
      <c r="AV98" s="586" t="str">
        <f t="shared" si="892"/>
        <v>1R x 0.6/1kV x 3.5C x 35 Sqmm</v>
      </c>
      <c r="AW98" s="586" t="str">
        <f t="shared" si="893"/>
        <v>1R x 0.6/1kV x 3.5C x 35 Sqmm</v>
      </c>
      <c r="AX98" s="409">
        <f t="shared" si="894"/>
        <v>196</v>
      </c>
      <c r="AY98" s="866"/>
      <c r="AZ98" s="866">
        <f t="shared" si="895"/>
        <v>2</v>
      </c>
      <c r="BA98" s="867" t="str">
        <f t="shared" si="896"/>
        <v>Q3RR1R2SS.B</v>
      </c>
      <c r="BB98" s="868">
        <f>VLOOKUP(W98,'Catalogue Aluminium'!$B$9:$H$93,7,FALSE)</f>
        <v>27</v>
      </c>
      <c r="BC98" s="789">
        <f t="shared" si="897"/>
        <v>27</v>
      </c>
      <c r="BE98" s="587"/>
      <c r="BF98" s="587"/>
      <c r="BG98" s="587"/>
      <c r="BH98" s="587"/>
      <c r="BI98" s="587"/>
      <c r="BJ98" s="587"/>
      <c r="BK98" s="587"/>
      <c r="BL98" s="587"/>
      <c r="BM98" s="587"/>
      <c r="BN98" s="587"/>
      <c r="BO98" s="587"/>
      <c r="BP98" s="587"/>
      <c r="BQ98" s="587"/>
      <c r="BR98" s="587"/>
      <c r="BS98" s="587"/>
      <c r="BT98" s="587"/>
      <c r="BU98" s="587"/>
      <c r="BV98" s="587"/>
      <c r="BW98" s="587"/>
      <c r="BX98" s="587"/>
      <c r="BY98" s="587"/>
      <c r="BZ98" s="587"/>
      <c r="CA98" s="587"/>
      <c r="CB98" s="587"/>
      <c r="CC98" s="587"/>
      <c r="CD98" s="587"/>
      <c r="CE98" s="587"/>
      <c r="CF98" s="587"/>
      <c r="CG98" s="587"/>
      <c r="CH98" s="587"/>
      <c r="CI98" s="587"/>
      <c r="CJ98" s="587"/>
      <c r="CK98" s="587"/>
      <c r="CL98" s="587"/>
      <c r="CM98" s="587"/>
      <c r="CN98" s="587"/>
      <c r="CO98" s="587"/>
      <c r="CP98" s="587"/>
      <c r="CQ98" s="587"/>
      <c r="CR98" s="587"/>
      <c r="CS98" s="587"/>
      <c r="CT98" s="587"/>
      <c r="CU98" s="587"/>
      <c r="CV98" s="587"/>
      <c r="CW98" s="587"/>
      <c r="CX98" s="587"/>
      <c r="CY98" s="587"/>
      <c r="CZ98" s="587"/>
      <c r="DA98" s="587">
        <v>1</v>
      </c>
      <c r="DB98" s="587"/>
      <c r="DC98" s="587"/>
      <c r="DD98" s="587"/>
      <c r="DE98" s="587"/>
      <c r="DF98" s="587"/>
      <c r="DG98" s="587">
        <v>1</v>
      </c>
      <c r="DH98" s="587">
        <v>1</v>
      </c>
      <c r="DI98" s="587">
        <v>1</v>
      </c>
      <c r="DJ98" s="587"/>
      <c r="DK98" s="587"/>
      <c r="DL98" s="587">
        <v>1</v>
      </c>
      <c r="DM98" s="587"/>
      <c r="DN98" s="587">
        <v>1</v>
      </c>
      <c r="DO98" s="587"/>
      <c r="DP98" s="587"/>
      <c r="DQ98" s="587"/>
      <c r="DR98" s="587"/>
      <c r="DS98" s="587"/>
      <c r="DT98" s="587"/>
      <c r="DU98" s="587"/>
      <c r="DW98" s="587">
        <f t="shared" si="1089"/>
        <v>0</v>
      </c>
      <c r="DX98" s="587">
        <f t="shared" si="1090"/>
        <v>0</v>
      </c>
      <c r="DY98" s="587">
        <f t="shared" si="1091"/>
        <v>0</v>
      </c>
      <c r="DZ98" s="587">
        <f t="shared" si="1092"/>
        <v>0</v>
      </c>
      <c r="EA98" s="587">
        <f t="shared" si="1093"/>
        <v>0</v>
      </c>
      <c r="EB98" s="587">
        <f t="shared" si="1094"/>
        <v>0</v>
      </c>
      <c r="EC98" s="587">
        <f t="shared" si="1095"/>
        <v>0</v>
      </c>
      <c r="ED98" s="587">
        <f t="shared" si="1096"/>
        <v>0</v>
      </c>
      <c r="EE98" s="587">
        <f t="shared" si="1097"/>
        <v>0</v>
      </c>
      <c r="EF98" s="587">
        <f t="shared" si="1098"/>
        <v>0</v>
      </c>
      <c r="EG98" s="587">
        <f t="shared" si="1099"/>
        <v>0</v>
      </c>
      <c r="EH98" s="587">
        <f t="shared" si="1100"/>
        <v>0</v>
      </c>
      <c r="EI98" s="587">
        <f t="shared" si="1101"/>
        <v>0</v>
      </c>
      <c r="EJ98" s="587">
        <f t="shared" si="1102"/>
        <v>0</v>
      </c>
      <c r="EK98" s="587">
        <f t="shared" si="1103"/>
        <v>0</v>
      </c>
      <c r="EL98" s="587">
        <f t="shared" si="1104"/>
        <v>0</v>
      </c>
      <c r="EM98" s="587">
        <f t="shared" si="1105"/>
        <v>0</v>
      </c>
      <c r="EN98" s="587">
        <f t="shared" si="1106"/>
        <v>0</v>
      </c>
      <c r="EO98" s="587">
        <f t="shared" si="1107"/>
        <v>0</v>
      </c>
      <c r="EP98" s="587">
        <f t="shared" si="1108"/>
        <v>0</v>
      </c>
      <c r="EQ98" s="587">
        <f t="shared" si="1109"/>
        <v>0</v>
      </c>
      <c r="ER98" s="587">
        <f t="shared" si="1110"/>
        <v>0</v>
      </c>
      <c r="ES98" s="587">
        <f t="shared" si="1111"/>
        <v>0</v>
      </c>
      <c r="ET98" s="587">
        <f t="shared" si="1112"/>
        <v>0</v>
      </c>
      <c r="EU98" s="587">
        <f t="shared" si="1113"/>
        <v>0</v>
      </c>
      <c r="EV98" s="587">
        <f t="shared" si="1114"/>
        <v>0</v>
      </c>
      <c r="EW98" s="587">
        <f t="shared" si="1115"/>
        <v>0</v>
      </c>
      <c r="EX98" s="587">
        <f t="shared" si="1116"/>
        <v>0</v>
      </c>
      <c r="EY98" s="587">
        <f t="shared" si="1117"/>
        <v>0</v>
      </c>
      <c r="EZ98" s="587">
        <f t="shared" si="1118"/>
        <v>0</v>
      </c>
      <c r="FA98" s="587">
        <f t="shared" si="1119"/>
        <v>0</v>
      </c>
      <c r="FB98" s="587">
        <f t="shared" si="1120"/>
        <v>0</v>
      </c>
      <c r="FC98" s="587">
        <f t="shared" si="1121"/>
        <v>0</v>
      </c>
      <c r="FD98" s="587">
        <f t="shared" si="1122"/>
        <v>0</v>
      </c>
      <c r="FE98" s="587">
        <f t="shared" si="1123"/>
        <v>0</v>
      </c>
      <c r="FF98" s="587">
        <f t="shared" si="1124"/>
        <v>0</v>
      </c>
      <c r="FG98" s="587">
        <f t="shared" si="1125"/>
        <v>0</v>
      </c>
      <c r="FH98" s="587">
        <f t="shared" si="1126"/>
        <v>0</v>
      </c>
      <c r="FI98" s="587">
        <f t="shared" si="1127"/>
        <v>0</v>
      </c>
      <c r="FJ98" s="587">
        <f t="shared" si="1128"/>
        <v>0</v>
      </c>
      <c r="FK98" s="587">
        <f t="shared" si="1129"/>
        <v>0</v>
      </c>
      <c r="FL98" s="587">
        <f t="shared" si="1130"/>
        <v>0</v>
      </c>
      <c r="FM98" s="587">
        <f t="shared" si="1131"/>
        <v>0</v>
      </c>
      <c r="FN98" s="587">
        <f t="shared" si="1132"/>
        <v>0</v>
      </c>
      <c r="FO98" s="587">
        <f t="shared" si="1133"/>
        <v>0</v>
      </c>
      <c r="FP98" s="587">
        <f t="shared" si="1134"/>
        <v>0</v>
      </c>
      <c r="FQ98" s="587">
        <f t="shared" si="1135"/>
        <v>0</v>
      </c>
      <c r="FR98" s="587">
        <f t="shared" si="1136"/>
        <v>0</v>
      </c>
      <c r="FS98" s="587">
        <f t="shared" si="1137"/>
        <v>27</v>
      </c>
      <c r="FT98" s="587">
        <f t="shared" si="1138"/>
        <v>0</v>
      </c>
      <c r="FU98" s="587">
        <f t="shared" si="1139"/>
        <v>0</v>
      </c>
      <c r="FV98" s="587">
        <f t="shared" si="1140"/>
        <v>0</v>
      </c>
      <c r="FW98" s="587">
        <f t="shared" si="1141"/>
        <v>0</v>
      </c>
      <c r="FX98" s="587">
        <f t="shared" si="1142"/>
        <v>0</v>
      </c>
      <c r="FY98" s="587">
        <f t="shared" si="1143"/>
        <v>27</v>
      </c>
      <c r="FZ98" s="587">
        <f t="shared" si="1144"/>
        <v>27</v>
      </c>
      <c r="GA98" s="587">
        <f t="shared" si="1145"/>
        <v>27</v>
      </c>
      <c r="GB98" s="587">
        <f t="shared" si="1146"/>
        <v>0</v>
      </c>
      <c r="GC98" s="587">
        <f t="shared" si="1147"/>
        <v>0</v>
      </c>
      <c r="GD98" s="587">
        <f t="shared" si="1148"/>
        <v>27</v>
      </c>
      <c r="GE98" s="587">
        <f t="shared" si="1149"/>
        <v>0</v>
      </c>
      <c r="GF98" s="587">
        <f t="shared" si="1150"/>
        <v>27</v>
      </c>
      <c r="GG98" s="587">
        <f t="shared" si="1151"/>
        <v>0</v>
      </c>
      <c r="GH98" s="587">
        <f t="shared" si="1152"/>
        <v>0</v>
      </c>
      <c r="GI98" s="587">
        <f t="shared" si="1153"/>
        <v>0</v>
      </c>
      <c r="GJ98" s="587">
        <f t="shared" si="1154"/>
        <v>0</v>
      </c>
      <c r="GK98" s="587">
        <f t="shared" si="1155"/>
        <v>0</v>
      </c>
      <c r="GL98" s="587">
        <f t="shared" si="1156"/>
        <v>0</v>
      </c>
      <c r="GM98" s="587">
        <f t="shared" si="1157"/>
        <v>0</v>
      </c>
    </row>
    <row r="99" spans="1:195" s="869" customFormat="1" ht="20.100000000000001" customHeight="1">
      <c r="A99" s="406">
        <f t="shared" si="962"/>
        <v>74</v>
      </c>
      <c r="B99" s="901" t="s">
        <v>527</v>
      </c>
      <c r="C99" s="787" t="str">
        <f t="shared" si="898"/>
        <v>PDB-2</v>
      </c>
      <c r="D99" s="901" t="s">
        <v>1706</v>
      </c>
      <c r="E99" s="907" t="s">
        <v>1182</v>
      </c>
      <c r="F99" s="409" t="s">
        <v>29</v>
      </c>
      <c r="G99" s="406" t="s">
        <v>329</v>
      </c>
      <c r="H99" s="583">
        <v>10</v>
      </c>
      <c r="I99" s="406" t="s">
        <v>330</v>
      </c>
      <c r="J99" s="406" t="s">
        <v>331</v>
      </c>
      <c r="K99" s="585">
        <v>400</v>
      </c>
      <c r="L99" s="409">
        <v>0.85</v>
      </c>
      <c r="M99" s="583">
        <v>0.95</v>
      </c>
      <c r="N99" s="407">
        <f t="shared" si="1080"/>
        <v>17.875145682437314</v>
      </c>
      <c r="O99" s="407">
        <f t="shared" si="1081"/>
        <v>0</v>
      </c>
      <c r="P99" s="409" t="str">
        <f t="shared" si="1082"/>
        <v>0.00</v>
      </c>
      <c r="Q99" s="583">
        <v>65</v>
      </c>
      <c r="R99" s="583">
        <v>0</v>
      </c>
      <c r="S99" s="583">
        <f t="shared" si="1083"/>
        <v>0</v>
      </c>
      <c r="T99" s="409" t="s">
        <v>332</v>
      </c>
      <c r="U99" s="583" t="s">
        <v>535</v>
      </c>
      <c r="V99" s="409">
        <v>25</v>
      </c>
      <c r="W99" s="409" t="str">
        <f t="shared" si="1084"/>
        <v>3.5C X 25</v>
      </c>
      <c r="X99" s="409" t="str">
        <f t="shared" si="1085"/>
        <v>3.5C X 25</v>
      </c>
      <c r="Y99" s="409" t="s">
        <v>358</v>
      </c>
      <c r="Z99" s="408">
        <f>IF(T99="AIR",VLOOKUP(W99,'Catalogue Aluminium'!$B$9:$G$93,2,FALSE),IF(T99="GROUND",VLOOKUP(W99,'Catalogue Aluminium'!$B$9:$G$93,3,FALSE),IF(T99="DUCT",VLOOKUP(W99,'Catalogue Aluminium'!$B$9:$G$93,4,FALSE),IF(T99="TRENCH",VLOOKUP(W99,'Catalogue Aluminium'!$B$9:$G$93,2,FALSE)))))</f>
        <v>95</v>
      </c>
      <c r="AA99" s="410">
        <f>VLOOKUP(W99,'Catalogue Aluminium'!$B$9:$G$93,5,FALSE)</f>
        <v>1.54</v>
      </c>
      <c r="AB99" s="410">
        <f>VLOOKUP(W99,'Catalogue Aluminium'!$B$9:$G$93,6,FALSE)</f>
        <v>8.1600000000000006E-2</v>
      </c>
      <c r="AC99" s="409">
        <f t="shared" si="899"/>
        <v>17</v>
      </c>
      <c r="AD99" s="409">
        <f t="shared" si="1021"/>
        <v>143</v>
      </c>
      <c r="AE99" s="409">
        <v>10</v>
      </c>
      <c r="AF99" s="409">
        <v>8</v>
      </c>
      <c r="AG99" s="409">
        <f t="shared" si="1086"/>
        <v>18</v>
      </c>
      <c r="AH99" s="865">
        <f t="shared" si="1158"/>
        <v>196</v>
      </c>
      <c r="AI99" s="408">
        <f>IF(T99="AIR",'Catalogue Aluminium'!$K$9,IF(T99="TRENCH",'Catalogue Aluminium'!$K$12,"NA"))</f>
        <v>0.89</v>
      </c>
      <c r="AJ99" s="407">
        <f>IF(T99="Air",(IF(U99="1C",'Catalogue Aluminium'!$L$9,'Catalogue Aluminium'!$M$9)),IF(T99="DUCT",(IF($U99="1C",'Catalogue Aluminium'!$L$10,'Catalogue Aluminium'!$M$10)),IF(T99="GROUND",(IF($U99="1C",'Catalogue Aluminium'!$L$11,'Catalogue Aluminium'!$M$11)),IF(T99="TRENCH",(IF($U99="1C",'Catalogue Aluminium'!$L$12,'Catalogue Aluminium'!$M$12))))))</f>
        <v>0.66</v>
      </c>
      <c r="AK99" s="408" t="str">
        <f>IF(T99="Air",'Catalogue Aluminium'!$N$9,IF(T99="GROUND",'Catalogue Aluminium'!$N$10,IF(T99="DUCT",'Catalogue Aluminium'!$N$11,IF(T99="TRENCH",'Catalogue Aluminium'!$N$12,"NA"))))</f>
        <v>NA</v>
      </c>
      <c r="AL99" s="408" t="str">
        <f>IF(T99="Air",(IF(U99="1C",'Catalogue Aluminium'!$O$9,'Catalogue Aluminium'!$P$9)),IF(T99="DUCT",(IF($U99="1C",'Catalogue Aluminium'!$O$10,'Catalogue Aluminium'!$P$10)),IF(T99="GROUND",(IF($U99="1C",'Catalogue Aluminium'!$O$11,'Catalogue Aluminium'!$P$11)),IF(T99="TRENCH",(IF($U99="1C",'Catalogue Aluminium'!$O$12,'Catalogue Aluminium'!$P$12))))))</f>
        <v>NA</v>
      </c>
      <c r="AM99" s="408" t="str">
        <f>IF(T99="AIR","NA",IF(T99="TRENCH","NA",IF(T99="DUCT",IF(U99="1C",VLOOKUP(V99,'Catalogue Aluminium'!$Q$9:$S$28,2,FALSE),VLOOKUP(V99,'Catalogue Aluminium'!$Q$9:$S$28,3)),IF(T99="GROUND",IF(U99="1C",VLOOKUP(V99,'Catalogue Aluminium'!$Q$9:$S$28,2,FALSE),VLOOKUP(V99,'Catalogue Aluminium'!$Q$9:$S$28,3))))))</f>
        <v>NA</v>
      </c>
      <c r="AN99" s="584">
        <f t="shared" si="886"/>
        <v>0.58740000000000003</v>
      </c>
      <c r="AO99" s="583">
        <f t="shared" si="887"/>
        <v>55.803000000000004</v>
      </c>
      <c r="AP99" s="585">
        <f t="shared" si="888"/>
        <v>1</v>
      </c>
      <c r="AQ99" s="583" t="str">
        <f t="shared" si="889"/>
        <v>YES</v>
      </c>
      <c r="AR99" s="584">
        <f t="shared" si="1087"/>
        <v>2.0510597906364092</v>
      </c>
      <c r="AS99" s="409" t="str">
        <f t="shared" si="1088"/>
        <v>YES</v>
      </c>
      <c r="AT99" s="584" t="str">
        <f t="shared" si="890"/>
        <v>NA</v>
      </c>
      <c r="AU99" s="409" t="str">
        <f t="shared" si="891"/>
        <v>NA</v>
      </c>
      <c r="AV99" s="586" t="str">
        <f t="shared" si="892"/>
        <v>1R x 0.6/1kV x 3.5C x 25 Sqmm</v>
      </c>
      <c r="AW99" s="586" t="str">
        <f t="shared" si="893"/>
        <v>1R x 0.6/1kV x 3.5C x 25 Sqmm</v>
      </c>
      <c r="AX99" s="409">
        <f t="shared" si="894"/>
        <v>196</v>
      </c>
      <c r="AY99" s="866"/>
      <c r="AZ99" s="866">
        <f t="shared" si="895"/>
        <v>2</v>
      </c>
      <c r="BA99" s="867" t="str">
        <f t="shared" si="896"/>
        <v>Q3RR1R2SS.B</v>
      </c>
      <c r="BB99" s="868">
        <f>VLOOKUP(W99,'Catalogue Aluminium'!$B$9:$H$93,7,FALSE)</f>
        <v>25</v>
      </c>
      <c r="BC99" s="789">
        <f t="shared" si="897"/>
        <v>25</v>
      </c>
      <c r="BE99" s="587"/>
      <c r="BF99" s="587"/>
      <c r="BG99" s="587"/>
      <c r="BH99" s="587"/>
      <c r="BI99" s="587"/>
      <c r="BJ99" s="587"/>
      <c r="BK99" s="587"/>
      <c r="BL99" s="587"/>
      <c r="BM99" s="587"/>
      <c r="BN99" s="587"/>
      <c r="BO99" s="587"/>
      <c r="BP99" s="587"/>
      <c r="BQ99" s="587"/>
      <c r="BR99" s="587"/>
      <c r="BS99" s="587"/>
      <c r="BT99" s="587"/>
      <c r="BU99" s="587"/>
      <c r="BV99" s="587"/>
      <c r="BW99" s="587"/>
      <c r="BX99" s="587"/>
      <c r="BY99" s="587"/>
      <c r="BZ99" s="587"/>
      <c r="CA99" s="587"/>
      <c r="CB99" s="587"/>
      <c r="CC99" s="587"/>
      <c r="CD99" s="587"/>
      <c r="CE99" s="587"/>
      <c r="CF99" s="587"/>
      <c r="CG99" s="587"/>
      <c r="CH99" s="587"/>
      <c r="CI99" s="587"/>
      <c r="CJ99" s="587"/>
      <c r="CK99" s="587"/>
      <c r="CL99" s="587"/>
      <c r="CM99" s="587"/>
      <c r="CN99" s="587"/>
      <c r="CO99" s="587"/>
      <c r="CP99" s="587"/>
      <c r="CQ99" s="587"/>
      <c r="CR99" s="587"/>
      <c r="CS99" s="587"/>
      <c r="CT99" s="587"/>
      <c r="CU99" s="587"/>
      <c r="CV99" s="587"/>
      <c r="CW99" s="587"/>
      <c r="CX99" s="587"/>
      <c r="CY99" s="587"/>
      <c r="CZ99" s="587"/>
      <c r="DA99" s="587">
        <v>1</v>
      </c>
      <c r="DB99" s="587"/>
      <c r="DC99" s="587"/>
      <c r="DD99" s="587"/>
      <c r="DE99" s="587"/>
      <c r="DF99" s="587"/>
      <c r="DG99" s="587">
        <v>1</v>
      </c>
      <c r="DH99" s="587">
        <v>1</v>
      </c>
      <c r="DI99" s="587">
        <v>1</v>
      </c>
      <c r="DJ99" s="587"/>
      <c r="DK99" s="587"/>
      <c r="DL99" s="587">
        <v>1</v>
      </c>
      <c r="DM99" s="587"/>
      <c r="DN99" s="587">
        <v>1</v>
      </c>
      <c r="DO99" s="587"/>
      <c r="DP99" s="587"/>
      <c r="DQ99" s="587"/>
      <c r="DR99" s="587"/>
      <c r="DS99" s="587"/>
      <c r="DT99" s="587"/>
      <c r="DU99" s="587"/>
      <c r="DW99" s="587">
        <f t="shared" si="1089"/>
        <v>0</v>
      </c>
      <c r="DX99" s="587">
        <f t="shared" si="1090"/>
        <v>0</v>
      </c>
      <c r="DY99" s="587">
        <f t="shared" si="1091"/>
        <v>0</v>
      </c>
      <c r="DZ99" s="587">
        <f t="shared" si="1092"/>
        <v>0</v>
      </c>
      <c r="EA99" s="587">
        <f t="shared" si="1093"/>
        <v>0</v>
      </c>
      <c r="EB99" s="587">
        <f t="shared" si="1094"/>
        <v>0</v>
      </c>
      <c r="EC99" s="587">
        <f t="shared" si="1095"/>
        <v>0</v>
      </c>
      <c r="ED99" s="587">
        <f t="shared" si="1096"/>
        <v>0</v>
      </c>
      <c r="EE99" s="587">
        <f t="shared" si="1097"/>
        <v>0</v>
      </c>
      <c r="EF99" s="587">
        <f t="shared" si="1098"/>
        <v>0</v>
      </c>
      <c r="EG99" s="587">
        <f t="shared" si="1099"/>
        <v>0</v>
      </c>
      <c r="EH99" s="587">
        <f t="shared" si="1100"/>
        <v>0</v>
      </c>
      <c r="EI99" s="587">
        <f t="shared" si="1101"/>
        <v>0</v>
      </c>
      <c r="EJ99" s="587">
        <f t="shared" si="1102"/>
        <v>0</v>
      </c>
      <c r="EK99" s="587">
        <f t="shared" si="1103"/>
        <v>0</v>
      </c>
      <c r="EL99" s="587">
        <f t="shared" si="1104"/>
        <v>0</v>
      </c>
      <c r="EM99" s="587">
        <f t="shared" si="1105"/>
        <v>0</v>
      </c>
      <c r="EN99" s="587">
        <f t="shared" si="1106"/>
        <v>0</v>
      </c>
      <c r="EO99" s="587">
        <f t="shared" si="1107"/>
        <v>0</v>
      </c>
      <c r="EP99" s="587">
        <f t="shared" si="1108"/>
        <v>0</v>
      </c>
      <c r="EQ99" s="587">
        <f t="shared" si="1109"/>
        <v>0</v>
      </c>
      <c r="ER99" s="587">
        <f t="shared" si="1110"/>
        <v>0</v>
      </c>
      <c r="ES99" s="587">
        <f t="shared" si="1111"/>
        <v>0</v>
      </c>
      <c r="ET99" s="587">
        <f t="shared" si="1112"/>
        <v>0</v>
      </c>
      <c r="EU99" s="587">
        <f t="shared" si="1113"/>
        <v>0</v>
      </c>
      <c r="EV99" s="587">
        <f t="shared" si="1114"/>
        <v>0</v>
      </c>
      <c r="EW99" s="587">
        <f t="shared" si="1115"/>
        <v>0</v>
      </c>
      <c r="EX99" s="587">
        <f t="shared" si="1116"/>
        <v>0</v>
      </c>
      <c r="EY99" s="587">
        <f t="shared" si="1117"/>
        <v>0</v>
      </c>
      <c r="EZ99" s="587">
        <f t="shared" si="1118"/>
        <v>0</v>
      </c>
      <c r="FA99" s="587">
        <f t="shared" si="1119"/>
        <v>0</v>
      </c>
      <c r="FB99" s="587">
        <f t="shared" si="1120"/>
        <v>0</v>
      </c>
      <c r="FC99" s="587">
        <f t="shared" si="1121"/>
        <v>0</v>
      </c>
      <c r="FD99" s="587">
        <f t="shared" si="1122"/>
        <v>0</v>
      </c>
      <c r="FE99" s="587">
        <f t="shared" si="1123"/>
        <v>0</v>
      </c>
      <c r="FF99" s="587">
        <f t="shared" si="1124"/>
        <v>0</v>
      </c>
      <c r="FG99" s="587">
        <f t="shared" si="1125"/>
        <v>0</v>
      </c>
      <c r="FH99" s="587">
        <f t="shared" si="1126"/>
        <v>0</v>
      </c>
      <c r="FI99" s="587">
        <f t="shared" si="1127"/>
        <v>0</v>
      </c>
      <c r="FJ99" s="587">
        <f t="shared" si="1128"/>
        <v>0</v>
      </c>
      <c r="FK99" s="587">
        <f t="shared" si="1129"/>
        <v>0</v>
      </c>
      <c r="FL99" s="587">
        <f t="shared" si="1130"/>
        <v>0</v>
      </c>
      <c r="FM99" s="587">
        <f t="shared" si="1131"/>
        <v>0</v>
      </c>
      <c r="FN99" s="587">
        <f t="shared" si="1132"/>
        <v>0</v>
      </c>
      <c r="FO99" s="587">
        <f t="shared" si="1133"/>
        <v>0</v>
      </c>
      <c r="FP99" s="587">
        <f t="shared" si="1134"/>
        <v>0</v>
      </c>
      <c r="FQ99" s="587">
        <f t="shared" si="1135"/>
        <v>0</v>
      </c>
      <c r="FR99" s="587">
        <f t="shared" si="1136"/>
        <v>0</v>
      </c>
      <c r="FS99" s="587">
        <f t="shared" si="1137"/>
        <v>25</v>
      </c>
      <c r="FT99" s="587">
        <f t="shared" si="1138"/>
        <v>0</v>
      </c>
      <c r="FU99" s="587">
        <f t="shared" si="1139"/>
        <v>0</v>
      </c>
      <c r="FV99" s="587">
        <f t="shared" si="1140"/>
        <v>0</v>
      </c>
      <c r="FW99" s="587">
        <f t="shared" si="1141"/>
        <v>0</v>
      </c>
      <c r="FX99" s="587">
        <f t="shared" si="1142"/>
        <v>0</v>
      </c>
      <c r="FY99" s="587">
        <f t="shared" si="1143"/>
        <v>25</v>
      </c>
      <c r="FZ99" s="587">
        <f t="shared" si="1144"/>
        <v>25</v>
      </c>
      <c r="GA99" s="587">
        <f t="shared" si="1145"/>
        <v>25</v>
      </c>
      <c r="GB99" s="587">
        <f t="shared" si="1146"/>
        <v>0</v>
      </c>
      <c r="GC99" s="587">
        <f t="shared" si="1147"/>
        <v>0</v>
      </c>
      <c r="GD99" s="587">
        <f t="shared" si="1148"/>
        <v>25</v>
      </c>
      <c r="GE99" s="587">
        <f t="shared" si="1149"/>
        <v>0</v>
      </c>
      <c r="GF99" s="587">
        <f t="shared" si="1150"/>
        <v>25</v>
      </c>
      <c r="GG99" s="587">
        <f t="shared" si="1151"/>
        <v>0</v>
      </c>
      <c r="GH99" s="587">
        <f t="shared" si="1152"/>
        <v>0</v>
      </c>
      <c r="GI99" s="587">
        <f t="shared" si="1153"/>
        <v>0</v>
      </c>
      <c r="GJ99" s="587">
        <f t="shared" si="1154"/>
        <v>0</v>
      </c>
      <c r="GK99" s="587">
        <f t="shared" si="1155"/>
        <v>0</v>
      </c>
      <c r="GL99" s="587">
        <f t="shared" si="1156"/>
        <v>0</v>
      </c>
      <c r="GM99" s="587">
        <f t="shared" si="1157"/>
        <v>0</v>
      </c>
    </row>
    <row r="100" spans="1:195" ht="19.5" customHeight="1">
      <c r="A100" s="337">
        <f>A95+1</f>
        <v>71</v>
      </c>
      <c r="B100" s="444" t="s">
        <v>1183</v>
      </c>
      <c r="C100" s="372" t="str">
        <f t="shared" si="898"/>
        <v>PDB-2</v>
      </c>
      <c r="D100" s="444" t="s">
        <v>1184</v>
      </c>
      <c r="E100" s="440" t="s">
        <v>1185</v>
      </c>
      <c r="F100" s="337" t="s">
        <v>28</v>
      </c>
      <c r="G100" s="337" t="s">
        <v>329</v>
      </c>
      <c r="H100" s="917">
        <v>48.79</v>
      </c>
      <c r="I100" s="337" t="s">
        <v>330</v>
      </c>
      <c r="J100" s="337" t="s">
        <v>331</v>
      </c>
      <c r="K100" s="349">
        <v>400</v>
      </c>
      <c r="L100" s="343">
        <v>0.85</v>
      </c>
      <c r="M100" s="350">
        <v>0.95</v>
      </c>
      <c r="N100" s="342">
        <f t="shared" si="869"/>
        <v>87.212835784611656</v>
      </c>
      <c r="O100" s="342">
        <f t="shared" si="883"/>
        <v>0</v>
      </c>
      <c r="P100" s="343" t="str">
        <f t="shared" si="871"/>
        <v>0.00</v>
      </c>
      <c r="Q100" s="350">
        <v>65</v>
      </c>
      <c r="R100" s="350">
        <v>0</v>
      </c>
      <c r="S100" s="350">
        <f t="shared" si="872"/>
        <v>0</v>
      </c>
      <c r="T100" s="343" t="s">
        <v>332</v>
      </c>
      <c r="U100" s="917" t="s">
        <v>535</v>
      </c>
      <c r="V100" s="916">
        <v>120</v>
      </c>
      <c r="W100" s="343" t="str">
        <f t="shared" si="873"/>
        <v>3.5C X 120</v>
      </c>
      <c r="X100" s="343" t="str">
        <f t="shared" si="884"/>
        <v>3.5C X 120</v>
      </c>
      <c r="Y100" s="343" t="s">
        <v>358</v>
      </c>
      <c r="Z100" s="344">
        <f>IF(T100="AIR",VLOOKUP(W100,'Catalogue Aluminium'!$B$9:$G$93,2,FALSE),IF(T100="GROUND",VLOOKUP(W100,'Catalogue Aluminium'!$B$9:$G$93,3,FALSE),IF(T100="DUCT",VLOOKUP(W100,'Catalogue Aluminium'!$B$9:$G$93,4,FALSE),IF(T100="TRENCH",VLOOKUP(W100,'Catalogue Aluminium'!$B$9:$G$93,2,FALSE)))))</f>
        <v>257</v>
      </c>
      <c r="AA100" s="345">
        <f>VLOOKUP(W100,'Catalogue Aluminium'!$B$9:$G$93,5,FALSE)</f>
        <v>0.32400000000000001</v>
      </c>
      <c r="AB100" s="345">
        <f>VLOOKUP(W100,'Catalogue Aluminium'!$B$9:$G$93,6,FALSE)</f>
        <v>7.2599999999999998E-2</v>
      </c>
      <c r="AC100" s="343">
        <f t="shared" si="899"/>
        <v>17</v>
      </c>
      <c r="AD100" s="343">
        <f>12+58+20+52+2</f>
        <v>144</v>
      </c>
      <c r="AE100" s="343">
        <v>10</v>
      </c>
      <c r="AF100" s="343">
        <v>8</v>
      </c>
      <c r="AG100" s="343">
        <f t="shared" si="134"/>
        <v>18</v>
      </c>
      <c r="AH100" s="347">
        <f t="shared" si="885"/>
        <v>197</v>
      </c>
      <c r="AI100" s="344">
        <f>IF(T100="AIR",'Catalogue Aluminium'!$K$9,IF(T100="TRENCH",'Catalogue Aluminium'!$K$12,"NA"))</f>
        <v>0.89</v>
      </c>
      <c r="AJ100" s="342">
        <f>IF(T100="Air",(IF(U100="1C",'Catalogue Aluminium'!$L$9,'Catalogue Aluminium'!$M$9)),IF(T100="DUCT",(IF($U100="1C",'Catalogue Aluminium'!$L$10,'Catalogue Aluminium'!$M$10)),IF(T100="GROUND",(IF($U100="1C",'Catalogue Aluminium'!$L$11,'Catalogue Aluminium'!$M$11)),IF(T100="TRENCH",(IF($U100="1C",'Catalogue Aluminium'!$L$12,'Catalogue Aluminium'!$M$12))))))</f>
        <v>0.66</v>
      </c>
      <c r="AK100" s="344" t="str">
        <f>IF(T100="Air",'Catalogue Aluminium'!$N$9,IF(T100="GROUND",'Catalogue Aluminium'!$N$10,IF(T100="DUCT",'Catalogue Aluminium'!$N$11,IF(T100="TRENCH",'Catalogue Aluminium'!$N$12,"NA"))))</f>
        <v>NA</v>
      </c>
      <c r="AL100" s="344" t="str">
        <f>IF(T100="Air",(IF(U100="1C",'Catalogue Aluminium'!$O$9,'Catalogue Aluminium'!$P$9)),IF(T100="DUCT",(IF($U100="1C",'Catalogue Aluminium'!$O$10,'Catalogue Aluminium'!$P$10)),IF(T100="GROUND",(IF($U100="1C",'Catalogue Aluminium'!$O$11,'Catalogue Aluminium'!$P$11)),IF(T100="TRENCH",(IF($U100="1C",'Catalogue Aluminium'!$O$12,'Catalogue Aluminium'!$P$12))))))</f>
        <v>NA</v>
      </c>
      <c r="AM100" s="344" t="str">
        <f>IF(T100="AIR","NA",IF(T100="TRENCH","NA",IF(T100="DUCT",IF(U100="1C",VLOOKUP(V100,'Catalogue Aluminium'!$Q$9:$S$28,2,FALSE),VLOOKUP(V100,'Catalogue Aluminium'!$Q$9:$S$28,3)),IF(T100="GROUND",IF(U100="1C",VLOOKUP(V100,'Catalogue Aluminium'!$Q$9:$S$28,2,FALSE),VLOOKUP(V100,'Catalogue Aluminium'!$Q$9:$S$28,3))))))</f>
        <v>NA</v>
      </c>
      <c r="AN100" s="351">
        <f t="shared" si="886"/>
        <v>0.58740000000000003</v>
      </c>
      <c r="AO100" s="350">
        <f t="shared" si="887"/>
        <v>150.96180000000001</v>
      </c>
      <c r="AP100" s="349">
        <f t="shared" si="888"/>
        <v>1</v>
      </c>
      <c r="AQ100" s="350" t="str">
        <f t="shared" si="889"/>
        <v>YES</v>
      </c>
      <c r="AR100" s="351">
        <f t="shared" si="136"/>
        <v>2.3333766097366175</v>
      </c>
      <c r="AS100" s="343" t="str">
        <f t="shared" si="137"/>
        <v>YES</v>
      </c>
      <c r="AT100" s="351" t="str">
        <f t="shared" si="890"/>
        <v>NA</v>
      </c>
      <c r="AU100" s="343" t="str">
        <f t="shared" si="891"/>
        <v>NA</v>
      </c>
      <c r="AV100" s="354" t="str">
        <f t="shared" si="892"/>
        <v>1R x 0.6/1kV x 3.5C x 120 Sqmm</v>
      </c>
      <c r="AW100" s="354" t="str">
        <f t="shared" si="893"/>
        <v>1R x 0.6/1kV x 3.5C x 120 Sqmm</v>
      </c>
      <c r="AX100" s="343">
        <f t="shared" si="894"/>
        <v>197</v>
      </c>
      <c r="AY100" s="355"/>
      <c r="AZ100" s="355">
        <f t="shared" si="895"/>
        <v>2</v>
      </c>
      <c r="BA100" s="356" t="str">
        <f t="shared" si="896"/>
        <v>Q3RR1R2SS1S1.A</v>
      </c>
      <c r="BB100" s="501">
        <f>VLOOKUP(W100,'Catalogue Aluminium'!$B$9:$H$93,7,FALSE)</f>
        <v>43</v>
      </c>
      <c r="BC100" s="328">
        <f t="shared" si="897"/>
        <v>43</v>
      </c>
      <c r="BE100" s="336"/>
      <c r="BF100" s="336"/>
      <c r="BG100" s="336"/>
      <c r="BH100" s="336"/>
      <c r="BI100" s="336"/>
      <c r="BJ100" s="336"/>
      <c r="BK100" s="336"/>
      <c r="BL100" s="336"/>
      <c r="BM100" s="336"/>
      <c r="BN100" s="336"/>
      <c r="BO100" s="336"/>
      <c r="BP100" s="336"/>
      <c r="BQ100" s="336"/>
      <c r="BR100" s="336"/>
      <c r="BS100" s="336"/>
      <c r="BT100" s="336"/>
      <c r="BU100" s="336"/>
      <c r="BV100" s="336"/>
      <c r="BW100" s="336"/>
      <c r="BX100" s="336"/>
      <c r="BY100" s="336"/>
      <c r="BZ100" s="336"/>
      <c r="CA100" s="336"/>
      <c r="CB100" s="336"/>
      <c r="CC100" s="336"/>
      <c r="CD100" s="336"/>
      <c r="CE100" s="336"/>
      <c r="CF100" s="336"/>
      <c r="CG100" s="336"/>
      <c r="CH100" s="336"/>
      <c r="CI100" s="336"/>
      <c r="CJ100" s="336"/>
      <c r="CK100" s="336"/>
      <c r="CL100" s="336"/>
      <c r="CM100" s="336"/>
      <c r="CN100" s="336"/>
      <c r="CO100" s="336"/>
      <c r="CP100" s="336"/>
      <c r="CQ100" s="336"/>
      <c r="CR100" s="336"/>
      <c r="CS100" s="336"/>
      <c r="CT100" s="336"/>
      <c r="CU100" s="336"/>
      <c r="CV100" s="336"/>
      <c r="CW100" s="336"/>
      <c r="CX100" s="336"/>
      <c r="CY100" s="336"/>
      <c r="CZ100" s="336"/>
      <c r="DA100" s="336">
        <v>1</v>
      </c>
      <c r="DB100" s="336"/>
      <c r="DC100" s="336"/>
      <c r="DD100" s="336"/>
      <c r="DE100" s="336"/>
      <c r="DF100" s="336"/>
      <c r="DG100" s="336">
        <v>1</v>
      </c>
      <c r="DH100" s="336">
        <v>1</v>
      </c>
      <c r="DI100" s="336">
        <v>1</v>
      </c>
      <c r="DJ100" s="336"/>
      <c r="DK100" s="336"/>
      <c r="DL100" s="336">
        <v>1</v>
      </c>
      <c r="DM100" s="336"/>
      <c r="DN100" s="336"/>
      <c r="DO100" s="336">
        <v>1</v>
      </c>
      <c r="DP100" s="336">
        <v>1</v>
      </c>
      <c r="DQ100" s="336"/>
      <c r="DR100" s="336"/>
      <c r="DS100" s="336"/>
      <c r="DT100" s="336"/>
      <c r="DU100" s="336"/>
      <c r="DW100" s="336">
        <f t="shared" si="1022"/>
        <v>0</v>
      </c>
      <c r="DX100" s="336">
        <f t="shared" si="900"/>
        <v>0</v>
      </c>
      <c r="DY100" s="336">
        <f t="shared" si="901"/>
        <v>0</v>
      </c>
      <c r="DZ100" s="336">
        <f t="shared" si="902"/>
        <v>0</v>
      </c>
      <c r="EA100" s="336">
        <f t="shared" si="903"/>
        <v>0</v>
      </c>
      <c r="EB100" s="336">
        <f t="shared" si="904"/>
        <v>0</v>
      </c>
      <c r="EC100" s="336">
        <f t="shared" si="905"/>
        <v>0</v>
      </c>
      <c r="ED100" s="336">
        <f t="shared" si="906"/>
        <v>0</v>
      </c>
      <c r="EE100" s="336">
        <f t="shared" si="907"/>
        <v>0</v>
      </c>
      <c r="EF100" s="336">
        <f t="shared" si="908"/>
        <v>0</v>
      </c>
      <c r="EG100" s="336">
        <f t="shared" si="909"/>
        <v>0</v>
      </c>
      <c r="EH100" s="336">
        <f t="shared" si="910"/>
        <v>0</v>
      </c>
      <c r="EI100" s="336">
        <f t="shared" si="911"/>
        <v>0</v>
      </c>
      <c r="EJ100" s="336">
        <f t="shared" si="912"/>
        <v>0</v>
      </c>
      <c r="EK100" s="336">
        <f t="shared" si="913"/>
        <v>0</v>
      </c>
      <c r="EL100" s="336">
        <f t="shared" si="914"/>
        <v>0</v>
      </c>
      <c r="EM100" s="336">
        <f t="shared" si="915"/>
        <v>0</v>
      </c>
      <c r="EN100" s="336">
        <f t="shared" si="916"/>
        <v>0</v>
      </c>
      <c r="EO100" s="336">
        <f t="shared" si="917"/>
        <v>0</v>
      </c>
      <c r="EP100" s="336">
        <f t="shared" si="918"/>
        <v>0</v>
      </c>
      <c r="EQ100" s="336">
        <f t="shared" si="919"/>
        <v>0</v>
      </c>
      <c r="ER100" s="336">
        <f t="shared" si="920"/>
        <v>0</v>
      </c>
      <c r="ES100" s="336">
        <f t="shared" si="921"/>
        <v>0</v>
      </c>
      <c r="ET100" s="336">
        <f t="shared" si="921"/>
        <v>0</v>
      </c>
      <c r="EU100" s="336">
        <f t="shared" si="922"/>
        <v>0</v>
      </c>
      <c r="EV100" s="336">
        <f t="shared" si="923"/>
        <v>0</v>
      </c>
      <c r="EW100" s="336">
        <f t="shared" si="924"/>
        <v>0</v>
      </c>
      <c r="EX100" s="336">
        <f t="shared" si="925"/>
        <v>0</v>
      </c>
      <c r="EY100" s="336">
        <f t="shared" si="926"/>
        <v>0</v>
      </c>
      <c r="EZ100" s="336">
        <f t="shared" si="927"/>
        <v>0</v>
      </c>
      <c r="FA100" s="336">
        <f t="shared" si="928"/>
        <v>0</v>
      </c>
      <c r="FB100" s="336">
        <f t="shared" si="929"/>
        <v>0</v>
      </c>
      <c r="FC100" s="336">
        <f t="shared" si="930"/>
        <v>0</v>
      </c>
      <c r="FD100" s="336">
        <f t="shared" si="931"/>
        <v>0</v>
      </c>
      <c r="FE100" s="336">
        <f t="shared" si="932"/>
        <v>0</v>
      </c>
      <c r="FF100" s="336">
        <f t="shared" si="933"/>
        <v>0</v>
      </c>
      <c r="FG100" s="336">
        <f t="shared" si="934"/>
        <v>0</v>
      </c>
      <c r="FH100" s="336">
        <f t="shared" si="935"/>
        <v>0</v>
      </c>
      <c r="FI100" s="336">
        <f t="shared" si="936"/>
        <v>0</v>
      </c>
      <c r="FJ100" s="336">
        <f t="shared" si="937"/>
        <v>0</v>
      </c>
      <c r="FK100" s="336">
        <f t="shared" si="938"/>
        <v>0</v>
      </c>
      <c r="FL100" s="336">
        <f t="shared" si="939"/>
        <v>0</v>
      </c>
      <c r="FM100" s="336">
        <f t="shared" si="940"/>
        <v>0</v>
      </c>
      <c r="FN100" s="336">
        <f t="shared" si="941"/>
        <v>0</v>
      </c>
      <c r="FO100" s="336">
        <f t="shared" si="942"/>
        <v>0</v>
      </c>
      <c r="FP100" s="336">
        <f t="shared" si="943"/>
        <v>0</v>
      </c>
      <c r="FQ100" s="336">
        <f t="shared" si="944"/>
        <v>0</v>
      </c>
      <c r="FR100" s="336">
        <f t="shared" si="945"/>
        <v>0</v>
      </c>
      <c r="FS100" s="336">
        <f t="shared" si="946"/>
        <v>43</v>
      </c>
      <c r="FT100" s="336">
        <f t="shared" si="947"/>
        <v>0</v>
      </c>
      <c r="FU100" s="336">
        <f t="shared" si="553"/>
        <v>0</v>
      </c>
      <c r="FV100" s="336">
        <f t="shared" si="554"/>
        <v>0</v>
      </c>
      <c r="FW100" s="336">
        <f t="shared" si="555"/>
        <v>0</v>
      </c>
      <c r="FX100" s="336">
        <f t="shared" si="556"/>
        <v>0</v>
      </c>
      <c r="FY100" s="336">
        <f t="shared" si="948"/>
        <v>43</v>
      </c>
      <c r="FZ100" s="336">
        <f t="shared" si="949"/>
        <v>43</v>
      </c>
      <c r="GA100" s="336">
        <f t="shared" si="950"/>
        <v>43</v>
      </c>
      <c r="GB100" s="336">
        <f t="shared" si="951"/>
        <v>0</v>
      </c>
      <c r="GC100" s="336">
        <f t="shared" si="952"/>
        <v>0</v>
      </c>
      <c r="GD100" s="336">
        <f t="shared" si="953"/>
        <v>43</v>
      </c>
      <c r="GE100" s="336">
        <f t="shared" si="954"/>
        <v>0</v>
      </c>
      <c r="GF100" s="336">
        <f t="shared" si="955"/>
        <v>0</v>
      </c>
      <c r="GG100" s="336">
        <f t="shared" si="956"/>
        <v>43</v>
      </c>
      <c r="GH100" s="336">
        <f t="shared" si="957"/>
        <v>43</v>
      </c>
      <c r="GI100" s="336">
        <f t="shared" si="958"/>
        <v>0</v>
      </c>
      <c r="GJ100" s="336">
        <f t="shared" si="959"/>
        <v>0</v>
      </c>
      <c r="GK100" s="336">
        <f t="shared" si="960"/>
        <v>0</v>
      </c>
      <c r="GL100" s="336">
        <f t="shared" si="557"/>
        <v>0</v>
      </c>
      <c r="GM100" s="336">
        <f t="shared" si="961"/>
        <v>0</v>
      </c>
    </row>
    <row r="101" spans="1:195" ht="20.100000000000001" customHeight="1">
      <c r="A101" s="337">
        <f t="shared" si="962"/>
        <v>72</v>
      </c>
      <c r="B101" s="444" t="s">
        <v>1186</v>
      </c>
      <c r="C101" s="372" t="str">
        <f t="shared" si="898"/>
        <v>PDB-2</v>
      </c>
      <c r="D101" s="444" t="s">
        <v>1187</v>
      </c>
      <c r="E101" s="567" t="s">
        <v>1188</v>
      </c>
      <c r="F101" s="343" t="s">
        <v>29</v>
      </c>
      <c r="G101" s="337" t="s">
        <v>329</v>
      </c>
      <c r="H101" s="917">
        <v>25.92</v>
      </c>
      <c r="I101" s="337" t="s">
        <v>330</v>
      </c>
      <c r="J101" s="337" t="s">
        <v>331</v>
      </c>
      <c r="K101" s="349">
        <v>400</v>
      </c>
      <c r="L101" s="343">
        <v>0.85</v>
      </c>
      <c r="M101" s="350">
        <v>0.95</v>
      </c>
      <c r="N101" s="342">
        <f t="shared" si="869"/>
        <v>46.332377608877522</v>
      </c>
      <c r="O101" s="342">
        <f t="shared" si="883"/>
        <v>0</v>
      </c>
      <c r="P101" s="343" t="str">
        <f t="shared" si="871"/>
        <v>0.00</v>
      </c>
      <c r="Q101" s="350">
        <v>65</v>
      </c>
      <c r="R101" s="350">
        <v>0</v>
      </c>
      <c r="S101" s="350">
        <f t="shared" si="872"/>
        <v>0</v>
      </c>
      <c r="T101" s="343" t="s">
        <v>332</v>
      </c>
      <c r="U101" s="917" t="s">
        <v>535</v>
      </c>
      <c r="V101" s="916">
        <v>95</v>
      </c>
      <c r="W101" s="343" t="str">
        <f t="shared" si="873"/>
        <v>3.5C X 95</v>
      </c>
      <c r="X101" s="343" t="str">
        <f t="shared" si="884"/>
        <v>3.5C X 95</v>
      </c>
      <c r="Y101" s="343" t="s">
        <v>358</v>
      </c>
      <c r="Z101" s="344">
        <f>IF(T101="AIR",VLOOKUP(W101,'Catalogue Aluminium'!$B$9:$G$93,2,FALSE),IF(T101="GROUND",VLOOKUP(W101,'Catalogue Aluminium'!$B$9:$G$93,3,FALSE),IF(T101="DUCT",VLOOKUP(W101,'Catalogue Aluminium'!$B$9:$G$93,4,FALSE),IF(T101="TRENCH",VLOOKUP(W101,'Catalogue Aluminium'!$B$9:$G$93,2,FALSE)))))</f>
        <v>221</v>
      </c>
      <c r="AA101" s="345">
        <f>VLOOKUP(W101,'Catalogue Aluminium'!$B$9:$G$93,5,FALSE)</f>
        <v>0.41</v>
      </c>
      <c r="AB101" s="345">
        <f>VLOOKUP(W101,'Catalogue Aluminium'!$B$9:$G$93,6,FALSE)</f>
        <v>7.3400000000000007E-2</v>
      </c>
      <c r="AC101" s="343">
        <f t="shared" si="899"/>
        <v>17</v>
      </c>
      <c r="AD101" s="343">
        <f>12+58+20+54+41+2</f>
        <v>187</v>
      </c>
      <c r="AE101" s="343">
        <v>10</v>
      </c>
      <c r="AF101" s="343">
        <v>8</v>
      </c>
      <c r="AG101" s="343">
        <f t="shared" si="134"/>
        <v>23</v>
      </c>
      <c r="AH101" s="347">
        <f t="shared" si="885"/>
        <v>245</v>
      </c>
      <c r="AI101" s="344">
        <f>IF(T101="AIR",'Catalogue Aluminium'!$K$9,IF(T101="TRENCH",'Catalogue Aluminium'!$K$12,"NA"))</f>
        <v>0.89</v>
      </c>
      <c r="AJ101" s="342">
        <f>IF(T101="Air",(IF(U101="1C",'Catalogue Aluminium'!$L$9,'Catalogue Aluminium'!$M$9)),IF(T101="DUCT",(IF($U101="1C",'Catalogue Aluminium'!$L$10,'Catalogue Aluminium'!$M$10)),IF(T101="GROUND",(IF($U101="1C",'Catalogue Aluminium'!$L$11,'Catalogue Aluminium'!$M$11)),IF(T101="TRENCH",(IF($U101="1C",'Catalogue Aluminium'!$L$12,'Catalogue Aluminium'!$M$12))))))</f>
        <v>0.66</v>
      </c>
      <c r="AK101" s="344" t="str">
        <f>IF(T101="Air",'Catalogue Aluminium'!$N$9,IF(T101="GROUND",'Catalogue Aluminium'!$N$10,IF(T101="DUCT",'Catalogue Aluminium'!$N$11,IF(T101="TRENCH",'Catalogue Aluminium'!$N$12,"NA"))))</f>
        <v>NA</v>
      </c>
      <c r="AL101" s="344" t="str">
        <f>IF(T101="Air",(IF(U101="1C",'Catalogue Aluminium'!$O$9,'Catalogue Aluminium'!$P$9)),IF(T101="DUCT",(IF($U101="1C",'Catalogue Aluminium'!$O$10,'Catalogue Aluminium'!$P$10)),IF(T101="GROUND",(IF($U101="1C",'Catalogue Aluminium'!$O$11,'Catalogue Aluminium'!$P$11)),IF(T101="TRENCH",(IF($U101="1C",'Catalogue Aluminium'!$O$12,'Catalogue Aluminium'!$P$12))))))</f>
        <v>NA</v>
      </c>
      <c r="AM101" s="344" t="str">
        <f>IF(T101="AIR","NA",IF(T101="TRENCH","NA",IF(T101="DUCT",IF(U101="1C",VLOOKUP(V101,'Catalogue Aluminium'!$Q$9:$S$28,2,FALSE),VLOOKUP(V101,'Catalogue Aluminium'!$Q$9:$S$28,3)),IF(T101="GROUND",IF(U101="1C",VLOOKUP(V101,'Catalogue Aluminium'!$Q$9:$S$28,2,FALSE),VLOOKUP(V101,'Catalogue Aluminium'!$Q$9:$S$28,3))))))</f>
        <v>NA</v>
      </c>
      <c r="AN101" s="351">
        <f t="shared" si="886"/>
        <v>0.58740000000000003</v>
      </c>
      <c r="AO101" s="350">
        <f t="shared" si="887"/>
        <v>129.81540000000001</v>
      </c>
      <c r="AP101" s="349">
        <f t="shared" si="888"/>
        <v>1</v>
      </c>
      <c r="AQ101" s="350" t="str">
        <f t="shared" si="889"/>
        <v>YES</v>
      </c>
      <c r="AR101" s="351">
        <f t="shared" si="136"/>
        <v>1.9030418986311659</v>
      </c>
      <c r="AS101" s="343" t="str">
        <f t="shared" si="137"/>
        <v>YES</v>
      </c>
      <c r="AT101" s="351" t="str">
        <f t="shared" si="890"/>
        <v>NA</v>
      </c>
      <c r="AU101" s="343" t="str">
        <f t="shared" si="891"/>
        <v>NA</v>
      </c>
      <c r="AV101" s="354" t="str">
        <f t="shared" si="892"/>
        <v>1R x 0.6/1kV x 3.5C x 95 Sqmm</v>
      </c>
      <c r="AW101" s="354" t="str">
        <f t="shared" si="893"/>
        <v>1R x 0.6/1kV x 3.5C x 95 Sqmm</v>
      </c>
      <c r="AX101" s="343">
        <f t="shared" si="894"/>
        <v>245</v>
      </c>
      <c r="AY101" s="355"/>
      <c r="AZ101" s="355">
        <f t="shared" si="895"/>
        <v>2</v>
      </c>
      <c r="BA101" s="356" t="str">
        <f t="shared" si="896"/>
        <v>Q3RR1R2SS1TTA</v>
      </c>
      <c r="BB101" s="501">
        <f>VLOOKUP(W101,'Catalogue Aluminium'!$B$9:$H$93,7,FALSE)</f>
        <v>39</v>
      </c>
      <c r="BC101" s="328">
        <f t="shared" si="897"/>
        <v>39</v>
      </c>
      <c r="BE101" s="336"/>
      <c r="BF101" s="336"/>
      <c r="BG101" s="336"/>
      <c r="BH101" s="336"/>
      <c r="BI101" s="336"/>
      <c r="BJ101" s="336"/>
      <c r="BK101" s="336"/>
      <c r="BL101" s="336"/>
      <c r="BM101" s="336"/>
      <c r="BN101" s="336"/>
      <c r="BO101" s="336"/>
      <c r="BP101" s="336"/>
      <c r="BQ101" s="336"/>
      <c r="BR101" s="336"/>
      <c r="BS101" s="336"/>
      <c r="BT101" s="336"/>
      <c r="BU101" s="336"/>
      <c r="BV101" s="336"/>
      <c r="BW101" s="336"/>
      <c r="BX101" s="336"/>
      <c r="BY101" s="336"/>
      <c r="BZ101" s="336"/>
      <c r="CA101" s="336"/>
      <c r="CB101" s="336"/>
      <c r="CC101" s="336"/>
      <c r="CD101" s="336"/>
      <c r="CE101" s="336"/>
      <c r="CF101" s="336"/>
      <c r="CG101" s="336"/>
      <c r="CH101" s="336"/>
      <c r="CI101" s="336"/>
      <c r="CJ101" s="336"/>
      <c r="CK101" s="336"/>
      <c r="CL101" s="336"/>
      <c r="CM101" s="336"/>
      <c r="CN101" s="336"/>
      <c r="CO101" s="336"/>
      <c r="CP101" s="336"/>
      <c r="CQ101" s="336"/>
      <c r="CR101" s="336"/>
      <c r="CS101" s="336"/>
      <c r="CT101" s="336"/>
      <c r="CU101" s="336"/>
      <c r="CV101" s="336"/>
      <c r="CW101" s="336"/>
      <c r="CX101" s="336"/>
      <c r="CY101" s="336"/>
      <c r="CZ101" s="336"/>
      <c r="DA101" s="336">
        <v>1</v>
      </c>
      <c r="DB101" s="336"/>
      <c r="DC101" s="336"/>
      <c r="DD101" s="336"/>
      <c r="DE101" s="336"/>
      <c r="DF101" s="336"/>
      <c r="DG101" s="336">
        <v>1</v>
      </c>
      <c r="DH101" s="336">
        <v>1</v>
      </c>
      <c r="DI101" s="336">
        <v>1</v>
      </c>
      <c r="DJ101" s="336"/>
      <c r="DK101" s="336"/>
      <c r="DL101" s="336">
        <v>1</v>
      </c>
      <c r="DM101" s="336"/>
      <c r="DN101" s="336"/>
      <c r="DO101" s="336">
        <v>1</v>
      </c>
      <c r="DP101" s="336"/>
      <c r="DQ101" s="336">
        <v>1</v>
      </c>
      <c r="DR101" s="336"/>
      <c r="DS101" s="336">
        <v>1</v>
      </c>
      <c r="DT101" s="336"/>
      <c r="DU101" s="336"/>
      <c r="DW101" s="336">
        <f t="shared" si="1022"/>
        <v>0</v>
      </c>
      <c r="DX101" s="336">
        <f t="shared" si="900"/>
        <v>0</v>
      </c>
      <c r="DY101" s="336">
        <f t="shared" si="901"/>
        <v>0</v>
      </c>
      <c r="DZ101" s="336">
        <f t="shared" si="902"/>
        <v>0</v>
      </c>
      <c r="EA101" s="336">
        <f t="shared" si="903"/>
        <v>0</v>
      </c>
      <c r="EB101" s="336">
        <f t="shared" si="904"/>
        <v>0</v>
      </c>
      <c r="EC101" s="336">
        <f t="shared" si="905"/>
        <v>0</v>
      </c>
      <c r="ED101" s="336">
        <f t="shared" si="906"/>
        <v>0</v>
      </c>
      <c r="EE101" s="336">
        <f t="shared" si="907"/>
        <v>0</v>
      </c>
      <c r="EF101" s="336">
        <f t="shared" si="908"/>
        <v>0</v>
      </c>
      <c r="EG101" s="336">
        <f t="shared" si="909"/>
        <v>0</v>
      </c>
      <c r="EH101" s="336">
        <f t="shared" si="910"/>
        <v>0</v>
      </c>
      <c r="EI101" s="336">
        <f t="shared" si="911"/>
        <v>0</v>
      </c>
      <c r="EJ101" s="336">
        <f t="shared" si="912"/>
        <v>0</v>
      </c>
      <c r="EK101" s="336">
        <f t="shared" si="913"/>
        <v>0</v>
      </c>
      <c r="EL101" s="336">
        <f t="shared" si="914"/>
        <v>0</v>
      </c>
      <c r="EM101" s="336">
        <f t="shared" si="915"/>
        <v>0</v>
      </c>
      <c r="EN101" s="336">
        <f t="shared" si="916"/>
        <v>0</v>
      </c>
      <c r="EO101" s="336">
        <f t="shared" si="917"/>
        <v>0</v>
      </c>
      <c r="EP101" s="336">
        <f t="shared" si="918"/>
        <v>0</v>
      </c>
      <c r="EQ101" s="336">
        <f t="shared" si="919"/>
        <v>0</v>
      </c>
      <c r="ER101" s="336">
        <f t="shared" si="920"/>
        <v>0</v>
      </c>
      <c r="ES101" s="336">
        <f t="shared" si="921"/>
        <v>0</v>
      </c>
      <c r="ET101" s="336">
        <f t="shared" si="921"/>
        <v>0</v>
      </c>
      <c r="EU101" s="336">
        <f t="shared" si="922"/>
        <v>0</v>
      </c>
      <c r="EV101" s="336">
        <f t="shared" si="923"/>
        <v>0</v>
      </c>
      <c r="EW101" s="336">
        <f t="shared" si="924"/>
        <v>0</v>
      </c>
      <c r="EX101" s="336">
        <f t="shared" si="925"/>
        <v>0</v>
      </c>
      <c r="EY101" s="336">
        <f t="shared" si="926"/>
        <v>0</v>
      </c>
      <c r="EZ101" s="336">
        <f t="shared" si="927"/>
        <v>0</v>
      </c>
      <c r="FA101" s="336">
        <f t="shared" si="928"/>
        <v>0</v>
      </c>
      <c r="FB101" s="336">
        <f t="shared" si="929"/>
        <v>0</v>
      </c>
      <c r="FC101" s="336">
        <f t="shared" si="930"/>
        <v>0</v>
      </c>
      <c r="FD101" s="336">
        <f t="shared" si="931"/>
        <v>0</v>
      </c>
      <c r="FE101" s="336">
        <f t="shared" si="932"/>
        <v>0</v>
      </c>
      <c r="FF101" s="336">
        <f t="shared" si="933"/>
        <v>0</v>
      </c>
      <c r="FG101" s="336">
        <f t="shared" si="934"/>
        <v>0</v>
      </c>
      <c r="FH101" s="336">
        <f t="shared" si="935"/>
        <v>0</v>
      </c>
      <c r="FI101" s="336">
        <f t="shared" si="936"/>
        <v>0</v>
      </c>
      <c r="FJ101" s="336">
        <f t="shared" si="937"/>
        <v>0</v>
      </c>
      <c r="FK101" s="336">
        <f t="shared" si="938"/>
        <v>0</v>
      </c>
      <c r="FL101" s="336">
        <f t="shared" si="939"/>
        <v>0</v>
      </c>
      <c r="FM101" s="336">
        <f t="shared" si="940"/>
        <v>0</v>
      </c>
      <c r="FN101" s="336">
        <f t="shared" si="941"/>
        <v>0</v>
      </c>
      <c r="FO101" s="336">
        <f t="shared" si="942"/>
        <v>0</v>
      </c>
      <c r="FP101" s="336">
        <f t="shared" si="943"/>
        <v>0</v>
      </c>
      <c r="FQ101" s="336">
        <f t="shared" si="944"/>
        <v>0</v>
      </c>
      <c r="FR101" s="336">
        <f t="shared" si="945"/>
        <v>0</v>
      </c>
      <c r="FS101" s="336">
        <f t="shared" si="946"/>
        <v>39</v>
      </c>
      <c r="FT101" s="336">
        <f t="shared" si="947"/>
        <v>0</v>
      </c>
      <c r="FU101" s="336">
        <f t="shared" si="553"/>
        <v>0</v>
      </c>
      <c r="FV101" s="336">
        <f t="shared" si="554"/>
        <v>0</v>
      </c>
      <c r="FW101" s="336">
        <f t="shared" si="555"/>
        <v>0</v>
      </c>
      <c r="FX101" s="336">
        <f t="shared" si="556"/>
        <v>0</v>
      </c>
      <c r="FY101" s="336">
        <f t="shared" si="948"/>
        <v>39</v>
      </c>
      <c r="FZ101" s="336">
        <f t="shared" si="949"/>
        <v>39</v>
      </c>
      <c r="GA101" s="336">
        <f t="shared" si="950"/>
        <v>39</v>
      </c>
      <c r="GB101" s="336">
        <f t="shared" si="951"/>
        <v>0</v>
      </c>
      <c r="GC101" s="336">
        <f t="shared" si="952"/>
        <v>0</v>
      </c>
      <c r="GD101" s="336">
        <f t="shared" si="953"/>
        <v>39</v>
      </c>
      <c r="GE101" s="336">
        <f t="shared" si="954"/>
        <v>0</v>
      </c>
      <c r="GF101" s="336">
        <f t="shared" si="955"/>
        <v>0</v>
      </c>
      <c r="GG101" s="336">
        <f t="shared" si="956"/>
        <v>39</v>
      </c>
      <c r="GH101" s="336">
        <f t="shared" si="957"/>
        <v>0</v>
      </c>
      <c r="GI101" s="336">
        <f t="shared" si="958"/>
        <v>39</v>
      </c>
      <c r="GJ101" s="336">
        <f t="shared" si="959"/>
        <v>0</v>
      </c>
      <c r="GK101" s="336">
        <f t="shared" si="960"/>
        <v>39</v>
      </c>
      <c r="GL101" s="336">
        <f t="shared" si="557"/>
        <v>0</v>
      </c>
      <c r="GM101" s="336">
        <f t="shared" si="961"/>
        <v>0</v>
      </c>
    </row>
    <row r="102" spans="1:195" ht="20.100000000000001" customHeight="1">
      <c r="A102" s="337">
        <f t="shared" si="962"/>
        <v>73</v>
      </c>
      <c r="B102" s="444" t="s">
        <v>1189</v>
      </c>
      <c r="C102" s="372" t="str">
        <f t="shared" si="898"/>
        <v>PDB-2</v>
      </c>
      <c r="D102" s="444" t="s">
        <v>1190</v>
      </c>
      <c r="E102" s="567" t="s">
        <v>1191</v>
      </c>
      <c r="F102" s="343" t="s">
        <v>28</v>
      </c>
      <c r="G102" s="337" t="s">
        <v>329</v>
      </c>
      <c r="H102" s="917">
        <v>28.99</v>
      </c>
      <c r="I102" s="337" t="s">
        <v>330</v>
      </c>
      <c r="J102" s="337" t="s">
        <v>331</v>
      </c>
      <c r="K102" s="349">
        <v>400</v>
      </c>
      <c r="L102" s="343">
        <v>0.85</v>
      </c>
      <c r="M102" s="350">
        <v>0.95</v>
      </c>
      <c r="N102" s="342">
        <f t="shared" si="869"/>
        <v>51.820047333385773</v>
      </c>
      <c r="O102" s="342">
        <f t="shared" si="883"/>
        <v>0</v>
      </c>
      <c r="P102" s="343" t="str">
        <f t="shared" si="871"/>
        <v>0.00</v>
      </c>
      <c r="Q102" s="350">
        <v>65</v>
      </c>
      <c r="R102" s="350">
        <v>0</v>
      </c>
      <c r="S102" s="350">
        <f t="shared" si="872"/>
        <v>0</v>
      </c>
      <c r="T102" s="343" t="s">
        <v>332</v>
      </c>
      <c r="U102" s="350" t="s">
        <v>535</v>
      </c>
      <c r="V102" s="343">
        <v>95</v>
      </c>
      <c r="W102" s="343" t="str">
        <f t="shared" si="873"/>
        <v>3.5C X 95</v>
      </c>
      <c r="X102" s="343" t="str">
        <f t="shared" si="884"/>
        <v>3.5C X 95</v>
      </c>
      <c r="Y102" s="343" t="s">
        <v>358</v>
      </c>
      <c r="Z102" s="344">
        <f>IF(T102="AIR",VLOOKUP(W102,'Catalogue Aluminium'!$B$9:$G$93,2,FALSE),IF(T102="GROUND",VLOOKUP(W102,'Catalogue Aluminium'!$B$9:$G$93,3,FALSE),IF(T102="DUCT",VLOOKUP(W102,'Catalogue Aluminium'!$B$9:$G$93,4,FALSE),IF(T102="TRENCH",VLOOKUP(W102,'Catalogue Aluminium'!$B$9:$G$93,2,FALSE)))))</f>
        <v>221</v>
      </c>
      <c r="AA102" s="345">
        <f>VLOOKUP(W102,'Catalogue Aluminium'!$B$9:$G$93,5,FALSE)</f>
        <v>0.41</v>
      </c>
      <c r="AB102" s="345">
        <f>VLOOKUP(W102,'Catalogue Aluminium'!$B$9:$G$93,6,FALSE)</f>
        <v>7.3400000000000007E-2</v>
      </c>
      <c r="AC102" s="343">
        <f t="shared" si="899"/>
        <v>17</v>
      </c>
      <c r="AD102" s="343">
        <f>12+58+20+54+35+2</f>
        <v>181</v>
      </c>
      <c r="AE102" s="343">
        <v>10</v>
      </c>
      <c r="AF102" s="343">
        <v>8</v>
      </c>
      <c r="AG102" s="343">
        <f t="shared" si="134"/>
        <v>22</v>
      </c>
      <c r="AH102" s="347">
        <f t="shared" si="885"/>
        <v>238</v>
      </c>
      <c r="AI102" s="344">
        <f>IF(T102="AIR",'Catalogue Aluminium'!$K$9,IF(T102="TRENCH",'Catalogue Aluminium'!$K$12,"NA"))</f>
        <v>0.89</v>
      </c>
      <c r="AJ102" s="342">
        <f>IF(T102="Air",(IF(U102="1C",'Catalogue Aluminium'!$L$9,'Catalogue Aluminium'!$M$9)),IF(T102="DUCT",(IF($U102="1C",'Catalogue Aluminium'!$L$10,'Catalogue Aluminium'!$M$10)),IF(T102="GROUND",(IF($U102="1C",'Catalogue Aluminium'!$L$11,'Catalogue Aluminium'!$M$11)),IF(T102="TRENCH",(IF($U102="1C",'Catalogue Aluminium'!$L$12,'Catalogue Aluminium'!$M$12))))))</f>
        <v>0.66</v>
      </c>
      <c r="AK102" s="344" t="str">
        <f>IF(T102="Air",'Catalogue Aluminium'!$N$9,IF(T102="GROUND",'Catalogue Aluminium'!$N$10,IF(T102="DUCT",'Catalogue Aluminium'!$N$11,IF(T102="TRENCH",'Catalogue Aluminium'!$N$12,"NA"))))</f>
        <v>NA</v>
      </c>
      <c r="AL102" s="344" t="str">
        <f>IF(T102="Air",(IF(U102="1C",'Catalogue Aluminium'!$O$9,'Catalogue Aluminium'!$P$9)),IF(T102="DUCT",(IF($U102="1C",'Catalogue Aluminium'!$O$10,'Catalogue Aluminium'!$P$10)),IF(T102="GROUND",(IF($U102="1C",'Catalogue Aluminium'!$O$11,'Catalogue Aluminium'!$P$11)),IF(T102="TRENCH",(IF($U102="1C",'Catalogue Aluminium'!$O$12,'Catalogue Aluminium'!$P$12))))))</f>
        <v>NA</v>
      </c>
      <c r="AM102" s="344" t="str">
        <f>IF(T102="AIR","NA",IF(T102="TRENCH","NA",IF(T102="DUCT",IF(U102="1C",VLOOKUP(V102,'Catalogue Aluminium'!$Q$9:$S$28,2,FALSE),VLOOKUP(V102,'Catalogue Aluminium'!$Q$9:$S$28,3)),IF(T102="GROUND",IF(U102="1C",VLOOKUP(V102,'Catalogue Aluminium'!$Q$9:$S$28,2,FALSE),VLOOKUP(V102,'Catalogue Aluminium'!$Q$9:$S$28,3))))))</f>
        <v>NA</v>
      </c>
      <c r="AN102" s="351">
        <f t="shared" si="886"/>
        <v>0.58740000000000003</v>
      </c>
      <c r="AO102" s="350">
        <f t="shared" si="887"/>
        <v>129.81540000000001</v>
      </c>
      <c r="AP102" s="349">
        <f t="shared" si="888"/>
        <v>1</v>
      </c>
      <c r="AQ102" s="350" t="str">
        <f t="shared" si="889"/>
        <v>YES</v>
      </c>
      <c r="AR102" s="351">
        <f t="shared" si="136"/>
        <v>2.067628172183416</v>
      </c>
      <c r="AS102" s="343" t="str">
        <f t="shared" si="137"/>
        <v>YES</v>
      </c>
      <c r="AT102" s="351" t="str">
        <f t="shared" si="890"/>
        <v>NA</v>
      </c>
      <c r="AU102" s="343" t="str">
        <f t="shared" si="891"/>
        <v>NA</v>
      </c>
      <c r="AV102" s="351" t="str">
        <f t="shared" si="892"/>
        <v>1R x 0.6/1kV x 3.5C x 95 Sqmm</v>
      </c>
      <c r="AW102" s="351" t="str">
        <f t="shared" si="893"/>
        <v>1R x 0.6/1kV x 3.5C x 95 Sqmm</v>
      </c>
      <c r="AX102" s="343">
        <f t="shared" si="894"/>
        <v>238</v>
      </c>
      <c r="AY102" s="355"/>
      <c r="AZ102" s="355">
        <f t="shared" si="895"/>
        <v>2</v>
      </c>
      <c r="BA102" s="356" t="str">
        <f t="shared" si="896"/>
        <v>Q3RR1R2SS.A</v>
      </c>
      <c r="BB102" s="328">
        <f>VLOOKUP(W102,'Catalogue Aluminium'!$B$9:$H$93,7,FALSE)</f>
        <v>39</v>
      </c>
      <c r="BC102" s="328">
        <f t="shared" si="897"/>
        <v>39</v>
      </c>
      <c r="BE102" s="336"/>
      <c r="BF102" s="336"/>
      <c r="BG102" s="336"/>
      <c r="BH102" s="336"/>
      <c r="BI102" s="336"/>
      <c r="BJ102" s="336"/>
      <c r="BK102" s="336"/>
      <c r="BL102" s="336"/>
      <c r="BM102" s="336"/>
      <c r="BN102" s="336"/>
      <c r="BO102" s="336"/>
      <c r="BP102" s="336"/>
      <c r="BQ102" s="336"/>
      <c r="BR102" s="336"/>
      <c r="BS102" s="336"/>
      <c r="BT102" s="336"/>
      <c r="BU102" s="336"/>
      <c r="BV102" s="336"/>
      <c r="BW102" s="336"/>
      <c r="BX102" s="336"/>
      <c r="BY102" s="336"/>
      <c r="BZ102" s="336"/>
      <c r="CA102" s="336"/>
      <c r="CB102" s="336"/>
      <c r="CC102" s="336"/>
      <c r="CD102" s="336"/>
      <c r="CE102" s="336"/>
      <c r="CF102" s="336"/>
      <c r="CG102" s="336"/>
      <c r="CH102" s="336"/>
      <c r="CI102" s="336"/>
      <c r="CJ102" s="336"/>
      <c r="CK102" s="336"/>
      <c r="CL102" s="336"/>
      <c r="CM102" s="336"/>
      <c r="CN102" s="336"/>
      <c r="CO102" s="336"/>
      <c r="CP102" s="336"/>
      <c r="CQ102" s="336"/>
      <c r="CR102" s="336"/>
      <c r="CS102" s="336"/>
      <c r="CT102" s="336"/>
      <c r="CU102" s="336"/>
      <c r="CV102" s="336"/>
      <c r="CW102" s="336"/>
      <c r="CX102" s="336"/>
      <c r="CY102" s="336"/>
      <c r="CZ102" s="336"/>
      <c r="DA102" s="336">
        <v>1</v>
      </c>
      <c r="DB102" s="336"/>
      <c r="DC102" s="336"/>
      <c r="DD102" s="336"/>
      <c r="DE102" s="336"/>
      <c r="DF102" s="336"/>
      <c r="DG102" s="336">
        <v>1</v>
      </c>
      <c r="DH102" s="336">
        <v>1</v>
      </c>
      <c r="DI102" s="336">
        <v>1</v>
      </c>
      <c r="DJ102" s="336"/>
      <c r="DK102" s="336"/>
      <c r="DL102" s="336">
        <v>1</v>
      </c>
      <c r="DM102" s="336">
        <v>1</v>
      </c>
      <c r="DN102" s="336"/>
      <c r="DO102" s="336"/>
      <c r="DP102" s="336"/>
      <c r="DQ102" s="336"/>
      <c r="DR102" s="336"/>
      <c r="DS102" s="336"/>
      <c r="DT102" s="336"/>
      <c r="DU102" s="336"/>
      <c r="DW102" s="336">
        <f t="shared" si="1022"/>
        <v>0</v>
      </c>
      <c r="DX102" s="336">
        <f t="shared" si="900"/>
        <v>0</v>
      </c>
      <c r="DY102" s="336">
        <f t="shared" si="901"/>
        <v>0</v>
      </c>
      <c r="DZ102" s="336">
        <f t="shared" si="902"/>
        <v>0</v>
      </c>
      <c r="EA102" s="336">
        <f t="shared" si="903"/>
        <v>0</v>
      </c>
      <c r="EB102" s="336">
        <f t="shared" si="904"/>
        <v>0</v>
      </c>
      <c r="EC102" s="336">
        <f t="shared" si="905"/>
        <v>0</v>
      </c>
      <c r="ED102" s="336">
        <f t="shared" si="906"/>
        <v>0</v>
      </c>
      <c r="EE102" s="336">
        <f t="shared" si="907"/>
        <v>0</v>
      </c>
      <c r="EF102" s="336">
        <f t="shared" si="908"/>
        <v>0</v>
      </c>
      <c r="EG102" s="336">
        <f t="shared" si="909"/>
        <v>0</v>
      </c>
      <c r="EH102" s="336">
        <f t="shared" si="910"/>
        <v>0</v>
      </c>
      <c r="EI102" s="336">
        <f t="shared" si="911"/>
        <v>0</v>
      </c>
      <c r="EJ102" s="336">
        <f t="shared" si="912"/>
        <v>0</v>
      </c>
      <c r="EK102" s="336">
        <f t="shared" si="913"/>
        <v>0</v>
      </c>
      <c r="EL102" s="336">
        <f t="shared" si="914"/>
        <v>0</v>
      </c>
      <c r="EM102" s="336">
        <f t="shared" si="915"/>
        <v>0</v>
      </c>
      <c r="EN102" s="336">
        <f t="shared" si="916"/>
        <v>0</v>
      </c>
      <c r="EO102" s="336">
        <f t="shared" si="917"/>
        <v>0</v>
      </c>
      <c r="EP102" s="336">
        <f t="shared" si="918"/>
        <v>0</v>
      </c>
      <c r="EQ102" s="336">
        <f t="shared" si="919"/>
        <v>0</v>
      </c>
      <c r="ER102" s="336">
        <f t="shared" si="920"/>
        <v>0</v>
      </c>
      <c r="ES102" s="336">
        <f t="shared" si="921"/>
        <v>0</v>
      </c>
      <c r="ET102" s="336">
        <f t="shared" si="921"/>
        <v>0</v>
      </c>
      <c r="EU102" s="336">
        <f t="shared" si="922"/>
        <v>0</v>
      </c>
      <c r="EV102" s="336">
        <f t="shared" si="923"/>
        <v>0</v>
      </c>
      <c r="EW102" s="336">
        <f t="shared" si="924"/>
        <v>0</v>
      </c>
      <c r="EX102" s="336">
        <f t="shared" si="925"/>
        <v>0</v>
      </c>
      <c r="EY102" s="336">
        <f t="shared" si="926"/>
        <v>0</v>
      </c>
      <c r="EZ102" s="336">
        <f t="shared" si="927"/>
        <v>0</v>
      </c>
      <c r="FA102" s="336">
        <f t="shared" si="928"/>
        <v>0</v>
      </c>
      <c r="FB102" s="336">
        <f t="shared" si="929"/>
        <v>0</v>
      </c>
      <c r="FC102" s="336">
        <f t="shared" si="930"/>
        <v>0</v>
      </c>
      <c r="FD102" s="336">
        <f t="shared" si="931"/>
        <v>0</v>
      </c>
      <c r="FE102" s="336">
        <f t="shared" si="932"/>
        <v>0</v>
      </c>
      <c r="FF102" s="336">
        <f t="shared" si="933"/>
        <v>0</v>
      </c>
      <c r="FG102" s="336">
        <f t="shared" si="934"/>
        <v>0</v>
      </c>
      <c r="FH102" s="336">
        <f t="shared" si="935"/>
        <v>0</v>
      </c>
      <c r="FI102" s="336">
        <f t="shared" si="936"/>
        <v>0</v>
      </c>
      <c r="FJ102" s="336">
        <f t="shared" si="937"/>
        <v>0</v>
      </c>
      <c r="FK102" s="336">
        <f t="shared" si="938"/>
        <v>0</v>
      </c>
      <c r="FL102" s="336">
        <f t="shared" si="939"/>
        <v>0</v>
      </c>
      <c r="FM102" s="336">
        <f t="shared" si="940"/>
        <v>0</v>
      </c>
      <c r="FN102" s="336">
        <f t="shared" si="941"/>
        <v>0</v>
      </c>
      <c r="FO102" s="336">
        <f t="shared" si="942"/>
        <v>0</v>
      </c>
      <c r="FP102" s="336">
        <f t="shared" si="943"/>
        <v>0</v>
      </c>
      <c r="FQ102" s="336">
        <f t="shared" si="944"/>
        <v>0</v>
      </c>
      <c r="FR102" s="336">
        <f t="shared" si="945"/>
        <v>0</v>
      </c>
      <c r="FS102" s="336">
        <f t="shared" si="946"/>
        <v>39</v>
      </c>
      <c r="FT102" s="336">
        <f t="shared" si="947"/>
        <v>0</v>
      </c>
      <c r="FU102" s="336">
        <f t="shared" si="553"/>
        <v>0</v>
      </c>
      <c r="FV102" s="336">
        <f t="shared" si="554"/>
        <v>0</v>
      </c>
      <c r="FW102" s="336">
        <f t="shared" si="555"/>
        <v>0</v>
      </c>
      <c r="FX102" s="336">
        <f t="shared" si="556"/>
        <v>0</v>
      </c>
      <c r="FY102" s="336">
        <f t="shared" si="948"/>
        <v>39</v>
      </c>
      <c r="FZ102" s="336">
        <f t="shared" si="949"/>
        <v>39</v>
      </c>
      <c r="GA102" s="336">
        <f t="shared" si="950"/>
        <v>39</v>
      </c>
      <c r="GB102" s="336">
        <f t="shared" si="951"/>
        <v>0</v>
      </c>
      <c r="GC102" s="336">
        <f t="shared" si="952"/>
        <v>0</v>
      </c>
      <c r="GD102" s="336">
        <f t="shared" si="953"/>
        <v>39</v>
      </c>
      <c r="GE102" s="336">
        <f t="shared" si="954"/>
        <v>39</v>
      </c>
      <c r="GF102" s="336">
        <f t="shared" si="955"/>
        <v>0</v>
      </c>
      <c r="GG102" s="336">
        <f t="shared" si="956"/>
        <v>0</v>
      </c>
      <c r="GH102" s="336">
        <f t="shared" si="957"/>
        <v>0</v>
      </c>
      <c r="GI102" s="336">
        <f t="shared" si="958"/>
        <v>0</v>
      </c>
      <c r="GJ102" s="336">
        <f t="shared" si="959"/>
        <v>0</v>
      </c>
      <c r="GK102" s="336">
        <f t="shared" si="960"/>
        <v>0</v>
      </c>
      <c r="GL102" s="336">
        <f t="shared" si="557"/>
        <v>0</v>
      </c>
      <c r="GM102" s="336">
        <f t="shared" si="961"/>
        <v>0</v>
      </c>
    </row>
    <row r="103" spans="1:195" ht="33.75" customHeight="1">
      <c r="A103" s="337">
        <f t="shared" ref="A103" si="1159">A100+1</f>
        <v>72</v>
      </c>
      <c r="B103" s="444" t="s">
        <v>1192</v>
      </c>
      <c r="C103" s="372" t="str">
        <f t="shared" si="898"/>
        <v>PDB-2</v>
      </c>
      <c r="D103" s="444" t="s">
        <v>1193</v>
      </c>
      <c r="E103" s="440" t="s">
        <v>1194</v>
      </c>
      <c r="F103" s="343" t="s">
        <v>28</v>
      </c>
      <c r="G103" s="337" t="s">
        <v>329</v>
      </c>
      <c r="H103" s="917">
        <v>16.04</v>
      </c>
      <c r="I103" s="337" t="s">
        <v>330</v>
      </c>
      <c r="J103" s="337" t="s">
        <v>331</v>
      </c>
      <c r="K103" s="349">
        <v>400</v>
      </c>
      <c r="L103" s="343">
        <v>0.85</v>
      </c>
      <c r="M103" s="350">
        <v>0.95</v>
      </c>
      <c r="N103" s="342">
        <f t="shared" si="869"/>
        <v>28.671733674629451</v>
      </c>
      <c r="O103" s="342">
        <f t="shared" si="883"/>
        <v>0</v>
      </c>
      <c r="P103" s="343" t="str">
        <f t="shared" si="871"/>
        <v>0.00</v>
      </c>
      <c r="Q103" s="350">
        <v>65</v>
      </c>
      <c r="R103" s="350">
        <v>0</v>
      </c>
      <c r="S103" s="350">
        <f t="shared" si="872"/>
        <v>0</v>
      </c>
      <c r="T103" s="343" t="s">
        <v>332</v>
      </c>
      <c r="U103" s="922" t="s">
        <v>535</v>
      </c>
      <c r="V103" s="923">
        <v>50</v>
      </c>
      <c r="W103" s="343" t="str">
        <f t="shared" si="873"/>
        <v>3.5C X 50</v>
      </c>
      <c r="X103" s="343" t="str">
        <f t="shared" si="884"/>
        <v>3.5C X 50</v>
      </c>
      <c r="Y103" s="343" t="s">
        <v>358</v>
      </c>
      <c r="Z103" s="344">
        <f>IF(T103="AIR",VLOOKUP(W103,'Catalogue Aluminium'!$B$9:$G$93,2,FALSE),IF(T103="GROUND",VLOOKUP(W103,'Catalogue Aluminium'!$B$9:$G$93,3,FALSE),IF(T103="DUCT",VLOOKUP(W103,'Catalogue Aluminium'!$B$9:$G$93,4,FALSE),IF(T103="TRENCH",VLOOKUP(W103,'Catalogue Aluminium'!$B$9:$G$93,2,FALSE)))))</f>
        <v>141</v>
      </c>
      <c r="AA103" s="345">
        <f>VLOOKUP(W103,'Catalogue Aluminium'!$B$9:$G$93,5,FALSE)</f>
        <v>0.82</v>
      </c>
      <c r="AB103" s="345">
        <f>VLOOKUP(W103,'Catalogue Aluminium'!$B$9:$G$93,6,FALSE)</f>
        <v>7.9200000000000007E-2</v>
      </c>
      <c r="AC103" s="343">
        <f t="shared" si="899"/>
        <v>17</v>
      </c>
      <c r="AD103" s="343">
        <f>12+58+20+54+55+2</f>
        <v>201</v>
      </c>
      <c r="AE103" s="343">
        <v>10</v>
      </c>
      <c r="AF103" s="343">
        <v>8</v>
      </c>
      <c r="AG103" s="343">
        <f t="shared" si="134"/>
        <v>24</v>
      </c>
      <c r="AH103" s="347">
        <f t="shared" si="885"/>
        <v>260</v>
      </c>
      <c r="AI103" s="344">
        <f>IF(T103="AIR",'Catalogue Aluminium'!$K$9,IF(T103="TRENCH",'Catalogue Aluminium'!$K$12,"NA"))</f>
        <v>0.89</v>
      </c>
      <c r="AJ103" s="342">
        <f>IF(T103="Air",(IF(U103="1C",'Catalogue Aluminium'!$L$9,'Catalogue Aluminium'!$M$9)),IF(T103="DUCT",(IF($U103="1C",'Catalogue Aluminium'!$L$10,'Catalogue Aluminium'!$M$10)),IF(T103="GROUND",(IF($U103="1C",'Catalogue Aluminium'!$L$11,'Catalogue Aluminium'!$M$11)),IF(T103="TRENCH",(IF($U103="1C",'Catalogue Aluminium'!$L$12,'Catalogue Aluminium'!$M$12))))))</f>
        <v>0.66</v>
      </c>
      <c r="AK103" s="344" t="str">
        <f>IF(T103="Air",'Catalogue Aluminium'!$N$9,IF(T103="GROUND",'Catalogue Aluminium'!$N$10,IF(T103="DUCT",'Catalogue Aluminium'!$N$11,IF(T103="TRENCH",'Catalogue Aluminium'!$N$12,"NA"))))</f>
        <v>NA</v>
      </c>
      <c r="AL103" s="344" t="str">
        <f>IF(T103="Air",(IF(U103="1C",'Catalogue Aluminium'!$O$9,'Catalogue Aluminium'!$P$9)),IF(T103="DUCT",(IF($U103="1C",'Catalogue Aluminium'!$O$10,'Catalogue Aluminium'!$P$10)),IF(T103="GROUND",(IF($U103="1C",'Catalogue Aluminium'!$O$11,'Catalogue Aluminium'!$P$11)),IF(T103="TRENCH",(IF($U103="1C",'Catalogue Aluminium'!$O$12,'Catalogue Aluminium'!$P$12))))))</f>
        <v>NA</v>
      </c>
      <c r="AM103" s="344" t="str">
        <f>IF(T103="AIR","NA",IF(T103="TRENCH","NA",IF(T103="DUCT",IF(U103="1C",VLOOKUP(V103,'Catalogue Aluminium'!$Q$9:$S$28,2,FALSE),VLOOKUP(V103,'Catalogue Aluminium'!$Q$9:$S$28,3)),IF(T103="GROUND",IF(U103="1C",VLOOKUP(V103,'Catalogue Aluminium'!$Q$9:$S$28,2,FALSE),VLOOKUP(V103,'Catalogue Aluminium'!$Q$9:$S$28,3))))))</f>
        <v>NA</v>
      </c>
      <c r="AN103" s="351">
        <f t="shared" si="886"/>
        <v>0.58740000000000003</v>
      </c>
      <c r="AO103" s="350">
        <f t="shared" si="887"/>
        <v>82.823400000000007</v>
      </c>
      <c r="AP103" s="349">
        <f t="shared" si="888"/>
        <v>1</v>
      </c>
      <c r="AQ103" s="350" t="str">
        <f t="shared" si="889"/>
        <v>YES</v>
      </c>
      <c r="AR103" s="351">
        <f t="shared" si="136"/>
        <v>2.3845613150519105</v>
      </c>
      <c r="AS103" s="343" t="str">
        <f t="shared" si="137"/>
        <v>YES</v>
      </c>
      <c r="AT103" s="351" t="str">
        <f t="shared" si="890"/>
        <v>NA</v>
      </c>
      <c r="AU103" s="343" t="str">
        <f t="shared" si="891"/>
        <v>NA</v>
      </c>
      <c r="AV103" s="354" t="str">
        <f t="shared" si="892"/>
        <v>1R x 0.6/1kV x 3.5C x 50 Sqmm</v>
      </c>
      <c r="AW103" s="354" t="str">
        <f t="shared" si="893"/>
        <v>1R x 0.6/1kV x 3.5C x 50 Sqmm</v>
      </c>
      <c r="AX103" s="343">
        <f t="shared" si="894"/>
        <v>260</v>
      </c>
      <c r="AY103" s="355"/>
      <c r="AZ103" s="355">
        <f t="shared" si="895"/>
        <v>2</v>
      </c>
      <c r="BA103" s="356" t="str">
        <f t="shared" si="896"/>
        <v>Q3RR1R2SS1TT1T1.A</v>
      </c>
      <c r="BB103" s="501">
        <f>VLOOKUP(W103,'Catalogue Aluminium'!$B$9:$H$93,7,FALSE)</f>
        <v>30</v>
      </c>
      <c r="BC103" s="328">
        <f t="shared" si="897"/>
        <v>30</v>
      </c>
      <c r="BE103" s="336"/>
      <c r="BF103" s="336"/>
      <c r="BG103" s="336"/>
      <c r="BH103" s="336"/>
      <c r="BI103" s="336"/>
      <c r="BJ103" s="336"/>
      <c r="BK103" s="336"/>
      <c r="BL103" s="336"/>
      <c r="BM103" s="336"/>
      <c r="BN103" s="336"/>
      <c r="BO103" s="336"/>
      <c r="BP103" s="336"/>
      <c r="BQ103" s="336"/>
      <c r="BR103" s="336"/>
      <c r="BS103" s="336"/>
      <c r="BT103" s="336"/>
      <c r="BU103" s="336"/>
      <c r="BV103" s="336"/>
      <c r="BW103" s="336"/>
      <c r="BX103" s="336"/>
      <c r="BY103" s="336"/>
      <c r="BZ103" s="336"/>
      <c r="CA103" s="336"/>
      <c r="CB103" s="336"/>
      <c r="CC103" s="336"/>
      <c r="CD103" s="336"/>
      <c r="CE103" s="336"/>
      <c r="CF103" s="336"/>
      <c r="CG103" s="336"/>
      <c r="CH103" s="336"/>
      <c r="CI103" s="336"/>
      <c r="CJ103" s="336"/>
      <c r="CK103" s="336"/>
      <c r="CL103" s="336"/>
      <c r="CM103" s="336"/>
      <c r="CN103" s="336"/>
      <c r="CO103" s="336"/>
      <c r="CP103" s="336"/>
      <c r="CQ103" s="336"/>
      <c r="CR103" s="336"/>
      <c r="CS103" s="336"/>
      <c r="CT103" s="336"/>
      <c r="CU103" s="336"/>
      <c r="CV103" s="336"/>
      <c r="CW103" s="336"/>
      <c r="CX103" s="336"/>
      <c r="CY103" s="336"/>
      <c r="CZ103" s="336"/>
      <c r="DA103" s="336">
        <v>1</v>
      </c>
      <c r="DB103" s="336"/>
      <c r="DC103" s="336"/>
      <c r="DD103" s="336"/>
      <c r="DE103" s="336"/>
      <c r="DF103" s="336"/>
      <c r="DG103" s="336">
        <v>1</v>
      </c>
      <c r="DH103" s="336">
        <v>1</v>
      </c>
      <c r="DI103" s="336">
        <v>1</v>
      </c>
      <c r="DJ103" s="336"/>
      <c r="DK103" s="336"/>
      <c r="DL103" s="336">
        <v>1</v>
      </c>
      <c r="DM103" s="336"/>
      <c r="DN103" s="336"/>
      <c r="DO103" s="336">
        <v>1</v>
      </c>
      <c r="DP103" s="336"/>
      <c r="DQ103" s="336">
        <v>1</v>
      </c>
      <c r="DR103" s="336">
        <v>1</v>
      </c>
      <c r="DS103" s="336"/>
      <c r="DT103" s="336">
        <v>1</v>
      </c>
      <c r="DU103" s="336"/>
      <c r="DW103" s="336">
        <f t="shared" si="1022"/>
        <v>0</v>
      </c>
      <c r="DX103" s="336">
        <f t="shared" si="900"/>
        <v>0</v>
      </c>
      <c r="DY103" s="336">
        <f t="shared" si="901"/>
        <v>0</v>
      </c>
      <c r="DZ103" s="336">
        <f t="shared" si="902"/>
        <v>0</v>
      </c>
      <c r="EA103" s="336">
        <f t="shared" si="903"/>
        <v>0</v>
      </c>
      <c r="EB103" s="336">
        <f t="shared" si="904"/>
        <v>0</v>
      </c>
      <c r="EC103" s="336">
        <f t="shared" si="905"/>
        <v>0</v>
      </c>
      <c r="ED103" s="336">
        <f t="shared" si="906"/>
        <v>0</v>
      </c>
      <c r="EE103" s="336">
        <f t="shared" si="907"/>
        <v>0</v>
      </c>
      <c r="EF103" s="336">
        <f t="shared" si="908"/>
        <v>0</v>
      </c>
      <c r="EG103" s="336">
        <f t="shared" si="909"/>
        <v>0</v>
      </c>
      <c r="EH103" s="336">
        <f t="shared" si="910"/>
        <v>0</v>
      </c>
      <c r="EI103" s="336">
        <f t="shared" si="911"/>
        <v>0</v>
      </c>
      <c r="EJ103" s="336">
        <f t="shared" si="912"/>
        <v>0</v>
      </c>
      <c r="EK103" s="336">
        <f t="shared" si="913"/>
        <v>0</v>
      </c>
      <c r="EL103" s="336">
        <f t="shared" si="914"/>
        <v>0</v>
      </c>
      <c r="EM103" s="336">
        <f t="shared" si="915"/>
        <v>0</v>
      </c>
      <c r="EN103" s="336">
        <f t="shared" si="916"/>
        <v>0</v>
      </c>
      <c r="EO103" s="336">
        <f t="shared" si="917"/>
        <v>0</v>
      </c>
      <c r="EP103" s="336">
        <f t="shared" si="918"/>
        <v>0</v>
      </c>
      <c r="EQ103" s="336">
        <f t="shared" si="919"/>
        <v>0</v>
      </c>
      <c r="ER103" s="336">
        <f t="shared" si="920"/>
        <v>0</v>
      </c>
      <c r="ES103" s="336">
        <f t="shared" si="921"/>
        <v>0</v>
      </c>
      <c r="ET103" s="336">
        <f t="shared" si="921"/>
        <v>0</v>
      </c>
      <c r="EU103" s="336">
        <f t="shared" si="922"/>
        <v>0</v>
      </c>
      <c r="EV103" s="336">
        <f t="shared" si="923"/>
        <v>0</v>
      </c>
      <c r="EW103" s="336">
        <f t="shared" si="924"/>
        <v>0</v>
      </c>
      <c r="EX103" s="336">
        <f t="shared" si="925"/>
        <v>0</v>
      </c>
      <c r="EY103" s="336">
        <f t="shared" si="926"/>
        <v>0</v>
      </c>
      <c r="EZ103" s="336">
        <f t="shared" si="927"/>
        <v>0</v>
      </c>
      <c r="FA103" s="336">
        <f t="shared" si="928"/>
        <v>0</v>
      </c>
      <c r="FB103" s="336">
        <f t="shared" si="929"/>
        <v>0</v>
      </c>
      <c r="FC103" s="336">
        <f t="shared" si="930"/>
        <v>0</v>
      </c>
      <c r="FD103" s="336">
        <f t="shared" si="931"/>
        <v>0</v>
      </c>
      <c r="FE103" s="336">
        <f t="shared" si="932"/>
        <v>0</v>
      </c>
      <c r="FF103" s="336">
        <f t="shared" si="933"/>
        <v>0</v>
      </c>
      <c r="FG103" s="336">
        <f t="shared" si="934"/>
        <v>0</v>
      </c>
      <c r="FH103" s="336">
        <f t="shared" si="935"/>
        <v>0</v>
      </c>
      <c r="FI103" s="336">
        <f t="shared" si="936"/>
        <v>0</v>
      </c>
      <c r="FJ103" s="336">
        <f t="shared" si="937"/>
        <v>0</v>
      </c>
      <c r="FK103" s="336">
        <f t="shared" si="938"/>
        <v>0</v>
      </c>
      <c r="FL103" s="336">
        <f t="shared" si="939"/>
        <v>0</v>
      </c>
      <c r="FM103" s="336">
        <f t="shared" si="940"/>
        <v>0</v>
      </c>
      <c r="FN103" s="336">
        <f t="shared" si="941"/>
        <v>0</v>
      </c>
      <c r="FO103" s="336">
        <f t="shared" si="942"/>
        <v>0</v>
      </c>
      <c r="FP103" s="336">
        <f t="shared" si="943"/>
        <v>0</v>
      </c>
      <c r="FQ103" s="336">
        <f t="shared" si="944"/>
        <v>0</v>
      </c>
      <c r="FR103" s="336">
        <f t="shared" si="945"/>
        <v>0</v>
      </c>
      <c r="FS103" s="336">
        <f t="shared" si="946"/>
        <v>30</v>
      </c>
      <c r="FT103" s="336">
        <f t="shared" si="947"/>
        <v>0</v>
      </c>
      <c r="FU103" s="336">
        <f t="shared" si="553"/>
        <v>0</v>
      </c>
      <c r="FV103" s="336">
        <f t="shared" si="554"/>
        <v>0</v>
      </c>
      <c r="FW103" s="336">
        <f t="shared" si="555"/>
        <v>0</v>
      </c>
      <c r="FX103" s="336">
        <f t="shared" si="556"/>
        <v>0</v>
      </c>
      <c r="FY103" s="336">
        <f t="shared" si="948"/>
        <v>30</v>
      </c>
      <c r="FZ103" s="336">
        <f t="shared" si="949"/>
        <v>30</v>
      </c>
      <c r="GA103" s="336">
        <f t="shared" si="950"/>
        <v>30</v>
      </c>
      <c r="GB103" s="336">
        <f t="shared" si="951"/>
        <v>0</v>
      </c>
      <c r="GC103" s="336">
        <f t="shared" si="952"/>
        <v>0</v>
      </c>
      <c r="GD103" s="336">
        <f t="shared" si="953"/>
        <v>30</v>
      </c>
      <c r="GE103" s="336">
        <f t="shared" si="954"/>
        <v>0</v>
      </c>
      <c r="GF103" s="336">
        <f t="shared" si="955"/>
        <v>0</v>
      </c>
      <c r="GG103" s="336">
        <f t="shared" si="956"/>
        <v>30</v>
      </c>
      <c r="GH103" s="336">
        <f t="shared" si="957"/>
        <v>0</v>
      </c>
      <c r="GI103" s="336">
        <f t="shared" si="958"/>
        <v>30</v>
      </c>
      <c r="GJ103" s="336">
        <f t="shared" si="959"/>
        <v>30</v>
      </c>
      <c r="GK103" s="336">
        <f t="shared" si="960"/>
        <v>0</v>
      </c>
      <c r="GL103" s="336">
        <f t="shared" si="557"/>
        <v>30</v>
      </c>
      <c r="GM103" s="336">
        <f t="shared" si="961"/>
        <v>0</v>
      </c>
    </row>
    <row r="104" spans="1:195" ht="20.25" customHeight="1">
      <c r="A104" s="510"/>
      <c r="B104" s="510"/>
      <c r="C104" s="523"/>
      <c r="D104" s="523" t="s">
        <v>605</v>
      </c>
      <c r="E104" s="725"/>
      <c r="F104" s="726"/>
      <c r="G104" s="510"/>
      <c r="H104" s="727"/>
      <c r="I104" s="510"/>
      <c r="J104" s="510"/>
      <c r="K104" s="728"/>
      <c r="L104" s="729"/>
      <c r="M104" s="727"/>
      <c r="N104" s="730"/>
      <c r="O104" s="730"/>
      <c r="P104" s="729"/>
      <c r="Q104" s="727"/>
      <c r="R104" s="727"/>
      <c r="S104" s="727"/>
      <c r="T104" s="729"/>
      <c r="U104" s="727"/>
      <c r="V104" s="729"/>
      <c r="W104" s="729"/>
      <c r="X104" s="729"/>
      <c r="Y104" s="729"/>
      <c r="Z104" s="731"/>
      <c r="AA104" s="732"/>
      <c r="AB104" s="732"/>
      <c r="AC104" s="523"/>
      <c r="AD104" s="523"/>
      <c r="AE104" s="733"/>
      <c r="AF104" s="733"/>
      <c r="AG104" s="733"/>
      <c r="AH104" s="734"/>
      <c r="AI104" s="731"/>
      <c r="AJ104" s="730"/>
      <c r="AK104" s="731"/>
      <c r="AL104" s="731"/>
      <c r="AM104" s="731"/>
      <c r="AN104" s="735"/>
      <c r="AO104" s="727"/>
      <c r="AP104" s="728"/>
      <c r="AQ104" s="727"/>
      <c r="AR104" s="735"/>
      <c r="AS104" s="729"/>
      <c r="AT104" s="735"/>
      <c r="AU104" s="735"/>
      <c r="AV104" s="736"/>
      <c r="AW104" s="736"/>
      <c r="AX104" s="729"/>
      <c r="AY104" s="737"/>
      <c r="AZ104" s="737"/>
      <c r="BA104" s="738"/>
      <c r="BB104" s="739"/>
      <c r="BC104" s="740"/>
      <c r="BE104" s="336"/>
      <c r="BF104" s="336"/>
      <c r="BG104" s="336"/>
      <c r="BH104" s="336"/>
      <c r="BI104" s="336"/>
      <c r="BJ104" s="336"/>
      <c r="BK104" s="336"/>
      <c r="BL104" s="336"/>
      <c r="BM104" s="336"/>
      <c r="BN104" s="336"/>
      <c r="BO104" s="336"/>
      <c r="BP104" s="336"/>
      <c r="BQ104" s="336"/>
      <c r="BR104" s="336"/>
      <c r="BS104" s="336"/>
      <c r="BT104" s="336"/>
      <c r="BU104" s="336"/>
      <c r="BV104" s="336"/>
      <c r="BW104" s="336"/>
      <c r="BX104" s="336"/>
      <c r="BY104" s="336"/>
      <c r="BZ104" s="336"/>
      <c r="CA104" s="336"/>
      <c r="CB104" s="336"/>
      <c r="CC104" s="336"/>
      <c r="CD104" s="336"/>
      <c r="CE104" s="336"/>
      <c r="CF104" s="336"/>
      <c r="CG104" s="336"/>
      <c r="CH104" s="336"/>
      <c r="CI104" s="336"/>
      <c r="CJ104" s="336"/>
      <c r="CK104" s="336"/>
      <c r="CL104" s="336"/>
      <c r="CM104" s="336"/>
      <c r="CN104" s="336"/>
      <c r="CO104" s="336"/>
      <c r="CP104" s="336"/>
      <c r="CQ104" s="336"/>
      <c r="CR104" s="336"/>
      <c r="CS104" s="336"/>
      <c r="CT104" s="336"/>
      <c r="CU104" s="336"/>
      <c r="CV104" s="336"/>
      <c r="CW104" s="336"/>
      <c r="CX104" s="336"/>
      <c r="CY104" s="336"/>
      <c r="CZ104" s="752"/>
      <c r="DA104" s="752"/>
      <c r="DB104" s="752"/>
      <c r="DC104" s="752"/>
      <c r="DD104" s="752"/>
      <c r="DE104" s="752"/>
      <c r="DF104" s="752"/>
      <c r="DG104" s="752"/>
      <c r="DH104" s="752"/>
      <c r="DI104" s="752"/>
      <c r="DJ104" s="752"/>
      <c r="DK104" s="752"/>
      <c r="DL104" s="752"/>
      <c r="DM104" s="752"/>
      <c r="DN104" s="752"/>
      <c r="DO104" s="752"/>
      <c r="DP104" s="752"/>
      <c r="DQ104" s="752"/>
      <c r="DR104" s="752"/>
      <c r="DS104" s="752"/>
      <c r="DT104" s="752"/>
      <c r="DU104" s="752"/>
      <c r="DW104" s="336">
        <f t="shared" si="1022"/>
        <v>0</v>
      </c>
      <c r="DX104" s="336">
        <f t="shared" si="900"/>
        <v>0</v>
      </c>
      <c r="DY104" s="336">
        <f t="shared" si="901"/>
        <v>0</v>
      </c>
      <c r="DZ104" s="336">
        <f t="shared" si="902"/>
        <v>0</v>
      </c>
      <c r="EA104" s="336">
        <f t="shared" si="903"/>
        <v>0</v>
      </c>
      <c r="EB104" s="336">
        <f t="shared" si="904"/>
        <v>0</v>
      </c>
      <c r="EC104" s="336">
        <f t="shared" si="905"/>
        <v>0</v>
      </c>
      <c r="ED104" s="336">
        <f t="shared" si="906"/>
        <v>0</v>
      </c>
      <c r="EE104" s="336">
        <f t="shared" si="907"/>
        <v>0</v>
      </c>
      <c r="EF104" s="336">
        <f t="shared" si="908"/>
        <v>0</v>
      </c>
      <c r="EG104" s="336">
        <f t="shared" si="909"/>
        <v>0</v>
      </c>
      <c r="EH104" s="336">
        <f t="shared" si="910"/>
        <v>0</v>
      </c>
      <c r="EI104" s="336">
        <f t="shared" si="911"/>
        <v>0</v>
      </c>
      <c r="EJ104" s="336">
        <f t="shared" si="912"/>
        <v>0</v>
      </c>
      <c r="EK104" s="336">
        <f t="shared" si="913"/>
        <v>0</v>
      </c>
      <c r="EL104" s="336">
        <f t="shared" si="914"/>
        <v>0</v>
      </c>
      <c r="EM104" s="336">
        <f t="shared" si="915"/>
        <v>0</v>
      </c>
      <c r="EN104" s="336">
        <f t="shared" si="916"/>
        <v>0</v>
      </c>
      <c r="EO104" s="336">
        <f t="shared" si="917"/>
        <v>0</v>
      </c>
      <c r="EP104" s="336">
        <f t="shared" si="918"/>
        <v>0</v>
      </c>
      <c r="EQ104" s="336">
        <f t="shared" si="919"/>
        <v>0</v>
      </c>
      <c r="ER104" s="336">
        <f t="shared" si="920"/>
        <v>0</v>
      </c>
      <c r="ES104" s="336">
        <f t="shared" si="921"/>
        <v>0</v>
      </c>
      <c r="ET104" s="336">
        <f t="shared" si="921"/>
        <v>0</v>
      </c>
      <c r="EU104" s="336">
        <f t="shared" si="922"/>
        <v>0</v>
      </c>
      <c r="EV104" s="336">
        <f t="shared" si="923"/>
        <v>0</v>
      </c>
      <c r="EW104" s="336">
        <f t="shared" si="924"/>
        <v>0</v>
      </c>
      <c r="EX104" s="336">
        <f t="shared" si="925"/>
        <v>0</v>
      </c>
      <c r="EY104" s="336">
        <f t="shared" si="926"/>
        <v>0</v>
      </c>
      <c r="EZ104" s="336">
        <f t="shared" si="927"/>
        <v>0</v>
      </c>
      <c r="FA104" s="336">
        <f t="shared" si="928"/>
        <v>0</v>
      </c>
      <c r="FB104" s="336">
        <f t="shared" si="929"/>
        <v>0</v>
      </c>
      <c r="FC104" s="336">
        <f t="shared" si="930"/>
        <v>0</v>
      </c>
      <c r="FD104" s="336">
        <f t="shared" si="931"/>
        <v>0</v>
      </c>
      <c r="FE104" s="336">
        <f t="shared" si="932"/>
        <v>0</v>
      </c>
      <c r="FF104" s="336">
        <f t="shared" si="933"/>
        <v>0</v>
      </c>
      <c r="FG104" s="336">
        <f t="shared" si="934"/>
        <v>0</v>
      </c>
      <c r="FH104" s="336">
        <f t="shared" si="935"/>
        <v>0</v>
      </c>
      <c r="FI104" s="336">
        <f t="shared" si="936"/>
        <v>0</v>
      </c>
      <c r="FJ104" s="336">
        <f t="shared" si="937"/>
        <v>0</v>
      </c>
      <c r="FK104" s="336">
        <f t="shared" si="938"/>
        <v>0</v>
      </c>
      <c r="FL104" s="336">
        <f t="shared" si="939"/>
        <v>0</v>
      </c>
      <c r="FM104" s="336">
        <f t="shared" si="940"/>
        <v>0</v>
      </c>
      <c r="FN104" s="336">
        <f t="shared" si="941"/>
        <v>0</v>
      </c>
      <c r="FO104" s="336">
        <f t="shared" si="942"/>
        <v>0</v>
      </c>
      <c r="FP104" s="336">
        <f t="shared" si="943"/>
        <v>0</v>
      </c>
      <c r="FQ104" s="336">
        <f t="shared" si="944"/>
        <v>0</v>
      </c>
      <c r="FR104" s="336">
        <f t="shared" si="945"/>
        <v>0</v>
      </c>
      <c r="FS104" s="336">
        <f t="shared" si="946"/>
        <v>0</v>
      </c>
      <c r="FT104" s="336">
        <f t="shared" si="947"/>
        <v>0</v>
      </c>
      <c r="FU104" s="336">
        <f t="shared" si="553"/>
        <v>0</v>
      </c>
      <c r="FV104" s="336">
        <f t="shared" si="554"/>
        <v>0</v>
      </c>
      <c r="FW104" s="336">
        <f t="shared" si="555"/>
        <v>0</v>
      </c>
      <c r="FX104" s="336">
        <f t="shared" si="556"/>
        <v>0</v>
      </c>
      <c r="FY104" s="336">
        <f t="shared" si="948"/>
        <v>0</v>
      </c>
      <c r="FZ104" s="336">
        <f t="shared" si="949"/>
        <v>0</v>
      </c>
      <c r="GA104" s="336">
        <f t="shared" si="950"/>
        <v>0</v>
      </c>
      <c r="GB104" s="336">
        <f t="shared" si="951"/>
        <v>0</v>
      </c>
      <c r="GC104" s="336">
        <f t="shared" si="952"/>
        <v>0</v>
      </c>
      <c r="GD104" s="336">
        <f t="shared" si="953"/>
        <v>0</v>
      </c>
      <c r="GE104" s="336">
        <f t="shared" si="954"/>
        <v>0</v>
      </c>
      <c r="GF104" s="336">
        <f t="shared" si="955"/>
        <v>0</v>
      </c>
      <c r="GG104" s="336">
        <f t="shared" si="956"/>
        <v>0</v>
      </c>
      <c r="GH104" s="336">
        <f t="shared" si="957"/>
        <v>0</v>
      </c>
      <c r="GI104" s="336">
        <f t="shared" si="958"/>
        <v>0</v>
      </c>
      <c r="GJ104" s="336">
        <f t="shared" si="959"/>
        <v>0</v>
      </c>
      <c r="GK104" s="336">
        <f t="shared" si="960"/>
        <v>0</v>
      </c>
      <c r="GL104" s="336">
        <f t="shared" si="557"/>
        <v>0</v>
      </c>
      <c r="GM104" s="336">
        <f t="shared" si="961"/>
        <v>0</v>
      </c>
    </row>
    <row r="105" spans="1:195" ht="27" customHeight="1">
      <c r="A105" s="337">
        <f>A103+1</f>
        <v>73</v>
      </c>
      <c r="B105" s="453" t="s">
        <v>1170</v>
      </c>
      <c r="C105" s="372" t="str">
        <f t="shared" ref="C105:C112" si="1160">$D$83</f>
        <v>PDB-2</v>
      </c>
      <c r="D105" s="440" t="s">
        <v>1195</v>
      </c>
      <c r="E105" s="569" t="s">
        <v>419</v>
      </c>
      <c r="F105" s="756" t="s">
        <v>28</v>
      </c>
      <c r="G105" s="337" t="s">
        <v>329</v>
      </c>
      <c r="H105" s="350">
        <v>5</v>
      </c>
      <c r="I105" s="337" t="s">
        <v>330</v>
      </c>
      <c r="J105" s="337" t="s">
        <v>331</v>
      </c>
      <c r="K105" s="349">
        <v>400</v>
      </c>
      <c r="L105" s="343">
        <v>0.85</v>
      </c>
      <c r="M105" s="350">
        <v>0.95</v>
      </c>
      <c r="N105" s="342">
        <f t="shared" si="869"/>
        <v>8.9375728412186568</v>
      </c>
      <c r="O105" s="342">
        <f t="shared" ref="O105:O110" si="1161">IF(G105="MOTOR",(6*N105),IF(G105="VFD",(1*N105),0))</f>
        <v>0</v>
      </c>
      <c r="P105" s="343" t="str">
        <f t="shared" si="871"/>
        <v>0.00</v>
      </c>
      <c r="Q105" s="350">
        <v>65</v>
      </c>
      <c r="R105" s="350">
        <v>0</v>
      </c>
      <c r="S105" s="350">
        <f t="shared" si="872"/>
        <v>0</v>
      </c>
      <c r="T105" s="343" t="s">
        <v>332</v>
      </c>
      <c r="U105" s="350" t="s">
        <v>522</v>
      </c>
      <c r="V105" s="343">
        <v>4</v>
      </c>
      <c r="W105" s="343" t="str">
        <f t="shared" si="873"/>
        <v>4C X 4</v>
      </c>
      <c r="X105" s="343" t="str">
        <f t="shared" ref="X105:X110" si="1162">(IF(J105="1Ph",W105,IF(J105="3Ph",(IF(G105="MOTOR",(CONCATENATE(W105,"+PE")),W105)))))</f>
        <v>4C X 4</v>
      </c>
      <c r="Y105" s="343" t="s">
        <v>358</v>
      </c>
      <c r="Z105" s="344">
        <f>IF(T105="AIR",VLOOKUP(W105,'Catalogue Aluminium'!$B$9:$G$93,2,FALSE),IF(T105="GROUND",VLOOKUP(W105,'Catalogue Aluminium'!$B$9:$G$93,3,FALSE),IF(T105="DUCT",VLOOKUP(W105,'Catalogue Aluminium'!$B$9:$G$93,4,FALSE),IF(T105="TRENCH",VLOOKUP(W105,'Catalogue Aluminium'!$B$9:$G$93,2,FALSE)))))</f>
        <v>38</v>
      </c>
      <c r="AA105" s="345">
        <f>VLOOKUP(W105,'Catalogue Aluminium'!$B$9:$G$93,5,FALSE)</f>
        <v>5.9</v>
      </c>
      <c r="AB105" s="345">
        <f>VLOOKUP(W105,'Catalogue Aluminium'!$B$9:$G$93,6,FALSE)</f>
        <v>9.4700000000000006E-2</v>
      </c>
      <c r="AC105" s="343">
        <f t="shared" ref="AC105:AC110" si="1163">8+9</f>
        <v>17</v>
      </c>
      <c r="AD105" s="346">
        <v>3</v>
      </c>
      <c r="AE105" s="343">
        <v>5</v>
      </c>
      <c r="AF105" s="343">
        <v>8</v>
      </c>
      <c r="AG105" s="343">
        <f t="shared" si="134"/>
        <v>4</v>
      </c>
      <c r="AH105" s="347">
        <f t="shared" ref="AH105:AH110" si="1164">SUM(AC105:AG105)</f>
        <v>37</v>
      </c>
      <c r="AI105" s="344">
        <f>IF(T105="AIR",'Catalogue Aluminium'!$K$9,IF(T105="TRENCH",'Catalogue Aluminium'!$K$12,"NA"))</f>
        <v>0.89</v>
      </c>
      <c r="AJ105" s="342">
        <f>IF(T105="Air",(IF(U105="1C",'Catalogue Aluminium'!$L$9,'Catalogue Aluminium'!$M$9)),IF(T105="DUCT",(IF($U105="1C",'Catalogue Aluminium'!$L$10,'Catalogue Aluminium'!$M$10)),IF(T105="GROUND",(IF($U105="1C",'Catalogue Aluminium'!$L$11,'Catalogue Aluminium'!$M$11)),IF(T105="TRENCH",(IF($U105="1C",'Catalogue Aluminium'!$L$12,'Catalogue Aluminium'!$M$12))))))</f>
        <v>0.66</v>
      </c>
      <c r="AK105" s="344" t="str">
        <f>IF(T105="Air",'Catalogue Aluminium'!$N$9,IF(T105="GROUND",'Catalogue Aluminium'!$N$10,IF(T105="DUCT",'Catalogue Aluminium'!$N$11,IF(T105="TRENCH",'Catalogue Aluminium'!$N$12,"NA"))))</f>
        <v>NA</v>
      </c>
      <c r="AL105" s="344" t="str">
        <f>IF(T105="Air",(IF(U105="1C",'Catalogue Aluminium'!$O$9,'Catalogue Aluminium'!$P$9)),IF(T105="DUCT",(IF($U105="1C",'Catalogue Aluminium'!$O$10,'Catalogue Aluminium'!$P$10)),IF(T105="GROUND",(IF($U105="1C",'Catalogue Aluminium'!$O$11,'Catalogue Aluminium'!$P$11)),IF(T105="TRENCH",(IF($U105="1C",'Catalogue Aluminium'!$O$12,'Catalogue Aluminium'!$P$12))))))</f>
        <v>NA</v>
      </c>
      <c r="AM105" s="344" t="str">
        <f>IF(T105="AIR","NA",IF(T105="TRENCH","NA",IF(T105="DUCT",IF(U105="1C",VLOOKUP(V105,'Catalogue Aluminium'!$Q$9:$S$28,2,FALSE),VLOOKUP(V105,'Catalogue Aluminium'!$Q$9:$S$28,3)),IF(T105="GROUND",IF(U105="1C",VLOOKUP(V105,'Catalogue Aluminium'!$Q$9:$S$28,2,FALSE),VLOOKUP(V105,'Catalogue Aluminium'!$Q$9:$S$28,3))))))</f>
        <v>NA</v>
      </c>
      <c r="AN105" s="351">
        <f t="shared" ref="AN105:AN110" si="1165">IF(T105="AIR",AI105*AJ105,IF(T105="TRENCH",AI105*AJ105,IF(T105="DUCT",AJ105*AK105*AL105*AM105,IF(T105="GROUND",AJ105*AK105*AL105*AM105))))</f>
        <v>0.58740000000000003</v>
      </c>
      <c r="AO105" s="350">
        <f t="shared" ref="AO105:AO110" si="1166">Z105*AN105</f>
        <v>22.321200000000001</v>
      </c>
      <c r="AP105" s="349">
        <f t="shared" ref="AP105:AP110" si="1167">CEILING(((N105)/AO105),1)</f>
        <v>1</v>
      </c>
      <c r="AQ105" s="350" t="str">
        <f t="shared" ref="AQ105:AQ110" si="1168">IF(AO105*AP105&gt;=N105,"YES","NO")</f>
        <v>YES</v>
      </c>
      <c r="AR105" s="351">
        <f t="shared" si="136"/>
        <v>0.72525654485707436</v>
      </c>
      <c r="AS105" s="343" t="str">
        <f t="shared" si="137"/>
        <v>YES</v>
      </c>
      <c r="AT105" s="351" t="str">
        <f t="shared" ref="AT105:AT112" si="1169">IF(G105="MOTOR",(SQRT(3)*AH105*O105*((AA105*P105)+(AB105*SIN(ACOS(P105))))*100/(AP105*K105*1000)),"NA")</f>
        <v>NA</v>
      </c>
      <c r="AU105" s="343" t="str">
        <f t="shared" ref="AU105:AU112" si="1170">IF(G105="MOTOR",IF(AT105&lt;=15,"YES","NO"),"NA")</f>
        <v>NA</v>
      </c>
      <c r="AV105" s="354" t="str">
        <f t="shared" ref="AV105:AV112" si="1171">IF(U105="1C",CONCATENATE(AP105,"R x ",Y105,"kV x ",U105," x ",V105," Sqmm/Phase"),CONCATENATE(AP105,"R x ",0.6,"/1kV x ",U105," x ",V105," Sqmm"))</f>
        <v>1R x 0.6/1kV x 4C x 4 Sqmm</v>
      </c>
      <c r="AW105" s="354" t="str">
        <f t="shared" si="893"/>
        <v>1R x 0.6/1kV x 4C x 4 Sqmm</v>
      </c>
      <c r="AX105" s="343">
        <f t="shared" ref="AX105:AX112" si="1172">(IF(K105=400,(IF(U105="1C",(4*AH105*AP105),(AH105*AP105))),IF(K105=230,(AH105*AP105))))</f>
        <v>37</v>
      </c>
      <c r="AY105" s="355"/>
      <c r="AZ105" s="355">
        <f t="shared" ref="AZ105:AZ112" si="1173">IF(U105="1C",(3*AP105*2),(AP105*2))</f>
        <v>2</v>
      </c>
      <c r="BA105" s="356" t="str">
        <f t="shared" ref="BA105:BA112" si="1174">CONCATENATE(IF(BE105=1,BE$4,""),IF(BF105=1,BF$4,""),IF(BG105=1,BG$4,""),IF(BH105=1,BH$4,""),IF(BI105=1,BI$4,""),IF(BJ105=1,BJ$4,""),IF(BK105=1,BK$4,""),IF(BL105=1,BL$4,""),IF(BM105=1,BM$4,""),IF(BN105=1,BN$4,""),IF(BO105=1,BO$4,""),IF(BP105=1,BP$4,""),IF(BQ105=1,BQ$4,""),IF(BR105=1,BR$4,""),IF(BS105=1,BS$4,""),IF(BT105=1,BT$4,""),IF(BU105=1,BU$4,""),IF(BV105=1,BV$4,""),IF(BW105=1,BW$4,""),IF(BX105=1,BX$4,""),IF(BY105=1,BY$4,""),IF(BZ105=1,BZ$4,""),IF(CA105=1,CA$4,""),IF(CB105=1,CB$4,""),IF(CC105=1,CC$4,""),IF(CD105=1,CD$4,""),IF(CE105=1,CE$4,""),IF(CF105=1,CF$4,""),IF(CG105=1,CG$4,""),IF(CH105=1,CH$4,""),IF(CI105=1,CI$4,""),IF(CJ105=1,CJ$4,""),IF(CK105=1,CK$4,""),IF(CL105=1,CL$4,""),IF(CM105=1,CM$4,""),IF(CN105=1,CN$4,""),IF(CO105=1,CO$4,""),IF(CP105=1,CP$4,""),IF(CQ105=1,CQ$4,""),IF(CR105=1,CR$4,""),IF(CS105=1,CS$4,""),IF(CT105=1,CT$4,""),IF(CU105=1,CU$4,""),IF(CV105=1,CV$4,""),IF(CW105=1,CW$4,""),IF(CX105=1,CX$4,""),IF(CY105=1,CY$4,""),IF(CZ105=1,CZ$4,""),IF(DA105=1,DA$4,""),IF(DB105=1,DB$4,""),IF(DC105=1,DC$4,""),IF(DD105=1,DD$4,""),IF(DE105=1,DE$4,""),IF(DF105=1,DF$4,""),IF(DG105=1,DG$4,""),IF(DH105=1,DH$4,""),IF(DI105=1,DI$4,""),IF(DJ105=1,DJ$4,""),IF(DK105=1,DK$4,""),IF(DL105=1,DL$4,""),IF(DM105=1,DM$4,""),IF(DN105=1,DN$4,""),IF(DO105=1,DO$4,""),IF(DP105=1,DP$4,""),IF(DQ105=1,DQ$4,""),IF(DR105=1,DR$4,""),IF(DS105=1,DS$4,""),IF(DT105=1,DT$4,""),IF(DU105=1,DU$4,""))</f>
        <v/>
      </c>
      <c r="BB105" s="501">
        <f>VLOOKUP(W105,'Catalogue Aluminium'!$B$9:$H$93,7,FALSE)</f>
        <v>16</v>
      </c>
      <c r="BC105" s="328">
        <f t="shared" ref="BC105:BC112" si="1175">AP105*BB105</f>
        <v>16</v>
      </c>
      <c r="BE105" s="336"/>
      <c r="BF105" s="336"/>
      <c r="BG105" s="336"/>
      <c r="BH105" s="336"/>
      <c r="BI105" s="336"/>
      <c r="BJ105" s="336"/>
      <c r="BK105" s="336"/>
      <c r="BL105" s="336"/>
      <c r="BM105" s="336"/>
      <c r="BN105" s="336"/>
      <c r="BO105" s="336"/>
      <c r="BP105" s="336"/>
      <c r="BQ105" s="336"/>
      <c r="BR105" s="336"/>
      <c r="BS105" s="336"/>
      <c r="BT105" s="336"/>
      <c r="BU105" s="336"/>
      <c r="BV105" s="336"/>
      <c r="BW105" s="336"/>
      <c r="BX105" s="336"/>
      <c r="BY105" s="336"/>
      <c r="BZ105" s="336"/>
      <c r="CA105" s="336"/>
      <c r="CB105" s="336"/>
      <c r="CC105" s="336"/>
      <c r="CD105" s="336"/>
      <c r="CE105" s="336"/>
      <c r="CF105" s="336"/>
      <c r="CG105" s="336"/>
      <c r="CH105" s="336"/>
      <c r="CI105" s="336"/>
      <c r="CJ105" s="336"/>
      <c r="CK105" s="336"/>
      <c r="CL105" s="336"/>
      <c r="CM105" s="336"/>
      <c r="CN105" s="336"/>
      <c r="CO105" s="336"/>
      <c r="CP105" s="336"/>
      <c r="CQ105" s="336"/>
      <c r="CR105" s="336"/>
      <c r="CS105" s="336"/>
      <c r="CT105" s="336"/>
      <c r="CU105" s="336"/>
      <c r="CV105" s="336"/>
      <c r="CW105" s="336"/>
      <c r="CX105" s="336"/>
      <c r="CY105" s="336"/>
      <c r="CZ105" s="336"/>
      <c r="DA105" s="336"/>
      <c r="DB105" s="336"/>
      <c r="DC105" s="336"/>
      <c r="DD105" s="336"/>
      <c r="DE105" s="336"/>
      <c r="DF105" s="336"/>
      <c r="DG105" s="336"/>
      <c r="DH105" s="336"/>
      <c r="DI105" s="336"/>
      <c r="DJ105" s="336"/>
      <c r="DK105" s="336"/>
      <c r="DL105" s="336"/>
      <c r="DM105" s="336"/>
      <c r="DN105" s="336"/>
      <c r="DO105" s="336"/>
      <c r="DP105" s="336"/>
      <c r="DQ105" s="336"/>
      <c r="DR105" s="336"/>
      <c r="DS105" s="336"/>
      <c r="DT105" s="336"/>
      <c r="DU105" s="336"/>
      <c r="DW105" s="336">
        <f t="shared" si="1022"/>
        <v>0</v>
      </c>
      <c r="DX105" s="336">
        <f t="shared" si="900"/>
        <v>0</v>
      </c>
      <c r="DY105" s="336">
        <f t="shared" si="901"/>
        <v>0</v>
      </c>
      <c r="DZ105" s="336">
        <f t="shared" si="902"/>
        <v>0</v>
      </c>
      <c r="EA105" s="336">
        <f t="shared" si="903"/>
        <v>0</v>
      </c>
      <c r="EB105" s="336">
        <f t="shared" si="904"/>
        <v>0</v>
      </c>
      <c r="EC105" s="336">
        <f t="shared" si="905"/>
        <v>0</v>
      </c>
      <c r="ED105" s="336">
        <f t="shared" si="906"/>
        <v>0</v>
      </c>
      <c r="EE105" s="336">
        <f t="shared" si="907"/>
        <v>0</v>
      </c>
      <c r="EF105" s="336">
        <f t="shared" si="908"/>
        <v>0</v>
      </c>
      <c r="EG105" s="336">
        <f t="shared" si="909"/>
        <v>0</v>
      </c>
      <c r="EH105" s="336">
        <f t="shared" si="910"/>
        <v>0</v>
      </c>
      <c r="EI105" s="336">
        <f t="shared" si="911"/>
        <v>0</v>
      </c>
      <c r="EJ105" s="336">
        <f t="shared" si="912"/>
        <v>0</v>
      </c>
      <c r="EK105" s="336">
        <f t="shared" si="913"/>
        <v>0</v>
      </c>
      <c r="EL105" s="336">
        <f t="shared" si="914"/>
        <v>0</v>
      </c>
      <c r="EM105" s="336">
        <f t="shared" si="915"/>
        <v>0</v>
      </c>
      <c r="EN105" s="336">
        <f t="shared" si="916"/>
        <v>0</v>
      </c>
      <c r="EO105" s="336">
        <f t="shared" si="917"/>
        <v>0</v>
      </c>
      <c r="EP105" s="336">
        <f t="shared" si="918"/>
        <v>0</v>
      </c>
      <c r="EQ105" s="336">
        <f t="shared" si="919"/>
        <v>0</v>
      </c>
      <c r="ER105" s="336">
        <f t="shared" si="920"/>
        <v>0</v>
      </c>
      <c r="ES105" s="336">
        <f t="shared" si="921"/>
        <v>0</v>
      </c>
      <c r="ET105" s="336">
        <f t="shared" si="921"/>
        <v>0</v>
      </c>
      <c r="EU105" s="336">
        <f t="shared" si="922"/>
        <v>0</v>
      </c>
      <c r="EV105" s="336">
        <f t="shared" si="923"/>
        <v>0</v>
      </c>
      <c r="EW105" s="336">
        <f t="shared" si="924"/>
        <v>0</v>
      </c>
      <c r="EX105" s="336">
        <f t="shared" si="925"/>
        <v>0</v>
      </c>
      <c r="EY105" s="336">
        <f t="shared" si="926"/>
        <v>0</v>
      </c>
      <c r="EZ105" s="336">
        <f t="shared" si="927"/>
        <v>0</v>
      </c>
      <c r="FA105" s="336">
        <f t="shared" si="928"/>
        <v>0</v>
      </c>
      <c r="FB105" s="336">
        <f t="shared" si="929"/>
        <v>0</v>
      </c>
      <c r="FC105" s="336">
        <f t="shared" si="930"/>
        <v>0</v>
      </c>
      <c r="FD105" s="336">
        <f t="shared" si="931"/>
        <v>0</v>
      </c>
      <c r="FE105" s="336">
        <f t="shared" si="932"/>
        <v>0</v>
      </c>
      <c r="FF105" s="336">
        <f t="shared" si="933"/>
        <v>0</v>
      </c>
      <c r="FG105" s="336">
        <f t="shared" si="934"/>
        <v>0</v>
      </c>
      <c r="FH105" s="336">
        <f t="shared" si="935"/>
        <v>0</v>
      </c>
      <c r="FI105" s="336">
        <f t="shared" si="936"/>
        <v>0</v>
      </c>
      <c r="FJ105" s="336">
        <f t="shared" si="937"/>
        <v>0</v>
      </c>
      <c r="FK105" s="336">
        <f t="shared" si="938"/>
        <v>0</v>
      </c>
      <c r="FL105" s="336">
        <f t="shared" si="939"/>
        <v>0</v>
      </c>
      <c r="FM105" s="336">
        <f t="shared" si="940"/>
        <v>0</v>
      </c>
      <c r="FN105" s="336">
        <f t="shared" si="941"/>
        <v>0</v>
      </c>
      <c r="FO105" s="336">
        <f t="shared" si="942"/>
        <v>0</v>
      </c>
      <c r="FP105" s="336">
        <f t="shared" si="943"/>
        <v>0</v>
      </c>
      <c r="FQ105" s="336">
        <f t="shared" si="944"/>
        <v>0</v>
      </c>
      <c r="FR105" s="336">
        <f t="shared" si="945"/>
        <v>0</v>
      </c>
      <c r="FS105" s="336">
        <f t="shared" si="946"/>
        <v>0</v>
      </c>
      <c r="FT105" s="336">
        <f t="shared" si="947"/>
        <v>0</v>
      </c>
      <c r="FU105" s="336">
        <f t="shared" si="553"/>
        <v>0</v>
      </c>
      <c r="FV105" s="336">
        <f t="shared" si="554"/>
        <v>0</v>
      </c>
      <c r="FW105" s="336">
        <f t="shared" si="555"/>
        <v>0</v>
      </c>
      <c r="FX105" s="336">
        <f t="shared" si="556"/>
        <v>0</v>
      </c>
      <c r="FY105" s="336">
        <f t="shared" si="948"/>
        <v>0</v>
      </c>
      <c r="FZ105" s="336">
        <f t="shared" si="949"/>
        <v>0</v>
      </c>
      <c r="GA105" s="336">
        <f t="shared" si="950"/>
        <v>0</v>
      </c>
      <c r="GB105" s="336">
        <f t="shared" si="951"/>
        <v>0</v>
      </c>
      <c r="GC105" s="336">
        <f t="shared" si="952"/>
        <v>0</v>
      </c>
      <c r="GD105" s="336">
        <f t="shared" si="953"/>
        <v>0</v>
      </c>
      <c r="GE105" s="336">
        <f t="shared" si="954"/>
        <v>0</v>
      </c>
      <c r="GF105" s="336">
        <f t="shared" si="955"/>
        <v>0</v>
      </c>
      <c r="GG105" s="336">
        <f t="shared" si="956"/>
        <v>0</v>
      </c>
      <c r="GH105" s="336">
        <f t="shared" si="957"/>
        <v>0</v>
      </c>
      <c r="GI105" s="336">
        <f t="shared" si="958"/>
        <v>0</v>
      </c>
      <c r="GJ105" s="336">
        <f t="shared" si="959"/>
        <v>0</v>
      </c>
      <c r="GK105" s="336">
        <f t="shared" si="960"/>
        <v>0</v>
      </c>
      <c r="GL105" s="336">
        <f t="shared" si="557"/>
        <v>0</v>
      </c>
      <c r="GM105" s="336">
        <f t="shared" si="961"/>
        <v>0</v>
      </c>
    </row>
    <row r="106" spans="1:195" ht="29.25" customHeight="1">
      <c r="A106" s="337">
        <f>A105+1</f>
        <v>74</v>
      </c>
      <c r="B106" s="453" t="s">
        <v>1170</v>
      </c>
      <c r="C106" s="372" t="str">
        <f t="shared" si="1160"/>
        <v>PDB-2</v>
      </c>
      <c r="D106" s="440" t="s">
        <v>1196</v>
      </c>
      <c r="E106" s="569" t="s">
        <v>419</v>
      </c>
      <c r="F106" s="756" t="s">
        <v>29</v>
      </c>
      <c r="G106" s="337" t="s">
        <v>329</v>
      </c>
      <c r="H106" s="350">
        <v>5</v>
      </c>
      <c r="I106" s="337" t="s">
        <v>330</v>
      </c>
      <c r="J106" s="337" t="s">
        <v>331</v>
      </c>
      <c r="K106" s="349">
        <v>400</v>
      </c>
      <c r="L106" s="343">
        <v>0.85</v>
      </c>
      <c r="M106" s="350">
        <v>0.95</v>
      </c>
      <c r="N106" s="342">
        <f t="shared" si="869"/>
        <v>8.9375728412186568</v>
      </c>
      <c r="O106" s="342">
        <f t="shared" si="1161"/>
        <v>0</v>
      </c>
      <c r="P106" s="343" t="str">
        <f t="shared" si="871"/>
        <v>0.00</v>
      </c>
      <c r="Q106" s="350">
        <v>65</v>
      </c>
      <c r="R106" s="350">
        <v>0</v>
      </c>
      <c r="S106" s="350">
        <f t="shared" si="872"/>
        <v>0</v>
      </c>
      <c r="T106" s="343" t="s">
        <v>332</v>
      </c>
      <c r="U106" s="350" t="s">
        <v>522</v>
      </c>
      <c r="V106" s="343">
        <v>4</v>
      </c>
      <c r="W106" s="343" t="str">
        <f t="shared" si="873"/>
        <v>4C X 4</v>
      </c>
      <c r="X106" s="343" t="str">
        <f t="shared" si="1162"/>
        <v>4C X 4</v>
      </c>
      <c r="Y106" s="343" t="s">
        <v>358</v>
      </c>
      <c r="Z106" s="344">
        <f>IF(T106="AIR",VLOOKUP(W106,'Catalogue Aluminium'!$B$9:$G$93,2,FALSE),IF(T106="GROUND",VLOOKUP(W106,'Catalogue Aluminium'!$B$9:$G$93,3,FALSE),IF(T106="DUCT",VLOOKUP(W106,'Catalogue Aluminium'!$B$9:$G$93,4,FALSE),IF(T106="TRENCH",VLOOKUP(W106,'Catalogue Aluminium'!$B$9:$G$93,2,FALSE)))))</f>
        <v>38</v>
      </c>
      <c r="AA106" s="345">
        <f>VLOOKUP(W106,'Catalogue Aluminium'!$B$9:$G$93,5,FALSE)</f>
        <v>5.9</v>
      </c>
      <c r="AB106" s="345">
        <f>VLOOKUP(W106,'Catalogue Aluminium'!$B$9:$G$93,6,FALSE)</f>
        <v>9.4700000000000006E-2</v>
      </c>
      <c r="AC106" s="343">
        <f t="shared" si="1163"/>
        <v>17</v>
      </c>
      <c r="AD106" s="346">
        <v>3</v>
      </c>
      <c r="AE106" s="343">
        <v>5</v>
      </c>
      <c r="AF106" s="343">
        <v>8</v>
      </c>
      <c r="AG106" s="343">
        <f t="shared" si="134"/>
        <v>4</v>
      </c>
      <c r="AH106" s="347">
        <f t="shared" si="1164"/>
        <v>37</v>
      </c>
      <c r="AI106" s="344">
        <f>IF(T106="AIR",'Catalogue Aluminium'!$K$9,IF(T106="TRENCH",'Catalogue Aluminium'!$K$12,"NA"))</f>
        <v>0.89</v>
      </c>
      <c r="AJ106" s="342">
        <f>IF(T106="Air",(IF(U106="1C",'Catalogue Aluminium'!$L$9,'Catalogue Aluminium'!$M$9)),IF(T106="DUCT",(IF($U106="1C",'Catalogue Aluminium'!$L$10,'Catalogue Aluminium'!$M$10)),IF(T106="GROUND",(IF($U106="1C",'Catalogue Aluminium'!$L$11,'Catalogue Aluminium'!$M$11)),IF(T106="TRENCH",(IF($U106="1C",'Catalogue Aluminium'!$L$12,'Catalogue Aluminium'!$M$12))))))</f>
        <v>0.66</v>
      </c>
      <c r="AK106" s="344" t="str">
        <f>IF(T106="Air",'Catalogue Aluminium'!$N$9,IF(T106="GROUND",'Catalogue Aluminium'!$N$10,IF(T106="DUCT",'Catalogue Aluminium'!$N$11,IF(T106="TRENCH",'Catalogue Aluminium'!$N$12,"NA"))))</f>
        <v>NA</v>
      </c>
      <c r="AL106" s="344" t="str">
        <f>IF(T106="Air",(IF(U106="1C",'Catalogue Aluminium'!$O$9,'Catalogue Aluminium'!$P$9)),IF(T106="DUCT",(IF($U106="1C",'Catalogue Aluminium'!$O$10,'Catalogue Aluminium'!$P$10)),IF(T106="GROUND",(IF($U106="1C",'Catalogue Aluminium'!$O$11,'Catalogue Aluminium'!$P$11)),IF(T106="TRENCH",(IF($U106="1C",'Catalogue Aluminium'!$O$12,'Catalogue Aluminium'!$P$12))))))</f>
        <v>NA</v>
      </c>
      <c r="AM106" s="344" t="str">
        <f>IF(T106="AIR","NA",IF(T106="TRENCH","NA",IF(T106="DUCT",IF(U106="1C",VLOOKUP(V106,'Catalogue Aluminium'!$Q$9:$S$28,2,FALSE),VLOOKUP(V106,'Catalogue Aluminium'!$Q$9:$S$28,3)),IF(T106="GROUND",IF(U106="1C",VLOOKUP(V106,'Catalogue Aluminium'!$Q$9:$S$28,2,FALSE),VLOOKUP(V106,'Catalogue Aluminium'!$Q$9:$S$28,3))))))</f>
        <v>NA</v>
      </c>
      <c r="AN106" s="351">
        <f t="shared" si="1165"/>
        <v>0.58740000000000003</v>
      </c>
      <c r="AO106" s="350">
        <f t="shared" si="1166"/>
        <v>22.321200000000001</v>
      </c>
      <c r="AP106" s="349">
        <f t="shared" si="1167"/>
        <v>1</v>
      </c>
      <c r="AQ106" s="350" t="str">
        <f t="shared" si="1168"/>
        <v>YES</v>
      </c>
      <c r="AR106" s="351">
        <f t="shared" si="136"/>
        <v>0.72525654485707436</v>
      </c>
      <c r="AS106" s="343" t="str">
        <f t="shared" si="137"/>
        <v>YES</v>
      </c>
      <c r="AT106" s="351" t="str">
        <f t="shared" si="1169"/>
        <v>NA</v>
      </c>
      <c r="AU106" s="343" t="str">
        <f t="shared" si="1170"/>
        <v>NA</v>
      </c>
      <c r="AV106" s="354" t="str">
        <f t="shared" si="1171"/>
        <v>1R x 0.6/1kV x 4C x 4 Sqmm</v>
      </c>
      <c r="AW106" s="354" t="str">
        <f t="shared" si="893"/>
        <v>1R x 0.6/1kV x 4C x 4 Sqmm</v>
      </c>
      <c r="AX106" s="343">
        <f t="shared" si="1172"/>
        <v>37</v>
      </c>
      <c r="AY106" s="355"/>
      <c r="AZ106" s="355">
        <f t="shared" si="1173"/>
        <v>2</v>
      </c>
      <c r="BA106" s="356" t="str">
        <f t="shared" si="1174"/>
        <v/>
      </c>
      <c r="BB106" s="501">
        <f>VLOOKUP(W106,'Catalogue Aluminium'!$B$9:$H$93,7,FALSE)</f>
        <v>16</v>
      </c>
      <c r="BC106" s="328">
        <f t="shared" si="1175"/>
        <v>16</v>
      </c>
      <c r="BE106" s="336"/>
      <c r="BF106" s="336"/>
      <c r="BG106" s="336"/>
      <c r="BH106" s="336"/>
      <c r="BI106" s="336"/>
      <c r="BJ106" s="336"/>
      <c r="BK106" s="336"/>
      <c r="BL106" s="336"/>
      <c r="BM106" s="336"/>
      <c r="BN106" s="336"/>
      <c r="BO106" s="336"/>
      <c r="BP106" s="336"/>
      <c r="BQ106" s="336"/>
      <c r="BR106" s="336"/>
      <c r="BS106" s="336"/>
      <c r="BT106" s="336"/>
      <c r="BU106" s="336"/>
      <c r="BV106" s="336"/>
      <c r="BW106" s="336"/>
      <c r="BX106" s="336"/>
      <c r="BY106" s="336"/>
      <c r="BZ106" s="336"/>
      <c r="CA106" s="336"/>
      <c r="CB106" s="336"/>
      <c r="CC106" s="336"/>
      <c r="CD106" s="336"/>
      <c r="CE106" s="336"/>
      <c r="CF106" s="336"/>
      <c r="CG106" s="336"/>
      <c r="CH106" s="336"/>
      <c r="CI106" s="336"/>
      <c r="CJ106" s="336"/>
      <c r="CK106" s="336"/>
      <c r="CL106" s="336"/>
      <c r="CM106" s="336"/>
      <c r="CN106" s="336"/>
      <c r="CO106" s="336"/>
      <c r="CP106" s="336"/>
      <c r="CQ106" s="336"/>
      <c r="CR106" s="336"/>
      <c r="CS106" s="336"/>
      <c r="CT106" s="336"/>
      <c r="CU106" s="336"/>
      <c r="CV106" s="336"/>
      <c r="CW106" s="336"/>
      <c r="CX106" s="336"/>
      <c r="CY106" s="336"/>
      <c r="CZ106" s="336"/>
      <c r="DA106" s="336"/>
      <c r="DB106" s="336"/>
      <c r="DC106" s="336"/>
      <c r="DD106" s="336"/>
      <c r="DE106" s="336"/>
      <c r="DF106" s="336"/>
      <c r="DG106" s="336"/>
      <c r="DH106" s="336"/>
      <c r="DI106" s="336"/>
      <c r="DJ106" s="336"/>
      <c r="DK106" s="336"/>
      <c r="DL106" s="336"/>
      <c r="DM106" s="336"/>
      <c r="DN106" s="336"/>
      <c r="DO106" s="336"/>
      <c r="DP106" s="336"/>
      <c r="DQ106" s="336"/>
      <c r="DR106" s="336"/>
      <c r="DS106" s="336"/>
      <c r="DT106" s="336"/>
      <c r="DU106" s="336"/>
      <c r="DW106" s="336">
        <f t="shared" si="1022"/>
        <v>0</v>
      </c>
      <c r="DX106" s="336">
        <f t="shared" si="900"/>
        <v>0</v>
      </c>
      <c r="DY106" s="336">
        <f t="shared" si="901"/>
        <v>0</v>
      </c>
      <c r="DZ106" s="336">
        <f t="shared" si="902"/>
        <v>0</v>
      </c>
      <c r="EA106" s="336">
        <f t="shared" si="903"/>
        <v>0</v>
      </c>
      <c r="EB106" s="336">
        <f t="shared" si="904"/>
        <v>0</v>
      </c>
      <c r="EC106" s="336">
        <f t="shared" si="905"/>
        <v>0</v>
      </c>
      <c r="ED106" s="336">
        <f t="shared" si="906"/>
        <v>0</v>
      </c>
      <c r="EE106" s="336">
        <f t="shared" si="907"/>
        <v>0</v>
      </c>
      <c r="EF106" s="336">
        <f t="shared" si="908"/>
        <v>0</v>
      </c>
      <c r="EG106" s="336">
        <f t="shared" si="909"/>
        <v>0</v>
      </c>
      <c r="EH106" s="336">
        <f t="shared" si="910"/>
        <v>0</v>
      </c>
      <c r="EI106" s="336">
        <f t="shared" si="911"/>
        <v>0</v>
      </c>
      <c r="EJ106" s="336">
        <f t="shared" si="912"/>
        <v>0</v>
      </c>
      <c r="EK106" s="336">
        <f t="shared" si="913"/>
        <v>0</v>
      </c>
      <c r="EL106" s="336">
        <f t="shared" si="914"/>
        <v>0</v>
      </c>
      <c r="EM106" s="336">
        <f t="shared" si="915"/>
        <v>0</v>
      </c>
      <c r="EN106" s="336">
        <f t="shared" si="916"/>
        <v>0</v>
      </c>
      <c r="EO106" s="336">
        <f t="shared" si="917"/>
        <v>0</v>
      </c>
      <c r="EP106" s="336">
        <f t="shared" si="918"/>
        <v>0</v>
      </c>
      <c r="EQ106" s="336">
        <f t="shared" si="919"/>
        <v>0</v>
      </c>
      <c r="ER106" s="336">
        <f t="shared" si="920"/>
        <v>0</v>
      </c>
      <c r="ES106" s="336">
        <f t="shared" si="921"/>
        <v>0</v>
      </c>
      <c r="ET106" s="336">
        <f t="shared" si="921"/>
        <v>0</v>
      </c>
      <c r="EU106" s="336">
        <f t="shared" si="922"/>
        <v>0</v>
      </c>
      <c r="EV106" s="336">
        <f t="shared" si="923"/>
        <v>0</v>
      </c>
      <c r="EW106" s="336">
        <f t="shared" si="924"/>
        <v>0</v>
      </c>
      <c r="EX106" s="336">
        <f t="shared" si="925"/>
        <v>0</v>
      </c>
      <c r="EY106" s="336">
        <f t="shared" si="926"/>
        <v>0</v>
      </c>
      <c r="EZ106" s="336">
        <f t="shared" si="927"/>
        <v>0</v>
      </c>
      <c r="FA106" s="336">
        <f t="shared" si="928"/>
        <v>0</v>
      </c>
      <c r="FB106" s="336">
        <f t="shared" si="929"/>
        <v>0</v>
      </c>
      <c r="FC106" s="336">
        <f t="shared" si="930"/>
        <v>0</v>
      </c>
      <c r="FD106" s="336">
        <f t="shared" si="931"/>
        <v>0</v>
      </c>
      <c r="FE106" s="336">
        <f t="shared" si="932"/>
        <v>0</v>
      </c>
      <c r="FF106" s="336">
        <f t="shared" si="933"/>
        <v>0</v>
      </c>
      <c r="FG106" s="336">
        <f t="shared" si="934"/>
        <v>0</v>
      </c>
      <c r="FH106" s="336">
        <f t="shared" si="935"/>
        <v>0</v>
      </c>
      <c r="FI106" s="336">
        <f t="shared" si="936"/>
        <v>0</v>
      </c>
      <c r="FJ106" s="336">
        <f t="shared" si="937"/>
        <v>0</v>
      </c>
      <c r="FK106" s="336">
        <f t="shared" si="938"/>
        <v>0</v>
      </c>
      <c r="FL106" s="336">
        <f t="shared" si="939"/>
        <v>0</v>
      </c>
      <c r="FM106" s="336">
        <f t="shared" si="940"/>
        <v>0</v>
      </c>
      <c r="FN106" s="336">
        <f t="shared" si="941"/>
        <v>0</v>
      </c>
      <c r="FO106" s="336">
        <f t="shared" si="942"/>
        <v>0</v>
      </c>
      <c r="FP106" s="336">
        <f t="shared" si="943"/>
        <v>0</v>
      </c>
      <c r="FQ106" s="336">
        <f t="shared" si="944"/>
        <v>0</v>
      </c>
      <c r="FR106" s="336">
        <f t="shared" si="945"/>
        <v>0</v>
      </c>
      <c r="FS106" s="336">
        <f t="shared" si="946"/>
        <v>0</v>
      </c>
      <c r="FT106" s="336">
        <f t="shared" si="947"/>
        <v>0</v>
      </c>
      <c r="FU106" s="336">
        <f t="shared" si="553"/>
        <v>0</v>
      </c>
      <c r="FV106" s="336">
        <f t="shared" si="554"/>
        <v>0</v>
      </c>
      <c r="FW106" s="336">
        <f t="shared" si="555"/>
        <v>0</v>
      </c>
      <c r="FX106" s="336">
        <f t="shared" si="556"/>
        <v>0</v>
      </c>
      <c r="FY106" s="336">
        <f t="shared" si="948"/>
        <v>0</v>
      </c>
      <c r="FZ106" s="336">
        <f t="shared" si="949"/>
        <v>0</v>
      </c>
      <c r="GA106" s="336">
        <f t="shared" si="950"/>
        <v>0</v>
      </c>
      <c r="GB106" s="336">
        <f t="shared" si="951"/>
        <v>0</v>
      </c>
      <c r="GC106" s="336">
        <f t="shared" si="952"/>
        <v>0</v>
      </c>
      <c r="GD106" s="336">
        <f t="shared" si="953"/>
        <v>0</v>
      </c>
      <c r="GE106" s="336">
        <f t="shared" si="954"/>
        <v>0</v>
      </c>
      <c r="GF106" s="336">
        <f t="shared" si="955"/>
        <v>0</v>
      </c>
      <c r="GG106" s="336">
        <f t="shared" si="956"/>
        <v>0</v>
      </c>
      <c r="GH106" s="336">
        <f t="shared" si="957"/>
        <v>0</v>
      </c>
      <c r="GI106" s="336">
        <f t="shared" si="958"/>
        <v>0</v>
      </c>
      <c r="GJ106" s="336">
        <f t="shared" si="959"/>
        <v>0</v>
      </c>
      <c r="GK106" s="336">
        <f t="shared" si="960"/>
        <v>0</v>
      </c>
      <c r="GL106" s="336">
        <f t="shared" si="557"/>
        <v>0</v>
      </c>
      <c r="GM106" s="336">
        <f t="shared" si="961"/>
        <v>0</v>
      </c>
    </row>
    <row r="107" spans="1:195" ht="24" customHeight="1">
      <c r="A107" s="337">
        <f t="shared" ref="A107:A112" si="1176">A106+1</f>
        <v>75</v>
      </c>
      <c r="B107" s="453" t="s">
        <v>1170</v>
      </c>
      <c r="C107" s="372" t="str">
        <f t="shared" si="1160"/>
        <v>PDB-2</v>
      </c>
      <c r="D107" s="567" t="s">
        <v>1197</v>
      </c>
      <c r="E107" s="569" t="s">
        <v>419</v>
      </c>
      <c r="F107" s="756" t="s">
        <v>28</v>
      </c>
      <c r="G107" s="337" t="s">
        <v>329</v>
      </c>
      <c r="H107" s="350">
        <v>5</v>
      </c>
      <c r="I107" s="337" t="s">
        <v>330</v>
      </c>
      <c r="J107" s="337" t="s">
        <v>331</v>
      </c>
      <c r="K107" s="349">
        <v>400</v>
      </c>
      <c r="L107" s="343">
        <v>0.85</v>
      </c>
      <c r="M107" s="350">
        <v>0.95</v>
      </c>
      <c r="N107" s="342">
        <f t="shared" si="869"/>
        <v>8.9375728412186568</v>
      </c>
      <c r="O107" s="342">
        <f t="shared" si="1161"/>
        <v>0</v>
      </c>
      <c r="P107" s="343" t="str">
        <f t="shared" si="871"/>
        <v>0.00</v>
      </c>
      <c r="Q107" s="350">
        <v>65</v>
      </c>
      <c r="R107" s="350">
        <v>0</v>
      </c>
      <c r="S107" s="350">
        <f t="shared" si="872"/>
        <v>0</v>
      </c>
      <c r="T107" s="343" t="s">
        <v>332</v>
      </c>
      <c r="U107" s="350" t="s">
        <v>522</v>
      </c>
      <c r="V107" s="343">
        <v>4</v>
      </c>
      <c r="W107" s="343" t="str">
        <f t="shared" si="873"/>
        <v>4C X 4</v>
      </c>
      <c r="X107" s="343" t="str">
        <f t="shared" si="1162"/>
        <v>4C X 4</v>
      </c>
      <c r="Y107" s="343" t="s">
        <v>358</v>
      </c>
      <c r="Z107" s="344">
        <f>IF(T107="AIR",VLOOKUP(W107,'Catalogue Aluminium'!$B$9:$G$93,2,FALSE),IF(T107="GROUND",VLOOKUP(W107,'Catalogue Aluminium'!$B$9:$G$93,3,FALSE),IF(T107="DUCT",VLOOKUP(W107,'Catalogue Aluminium'!$B$9:$G$93,4,FALSE),IF(T107="TRENCH",VLOOKUP(W107,'Catalogue Aluminium'!$B$9:$G$93,2,FALSE)))))</f>
        <v>38</v>
      </c>
      <c r="AA107" s="345">
        <f>VLOOKUP(W107,'Catalogue Aluminium'!$B$9:$G$93,5,FALSE)</f>
        <v>5.9</v>
      </c>
      <c r="AB107" s="345">
        <f>VLOOKUP(W107,'Catalogue Aluminium'!$B$9:$G$93,6,FALSE)</f>
        <v>9.4700000000000006E-2</v>
      </c>
      <c r="AC107" s="343">
        <f t="shared" si="1163"/>
        <v>17</v>
      </c>
      <c r="AD107" s="346">
        <v>5</v>
      </c>
      <c r="AE107" s="343">
        <v>5</v>
      </c>
      <c r="AF107" s="343">
        <v>8</v>
      </c>
      <c r="AG107" s="343">
        <f t="shared" si="134"/>
        <v>4</v>
      </c>
      <c r="AH107" s="347">
        <f t="shared" si="1164"/>
        <v>39</v>
      </c>
      <c r="AI107" s="921">
        <f>IF(T107="AIR",'Catalogue Aluminium'!$K$9,IF(T107="TRENCH",'Catalogue Aluminium'!$K$12,"NA"))</f>
        <v>0.89</v>
      </c>
      <c r="AJ107" s="342">
        <f>IF(T107="Air",(IF(U107="1C",'Catalogue Aluminium'!$L$9,'Catalogue Aluminium'!$M$9)),IF(T107="DUCT",(IF($U107="1C",'Catalogue Aluminium'!$L$10,'Catalogue Aluminium'!$M$10)),IF(T107="GROUND",(IF($U107="1C",'Catalogue Aluminium'!$L$11,'Catalogue Aluminium'!$M$11)),IF(T107="TRENCH",(IF($U107="1C",'Catalogue Aluminium'!$L$12,'Catalogue Aluminium'!$M$12))))))</f>
        <v>0.66</v>
      </c>
      <c r="AK107" s="344" t="str">
        <f>IF(T107="Air",'Catalogue Aluminium'!$N$9,IF(T107="GROUND",'Catalogue Aluminium'!$N$10,IF(T107="DUCT",'Catalogue Aluminium'!$N$11,IF(T107="TRENCH",'Catalogue Aluminium'!$N$12,"NA"))))</f>
        <v>NA</v>
      </c>
      <c r="AL107" s="344" t="str">
        <f>IF(T107="Air",(IF(U107="1C",'Catalogue Aluminium'!$O$9,'Catalogue Aluminium'!$P$9)),IF(T107="DUCT",(IF($U107="1C",'Catalogue Aluminium'!$O$10,'Catalogue Aluminium'!$P$10)),IF(T107="GROUND",(IF($U107="1C",'Catalogue Aluminium'!$O$11,'Catalogue Aluminium'!$P$11)),IF(T107="TRENCH",(IF($U107="1C",'Catalogue Aluminium'!$O$12,'Catalogue Aluminium'!$P$12))))))</f>
        <v>NA</v>
      </c>
      <c r="AM107" s="344" t="str">
        <f>IF(T107="AIR","NA",IF(T107="TRENCH","NA",IF(T107="DUCT",IF(U107="1C",VLOOKUP(V107,'Catalogue Aluminium'!$Q$9:$S$28,2,FALSE),VLOOKUP(V107,'Catalogue Aluminium'!$Q$9:$S$28,3)),IF(T107="GROUND",IF(U107="1C",VLOOKUP(V107,'Catalogue Aluminium'!$Q$9:$S$28,2,FALSE),VLOOKUP(V107,'Catalogue Aluminium'!$Q$9:$S$28,3))))))</f>
        <v>NA</v>
      </c>
      <c r="AN107" s="351">
        <f t="shared" si="1165"/>
        <v>0.58740000000000003</v>
      </c>
      <c r="AO107" s="350">
        <f t="shared" si="1166"/>
        <v>22.321200000000001</v>
      </c>
      <c r="AP107" s="349">
        <f t="shared" si="1167"/>
        <v>1</v>
      </c>
      <c r="AQ107" s="350" t="str">
        <f t="shared" si="1168"/>
        <v>YES</v>
      </c>
      <c r="AR107" s="351">
        <f t="shared" si="136"/>
        <v>0.76445960133583535</v>
      </c>
      <c r="AS107" s="343" t="str">
        <f t="shared" si="137"/>
        <v>YES</v>
      </c>
      <c r="AT107" s="351" t="str">
        <f t="shared" si="1169"/>
        <v>NA</v>
      </c>
      <c r="AU107" s="343" t="str">
        <f t="shared" si="1170"/>
        <v>NA</v>
      </c>
      <c r="AV107" s="354" t="str">
        <f t="shared" si="1171"/>
        <v>1R x 0.6/1kV x 4C x 4 Sqmm</v>
      </c>
      <c r="AW107" s="354" t="str">
        <f t="shared" si="893"/>
        <v>1R x 0.6/1kV x 4C x 4 Sqmm</v>
      </c>
      <c r="AX107" s="343">
        <f t="shared" si="1172"/>
        <v>39</v>
      </c>
      <c r="AY107" s="355"/>
      <c r="AZ107" s="355">
        <f t="shared" si="1173"/>
        <v>2</v>
      </c>
      <c r="BA107" s="356" t="str">
        <f t="shared" si="1174"/>
        <v/>
      </c>
      <c r="BB107" s="501">
        <f>VLOOKUP(W107,'Catalogue Aluminium'!$B$9:$H$93,7,FALSE)</f>
        <v>16</v>
      </c>
      <c r="BC107" s="328">
        <f t="shared" si="1175"/>
        <v>16</v>
      </c>
      <c r="BE107" s="336"/>
      <c r="BF107" s="336"/>
      <c r="BG107" s="336"/>
      <c r="BH107" s="336"/>
      <c r="BI107" s="336"/>
      <c r="BJ107" s="336"/>
      <c r="BK107" s="336"/>
      <c r="BL107" s="336"/>
      <c r="BM107" s="336"/>
      <c r="BN107" s="336"/>
      <c r="BO107" s="336"/>
      <c r="BP107" s="336"/>
      <c r="BQ107" s="336"/>
      <c r="BR107" s="336"/>
      <c r="BS107" s="336"/>
      <c r="BT107" s="336"/>
      <c r="BU107" s="336"/>
      <c r="BV107" s="336"/>
      <c r="BW107" s="336"/>
      <c r="BX107" s="336"/>
      <c r="BY107" s="336"/>
      <c r="BZ107" s="336"/>
      <c r="CA107" s="336"/>
      <c r="CB107" s="336"/>
      <c r="CC107" s="336"/>
      <c r="CD107" s="336"/>
      <c r="CE107" s="336"/>
      <c r="CF107" s="336"/>
      <c r="CG107" s="336"/>
      <c r="CH107" s="336"/>
      <c r="CI107" s="336"/>
      <c r="CJ107" s="336"/>
      <c r="CK107" s="336"/>
      <c r="CL107" s="336"/>
      <c r="CM107" s="336"/>
      <c r="CN107" s="336"/>
      <c r="CO107" s="336"/>
      <c r="CP107" s="336"/>
      <c r="CQ107" s="336"/>
      <c r="CR107" s="336"/>
      <c r="CS107" s="336"/>
      <c r="CT107" s="336"/>
      <c r="CU107" s="336"/>
      <c r="CV107" s="336"/>
      <c r="CW107" s="336"/>
      <c r="CX107" s="336"/>
      <c r="CY107" s="336"/>
      <c r="CZ107" s="336"/>
      <c r="DA107" s="336"/>
      <c r="DB107" s="336"/>
      <c r="DC107" s="336"/>
      <c r="DD107" s="336"/>
      <c r="DE107" s="336"/>
      <c r="DF107" s="336"/>
      <c r="DG107" s="336"/>
      <c r="DH107" s="336"/>
      <c r="DI107" s="336"/>
      <c r="DJ107" s="336"/>
      <c r="DK107" s="336"/>
      <c r="DL107" s="336"/>
      <c r="DM107" s="336"/>
      <c r="DN107" s="336"/>
      <c r="DO107" s="336"/>
      <c r="DP107" s="336"/>
      <c r="DQ107" s="336"/>
      <c r="DR107" s="336"/>
      <c r="DS107" s="336"/>
      <c r="DT107" s="336"/>
      <c r="DU107" s="336"/>
      <c r="DW107" s="336">
        <f t="shared" si="1022"/>
        <v>0</v>
      </c>
      <c r="DX107" s="336">
        <f t="shared" si="900"/>
        <v>0</v>
      </c>
      <c r="DY107" s="336">
        <f t="shared" si="901"/>
        <v>0</v>
      </c>
      <c r="DZ107" s="336">
        <f t="shared" si="902"/>
        <v>0</v>
      </c>
      <c r="EA107" s="336">
        <f t="shared" si="903"/>
        <v>0</v>
      </c>
      <c r="EB107" s="336">
        <f t="shared" si="904"/>
        <v>0</v>
      </c>
      <c r="EC107" s="336">
        <f t="shared" si="905"/>
        <v>0</v>
      </c>
      <c r="ED107" s="336">
        <f t="shared" si="906"/>
        <v>0</v>
      </c>
      <c r="EE107" s="336">
        <f t="shared" si="907"/>
        <v>0</v>
      </c>
      <c r="EF107" s="336">
        <f t="shared" si="908"/>
        <v>0</v>
      </c>
      <c r="EG107" s="336">
        <f t="shared" si="909"/>
        <v>0</v>
      </c>
      <c r="EH107" s="336">
        <f t="shared" si="910"/>
        <v>0</v>
      </c>
      <c r="EI107" s="336">
        <f t="shared" si="911"/>
        <v>0</v>
      </c>
      <c r="EJ107" s="336">
        <f t="shared" si="912"/>
        <v>0</v>
      </c>
      <c r="EK107" s="336">
        <f t="shared" si="913"/>
        <v>0</v>
      </c>
      <c r="EL107" s="336">
        <f t="shared" si="914"/>
        <v>0</v>
      </c>
      <c r="EM107" s="336">
        <f t="shared" si="915"/>
        <v>0</v>
      </c>
      <c r="EN107" s="336">
        <f t="shared" si="916"/>
        <v>0</v>
      </c>
      <c r="EO107" s="336">
        <f t="shared" si="917"/>
        <v>0</v>
      </c>
      <c r="EP107" s="336">
        <f t="shared" si="918"/>
        <v>0</v>
      </c>
      <c r="EQ107" s="336">
        <f t="shared" si="919"/>
        <v>0</v>
      </c>
      <c r="ER107" s="336">
        <f t="shared" si="920"/>
        <v>0</v>
      </c>
      <c r="ES107" s="336">
        <f t="shared" si="921"/>
        <v>0</v>
      </c>
      <c r="ET107" s="336">
        <f t="shared" si="921"/>
        <v>0</v>
      </c>
      <c r="EU107" s="336">
        <f t="shared" si="922"/>
        <v>0</v>
      </c>
      <c r="EV107" s="336">
        <f t="shared" si="923"/>
        <v>0</v>
      </c>
      <c r="EW107" s="336">
        <f t="shared" si="924"/>
        <v>0</v>
      </c>
      <c r="EX107" s="336">
        <f t="shared" si="925"/>
        <v>0</v>
      </c>
      <c r="EY107" s="336">
        <f t="shared" si="926"/>
        <v>0</v>
      </c>
      <c r="EZ107" s="336">
        <f t="shared" si="927"/>
        <v>0</v>
      </c>
      <c r="FA107" s="336">
        <f t="shared" si="928"/>
        <v>0</v>
      </c>
      <c r="FB107" s="336">
        <f t="shared" si="929"/>
        <v>0</v>
      </c>
      <c r="FC107" s="336">
        <f t="shared" si="930"/>
        <v>0</v>
      </c>
      <c r="FD107" s="336">
        <f t="shared" si="931"/>
        <v>0</v>
      </c>
      <c r="FE107" s="336">
        <f t="shared" si="932"/>
        <v>0</v>
      </c>
      <c r="FF107" s="336">
        <f t="shared" si="933"/>
        <v>0</v>
      </c>
      <c r="FG107" s="336">
        <f t="shared" si="934"/>
        <v>0</v>
      </c>
      <c r="FH107" s="336">
        <f t="shared" si="935"/>
        <v>0</v>
      </c>
      <c r="FI107" s="336">
        <f t="shared" si="936"/>
        <v>0</v>
      </c>
      <c r="FJ107" s="336">
        <f t="shared" si="937"/>
        <v>0</v>
      </c>
      <c r="FK107" s="336">
        <f t="shared" si="938"/>
        <v>0</v>
      </c>
      <c r="FL107" s="336">
        <f t="shared" si="939"/>
        <v>0</v>
      </c>
      <c r="FM107" s="336">
        <f t="shared" si="940"/>
        <v>0</v>
      </c>
      <c r="FN107" s="336">
        <f t="shared" si="941"/>
        <v>0</v>
      </c>
      <c r="FO107" s="336">
        <f t="shared" si="942"/>
        <v>0</v>
      </c>
      <c r="FP107" s="336">
        <f t="shared" si="943"/>
        <v>0</v>
      </c>
      <c r="FQ107" s="336">
        <f t="shared" si="944"/>
        <v>0</v>
      </c>
      <c r="FR107" s="336">
        <f t="shared" si="945"/>
        <v>0</v>
      </c>
      <c r="FS107" s="336">
        <f t="shared" si="946"/>
        <v>0</v>
      </c>
      <c r="FT107" s="336">
        <f t="shared" si="947"/>
        <v>0</v>
      </c>
      <c r="FU107" s="336">
        <f t="shared" si="553"/>
        <v>0</v>
      </c>
      <c r="FV107" s="336">
        <f t="shared" si="554"/>
        <v>0</v>
      </c>
      <c r="FW107" s="336">
        <f t="shared" si="555"/>
        <v>0</v>
      </c>
      <c r="FX107" s="336">
        <f t="shared" si="556"/>
        <v>0</v>
      </c>
      <c r="FY107" s="336">
        <f t="shared" si="948"/>
        <v>0</v>
      </c>
      <c r="FZ107" s="336">
        <f t="shared" si="949"/>
        <v>0</v>
      </c>
      <c r="GA107" s="336">
        <f t="shared" si="950"/>
        <v>0</v>
      </c>
      <c r="GB107" s="336">
        <f t="shared" si="951"/>
        <v>0</v>
      </c>
      <c r="GC107" s="336">
        <f t="shared" si="952"/>
        <v>0</v>
      </c>
      <c r="GD107" s="336">
        <f t="shared" si="953"/>
        <v>0</v>
      </c>
      <c r="GE107" s="336">
        <f t="shared" si="954"/>
        <v>0</v>
      </c>
      <c r="GF107" s="336">
        <f t="shared" si="955"/>
        <v>0</v>
      </c>
      <c r="GG107" s="336">
        <f t="shared" si="956"/>
        <v>0</v>
      </c>
      <c r="GH107" s="336">
        <f t="shared" si="957"/>
        <v>0</v>
      </c>
      <c r="GI107" s="336">
        <f t="shared" si="958"/>
        <v>0</v>
      </c>
      <c r="GJ107" s="336">
        <f t="shared" si="959"/>
        <v>0</v>
      </c>
      <c r="GK107" s="336">
        <f t="shared" si="960"/>
        <v>0</v>
      </c>
      <c r="GL107" s="336">
        <f t="shared" si="557"/>
        <v>0</v>
      </c>
      <c r="GM107" s="336">
        <f t="shared" si="961"/>
        <v>0</v>
      </c>
    </row>
    <row r="108" spans="1:195" ht="30.75" customHeight="1">
      <c r="A108" s="337">
        <f t="shared" si="1176"/>
        <v>76</v>
      </c>
      <c r="B108" s="453" t="s">
        <v>1170</v>
      </c>
      <c r="C108" s="372" t="str">
        <f t="shared" si="1160"/>
        <v>PDB-2</v>
      </c>
      <c r="D108" s="567" t="s">
        <v>1198</v>
      </c>
      <c r="E108" s="569" t="s">
        <v>419</v>
      </c>
      <c r="F108" s="756" t="s">
        <v>29</v>
      </c>
      <c r="G108" s="337" t="s">
        <v>329</v>
      </c>
      <c r="H108" s="350">
        <v>5</v>
      </c>
      <c r="I108" s="337" t="s">
        <v>330</v>
      </c>
      <c r="J108" s="337" t="s">
        <v>331</v>
      </c>
      <c r="K108" s="349">
        <v>400</v>
      </c>
      <c r="L108" s="343">
        <v>0.85</v>
      </c>
      <c r="M108" s="350">
        <v>0.95</v>
      </c>
      <c r="N108" s="342">
        <f t="shared" si="869"/>
        <v>8.9375728412186568</v>
      </c>
      <c r="O108" s="342">
        <f t="shared" si="1161"/>
        <v>0</v>
      </c>
      <c r="P108" s="343" t="str">
        <f t="shared" si="871"/>
        <v>0.00</v>
      </c>
      <c r="Q108" s="350">
        <v>65</v>
      </c>
      <c r="R108" s="350">
        <v>0</v>
      </c>
      <c r="S108" s="350">
        <f t="shared" si="872"/>
        <v>0</v>
      </c>
      <c r="T108" s="343" t="s">
        <v>332</v>
      </c>
      <c r="U108" s="350" t="s">
        <v>522</v>
      </c>
      <c r="V108" s="343">
        <v>4</v>
      </c>
      <c r="W108" s="343" t="str">
        <f t="shared" si="873"/>
        <v>4C X 4</v>
      </c>
      <c r="X108" s="343" t="str">
        <f t="shared" si="1162"/>
        <v>4C X 4</v>
      </c>
      <c r="Y108" s="343" t="s">
        <v>358</v>
      </c>
      <c r="Z108" s="344">
        <f>IF(T108="AIR",VLOOKUP(W108,'Catalogue Aluminium'!$B$9:$G$93,2,FALSE),IF(T108="GROUND",VLOOKUP(W108,'Catalogue Aluminium'!$B$9:$G$93,3,FALSE),IF(T108="DUCT",VLOOKUP(W108,'Catalogue Aluminium'!$B$9:$G$93,4,FALSE),IF(T108="TRENCH",VLOOKUP(W108,'Catalogue Aluminium'!$B$9:$G$93,2,FALSE)))))</f>
        <v>38</v>
      </c>
      <c r="AA108" s="345">
        <f>VLOOKUP(W108,'Catalogue Aluminium'!$B$9:$G$93,5,FALSE)</f>
        <v>5.9</v>
      </c>
      <c r="AB108" s="345">
        <f>VLOOKUP(W108,'Catalogue Aluminium'!$B$9:$G$93,6,FALSE)</f>
        <v>9.4700000000000006E-2</v>
      </c>
      <c r="AC108" s="343">
        <f t="shared" si="1163"/>
        <v>17</v>
      </c>
      <c r="AD108" s="346">
        <v>5</v>
      </c>
      <c r="AE108" s="343">
        <v>5</v>
      </c>
      <c r="AF108" s="343">
        <v>8</v>
      </c>
      <c r="AG108" s="343">
        <f t="shared" ref="AG108:AG171" si="1177">ROUNDUP((SUM(AC108:AF108)*0.1),0)</f>
        <v>4</v>
      </c>
      <c r="AH108" s="347">
        <f t="shared" si="1164"/>
        <v>39</v>
      </c>
      <c r="AI108" s="344">
        <f>IF(T108="AIR",'Catalogue Aluminium'!$K$9,IF(T108="TRENCH",'Catalogue Aluminium'!$K$12,"NA"))</f>
        <v>0.89</v>
      </c>
      <c r="AJ108" s="342">
        <f>IF(T108="Air",(IF(U108="1C",'Catalogue Aluminium'!$L$9,'Catalogue Aluminium'!$M$9)),IF(T108="DUCT",(IF($U108="1C",'Catalogue Aluminium'!$L$10,'Catalogue Aluminium'!$M$10)),IF(T108="GROUND",(IF($U108="1C",'Catalogue Aluminium'!$L$11,'Catalogue Aluminium'!$M$11)),IF(T108="TRENCH",(IF($U108="1C",'Catalogue Aluminium'!$L$12,'Catalogue Aluminium'!$M$12))))))</f>
        <v>0.66</v>
      </c>
      <c r="AK108" s="344" t="str">
        <f>IF(T108="Air",'Catalogue Aluminium'!$N$9,IF(T108="GROUND",'Catalogue Aluminium'!$N$10,IF(T108="DUCT",'Catalogue Aluminium'!$N$11,IF(T108="TRENCH",'Catalogue Aluminium'!$N$12,"NA"))))</f>
        <v>NA</v>
      </c>
      <c r="AL108" s="344" t="str">
        <f>IF(T108="Air",(IF(U108="1C",'Catalogue Aluminium'!$O$9,'Catalogue Aluminium'!$P$9)),IF(T108="DUCT",(IF($U108="1C",'Catalogue Aluminium'!$O$10,'Catalogue Aluminium'!$P$10)),IF(T108="GROUND",(IF($U108="1C",'Catalogue Aluminium'!$O$11,'Catalogue Aluminium'!$P$11)),IF(T108="TRENCH",(IF($U108="1C",'Catalogue Aluminium'!$O$12,'Catalogue Aluminium'!$P$12))))))</f>
        <v>NA</v>
      </c>
      <c r="AM108" s="344" t="str">
        <f>IF(T108="AIR","NA",IF(T108="TRENCH","NA",IF(T108="DUCT",IF(U108="1C",VLOOKUP(V108,'Catalogue Aluminium'!$Q$9:$S$28,2,FALSE),VLOOKUP(V108,'Catalogue Aluminium'!$Q$9:$S$28,3)),IF(T108="GROUND",IF(U108="1C",VLOOKUP(V108,'Catalogue Aluminium'!$Q$9:$S$28,2,FALSE),VLOOKUP(V108,'Catalogue Aluminium'!$Q$9:$S$28,3))))))</f>
        <v>NA</v>
      </c>
      <c r="AN108" s="351">
        <f t="shared" si="1165"/>
        <v>0.58740000000000003</v>
      </c>
      <c r="AO108" s="350">
        <f t="shared" si="1166"/>
        <v>22.321200000000001</v>
      </c>
      <c r="AP108" s="349">
        <f t="shared" si="1167"/>
        <v>1</v>
      </c>
      <c r="AQ108" s="350" t="str">
        <f t="shared" si="1168"/>
        <v>YES</v>
      </c>
      <c r="AR108" s="351">
        <f t="shared" ref="AR108:AR171" si="1178">SQRT(3)*AH108*N108*((AA108*L108)+(AB108*SIN(ACOS(L108))))*100/(AP108*K108*1000)</f>
        <v>0.76445960133583535</v>
      </c>
      <c r="AS108" s="343" t="str">
        <f t="shared" ref="AS108:AS171" si="1179">IF(G108="INCOMER",(IF(AR108&lt;=2,"YES","NO")),IF(G108="POWER",(IF(AR108&lt;=2.5,"YES","NO")),IF(G108="MOTOR",(IF(AR108&lt;=3,"YES","NO")))))</f>
        <v>YES</v>
      </c>
      <c r="AT108" s="351" t="str">
        <f t="shared" si="1169"/>
        <v>NA</v>
      </c>
      <c r="AU108" s="343" t="str">
        <f t="shared" si="1170"/>
        <v>NA</v>
      </c>
      <c r="AV108" s="354" t="str">
        <f t="shared" si="1171"/>
        <v>1R x 0.6/1kV x 4C x 4 Sqmm</v>
      </c>
      <c r="AW108" s="354" t="str">
        <f t="shared" si="893"/>
        <v>1R x 0.6/1kV x 4C x 4 Sqmm</v>
      </c>
      <c r="AX108" s="343">
        <f t="shared" si="1172"/>
        <v>39</v>
      </c>
      <c r="AY108" s="355"/>
      <c r="AZ108" s="355">
        <f t="shared" si="1173"/>
        <v>2</v>
      </c>
      <c r="BA108" s="356" t="str">
        <f t="shared" si="1174"/>
        <v/>
      </c>
      <c r="BB108" s="501">
        <f>VLOOKUP(W108,'Catalogue Aluminium'!$B$9:$H$93,7,FALSE)</f>
        <v>16</v>
      </c>
      <c r="BC108" s="328">
        <f t="shared" si="1175"/>
        <v>16</v>
      </c>
      <c r="BE108" s="336"/>
      <c r="BF108" s="336"/>
      <c r="BG108" s="336"/>
      <c r="BH108" s="336"/>
      <c r="BI108" s="336"/>
      <c r="BJ108" s="336"/>
      <c r="BK108" s="336"/>
      <c r="BL108" s="336"/>
      <c r="BM108" s="336"/>
      <c r="BN108" s="336"/>
      <c r="BO108" s="336"/>
      <c r="BP108" s="336"/>
      <c r="BQ108" s="336"/>
      <c r="BR108" s="336"/>
      <c r="BS108" s="336"/>
      <c r="BT108" s="336"/>
      <c r="BU108" s="336"/>
      <c r="BV108" s="336"/>
      <c r="BW108" s="336"/>
      <c r="BX108" s="336"/>
      <c r="BY108" s="336"/>
      <c r="BZ108" s="336"/>
      <c r="CA108" s="336"/>
      <c r="CB108" s="336"/>
      <c r="CC108" s="336"/>
      <c r="CD108" s="336"/>
      <c r="CE108" s="336"/>
      <c r="CF108" s="336"/>
      <c r="CG108" s="336"/>
      <c r="CH108" s="336"/>
      <c r="CI108" s="336"/>
      <c r="CJ108" s="336"/>
      <c r="CK108" s="336"/>
      <c r="CL108" s="336"/>
      <c r="CM108" s="336"/>
      <c r="CN108" s="336"/>
      <c r="CO108" s="336"/>
      <c r="CP108" s="336"/>
      <c r="CQ108" s="336"/>
      <c r="CR108" s="336"/>
      <c r="CS108" s="336"/>
      <c r="CT108" s="336"/>
      <c r="CU108" s="336"/>
      <c r="CV108" s="336"/>
      <c r="CW108" s="336"/>
      <c r="CX108" s="336"/>
      <c r="CY108" s="336"/>
      <c r="CZ108" s="336"/>
      <c r="DA108" s="336"/>
      <c r="DB108" s="336"/>
      <c r="DC108" s="336"/>
      <c r="DD108" s="336"/>
      <c r="DE108" s="336"/>
      <c r="DF108" s="336"/>
      <c r="DG108" s="336"/>
      <c r="DH108" s="336"/>
      <c r="DI108" s="336"/>
      <c r="DJ108" s="336"/>
      <c r="DK108" s="336"/>
      <c r="DL108" s="336"/>
      <c r="DM108" s="336"/>
      <c r="DN108" s="336"/>
      <c r="DO108" s="336"/>
      <c r="DP108" s="336"/>
      <c r="DQ108" s="336"/>
      <c r="DR108" s="336"/>
      <c r="DS108" s="336"/>
      <c r="DT108" s="336"/>
      <c r="DU108" s="336"/>
      <c r="DW108" s="336">
        <f t="shared" si="1022"/>
        <v>0</v>
      </c>
      <c r="DX108" s="336">
        <f t="shared" si="900"/>
        <v>0</v>
      </c>
      <c r="DY108" s="336">
        <f t="shared" si="901"/>
        <v>0</v>
      </c>
      <c r="DZ108" s="336">
        <f t="shared" si="902"/>
        <v>0</v>
      </c>
      <c r="EA108" s="336">
        <f t="shared" si="903"/>
        <v>0</v>
      </c>
      <c r="EB108" s="336">
        <f t="shared" si="904"/>
        <v>0</v>
      </c>
      <c r="EC108" s="336">
        <f t="shared" si="905"/>
        <v>0</v>
      </c>
      <c r="ED108" s="336">
        <f t="shared" si="906"/>
        <v>0</v>
      </c>
      <c r="EE108" s="336">
        <f t="shared" si="907"/>
        <v>0</v>
      </c>
      <c r="EF108" s="336">
        <f t="shared" si="908"/>
        <v>0</v>
      </c>
      <c r="EG108" s="336">
        <f t="shared" si="909"/>
        <v>0</v>
      </c>
      <c r="EH108" s="336">
        <f t="shared" si="910"/>
        <v>0</v>
      </c>
      <c r="EI108" s="336">
        <f t="shared" si="911"/>
        <v>0</v>
      </c>
      <c r="EJ108" s="336">
        <f t="shared" si="912"/>
        <v>0</v>
      </c>
      <c r="EK108" s="336">
        <f t="shared" si="913"/>
        <v>0</v>
      </c>
      <c r="EL108" s="336">
        <f t="shared" si="914"/>
        <v>0</v>
      </c>
      <c r="EM108" s="336">
        <f t="shared" si="915"/>
        <v>0</v>
      </c>
      <c r="EN108" s="336">
        <f t="shared" si="916"/>
        <v>0</v>
      </c>
      <c r="EO108" s="336">
        <f t="shared" si="917"/>
        <v>0</v>
      </c>
      <c r="EP108" s="336">
        <f t="shared" si="918"/>
        <v>0</v>
      </c>
      <c r="EQ108" s="336">
        <f t="shared" si="919"/>
        <v>0</v>
      </c>
      <c r="ER108" s="336">
        <f t="shared" si="920"/>
        <v>0</v>
      </c>
      <c r="ES108" s="336">
        <f t="shared" si="921"/>
        <v>0</v>
      </c>
      <c r="ET108" s="336">
        <f t="shared" si="921"/>
        <v>0</v>
      </c>
      <c r="EU108" s="336">
        <f t="shared" si="922"/>
        <v>0</v>
      </c>
      <c r="EV108" s="336">
        <f t="shared" si="923"/>
        <v>0</v>
      </c>
      <c r="EW108" s="336">
        <f t="shared" si="924"/>
        <v>0</v>
      </c>
      <c r="EX108" s="336">
        <f t="shared" si="925"/>
        <v>0</v>
      </c>
      <c r="EY108" s="336">
        <f t="shared" si="926"/>
        <v>0</v>
      </c>
      <c r="EZ108" s="336">
        <f t="shared" si="927"/>
        <v>0</v>
      </c>
      <c r="FA108" s="336">
        <f t="shared" si="928"/>
        <v>0</v>
      </c>
      <c r="FB108" s="336">
        <f t="shared" si="929"/>
        <v>0</v>
      </c>
      <c r="FC108" s="336">
        <f t="shared" si="930"/>
        <v>0</v>
      </c>
      <c r="FD108" s="336">
        <f t="shared" si="931"/>
        <v>0</v>
      </c>
      <c r="FE108" s="336">
        <f t="shared" si="932"/>
        <v>0</v>
      </c>
      <c r="FF108" s="336">
        <f t="shared" si="933"/>
        <v>0</v>
      </c>
      <c r="FG108" s="336">
        <f t="shared" si="934"/>
        <v>0</v>
      </c>
      <c r="FH108" s="336">
        <f t="shared" si="935"/>
        <v>0</v>
      </c>
      <c r="FI108" s="336">
        <f t="shared" si="936"/>
        <v>0</v>
      </c>
      <c r="FJ108" s="336">
        <f t="shared" si="937"/>
        <v>0</v>
      </c>
      <c r="FK108" s="336">
        <f t="shared" si="938"/>
        <v>0</v>
      </c>
      <c r="FL108" s="336">
        <f t="shared" si="939"/>
        <v>0</v>
      </c>
      <c r="FM108" s="336">
        <f t="shared" si="940"/>
        <v>0</v>
      </c>
      <c r="FN108" s="336">
        <f t="shared" si="941"/>
        <v>0</v>
      </c>
      <c r="FO108" s="336">
        <f t="shared" si="942"/>
        <v>0</v>
      </c>
      <c r="FP108" s="336">
        <f t="shared" si="943"/>
        <v>0</v>
      </c>
      <c r="FQ108" s="336">
        <f t="shared" si="944"/>
        <v>0</v>
      </c>
      <c r="FR108" s="336">
        <f t="shared" si="945"/>
        <v>0</v>
      </c>
      <c r="FS108" s="336">
        <f t="shared" si="946"/>
        <v>0</v>
      </c>
      <c r="FT108" s="336">
        <f t="shared" si="947"/>
        <v>0</v>
      </c>
      <c r="FU108" s="336">
        <f t="shared" si="553"/>
        <v>0</v>
      </c>
      <c r="FV108" s="336">
        <f t="shared" si="554"/>
        <v>0</v>
      </c>
      <c r="FW108" s="336">
        <f t="shared" si="555"/>
        <v>0</v>
      </c>
      <c r="FX108" s="336">
        <f t="shared" si="556"/>
        <v>0</v>
      </c>
      <c r="FY108" s="336">
        <f t="shared" si="948"/>
        <v>0</v>
      </c>
      <c r="FZ108" s="336">
        <f t="shared" si="949"/>
        <v>0</v>
      </c>
      <c r="GA108" s="336">
        <f t="shared" si="950"/>
        <v>0</v>
      </c>
      <c r="GB108" s="336">
        <f t="shared" si="951"/>
        <v>0</v>
      </c>
      <c r="GC108" s="336">
        <f t="shared" si="952"/>
        <v>0</v>
      </c>
      <c r="GD108" s="336">
        <f t="shared" si="953"/>
        <v>0</v>
      </c>
      <c r="GE108" s="336">
        <f t="shared" si="954"/>
        <v>0</v>
      </c>
      <c r="GF108" s="336">
        <f t="shared" si="955"/>
        <v>0</v>
      </c>
      <c r="GG108" s="336">
        <f t="shared" si="956"/>
        <v>0</v>
      </c>
      <c r="GH108" s="336">
        <f t="shared" si="957"/>
        <v>0</v>
      </c>
      <c r="GI108" s="336">
        <f t="shared" si="958"/>
        <v>0</v>
      </c>
      <c r="GJ108" s="336">
        <f t="shared" si="959"/>
        <v>0</v>
      </c>
      <c r="GK108" s="336">
        <f t="shared" si="960"/>
        <v>0</v>
      </c>
      <c r="GL108" s="336">
        <f t="shared" si="557"/>
        <v>0</v>
      </c>
      <c r="GM108" s="336">
        <f t="shared" si="961"/>
        <v>0</v>
      </c>
    </row>
    <row r="109" spans="1:195" ht="32.25" customHeight="1">
      <c r="A109" s="337">
        <f t="shared" si="1176"/>
        <v>77</v>
      </c>
      <c r="B109" s="453" t="s">
        <v>1199</v>
      </c>
      <c r="C109" s="372" t="str">
        <f t="shared" si="1160"/>
        <v>PDB-2</v>
      </c>
      <c r="D109" s="440" t="s">
        <v>1200</v>
      </c>
      <c r="E109" s="569" t="s">
        <v>419</v>
      </c>
      <c r="F109" s="756" t="s">
        <v>28</v>
      </c>
      <c r="G109" s="337" t="s">
        <v>329</v>
      </c>
      <c r="H109" s="350">
        <v>3</v>
      </c>
      <c r="I109" s="337" t="s">
        <v>330</v>
      </c>
      <c r="J109" s="337" t="s">
        <v>331</v>
      </c>
      <c r="K109" s="349">
        <v>400</v>
      </c>
      <c r="L109" s="343">
        <v>0.85</v>
      </c>
      <c r="M109" s="350">
        <v>0.95</v>
      </c>
      <c r="N109" s="342">
        <f t="shared" si="869"/>
        <v>5.3625437047311939</v>
      </c>
      <c r="O109" s="342">
        <f t="shared" si="1161"/>
        <v>0</v>
      </c>
      <c r="P109" s="343" t="str">
        <f t="shared" si="871"/>
        <v>0.00</v>
      </c>
      <c r="Q109" s="350">
        <v>65</v>
      </c>
      <c r="R109" s="350">
        <v>0</v>
      </c>
      <c r="S109" s="350">
        <f t="shared" si="872"/>
        <v>0</v>
      </c>
      <c r="T109" s="343" t="s">
        <v>332</v>
      </c>
      <c r="U109" s="350" t="s">
        <v>522</v>
      </c>
      <c r="V109" s="343">
        <v>4</v>
      </c>
      <c r="W109" s="343" t="str">
        <f t="shared" si="873"/>
        <v>4C X 4</v>
      </c>
      <c r="X109" s="343" t="str">
        <f t="shared" si="1162"/>
        <v>4C X 4</v>
      </c>
      <c r="Y109" s="343" t="s">
        <v>358</v>
      </c>
      <c r="Z109" s="344">
        <f>IF(T109="AIR",VLOOKUP(W109,'Catalogue Aluminium'!$B$9:$G$93,2,FALSE),IF(T109="GROUND",VLOOKUP(W109,'Catalogue Aluminium'!$B$9:$G$93,3,FALSE),IF(T109="DUCT",VLOOKUP(W109,'Catalogue Aluminium'!$B$9:$G$93,4,FALSE),IF(T109="TRENCH",VLOOKUP(W109,'Catalogue Aluminium'!$B$9:$G$93,2,FALSE)))))</f>
        <v>38</v>
      </c>
      <c r="AA109" s="345">
        <f>VLOOKUP(W109,'Catalogue Aluminium'!$B$9:$G$93,5,FALSE)</f>
        <v>5.9</v>
      </c>
      <c r="AB109" s="345">
        <f>VLOOKUP(W109,'Catalogue Aluminium'!$B$9:$G$93,6,FALSE)</f>
        <v>9.4700000000000006E-2</v>
      </c>
      <c r="AC109" s="343">
        <f t="shared" si="1163"/>
        <v>17</v>
      </c>
      <c r="AD109" s="346">
        <v>8</v>
      </c>
      <c r="AE109" s="343">
        <v>5</v>
      </c>
      <c r="AF109" s="343">
        <v>8</v>
      </c>
      <c r="AG109" s="343">
        <f t="shared" si="1177"/>
        <v>4</v>
      </c>
      <c r="AH109" s="347">
        <f t="shared" si="1164"/>
        <v>42</v>
      </c>
      <c r="AI109" s="344">
        <f>IF(T109="AIR",'Catalogue Aluminium'!$K$9,IF(T109="TRENCH",'Catalogue Aluminium'!$K$12,"NA"))</f>
        <v>0.89</v>
      </c>
      <c r="AJ109" s="342">
        <f>IF(T109="Air",(IF(U109="1C",'Catalogue Aluminium'!$L$9,'Catalogue Aluminium'!$M$9)),IF(T109="DUCT",(IF($U109="1C",'Catalogue Aluminium'!$L$10,'Catalogue Aluminium'!$M$10)),IF(T109="GROUND",(IF($U109="1C",'Catalogue Aluminium'!$L$11,'Catalogue Aluminium'!$M$11)),IF(T109="TRENCH",(IF($U109="1C",'Catalogue Aluminium'!$L$12,'Catalogue Aluminium'!$M$12))))))</f>
        <v>0.66</v>
      </c>
      <c r="AK109" s="344" t="str">
        <f>IF(T109="Air",'Catalogue Aluminium'!$N$9,IF(T109="GROUND",'Catalogue Aluminium'!$N$10,IF(T109="DUCT",'Catalogue Aluminium'!$N$11,IF(T109="TRENCH",'Catalogue Aluminium'!$N$12,"NA"))))</f>
        <v>NA</v>
      </c>
      <c r="AL109" s="344" t="str">
        <f>IF(T109="Air",(IF(U109="1C",'Catalogue Aluminium'!$O$9,'Catalogue Aluminium'!$P$9)),IF(T109="DUCT",(IF($U109="1C",'Catalogue Aluminium'!$O$10,'Catalogue Aluminium'!$P$10)),IF(T109="GROUND",(IF($U109="1C",'Catalogue Aluminium'!$O$11,'Catalogue Aluminium'!$P$11)),IF(T109="TRENCH",(IF($U109="1C",'Catalogue Aluminium'!$O$12,'Catalogue Aluminium'!$P$12))))))</f>
        <v>NA</v>
      </c>
      <c r="AM109" s="344" t="str">
        <f>IF(T109="AIR","NA",IF(T109="TRENCH","NA",IF(T109="DUCT",IF(U109="1C",VLOOKUP(V109,'Catalogue Aluminium'!$Q$9:$S$28,2,FALSE),VLOOKUP(V109,'Catalogue Aluminium'!$Q$9:$S$28,3)),IF(T109="GROUND",IF(U109="1C",VLOOKUP(V109,'Catalogue Aluminium'!$Q$9:$S$28,2,FALSE),VLOOKUP(V109,'Catalogue Aluminium'!$Q$9:$S$28,3))))))</f>
        <v>NA</v>
      </c>
      <c r="AN109" s="351">
        <f t="shared" si="1165"/>
        <v>0.58740000000000003</v>
      </c>
      <c r="AO109" s="350">
        <f t="shared" si="1166"/>
        <v>22.321200000000001</v>
      </c>
      <c r="AP109" s="349">
        <f t="shared" si="1167"/>
        <v>1</v>
      </c>
      <c r="AQ109" s="350" t="str">
        <f t="shared" si="1168"/>
        <v>YES</v>
      </c>
      <c r="AR109" s="351">
        <f t="shared" si="1178"/>
        <v>0.49395851163238585</v>
      </c>
      <c r="AS109" s="343" t="str">
        <f t="shared" si="1179"/>
        <v>YES</v>
      </c>
      <c r="AT109" s="351" t="str">
        <f t="shared" si="1169"/>
        <v>NA</v>
      </c>
      <c r="AU109" s="343" t="str">
        <f t="shared" si="1170"/>
        <v>NA</v>
      </c>
      <c r="AV109" s="354" t="str">
        <f t="shared" si="1171"/>
        <v>1R x 0.6/1kV x 4C x 4 Sqmm</v>
      </c>
      <c r="AW109" s="354" t="str">
        <f t="shared" si="893"/>
        <v>1R x 0.6/1kV x 4C x 4 Sqmm</v>
      </c>
      <c r="AX109" s="343">
        <f t="shared" si="1172"/>
        <v>42</v>
      </c>
      <c r="AY109" s="355"/>
      <c r="AZ109" s="355">
        <f t="shared" si="1173"/>
        <v>2</v>
      </c>
      <c r="BA109" s="356" t="str">
        <f t="shared" si="1174"/>
        <v/>
      </c>
      <c r="BB109" s="501">
        <f>VLOOKUP(W109,'Catalogue Aluminium'!$B$9:$H$93,7,FALSE)</f>
        <v>16</v>
      </c>
      <c r="BC109" s="328">
        <f t="shared" si="1175"/>
        <v>16</v>
      </c>
      <c r="BE109" s="336"/>
      <c r="BF109" s="336"/>
      <c r="BG109" s="336"/>
      <c r="BH109" s="336"/>
      <c r="BI109" s="336"/>
      <c r="BJ109" s="336"/>
      <c r="BK109" s="336"/>
      <c r="BL109" s="336"/>
      <c r="BM109" s="336"/>
      <c r="BN109" s="336"/>
      <c r="BO109" s="336"/>
      <c r="BP109" s="336"/>
      <c r="BQ109" s="336"/>
      <c r="BR109" s="336"/>
      <c r="BS109" s="336"/>
      <c r="BT109" s="336"/>
      <c r="BU109" s="336"/>
      <c r="BV109" s="336"/>
      <c r="BW109" s="336"/>
      <c r="BX109" s="336"/>
      <c r="BY109" s="336"/>
      <c r="BZ109" s="336"/>
      <c r="CA109" s="336"/>
      <c r="CB109" s="336"/>
      <c r="CC109" s="336"/>
      <c r="CD109" s="336"/>
      <c r="CE109" s="336"/>
      <c r="CF109" s="336"/>
      <c r="CG109" s="336"/>
      <c r="CH109" s="336"/>
      <c r="CI109" s="336"/>
      <c r="CJ109" s="336"/>
      <c r="CK109" s="336"/>
      <c r="CL109" s="336"/>
      <c r="CM109" s="336"/>
      <c r="CN109" s="336"/>
      <c r="CO109" s="336"/>
      <c r="CP109" s="336"/>
      <c r="CQ109" s="336"/>
      <c r="CR109" s="336"/>
      <c r="CS109" s="336"/>
      <c r="CT109" s="336"/>
      <c r="CU109" s="336"/>
      <c r="CV109" s="336"/>
      <c r="CW109" s="336"/>
      <c r="CX109" s="336"/>
      <c r="CY109" s="336"/>
      <c r="CZ109" s="336"/>
      <c r="DA109" s="336"/>
      <c r="DB109" s="336"/>
      <c r="DC109" s="336"/>
      <c r="DD109" s="336"/>
      <c r="DE109" s="336"/>
      <c r="DF109" s="336"/>
      <c r="DG109" s="336"/>
      <c r="DH109" s="336"/>
      <c r="DI109" s="336"/>
      <c r="DJ109" s="336"/>
      <c r="DK109" s="336"/>
      <c r="DL109" s="336"/>
      <c r="DM109" s="336"/>
      <c r="DN109" s="336"/>
      <c r="DO109" s="336"/>
      <c r="DP109" s="336"/>
      <c r="DQ109" s="336"/>
      <c r="DR109" s="336"/>
      <c r="DS109" s="336"/>
      <c r="DT109" s="336"/>
      <c r="DU109" s="336"/>
      <c r="DW109" s="336">
        <f t="shared" si="1022"/>
        <v>0</v>
      </c>
      <c r="DX109" s="336">
        <f t="shared" si="900"/>
        <v>0</v>
      </c>
      <c r="DY109" s="336">
        <f t="shared" si="901"/>
        <v>0</v>
      </c>
      <c r="DZ109" s="336">
        <f t="shared" si="902"/>
        <v>0</v>
      </c>
      <c r="EA109" s="336">
        <f t="shared" si="903"/>
        <v>0</v>
      </c>
      <c r="EB109" s="336">
        <f t="shared" si="904"/>
        <v>0</v>
      </c>
      <c r="EC109" s="336">
        <f t="shared" si="905"/>
        <v>0</v>
      </c>
      <c r="ED109" s="336">
        <f t="shared" si="906"/>
        <v>0</v>
      </c>
      <c r="EE109" s="336">
        <f t="shared" si="907"/>
        <v>0</v>
      </c>
      <c r="EF109" s="336">
        <f t="shared" si="908"/>
        <v>0</v>
      </c>
      <c r="EG109" s="336">
        <f t="shared" si="909"/>
        <v>0</v>
      </c>
      <c r="EH109" s="336">
        <f t="shared" si="910"/>
        <v>0</v>
      </c>
      <c r="EI109" s="336">
        <f t="shared" si="911"/>
        <v>0</v>
      </c>
      <c r="EJ109" s="336">
        <f t="shared" si="912"/>
        <v>0</v>
      </c>
      <c r="EK109" s="336">
        <f t="shared" si="913"/>
        <v>0</v>
      </c>
      <c r="EL109" s="336">
        <f t="shared" si="914"/>
        <v>0</v>
      </c>
      <c r="EM109" s="336">
        <f t="shared" si="915"/>
        <v>0</v>
      </c>
      <c r="EN109" s="336">
        <f t="shared" si="916"/>
        <v>0</v>
      </c>
      <c r="EO109" s="336">
        <f t="shared" si="917"/>
        <v>0</v>
      </c>
      <c r="EP109" s="336">
        <f t="shared" si="918"/>
        <v>0</v>
      </c>
      <c r="EQ109" s="336">
        <f t="shared" si="919"/>
        <v>0</v>
      </c>
      <c r="ER109" s="336">
        <f t="shared" si="920"/>
        <v>0</v>
      </c>
      <c r="ES109" s="336">
        <f t="shared" si="921"/>
        <v>0</v>
      </c>
      <c r="ET109" s="336">
        <f t="shared" si="921"/>
        <v>0</v>
      </c>
      <c r="EU109" s="336">
        <f t="shared" si="922"/>
        <v>0</v>
      </c>
      <c r="EV109" s="336">
        <f t="shared" si="923"/>
        <v>0</v>
      </c>
      <c r="EW109" s="336">
        <f t="shared" si="924"/>
        <v>0</v>
      </c>
      <c r="EX109" s="336">
        <f t="shared" si="925"/>
        <v>0</v>
      </c>
      <c r="EY109" s="336">
        <f t="shared" si="926"/>
        <v>0</v>
      </c>
      <c r="EZ109" s="336">
        <f t="shared" si="927"/>
        <v>0</v>
      </c>
      <c r="FA109" s="336">
        <f t="shared" si="928"/>
        <v>0</v>
      </c>
      <c r="FB109" s="336">
        <f t="shared" si="929"/>
        <v>0</v>
      </c>
      <c r="FC109" s="336">
        <f t="shared" si="930"/>
        <v>0</v>
      </c>
      <c r="FD109" s="336">
        <f t="shared" si="931"/>
        <v>0</v>
      </c>
      <c r="FE109" s="336">
        <f t="shared" si="932"/>
        <v>0</v>
      </c>
      <c r="FF109" s="336">
        <f t="shared" si="933"/>
        <v>0</v>
      </c>
      <c r="FG109" s="336">
        <f t="shared" si="934"/>
        <v>0</v>
      </c>
      <c r="FH109" s="336">
        <f t="shared" si="935"/>
        <v>0</v>
      </c>
      <c r="FI109" s="336">
        <f t="shared" si="936"/>
        <v>0</v>
      </c>
      <c r="FJ109" s="336">
        <f t="shared" si="937"/>
        <v>0</v>
      </c>
      <c r="FK109" s="336">
        <f t="shared" si="938"/>
        <v>0</v>
      </c>
      <c r="FL109" s="336">
        <f t="shared" si="939"/>
        <v>0</v>
      </c>
      <c r="FM109" s="336">
        <f t="shared" si="940"/>
        <v>0</v>
      </c>
      <c r="FN109" s="336">
        <f t="shared" si="941"/>
        <v>0</v>
      </c>
      <c r="FO109" s="336">
        <f t="shared" si="942"/>
        <v>0</v>
      </c>
      <c r="FP109" s="336">
        <f t="shared" si="943"/>
        <v>0</v>
      </c>
      <c r="FQ109" s="336">
        <f t="shared" si="944"/>
        <v>0</v>
      </c>
      <c r="FR109" s="336">
        <f t="shared" si="945"/>
        <v>0</v>
      </c>
      <c r="FS109" s="336">
        <f t="shared" si="946"/>
        <v>0</v>
      </c>
      <c r="FT109" s="336">
        <f t="shared" si="947"/>
        <v>0</v>
      </c>
      <c r="FU109" s="336">
        <f t="shared" si="553"/>
        <v>0</v>
      </c>
      <c r="FV109" s="336">
        <f t="shared" si="554"/>
        <v>0</v>
      </c>
      <c r="FW109" s="336">
        <f t="shared" si="555"/>
        <v>0</v>
      </c>
      <c r="FX109" s="336">
        <f t="shared" si="556"/>
        <v>0</v>
      </c>
      <c r="FY109" s="336">
        <f t="shared" si="948"/>
        <v>0</v>
      </c>
      <c r="FZ109" s="336">
        <f t="shared" si="949"/>
        <v>0</v>
      </c>
      <c r="GA109" s="336">
        <f t="shared" si="950"/>
        <v>0</v>
      </c>
      <c r="GB109" s="336">
        <f t="shared" si="951"/>
        <v>0</v>
      </c>
      <c r="GC109" s="336">
        <f t="shared" si="952"/>
        <v>0</v>
      </c>
      <c r="GD109" s="336">
        <f t="shared" si="953"/>
        <v>0</v>
      </c>
      <c r="GE109" s="336">
        <f t="shared" si="954"/>
        <v>0</v>
      </c>
      <c r="GF109" s="336">
        <f t="shared" si="955"/>
        <v>0</v>
      </c>
      <c r="GG109" s="336">
        <f t="shared" si="956"/>
        <v>0</v>
      </c>
      <c r="GH109" s="336">
        <f t="shared" si="957"/>
        <v>0</v>
      </c>
      <c r="GI109" s="336">
        <f t="shared" si="958"/>
        <v>0</v>
      </c>
      <c r="GJ109" s="336">
        <f t="shared" si="959"/>
        <v>0</v>
      </c>
      <c r="GK109" s="336">
        <f t="shared" si="960"/>
        <v>0</v>
      </c>
      <c r="GL109" s="336">
        <f t="shared" si="557"/>
        <v>0</v>
      </c>
      <c r="GM109" s="336">
        <f t="shared" si="961"/>
        <v>0</v>
      </c>
    </row>
    <row r="110" spans="1:195" ht="33.75" customHeight="1">
      <c r="A110" s="337">
        <f t="shared" si="1176"/>
        <v>78</v>
      </c>
      <c r="B110" s="453" t="s">
        <v>1201</v>
      </c>
      <c r="C110" s="372" t="str">
        <f t="shared" si="1160"/>
        <v>PDB-2</v>
      </c>
      <c r="D110" s="440" t="s">
        <v>1202</v>
      </c>
      <c r="E110" s="569" t="s">
        <v>419</v>
      </c>
      <c r="F110" s="756" t="s">
        <v>29</v>
      </c>
      <c r="G110" s="337" t="s">
        <v>329</v>
      </c>
      <c r="H110" s="350">
        <v>3</v>
      </c>
      <c r="I110" s="337" t="s">
        <v>330</v>
      </c>
      <c r="J110" s="337" t="s">
        <v>331</v>
      </c>
      <c r="K110" s="349">
        <v>400</v>
      </c>
      <c r="L110" s="343">
        <v>0.85</v>
      </c>
      <c r="M110" s="350">
        <v>0.95</v>
      </c>
      <c r="N110" s="342">
        <f t="shared" si="869"/>
        <v>5.3625437047311939</v>
      </c>
      <c r="O110" s="342">
        <f t="shared" si="1161"/>
        <v>0</v>
      </c>
      <c r="P110" s="343" t="str">
        <f t="shared" si="871"/>
        <v>0.00</v>
      </c>
      <c r="Q110" s="350">
        <v>65</v>
      </c>
      <c r="R110" s="350">
        <v>0</v>
      </c>
      <c r="S110" s="350">
        <f t="shared" si="872"/>
        <v>0</v>
      </c>
      <c r="T110" s="343" t="s">
        <v>332</v>
      </c>
      <c r="U110" s="350" t="s">
        <v>522</v>
      </c>
      <c r="V110" s="343">
        <v>4</v>
      </c>
      <c r="W110" s="343" t="str">
        <f t="shared" si="873"/>
        <v>4C X 4</v>
      </c>
      <c r="X110" s="343" t="str">
        <f t="shared" si="1162"/>
        <v>4C X 4</v>
      </c>
      <c r="Y110" s="343" t="s">
        <v>358</v>
      </c>
      <c r="Z110" s="344">
        <f>IF(T110="AIR",VLOOKUP(W110,'Catalogue Aluminium'!$B$9:$G$93,2,FALSE),IF(T110="GROUND",VLOOKUP(W110,'Catalogue Aluminium'!$B$9:$G$93,3,FALSE),IF(T110="DUCT",VLOOKUP(W110,'Catalogue Aluminium'!$B$9:$G$93,4,FALSE),IF(T110="TRENCH",VLOOKUP(W110,'Catalogue Aluminium'!$B$9:$G$93,2,FALSE)))))</f>
        <v>38</v>
      </c>
      <c r="AA110" s="345">
        <f>VLOOKUP(W110,'Catalogue Aluminium'!$B$9:$G$93,5,FALSE)</f>
        <v>5.9</v>
      </c>
      <c r="AB110" s="345">
        <f>VLOOKUP(W110,'Catalogue Aluminium'!$B$9:$G$93,6,FALSE)</f>
        <v>9.4700000000000006E-2</v>
      </c>
      <c r="AC110" s="343">
        <f t="shared" si="1163"/>
        <v>17</v>
      </c>
      <c r="AD110" s="346">
        <v>8</v>
      </c>
      <c r="AE110" s="343">
        <v>5</v>
      </c>
      <c r="AF110" s="343">
        <v>8</v>
      </c>
      <c r="AG110" s="343">
        <f t="shared" si="1177"/>
        <v>4</v>
      </c>
      <c r="AH110" s="347">
        <f t="shared" si="1164"/>
        <v>42</v>
      </c>
      <c r="AI110" s="344">
        <f>IF(T110="AIR",'Catalogue Aluminium'!$K$9,IF(T110="TRENCH",'Catalogue Aluminium'!$K$12,"NA"))</f>
        <v>0.89</v>
      </c>
      <c r="AJ110" s="342">
        <f>IF(T110="Air",(IF(U110="1C",'Catalogue Aluminium'!$L$9,'Catalogue Aluminium'!$M$9)),IF(T110="DUCT",(IF($U110="1C",'Catalogue Aluminium'!$L$10,'Catalogue Aluminium'!$M$10)),IF(T110="GROUND",(IF($U110="1C",'Catalogue Aluminium'!$L$11,'Catalogue Aluminium'!$M$11)),IF(T110="TRENCH",(IF($U110="1C",'Catalogue Aluminium'!$L$12,'Catalogue Aluminium'!$M$12))))))</f>
        <v>0.66</v>
      </c>
      <c r="AK110" s="344" t="str">
        <f>IF(T110="Air",'Catalogue Aluminium'!$N$9,IF(T110="GROUND",'Catalogue Aluminium'!$N$10,IF(T110="DUCT",'Catalogue Aluminium'!$N$11,IF(T110="TRENCH",'Catalogue Aluminium'!$N$12,"NA"))))</f>
        <v>NA</v>
      </c>
      <c r="AL110" s="344" t="str">
        <f>IF(T110="Air",(IF(U110="1C",'Catalogue Aluminium'!$O$9,'Catalogue Aluminium'!$P$9)),IF(T110="DUCT",(IF($U110="1C",'Catalogue Aluminium'!$O$10,'Catalogue Aluminium'!$P$10)),IF(T110="GROUND",(IF($U110="1C",'Catalogue Aluminium'!$O$11,'Catalogue Aluminium'!$P$11)),IF(T110="TRENCH",(IF($U110="1C",'Catalogue Aluminium'!$O$12,'Catalogue Aluminium'!$P$12))))))</f>
        <v>NA</v>
      </c>
      <c r="AM110" s="344" t="str">
        <f>IF(T110="AIR","NA",IF(T110="TRENCH","NA",IF(T110="DUCT",IF(U110="1C",VLOOKUP(V110,'Catalogue Aluminium'!$Q$9:$S$28,2,FALSE),VLOOKUP(V110,'Catalogue Aluminium'!$Q$9:$S$28,3)),IF(T110="GROUND",IF(U110="1C",VLOOKUP(V110,'Catalogue Aluminium'!$Q$9:$S$28,2,FALSE),VLOOKUP(V110,'Catalogue Aluminium'!$Q$9:$S$28,3))))))</f>
        <v>NA</v>
      </c>
      <c r="AN110" s="351">
        <f t="shared" si="1165"/>
        <v>0.58740000000000003</v>
      </c>
      <c r="AO110" s="350">
        <f t="shared" si="1166"/>
        <v>22.321200000000001</v>
      </c>
      <c r="AP110" s="349">
        <f t="shared" si="1167"/>
        <v>1</v>
      </c>
      <c r="AQ110" s="350" t="str">
        <f t="shared" si="1168"/>
        <v>YES</v>
      </c>
      <c r="AR110" s="351">
        <f t="shared" si="1178"/>
        <v>0.49395851163238585</v>
      </c>
      <c r="AS110" s="343" t="str">
        <f t="shared" si="1179"/>
        <v>YES</v>
      </c>
      <c r="AT110" s="351" t="str">
        <f t="shared" si="1169"/>
        <v>NA</v>
      </c>
      <c r="AU110" s="343" t="str">
        <f t="shared" si="1170"/>
        <v>NA</v>
      </c>
      <c r="AV110" s="354" t="str">
        <f t="shared" si="1171"/>
        <v>1R x 0.6/1kV x 4C x 4 Sqmm</v>
      </c>
      <c r="AW110" s="354" t="str">
        <f t="shared" si="893"/>
        <v>1R x 0.6/1kV x 4C x 4 Sqmm</v>
      </c>
      <c r="AX110" s="343">
        <f t="shared" si="1172"/>
        <v>42</v>
      </c>
      <c r="AY110" s="355"/>
      <c r="AZ110" s="355">
        <f t="shared" si="1173"/>
        <v>2</v>
      </c>
      <c r="BA110" s="356" t="str">
        <f t="shared" si="1174"/>
        <v/>
      </c>
      <c r="BB110" s="501">
        <f>VLOOKUP(W110,'Catalogue Aluminium'!$B$9:$H$93,7,FALSE)</f>
        <v>16</v>
      </c>
      <c r="BC110" s="328">
        <f t="shared" si="1175"/>
        <v>16</v>
      </c>
      <c r="BE110" s="336"/>
      <c r="BF110" s="336"/>
      <c r="BG110" s="336"/>
      <c r="BH110" s="336"/>
      <c r="BI110" s="336"/>
      <c r="BJ110" s="336"/>
      <c r="BK110" s="336"/>
      <c r="BL110" s="336"/>
      <c r="BM110" s="336"/>
      <c r="BN110" s="336"/>
      <c r="BO110" s="336"/>
      <c r="BP110" s="336"/>
      <c r="BQ110" s="336"/>
      <c r="BR110" s="336"/>
      <c r="BS110" s="336"/>
      <c r="BT110" s="336"/>
      <c r="BU110" s="336"/>
      <c r="BV110" s="336"/>
      <c r="BW110" s="336"/>
      <c r="BX110" s="336"/>
      <c r="BY110" s="336"/>
      <c r="BZ110" s="336"/>
      <c r="CA110" s="336"/>
      <c r="CB110" s="336"/>
      <c r="CC110" s="336"/>
      <c r="CD110" s="336"/>
      <c r="CE110" s="336"/>
      <c r="CF110" s="336"/>
      <c r="CG110" s="336"/>
      <c r="CH110" s="336"/>
      <c r="CI110" s="336"/>
      <c r="CJ110" s="336"/>
      <c r="CK110" s="336"/>
      <c r="CL110" s="336"/>
      <c r="CM110" s="336"/>
      <c r="CN110" s="336"/>
      <c r="CO110" s="336"/>
      <c r="CP110" s="336"/>
      <c r="CQ110" s="336"/>
      <c r="CR110" s="336"/>
      <c r="CS110" s="336"/>
      <c r="CT110" s="336"/>
      <c r="CU110" s="336"/>
      <c r="CV110" s="336"/>
      <c r="CW110" s="336"/>
      <c r="CX110" s="336"/>
      <c r="CY110" s="336"/>
      <c r="CZ110" s="336"/>
      <c r="DA110" s="336"/>
      <c r="DB110" s="336"/>
      <c r="DC110" s="336"/>
      <c r="DD110" s="336"/>
      <c r="DE110" s="336"/>
      <c r="DF110" s="336"/>
      <c r="DG110" s="336"/>
      <c r="DH110" s="336"/>
      <c r="DI110" s="336"/>
      <c r="DJ110" s="336"/>
      <c r="DK110" s="336"/>
      <c r="DL110" s="336"/>
      <c r="DM110" s="336"/>
      <c r="DN110" s="336"/>
      <c r="DO110" s="336"/>
      <c r="DP110" s="336"/>
      <c r="DQ110" s="336"/>
      <c r="DR110" s="336"/>
      <c r="DS110" s="336"/>
      <c r="DT110" s="336"/>
      <c r="DU110" s="336"/>
      <c r="DW110" s="336">
        <f t="shared" si="1022"/>
        <v>0</v>
      </c>
      <c r="DX110" s="336">
        <f t="shared" si="900"/>
        <v>0</v>
      </c>
      <c r="DY110" s="336">
        <f t="shared" si="901"/>
        <v>0</v>
      </c>
      <c r="DZ110" s="336">
        <f t="shared" si="902"/>
        <v>0</v>
      </c>
      <c r="EA110" s="336">
        <f t="shared" si="903"/>
        <v>0</v>
      </c>
      <c r="EB110" s="336">
        <f t="shared" si="904"/>
        <v>0</v>
      </c>
      <c r="EC110" s="336">
        <f t="shared" si="905"/>
        <v>0</v>
      </c>
      <c r="ED110" s="336">
        <f t="shared" si="906"/>
        <v>0</v>
      </c>
      <c r="EE110" s="336">
        <f t="shared" si="907"/>
        <v>0</v>
      </c>
      <c r="EF110" s="336">
        <f t="shared" si="908"/>
        <v>0</v>
      </c>
      <c r="EG110" s="336">
        <f t="shared" si="909"/>
        <v>0</v>
      </c>
      <c r="EH110" s="336">
        <f t="shared" si="910"/>
        <v>0</v>
      </c>
      <c r="EI110" s="336">
        <f t="shared" si="911"/>
        <v>0</v>
      </c>
      <c r="EJ110" s="336">
        <f t="shared" si="912"/>
        <v>0</v>
      </c>
      <c r="EK110" s="336">
        <f t="shared" si="913"/>
        <v>0</v>
      </c>
      <c r="EL110" s="336">
        <f t="shared" si="914"/>
        <v>0</v>
      </c>
      <c r="EM110" s="336">
        <f t="shared" si="915"/>
        <v>0</v>
      </c>
      <c r="EN110" s="336">
        <f t="shared" si="916"/>
        <v>0</v>
      </c>
      <c r="EO110" s="336">
        <f t="shared" si="917"/>
        <v>0</v>
      </c>
      <c r="EP110" s="336">
        <f t="shared" si="918"/>
        <v>0</v>
      </c>
      <c r="EQ110" s="336">
        <f t="shared" si="919"/>
        <v>0</v>
      </c>
      <c r="ER110" s="336">
        <f t="shared" si="920"/>
        <v>0</v>
      </c>
      <c r="ES110" s="336">
        <f t="shared" si="921"/>
        <v>0</v>
      </c>
      <c r="ET110" s="336">
        <f t="shared" si="921"/>
        <v>0</v>
      </c>
      <c r="EU110" s="336">
        <f t="shared" si="922"/>
        <v>0</v>
      </c>
      <c r="EV110" s="336">
        <f t="shared" si="923"/>
        <v>0</v>
      </c>
      <c r="EW110" s="336">
        <f t="shared" si="924"/>
        <v>0</v>
      </c>
      <c r="EX110" s="336">
        <f t="shared" si="925"/>
        <v>0</v>
      </c>
      <c r="EY110" s="336">
        <f t="shared" si="926"/>
        <v>0</v>
      </c>
      <c r="EZ110" s="336">
        <f t="shared" si="927"/>
        <v>0</v>
      </c>
      <c r="FA110" s="336">
        <f t="shared" si="928"/>
        <v>0</v>
      </c>
      <c r="FB110" s="336">
        <f t="shared" si="929"/>
        <v>0</v>
      </c>
      <c r="FC110" s="336">
        <f t="shared" si="930"/>
        <v>0</v>
      </c>
      <c r="FD110" s="336">
        <f t="shared" si="931"/>
        <v>0</v>
      </c>
      <c r="FE110" s="336">
        <f t="shared" si="932"/>
        <v>0</v>
      </c>
      <c r="FF110" s="336">
        <f t="shared" si="933"/>
        <v>0</v>
      </c>
      <c r="FG110" s="336">
        <f t="shared" si="934"/>
        <v>0</v>
      </c>
      <c r="FH110" s="336">
        <f t="shared" si="935"/>
        <v>0</v>
      </c>
      <c r="FI110" s="336">
        <f t="shared" si="936"/>
        <v>0</v>
      </c>
      <c r="FJ110" s="336">
        <f t="shared" si="937"/>
        <v>0</v>
      </c>
      <c r="FK110" s="336">
        <f t="shared" si="938"/>
        <v>0</v>
      </c>
      <c r="FL110" s="336">
        <f t="shared" si="939"/>
        <v>0</v>
      </c>
      <c r="FM110" s="336">
        <f t="shared" si="940"/>
        <v>0</v>
      </c>
      <c r="FN110" s="336">
        <f t="shared" si="941"/>
        <v>0</v>
      </c>
      <c r="FO110" s="336">
        <f t="shared" si="942"/>
        <v>0</v>
      </c>
      <c r="FP110" s="336">
        <f t="shared" si="943"/>
        <v>0</v>
      </c>
      <c r="FQ110" s="336">
        <f t="shared" si="944"/>
        <v>0</v>
      </c>
      <c r="FR110" s="336">
        <f t="shared" si="945"/>
        <v>0</v>
      </c>
      <c r="FS110" s="336">
        <f t="shared" si="946"/>
        <v>0</v>
      </c>
      <c r="FT110" s="336">
        <f t="shared" si="947"/>
        <v>0</v>
      </c>
      <c r="FU110" s="336">
        <f t="shared" si="553"/>
        <v>0</v>
      </c>
      <c r="FV110" s="336">
        <f t="shared" si="554"/>
        <v>0</v>
      </c>
      <c r="FW110" s="336">
        <f t="shared" si="555"/>
        <v>0</v>
      </c>
      <c r="FX110" s="336">
        <f t="shared" si="556"/>
        <v>0</v>
      </c>
      <c r="FY110" s="336">
        <f t="shared" si="948"/>
        <v>0</v>
      </c>
      <c r="FZ110" s="336">
        <f t="shared" si="949"/>
        <v>0</v>
      </c>
      <c r="GA110" s="336">
        <f t="shared" si="950"/>
        <v>0</v>
      </c>
      <c r="GB110" s="336">
        <f t="shared" si="951"/>
        <v>0</v>
      </c>
      <c r="GC110" s="336">
        <f t="shared" si="952"/>
        <v>0</v>
      </c>
      <c r="GD110" s="336">
        <f t="shared" si="953"/>
        <v>0</v>
      </c>
      <c r="GE110" s="336">
        <f t="shared" si="954"/>
        <v>0</v>
      </c>
      <c r="GF110" s="336">
        <f t="shared" si="955"/>
        <v>0</v>
      </c>
      <c r="GG110" s="336">
        <f t="shared" si="956"/>
        <v>0</v>
      </c>
      <c r="GH110" s="336">
        <f t="shared" si="957"/>
        <v>0</v>
      </c>
      <c r="GI110" s="336">
        <f t="shared" si="958"/>
        <v>0</v>
      </c>
      <c r="GJ110" s="336">
        <f t="shared" si="959"/>
        <v>0</v>
      </c>
      <c r="GK110" s="336">
        <f t="shared" si="960"/>
        <v>0</v>
      </c>
      <c r="GL110" s="336">
        <f t="shared" si="557"/>
        <v>0</v>
      </c>
      <c r="GM110" s="336">
        <f t="shared" si="961"/>
        <v>0</v>
      </c>
    </row>
    <row r="111" spans="1:195" ht="29.25" customHeight="1">
      <c r="A111" s="337">
        <f t="shared" si="1176"/>
        <v>79</v>
      </c>
      <c r="B111" s="453" t="s">
        <v>527</v>
      </c>
      <c r="C111" s="372" t="str">
        <f t="shared" si="1160"/>
        <v>PDB-2</v>
      </c>
      <c r="D111" s="904" t="s">
        <v>1735</v>
      </c>
      <c r="E111" s="569" t="s">
        <v>1203</v>
      </c>
      <c r="F111" s="756" t="s">
        <v>28</v>
      </c>
      <c r="G111" s="340" t="s">
        <v>329</v>
      </c>
      <c r="H111" s="350">
        <v>25</v>
      </c>
      <c r="I111" s="337" t="s">
        <v>330</v>
      </c>
      <c r="J111" s="337" t="s">
        <v>331</v>
      </c>
      <c r="K111" s="349">
        <v>400</v>
      </c>
      <c r="L111" s="343">
        <v>0.75</v>
      </c>
      <c r="M111" s="350">
        <v>0.85299999999999998</v>
      </c>
      <c r="N111" s="342">
        <f>IF(I111="kVA",IF(J111="3Ph",(H111*1000/(1.732*M111*K111)),(H111*1000/(M111*K111))),IF(I111="kW",IF(J111="3Ph",(H111*1000/(1.732*M111*K111*L111)),(H111*1000/(M111*K111*L111)))))</f>
        <v>56.405549584088043</v>
      </c>
      <c r="O111" s="342">
        <f t="shared" ref="O111:O112" si="1180">IF(G111="MOTOR",(6*N111),IF(G111="VFD",(1*N111),0))</f>
        <v>0</v>
      </c>
      <c r="P111" s="343" t="str">
        <f t="shared" ref="P111:P112" si="1181">IF(G111="MOTOR",0.2,"0.00")</f>
        <v>0.00</v>
      </c>
      <c r="Q111" s="350">
        <v>65</v>
      </c>
      <c r="R111" s="350">
        <v>0</v>
      </c>
      <c r="S111" s="350">
        <f t="shared" ref="S111:S112" si="1182">(Q111*1000*SQRT(R111)/143)</f>
        <v>0</v>
      </c>
      <c r="T111" s="343" t="s">
        <v>332</v>
      </c>
      <c r="U111" s="350" t="s">
        <v>535</v>
      </c>
      <c r="V111" s="343">
        <v>70</v>
      </c>
      <c r="W111" s="343" t="str">
        <f t="shared" ref="W111:W112" si="1183">CONCATENATE(U111," X ",V111)</f>
        <v>3.5C X 70</v>
      </c>
      <c r="X111" s="343" t="str">
        <f t="shared" ref="X111:X112" si="1184">(IF(J111="1Ph",W111,IF(J111="3Ph",(IF(G111="MOTOR",(CONCATENATE(W111,"+PE")),W111)))))</f>
        <v>3.5C X 70</v>
      </c>
      <c r="Y111" s="343" t="s">
        <v>358</v>
      </c>
      <c r="Z111" s="344">
        <f>IF(T111="AIR",VLOOKUP(W111,'Catalogue Aluminium'!$B$9:$G$93,2,FALSE),IF(T111="GROUND",VLOOKUP(W111,'Catalogue Aluminium'!$B$9:$G$93,3,FALSE),IF(T111="DUCT",VLOOKUP(W111,'Catalogue Aluminium'!$B$9:$G$93,4,FALSE),IF(T111="TRENCH",VLOOKUP(W111,'Catalogue Aluminium'!$B$9:$G$93,2,FALSE)))))</f>
        <v>177</v>
      </c>
      <c r="AA111" s="345">
        <f>VLOOKUP(W111,'Catalogue Aluminium'!$B$9:$G$93,5,FALSE)</f>
        <v>0.56699999999999995</v>
      </c>
      <c r="AB111" s="345">
        <f>VLOOKUP(W111,'Catalogue Aluminium'!$B$9:$G$93,6,FALSE)</f>
        <v>7.5200000000000003E-2</v>
      </c>
      <c r="AC111" s="343">
        <v>22</v>
      </c>
      <c r="AD111" s="343">
        <f>12+58+20+5</f>
        <v>95</v>
      </c>
      <c r="AE111" s="343">
        <v>20</v>
      </c>
      <c r="AF111" s="343">
        <v>8</v>
      </c>
      <c r="AG111" s="343">
        <f t="shared" ref="AG111:AG112" si="1185">ROUNDUP((SUM(AC111:AF111)*0.1),0)</f>
        <v>15</v>
      </c>
      <c r="AH111" s="347">
        <f t="shared" ref="AH111:AH112" si="1186">SUM(AC111:AG111)</f>
        <v>160</v>
      </c>
      <c r="AI111" s="344">
        <f>IF(T111="AIR",'Catalogue Aluminium'!$K$9,IF(T111="TRENCH",'Catalogue Aluminium'!$K$12,"NA"))</f>
        <v>0.89</v>
      </c>
      <c r="AJ111" s="342">
        <f>IF(T111="Air",(IF(U111="1C",'Catalogue Aluminium'!$L$9,'Catalogue Aluminium'!$M$9)),IF(T111="DUCT",(IF($U111="1C",'Catalogue Aluminium'!$L$10,'Catalogue Aluminium'!$M$10)),IF(T111="GROUND",(IF($U111="1C",'Catalogue Aluminium'!$L$11,'Catalogue Aluminium'!$M$11)),IF(T111="TRENCH",(IF($U111="1C",'Catalogue Aluminium'!$L$12,'Catalogue Aluminium'!$M$12))))))</f>
        <v>0.66</v>
      </c>
      <c r="AK111" s="344" t="str">
        <f>IF(T111="Air",'Catalogue Aluminium'!$N$9,IF(T111="GROUND",'Catalogue Aluminium'!$N$10,IF(T111="DUCT",'Catalogue Aluminium'!$N$11,IF(T111="TRENCH",'Catalogue Aluminium'!$N$12,"NA"))))</f>
        <v>NA</v>
      </c>
      <c r="AL111" s="344" t="str">
        <f>IF(T111="Air",(IF(U111="1C",'Catalogue Aluminium'!$O$9,'Catalogue Aluminium'!$P$9)),IF(T111="DUCT",(IF($U111="1C",'Catalogue Aluminium'!$O$10,'Catalogue Aluminium'!$P$10)),IF(T111="GROUND",(IF($U111="1C",'Catalogue Aluminium'!$O$11,'Catalogue Aluminium'!$P$11)),IF(T111="TRENCH",(IF($U111="1C",'Catalogue Aluminium'!$O$12,'Catalogue Aluminium'!$P$12))))))</f>
        <v>NA</v>
      </c>
      <c r="AM111" s="344" t="str">
        <f>IF(T111="AIR","NA",IF(T111="TRENCH","NA",IF(T111="DUCT",IF(U111="1C",VLOOKUP(V111,'Catalogue Aluminium'!$Q$9:$S$28,2,FALSE),VLOOKUP(V111,'Catalogue Aluminium'!$Q$9:$S$28,3)),IF(T111="GROUND",IF(U111="1C",VLOOKUP(V111,'Catalogue Aluminium'!$Q$9:$S$28,2,FALSE),VLOOKUP(V111,'Catalogue Aluminium'!$Q$9:$S$28,3))))))</f>
        <v>NA</v>
      </c>
      <c r="AN111" s="351">
        <f t="shared" ref="AN111:AN112" si="1187">IF(T111="AIR",AI111*AJ111,IF(T111="TRENCH",AI111*AJ111,IF(T111="DUCT",AJ111*AK111*AL111*AM111,IF(T111="GROUND",AJ111*AK111*AL111*AM111))))</f>
        <v>0.58740000000000003</v>
      </c>
      <c r="AO111" s="350">
        <f t="shared" ref="AO111:AO112" si="1188">Z111*AN111</f>
        <v>103.96980000000001</v>
      </c>
      <c r="AP111" s="349">
        <f t="shared" ref="AP111:AP112" si="1189">CEILING(((N111)/AO111),1)</f>
        <v>1</v>
      </c>
      <c r="AQ111" s="350" t="str">
        <f t="shared" ref="AQ111:AQ112" si="1190">IF(AO111*AP111&gt;=N111,"YES","NO")</f>
        <v>YES</v>
      </c>
      <c r="AR111" s="351">
        <f t="shared" ref="AR111:AR112" si="1191">SQRT(3)*AH111*N111*((AA111*L111)+(AB111*SIN(ACOS(L111))))*100/(AP111*K111*1000)</f>
        <v>1.8562096846610179</v>
      </c>
      <c r="AS111" s="343" t="str">
        <f t="shared" ref="AS111:AS112" si="1192">IF(G111="INCOMER",(IF(AR111&lt;=2,"YES","NO")),IF(G111="POWER",(IF(AR111&lt;=2.5,"YES","NO")),IF(G111="MOTOR",(IF(AR111&lt;=3,"YES","NO")))))</f>
        <v>YES</v>
      </c>
      <c r="AT111" s="351" t="str">
        <f t="shared" si="1169"/>
        <v>NA</v>
      </c>
      <c r="AU111" s="343" t="str">
        <f t="shared" si="1170"/>
        <v>NA</v>
      </c>
      <c r="AV111" s="354" t="str">
        <f t="shared" si="1171"/>
        <v>1R x 0.6/1kV x 3.5C x 70 Sqmm</v>
      </c>
      <c r="AW111" s="354" t="str">
        <f t="shared" si="893"/>
        <v>1R x 0.6/1kV x 3.5C x 70 Sqmm</v>
      </c>
      <c r="AX111" s="343">
        <f t="shared" si="1172"/>
        <v>160</v>
      </c>
      <c r="AY111" s="355"/>
      <c r="AZ111" s="355">
        <f t="shared" si="1173"/>
        <v>2</v>
      </c>
      <c r="BA111" s="356" t="str">
        <f t="shared" si="1174"/>
        <v>Q3RR1R2R2.A</v>
      </c>
      <c r="BB111" s="501">
        <f>VLOOKUP(W111,'Catalogue Aluminium'!$B$9:$H$93,7,FALSE)</f>
        <v>36</v>
      </c>
      <c r="BC111" s="328">
        <f t="shared" si="1175"/>
        <v>36</v>
      </c>
      <c r="BE111" s="336"/>
      <c r="BF111" s="336"/>
      <c r="BG111" s="336"/>
      <c r="BH111" s="336"/>
      <c r="BI111" s="336"/>
      <c r="BJ111" s="336"/>
      <c r="BK111" s="336"/>
      <c r="BL111" s="336"/>
      <c r="BM111" s="336"/>
      <c r="BN111" s="336"/>
      <c r="BO111" s="336"/>
      <c r="BP111" s="336"/>
      <c r="BQ111" s="336"/>
      <c r="BR111" s="336"/>
      <c r="BS111" s="336"/>
      <c r="BT111" s="336"/>
      <c r="BU111" s="336"/>
      <c r="BV111" s="336"/>
      <c r="BW111" s="336"/>
      <c r="BX111" s="336"/>
      <c r="BY111" s="336"/>
      <c r="BZ111" s="336"/>
      <c r="CA111" s="336"/>
      <c r="CB111" s="336"/>
      <c r="CC111" s="336"/>
      <c r="CD111" s="336"/>
      <c r="CE111" s="336"/>
      <c r="CF111" s="336"/>
      <c r="CG111" s="336"/>
      <c r="CH111" s="336"/>
      <c r="CI111" s="336"/>
      <c r="CJ111" s="336"/>
      <c r="CK111" s="336"/>
      <c r="CL111" s="336"/>
      <c r="CM111" s="336"/>
      <c r="CN111" s="336"/>
      <c r="CO111" s="336"/>
      <c r="CP111" s="336"/>
      <c r="CQ111" s="336"/>
      <c r="CR111" s="336"/>
      <c r="CS111" s="336"/>
      <c r="CT111" s="336"/>
      <c r="CU111" s="336"/>
      <c r="CV111" s="336"/>
      <c r="CW111" s="336"/>
      <c r="CX111" s="336"/>
      <c r="CY111" s="336"/>
      <c r="CZ111" s="336"/>
      <c r="DA111" s="336">
        <v>1</v>
      </c>
      <c r="DB111" s="336"/>
      <c r="DC111" s="336"/>
      <c r="DD111" s="336"/>
      <c r="DE111" s="336"/>
      <c r="DF111" s="336"/>
      <c r="DG111" s="336">
        <v>1</v>
      </c>
      <c r="DH111" s="336">
        <v>1</v>
      </c>
      <c r="DI111" s="336">
        <v>1</v>
      </c>
      <c r="DJ111" s="336"/>
      <c r="DK111" s="336">
        <v>1</v>
      </c>
      <c r="DL111" s="336"/>
      <c r="DM111" s="336"/>
      <c r="DN111" s="336"/>
      <c r="DO111" s="336"/>
      <c r="DP111" s="336"/>
      <c r="DQ111" s="336"/>
      <c r="DR111" s="336"/>
      <c r="DS111" s="336"/>
      <c r="DT111" s="336"/>
      <c r="DU111" s="336"/>
      <c r="DW111" s="336">
        <f t="shared" si="1022"/>
        <v>0</v>
      </c>
      <c r="DX111" s="336">
        <f t="shared" si="900"/>
        <v>0</v>
      </c>
      <c r="DY111" s="336">
        <f t="shared" si="901"/>
        <v>0</v>
      </c>
      <c r="DZ111" s="336">
        <f t="shared" si="902"/>
        <v>0</v>
      </c>
      <c r="EA111" s="336">
        <f t="shared" si="903"/>
        <v>0</v>
      </c>
      <c r="EB111" s="336">
        <f t="shared" si="904"/>
        <v>0</v>
      </c>
      <c r="EC111" s="336">
        <f t="shared" si="905"/>
        <v>0</v>
      </c>
      <c r="ED111" s="336">
        <f t="shared" si="906"/>
        <v>0</v>
      </c>
      <c r="EE111" s="336">
        <f t="shared" si="907"/>
        <v>0</v>
      </c>
      <c r="EF111" s="336">
        <f t="shared" si="908"/>
        <v>0</v>
      </c>
      <c r="EG111" s="336">
        <f t="shared" si="909"/>
        <v>0</v>
      </c>
      <c r="EH111" s="336">
        <f t="shared" si="910"/>
        <v>0</v>
      </c>
      <c r="EI111" s="336">
        <f t="shared" si="911"/>
        <v>0</v>
      </c>
      <c r="EJ111" s="336">
        <f t="shared" si="912"/>
        <v>0</v>
      </c>
      <c r="EK111" s="336">
        <f t="shared" si="913"/>
        <v>0</v>
      </c>
      <c r="EL111" s="336">
        <f t="shared" si="914"/>
        <v>0</v>
      </c>
      <c r="EM111" s="336">
        <f t="shared" si="915"/>
        <v>0</v>
      </c>
      <c r="EN111" s="336">
        <f t="shared" si="916"/>
        <v>0</v>
      </c>
      <c r="EO111" s="336">
        <f t="shared" si="917"/>
        <v>0</v>
      </c>
      <c r="EP111" s="336">
        <f t="shared" si="918"/>
        <v>0</v>
      </c>
      <c r="EQ111" s="336">
        <f t="shared" si="919"/>
        <v>0</v>
      </c>
      <c r="ER111" s="336">
        <f t="shared" si="920"/>
        <v>0</v>
      </c>
      <c r="ES111" s="336">
        <f t="shared" si="921"/>
        <v>0</v>
      </c>
      <c r="ET111" s="336">
        <f t="shared" si="921"/>
        <v>0</v>
      </c>
      <c r="EU111" s="336">
        <f t="shared" si="922"/>
        <v>0</v>
      </c>
      <c r="EV111" s="336">
        <f t="shared" si="923"/>
        <v>0</v>
      </c>
      <c r="EW111" s="336">
        <f t="shared" si="924"/>
        <v>0</v>
      </c>
      <c r="EX111" s="336">
        <f t="shared" si="925"/>
        <v>0</v>
      </c>
      <c r="EY111" s="336">
        <f t="shared" si="926"/>
        <v>0</v>
      </c>
      <c r="EZ111" s="336">
        <f t="shared" si="927"/>
        <v>0</v>
      </c>
      <c r="FA111" s="336">
        <f t="shared" si="928"/>
        <v>0</v>
      </c>
      <c r="FB111" s="336">
        <f t="shared" si="929"/>
        <v>0</v>
      </c>
      <c r="FC111" s="336">
        <f t="shared" si="930"/>
        <v>0</v>
      </c>
      <c r="FD111" s="336">
        <f t="shared" si="931"/>
        <v>0</v>
      </c>
      <c r="FE111" s="336">
        <f t="shared" si="932"/>
        <v>0</v>
      </c>
      <c r="FF111" s="336">
        <f t="shared" si="933"/>
        <v>0</v>
      </c>
      <c r="FG111" s="336">
        <f t="shared" si="934"/>
        <v>0</v>
      </c>
      <c r="FH111" s="336">
        <f t="shared" si="935"/>
        <v>0</v>
      </c>
      <c r="FI111" s="336">
        <f t="shared" si="936"/>
        <v>0</v>
      </c>
      <c r="FJ111" s="336">
        <f t="shared" si="937"/>
        <v>0</v>
      </c>
      <c r="FK111" s="336">
        <f t="shared" si="938"/>
        <v>0</v>
      </c>
      <c r="FL111" s="336">
        <f t="shared" si="939"/>
        <v>0</v>
      </c>
      <c r="FM111" s="336">
        <f t="shared" si="940"/>
        <v>0</v>
      </c>
      <c r="FN111" s="336">
        <f t="shared" si="941"/>
        <v>0</v>
      </c>
      <c r="FO111" s="336">
        <f t="shared" si="942"/>
        <v>0</v>
      </c>
      <c r="FP111" s="336">
        <f t="shared" si="943"/>
        <v>0</v>
      </c>
      <c r="FQ111" s="336">
        <f t="shared" si="944"/>
        <v>0</v>
      </c>
      <c r="FR111" s="336">
        <f t="shared" si="945"/>
        <v>0</v>
      </c>
      <c r="FS111" s="336">
        <f t="shared" si="946"/>
        <v>36</v>
      </c>
      <c r="FT111" s="336">
        <f t="shared" si="947"/>
        <v>0</v>
      </c>
      <c r="FU111" s="336">
        <f t="shared" si="553"/>
        <v>0</v>
      </c>
      <c r="FV111" s="336">
        <f t="shared" si="554"/>
        <v>0</v>
      </c>
      <c r="FW111" s="336">
        <f t="shared" si="555"/>
        <v>0</v>
      </c>
      <c r="FX111" s="336">
        <f t="shared" si="556"/>
        <v>0</v>
      </c>
      <c r="FY111" s="336">
        <f t="shared" si="948"/>
        <v>36</v>
      </c>
      <c r="FZ111" s="336">
        <f t="shared" si="949"/>
        <v>36</v>
      </c>
      <c r="GA111" s="336">
        <f t="shared" si="950"/>
        <v>36</v>
      </c>
      <c r="GB111" s="336">
        <f t="shared" si="951"/>
        <v>0</v>
      </c>
      <c r="GC111" s="336">
        <f t="shared" si="952"/>
        <v>36</v>
      </c>
      <c r="GD111" s="336">
        <f t="shared" si="953"/>
        <v>0</v>
      </c>
      <c r="GE111" s="336">
        <f t="shared" si="954"/>
        <v>0</v>
      </c>
      <c r="GF111" s="336">
        <f t="shared" si="955"/>
        <v>0</v>
      </c>
      <c r="GG111" s="336">
        <f t="shared" si="956"/>
        <v>0</v>
      </c>
      <c r="GH111" s="336">
        <f t="shared" si="957"/>
        <v>0</v>
      </c>
      <c r="GI111" s="336">
        <f t="shared" si="958"/>
        <v>0</v>
      </c>
      <c r="GJ111" s="336">
        <f t="shared" si="959"/>
        <v>0</v>
      </c>
      <c r="GK111" s="336">
        <f t="shared" si="960"/>
        <v>0</v>
      </c>
      <c r="GL111" s="336">
        <f t="shared" si="557"/>
        <v>0</v>
      </c>
      <c r="GM111" s="336">
        <f t="shared" si="961"/>
        <v>0</v>
      </c>
    </row>
    <row r="112" spans="1:195" ht="24.75" customHeight="1">
      <c r="A112" s="337">
        <f t="shared" si="1176"/>
        <v>80</v>
      </c>
      <c r="B112" s="453" t="s">
        <v>527</v>
      </c>
      <c r="C112" s="372" t="str">
        <f t="shared" si="1160"/>
        <v>PDB-2</v>
      </c>
      <c r="D112" s="904" t="s">
        <v>1736</v>
      </c>
      <c r="E112" s="569" t="s">
        <v>1204</v>
      </c>
      <c r="F112" s="756" t="s">
        <v>28</v>
      </c>
      <c r="G112" s="340" t="s">
        <v>350</v>
      </c>
      <c r="H112" s="350">
        <v>5</v>
      </c>
      <c r="I112" s="337" t="s">
        <v>330</v>
      </c>
      <c r="J112" s="337" t="s">
        <v>331</v>
      </c>
      <c r="K112" s="349">
        <v>400</v>
      </c>
      <c r="L112" s="343">
        <v>0.75</v>
      </c>
      <c r="M112" s="350">
        <v>0.85299999999999998</v>
      </c>
      <c r="N112" s="342">
        <f>IF(I112="kVA",IF(J112="3Ph",(H112*1000/(1.732*M112*K112)),(H112*1000/(M112*K112))),IF(I112="kW",IF(J112="3Ph",(H112*1000/(1.732*M112*K112*L112)),(H112*1000/(M112*K112*L112)))))</f>
        <v>11.281109916817607</v>
      </c>
      <c r="O112" s="342">
        <f t="shared" si="1180"/>
        <v>67.686659500905648</v>
      </c>
      <c r="P112" s="343">
        <f t="shared" si="1181"/>
        <v>0.2</v>
      </c>
      <c r="Q112" s="350">
        <v>65</v>
      </c>
      <c r="R112" s="350">
        <v>0</v>
      </c>
      <c r="S112" s="350">
        <f t="shared" si="1182"/>
        <v>0</v>
      </c>
      <c r="T112" s="343" t="s">
        <v>332</v>
      </c>
      <c r="U112" s="350" t="s">
        <v>333</v>
      </c>
      <c r="V112" s="343">
        <v>6</v>
      </c>
      <c r="W112" s="343" t="str">
        <f t="shared" si="1183"/>
        <v>3C X 6</v>
      </c>
      <c r="X112" s="343" t="str">
        <f t="shared" si="1184"/>
        <v>3C X 6+PE</v>
      </c>
      <c r="Y112" s="343" t="s">
        <v>358</v>
      </c>
      <c r="Z112" s="344">
        <f>IF(T112="AIR",VLOOKUP(W112,'Catalogue Aluminium'!$B$9:$G$93,2,FALSE),IF(T112="GROUND",VLOOKUP(W112,'Catalogue Aluminium'!$B$9:$G$93,3,FALSE),IF(T112="DUCT",VLOOKUP(W112,'Catalogue Aluminium'!$B$9:$G$93,4,FALSE),IF(T112="TRENCH",VLOOKUP(W112,'Catalogue Aluminium'!$B$9:$G$93,2,FALSE)))))</f>
        <v>51</v>
      </c>
      <c r="AA112" s="345">
        <f>VLOOKUP(W112,'Catalogue Aluminium'!$B$9:$G$93,5,FALSE)</f>
        <v>3.94</v>
      </c>
      <c r="AB112" s="345">
        <f>VLOOKUP(W112,'Catalogue Aluminium'!$B$9:$G$93,6,FALSE)</f>
        <v>9.0200000000000002E-2</v>
      </c>
      <c r="AC112" s="343">
        <v>22</v>
      </c>
      <c r="AD112" s="343">
        <f>6+6.7+4.7+87+0.6</f>
        <v>105</v>
      </c>
      <c r="AE112" s="343">
        <v>20</v>
      </c>
      <c r="AF112" s="343">
        <v>8</v>
      </c>
      <c r="AG112" s="343">
        <f t="shared" si="1185"/>
        <v>16</v>
      </c>
      <c r="AH112" s="347">
        <f t="shared" si="1186"/>
        <v>171</v>
      </c>
      <c r="AI112" s="344">
        <f>IF(T112="AIR",'Catalogue Aluminium'!$K$9,IF(T112="TRENCH",'Catalogue Aluminium'!$K$12,"NA"))</f>
        <v>0.89</v>
      </c>
      <c r="AJ112" s="342">
        <f>IF(T112="Air",(IF(U112="1C",'Catalogue Aluminium'!$L$9,'Catalogue Aluminium'!$M$9)),IF(T112="DUCT",(IF($U112="1C",'Catalogue Aluminium'!$L$10,'Catalogue Aluminium'!$M$10)),IF(T112="GROUND",(IF($U112="1C",'Catalogue Aluminium'!$L$11,'Catalogue Aluminium'!$M$11)),IF(T112="TRENCH",(IF($U112="1C",'Catalogue Aluminium'!$L$12,'Catalogue Aluminium'!$M$12))))))</f>
        <v>0.66</v>
      </c>
      <c r="AK112" s="344" t="str">
        <f>IF(T112="Air",'Catalogue Aluminium'!$N$9,IF(T112="GROUND",'Catalogue Aluminium'!$N$10,IF(T112="DUCT",'Catalogue Aluminium'!$N$11,IF(T112="TRENCH",'Catalogue Aluminium'!$N$12,"NA"))))</f>
        <v>NA</v>
      </c>
      <c r="AL112" s="344" t="str">
        <f>IF(T112="Air",(IF(U112="1C",'Catalogue Aluminium'!$O$9,'Catalogue Aluminium'!$P$9)),IF(T112="DUCT",(IF($U112="1C",'Catalogue Aluminium'!$O$10,'Catalogue Aluminium'!$P$10)),IF(T112="GROUND",(IF($U112="1C",'Catalogue Aluminium'!$O$11,'Catalogue Aluminium'!$P$11)),IF(T112="TRENCH",(IF($U112="1C",'Catalogue Aluminium'!$O$12,'Catalogue Aluminium'!$P$12))))))</f>
        <v>NA</v>
      </c>
      <c r="AM112" s="344" t="str">
        <f>IF(T112="AIR","NA",IF(T112="TRENCH","NA",IF(T112="DUCT",IF(U112="1C",VLOOKUP(V112,'Catalogue Aluminium'!$Q$9:$S$28,2,FALSE),VLOOKUP(V112,'Catalogue Aluminium'!$Q$9:$S$28,3)),IF(T112="GROUND",IF(U112="1C",VLOOKUP(V112,'Catalogue Aluminium'!$Q$9:$S$28,2,FALSE),VLOOKUP(V112,'Catalogue Aluminium'!$Q$9:$S$28,3))))))</f>
        <v>NA</v>
      </c>
      <c r="AN112" s="351">
        <f t="shared" si="1187"/>
        <v>0.58740000000000003</v>
      </c>
      <c r="AO112" s="350">
        <f t="shared" si="1188"/>
        <v>29.957400000000003</v>
      </c>
      <c r="AP112" s="349">
        <f t="shared" si="1189"/>
        <v>1</v>
      </c>
      <c r="AQ112" s="350" t="str">
        <f t="shared" si="1190"/>
        <v>YES</v>
      </c>
      <c r="AR112" s="351">
        <f t="shared" si="1191"/>
        <v>2.5181822565038026</v>
      </c>
      <c r="AS112" s="343" t="str">
        <f t="shared" si="1192"/>
        <v>YES</v>
      </c>
      <c r="AT112" s="351">
        <f t="shared" si="1169"/>
        <v>4.3922908552073574</v>
      </c>
      <c r="AU112" s="343" t="str">
        <f t="shared" si="1170"/>
        <v>YES</v>
      </c>
      <c r="AV112" s="354" t="str">
        <f t="shared" si="1171"/>
        <v>1R x 0.6/1kV x 3C x 6 Sqmm</v>
      </c>
      <c r="AW112" s="354" t="str">
        <f t="shared" si="893"/>
        <v>1R x 0.6/1kV x 3C x 6+PE Sqmm</v>
      </c>
      <c r="AX112" s="343">
        <f t="shared" si="1172"/>
        <v>171</v>
      </c>
      <c r="AY112" s="355"/>
      <c r="AZ112" s="355">
        <f t="shared" si="1173"/>
        <v>2</v>
      </c>
      <c r="BA112" s="356" t="str">
        <f t="shared" si="1174"/>
        <v>E0Q1Q4Q5U</v>
      </c>
      <c r="BB112" s="501">
        <f>VLOOKUP(W112,'Catalogue Aluminium'!$B$9:$H$93,7,FALSE)</f>
        <v>16</v>
      </c>
      <c r="BC112" s="328">
        <f t="shared" si="1175"/>
        <v>16</v>
      </c>
      <c r="BE112" s="336"/>
      <c r="BF112" s="336"/>
      <c r="BG112" s="336"/>
      <c r="BH112" s="336"/>
      <c r="BI112" s="336"/>
      <c r="BJ112" s="336"/>
      <c r="BK112" s="336"/>
      <c r="BL112" s="336"/>
      <c r="BM112" s="336"/>
      <c r="BN112" s="336"/>
      <c r="BO112" s="336">
        <v>1</v>
      </c>
      <c r="BP112" s="336"/>
      <c r="BQ112" s="336"/>
      <c r="BR112" s="336"/>
      <c r="BS112" s="336"/>
      <c r="BT112" s="336"/>
      <c r="BU112" s="336"/>
      <c r="BV112" s="336"/>
      <c r="BW112" s="336"/>
      <c r="BX112" s="336"/>
      <c r="BY112" s="336"/>
      <c r="BZ112" s="336"/>
      <c r="CA112" s="336"/>
      <c r="CB112" s="336"/>
      <c r="CC112" s="336"/>
      <c r="CD112" s="336"/>
      <c r="CE112" s="336"/>
      <c r="CF112" s="336"/>
      <c r="CG112" s="336"/>
      <c r="CH112" s="336"/>
      <c r="CI112" s="336"/>
      <c r="CJ112" s="336"/>
      <c r="CK112" s="336"/>
      <c r="CL112" s="336"/>
      <c r="CM112" s="336"/>
      <c r="CN112" s="336"/>
      <c r="CO112" s="336"/>
      <c r="CP112" s="336"/>
      <c r="CQ112" s="336"/>
      <c r="CR112" s="336"/>
      <c r="CS112" s="336"/>
      <c r="CT112" s="336"/>
      <c r="CU112" s="336"/>
      <c r="CV112" s="336"/>
      <c r="CW112" s="336"/>
      <c r="CX112" s="336"/>
      <c r="CY112" s="336">
        <v>1</v>
      </c>
      <c r="CZ112" s="336"/>
      <c r="DA112" s="336"/>
      <c r="DB112" s="336">
        <v>1</v>
      </c>
      <c r="DC112" s="336">
        <v>1</v>
      </c>
      <c r="DD112" s="336"/>
      <c r="DE112" s="336"/>
      <c r="DF112" s="336"/>
      <c r="DG112" s="336"/>
      <c r="DH112" s="336"/>
      <c r="DI112" s="336"/>
      <c r="DJ112" s="741"/>
      <c r="DK112" s="741"/>
      <c r="DL112" s="741"/>
      <c r="DM112" s="741"/>
      <c r="DN112" s="741"/>
      <c r="DO112" s="741"/>
      <c r="DP112" s="741"/>
      <c r="DQ112" s="336"/>
      <c r="DR112" s="741"/>
      <c r="DS112" s="741"/>
      <c r="DT112" s="741"/>
      <c r="DU112" s="336">
        <v>1</v>
      </c>
      <c r="DW112" s="336">
        <f t="shared" si="1022"/>
        <v>0</v>
      </c>
      <c r="DX112" s="336">
        <f t="shared" si="900"/>
        <v>0</v>
      </c>
      <c r="DY112" s="336">
        <f t="shared" si="901"/>
        <v>0</v>
      </c>
      <c r="DZ112" s="336">
        <f t="shared" si="902"/>
        <v>0</v>
      </c>
      <c r="EA112" s="336">
        <f t="shared" si="903"/>
        <v>0</v>
      </c>
      <c r="EB112" s="336">
        <f t="shared" si="904"/>
        <v>0</v>
      </c>
      <c r="EC112" s="336">
        <f t="shared" si="905"/>
        <v>0</v>
      </c>
      <c r="ED112" s="336">
        <f t="shared" si="906"/>
        <v>0</v>
      </c>
      <c r="EE112" s="336">
        <f t="shared" si="907"/>
        <v>0</v>
      </c>
      <c r="EF112" s="336">
        <f t="shared" si="908"/>
        <v>0</v>
      </c>
      <c r="EG112" s="336">
        <f t="shared" si="909"/>
        <v>16</v>
      </c>
      <c r="EH112" s="336">
        <f t="shared" si="910"/>
        <v>0</v>
      </c>
      <c r="EI112" s="336">
        <f t="shared" si="911"/>
        <v>0</v>
      </c>
      <c r="EJ112" s="336">
        <f t="shared" si="912"/>
        <v>0</v>
      </c>
      <c r="EK112" s="336">
        <f t="shared" si="913"/>
        <v>0</v>
      </c>
      <c r="EL112" s="336">
        <f t="shared" si="914"/>
        <v>0</v>
      </c>
      <c r="EM112" s="336">
        <f t="shared" si="915"/>
        <v>0</v>
      </c>
      <c r="EN112" s="336">
        <f t="shared" si="916"/>
        <v>0</v>
      </c>
      <c r="EO112" s="336">
        <f t="shared" si="917"/>
        <v>0</v>
      </c>
      <c r="EP112" s="336">
        <f t="shared" si="918"/>
        <v>0</v>
      </c>
      <c r="EQ112" s="336">
        <f t="shared" si="919"/>
        <v>0</v>
      </c>
      <c r="ER112" s="336">
        <f t="shared" si="920"/>
        <v>0</v>
      </c>
      <c r="ES112" s="336">
        <f t="shared" si="921"/>
        <v>0</v>
      </c>
      <c r="ET112" s="336">
        <f t="shared" si="921"/>
        <v>0</v>
      </c>
      <c r="EU112" s="336">
        <f t="shared" si="922"/>
        <v>0</v>
      </c>
      <c r="EV112" s="336">
        <f t="shared" si="923"/>
        <v>0</v>
      </c>
      <c r="EW112" s="336">
        <f t="shared" si="924"/>
        <v>0</v>
      </c>
      <c r="EX112" s="336">
        <f t="shared" si="925"/>
        <v>0</v>
      </c>
      <c r="EY112" s="336">
        <f t="shared" si="926"/>
        <v>0</v>
      </c>
      <c r="EZ112" s="336">
        <f t="shared" si="927"/>
        <v>0</v>
      </c>
      <c r="FA112" s="336">
        <f t="shared" si="928"/>
        <v>0</v>
      </c>
      <c r="FB112" s="336">
        <f t="shared" si="929"/>
        <v>0</v>
      </c>
      <c r="FC112" s="336">
        <f t="shared" si="930"/>
        <v>0</v>
      </c>
      <c r="FD112" s="336">
        <f t="shared" si="931"/>
        <v>0</v>
      </c>
      <c r="FE112" s="336">
        <f t="shared" si="932"/>
        <v>0</v>
      </c>
      <c r="FF112" s="336">
        <f t="shared" si="933"/>
        <v>0</v>
      </c>
      <c r="FG112" s="336">
        <f t="shared" si="934"/>
        <v>0</v>
      </c>
      <c r="FH112" s="336">
        <f t="shared" si="935"/>
        <v>0</v>
      </c>
      <c r="FI112" s="336">
        <f t="shared" si="936"/>
        <v>0</v>
      </c>
      <c r="FJ112" s="336">
        <f t="shared" si="937"/>
        <v>0</v>
      </c>
      <c r="FK112" s="336">
        <f t="shared" si="938"/>
        <v>0</v>
      </c>
      <c r="FL112" s="336">
        <f t="shared" si="939"/>
        <v>0</v>
      </c>
      <c r="FM112" s="336">
        <f t="shared" si="940"/>
        <v>0</v>
      </c>
      <c r="FN112" s="336">
        <f t="shared" si="941"/>
        <v>0</v>
      </c>
      <c r="FO112" s="336">
        <f t="shared" si="942"/>
        <v>0</v>
      </c>
      <c r="FP112" s="336">
        <f t="shared" si="943"/>
        <v>0</v>
      </c>
      <c r="FQ112" s="336">
        <f t="shared" si="944"/>
        <v>16</v>
      </c>
      <c r="FR112" s="336">
        <f t="shared" si="945"/>
        <v>0</v>
      </c>
      <c r="FS112" s="336">
        <f t="shared" si="946"/>
        <v>0</v>
      </c>
      <c r="FT112" s="336">
        <f t="shared" si="947"/>
        <v>16</v>
      </c>
      <c r="FU112" s="336">
        <f t="shared" si="553"/>
        <v>16</v>
      </c>
      <c r="FV112" s="336">
        <f t="shared" si="554"/>
        <v>0</v>
      </c>
      <c r="FW112" s="336">
        <f t="shared" si="555"/>
        <v>0</v>
      </c>
      <c r="FX112" s="336">
        <f t="shared" si="556"/>
        <v>0</v>
      </c>
      <c r="FY112" s="336">
        <f t="shared" si="948"/>
        <v>0</v>
      </c>
      <c r="FZ112" s="336">
        <f t="shared" si="949"/>
        <v>0</v>
      </c>
      <c r="GA112" s="336">
        <f t="shared" si="950"/>
        <v>0</v>
      </c>
      <c r="GB112" s="336">
        <f t="shared" si="951"/>
        <v>0</v>
      </c>
      <c r="GC112" s="336">
        <f t="shared" si="952"/>
        <v>0</v>
      </c>
      <c r="GD112" s="336">
        <f t="shared" si="953"/>
        <v>0</v>
      </c>
      <c r="GE112" s="336">
        <f t="shared" si="954"/>
        <v>0</v>
      </c>
      <c r="GF112" s="336">
        <f t="shared" si="955"/>
        <v>0</v>
      </c>
      <c r="GG112" s="336">
        <f t="shared" si="956"/>
        <v>0</v>
      </c>
      <c r="GH112" s="336">
        <f t="shared" si="957"/>
        <v>0</v>
      </c>
      <c r="GI112" s="336">
        <f t="shared" si="958"/>
        <v>0</v>
      </c>
      <c r="GJ112" s="336">
        <f t="shared" si="959"/>
        <v>0</v>
      </c>
      <c r="GK112" s="336">
        <f t="shared" si="960"/>
        <v>0</v>
      </c>
      <c r="GL112" s="336">
        <f t="shared" si="557"/>
        <v>0</v>
      </c>
      <c r="GM112" s="336">
        <f t="shared" si="961"/>
        <v>16</v>
      </c>
    </row>
    <row r="113" spans="1:195" ht="20.100000000000001" customHeight="1">
      <c r="A113" s="337">
        <f t="shared" ref="A113:A114" si="1193">A111+1</f>
        <v>80</v>
      </c>
      <c r="B113" s="453" t="s">
        <v>1167</v>
      </c>
      <c r="C113" s="372" t="str">
        <f t="shared" ref="C113:C114" si="1194">$D$6</f>
        <v>PMCC-2</v>
      </c>
      <c r="D113" s="440" t="s">
        <v>1205</v>
      </c>
      <c r="E113" s="569" t="s">
        <v>419</v>
      </c>
      <c r="F113" s="759" t="s">
        <v>28</v>
      </c>
      <c r="G113" s="340" t="s">
        <v>337</v>
      </c>
      <c r="H113" s="350">
        <v>348.62062405268392</v>
      </c>
      <c r="I113" s="337" t="s">
        <v>330</v>
      </c>
      <c r="J113" s="337" t="s">
        <v>331</v>
      </c>
      <c r="K113" s="349">
        <v>400</v>
      </c>
      <c r="L113" s="343">
        <v>0.85000000000000009</v>
      </c>
      <c r="M113" s="350">
        <v>0.95042105263157861</v>
      </c>
      <c r="N113" s="342">
        <f t="shared" si="869"/>
        <v>622.88837187580589</v>
      </c>
      <c r="O113" s="926"/>
      <c r="P113" s="927"/>
      <c r="Q113" s="927"/>
      <c r="R113" s="927"/>
      <c r="S113" s="927"/>
      <c r="T113" s="927"/>
      <c r="U113" s="927"/>
      <c r="V113" s="927"/>
      <c r="W113" s="927"/>
      <c r="X113" s="927"/>
      <c r="Y113" s="927"/>
      <c r="Z113" s="927"/>
      <c r="AA113" s="927"/>
      <c r="AB113" s="927"/>
      <c r="AC113" s="927"/>
      <c r="AD113" s="927"/>
      <c r="AE113" s="927"/>
      <c r="AF113" s="927"/>
      <c r="AG113" s="927"/>
      <c r="AH113" s="927"/>
      <c r="AI113" s="927"/>
      <c r="AJ113" s="927"/>
      <c r="AK113" s="927"/>
      <c r="AL113" s="927"/>
      <c r="AM113" s="927"/>
      <c r="AN113" s="927"/>
      <c r="AO113" s="927"/>
      <c r="AP113" s="927"/>
      <c r="AQ113" s="927"/>
      <c r="AR113" s="927"/>
      <c r="AS113" s="927"/>
      <c r="AT113" s="927"/>
      <c r="AU113" s="927"/>
      <c r="AV113" s="927"/>
      <c r="AW113" s="927"/>
      <c r="AX113" s="927"/>
      <c r="AY113" s="927"/>
      <c r="AZ113" s="927"/>
      <c r="BA113" s="927"/>
      <c r="BB113" s="927"/>
      <c r="BC113" s="1020"/>
      <c r="BE113" s="336"/>
      <c r="BF113" s="336"/>
      <c r="BG113" s="336"/>
      <c r="BH113" s="336"/>
      <c r="BI113" s="336"/>
      <c r="BJ113" s="336"/>
      <c r="BK113" s="336"/>
      <c r="BL113" s="336"/>
      <c r="BM113" s="336"/>
      <c r="BN113" s="336"/>
      <c r="BO113" s="336"/>
      <c r="BP113" s="336"/>
      <c r="BQ113" s="336"/>
      <c r="BR113" s="336"/>
      <c r="BS113" s="336"/>
      <c r="BT113" s="336"/>
      <c r="BU113" s="336"/>
      <c r="BV113" s="336"/>
      <c r="BW113" s="336"/>
      <c r="BX113" s="336"/>
      <c r="BY113" s="336"/>
      <c r="BZ113" s="336"/>
      <c r="CA113" s="336"/>
      <c r="CB113" s="336"/>
      <c r="CC113" s="336"/>
      <c r="CD113" s="336"/>
      <c r="CE113" s="336"/>
      <c r="CF113" s="336"/>
      <c r="CG113" s="336"/>
      <c r="CH113" s="336"/>
      <c r="CI113" s="336"/>
      <c r="CJ113" s="336"/>
      <c r="CK113" s="336"/>
      <c r="CL113" s="336"/>
      <c r="CM113" s="336"/>
      <c r="CN113" s="336"/>
      <c r="CO113" s="336"/>
      <c r="CP113" s="336"/>
      <c r="CQ113" s="336"/>
      <c r="CR113" s="336"/>
      <c r="CS113" s="336"/>
      <c r="CT113" s="336"/>
      <c r="CU113" s="336"/>
      <c r="CV113" s="336"/>
      <c r="CW113" s="336"/>
      <c r="CX113" s="336"/>
      <c r="CY113" s="336"/>
      <c r="CZ113" s="336"/>
      <c r="DA113" s="336"/>
      <c r="DB113" s="336"/>
      <c r="DC113" s="336"/>
      <c r="DD113" s="336"/>
      <c r="DE113" s="336"/>
      <c r="DF113" s="336"/>
      <c r="DG113" s="336"/>
      <c r="DH113" s="336"/>
      <c r="DI113" s="336"/>
      <c r="DJ113" s="336"/>
      <c r="DK113" s="336"/>
      <c r="DL113" s="336"/>
      <c r="DM113" s="336"/>
      <c r="DN113" s="336"/>
      <c r="DO113" s="336"/>
      <c r="DP113" s="336"/>
      <c r="DQ113" s="336"/>
      <c r="DR113" s="336"/>
      <c r="DS113" s="336"/>
      <c r="DT113" s="336"/>
      <c r="DU113" s="336"/>
      <c r="DW113" s="336">
        <f t="shared" si="1022"/>
        <v>0</v>
      </c>
      <c r="DX113" s="336">
        <f t="shared" si="900"/>
        <v>0</v>
      </c>
      <c r="DY113" s="336">
        <f t="shared" si="901"/>
        <v>0</v>
      </c>
      <c r="DZ113" s="336">
        <f t="shared" si="902"/>
        <v>0</v>
      </c>
      <c r="EA113" s="336">
        <f t="shared" si="903"/>
        <v>0</v>
      </c>
      <c r="EB113" s="336">
        <f t="shared" si="904"/>
        <v>0</v>
      </c>
      <c r="EC113" s="336">
        <f t="shared" si="905"/>
        <v>0</v>
      </c>
      <c r="ED113" s="336">
        <f t="shared" si="906"/>
        <v>0</v>
      </c>
      <c r="EE113" s="336">
        <f t="shared" si="907"/>
        <v>0</v>
      </c>
      <c r="EF113" s="336">
        <f t="shared" si="908"/>
        <v>0</v>
      </c>
      <c r="EG113" s="336">
        <f t="shared" si="909"/>
        <v>0</v>
      </c>
      <c r="EH113" s="336">
        <f t="shared" si="910"/>
        <v>0</v>
      </c>
      <c r="EI113" s="336">
        <f t="shared" si="911"/>
        <v>0</v>
      </c>
      <c r="EJ113" s="336">
        <f t="shared" si="912"/>
        <v>0</v>
      </c>
      <c r="EK113" s="336">
        <f t="shared" si="913"/>
        <v>0</v>
      </c>
      <c r="EL113" s="336">
        <f t="shared" si="914"/>
        <v>0</v>
      </c>
      <c r="EM113" s="336">
        <f t="shared" si="915"/>
        <v>0</v>
      </c>
      <c r="EN113" s="336">
        <f t="shared" si="916"/>
        <v>0</v>
      </c>
      <c r="EO113" s="336">
        <f t="shared" si="917"/>
        <v>0</v>
      </c>
      <c r="EP113" s="336">
        <f t="shared" si="918"/>
        <v>0</v>
      </c>
      <c r="EQ113" s="336">
        <f t="shared" si="919"/>
        <v>0</v>
      </c>
      <c r="ER113" s="336">
        <f t="shared" si="920"/>
        <v>0</v>
      </c>
      <c r="ES113" s="336">
        <f t="shared" si="921"/>
        <v>0</v>
      </c>
      <c r="ET113" s="336">
        <f t="shared" si="921"/>
        <v>0</v>
      </c>
      <c r="EU113" s="336">
        <f t="shared" si="922"/>
        <v>0</v>
      </c>
      <c r="EV113" s="336">
        <f t="shared" si="923"/>
        <v>0</v>
      </c>
      <c r="EW113" s="336">
        <f t="shared" si="924"/>
        <v>0</v>
      </c>
      <c r="EX113" s="336">
        <f t="shared" si="925"/>
        <v>0</v>
      </c>
      <c r="EY113" s="336">
        <f t="shared" si="926"/>
        <v>0</v>
      </c>
      <c r="EZ113" s="336">
        <f t="shared" si="927"/>
        <v>0</v>
      </c>
      <c r="FA113" s="336">
        <f t="shared" si="928"/>
        <v>0</v>
      </c>
      <c r="FB113" s="336">
        <f t="shared" si="929"/>
        <v>0</v>
      </c>
      <c r="FC113" s="336">
        <f t="shared" si="930"/>
        <v>0</v>
      </c>
      <c r="FD113" s="336">
        <f t="shared" si="931"/>
        <v>0</v>
      </c>
      <c r="FE113" s="336">
        <f t="shared" si="932"/>
        <v>0</v>
      </c>
      <c r="FF113" s="336">
        <f t="shared" si="933"/>
        <v>0</v>
      </c>
      <c r="FG113" s="336">
        <f t="shared" si="934"/>
        <v>0</v>
      </c>
      <c r="FH113" s="336">
        <f t="shared" si="935"/>
        <v>0</v>
      </c>
      <c r="FI113" s="336">
        <f t="shared" si="936"/>
        <v>0</v>
      </c>
      <c r="FJ113" s="336">
        <f t="shared" si="937"/>
        <v>0</v>
      </c>
      <c r="FK113" s="336">
        <f t="shared" si="938"/>
        <v>0</v>
      </c>
      <c r="FL113" s="336">
        <f t="shared" si="939"/>
        <v>0</v>
      </c>
      <c r="FM113" s="336">
        <f t="shared" si="940"/>
        <v>0</v>
      </c>
      <c r="FN113" s="336">
        <f t="shared" si="941"/>
        <v>0</v>
      </c>
      <c r="FO113" s="336">
        <f t="shared" si="942"/>
        <v>0</v>
      </c>
      <c r="FP113" s="336">
        <f t="shared" si="943"/>
        <v>0</v>
      </c>
      <c r="FQ113" s="336">
        <f t="shared" si="944"/>
        <v>0</v>
      </c>
      <c r="FR113" s="336">
        <f t="shared" si="945"/>
        <v>0</v>
      </c>
      <c r="FS113" s="336">
        <f t="shared" si="946"/>
        <v>0</v>
      </c>
      <c r="FT113" s="336">
        <f t="shared" si="947"/>
        <v>0</v>
      </c>
      <c r="FU113" s="336">
        <f t="shared" si="553"/>
        <v>0</v>
      </c>
      <c r="FV113" s="336">
        <f t="shared" si="554"/>
        <v>0</v>
      </c>
      <c r="FW113" s="336">
        <f t="shared" si="555"/>
        <v>0</v>
      </c>
      <c r="FX113" s="336">
        <f t="shared" si="556"/>
        <v>0</v>
      </c>
      <c r="FY113" s="336">
        <f t="shared" si="948"/>
        <v>0</v>
      </c>
      <c r="FZ113" s="336">
        <f t="shared" si="949"/>
        <v>0</v>
      </c>
      <c r="GA113" s="336">
        <f t="shared" si="950"/>
        <v>0</v>
      </c>
      <c r="GB113" s="336">
        <f t="shared" si="951"/>
        <v>0</v>
      </c>
      <c r="GC113" s="336">
        <f t="shared" si="952"/>
        <v>0</v>
      </c>
      <c r="GD113" s="336">
        <f t="shared" si="953"/>
        <v>0</v>
      </c>
      <c r="GE113" s="336">
        <f t="shared" si="954"/>
        <v>0</v>
      </c>
      <c r="GF113" s="336">
        <f t="shared" si="955"/>
        <v>0</v>
      </c>
      <c r="GG113" s="336">
        <f t="shared" si="956"/>
        <v>0</v>
      </c>
      <c r="GH113" s="336">
        <f t="shared" si="957"/>
        <v>0</v>
      </c>
      <c r="GI113" s="336">
        <f t="shared" si="958"/>
        <v>0</v>
      </c>
      <c r="GJ113" s="336">
        <f t="shared" si="959"/>
        <v>0</v>
      </c>
      <c r="GK113" s="336">
        <f t="shared" si="960"/>
        <v>0</v>
      </c>
      <c r="GL113" s="336">
        <f t="shared" si="557"/>
        <v>0</v>
      </c>
      <c r="GM113" s="336">
        <f t="shared" si="961"/>
        <v>0</v>
      </c>
    </row>
    <row r="114" spans="1:195" ht="20.100000000000001" customHeight="1">
      <c r="A114" s="337">
        <f t="shared" si="1193"/>
        <v>81</v>
      </c>
      <c r="B114" s="453" t="s">
        <v>1167</v>
      </c>
      <c r="C114" s="372" t="str">
        <f t="shared" si="1194"/>
        <v>PMCC-2</v>
      </c>
      <c r="D114" s="440" t="s">
        <v>1206</v>
      </c>
      <c r="E114" s="569" t="s">
        <v>419</v>
      </c>
      <c r="F114" s="756" t="s">
        <v>29</v>
      </c>
      <c r="G114" s="340" t="s">
        <v>337</v>
      </c>
      <c r="H114" s="350">
        <v>348.62062405268392</v>
      </c>
      <c r="I114" s="337" t="s">
        <v>330</v>
      </c>
      <c r="J114" s="337" t="s">
        <v>331</v>
      </c>
      <c r="K114" s="349">
        <v>400</v>
      </c>
      <c r="L114" s="343">
        <v>0.85000000000000009</v>
      </c>
      <c r="M114" s="350">
        <v>0.95042105263157861</v>
      </c>
      <c r="N114" s="342">
        <f t="shared" si="869"/>
        <v>622.88837187580589</v>
      </c>
      <c r="O114" s="926"/>
      <c r="P114" s="927"/>
      <c r="Q114" s="927"/>
      <c r="R114" s="927"/>
      <c r="S114" s="927"/>
      <c r="T114" s="927"/>
      <c r="U114" s="927"/>
      <c r="V114" s="927"/>
      <c r="W114" s="927"/>
      <c r="X114" s="927"/>
      <c r="Y114" s="927"/>
      <c r="Z114" s="927"/>
      <c r="AA114" s="927"/>
      <c r="AB114" s="927"/>
      <c r="AC114" s="927"/>
      <c r="AD114" s="927"/>
      <c r="AE114" s="927"/>
      <c r="AF114" s="927"/>
      <c r="AG114" s="927"/>
      <c r="AH114" s="927"/>
      <c r="AI114" s="927"/>
      <c r="AJ114" s="927"/>
      <c r="AK114" s="927"/>
      <c r="AL114" s="927"/>
      <c r="AM114" s="927"/>
      <c r="AN114" s="927"/>
      <c r="AO114" s="927"/>
      <c r="AP114" s="927"/>
      <c r="AQ114" s="927"/>
      <c r="AR114" s="927"/>
      <c r="AS114" s="927"/>
      <c r="AT114" s="927"/>
      <c r="AU114" s="927"/>
      <c r="AV114" s="927"/>
      <c r="AW114" s="927"/>
      <c r="AX114" s="927"/>
      <c r="AY114" s="927"/>
      <c r="AZ114" s="927"/>
      <c r="BA114" s="927"/>
      <c r="BB114" s="927"/>
      <c r="BC114" s="1020"/>
      <c r="BE114" s="336"/>
      <c r="BF114" s="336"/>
      <c r="BG114" s="336"/>
      <c r="BH114" s="336"/>
      <c r="BI114" s="336"/>
      <c r="BJ114" s="336"/>
      <c r="BK114" s="336"/>
      <c r="BL114" s="336"/>
      <c r="BM114" s="336"/>
      <c r="BN114" s="336"/>
      <c r="BO114" s="336"/>
      <c r="BP114" s="336"/>
      <c r="BQ114" s="336"/>
      <c r="BR114" s="336"/>
      <c r="BS114" s="336"/>
      <c r="BT114" s="336"/>
      <c r="BU114" s="336"/>
      <c r="BV114" s="336"/>
      <c r="BW114" s="336"/>
      <c r="BX114" s="336"/>
      <c r="BY114" s="336"/>
      <c r="BZ114" s="336"/>
      <c r="CA114" s="336"/>
      <c r="CB114" s="336"/>
      <c r="CC114" s="336"/>
      <c r="CD114" s="336"/>
      <c r="CE114" s="336"/>
      <c r="CF114" s="336"/>
      <c r="CG114" s="336"/>
      <c r="CH114" s="336"/>
      <c r="CI114" s="336"/>
      <c r="CJ114" s="336"/>
      <c r="CK114" s="336"/>
      <c r="CL114" s="336"/>
      <c r="CM114" s="336"/>
      <c r="CN114" s="336"/>
      <c r="CO114" s="336"/>
      <c r="CP114" s="336"/>
      <c r="CQ114" s="336"/>
      <c r="CR114" s="336"/>
      <c r="CS114" s="336"/>
      <c r="CT114" s="336"/>
      <c r="CU114" s="336"/>
      <c r="CV114" s="336"/>
      <c r="CW114" s="336"/>
      <c r="CX114" s="336"/>
      <c r="CY114" s="336"/>
      <c r="CZ114" s="336"/>
      <c r="DA114" s="336"/>
      <c r="DB114" s="336"/>
      <c r="DC114" s="336"/>
      <c r="DD114" s="336"/>
      <c r="DE114" s="336"/>
      <c r="DF114" s="336"/>
      <c r="DG114" s="336"/>
      <c r="DH114" s="336"/>
      <c r="DI114" s="336"/>
      <c r="DJ114" s="336"/>
      <c r="DK114" s="336"/>
      <c r="DL114" s="336"/>
      <c r="DM114" s="336"/>
      <c r="DN114" s="336"/>
      <c r="DO114" s="336"/>
      <c r="DP114" s="336"/>
      <c r="DQ114" s="336"/>
      <c r="DR114" s="336"/>
      <c r="DS114" s="336"/>
      <c r="DT114" s="336"/>
      <c r="DU114" s="336"/>
      <c r="DW114" s="336">
        <f t="shared" si="1022"/>
        <v>0</v>
      </c>
      <c r="DX114" s="336">
        <f t="shared" si="900"/>
        <v>0</v>
      </c>
      <c r="DY114" s="336">
        <f t="shared" si="901"/>
        <v>0</v>
      </c>
      <c r="DZ114" s="336">
        <f t="shared" si="902"/>
        <v>0</v>
      </c>
      <c r="EA114" s="336">
        <f t="shared" si="903"/>
        <v>0</v>
      </c>
      <c r="EB114" s="336">
        <f t="shared" si="904"/>
        <v>0</v>
      </c>
      <c r="EC114" s="336">
        <f t="shared" si="905"/>
        <v>0</v>
      </c>
      <c r="ED114" s="336">
        <f t="shared" si="906"/>
        <v>0</v>
      </c>
      <c r="EE114" s="336">
        <f t="shared" si="907"/>
        <v>0</v>
      </c>
      <c r="EF114" s="336">
        <f t="shared" si="908"/>
        <v>0</v>
      </c>
      <c r="EG114" s="336">
        <f t="shared" si="909"/>
        <v>0</v>
      </c>
      <c r="EH114" s="336">
        <f t="shared" si="910"/>
        <v>0</v>
      </c>
      <c r="EI114" s="336">
        <f t="shared" si="911"/>
        <v>0</v>
      </c>
      <c r="EJ114" s="336">
        <f t="shared" si="912"/>
        <v>0</v>
      </c>
      <c r="EK114" s="336">
        <f t="shared" si="913"/>
        <v>0</v>
      </c>
      <c r="EL114" s="336">
        <f t="shared" si="914"/>
        <v>0</v>
      </c>
      <c r="EM114" s="336">
        <f t="shared" si="915"/>
        <v>0</v>
      </c>
      <c r="EN114" s="336">
        <f t="shared" si="916"/>
        <v>0</v>
      </c>
      <c r="EO114" s="336">
        <f t="shared" si="917"/>
        <v>0</v>
      </c>
      <c r="EP114" s="336">
        <f t="shared" si="918"/>
        <v>0</v>
      </c>
      <c r="EQ114" s="336">
        <f t="shared" si="919"/>
        <v>0</v>
      </c>
      <c r="ER114" s="336">
        <f t="shared" si="920"/>
        <v>0</v>
      </c>
      <c r="ES114" s="336">
        <f t="shared" si="921"/>
        <v>0</v>
      </c>
      <c r="ET114" s="336">
        <f t="shared" si="921"/>
        <v>0</v>
      </c>
      <c r="EU114" s="336">
        <f t="shared" si="922"/>
        <v>0</v>
      </c>
      <c r="EV114" s="336">
        <f t="shared" si="923"/>
        <v>0</v>
      </c>
      <c r="EW114" s="336">
        <f t="shared" si="924"/>
        <v>0</v>
      </c>
      <c r="EX114" s="336">
        <f t="shared" si="925"/>
        <v>0</v>
      </c>
      <c r="EY114" s="336">
        <f t="shared" si="926"/>
        <v>0</v>
      </c>
      <c r="EZ114" s="336">
        <f t="shared" si="927"/>
        <v>0</v>
      </c>
      <c r="FA114" s="336">
        <f t="shared" si="928"/>
        <v>0</v>
      </c>
      <c r="FB114" s="336">
        <f t="shared" si="929"/>
        <v>0</v>
      </c>
      <c r="FC114" s="336">
        <f t="shared" si="930"/>
        <v>0</v>
      </c>
      <c r="FD114" s="336">
        <f t="shared" si="931"/>
        <v>0</v>
      </c>
      <c r="FE114" s="336">
        <f t="shared" si="932"/>
        <v>0</v>
      </c>
      <c r="FF114" s="336">
        <f t="shared" si="933"/>
        <v>0</v>
      </c>
      <c r="FG114" s="336">
        <f t="shared" si="934"/>
        <v>0</v>
      </c>
      <c r="FH114" s="336">
        <f t="shared" si="935"/>
        <v>0</v>
      </c>
      <c r="FI114" s="336">
        <f t="shared" si="936"/>
        <v>0</v>
      </c>
      <c r="FJ114" s="336">
        <f t="shared" si="937"/>
        <v>0</v>
      </c>
      <c r="FK114" s="336">
        <f t="shared" si="938"/>
        <v>0</v>
      </c>
      <c r="FL114" s="336">
        <f t="shared" si="939"/>
        <v>0</v>
      </c>
      <c r="FM114" s="336">
        <f t="shared" si="940"/>
        <v>0</v>
      </c>
      <c r="FN114" s="336">
        <f t="shared" si="941"/>
        <v>0</v>
      </c>
      <c r="FO114" s="336">
        <f t="shared" si="942"/>
        <v>0</v>
      </c>
      <c r="FP114" s="336">
        <f t="shared" si="943"/>
        <v>0</v>
      </c>
      <c r="FQ114" s="336">
        <f t="shared" si="944"/>
        <v>0</v>
      </c>
      <c r="FR114" s="336">
        <f t="shared" si="945"/>
        <v>0</v>
      </c>
      <c r="FS114" s="336">
        <f t="shared" si="946"/>
        <v>0</v>
      </c>
      <c r="FT114" s="336">
        <f t="shared" si="947"/>
        <v>0</v>
      </c>
      <c r="FU114" s="336">
        <f t="shared" si="553"/>
        <v>0</v>
      </c>
      <c r="FV114" s="336">
        <f t="shared" si="554"/>
        <v>0</v>
      </c>
      <c r="FW114" s="336">
        <f t="shared" si="555"/>
        <v>0</v>
      </c>
      <c r="FX114" s="336">
        <f t="shared" si="556"/>
        <v>0</v>
      </c>
      <c r="FY114" s="336">
        <f t="shared" si="948"/>
        <v>0</v>
      </c>
      <c r="FZ114" s="336">
        <f t="shared" si="949"/>
        <v>0</v>
      </c>
      <c r="GA114" s="336">
        <f t="shared" si="950"/>
        <v>0</v>
      </c>
      <c r="GB114" s="336">
        <f t="shared" si="951"/>
        <v>0</v>
      </c>
      <c r="GC114" s="336">
        <f t="shared" si="952"/>
        <v>0</v>
      </c>
      <c r="GD114" s="336">
        <f t="shared" si="953"/>
        <v>0</v>
      </c>
      <c r="GE114" s="336">
        <f t="shared" si="954"/>
        <v>0</v>
      </c>
      <c r="GF114" s="336">
        <f t="shared" si="955"/>
        <v>0</v>
      </c>
      <c r="GG114" s="336">
        <f t="shared" si="956"/>
        <v>0</v>
      </c>
      <c r="GH114" s="336">
        <f t="shared" si="957"/>
        <v>0</v>
      </c>
      <c r="GI114" s="336">
        <f t="shared" si="958"/>
        <v>0</v>
      </c>
      <c r="GJ114" s="336">
        <f t="shared" si="959"/>
        <v>0</v>
      </c>
      <c r="GK114" s="336">
        <f t="shared" si="960"/>
        <v>0</v>
      </c>
      <c r="GL114" s="336">
        <f t="shared" si="557"/>
        <v>0</v>
      </c>
      <c r="GM114" s="336">
        <f t="shared" si="961"/>
        <v>0</v>
      </c>
    </row>
    <row r="115" spans="1:195" s="60" customFormat="1" ht="33.75" customHeight="1">
      <c r="A115" s="710"/>
      <c r="B115" s="710"/>
      <c r="C115" s="711"/>
      <c r="D115" s="477" t="s">
        <v>1207</v>
      </c>
      <c r="E115" s="712"/>
      <c r="F115" s="710"/>
      <c r="G115" s="713"/>
      <c r="H115" s="714"/>
      <c r="I115" s="715"/>
      <c r="J115" s="715"/>
      <c r="K115" s="715"/>
      <c r="L115" s="714"/>
      <c r="M115" s="714"/>
      <c r="N115" s="716"/>
      <c r="O115" s="716"/>
      <c r="P115" s="717"/>
      <c r="Q115" s="714"/>
      <c r="R115" s="714"/>
      <c r="S115" s="714"/>
      <c r="T115" s="717"/>
      <c r="U115" s="714"/>
      <c r="V115" s="717"/>
      <c r="W115" s="717"/>
      <c r="X115" s="717"/>
      <c r="Y115" s="717"/>
      <c r="Z115" s="718"/>
      <c r="AA115" s="719"/>
      <c r="AB115" s="719"/>
      <c r="AC115" s="719"/>
      <c r="AD115" s="719"/>
      <c r="AE115" s="719"/>
      <c r="AF115" s="719"/>
      <c r="AG115" s="719"/>
      <c r="AH115" s="720"/>
      <c r="AI115" s="718"/>
      <c r="AJ115" s="716"/>
      <c r="AK115" s="718"/>
      <c r="AL115" s="718"/>
      <c r="AM115" s="718"/>
      <c r="AN115" s="721"/>
      <c r="AO115" s="714"/>
      <c r="AP115" s="722"/>
      <c r="AQ115" s="714"/>
      <c r="AR115" s="721"/>
      <c r="AS115" s="717"/>
      <c r="AT115" s="721"/>
      <c r="AU115" s="721"/>
      <c r="AV115" s="723"/>
      <c r="AW115" s="723"/>
      <c r="AX115" s="717"/>
      <c r="AY115" s="724"/>
      <c r="AZ115" s="724"/>
      <c r="BA115" s="724"/>
      <c r="BB115" s="753"/>
      <c r="BC115" s="754"/>
      <c r="BE115" s="336"/>
      <c r="BF115" s="336"/>
      <c r="BG115" s="336"/>
      <c r="BH115" s="336"/>
      <c r="BI115" s="336"/>
      <c r="BJ115" s="336"/>
      <c r="BK115" s="336"/>
      <c r="BL115" s="336"/>
      <c r="BM115" s="336"/>
      <c r="BN115" s="336"/>
      <c r="BO115" s="336"/>
      <c r="BP115" s="336"/>
      <c r="BQ115" s="336"/>
      <c r="BR115" s="336"/>
      <c r="BS115" s="336"/>
      <c r="BT115" s="336"/>
      <c r="BU115" s="336"/>
      <c r="BV115" s="336"/>
      <c r="BW115" s="336"/>
      <c r="BX115" s="336"/>
      <c r="BY115" s="336"/>
      <c r="BZ115" s="336"/>
      <c r="CA115" s="336"/>
      <c r="CB115" s="336"/>
      <c r="CC115" s="336"/>
      <c r="CD115" s="336"/>
      <c r="CE115" s="336"/>
      <c r="CF115" s="336"/>
      <c r="CG115" s="336"/>
      <c r="CH115" s="336"/>
      <c r="CI115" s="336"/>
      <c r="CJ115" s="336"/>
      <c r="CK115" s="336"/>
      <c r="CL115" s="336"/>
      <c r="CM115" s="336"/>
      <c r="CN115" s="336"/>
      <c r="CO115" s="336"/>
      <c r="CP115" s="336"/>
      <c r="CQ115" s="336"/>
      <c r="CR115" s="336"/>
      <c r="CS115" s="336"/>
      <c r="CT115" s="336"/>
      <c r="CU115" s="336"/>
      <c r="CV115" s="336"/>
      <c r="CW115" s="336"/>
      <c r="CX115" s="336"/>
      <c r="CY115" s="336"/>
      <c r="CZ115" s="760"/>
      <c r="DA115" s="760"/>
      <c r="DB115" s="760"/>
      <c r="DC115" s="760"/>
      <c r="DD115" s="760"/>
      <c r="DE115" s="760"/>
      <c r="DF115" s="760"/>
      <c r="DG115" s="760"/>
      <c r="DH115" s="760"/>
      <c r="DI115" s="760"/>
      <c r="DJ115" s="760"/>
      <c r="DK115" s="760"/>
      <c r="DL115" s="760"/>
      <c r="DM115" s="760"/>
      <c r="DN115" s="760"/>
      <c r="DO115" s="760"/>
      <c r="DP115" s="760"/>
      <c r="DQ115" s="760"/>
      <c r="DR115" s="760"/>
      <c r="DS115" s="760"/>
      <c r="DT115" s="760"/>
      <c r="DU115" s="760"/>
      <c r="DV115" s="61"/>
      <c r="DW115" s="336">
        <f t="shared" si="1022"/>
        <v>0</v>
      </c>
      <c r="DX115" s="336">
        <f t="shared" si="900"/>
        <v>0</v>
      </c>
      <c r="DY115" s="336">
        <f t="shared" si="901"/>
        <v>0</v>
      </c>
      <c r="DZ115" s="336">
        <f t="shared" si="902"/>
        <v>0</v>
      </c>
      <c r="EA115" s="336">
        <f t="shared" si="903"/>
        <v>0</v>
      </c>
      <c r="EB115" s="336">
        <f t="shared" si="904"/>
        <v>0</v>
      </c>
      <c r="EC115" s="336">
        <f t="shared" si="905"/>
        <v>0</v>
      </c>
      <c r="ED115" s="336">
        <f t="shared" si="906"/>
        <v>0</v>
      </c>
      <c r="EE115" s="336">
        <f t="shared" si="907"/>
        <v>0</v>
      </c>
      <c r="EF115" s="336">
        <f t="shared" si="908"/>
        <v>0</v>
      </c>
      <c r="EG115" s="336">
        <f t="shared" si="909"/>
        <v>0</v>
      </c>
      <c r="EH115" s="336">
        <f t="shared" si="910"/>
        <v>0</v>
      </c>
      <c r="EI115" s="336">
        <f t="shared" si="911"/>
        <v>0</v>
      </c>
      <c r="EJ115" s="336">
        <f t="shared" si="912"/>
        <v>0</v>
      </c>
      <c r="EK115" s="336">
        <f t="shared" si="913"/>
        <v>0</v>
      </c>
      <c r="EL115" s="336">
        <f t="shared" si="914"/>
        <v>0</v>
      </c>
      <c r="EM115" s="336">
        <f t="shared" si="915"/>
        <v>0</v>
      </c>
      <c r="EN115" s="336">
        <f t="shared" si="916"/>
        <v>0</v>
      </c>
      <c r="EO115" s="336">
        <f t="shared" si="917"/>
        <v>0</v>
      </c>
      <c r="EP115" s="336">
        <f t="shared" si="918"/>
        <v>0</v>
      </c>
      <c r="EQ115" s="336">
        <f t="shared" si="919"/>
        <v>0</v>
      </c>
      <c r="ER115" s="336">
        <f t="shared" si="920"/>
        <v>0</v>
      </c>
      <c r="ES115" s="336">
        <f t="shared" si="921"/>
        <v>0</v>
      </c>
      <c r="ET115" s="336">
        <f t="shared" si="921"/>
        <v>0</v>
      </c>
      <c r="EU115" s="336">
        <f t="shared" si="922"/>
        <v>0</v>
      </c>
      <c r="EV115" s="336">
        <f t="shared" si="923"/>
        <v>0</v>
      </c>
      <c r="EW115" s="336">
        <f t="shared" si="924"/>
        <v>0</v>
      </c>
      <c r="EX115" s="336">
        <f t="shared" si="925"/>
        <v>0</v>
      </c>
      <c r="EY115" s="336">
        <f t="shared" si="926"/>
        <v>0</v>
      </c>
      <c r="EZ115" s="336">
        <f t="shared" si="927"/>
        <v>0</v>
      </c>
      <c r="FA115" s="336">
        <f t="shared" si="928"/>
        <v>0</v>
      </c>
      <c r="FB115" s="336">
        <f t="shared" si="929"/>
        <v>0</v>
      </c>
      <c r="FC115" s="336">
        <f t="shared" si="930"/>
        <v>0</v>
      </c>
      <c r="FD115" s="336">
        <f t="shared" si="931"/>
        <v>0</v>
      </c>
      <c r="FE115" s="336">
        <f t="shared" si="932"/>
        <v>0</v>
      </c>
      <c r="FF115" s="336">
        <f t="shared" si="933"/>
        <v>0</v>
      </c>
      <c r="FG115" s="336">
        <f t="shared" si="934"/>
        <v>0</v>
      </c>
      <c r="FH115" s="336">
        <f t="shared" si="935"/>
        <v>0</v>
      </c>
      <c r="FI115" s="336">
        <f t="shared" si="936"/>
        <v>0</v>
      </c>
      <c r="FJ115" s="336">
        <f t="shared" si="937"/>
        <v>0</v>
      </c>
      <c r="FK115" s="336">
        <f t="shared" si="938"/>
        <v>0</v>
      </c>
      <c r="FL115" s="336">
        <f t="shared" si="939"/>
        <v>0</v>
      </c>
      <c r="FM115" s="336">
        <f t="shared" si="940"/>
        <v>0</v>
      </c>
      <c r="FN115" s="336">
        <f t="shared" si="941"/>
        <v>0</v>
      </c>
      <c r="FO115" s="336">
        <f t="shared" si="942"/>
        <v>0</v>
      </c>
      <c r="FP115" s="336">
        <f t="shared" si="943"/>
        <v>0</v>
      </c>
      <c r="FQ115" s="336">
        <f t="shared" si="944"/>
        <v>0</v>
      </c>
      <c r="FR115" s="336">
        <f t="shared" si="945"/>
        <v>0</v>
      </c>
      <c r="FS115" s="336">
        <f t="shared" si="946"/>
        <v>0</v>
      </c>
      <c r="FT115" s="336">
        <f t="shared" si="947"/>
        <v>0</v>
      </c>
      <c r="FU115" s="336">
        <f t="shared" si="553"/>
        <v>0</v>
      </c>
      <c r="FV115" s="336">
        <f t="shared" si="554"/>
        <v>0</v>
      </c>
      <c r="FW115" s="336">
        <f t="shared" si="555"/>
        <v>0</v>
      </c>
      <c r="FX115" s="336">
        <f t="shared" si="556"/>
        <v>0</v>
      </c>
      <c r="FY115" s="336">
        <f t="shared" si="948"/>
        <v>0</v>
      </c>
      <c r="FZ115" s="336">
        <f t="shared" si="949"/>
        <v>0</v>
      </c>
      <c r="GA115" s="336">
        <f t="shared" si="950"/>
        <v>0</v>
      </c>
      <c r="GB115" s="336">
        <f t="shared" si="951"/>
        <v>0</v>
      </c>
      <c r="GC115" s="336">
        <f t="shared" si="952"/>
        <v>0</v>
      </c>
      <c r="GD115" s="336">
        <f t="shared" si="953"/>
        <v>0</v>
      </c>
      <c r="GE115" s="336">
        <f t="shared" si="954"/>
        <v>0</v>
      </c>
      <c r="GF115" s="336">
        <f t="shared" si="955"/>
        <v>0</v>
      </c>
      <c r="GG115" s="336">
        <f t="shared" si="956"/>
        <v>0</v>
      </c>
      <c r="GH115" s="336">
        <f t="shared" si="957"/>
        <v>0</v>
      </c>
      <c r="GI115" s="336">
        <f t="shared" si="958"/>
        <v>0</v>
      </c>
      <c r="GJ115" s="336">
        <f t="shared" si="959"/>
        <v>0</v>
      </c>
      <c r="GK115" s="336">
        <f t="shared" si="960"/>
        <v>0</v>
      </c>
      <c r="GL115" s="336">
        <f t="shared" si="557"/>
        <v>0</v>
      </c>
      <c r="GM115" s="336">
        <f t="shared" si="961"/>
        <v>0</v>
      </c>
    </row>
    <row r="116" spans="1:195" ht="42" customHeight="1">
      <c r="A116" s="337">
        <f>A114+1</f>
        <v>82</v>
      </c>
      <c r="B116" s="567" t="s">
        <v>1208</v>
      </c>
      <c r="C116" s="372" t="s">
        <v>1209</v>
      </c>
      <c r="D116" s="567" t="s">
        <v>1210</v>
      </c>
      <c r="E116" s="372" t="s">
        <v>1211</v>
      </c>
      <c r="F116" s="444"/>
      <c r="G116" s="337" t="s">
        <v>329</v>
      </c>
      <c r="H116" s="350">
        <v>5</v>
      </c>
      <c r="I116" s="337" t="s">
        <v>330</v>
      </c>
      <c r="J116" s="337" t="s">
        <v>331</v>
      </c>
      <c r="K116" s="343">
        <v>400</v>
      </c>
      <c r="L116" s="343">
        <v>0.85000000000000009</v>
      </c>
      <c r="M116" s="350">
        <v>0.95042105263157861</v>
      </c>
      <c r="N116" s="342">
        <f t="shared" ref="N116:N122" si="1195">IF(I116="kVA",IF(J116="3Ph",(H116*1000/(1.732*M116*K116)),(H116*1000/(M116*K116))),IF(I116="kW",IF(J116="3Ph",(H116*1000/(1.732*M116*K116*L116)),(H116*1000/(M116*K116*L116)))))</f>
        <v>8.9336133449992658</v>
      </c>
      <c r="O116" s="342">
        <f t="shared" ref="O116:O125" si="1196">IF(G116="MOTOR",(6*N116),IF(G116="VFD",(1*N116),0))</f>
        <v>0</v>
      </c>
      <c r="P116" s="343" t="str">
        <f t="shared" ref="P116:P125" si="1197">IF(G116="MOTOR",0.2,"0.00")</f>
        <v>0.00</v>
      </c>
      <c r="Q116" s="350">
        <v>65</v>
      </c>
      <c r="R116" s="350">
        <v>0</v>
      </c>
      <c r="S116" s="350">
        <f t="shared" ref="S116:S125" si="1198">(Q116*1000*SQRT(R116)/143)</f>
        <v>0</v>
      </c>
      <c r="T116" s="343" t="s">
        <v>332</v>
      </c>
      <c r="U116" s="350" t="s">
        <v>535</v>
      </c>
      <c r="V116" s="343">
        <v>25</v>
      </c>
      <c r="W116" s="343" t="str">
        <f t="shared" ref="W116:W125" si="1199">CONCATENATE(U116," X ",V116)</f>
        <v>3.5C X 25</v>
      </c>
      <c r="X116" s="343" t="str">
        <f t="shared" ref="X116:X125" si="1200">(IF(J116="1Ph",W116,IF(J116="3Ph",(IF(G116="MOTOR",(CONCATENATE(W116,"+PE")),W116)))))</f>
        <v>3.5C X 25</v>
      </c>
      <c r="Y116" s="343" t="s">
        <v>358</v>
      </c>
      <c r="Z116" s="344">
        <f>IF(T116="AIR",VLOOKUP(W116,'Catalogue Aluminium'!$B$9:$G$93,2,FALSE),IF(T116="GROUND",VLOOKUP(W116,'Catalogue Aluminium'!$B$9:$G$93,3,FALSE),IF(T116="DUCT",VLOOKUP(W116,'Catalogue Aluminium'!$B$9:$G$93,4,FALSE),IF(T116="TRENCH",VLOOKUP(W116,'Catalogue Aluminium'!$B$9:$G$93,2,FALSE)))))</f>
        <v>95</v>
      </c>
      <c r="AA116" s="345">
        <f>VLOOKUP(W116,'Catalogue Aluminium'!$B$9:$G$93,5,FALSE)</f>
        <v>1.54</v>
      </c>
      <c r="AB116" s="345">
        <f>VLOOKUP(W116,'Catalogue Aluminium'!$B$9:$G$93,6,FALSE)</f>
        <v>8.1600000000000006E-2</v>
      </c>
      <c r="AC116" s="343">
        <f t="shared" ref="AC116:AC131" si="1201">15+8</f>
        <v>23</v>
      </c>
      <c r="AD116" s="343">
        <f>12+58+20+5</f>
        <v>95</v>
      </c>
      <c r="AE116" s="343">
        <v>10</v>
      </c>
      <c r="AF116" s="343">
        <v>8</v>
      </c>
      <c r="AG116" s="343">
        <f t="shared" ref="AG116:AG125" si="1202">ROUNDUP((SUM(AC116:AF116)*0.1),0)</f>
        <v>14</v>
      </c>
      <c r="AH116" s="347">
        <f t="shared" ref="AH116:AH124" si="1203">SUM(AC116:AG116)</f>
        <v>150</v>
      </c>
      <c r="AI116" s="344">
        <f>IF(T116="AIR",'Catalogue Aluminium'!$K$9,IF(T116="TRENCH",'Catalogue Aluminium'!$K$12,"NA"))</f>
        <v>0.89</v>
      </c>
      <c r="AJ116" s="342">
        <f>IF(T116="Air",(IF(U116="1C",'Catalogue Aluminium'!$L$9,'Catalogue Aluminium'!$M$9)),IF(T116="DUCT",(IF($U116="1C",'Catalogue Aluminium'!$L$10,'Catalogue Aluminium'!$M$10)),IF(T116="GROUND",(IF($U116="1C",'Catalogue Aluminium'!$L$11,'Catalogue Aluminium'!$M$11)),IF(T116="TRENCH",(IF($U116="1C",'Catalogue Aluminium'!$L$12,'Catalogue Aluminium'!$M$12))))))</f>
        <v>0.66</v>
      </c>
      <c r="AK116" s="344" t="str">
        <f>IF(T116="Air",'Catalogue Aluminium'!$N$9,IF(T116="GROUND",'Catalogue Aluminium'!$N$10,IF(T116="DUCT",'Catalogue Aluminium'!$N$11,IF(T116="TRENCH",'Catalogue Aluminium'!$N$12,"NA"))))</f>
        <v>NA</v>
      </c>
      <c r="AL116" s="344" t="str">
        <f>IF(T116="Air",(IF(U116="1C",'Catalogue Aluminium'!$O$9,'Catalogue Aluminium'!$P$9)),IF(T116="DUCT",(IF($U116="1C",'Catalogue Aluminium'!$O$10,'Catalogue Aluminium'!$P$10)),IF(T116="GROUND",(IF($U116="1C",'Catalogue Aluminium'!$O$11,'Catalogue Aluminium'!$P$11)),IF(T116="TRENCH",(IF($U116="1C",'Catalogue Aluminium'!$O$12,'Catalogue Aluminium'!$P$12))))))</f>
        <v>NA</v>
      </c>
      <c r="AM116" s="344" t="str">
        <f>IF(T116="AIR","NA",IF(T116="TRENCH","NA",IF(T116="DUCT",IF(U116="1C",VLOOKUP(V116,'Catalogue Aluminium'!$Q$9:$S$28,2,FALSE),VLOOKUP(V116,'Catalogue Aluminium'!$Q$9:$S$28,3)),IF(T116="GROUND",IF(U116="1C",VLOOKUP(V116,'Catalogue Aluminium'!$Q$9:$S$28,2,FALSE),VLOOKUP(V116,'Catalogue Aluminium'!$Q$9:$S$28,3))))))</f>
        <v>NA</v>
      </c>
      <c r="AN116" s="351">
        <f t="shared" ref="AN116:AN124" si="1204">IF(T116="AIR",AI116*AJ116,IF(T116="TRENCH",AI116*AJ116,IF(T116="DUCT",AJ116*AK116*AL116*AM116,IF(T116="GROUND",AJ116*AK116*AL116*AM116))))</f>
        <v>0.58740000000000003</v>
      </c>
      <c r="AO116" s="350">
        <f t="shared" ref="AO116:AO124" si="1205">Z116*AN116</f>
        <v>55.803000000000004</v>
      </c>
      <c r="AP116" s="349">
        <f t="shared" ref="AP116:AP124" si="1206">CEILING(((N116)/AO116),1)</f>
        <v>1</v>
      </c>
      <c r="AQ116" s="350" t="str">
        <f t="shared" ref="AQ116:AQ124" si="1207">IF(AO116*AP116&gt;=N116,"YES","NO")</f>
        <v>YES</v>
      </c>
      <c r="AR116" s="351">
        <f t="shared" ref="AR116:AR124" si="1208">SQRT(3)*AH116*N116*((AA116*L116)+(AB116*SIN(ACOS(L116))))*100/(AP116*K116*1000)</f>
        <v>0.78449660831369872</v>
      </c>
      <c r="AS116" s="343" t="str">
        <f>IF(G116="INCOMER",(IF(AR116&lt;=2,"YES","NO")),IF(G116="POWER",(IF(AR116&lt;=2.5,"YES","NO")),IF(G116="MOTOR",(IF(AR116&lt;=3,"YES","NO")))))</f>
        <v>YES</v>
      </c>
      <c r="AT116" s="351" t="str">
        <f t="shared" ref="AT116:AT131" si="1209">IF(G116="MOTOR",(SQRT(3)*AH116*O116*((AA116*P116)+(AB116*SIN(ACOS(P116))))*100/(AP116*K116*1000)),"NA")</f>
        <v>NA</v>
      </c>
      <c r="AU116" s="343" t="str">
        <f t="shared" ref="AU116:AU131" si="1210">IF(G116="MOTOR",IF(AT116&lt;=15,"YES","NO"),"NA")</f>
        <v>NA</v>
      </c>
      <c r="AV116" s="354" t="str">
        <f t="shared" ref="AV116:AV131" si="1211">IF(U116="1C",CONCATENATE(AP116,"R x ",Y116,"kV x ",U116," x ",V116," Sqmm/Phase"),CONCATENATE(AP116,"R x ",0.6,"/1kV x ",U116," x ",V116," Sqmm"))</f>
        <v>1R x 0.6/1kV x 3.5C x 25 Sqmm</v>
      </c>
      <c r="AW116" s="354" t="str">
        <f t="shared" ref="AW116:AW131" si="1212">IF(U116="1C",CONCATENATE(AP116,"R x ",Y116,"kV x ",U116," x ",V116," Sqmm/Phase"),CONCATENATE(AP116,"R x ",0.6,"/1kV x ",U116," x ",V116,(IF(G116="MOTOR","+PE",""))," Sqmm"))</f>
        <v>1R x 0.6/1kV x 3.5C x 25 Sqmm</v>
      </c>
      <c r="AX116" s="343">
        <f t="shared" ref="AX116" si="1213">(IF(K116=400,(IF(U116="1C",(4*AH116*AP116),(AH116*AP116))),IF(K116=230,(AH116*AP116))))</f>
        <v>150</v>
      </c>
      <c r="AY116" s="355"/>
      <c r="AZ116" s="355">
        <f t="shared" ref="AZ116" si="1214">IF(U116="1C",(3*AP116*2),(AP116*2))</f>
        <v>2</v>
      </c>
      <c r="BA116" s="356" t="str">
        <f t="shared" ref="BA116" si="1215">CONCATENATE(IF(BE116=1,BE$4,""),IF(BF116=1,BF$4,""),IF(BG116=1,BG$4,""),IF(BH116=1,BH$4,""),IF(BI116=1,BI$4,""),IF(BJ116=1,BJ$4,""),IF(BK116=1,BK$4,""),IF(BL116=1,BL$4,""),IF(BM116=1,BM$4,""),IF(BN116=1,BN$4,""),IF(BO116=1,BO$4,""),IF(BP116=1,BP$4,""),IF(BQ116=1,BQ$4,""),IF(BR116=1,BR$4,""),IF(BS116=1,BS$4,""),IF(BT116=1,BT$4,""),IF(BU116=1,BU$4,""),IF(BV116=1,BV$4,""),IF(BW116=1,BW$4,""),IF(BX116=1,BX$4,""),IF(BY116=1,BY$4,""),IF(BZ116=1,BZ$4,""),IF(CA116=1,CA$4,""),IF(CB116=1,CB$4,""),IF(CC116=1,CC$4,""),IF(CD116=1,CD$4,""),IF(CE116=1,CE$4,""),IF(CF116=1,CF$4,""),IF(CG116=1,CG$4,""),IF(CH116=1,CH$4,""),IF(CI116=1,CI$4,""),IF(CJ116=1,CJ$4,""),IF(CK116=1,CK$4,""),IF(CL116=1,CL$4,""),IF(CM116=1,CM$4,""),IF(CN116=1,CN$4,""),IF(CO116=1,CO$4,""),IF(CP116=1,CP$4,""),IF(CQ116=1,CQ$4,""),IF(CR116=1,CR$4,""),IF(CS116=1,CS$4,""),IF(CT116=1,CT$4,""),IF(CU116=1,CU$4,""),IF(CV116=1,CV$4,""),IF(CW116=1,CW$4,""),IF(CX116=1,CX$4,""),IF(CY116=1,CY$4,""),IF(CZ116=1,CZ$4,""),IF(DA116=1,DA$4,""),IF(DB116=1,DB$4,""),IF(DC116=1,DC$4,""),IF(DD116=1,DD$4,""),IF(DE116=1,DE$4,""),IF(DF116=1,DF$4,""),IF(DG116=1,DG$4,""),IF(DH116=1,DH$4,""),IF(DI116=1,DI$4,""),IF(DJ116=1,DJ$4,""),IF(DK116=1,DK$4,""),IF(DL116=1,DL$4,""),IF(DM116=1,DM$4,""),IF(DN116=1,DN$4,""),IF(DO116=1,DO$4,""),IF(DP116=1,DP$4,""),IF(DQ116=1,DQ$4,""),IF(DR116=1,DR$4,""),IF(DS116=1,DS$4,""),IF(DT116=1,DT$4,""),IF(DU116=1,DU$4,""))</f>
        <v>Q3RR1R2R2.A</v>
      </c>
      <c r="BB116" s="501">
        <f>VLOOKUP(W116,'Catalogue Aluminium'!$B$9:$H$93,7,FALSE)</f>
        <v>25</v>
      </c>
      <c r="BC116" s="328">
        <f t="shared" ref="BC116" si="1216">AP116*BB116</f>
        <v>25</v>
      </c>
      <c r="BE116" s="336"/>
      <c r="BF116" s="336"/>
      <c r="BG116" s="336"/>
      <c r="BH116" s="336"/>
      <c r="BI116" s="336"/>
      <c r="BJ116" s="336"/>
      <c r="BK116" s="336"/>
      <c r="BL116" s="336"/>
      <c r="BM116" s="336"/>
      <c r="BN116" s="336"/>
      <c r="BO116" s="336"/>
      <c r="BP116" s="336"/>
      <c r="BQ116" s="336"/>
      <c r="BR116" s="336"/>
      <c r="BS116" s="336"/>
      <c r="BT116" s="336"/>
      <c r="BU116" s="336"/>
      <c r="BV116" s="336"/>
      <c r="BW116" s="336"/>
      <c r="BX116" s="336"/>
      <c r="BY116" s="336"/>
      <c r="BZ116" s="336"/>
      <c r="CA116" s="336"/>
      <c r="CB116" s="336"/>
      <c r="CC116" s="336"/>
      <c r="CD116" s="336"/>
      <c r="CE116" s="336"/>
      <c r="CF116" s="336"/>
      <c r="CG116" s="336"/>
      <c r="CH116" s="336"/>
      <c r="CI116" s="336"/>
      <c r="CJ116" s="336"/>
      <c r="CK116" s="336"/>
      <c r="CL116" s="336"/>
      <c r="CM116" s="336"/>
      <c r="CN116" s="336"/>
      <c r="CO116" s="336"/>
      <c r="CP116" s="336"/>
      <c r="CQ116" s="336"/>
      <c r="CR116" s="336"/>
      <c r="CS116" s="336"/>
      <c r="CT116" s="336"/>
      <c r="CU116" s="336"/>
      <c r="CV116" s="336"/>
      <c r="CW116" s="336"/>
      <c r="CX116" s="336"/>
      <c r="CY116" s="336"/>
      <c r="CZ116" s="336"/>
      <c r="DA116" s="336">
        <v>1</v>
      </c>
      <c r="DB116" s="336"/>
      <c r="DC116" s="336"/>
      <c r="DD116" s="336"/>
      <c r="DE116" s="336"/>
      <c r="DF116" s="336"/>
      <c r="DG116" s="336">
        <v>1</v>
      </c>
      <c r="DH116" s="336">
        <v>1</v>
      </c>
      <c r="DI116" s="336">
        <v>1</v>
      </c>
      <c r="DJ116" s="336"/>
      <c r="DK116" s="336">
        <v>1</v>
      </c>
      <c r="DL116" s="336"/>
      <c r="DM116" s="336"/>
      <c r="DN116" s="336"/>
      <c r="DO116" s="336"/>
      <c r="DP116" s="336"/>
      <c r="DQ116" s="336"/>
      <c r="DR116" s="336"/>
      <c r="DS116" s="336"/>
      <c r="DT116" s="336"/>
      <c r="DU116" s="336"/>
      <c r="DW116" s="336">
        <f t="shared" si="1022"/>
        <v>0</v>
      </c>
      <c r="DX116" s="336">
        <f t="shared" si="900"/>
        <v>0</v>
      </c>
      <c r="DY116" s="336">
        <f t="shared" si="901"/>
        <v>0</v>
      </c>
      <c r="DZ116" s="336">
        <f t="shared" si="902"/>
        <v>0</v>
      </c>
      <c r="EA116" s="336">
        <f t="shared" si="903"/>
        <v>0</v>
      </c>
      <c r="EB116" s="336">
        <f t="shared" si="904"/>
        <v>0</v>
      </c>
      <c r="EC116" s="336">
        <f t="shared" si="905"/>
        <v>0</v>
      </c>
      <c r="ED116" s="336">
        <f t="shared" si="906"/>
        <v>0</v>
      </c>
      <c r="EE116" s="336">
        <f t="shared" si="907"/>
        <v>0</v>
      </c>
      <c r="EF116" s="336">
        <f t="shared" si="908"/>
        <v>0</v>
      </c>
      <c r="EG116" s="336">
        <f t="shared" si="909"/>
        <v>0</v>
      </c>
      <c r="EH116" s="336">
        <f t="shared" si="910"/>
        <v>0</v>
      </c>
      <c r="EI116" s="336">
        <f t="shared" si="911"/>
        <v>0</v>
      </c>
      <c r="EJ116" s="336">
        <f t="shared" si="912"/>
        <v>0</v>
      </c>
      <c r="EK116" s="336">
        <f t="shared" si="913"/>
        <v>0</v>
      </c>
      <c r="EL116" s="336">
        <f t="shared" si="914"/>
        <v>0</v>
      </c>
      <c r="EM116" s="336">
        <f t="shared" si="915"/>
        <v>0</v>
      </c>
      <c r="EN116" s="336">
        <f t="shared" si="916"/>
        <v>0</v>
      </c>
      <c r="EO116" s="336">
        <f t="shared" si="917"/>
        <v>0</v>
      </c>
      <c r="EP116" s="336">
        <f t="shared" si="918"/>
        <v>0</v>
      </c>
      <c r="EQ116" s="336">
        <f t="shared" si="919"/>
        <v>0</v>
      </c>
      <c r="ER116" s="336">
        <f t="shared" si="920"/>
        <v>0</v>
      </c>
      <c r="ES116" s="336">
        <f t="shared" si="921"/>
        <v>0</v>
      </c>
      <c r="ET116" s="336">
        <f t="shared" si="921"/>
        <v>0</v>
      </c>
      <c r="EU116" s="336">
        <f t="shared" si="922"/>
        <v>0</v>
      </c>
      <c r="EV116" s="336">
        <f t="shared" si="923"/>
        <v>0</v>
      </c>
      <c r="EW116" s="336">
        <f t="shared" si="924"/>
        <v>0</v>
      </c>
      <c r="EX116" s="336">
        <f t="shared" si="925"/>
        <v>0</v>
      </c>
      <c r="EY116" s="336">
        <f t="shared" si="926"/>
        <v>0</v>
      </c>
      <c r="EZ116" s="336">
        <f t="shared" si="927"/>
        <v>0</v>
      </c>
      <c r="FA116" s="336">
        <f t="shared" si="928"/>
        <v>0</v>
      </c>
      <c r="FB116" s="336">
        <f t="shared" si="929"/>
        <v>0</v>
      </c>
      <c r="FC116" s="336">
        <f t="shared" si="930"/>
        <v>0</v>
      </c>
      <c r="FD116" s="336">
        <f t="shared" si="931"/>
        <v>0</v>
      </c>
      <c r="FE116" s="336">
        <f t="shared" si="932"/>
        <v>0</v>
      </c>
      <c r="FF116" s="336">
        <f t="shared" si="933"/>
        <v>0</v>
      </c>
      <c r="FG116" s="336">
        <f t="shared" si="934"/>
        <v>0</v>
      </c>
      <c r="FH116" s="336">
        <f t="shared" si="935"/>
        <v>0</v>
      </c>
      <c r="FI116" s="336">
        <f t="shared" si="936"/>
        <v>0</v>
      </c>
      <c r="FJ116" s="336">
        <f t="shared" si="937"/>
        <v>0</v>
      </c>
      <c r="FK116" s="336">
        <f t="shared" si="938"/>
        <v>0</v>
      </c>
      <c r="FL116" s="336">
        <f t="shared" si="939"/>
        <v>0</v>
      </c>
      <c r="FM116" s="336">
        <f t="shared" si="940"/>
        <v>0</v>
      </c>
      <c r="FN116" s="336">
        <f t="shared" si="941"/>
        <v>0</v>
      </c>
      <c r="FO116" s="336">
        <f t="shared" si="942"/>
        <v>0</v>
      </c>
      <c r="FP116" s="336">
        <f t="shared" si="943"/>
        <v>0</v>
      </c>
      <c r="FQ116" s="336">
        <f t="shared" si="944"/>
        <v>0</v>
      </c>
      <c r="FR116" s="336">
        <f t="shared" si="945"/>
        <v>0</v>
      </c>
      <c r="FS116" s="336">
        <f t="shared" si="946"/>
        <v>25</v>
      </c>
      <c r="FT116" s="336">
        <f t="shared" si="947"/>
        <v>0</v>
      </c>
      <c r="FU116" s="336">
        <f t="shared" si="553"/>
        <v>0</v>
      </c>
      <c r="FV116" s="336">
        <f t="shared" si="554"/>
        <v>0</v>
      </c>
      <c r="FW116" s="336">
        <f t="shared" si="555"/>
        <v>0</v>
      </c>
      <c r="FX116" s="336">
        <f t="shared" si="556"/>
        <v>0</v>
      </c>
      <c r="FY116" s="336">
        <f t="shared" si="948"/>
        <v>25</v>
      </c>
      <c r="FZ116" s="336">
        <f t="shared" si="949"/>
        <v>25</v>
      </c>
      <c r="GA116" s="336">
        <f t="shared" si="950"/>
        <v>25</v>
      </c>
      <c r="GB116" s="336">
        <f t="shared" si="951"/>
        <v>0</v>
      </c>
      <c r="GC116" s="336">
        <f t="shared" si="952"/>
        <v>25</v>
      </c>
      <c r="GD116" s="336">
        <f t="shared" si="953"/>
        <v>0</v>
      </c>
      <c r="GE116" s="336">
        <f t="shared" si="954"/>
        <v>0</v>
      </c>
      <c r="GF116" s="336">
        <f t="shared" si="955"/>
        <v>0</v>
      </c>
      <c r="GG116" s="336">
        <f t="shared" si="956"/>
        <v>0</v>
      </c>
      <c r="GH116" s="336">
        <f t="shared" si="957"/>
        <v>0</v>
      </c>
      <c r="GI116" s="336">
        <f t="shared" si="958"/>
        <v>0</v>
      </c>
      <c r="GJ116" s="336">
        <f t="shared" si="959"/>
        <v>0</v>
      </c>
      <c r="GK116" s="336">
        <f t="shared" si="960"/>
        <v>0</v>
      </c>
      <c r="GL116" s="336">
        <f t="shared" si="557"/>
        <v>0</v>
      </c>
      <c r="GM116" s="336">
        <f t="shared" si="961"/>
        <v>0</v>
      </c>
    </row>
    <row r="117" spans="1:195" ht="27.75" customHeight="1">
      <c r="A117" s="337">
        <f>A116+1</f>
        <v>83</v>
      </c>
      <c r="B117" s="567" t="s">
        <v>1212</v>
      </c>
      <c r="C117" s="372" t="s">
        <v>1209</v>
      </c>
      <c r="D117" s="567" t="s">
        <v>1213</v>
      </c>
      <c r="E117" s="372" t="s">
        <v>1214</v>
      </c>
      <c r="F117" s="444"/>
      <c r="G117" s="337" t="s">
        <v>329</v>
      </c>
      <c r="H117" s="350">
        <v>5</v>
      </c>
      <c r="I117" s="337" t="s">
        <v>330</v>
      </c>
      <c r="J117" s="337" t="s">
        <v>331</v>
      </c>
      <c r="K117" s="343">
        <v>400</v>
      </c>
      <c r="L117" s="343">
        <v>0.85000000000000009</v>
      </c>
      <c r="M117" s="350">
        <v>0.95042105263157861</v>
      </c>
      <c r="N117" s="342">
        <f t="shared" si="1195"/>
        <v>8.9336133449992658</v>
      </c>
      <c r="O117" s="342">
        <f t="shared" si="1196"/>
        <v>0</v>
      </c>
      <c r="P117" s="343" t="str">
        <f t="shared" si="1197"/>
        <v>0.00</v>
      </c>
      <c r="Q117" s="350">
        <v>65</v>
      </c>
      <c r="R117" s="350">
        <v>0</v>
      </c>
      <c r="S117" s="350">
        <f t="shared" si="1198"/>
        <v>0</v>
      </c>
      <c r="T117" s="343" t="s">
        <v>332</v>
      </c>
      <c r="U117" s="350" t="s">
        <v>535</v>
      </c>
      <c r="V117" s="343">
        <v>25</v>
      </c>
      <c r="W117" s="343" t="str">
        <f t="shared" si="1199"/>
        <v>3.5C X 25</v>
      </c>
      <c r="X117" s="343" t="str">
        <f t="shared" si="1200"/>
        <v>3.5C X 25</v>
      </c>
      <c r="Y117" s="343" t="s">
        <v>358</v>
      </c>
      <c r="Z117" s="344">
        <f>IF(T117="AIR",VLOOKUP(W117,'Catalogue Aluminium'!$B$9:$G$93,2,FALSE),IF(T117="GROUND",VLOOKUP(W117,'Catalogue Aluminium'!$B$9:$G$93,3,FALSE),IF(T117="DUCT",VLOOKUP(W117,'Catalogue Aluminium'!$B$9:$G$93,4,FALSE),IF(T117="TRENCH",VLOOKUP(W117,'Catalogue Aluminium'!$B$9:$G$93,2,FALSE)))))</f>
        <v>95</v>
      </c>
      <c r="AA117" s="345">
        <f>VLOOKUP(W117,'Catalogue Aluminium'!$B$9:$G$93,5,FALSE)</f>
        <v>1.54</v>
      </c>
      <c r="AB117" s="345">
        <f>VLOOKUP(W117,'Catalogue Aluminium'!$B$9:$G$93,6,FALSE)</f>
        <v>8.1600000000000006E-2</v>
      </c>
      <c r="AC117" s="343">
        <f t="shared" si="1201"/>
        <v>23</v>
      </c>
      <c r="AD117" s="343">
        <f>12+58+20+5+5</f>
        <v>100</v>
      </c>
      <c r="AE117" s="343">
        <v>10</v>
      </c>
      <c r="AF117" s="343">
        <v>8</v>
      </c>
      <c r="AG117" s="343">
        <f t="shared" si="1202"/>
        <v>15</v>
      </c>
      <c r="AH117" s="347">
        <f t="shared" si="1203"/>
        <v>156</v>
      </c>
      <c r="AI117" s="344">
        <f>IF(T117="AIR",'Catalogue Aluminium'!$K$9,IF(T117="TRENCH",'Catalogue Aluminium'!$K$12,"NA"))</f>
        <v>0.89</v>
      </c>
      <c r="AJ117" s="342">
        <f>IF(T117="Air",(IF(U117="1C",'Catalogue Aluminium'!$L$9,'Catalogue Aluminium'!$M$9)),IF(T117="DUCT",(IF($U117="1C",'Catalogue Aluminium'!$L$10,'Catalogue Aluminium'!$M$10)),IF(T117="GROUND",(IF($U117="1C",'Catalogue Aluminium'!$L$11,'Catalogue Aluminium'!$M$11)),IF(T117="TRENCH",(IF($U117="1C",'Catalogue Aluminium'!$L$12,'Catalogue Aluminium'!$M$12))))))</f>
        <v>0.66</v>
      </c>
      <c r="AK117" s="344" t="str">
        <f>IF(T117="Air",'Catalogue Aluminium'!$N$9,IF(T117="GROUND",'Catalogue Aluminium'!$N$10,IF(T117="DUCT",'Catalogue Aluminium'!$N$11,IF(T117="TRENCH",'Catalogue Aluminium'!$N$12,"NA"))))</f>
        <v>NA</v>
      </c>
      <c r="AL117" s="344" t="str">
        <f>IF(T117="Air",(IF(U117="1C",'Catalogue Aluminium'!$O$9,'Catalogue Aluminium'!$P$9)),IF(T117="DUCT",(IF($U117="1C",'Catalogue Aluminium'!$O$10,'Catalogue Aluminium'!$P$10)),IF(T117="GROUND",(IF($U117="1C",'Catalogue Aluminium'!$O$11,'Catalogue Aluminium'!$P$11)),IF(T117="TRENCH",(IF($U117="1C",'Catalogue Aluminium'!$O$12,'Catalogue Aluminium'!$P$12))))))</f>
        <v>NA</v>
      </c>
      <c r="AM117" s="344" t="str">
        <f>IF(T117="AIR","NA",IF(T117="TRENCH","NA",IF(T117="DUCT",IF(U117="1C",VLOOKUP(V117,'Catalogue Aluminium'!$Q$9:$S$28,2,FALSE),VLOOKUP(V117,'Catalogue Aluminium'!$Q$9:$S$28,3)),IF(T117="GROUND",IF(U117="1C",VLOOKUP(V117,'Catalogue Aluminium'!$Q$9:$S$28,2,FALSE),VLOOKUP(V117,'Catalogue Aluminium'!$Q$9:$S$28,3))))))</f>
        <v>NA</v>
      </c>
      <c r="AN117" s="351">
        <f t="shared" si="1204"/>
        <v>0.58740000000000003</v>
      </c>
      <c r="AO117" s="350">
        <f t="shared" si="1205"/>
        <v>55.803000000000004</v>
      </c>
      <c r="AP117" s="349">
        <f t="shared" si="1206"/>
        <v>1</v>
      </c>
      <c r="AQ117" s="350" t="str">
        <f t="shared" si="1207"/>
        <v>YES</v>
      </c>
      <c r="AR117" s="351">
        <f t="shared" si="1208"/>
        <v>0.81587647264624674</v>
      </c>
      <c r="AS117" s="343" t="str">
        <f t="shared" ref="AS117:AS131" si="1217">IF(G117="INCOMER",(IF(AR117&lt;=2,"YES","NO")),IF(G117="POWER",(IF(AR117&lt;=2.5,"YES","NO")),IF(G117="MOTOR",(IF(AR117&lt;=3,"YES","NO")))))</f>
        <v>YES</v>
      </c>
      <c r="AT117" s="351" t="str">
        <f t="shared" si="1209"/>
        <v>NA</v>
      </c>
      <c r="AU117" s="343" t="str">
        <f t="shared" si="1210"/>
        <v>NA</v>
      </c>
      <c r="AV117" s="354" t="str">
        <f t="shared" si="1211"/>
        <v>1R x 0.6/1kV x 3.5C x 25 Sqmm</v>
      </c>
      <c r="AW117" s="354" t="str">
        <f t="shared" si="1212"/>
        <v>1R x 0.6/1kV x 3.5C x 25 Sqmm</v>
      </c>
      <c r="AX117" s="343">
        <f t="shared" ref="AX117:AX131" si="1218">(IF(K117=400,(IF(U117="1C",(4*AH117*AP117),(AH117*AP117))),IF(K117=230,(AH117*AP117))))</f>
        <v>156</v>
      </c>
      <c r="AY117" s="355"/>
      <c r="AZ117" s="355">
        <f t="shared" ref="AZ117:AZ131" si="1219">IF(U117="1C",(3*AP117*2),(AP117*2))</f>
        <v>2</v>
      </c>
      <c r="BA117" s="356" t="str">
        <f t="shared" ref="BA117:BA131" si="1220">CONCATENATE(IF(BE117=1,BE$4,""),IF(BF117=1,BF$4,""),IF(BG117=1,BG$4,""),IF(BH117=1,BH$4,""),IF(BI117=1,BI$4,""),IF(BJ117=1,BJ$4,""),IF(BK117=1,BK$4,""),IF(BL117=1,BL$4,""),IF(BM117=1,BM$4,""),IF(BN117=1,BN$4,""),IF(BO117=1,BO$4,""),IF(BP117=1,BP$4,""),IF(BQ117=1,BQ$4,""),IF(BR117=1,BR$4,""),IF(BS117=1,BS$4,""),IF(BT117=1,BT$4,""),IF(BU117=1,BU$4,""),IF(BV117=1,BV$4,""),IF(BW117=1,BW$4,""),IF(BX117=1,BX$4,""),IF(BY117=1,BY$4,""),IF(BZ117=1,BZ$4,""),IF(CA117=1,CA$4,""),IF(CB117=1,CB$4,""),IF(CC117=1,CC$4,""),IF(CD117=1,CD$4,""),IF(CE117=1,CE$4,""),IF(CF117=1,CF$4,""),IF(CG117=1,CG$4,""),IF(CH117=1,CH$4,""),IF(CI117=1,CI$4,""),IF(CJ117=1,CJ$4,""),IF(CK117=1,CK$4,""),IF(CL117=1,CL$4,""),IF(CM117=1,CM$4,""),IF(CN117=1,CN$4,""),IF(CO117=1,CO$4,""),IF(CP117=1,CP$4,""),IF(CQ117=1,CQ$4,""),IF(CR117=1,CR$4,""),IF(CS117=1,CS$4,""),IF(CT117=1,CT$4,""),IF(CU117=1,CU$4,""),IF(CV117=1,CV$4,""),IF(CW117=1,CW$4,""),IF(CX117=1,CX$4,""),IF(CY117=1,CY$4,""),IF(CZ117=1,CZ$4,""),IF(DA117=1,DA$4,""),IF(DB117=1,DB$4,""),IF(DC117=1,DC$4,""),IF(DD117=1,DD$4,""),IF(DE117=1,DE$4,""),IF(DF117=1,DF$4,""),IF(DG117=1,DG$4,""),IF(DH117=1,DH$4,""),IF(DI117=1,DI$4,""),IF(DJ117=1,DJ$4,""),IF(DK117=1,DK$4,""),IF(DL117=1,DL$4,""),IF(DM117=1,DM$4,""),IF(DN117=1,DN$4,""),IF(DO117=1,DO$4,""),IF(DP117=1,DP$4,""),IF(DQ117=1,DQ$4,""),IF(DR117=1,DR$4,""),IF(DS117=1,DS$4,""),IF(DT117=1,DT$4,""),IF(DU117=1,DU$4,""))</f>
        <v>Q3RR1R2R2.A</v>
      </c>
      <c r="BB117" s="501">
        <f>VLOOKUP(W117,'Catalogue Aluminium'!$B$9:$H$93,7,FALSE)</f>
        <v>25</v>
      </c>
      <c r="BC117" s="328">
        <f t="shared" ref="BC117:BC131" si="1221">AP117*BB117</f>
        <v>25</v>
      </c>
      <c r="BE117" s="336"/>
      <c r="BF117" s="336"/>
      <c r="BG117" s="336"/>
      <c r="BH117" s="336"/>
      <c r="BI117" s="336"/>
      <c r="BJ117" s="336"/>
      <c r="BK117" s="336"/>
      <c r="BL117" s="336"/>
      <c r="BM117" s="336"/>
      <c r="BN117" s="336"/>
      <c r="BO117" s="336"/>
      <c r="BP117" s="336"/>
      <c r="BQ117" s="336"/>
      <c r="BR117" s="336"/>
      <c r="BS117" s="336"/>
      <c r="BT117" s="336"/>
      <c r="BU117" s="336"/>
      <c r="BV117" s="336"/>
      <c r="BW117" s="336"/>
      <c r="BX117" s="336"/>
      <c r="BY117" s="336"/>
      <c r="BZ117" s="336"/>
      <c r="CA117" s="336"/>
      <c r="CB117" s="336"/>
      <c r="CC117" s="336"/>
      <c r="CD117" s="336"/>
      <c r="CE117" s="336"/>
      <c r="CF117" s="336"/>
      <c r="CG117" s="336"/>
      <c r="CH117" s="336"/>
      <c r="CI117" s="336"/>
      <c r="CJ117" s="336"/>
      <c r="CK117" s="336"/>
      <c r="CL117" s="336"/>
      <c r="CM117" s="336"/>
      <c r="CN117" s="336"/>
      <c r="CO117" s="336"/>
      <c r="CP117" s="336"/>
      <c r="CQ117" s="336"/>
      <c r="CR117" s="336"/>
      <c r="CS117" s="336"/>
      <c r="CT117" s="336"/>
      <c r="CU117" s="336"/>
      <c r="CV117" s="336"/>
      <c r="CW117" s="336"/>
      <c r="CX117" s="336"/>
      <c r="CY117" s="336"/>
      <c r="CZ117" s="336"/>
      <c r="DA117" s="336">
        <v>1</v>
      </c>
      <c r="DB117" s="336"/>
      <c r="DC117" s="336"/>
      <c r="DD117" s="336"/>
      <c r="DE117" s="336"/>
      <c r="DF117" s="336"/>
      <c r="DG117" s="336">
        <v>1</v>
      </c>
      <c r="DH117" s="336">
        <v>1</v>
      </c>
      <c r="DI117" s="336">
        <v>1</v>
      </c>
      <c r="DJ117" s="336"/>
      <c r="DK117" s="336">
        <v>1</v>
      </c>
      <c r="DL117" s="336"/>
      <c r="DM117" s="336"/>
      <c r="DN117" s="336"/>
      <c r="DO117" s="336"/>
      <c r="DP117" s="336"/>
      <c r="DQ117" s="336"/>
      <c r="DR117" s="336"/>
      <c r="DS117" s="336"/>
      <c r="DT117" s="336"/>
      <c r="DU117" s="336"/>
      <c r="DW117" s="336">
        <f t="shared" si="1022"/>
        <v>0</v>
      </c>
      <c r="DX117" s="336">
        <f t="shared" si="900"/>
        <v>0</v>
      </c>
      <c r="DY117" s="336">
        <f t="shared" si="901"/>
        <v>0</v>
      </c>
      <c r="DZ117" s="336">
        <f t="shared" si="902"/>
        <v>0</v>
      </c>
      <c r="EA117" s="336">
        <f t="shared" si="903"/>
        <v>0</v>
      </c>
      <c r="EB117" s="336">
        <f t="shared" si="904"/>
        <v>0</v>
      </c>
      <c r="EC117" s="336">
        <f t="shared" si="905"/>
        <v>0</v>
      </c>
      <c r="ED117" s="336">
        <f t="shared" si="906"/>
        <v>0</v>
      </c>
      <c r="EE117" s="336">
        <f t="shared" si="907"/>
        <v>0</v>
      </c>
      <c r="EF117" s="336">
        <f t="shared" si="908"/>
        <v>0</v>
      </c>
      <c r="EG117" s="336">
        <f t="shared" si="909"/>
        <v>0</v>
      </c>
      <c r="EH117" s="336">
        <f t="shared" si="910"/>
        <v>0</v>
      </c>
      <c r="EI117" s="336">
        <f t="shared" si="911"/>
        <v>0</v>
      </c>
      <c r="EJ117" s="336">
        <f t="shared" si="912"/>
        <v>0</v>
      </c>
      <c r="EK117" s="336">
        <f t="shared" si="913"/>
        <v>0</v>
      </c>
      <c r="EL117" s="336">
        <f t="shared" si="914"/>
        <v>0</v>
      </c>
      <c r="EM117" s="336">
        <f t="shared" si="915"/>
        <v>0</v>
      </c>
      <c r="EN117" s="336">
        <f t="shared" si="916"/>
        <v>0</v>
      </c>
      <c r="EO117" s="336">
        <f t="shared" si="917"/>
        <v>0</v>
      </c>
      <c r="EP117" s="336">
        <f t="shared" si="918"/>
        <v>0</v>
      </c>
      <c r="EQ117" s="336">
        <f t="shared" si="919"/>
        <v>0</v>
      </c>
      <c r="ER117" s="336">
        <f t="shared" si="920"/>
        <v>0</v>
      </c>
      <c r="ES117" s="336">
        <f t="shared" si="921"/>
        <v>0</v>
      </c>
      <c r="ET117" s="336">
        <f t="shared" si="921"/>
        <v>0</v>
      </c>
      <c r="EU117" s="336">
        <f t="shared" si="922"/>
        <v>0</v>
      </c>
      <c r="EV117" s="336">
        <f t="shared" si="923"/>
        <v>0</v>
      </c>
      <c r="EW117" s="336">
        <f t="shared" si="924"/>
        <v>0</v>
      </c>
      <c r="EX117" s="336">
        <f t="shared" si="925"/>
        <v>0</v>
      </c>
      <c r="EY117" s="336">
        <f t="shared" si="926"/>
        <v>0</v>
      </c>
      <c r="EZ117" s="336">
        <f t="shared" si="927"/>
        <v>0</v>
      </c>
      <c r="FA117" s="336">
        <f t="shared" si="928"/>
        <v>0</v>
      </c>
      <c r="FB117" s="336">
        <f t="shared" si="929"/>
        <v>0</v>
      </c>
      <c r="FC117" s="336">
        <f t="shared" si="930"/>
        <v>0</v>
      </c>
      <c r="FD117" s="336">
        <f t="shared" si="931"/>
        <v>0</v>
      </c>
      <c r="FE117" s="336">
        <f t="shared" si="932"/>
        <v>0</v>
      </c>
      <c r="FF117" s="336">
        <f t="shared" si="933"/>
        <v>0</v>
      </c>
      <c r="FG117" s="336">
        <f t="shared" si="934"/>
        <v>0</v>
      </c>
      <c r="FH117" s="336">
        <f t="shared" si="935"/>
        <v>0</v>
      </c>
      <c r="FI117" s="336">
        <f t="shared" si="936"/>
        <v>0</v>
      </c>
      <c r="FJ117" s="336">
        <f t="shared" si="937"/>
        <v>0</v>
      </c>
      <c r="FK117" s="336">
        <f t="shared" si="938"/>
        <v>0</v>
      </c>
      <c r="FL117" s="336">
        <f t="shared" si="939"/>
        <v>0</v>
      </c>
      <c r="FM117" s="336">
        <f t="shared" si="940"/>
        <v>0</v>
      </c>
      <c r="FN117" s="336">
        <f t="shared" si="941"/>
        <v>0</v>
      </c>
      <c r="FO117" s="336">
        <f t="shared" si="942"/>
        <v>0</v>
      </c>
      <c r="FP117" s="336">
        <f t="shared" si="943"/>
        <v>0</v>
      </c>
      <c r="FQ117" s="336">
        <f t="shared" si="944"/>
        <v>0</v>
      </c>
      <c r="FR117" s="336">
        <f t="shared" si="945"/>
        <v>0</v>
      </c>
      <c r="FS117" s="336">
        <f t="shared" si="946"/>
        <v>25</v>
      </c>
      <c r="FT117" s="336">
        <f t="shared" si="947"/>
        <v>0</v>
      </c>
      <c r="FU117" s="336">
        <f t="shared" ref="FU117:FU160" si="1222">IF(DC117=1,($BC117*DC117),0)</f>
        <v>0</v>
      </c>
      <c r="FV117" s="336">
        <f t="shared" ref="FV117:FV160" si="1223">IF(DD117=1,($BC117*DD117),0)</f>
        <v>0</v>
      </c>
      <c r="FW117" s="336">
        <f t="shared" ref="FW117:FW160" si="1224">IF(DE117=1,($BC117*DE117),0)</f>
        <v>0</v>
      </c>
      <c r="FX117" s="336">
        <f t="shared" ref="FX117:FX160" si="1225">IF(DF117=1,($BC117*DF117),0)</f>
        <v>0</v>
      </c>
      <c r="FY117" s="336">
        <f t="shared" si="948"/>
        <v>25</v>
      </c>
      <c r="FZ117" s="336">
        <f t="shared" si="949"/>
        <v>25</v>
      </c>
      <c r="GA117" s="336">
        <f t="shared" si="950"/>
        <v>25</v>
      </c>
      <c r="GB117" s="336">
        <f t="shared" si="951"/>
        <v>0</v>
      </c>
      <c r="GC117" s="336">
        <f t="shared" si="952"/>
        <v>25</v>
      </c>
      <c r="GD117" s="336">
        <f t="shared" si="953"/>
        <v>0</v>
      </c>
      <c r="GE117" s="336">
        <f t="shared" si="954"/>
        <v>0</v>
      </c>
      <c r="GF117" s="336">
        <f t="shared" si="955"/>
        <v>0</v>
      </c>
      <c r="GG117" s="336">
        <f t="shared" si="956"/>
        <v>0</v>
      </c>
      <c r="GH117" s="336">
        <f t="shared" si="957"/>
        <v>0</v>
      </c>
      <c r="GI117" s="336">
        <f t="shared" si="958"/>
        <v>0</v>
      </c>
      <c r="GJ117" s="336">
        <f t="shared" si="959"/>
        <v>0</v>
      </c>
      <c r="GK117" s="336">
        <f t="shared" si="960"/>
        <v>0</v>
      </c>
      <c r="GL117" s="336">
        <f t="shared" ref="GL117:GL160" si="1226">IF(DT117=1,($BC117*DT117),0)</f>
        <v>0</v>
      </c>
      <c r="GM117" s="336">
        <f t="shared" si="961"/>
        <v>0</v>
      </c>
    </row>
    <row r="118" spans="1:195" ht="20.100000000000001" customHeight="1">
      <c r="A118" s="337">
        <f t="shared" ref="A118:A131" si="1227">A117+1</f>
        <v>84</v>
      </c>
      <c r="B118" s="567" t="s">
        <v>1215</v>
      </c>
      <c r="C118" s="372" t="s">
        <v>1209</v>
      </c>
      <c r="D118" s="567" t="s">
        <v>1216</v>
      </c>
      <c r="E118" s="372" t="s">
        <v>1181</v>
      </c>
      <c r="F118" s="444"/>
      <c r="G118" s="337" t="s">
        <v>329</v>
      </c>
      <c r="H118" s="350">
        <v>5</v>
      </c>
      <c r="I118" s="337" t="s">
        <v>330</v>
      </c>
      <c r="J118" s="337" t="s">
        <v>331</v>
      </c>
      <c r="K118" s="343">
        <v>400</v>
      </c>
      <c r="L118" s="343">
        <v>0.85000000000000009</v>
      </c>
      <c r="M118" s="350">
        <v>0.95042105263157861</v>
      </c>
      <c r="N118" s="342">
        <f t="shared" si="1195"/>
        <v>8.9336133449992658</v>
      </c>
      <c r="O118" s="342">
        <f t="shared" si="1196"/>
        <v>0</v>
      </c>
      <c r="P118" s="343" t="str">
        <f t="shared" si="1197"/>
        <v>0.00</v>
      </c>
      <c r="Q118" s="350">
        <v>65</v>
      </c>
      <c r="R118" s="350">
        <v>0</v>
      </c>
      <c r="S118" s="350">
        <f t="shared" si="1198"/>
        <v>0</v>
      </c>
      <c r="T118" s="343" t="s">
        <v>332</v>
      </c>
      <c r="U118" s="350" t="s">
        <v>535</v>
      </c>
      <c r="V118" s="343">
        <v>25</v>
      </c>
      <c r="W118" s="343" t="str">
        <f t="shared" si="1199"/>
        <v>3.5C X 25</v>
      </c>
      <c r="X118" s="343" t="str">
        <f t="shared" si="1200"/>
        <v>3.5C X 25</v>
      </c>
      <c r="Y118" s="343" t="s">
        <v>358</v>
      </c>
      <c r="Z118" s="344">
        <f>IF(T118="AIR",VLOOKUP(W118,'Catalogue Aluminium'!$B$9:$G$93,2,FALSE),IF(T118="GROUND",VLOOKUP(W118,'Catalogue Aluminium'!$B$9:$G$93,3,FALSE),IF(T118="DUCT",VLOOKUP(W118,'Catalogue Aluminium'!$B$9:$G$93,4,FALSE),IF(T118="TRENCH",VLOOKUP(W118,'Catalogue Aluminium'!$B$9:$G$93,2,FALSE)))))</f>
        <v>95</v>
      </c>
      <c r="AA118" s="345">
        <f>VLOOKUP(W118,'Catalogue Aluminium'!$B$9:$G$93,5,FALSE)</f>
        <v>1.54</v>
      </c>
      <c r="AB118" s="345">
        <f>VLOOKUP(W118,'Catalogue Aluminium'!$B$9:$G$93,6,FALSE)</f>
        <v>8.1600000000000006E-2</v>
      </c>
      <c r="AC118" s="343">
        <f t="shared" si="1201"/>
        <v>23</v>
      </c>
      <c r="AD118" s="343">
        <f>12+58+20+41+2</f>
        <v>133</v>
      </c>
      <c r="AE118" s="343">
        <v>10</v>
      </c>
      <c r="AF118" s="343">
        <v>8</v>
      </c>
      <c r="AG118" s="343">
        <f t="shared" si="1202"/>
        <v>18</v>
      </c>
      <c r="AH118" s="347">
        <f t="shared" si="1203"/>
        <v>192</v>
      </c>
      <c r="AI118" s="344">
        <f>IF(T118="AIR",'Catalogue Aluminium'!$K$9,IF(T118="TRENCH",'Catalogue Aluminium'!$K$12,"NA"))</f>
        <v>0.89</v>
      </c>
      <c r="AJ118" s="342">
        <f>IF(T118="Air",(IF(U118="1C",'Catalogue Aluminium'!$L$9,'Catalogue Aluminium'!$M$9)),IF(T118="DUCT",(IF($U118="1C",'Catalogue Aluminium'!$L$10,'Catalogue Aluminium'!$M$10)),IF(T118="GROUND",(IF($U118="1C",'Catalogue Aluminium'!$L$11,'Catalogue Aluminium'!$M$11)),IF(T118="TRENCH",(IF($U118="1C",'Catalogue Aluminium'!$L$12,'Catalogue Aluminium'!$M$12))))))</f>
        <v>0.66</v>
      </c>
      <c r="AK118" s="344" t="str">
        <f>IF(T118="Air",'Catalogue Aluminium'!$N$9,IF(T118="GROUND",'Catalogue Aluminium'!$N$10,IF(T118="DUCT",'Catalogue Aluminium'!$N$11,IF(T118="TRENCH",'Catalogue Aluminium'!$N$12,"NA"))))</f>
        <v>NA</v>
      </c>
      <c r="AL118" s="761" t="str">
        <f>IF(T118="Air",(IF(U118="1C",'Catalogue Aluminium'!$O$9,'Catalogue Aluminium'!$P$9)),IF(T118="DUCT",(IF($U118="1C",'Catalogue Aluminium'!$O$10,'Catalogue Aluminium'!$P$10)),IF(T118="GROUND",(IF($U118="1C",'Catalogue Aluminium'!$O$11,'Catalogue Aluminium'!$P$11)),IF(T118="TRENCH",(IF($U118="1C",'Catalogue Aluminium'!$O$12,'Catalogue Aluminium'!$P$12))))))</f>
        <v>NA</v>
      </c>
      <c r="AM118" s="344" t="str">
        <f>IF(T118="AIR","NA",IF(T118="TRENCH","NA",IF(T118="DUCT",IF(U118="1C",VLOOKUP(V118,'Catalogue Aluminium'!$Q$9:$S$28,2,FALSE),VLOOKUP(V118,'Catalogue Aluminium'!$Q$9:$S$28,3)),IF(T118="GROUND",IF(U118="1C",VLOOKUP(V118,'Catalogue Aluminium'!$Q$9:$S$28,2,FALSE),VLOOKUP(V118,'Catalogue Aluminium'!$Q$9:$S$28,3))))))</f>
        <v>NA</v>
      </c>
      <c r="AN118" s="351">
        <f t="shared" si="1204"/>
        <v>0.58740000000000003</v>
      </c>
      <c r="AO118" s="350">
        <f t="shared" si="1205"/>
        <v>55.803000000000004</v>
      </c>
      <c r="AP118" s="349">
        <f t="shared" si="1206"/>
        <v>1</v>
      </c>
      <c r="AQ118" s="350" t="str">
        <f t="shared" si="1207"/>
        <v>YES</v>
      </c>
      <c r="AR118" s="351">
        <f t="shared" si="1208"/>
        <v>1.0041556586415346</v>
      </c>
      <c r="AS118" s="343" t="str">
        <f t="shared" si="1217"/>
        <v>YES</v>
      </c>
      <c r="AT118" s="351" t="str">
        <f t="shared" si="1209"/>
        <v>NA</v>
      </c>
      <c r="AU118" s="343" t="str">
        <f t="shared" si="1210"/>
        <v>NA</v>
      </c>
      <c r="AV118" s="354" t="str">
        <f t="shared" si="1211"/>
        <v>1R x 0.6/1kV x 3.5C x 25 Sqmm</v>
      </c>
      <c r="AW118" s="354" t="str">
        <f t="shared" si="1212"/>
        <v>1R x 0.6/1kV x 3.5C x 25 Sqmm</v>
      </c>
      <c r="AX118" s="343">
        <f t="shared" si="1218"/>
        <v>192</v>
      </c>
      <c r="AY118" s="355"/>
      <c r="AZ118" s="355">
        <f t="shared" si="1219"/>
        <v>2</v>
      </c>
      <c r="BA118" s="356" t="str">
        <f t="shared" si="1220"/>
        <v>Q3RR1R2SS.B</v>
      </c>
      <c r="BB118" s="501">
        <f>VLOOKUP(W118,'Catalogue Aluminium'!$B$9:$H$93,7,FALSE)</f>
        <v>25</v>
      </c>
      <c r="BC118" s="328">
        <f t="shared" si="1221"/>
        <v>25</v>
      </c>
      <c r="BE118" s="336"/>
      <c r="BF118" s="336"/>
      <c r="BG118" s="336"/>
      <c r="BH118" s="336"/>
      <c r="BI118" s="336"/>
      <c r="BJ118" s="336"/>
      <c r="BK118" s="336"/>
      <c r="BL118" s="336"/>
      <c r="BM118" s="336"/>
      <c r="BN118" s="336"/>
      <c r="BO118" s="336"/>
      <c r="BP118" s="336"/>
      <c r="BQ118" s="336"/>
      <c r="BR118" s="336"/>
      <c r="BS118" s="336"/>
      <c r="BT118" s="336"/>
      <c r="BU118" s="336"/>
      <c r="BV118" s="336"/>
      <c r="BW118" s="336"/>
      <c r="BX118" s="336"/>
      <c r="BY118" s="336"/>
      <c r="BZ118" s="336"/>
      <c r="CA118" s="336"/>
      <c r="CB118" s="336"/>
      <c r="CC118" s="336"/>
      <c r="CD118" s="336"/>
      <c r="CE118" s="336"/>
      <c r="CF118" s="336"/>
      <c r="CG118" s="336"/>
      <c r="CH118" s="336"/>
      <c r="CI118" s="336"/>
      <c r="CJ118" s="336"/>
      <c r="CK118" s="336"/>
      <c r="CL118" s="336"/>
      <c r="CM118" s="336"/>
      <c r="CN118" s="336"/>
      <c r="CO118" s="336"/>
      <c r="CP118" s="336"/>
      <c r="CQ118" s="336"/>
      <c r="CR118" s="336"/>
      <c r="CS118" s="336"/>
      <c r="CT118" s="336"/>
      <c r="CU118" s="336"/>
      <c r="CV118" s="336"/>
      <c r="CW118" s="336"/>
      <c r="CX118" s="336"/>
      <c r="CY118" s="336"/>
      <c r="CZ118" s="336"/>
      <c r="DA118" s="336">
        <v>1</v>
      </c>
      <c r="DB118" s="336"/>
      <c r="DC118" s="336"/>
      <c r="DD118" s="336"/>
      <c r="DE118" s="336"/>
      <c r="DF118" s="336"/>
      <c r="DG118" s="336">
        <v>1</v>
      </c>
      <c r="DH118" s="336">
        <v>1</v>
      </c>
      <c r="DI118" s="336">
        <v>1</v>
      </c>
      <c r="DJ118" s="336"/>
      <c r="DK118" s="336"/>
      <c r="DL118" s="336">
        <v>1</v>
      </c>
      <c r="DM118" s="336"/>
      <c r="DN118" s="336">
        <v>1</v>
      </c>
      <c r="DO118" s="336"/>
      <c r="DP118" s="336"/>
      <c r="DQ118" s="336"/>
      <c r="DR118" s="336"/>
      <c r="DS118" s="336"/>
      <c r="DT118" s="336"/>
      <c r="DU118" s="336"/>
      <c r="DW118" s="336">
        <f t="shared" si="1022"/>
        <v>0</v>
      </c>
      <c r="DX118" s="336">
        <f t="shared" si="900"/>
        <v>0</v>
      </c>
      <c r="DY118" s="336">
        <f t="shared" si="901"/>
        <v>0</v>
      </c>
      <c r="DZ118" s="336">
        <f t="shared" si="902"/>
        <v>0</v>
      </c>
      <c r="EA118" s="336">
        <f t="shared" si="903"/>
        <v>0</v>
      </c>
      <c r="EB118" s="336">
        <f t="shared" si="904"/>
        <v>0</v>
      </c>
      <c r="EC118" s="336">
        <f t="shared" si="905"/>
        <v>0</v>
      </c>
      <c r="ED118" s="336">
        <f t="shared" si="906"/>
        <v>0</v>
      </c>
      <c r="EE118" s="336">
        <f t="shared" si="907"/>
        <v>0</v>
      </c>
      <c r="EF118" s="336">
        <f t="shared" si="908"/>
        <v>0</v>
      </c>
      <c r="EG118" s="336">
        <f t="shared" si="909"/>
        <v>0</v>
      </c>
      <c r="EH118" s="336">
        <f t="shared" si="910"/>
        <v>0</v>
      </c>
      <c r="EI118" s="336">
        <f t="shared" si="911"/>
        <v>0</v>
      </c>
      <c r="EJ118" s="336">
        <f t="shared" si="912"/>
        <v>0</v>
      </c>
      <c r="EK118" s="336">
        <f t="shared" si="913"/>
        <v>0</v>
      </c>
      <c r="EL118" s="336">
        <f t="shared" si="914"/>
        <v>0</v>
      </c>
      <c r="EM118" s="336">
        <f t="shared" si="915"/>
        <v>0</v>
      </c>
      <c r="EN118" s="336">
        <f t="shared" si="916"/>
        <v>0</v>
      </c>
      <c r="EO118" s="336">
        <f t="shared" si="917"/>
        <v>0</v>
      </c>
      <c r="EP118" s="336">
        <f t="shared" si="918"/>
        <v>0</v>
      </c>
      <c r="EQ118" s="336">
        <f t="shared" si="919"/>
        <v>0</v>
      </c>
      <c r="ER118" s="336">
        <f t="shared" si="920"/>
        <v>0</v>
      </c>
      <c r="ES118" s="336">
        <f t="shared" si="921"/>
        <v>0</v>
      </c>
      <c r="ET118" s="336">
        <f t="shared" si="921"/>
        <v>0</v>
      </c>
      <c r="EU118" s="336">
        <f t="shared" si="922"/>
        <v>0</v>
      </c>
      <c r="EV118" s="336">
        <f t="shared" si="923"/>
        <v>0</v>
      </c>
      <c r="EW118" s="336">
        <f t="shared" si="924"/>
        <v>0</v>
      </c>
      <c r="EX118" s="336">
        <f t="shared" si="925"/>
        <v>0</v>
      </c>
      <c r="EY118" s="336">
        <f t="shared" si="926"/>
        <v>0</v>
      </c>
      <c r="EZ118" s="336">
        <f t="shared" si="927"/>
        <v>0</v>
      </c>
      <c r="FA118" s="336">
        <f t="shared" si="928"/>
        <v>0</v>
      </c>
      <c r="FB118" s="336">
        <f t="shared" si="929"/>
        <v>0</v>
      </c>
      <c r="FC118" s="336">
        <f t="shared" si="930"/>
        <v>0</v>
      </c>
      <c r="FD118" s="336">
        <f t="shared" si="931"/>
        <v>0</v>
      </c>
      <c r="FE118" s="336">
        <f t="shared" si="932"/>
        <v>0</v>
      </c>
      <c r="FF118" s="336">
        <f t="shared" si="933"/>
        <v>0</v>
      </c>
      <c r="FG118" s="336">
        <f t="shared" si="934"/>
        <v>0</v>
      </c>
      <c r="FH118" s="336">
        <f t="shared" si="935"/>
        <v>0</v>
      </c>
      <c r="FI118" s="336">
        <f t="shared" si="936"/>
        <v>0</v>
      </c>
      <c r="FJ118" s="336">
        <f t="shared" si="937"/>
        <v>0</v>
      </c>
      <c r="FK118" s="336">
        <f t="shared" si="938"/>
        <v>0</v>
      </c>
      <c r="FL118" s="336">
        <f t="shared" si="939"/>
        <v>0</v>
      </c>
      <c r="FM118" s="336">
        <f t="shared" si="940"/>
        <v>0</v>
      </c>
      <c r="FN118" s="336">
        <f t="shared" si="941"/>
        <v>0</v>
      </c>
      <c r="FO118" s="336">
        <f t="shared" si="942"/>
        <v>0</v>
      </c>
      <c r="FP118" s="336">
        <f t="shared" si="943"/>
        <v>0</v>
      </c>
      <c r="FQ118" s="336">
        <f t="shared" si="944"/>
        <v>0</v>
      </c>
      <c r="FR118" s="336">
        <f t="shared" si="945"/>
        <v>0</v>
      </c>
      <c r="FS118" s="336">
        <f t="shared" si="946"/>
        <v>25</v>
      </c>
      <c r="FT118" s="336">
        <f t="shared" si="947"/>
        <v>0</v>
      </c>
      <c r="FU118" s="336">
        <f t="shared" si="1222"/>
        <v>0</v>
      </c>
      <c r="FV118" s="336">
        <f t="shared" si="1223"/>
        <v>0</v>
      </c>
      <c r="FW118" s="336">
        <f t="shared" si="1224"/>
        <v>0</v>
      </c>
      <c r="FX118" s="336">
        <f t="shared" si="1225"/>
        <v>0</v>
      </c>
      <c r="FY118" s="336">
        <f t="shared" si="948"/>
        <v>25</v>
      </c>
      <c r="FZ118" s="336">
        <f t="shared" si="949"/>
        <v>25</v>
      </c>
      <c r="GA118" s="336">
        <f t="shared" si="950"/>
        <v>25</v>
      </c>
      <c r="GB118" s="336">
        <f t="shared" si="951"/>
        <v>0</v>
      </c>
      <c r="GC118" s="336">
        <f t="shared" si="952"/>
        <v>0</v>
      </c>
      <c r="GD118" s="336">
        <f t="shared" si="953"/>
        <v>25</v>
      </c>
      <c r="GE118" s="336">
        <f t="shared" si="954"/>
        <v>0</v>
      </c>
      <c r="GF118" s="336">
        <f t="shared" si="955"/>
        <v>25</v>
      </c>
      <c r="GG118" s="336">
        <f t="shared" si="956"/>
        <v>0</v>
      </c>
      <c r="GH118" s="336">
        <f t="shared" si="957"/>
        <v>0</v>
      </c>
      <c r="GI118" s="336">
        <f t="shared" si="958"/>
        <v>0</v>
      </c>
      <c r="GJ118" s="336">
        <f t="shared" si="959"/>
        <v>0</v>
      </c>
      <c r="GK118" s="336">
        <f t="shared" si="960"/>
        <v>0</v>
      </c>
      <c r="GL118" s="336">
        <f t="shared" si="1226"/>
        <v>0</v>
      </c>
      <c r="GM118" s="336">
        <f t="shared" si="961"/>
        <v>0</v>
      </c>
    </row>
    <row r="119" spans="1:195" ht="20.100000000000001" customHeight="1">
      <c r="A119" s="337">
        <f t="shared" si="1227"/>
        <v>85</v>
      </c>
      <c r="B119" s="567" t="s">
        <v>1217</v>
      </c>
      <c r="C119" s="372" t="s">
        <v>1209</v>
      </c>
      <c r="D119" s="567" t="s">
        <v>1218</v>
      </c>
      <c r="E119" s="372" t="s">
        <v>1219</v>
      </c>
      <c r="F119" s="444"/>
      <c r="G119" s="337" t="s">
        <v>329</v>
      </c>
      <c r="H119" s="350">
        <v>5</v>
      </c>
      <c r="I119" s="337" t="s">
        <v>330</v>
      </c>
      <c r="J119" s="337" t="s">
        <v>331</v>
      </c>
      <c r="K119" s="343">
        <v>400</v>
      </c>
      <c r="L119" s="343">
        <v>0.85000000000000009</v>
      </c>
      <c r="M119" s="350">
        <v>0.95042105263157861</v>
      </c>
      <c r="N119" s="342">
        <f t="shared" si="1195"/>
        <v>8.9336133449992658</v>
      </c>
      <c r="O119" s="342">
        <f t="shared" si="1196"/>
        <v>0</v>
      </c>
      <c r="P119" s="343" t="str">
        <f t="shared" si="1197"/>
        <v>0.00</v>
      </c>
      <c r="Q119" s="350">
        <v>65</v>
      </c>
      <c r="R119" s="350">
        <v>0</v>
      </c>
      <c r="S119" s="350">
        <f t="shared" si="1198"/>
        <v>0</v>
      </c>
      <c r="T119" s="343" t="s">
        <v>332</v>
      </c>
      <c r="U119" s="350" t="s">
        <v>535</v>
      </c>
      <c r="V119" s="343">
        <v>25</v>
      </c>
      <c r="W119" s="343" t="str">
        <f t="shared" si="1199"/>
        <v>3.5C X 25</v>
      </c>
      <c r="X119" s="343" t="str">
        <f t="shared" si="1200"/>
        <v>3.5C X 25</v>
      </c>
      <c r="Y119" s="343" t="s">
        <v>358</v>
      </c>
      <c r="Z119" s="344">
        <f>IF(T119="AIR",VLOOKUP(W119,'Catalogue Aluminium'!$B$9:$G$93,2,FALSE),IF(T119="GROUND",VLOOKUP(W119,'Catalogue Aluminium'!$B$9:$G$93,3,FALSE),IF(T119="DUCT",VLOOKUP(W119,'Catalogue Aluminium'!$B$9:$G$93,4,FALSE),IF(T119="TRENCH",VLOOKUP(W119,'Catalogue Aluminium'!$B$9:$G$93,2,FALSE)))))</f>
        <v>95</v>
      </c>
      <c r="AA119" s="345">
        <f>VLOOKUP(W119,'Catalogue Aluminium'!$B$9:$G$93,5,FALSE)</f>
        <v>1.54</v>
      </c>
      <c r="AB119" s="345">
        <f>VLOOKUP(W119,'Catalogue Aluminium'!$B$9:$G$93,6,FALSE)</f>
        <v>8.1600000000000006E-2</v>
      </c>
      <c r="AC119" s="343">
        <f t="shared" si="1201"/>
        <v>23</v>
      </c>
      <c r="AD119" s="343">
        <f>12+58+20+41+2+10</f>
        <v>143</v>
      </c>
      <c r="AE119" s="343">
        <v>10</v>
      </c>
      <c r="AF119" s="343">
        <v>8</v>
      </c>
      <c r="AG119" s="343">
        <f t="shared" si="1202"/>
        <v>19</v>
      </c>
      <c r="AH119" s="347">
        <f t="shared" si="1203"/>
        <v>203</v>
      </c>
      <c r="AI119" s="344">
        <f>IF(T119="AIR",'Catalogue Aluminium'!$K$9,IF(T119="TRENCH",'Catalogue Aluminium'!$K$12,"NA"))</f>
        <v>0.89</v>
      </c>
      <c r="AJ119" s="342">
        <f>IF(T119="Air",(IF(U119="1C",'Catalogue Aluminium'!$L$9,'Catalogue Aluminium'!$M$9)),IF(T119="DUCT",(IF($U119="1C",'Catalogue Aluminium'!$L$10,'Catalogue Aluminium'!$M$10)),IF(T119="GROUND",(IF($U119="1C",'Catalogue Aluminium'!$L$11,'Catalogue Aluminium'!$M$11)),IF(T119="TRENCH",(IF($U119="1C",'Catalogue Aluminium'!$L$12,'Catalogue Aluminium'!$M$12))))))</f>
        <v>0.66</v>
      </c>
      <c r="AK119" s="344" t="str">
        <f>IF(T119="Air",'Catalogue Aluminium'!$N$9,IF(T119="GROUND",'Catalogue Aluminium'!$N$10,IF(T119="DUCT",'Catalogue Aluminium'!$N$11,IF(T119="TRENCH",'Catalogue Aluminium'!$N$12,"NA"))))</f>
        <v>NA</v>
      </c>
      <c r="AL119" s="344" t="str">
        <f>IF(T119="Air",(IF(U119="1C",'Catalogue Aluminium'!$O$9,'Catalogue Aluminium'!$P$9)),IF(T119="DUCT",(IF($U119="1C",'Catalogue Aluminium'!$O$10,'Catalogue Aluminium'!$P$10)),IF(T119="GROUND",(IF($U119="1C",'Catalogue Aluminium'!$O$11,'Catalogue Aluminium'!$P$11)),IF(T119="TRENCH",(IF($U119="1C",'Catalogue Aluminium'!$O$12,'Catalogue Aluminium'!$P$12))))))</f>
        <v>NA</v>
      </c>
      <c r="AM119" s="344" t="str">
        <f>IF(T119="AIR","NA",IF(T119="TRENCH","NA",IF(T119="DUCT",IF(U119="1C",VLOOKUP(V119,'Catalogue Aluminium'!$Q$9:$S$28,2,FALSE),VLOOKUP(V119,'Catalogue Aluminium'!$Q$9:$S$28,3)),IF(T119="GROUND",IF(U119="1C",VLOOKUP(V119,'Catalogue Aluminium'!$Q$9:$S$28,2,FALSE),VLOOKUP(V119,'Catalogue Aluminium'!$Q$9:$S$28,3))))))</f>
        <v>NA</v>
      </c>
      <c r="AN119" s="351">
        <f t="shared" si="1204"/>
        <v>0.58740000000000003</v>
      </c>
      <c r="AO119" s="350">
        <f t="shared" si="1205"/>
        <v>55.803000000000004</v>
      </c>
      <c r="AP119" s="349">
        <f t="shared" si="1206"/>
        <v>1</v>
      </c>
      <c r="AQ119" s="350" t="str">
        <f t="shared" si="1207"/>
        <v>YES</v>
      </c>
      <c r="AR119" s="351">
        <f t="shared" si="1208"/>
        <v>1.0616854099178725</v>
      </c>
      <c r="AS119" s="343" t="str">
        <f t="shared" si="1217"/>
        <v>YES</v>
      </c>
      <c r="AT119" s="351" t="str">
        <f t="shared" si="1209"/>
        <v>NA</v>
      </c>
      <c r="AU119" s="343" t="str">
        <f t="shared" si="1210"/>
        <v>NA</v>
      </c>
      <c r="AV119" s="354" t="str">
        <f t="shared" si="1211"/>
        <v>1R x 0.6/1kV x 3.5C x 25 Sqmm</v>
      </c>
      <c r="AW119" s="354" t="str">
        <f t="shared" si="1212"/>
        <v>1R x 0.6/1kV x 3.5C x 25 Sqmm</v>
      </c>
      <c r="AX119" s="343">
        <f t="shared" si="1218"/>
        <v>203</v>
      </c>
      <c r="AY119" s="355"/>
      <c r="AZ119" s="355">
        <f t="shared" si="1219"/>
        <v>2</v>
      </c>
      <c r="BA119" s="356" t="str">
        <f t="shared" si="1220"/>
        <v>Q3RR1R2SS.B</v>
      </c>
      <c r="BB119" s="501">
        <f>VLOOKUP(W119,'Catalogue Aluminium'!$B$9:$H$93,7,FALSE)</f>
        <v>25</v>
      </c>
      <c r="BC119" s="328">
        <f t="shared" si="1221"/>
        <v>25</v>
      </c>
      <c r="BE119" s="336"/>
      <c r="BF119" s="336"/>
      <c r="BG119" s="336"/>
      <c r="BH119" s="336"/>
      <c r="BI119" s="336"/>
      <c r="BJ119" s="336"/>
      <c r="BK119" s="336"/>
      <c r="BL119" s="336"/>
      <c r="BM119" s="336"/>
      <c r="BN119" s="336"/>
      <c r="BO119" s="336"/>
      <c r="BP119" s="336"/>
      <c r="BQ119" s="336"/>
      <c r="BR119" s="336"/>
      <c r="BS119" s="336"/>
      <c r="BT119" s="336"/>
      <c r="BU119" s="336"/>
      <c r="BV119" s="336"/>
      <c r="BW119" s="336"/>
      <c r="BX119" s="336"/>
      <c r="BY119" s="336"/>
      <c r="BZ119" s="336"/>
      <c r="CA119" s="336"/>
      <c r="CB119" s="336"/>
      <c r="CC119" s="336"/>
      <c r="CD119" s="336"/>
      <c r="CE119" s="336"/>
      <c r="CF119" s="336"/>
      <c r="CG119" s="336"/>
      <c r="CH119" s="336"/>
      <c r="CI119" s="336"/>
      <c r="CJ119" s="336"/>
      <c r="CK119" s="336"/>
      <c r="CL119" s="336"/>
      <c r="CM119" s="336"/>
      <c r="CN119" s="336"/>
      <c r="CO119" s="336"/>
      <c r="CP119" s="336"/>
      <c r="CQ119" s="336"/>
      <c r="CR119" s="336"/>
      <c r="CS119" s="336"/>
      <c r="CT119" s="336"/>
      <c r="CU119" s="336"/>
      <c r="CV119" s="336"/>
      <c r="CW119" s="336"/>
      <c r="CX119" s="336"/>
      <c r="CY119" s="336"/>
      <c r="CZ119" s="336"/>
      <c r="DA119" s="336">
        <v>1</v>
      </c>
      <c r="DB119" s="336"/>
      <c r="DC119" s="336"/>
      <c r="DD119" s="336"/>
      <c r="DE119" s="336"/>
      <c r="DF119" s="336"/>
      <c r="DG119" s="336">
        <v>1</v>
      </c>
      <c r="DH119" s="336">
        <v>1</v>
      </c>
      <c r="DI119" s="336">
        <v>1</v>
      </c>
      <c r="DJ119" s="336"/>
      <c r="DK119" s="336"/>
      <c r="DL119" s="336">
        <v>1</v>
      </c>
      <c r="DM119" s="336"/>
      <c r="DN119" s="336">
        <v>1</v>
      </c>
      <c r="DO119" s="336"/>
      <c r="DP119" s="336"/>
      <c r="DQ119" s="336"/>
      <c r="DR119" s="336"/>
      <c r="DS119" s="336"/>
      <c r="DT119" s="336"/>
      <c r="DU119" s="336"/>
      <c r="DW119" s="336">
        <f t="shared" si="1022"/>
        <v>0</v>
      </c>
      <c r="DX119" s="336">
        <f t="shared" si="900"/>
        <v>0</v>
      </c>
      <c r="DY119" s="336">
        <f t="shared" si="901"/>
        <v>0</v>
      </c>
      <c r="DZ119" s="336">
        <f t="shared" si="902"/>
        <v>0</v>
      </c>
      <c r="EA119" s="336">
        <f t="shared" si="903"/>
        <v>0</v>
      </c>
      <c r="EB119" s="336">
        <f t="shared" si="904"/>
        <v>0</v>
      </c>
      <c r="EC119" s="336">
        <f t="shared" si="905"/>
        <v>0</v>
      </c>
      <c r="ED119" s="336">
        <f t="shared" si="906"/>
        <v>0</v>
      </c>
      <c r="EE119" s="336">
        <f t="shared" si="907"/>
        <v>0</v>
      </c>
      <c r="EF119" s="336">
        <f t="shared" si="908"/>
        <v>0</v>
      </c>
      <c r="EG119" s="336">
        <f t="shared" si="909"/>
        <v>0</v>
      </c>
      <c r="EH119" s="336">
        <f t="shared" si="910"/>
        <v>0</v>
      </c>
      <c r="EI119" s="336">
        <f t="shared" si="911"/>
        <v>0</v>
      </c>
      <c r="EJ119" s="336">
        <f t="shared" si="912"/>
        <v>0</v>
      </c>
      <c r="EK119" s="336">
        <f t="shared" si="913"/>
        <v>0</v>
      </c>
      <c r="EL119" s="336">
        <f t="shared" si="914"/>
        <v>0</v>
      </c>
      <c r="EM119" s="336">
        <f t="shared" si="915"/>
        <v>0</v>
      </c>
      <c r="EN119" s="336">
        <f t="shared" si="916"/>
        <v>0</v>
      </c>
      <c r="EO119" s="336">
        <f t="shared" si="917"/>
        <v>0</v>
      </c>
      <c r="EP119" s="336">
        <f t="shared" si="918"/>
        <v>0</v>
      </c>
      <c r="EQ119" s="336">
        <f t="shared" si="919"/>
        <v>0</v>
      </c>
      <c r="ER119" s="336">
        <f t="shared" si="920"/>
        <v>0</v>
      </c>
      <c r="ES119" s="336">
        <f t="shared" si="921"/>
        <v>0</v>
      </c>
      <c r="ET119" s="336">
        <f t="shared" si="921"/>
        <v>0</v>
      </c>
      <c r="EU119" s="336">
        <f t="shared" si="922"/>
        <v>0</v>
      </c>
      <c r="EV119" s="336">
        <f t="shared" si="923"/>
        <v>0</v>
      </c>
      <c r="EW119" s="336">
        <f t="shared" si="924"/>
        <v>0</v>
      </c>
      <c r="EX119" s="336">
        <f t="shared" si="925"/>
        <v>0</v>
      </c>
      <c r="EY119" s="336">
        <f t="shared" si="926"/>
        <v>0</v>
      </c>
      <c r="EZ119" s="336">
        <f t="shared" si="927"/>
        <v>0</v>
      </c>
      <c r="FA119" s="336">
        <f t="shared" si="928"/>
        <v>0</v>
      </c>
      <c r="FB119" s="336">
        <f t="shared" si="929"/>
        <v>0</v>
      </c>
      <c r="FC119" s="336">
        <f t="shared" si="930"/>
        <v>0</v>
      </c>
      <c r="FD119" s="336">
        <f t="shared" si="931"/>
        <v>0</v>
      </c>
      <c r="FE119" s="336">
        <f t="shared" si="932"/>
        <v>0</v>
      </c>
      <c r="FF119" s="336">
        <f t="shared" si="933"/>
        <v>0</v>
      </c>
      <c r="FG119" s="336">
        <f t="shared" si="934"/>
        <v>0</v>
      </c>
      <c r="FH119" s="336">
        <f t="shared" si="935"/>
        <v>0</v>
      </c>
      <c r="FI119" s="336">
        <f t="shared" si="936"/>
        <v>0</v>
      </c>
      <c r="FJ119" s="336">
        <f t="shared" si="937"/>
        <v>0</v>
      </c>
      <c r="FK119" s="336">
        <f t="shared" si="938"/>
        <v>0</v>
      </c>
      <c r="FL119" s="336">
        <f t="shared" si="939"/>
        <v>0</v>
      </c>
      <c r="FM119" s="336">
        <f t="shared" si="940"/>
        <v>0</v>
      </c>
      <c r="FN119" s="336">
        <f t="shared" si="941"/>
        <v>0</v>
      </c>
      <c r="FO119" s="336">
        <f t="shared" si="942"/>
        <v>0</v>
      </c>
      <c r="FP119" s="336">
        <f t="shared" si="943"/>
        <v>0</v>
      </c>
      <c r="FQ119" s="336">
        <f t="shared" si="944"/>
        <v>0</v>
      </c>
      <c r="FR119" s="336">
        <f t="shared" si="945"/>
        <v>0</v>
      </c>
      <c r="FS119" s="336">
        <f t="shared" si="946"/>
        <v>25</v>
      </c>
      <c r="FT119" s="336">
        <f t="shared" si="947"/>
        <v>0</v>
      </c>
      <c r="FU119" s="336">
        <f t="shared" si="1222"/>
        <v>0</v>
      </c>
      <c r="FV119" s="336">
        <f t="shared" si="1223"/>
        <v>0</v>
      </c>
      <c r="FW119" s="336">
        <f t="shared" si="1224"/>
        <v>0</v>
      </c>
      <c r="FX119" s="336">
        <f t="shared" si="1225"/>
        <v>0</v>
      </c>
      <c r="FY119" s="336">
        <f t="shared" si="948"/>
        <v>25</v>
      </c>
      <c r="FZ119" s="336">
        <f t="shared" si="949"/>
        <v>25</v>
      </c>
      <c r="GA119" s="336">
        <f t="shared" si="950"/>
        <v>25</v>
      </c>
      <c r="GB119" s="336">
        <f t="shared" si="951"/>
        <v>0</v>
      </c>
      <c r="GC119" s="336">
        <f t="shared" si="952"/>
        <v>0</v>
      </c>
      <c r="GD119" s="336">
        <f t="shared" si="953"/>
        <v>25</v>
      </c>
      <c r="GE119" s="336">
        <f t="shared" si="954"/>
        <v>0</v>
      </c>
      <c r="GF119" s="336">
        <f t="shared" si="955"/>
        <v>25</v>
      </c>
      <c r="GG119" s="336">
        <f t="shared" si="956"/>
        <v>0</v>
      </c>
      <c r="GH119" s="336">
        <f t="shared" si="957"/>
        <v>0</v>
      </c>
      <c r="GI119" s="336">
        <f t="shared" si="958"/>
        <v>0</v>
      </c>
      <c r="GJ119" s="336">
        <f t="shared" si="959"/>
        <v>0</v>
      </c>
      <c r="GK119" s="336">
        <f t="shared" si="960"/>
        <v>0</v>
      </c>
      <c r="GL119" s="336">
        <f t="shared" si="1226"/>
        <v>0</v>
      </c>
      <c r="GM119" s="336">
        <f t="shared" si="961"/>
        <v>0</v>
      </c>
    </row>
    <row r="120" spans="1:195" ht="24.75" customHeight="1">
      <c r="A120" s="337">
        <f t="shared" si="1227"/>
        <v>86</v>
      </c>
      <c r="B120" s="567" t="s">
        <v>1220</v>
      </c>
      <c r="C120" s="372" t="s">
        <v>1209</v>
      </c>
      <c r="D120" s="567" t="s">
        <v>1221</v>
      </c>
      <c r="E120" s="372" t="s">
        <v>1222</v>
      </c>
      <c r="F120" s="444"/>
      <c r="G120" s="337" t="s">
        <v>329</v>
      </c>
      <c r="H120" s="350">
        <v>5</v>
      </c>
      <c r="I120" s="337" t="s">
        <v>330</v>
      </c>
      <c r="J120" s="337" t="s">
        <v>331</v>
      </c>
      <c r="K120" s="343">
        <v>400</v>
      </c>
      <c r="L120" s="343">
        <v>0.85000000000000009</v>
      </c>
      <c r="M120" s="350">
        <v>0.95042105263157861</v>
      </c>
      <c r="N120" s="342">
        <f>IF(I120="kVA",IF(J120="3Ph",(H120*1000/(1.732*M120*K120)),(H120*1000/(M120*K120))),IF(I120="kW",IF(J120="3Ph",(H120*1000/(1.732*M120*K120*L120)),(H120*1000/(M120*K120*L120)))))</f>
        <v>8.9336133449992658</v>
      </c>
      <c r="O120" s="342">
        <f>IF(G120="MOTOR",(6*N120),IF(G120="VFD",(1*N120),0))</f>
        <v>0</v>
      </c>
      <c r="P120" s="343" t="str">
        <f>IF(G120="MOTOR",0.2,"0.00")</f>
        <v>0.00</v>
      </c>
      <c r="Q120" s="350">
        <v>65</v>
      </c>
      <c r="R120" s="350">
        <v>0</v>
      </c>
      <c r="S120" s="350">
        <f>(Q120*1000*SQRT(R120)/143)</f>
        <v>0</v>
      </c>
      <c r="T120" s="343" t="s">
        <v>332</v>
      </c>
      <c r="U120" s="350" t="s">
        <v>535</v>
      </c>
      <c r="V120" s="343">
        <v>25</v>
      </c>
      <c r="W120" s="343" t="str">
        <f>CONCATENATE(U120," X ",V120)</f>
        <v>3.5C X 25</v>
      </c>
      <c r="X120" s="343" t="str">
        <f>(IF(J120="1Ph",W120,IF(J120="3Ph",(IF(G120="MOTOR",(CONCATENATE(W120,"+PE")),W120)))))</f>
        <v>3.5C X 25</v>
      </c>
      <c r="Y120" s="343" t="s">
        <v>358</v>
      </c>
      <c r="Z120" s="344">
        <f>IF(T120="AIR",VLOOKUP(W120,'Catalogue Aluminium'!$B$9:$G$93,2,FALSE),IF(T120="GROUND",VLOOKUP(W120,'Catalogue Aluminium'!$B$9:$G$93,3,FALSE),IF(T120="DUCT",VLOOKUP(W120,'Catalogue Aluminium'!$B$9:$G$93,4,FALSE),IF(T120="TRENCH",VLOOKUP(W120,'Catalogue Aluminium'!$B$9:$G$93,2,FALSE)))))</f>
        <v>95</v>
      </c>
      <c r="AA120" s="345">
        <f>VLOOKUP(W120,'Catalogue Aluminium'!$B$9:$G$93,5,FALSE)</f>
        <v>1.54</v>
      </c>
      <c r="AB120" s="345">
        <f>VLOOKUP(W120,'Catalogue Aluminium'!$B$9:$G$93,6,FALSE)</f>
        <v>8.1600000000000006E-2</v>
      </c>
      <c r="AC120" s="343">
        <f t="shared" si="1201"/>
        <v>23</v>
      </c>
      <c r="AD120" s="343">
        <f>95</f>
        <v>95</v>
      </c>
      <c r="AE120" s="343">
        <v>10</v>
      </c>
      <c r="AF120" s="343">
        <v>8</v>
      </c>
      <c r="AG120" s="343">
        <f>ROUNDUP((SUM(AC120:AF120)*0.1),0)</f>
        <v>14</v>
      </c>
      <c r="AH120" s="347">
        <f t="shared" ref="AH120" si="1228">SUM(AC120:AG120)</f>
        <v>150</v>
      </c>
      <c r="AI120" s="344">
        <f>IF(T120="AIR",'Catalogue Aluminium'!$K$9,IF(T120="TRENCH",'Catalogue Aluminium'!$K$12,"NA"))</f>
        <v>0.89</v>
      </c>
      <c r="AJ120" s="342">
        <f>IF(T120="Air",(IF(U120="1C",'Catalogue Aluminium'!$L$9,'Catalogue Aluminium'!$M$9)),IF(T120="DUCT",(IF($U120="1C",'Catalogue Aluminium'!$L$10,'Catalogue Aluminium'!$M$10)),IF(T120="GROUND",(IF($U120="1C",'Catalogue Aluminium'!$L$11,'Catalogue Aluminium'!$M$11)),IF(T120="TRENCH",(IF($U120="1C",'Catalogue Aluminium'!$L$12,'Catalogue Aluminium'!$M$12))))))</f>
        <v>0.66</v>
      </c>
      <c r="AK120" s="344" t="str">
        <f>IF(T120="Air",'Catalogue Aluminium'!$N$9,IF(T120="GROUND",'Catalogue Aluminium'!$N$10,IF(T120="DUCT",'Catalogue Aluminium'!$N$11,IF(T120="TRENCH",'Catalogue Aluminium'!$N$12,"NA"))))</f>
        <v>NA</v>
      </c>
      <c r="AL120" s="344" t="str">
        <f>IF(T120="Air",(IF(U120="1C",'Catalogue Aluminium'!$O$9,'Catalogue Aluminium'!$P$9)),IF(T120="DUCT",(IF($U120="1C",'Catalogue Aluminium'!$O$10,'Catalogue Aluminium'!$P$10)),IF(T120="GROUND",(IF($U120="1C",'Catalogue Aluminium'!$O$11,'Catalogue Aluminium'!$P$11)),IF(T120="TRENCH",(IF($U120="1C",'Catalogue Aluminium'!$O$12,'Catalogue Aluminium'!$P$12))))))</f>
        <v>NA</v>
      </c>
      <c r="AM120" s="344" t="str">
        <f>IF(T120="AIR","NA",IF(T120="TRENCH","NA",IF(T120="DUCT",IF(U120="1C",VLOOKUP(V120,'Catalogue Aluminium'!$Q$9:$S$28,2,FALSE),VLOOKUP(V120,'Catalogue Aluminium'!$Q$9:$S$28,3)),IF(T120="GROUND",IF(U120="1C",VLOOKUP(V120,'Catalogue Aluminium'!$Q$9:$S$28,2,FALSE),VLOOKUP(V120,'Catalogue Aluminium'!$Q$9:$S$28,3))))))</f>
        <v>NA</v>
      </c>
      <c r="AN120" s="351">
        <f>IF(T120="AIR",AI120*AJ120,IF(T120="TRENCH",AI120*AJ120,IF(T120="DUCT",AJ120*AK120*AL120*AM120,IF(T120="GROUND",AJ120*AK120*AL120*AM120))))</f>
        <v>0.58740000000000003</v>
      </c>
      <c r="AO120" s="350">
        <f>Z120*AN120</f>
        <v>55.803000000000004</v>
      </c>
      <c r="AP120" s="349">
        <f>CEILING(((N120)/AO120),1)</f>
        <v>1</v>
      </c>
      <c r="AQ120" s="350" t="str">
        <f>IF(AO120*AP120&gt;=N120,"YES","NO")</f>
        <v>YES</v>
      </c>
      <c r="AR120" s="351">
        <f>SQRT(3)*AH120*N120*((AA120*L120)+(AB120*SIN(ACOS(L120))))*100/(AP120*K120*1000)</f>
        <v>0.78449660831369872</v>
      </c>
      <c r="AS120" s="343" t="str">
        <f t="shared" si="1217"/>
        <v>YES</v>
      </c>
      <c r="AT120" s="351" t="str">
        <f t="shared" si="1209"/>
        <v>NA</v>
      </c>
      <c r="AU120" s="343" t="str">
        <f t="shared" si="1210"/>
        <v>NA</v>
      </c>
      <c r="AV120" s="354" t="str">
        <f t="shared" si="1211"/>
        <v>1R x 0.6/1kV x 3.5C x 25 Sqmm</v>
      </c>
      <c r="AW120" s="354" t="str">
        <f t="shared" si="1212"/>
        <v>1R x 0.6/1kV x 3.5C x 25 Sqmm</v>
      </c>
      <c r="AX120" s="343">
        <f t="shared" si="1218"/>
        <v>150</v>
      </c>
      <c r="AY120" s="343"/>
      <c r="AZ120" s="343">
        <f t="shared" si="1219"/>
        <v>2</v>
      </c>
      <c r="BA120" s="356" t="str">
        <f t="shared" si="1220"/>
        <v>Q3RR1R1.A</v>
      </c>
      <c r="BB120" s="328">
        <f>VLOOKUP(W120,'Catalogue Aluminium'!$B$9:$H$93,7,FALSE)</f>
        <v>25</v>
      </c>
      <c r="BC120" s="328">
        <f t="shared" si="1221"/>
        <v>25</v>
      </c>
      <c r="BE120" s="336"/>
      <c r="BF120" s="336"/>
      <c r="BG120" s="336"/>
      <c r="BH120" s="336"/>
      <c r="BI120" s="336"/>
      <c r="BJ120" s="336"/>
      <c r="BK120" s="336"/>
      <c r="BL120" s="336"/>
      <c r="BM120" s="336"/>
      <c r="BN120" s="336"/>
      <c r="BO120" s="336"/>
      <c r="BP120" s="336"/>
      <c r="BQ120" s="336"/>
      <c r="BR120" s="336"/>
      <c r="BS120" s="336"/>
      <c r="BT120" s="336"/>
      <c r="BU120" s="336"/>
      <c r="BV120" s="336"/>
      <c r="BW120" s="336"/>
      <c r="BX120" s="336"/>
      <c r="BY120" s="336"/>
      <c r="BZ120" s="336"/>
      <c r="CA120" s="336"/>
      <c r="CB120" s="336"/>
      <c r="CC120" s="336"/>
      <c r="CD120" s="336"/>
      <c r="CE120" s="336"/>
      <c r="CF120" s="336"/>
      <c r="CG120" s="336"/>
      <c r="CH120" s="336"/>
      <c r="CI120" s="336"/>
      <c r="CJ120" s="336"/>
      <c r="CK120" s="336"/>
      <c r="CL120" s="336"/>
      <c r="CM120" s="336"/>
      <c r="CN120" s="336"/>
      <c r="CO120" s="336"/>
      <c r="CP120" s="336"/>
      <c r="CQ120" s="336"/>
      <c r="CR120" s="336"/>
      <c r="CS120" s="336"/>
      <c r="CT120" s="336"/>
      <c r="CU120" s="336"/>
      <c r="CV120" s="336"/>
      <c r="CW120" s="336"/>
      <c r="CX120" s="336"/>
      <c r="CY120" s="336"/>
      <c r="CZ120" s="336"/>
      <c r="DA120" s="336">
        <v>1</v>
      </c>
      <c r="DB120" s="336"/>
      <c r="DC120" s="336"/>
      <c r="DD120" s="336"/>
      <c r="DE120" s="336"/>
      <c r="DF120" s="336"/>
      <c r="DG120" s="336">
        <v>1</v>
      </c>
      <c r="DH120" s="336">
        <v>1</v>
      </c>
      <c r="DI120" s="336"/>
      <c r="DJ120" s="336">
        <v>1</v>
      </c>
      <c r="DK120" s="336"/>
      <c r="DL120" s="336"/>
      <c r="DM120" s="336"/>
      <c r="DN120" s="336"/>
      <c r="DO120" s="336"/>
      <c r="DP120" s="336"/>
      <c r="DQ120" s="336"/>
      <c r="DR120" s="336"/>
      <c r="DS120" s="336"/>
      <c r="DT120" s="336"/>
      <c r="DU120" s="336"/>
      <c r="DW120" s="336">
        <f t="shared" si="1022"/>
        <v>0</v>
      </c>
      <c r="DX120" s="336">
        <f t="shared" si="900"/>
        <v>0</v>
      </c>
      <c r="DY120" s="336">
        <f t="shared" si="901"/>
        <v>0</v>
      </c>
      <c r="DZ120" s="336">
        <f t="shared" si="902"/>
        <v>0</v>
      </c>
      <c r="EA120" s="336">
        <f t="shared" si="903"/>
        <v>0</v>
      </c>
      <c r="EB120" s="336">
        <f t="shared" si="904"/>
        <v>0</v>
      </c>
      <c r="EC120" s="336">
        <f t="shared" si="905"/>
        <v>0</v>
      </c>
      <c r="ED120" s="336">
        <f t="shared" si="906"/>
        <v>0</v>
      </c>
      <c r="EE120" s="336">
        <f t="shared" si="907"/>
        <v>0</v>
      </c>
      <c r="EF120" s="336">
        <f t="shared" si="908"/>
        <v>0</v>
      </c>
      <c r="EG120" s="336">
        <f t="shared" si="909"/>
        <v>0</v>
      </c>
      <c r="EH120" s="336">
        <f t="shared" si="910"/>
        <v>0</v>
      </c>
      <c r="EI120" s="336">
        <f t="shared" si="911"/>
        <v>0</v>
      </c>
      <c r="EJ120" s="336">
        <f t="shared" si="912"/>
        <v>0</v>
      </c>
      <c r="EK120" s="336">
        <f t="shared" si="913"/>
        <v>0</v>
      </c>
      <c r="EL120" s="336">
        <f t="shared" si="914"/>
        <v>0</v>
      </c>
      <c r="EM120" s="336">
        <f t="shared" si="915"/>
        <v>0</v>
      </c>
      <c r="EN120" s="336">
        <f t="shared" si="916"/>
        <v>0</v>
      </c>
      <c r="EO120" s="336">
        <f t="shared" si="917"/>
        <v>0</v>
      </c>
      <c r="EP120" s="336">
        <f t="shared" si="918"/>
        <v>0</v>
      </c>
      <c r="EQ120" s="336">
        <f t="shared" si="919"/>
        <v>0</v>
      </c>
      <c r="ER120" s="336">
        <f t="shared" si="920"/>
        <v>0</v>
      </c>
      <c r="ES120" s="336">
        <f t="shared" si="921"/>
        <v>0</v>
      </c>
      <c r="ET120" s="336">
        <f t="shared" si="921"/>
        <v>0</v>
      </c>
      <c r="EU120" s="336">
        <f t="shared" si="922"/>
        <v>0</v>
      </c>
      <c r="EV120" s="336">
        <f t="shared" si="923"/>
        <v>0</v>
      </c>
      <c r="EW120" s="336">
        <f t="shared" si="924"/>
        <v>0</v>
      </c>
      <c r="EX120" s="336">
        <f t="shared" si="925"/>
        <v>0</v>
      </c>
      <c r="EY120" s="336">
        <f t="shared" si="926"/>
        <v>0</v>
      </c>
      <c r="EZ120" s="336">
        <f t="shared" si="927"/>
        <v>0</v>
      </c>
      <c r="FA120" s="336">
        <f t="shared" si="928"/>
        <v>0</v>
      </c>
      <c r="FB120" s="336">
        <f t="shared" si="929"/>
        <v>0</v>
      </c>
      <c r="FC120" s="336">
        <f t="shared" si="930"/>
        <v>0</v>
      </c>
      <c r="FD120" s="336">
        <f t="shared" si="931"/>
        <v>0</v>
      </c>
      <c r="FE120" s="336">
        <f t="shared" si="932"/>
        <v>0</v>
      </c>
      <c r="FF120" s="336">
        <f t="shared" si="933"/>
        <v>0</v>
      </c>
      <c r="FG120" s="336">
        <f t="shared" si="934"/>
        <v>0</v>
      </c>
      <c r="FH120" s="336">
        <f t="shared" si="935"/>
        <v>0</v>
      </c>
      <c r="FI120" s="336">
        <f t="shared" si="936"/>
        <v>0</v>
      </c>
      <c r="FJ120" s="336">
        <f t="shared" si="937"/>
        <v>0</v>
      </c>
      <c r="FK120" s="336">
        <f t="shared" si="938"/>
        <v>0</v>
      </c>
      <c r="FL120" s="336">
        <f t="shared" si="939"/>
        <v>0</v>
      </c>
      <c r="FM120" s="336">
        <f t="shared" si="940"/>
        <v>0</v>
      </c>
      <c r="FN120" s="336">
        <f t="shared" si="941"/>
        <v>0</v>
      </c>
      <c r="FO120" s="336">
        <f t="shared" si="942"/>
        <v>0</v>
      </c>
      <c r="FP120" s="336">
        <f t="shared" si="943"/>
        <v>0</v>
      </c>
      <c r="FQ120" s="336">
        <f t="shared" si="944"/>
        <v>0</v>
      </c>
      <c r="FR120" s="336">
        <f t="shared" si="945"/>
        <v>0</v>
      </c>
      <c r="FS120" s="336">
        <f t="shared" si="946"/>
        <v>25</v>
      </c>
      <c r="FT120" s="336">
        <f t="shared" si="947"/>
        <v>0</v>
      </c>
      <c r="FU120" s="336">
        <f t="shared" si="1222"/>
        <v>0</v>
      </c>
      <c r="FV120" s="336">
        <f t="shared" si="1223"/>
        <v>0</v>
      </c>
      <c r="FW120" s="336">
        <f t="shared" si="1224"/>
        <v>0</v>
      </c>
      <c r="FX120" s="336">
        <f t="shared" si="1225"/>
        <v>0</v>
      </c>
      <c r="FY120" s="336">
        <f t="shared" si="948"/>
        <v>25</v>
      </c>
      <c r="FZ120" s="336">
        <f t="shared" si="949"/>
        <v>25</v>
      </c>
      <c r="GA120" s="336">
        <f t="shared" si="950"/>
        <v>0</v>
      </c>
      <c r="GB120" s="336">
        <f t="shared" si="951"/>
        <v>25</v>
      </c>
      <c r="GC120" s="336">
        <f t="shared" si="952"/>
        <v>0</v>
      </c>
      <c r="GD120" s="336">
        <f t="shared" si="953"/>
        <v>0</v>
      </c>
      <c r="GE120" s="336">
        <f t="shared" si="954"/>
        <v>0</v>
      </c>
      <c r="GF120" s="336">
        <f t="shared" si="955"/>
        <v>0</v>
      </c>
      <c r="GG120" s="336">
        <f t="shared" si="956"/>
        <v>0</v>
      </c>
      <c r="GH120" s="336">
        <f t="shared" si="957"/>
        <v>0</v>
      </c>
      <c r="GI120" s="336">
        <f t="shared" si="958"/>
        <v>0</v>
      </c>
      <c r="GJ120" s="336">
        <f t="shared" si="959"/>
        <v>0</v>
      </c>
      <c r="GK120" s="336">
        <f t="shared" si="960"/>
        <v>0</v>
      </c>
      <c r="GL120" s="336">
        <f t="shared" si="1226"/>
        <v>0</v>
      </c>
      <c r="GM120" s="336">
        <f t="shared" si="961"/>
        <v>0</v>
      </c>
    </row>
    <row r="121" spans="1:195" ht="20.100000000000001" customHeight="1">
      <c r="A121" s="337">
        <f t="shared" si="1227"/>
        <v>87</v>
      </c>
      <c r="B121" s="567" t="s">
        <v>1223</v>
      </c>
      <c r="C121" s="372" t="s">
        <v>1209</v>
      </c>
      <c r="D121" s="567" t="s">
        <v>1224</v>
      </c>
      <c r="E121" s="372" t="s">
        <v>1191</v>
      </c>
      <c r="F121" s="444"/>
      <c r="G121" s="337" t="s">
        <v>329</v>
      </c>
      <c r="H121" s="350">
        <v>5</v>
      </c>
      <c r="I121" s="337" t="s">
        <v>330</v>
      </c>
      <c r="J121" s="337" t="s">
        <v>331</v>
      </c>
      <c r="K121" s="343">
        <v>400</v>
      </c>
      <c r="L121" s="343">
        <v>0.85000000000000009</v>
      </c>
      <c r="M121" s="350">
        <v>0.95042105263157861</v>
      </c>
      <c r="N121" s="342">
        <f t="shared" si="1195"/>
        <v>8.9336133449992658</v>
      </c>
      <c r="O121" s="342">
        <f t="shared" si="1196"/>
        <v>0</v>
      </c>
      <c r="P121" s="343" t="str">
        <f t="shared" si="1197"/>
        <v>0.00</v>
      </c>
      <c r="Q121" s="350">
        <v>65</v>
      </c>
      <c r="R121" s="350">
        <v>0</v>
      </c>
      <c r="S121" s="350">
        <f t="shared" si="1198"/>
        <v>0</v>
      </c>
      <c r="T121" s="343" t="s">
        <v>332</v>
      </c>
      <c r="U121" s="350" t="s">
        <v>535</v>
      </c>
      <c r="V121" s="343">
        <v>25</v>
      </c>
      <c r="W121" s="343" t="str">
        <f t="shared" si="1199"/>
        <v>3.5C X 25</v>
      </c>
      <c r="X121" s="343" t="str">
        <f t="shared" si="1200"/>
        <v>3.5C X 25</v>
      </c>
      <c r="Y121" s="343" t="s">
        <v>358</v>
      </c>
      <c r="Z121" s="344">
        <f>IF(T121="AIR",VLOOKUP(W121,'Catalogue Aluminium'!$B$9:$G$93,2,FALSE),IF(T121="GROUND",VLOOKUP(W121,'Catalogue Aluminium'!$B$9:$G$93,3,FALSE),IF(T121="DUCT",VLOOKUP(W121,'Catalogue Aluminium'!$B$9:$G$93,4,FALSE),IF(T121="TRENCH",VLOOKUP(W121,'Catalogue Aluminium'!$B$9:$G$93,2,FALSE)))))</f>
        <v>95</v>
      </c>
      <c r="AA121" s="345">
        <f>VLOOKUP(W121,'Catalogue Aluminium'!$B$9:$G$93,5,FALSE)</f>
        <v>1.54</v>
      </c>
      <c r="AB121" s="345">
        <f>VLOOKUP(W121,'Catalogue Aluminium'!$B$9:$G$93,6,FALSE)</f>
        <v>8.1600000000000006E-2</v>
      </c>
      <c r="AC121" s="343">
        <f t="shared" si="1201"/>
        <v>23</v>
      </c>
      <c r="AD121" s="343">
        <f>12+58+20+54+35+2</f>
        <v>181</v>
      </c>
      <c r="AE121" s="343">
        <v>10</v>
      </c>
      <c r="AF121" s="343">
        <v>8</v>
      </c>
      <c r="AG121" s="343">
        <f t="shared" si="1202"/>
        <v>23</v>
      </c>
      <c r="AH121" s="347">
        <f t="shared" si="1203"/>
        <v>245</v>
      </c>
      <c r="AI121" s="344">
        <f>IF(T121="AIR",'Catalogue Aluminium'!$K$9,IF(T121="TRENCH",'Catalogue Aluminium'!$K$12,"NA"))</f>
        <v>0.89</v>
      </c>
      <c r="AJ121" s="342">
        <f>IF(T121="Air",(IF(U121="1C",'Catalogue Aluminium'!$L$9,'Catalogue Aluminium'!$M$9)),IF(T121="DUCT",(IF($U121="1C",'Catalogue Aluminium'!$L$10,'Catalogue Aluminium'!$M$10)),IF(T121="GROUND",(IF($U121="1C",'Catalogue Aluminium'!$L$11,'Catalogue Aluminium'!$M$11)),IF(T121="TRENCH",(IF($U121="1C",'Catalogue Aluminium'!$L$12,'Catalogue Aluminium'!$M$12))))))</f>
        <v>0.66</v>
      </c>
      <c r="AK121" s="344" t="str">
        <f>IF(T121="Air",'Catalogue Aluminium'!$N$9,IF(T121="GROUND",'Catalogue Aluminium'!$N$10,IF(T121="DUCT",'Catalogue Aluminium'!$N$11,IF(T121="TRENCH",'Catalogue Aluminium'!$N$12,"NA"))))</f>
        <v>NA</v>
      </c>
      <c r="AL121" s="344" t="str">
        <f>IF(T121="Air",(IF(U121="1C",'Catalogue Aluminium'!$O$9,'Catalogue Aluminium'!$P$9)),IF(T121="DUCT",(IF($U121="1C",'Catalogue Aluminium'!$O$10,'Catalogue Aluminium'!$P$10)),IF(T121="GROUND",(IF($U121="1C",'Catalogue Aluminium'!$O$11,'Catalogue Aluminium'!$P$11)),IF(T121="TRENCH",(IF($U121="1C",'Catalogue Aluminium'!$O$12,'Catalogue Aluminium'!$P$12))))))</f>
        <v>NA</v>
      </c>
      <c r="AM121" s="344" t="str">
        <f>IF(T121="AIR","NA",IF(T121="TRENCH","NA",IF(T121="DUCT",IF(U121="1C",VLOOKUP(V121,'Catalogue Aluminium'!$Q$9:$S$28,2,FALSE),VLOOKUP(V121,'Catalogue Aluminium'!$Q$9:$S$28,3)),IF(T121="GROUND",IF(U121="1C",VLOOKUP(V121,'Catalogue Aluminium'!$Q$9:$S$28,2,FALSE),VLOOKUP(V121,'Catalogue Aluminium'!$Q$9:$S$28,3))))))</f>
        <v>NA</v>
      </c>
      <c r="AN121" s="351">
        <f t="shared" si="1204"/>
        <v>0.58740000000000003</v>
      </c>
      <c r="AO121" s="350">
        <f t="shared" si="1205"/>
        <v>55.803000000000004</v>
      </c>
      <c r="AP121" s="349">
        <f t="shared" si="1206"/>
        <v>1</v>
      </c>
      <c r="AQ121" s="350" t="str">
        <f t="shared" si="1207"/>
        <v>YES</v>
      </c>
      <c r="AR121" s="351">
        <f t="shared" si="1208"/>
        <v>1.281344460245708</v>
      </c>
      <c r="AS121" s="343" t="str">
        <f t="shared" si="1217"/>
        <v>YES</v>
      </c>
      <c r="AT121" s="351" t="str">
        <f t="shared" si="1209"/>
        <v>NA</v>
      </c>
      <c r="AU121" s="343" t="str">
        <f t="shared" si="1210"/>
        <v>NA</v>
      </c>
      <c r="AV121" s="351" t="str">
        <f t="shared" si="1211"/>
        <v>1R x 0.6/1kV x 3.5C x 25 Sqmm</v>
      </c>
      <c r="AW121" s="351" t="str">
        <f t="shared" si="1212"/>
        <v>1R x 0.6/1kV x 3.5C x 25 Sqmm</v>
      </c>
      <c r="AX121" s="343">
        <f t="shared" si="1218"/>
        <v>245</v>
      </c>
      <c r="AY121" s="355"/>
      <c r="AZ121" s="355">
        <f t="shared" si="1219"/>
        <v>2</v>
      </c>
      <c r="BA121" s="356" t="str">
        <f t="shared" si="1220"/>
        <v>Q3RR1R2SS.A</v>
      </c>
      <c r="BB121" s="328">
        <f>VLOOKUP(W121,'Catalogue Aluminium'!$B$9:$H$93,7,FALSE)</f>
        <v>25</v>
      </c>
      <c r="BC121" s="328">
        <f t="shared" si="1221"/>
        <v>25</v>
      </c>
      <c r="BE121" s="336"/>
      <c r="BF121" s="336"/>
      <c r="BG121" s="336"/>
      <c r="BH121" s="336"/>
      <c r="BI121" s="336"/>
      <c r="BJ121" s="336"/>
      <c r="BK121" s="336"/>
      <c r="BL121" s="336"/>
      <c r="BM121" s="336"/>
      <c r="BN121" s="336"/>
      <c r="BO121" s="336"/>
      <c r="BP121" s="336"/>
      <c r="BQ121" s="336"/>
      <c r="BR121" s="336"/>
      <c r="BS121" s="336"/>
      <c r="BT121" s="336"/>
      <c r="BU121" s="336"/>
      <c r="BV121" s="336"/>
      <c r="BW121" s="336"/>
      <c r="BX121" s="336"/>
      <c r="BY121" s="336"/>
      <c r="BZ121" s="336"/>
      <c r="CA121" s="336"/>
      <c r="CB121" s="336"/>
      <c r="CC121" s="336"/>
      <c r="CD121" s="336"/>
      <c r="CE121" s="336"/>
      <c r="CF121" s="336"/>
      <c r="CG121" s="336"/>
      <c r="CH121" s="336"/>
      <c r="CI121" s="336"/>
      <c r="CJ121" s="336"/>
      <c r="CK121" s="336"/>
      <c r="CL121" s="336"/>
      <c r="CM121" s="336"/>
      <c r="CN121" s="336"/>
      <c r="CO121" s="336"/>
      <c r="CP121" s="336"/>
      <c r="CQ121" s="336"/>
      <c r="CR121" s="336"/>
      <c r="CS121" s="336"/>
      <c r="CT121" s="336"/>
      <c r="CU121" s="336"/>
      <c r="CV121" s="336"/>
      <c r="CW121" s="336"/>
      <c r="CX121" s="336"/>
      <c r="CY121" s="336"/>
      <c r="CZ121" s="336"/>
      <c r="DA121" s="336">
        <v>1</v>
      </c>
      <c r="DB121" s="336"/>
      <c r="DC121" s="336"/>
      <c r="DD121" s="336"/>
      <c r="DE121" s="336"/>
      <c r="DF121" s="336"/>
      <c r="DG121" s="336">
        <v>1</v>
      </c>
      <c r="DH121" s="336">
        <v>1</v>
      </c>
      <c r="DI121" s="336">
        <v>1</v>
      </c>
      <c r="DJ121" s="336"/>
      <c r="DK121" s="336"/>
      <c r="DL121" s="336">
        <v>1</v>
      </c>
      <c r="DM121" s="336">
        <v>1</v>
      </c>
      <c r="DN121" s="336"/>
      <c r="DO121" s="336"/>
      <c r="DP121" s="336"/>
      <c r="DQ121" s="336"/>
      <c r="DR121" s="336"/>
      <c r="DS121" s="336"/>
      <c r="DT121" s="336"/>
      <c r="DU121" s="336"/>
      <c r="DW121" s="336">
        <f t="shared" si="1022"/>
        <v>0</v>
      </c>
      <c r="DX121" s="336">
        <f t="shared" si="900"/>
        <v>0</v>
      </c>
      <c r="DY121" s="336">
        <f t="shared" si="901"/>
        <v>0</v>
      </c>
      <c r="DZ121" s="336">
        <f t="shared" si="902"/>
        <v>0</v>
      </c>
      <c r="EA121" s="336">
        <f t="shared" si="903"/>
        <v>0</v>
      </c>
      <c r="EB121" s="336">
        <f t="shared" si="904"/>
        <v>0</v>
      </c>
      <c r="EC121" s="336">
        <f t="shared" si="905"/>
        <v>0</v>
      </c>
      <c r="ED121" s="336">
        <f t="shared" si="906"/>
        <v>0</v>
      </c>
      <c r="EE121" s="336">
        <f t="shared" si="907"/>
        <v>0</v>
      </c>
      <c r="EF121" s="336">
        <f t="shared" si="908"/>
        <v>0</v>
      </c>
      <c r="EG121" s="336">
        <f t="shared" si="909"/>
        <v>0</v>
      </c>
      <c r="EH121" s="336">
        <f t="shared" si="910"/>
        <v>0</v>
      </c>
      <c r="EI121" s="336">
        <f t="shared" si="911"/>
        <v>0</v>
      </c>
      <c r="EJ121" s="336">
        <f t="shared" si="912"/>
        <v>0</v>
      </c>
      <c r="EK121" s="336">
        <f t="shared" si="913"/>
        <v>0</v>
      </c>
      <c r="EL121" s="336">
        <f t="shared" si="914"/>
        <v>0</v>
      </c>
      <c r="EM121" s="336">
        <f t="shared" si="915"/>
        <v>0</v>
      </c>
      <c r="EN121" s="336">
        <f t="shared" si="916"/>
        <v>0</v>
      </c>
      <c r="EO121" s="336">
        <f t="shared" si="917"/>
        <v>0</v>
      </c>
      <c r="EP121" s="336">
        <f t="shared" si="918"/>
        <v>0</v>
      </c>
      <c r="EQ121" s="336">
        <f t="shared" si="919"/>
        <v>0</v>
      </c>
      <c r="ER121" s="336">
        <f t="shared" si="920"/>
        <v>0</v>
      </c>
      <c r="ES121" s="336">
        <f t="shared" si="921"/>
        <v>0</v>
      </c>
      <c r="ET121" s="336">
        <f t="shared" si="921"/>
        <v>0</v>
      </c>
      <c r="EU121" s="336">
        <f t="shared" si="922"/>
        <v>0</v>
      </c>
      <c r="EV121" s="336">
        <f t="shared" si="923"/>
        <v>0</v>
      </c>
      <c r="EW121" s="336">
        <f t="shared" si="924"/>
        <v>0</v>
      </c>
      <c r="EX121" s="336">
        <f t="shared" si="925"/>
        <v>0</v>
      </c>
      <c r="EY121" s="336">
        <f t="shared" si="926"/>
        <v>0</v>
      </c>
      <c r="EZ121" s="336">
        <f t="shared" si="927"/>
        <v>0</v>
      </c>
      <c r="FA121" s="336">
        <f t="shared" si="928"/>
        <v>0</v>
      </c>
      <c r="FB121" s="336">
        <f t="shared" si="929"/>
        <v>0</v>
      </c>
      <c r="FC121" s="336">
        <f t="shared" si="930"/>
        <v>0</v>
      </c>
      <c r="FD121" s="336">
        <f t="shared" si="931"/>
        <v>0</v>
      </c>
      <c r="FE121" s="336">
        <f t="shared" si="932"/>
        <v>0</v>
      </c>
      <c r="FF121" s="336">
        <f t="shared" si="933"/>
        <v>0</v>
      </c>
      <c r="FG121" s="336">
        <f t="shared" si="934"/>
        <v>0</v>
      </c>
      <c r="FH121" s="336">
        <f t="shared" si="935"/>
        <v>0</v>
      </c>
      <c r="FI121" s="336">
        <f t="shared" si="936"/>
        <v>0</v>
      </c>
      <c r="FJ121" s="336">
        <f t="shared" si="937"/>
        <v>0</v>
      </c>
      <c r="FK121" s="336">
        <f t="shared" si="938"/>
        <v>0</v>
      </c>
      <c r="FL121" s="336">
        <f t="shared" si="939"/>
        <v>0</v>
      </c>
      <c r="FM121" s="336">
        <f t="shared" si="940"/>
        <v>0</v>
      </c>
      <c r="FN121" s="336">
        <f t="shared" si="941"/>
        <v>0</v>
      </c>
      <c r="FO121" s="336">
        <f t="shared" si="942"/>
        <v>0</v>
      </c>
      <c r="FP121" s="336">
        <f t="shared" si="943"/>
        <v>0</v>
      </c>
      <c r="FQ121" s="336">
        <f t="shared" si="944"/>
        <v>0</v>
      </c>
      <c r="FR121" s="336">
        <f t="shared" si="945"/>
        <v>0</v>
      </c>
      <c r="FS121" s="336">
        <f t="shared" si="946"/>
        <v>25</v>
      </c>
      <c r="FT121" s="336">
        <f t="shared" si="947"/>
        <v>0</v>
      </c>
      <c r="FU121" s="336">
        <f t="shared" si="1222"/>
        <v>0</v>
      </c>
      <c r="FV121" s="336">
        <f t="shared" si="1223"/>
        <v>0</v>
      </c>
      <c r="FW121" s="336">
        <f t="shared" si="1224"/>
        <v>0</v>
      </c>
      <c r="FX121" s="336">
        <f t="shared" si="1225"/>
        <v>0</v>
      </c>
      <c r="FY121" s="336">
        <f t="shared" si="948"/>
        <v>25</v>
      </c>
      <c r="FZ121" s="336">
        <f t="shared" si="949"/>
        <v>25</v>
      </c>
      <c r="GA121" s="336">
        <f t="shared" si="950"/>
        <v>25</v>
      </c>
      <c r="GB121" s="336">
        <f t="shared" si="951"/>
        <v>0</v>
      </c>
      <c r="GC121" s="336">
        <f t="shared" si="952"/>
        <v>0</v>
      </c>
      <c r="GD121" s="336">
        <f t="shared" si="953"/>
        <v>25</v>
      </c>
      <c r="GE121" s="336">
        <f t="shared" si="954"/>
        <v>25</v>
      </c>
      <c r="GF121" s="336">
        <f t="shared" si="955"/>
        <v>0</v>
      </c>
      <c r="GG121" s="336">
        <f t="shared" si="956"/>
        <v>0</v>
      </c>
      <c r="GH121" s="336">
        <f t="shared" si="957"/>
        <v>0</v>
      </c>
      <c r="GI121" s="336">
        <f t="shared" si="958"/>
        <v>0</v>
      </c>
      <c r="GJ121" s="336">
        <f t="shared" si="959"/>
        <v>0</v>
      </c>
      <c r="GK121" s="336">
        <f t="shared" si="960"/>
        <v>0</v>
      </c>
      <c r="GL121" s="336">
        <f t="shared" si="1226"/>
        <v>0</v>
      </c>
      <c r="GM121" s="336">
        <f t="shared" si="961"/>
        <v>0</v>
      </c>
    </row>
    <row r="122" spans="1:195" ht="20.100000000000001" customHeight="1">
      <c r="A122" s="337">
        <f t="shared" si="1227"/>
        <v>88</v>
      </c>
      <c r="B122" s="567" t="s">
        <v>1225</v>
      </c>
      <c r="C122" s="372" t="s">
        <v>1209</v>
      </c>
      <c r="D122" s="567" t="s">
        <v>1226</v>
      </c>
      <c r="E122" s="372" t="s">
        <v>1185</v>
      </c>
      <c r="F122" s="444"/>
      <c r="G122" s="337" t="s">
        <v>329</v>
      </c>
      <c r="H122" s="350">
        <v>5</v>
      </c>
      <c r="I122" s="337" t="s">
        <v>330</v>
      </c>
      <c r="J122" s="337" t="s">
        <v>331</v>
      </c>
      <c r="K122" s="343">
        <v>400</v>
      </c>
      <c r="L122" s="343">
        <v>0.85000000000000009</v>
      </c>
      <c r="M122" s="350">
        <v>0.95042105263157861</v>
      </c>
      <c r="N122" s="342">
        <f t="shared" si="1195"/>
        <v>8.9336133449992658</v>
      </c>
      <c r="O122" s="342">
        <f t="shared" si="1196"/>
        <v>0</v>
      </c>
      <c r="P122" s="343" t="str">
        <f t="shared" si="1197"/>
        <v>0.00</v>
      </c>
      <c r="Q122" s="350">
        <v>65</v>
      </c>
      <c r="R122" s="350">
        <v>0</v>
      </c>
      <c r="S122" s="350">
        <f t="shared" si="1198"/>
        <v>0</v>
      </c>
      <c r="T122" s="343" t="s">
        <v>332</v>
      </c>
      <c r="U122" s="350" t="s">
        <v>535</v>
      </c>
      <c r="V122" s="343">
        <v>25</v>
      </c>
      <c r="W122" s="343" t="str">
        <f t="shared" si="1199"/>
        <v>3.5C X 25</v>
      </c>
      <c r="X122" s="343" t="str">
        <f t="shared" si="1200"/>
        <v>3.5C X 25</v>
      </c>
      <c r="Y122" s="343" t="s">
        <v>358</v>
      </c>
      <c r="Z122" s="344">
        <f>IF(T122="AIR",VLOOKUP(W122,'Catalogue Aluminium'!$B$9:$G$93,2,FALSE),IF(T122="GROUND",VLOOKUP(W122,'Catalogue Aluminium'!$B$9:$G$93,3,FALSE),IF(T122="DUCT",VLOOKUP(W122,'Catalogue Aluminium'!$B$9:$G$93,4,FALSE),IF(T122="TRENCH",VLOOKUP(W122,'Catalogue Aluminium'!$B$9:$G$93,2,FALSE)))))</f>
        <v>95</v>
      </c>
      <c r="AA122" s="345">
        <f>VLOOKUP(W122,'Catalogue Aluminium'!$B$9:$G$93,5,FALSE)</f>
        <v>1.54</v>
      </c>
      <c r="AB122" s="345">
        <f>VLOOKUP(W122,'Catalogue Aluminium'!$B$9:$G$93,6,FALSE)</f>
        <v>8.1600000000000006E-2</v>
      </c>
      <c r="AC122" s="343">
        <f t="shared" si="1201"/>
        <v>23</v>
      </c>
      <c r="AD122" s="343">
        <f>12+58+20+52+2</f>
        <v>144</v>
      </c>
      <c r="AE122" s="343">
        <v>10</v>
      </c>
      <c r="AF122" s="343">
        <v>8</v>
      </c>
      <c r="AG122" s="343">
        <f t="shared" si="1202"/>
        <v>19</v>
      </c>
      <c r="AH122" s="347">
        <f t="shared" si="1203"/>
        <v>204</v>
      </c>
      <c r="AI122" s="344">
        <f>IF(T122="AIR",'Catalogue Aluminium'!$K$9,IF(T122="TRENCH",'Catalogue Aluminium'!$K$12,"NA"))</f>
        <v>0.89</v>
      </c>
      <c r="AJ122" s="342">
        <f>IF(T122="Air",(IF(U122="1C",'Catalogue Aluminium'!$L$9,'Catalogue Aluminium'!$M$9)),IF(T122="DUCT",(IF($U122="1C",'Catalogue Aluminium'!$L$10,'Catalogue Aluminium'!$M$10)),IF(T122="GROUND",(IF($U122="1C",'Catalogue Aluminium'!$L$11,'Catalogue Aluminium'!$M$11)),IF(T122="TRENCH",(IF($U122="1C",'Catalogue Aluminium'!$L$12,'Catalogue Aluminium'!$M$12))))))</f>
        <v>0.66</v>
      </c>
      <c r="AK122" s="344" t="str">
        <f>IF(T122="Air",'Catalogue Aluminium'!$N$9,IF(T122="GROUND",'Catalogue Aluminium'!$N$10,IF(T122="DUCT",'Catalogue Aluminium'!$N$11,IF(T122="TRENCH",'Catalogue Aluminium'!$N$12,"NA"))))</f>
        <v>NA</v>
      </c>
      <c r="AL122" s="344" t="str">
        <f>IF(T122="Air",(IF(U122="1C",'Catalogue Aluminium'!$O$9,'Catalogue Aluminium'!$P$9)),IF(T122="DUCT",(IF($U122="1C",'Catalogue Aluminium'!$O$10,'Catalogue Aluminium'!$P$10)),IF(T122="GROUND",(IF($U122="1C",'Catalogue Aluminium'!$O$11,'Catalogue Aluminium'!$P$11)),IF(T122="TRENCH",(IF($U122="1C",'Catalogue Aluminium'!$O$12,'Catalogue Aluminium'!$P$12))))))</f>
        <v>NA</v>
      </c>
      <c r="AM122" s="344" t="str">
        <f>IF(T122="AIR","NA",IF(T122="TRENCH","NA",IF(T122="DUCT",IF(U122="1C",VLOOKUP(V122,'Catalogue Aluminium'!$Q$9:$S$28,2,FALSE),VLOOKUP(V122,'Catalogue Aluminium'!$Q$9:$S$28,3)),IF(T122="GROUND",IF(U122="1C",VLOOKUP(V122,'Catalogue Aluminium'!$Q$9:$S$28,2,FALSE),VLOOKUP(V122,'Catalogue Aluminium'!$Q$9:$S$28,3))))))</f>
        <v>NA</v>
      </c>
      <c r="AN122" s="351">
        <f t="shared" si="1204"/>
        <v>0.58740000000000003</v>
      </c>
      <c r="AO122" s="350">
        <f t="shared" si="1205"/>
        <v>55.803000000000004</v>
      </c>
      <c r="AP122" s="349">
        <f t="shared" si="1206"/>
        <v>1</v>
      </c>
      <c r="AQ122" s="350" t="str">
        <f t="shared" si="1207"/>
        <v>YES</v>
      </c>
      <c r="AR122" s="351">
        <f t="shared" si="1208"/>
        <v>1.0669153873066304</v>
      </c>
      <c r="AS122" s="343" t="str">
        <f t="shared" si="1217"/>
        <v>YES</v>
      </c>
      <c r="AT122" s="351" t="str">
        <f t="shared" si="1209"/>
        <v>NA</v>
      </c>
      <c r="AU122" s="343" t="str">
        <f t="shared" si="1210"/>
        <v>NA</v>
      </c>
      <c r="AV122" s="354" t="str">
        <f t="shared" si="1211"/>
        <v>1R x 0.6/1kV x 3.5C x 25 Sqmm</v>
      </c>
      <c r="AW122" s="354" t="str">
        <f t="shared" si="1212"/>
        <v>1R x 0.6/1kV x 3.5C x 25 Sqmm</v>
      </c>
      <c r="AX122" s="343">
        <f t="shared" si="1218"/>
        <v>204</v>
      </c>
      <c r="AY122" s="355"/>
      <c r="AZ122" s="355">
        <f t="shared" si="1219"/>
        <v>2</v>
      </c>
      <c r="BA122" s="356" t="str">
        <f t="shared" si="1220"/>
        <v>Q3RR1R2SS1S1.A</v>
      </c>
      <c r="BB122" s="501">
        <f>VLOOKUP(W122,'Catalogue Aluminium'!$B$9:$H$93,7,FALSE)</f>
        <v>25</v>
      </c>
      <c r="BC122" s="328">
        <f t="shared" si="1221"/>
        <v>25</v>
      </c>
      <c r="BE122" s="336"/>
      <c r="BF122" s="336"/>
      <c r="BG122" s="336"/>
      <c r="BH122" s="336"/>
      <c r="BI122" s="336"/>
      <c r="BJ122" s="336"/>
      <c r="BK122" s="336"/>
      <c r="BL122" s="336"/>
      <c r="BM122" s="336"/>
      <c r="BN122" s="336"/>
      <c r="BO122" s="336"/>
      <c r="BP122" s="336"/>
      <c r="BQ122" s="336"/>
      <c r="BR122" s="336"/>
      <c r="BS122" s="336"/>
      <c r="BT122" s="336"/>
      <c r="BU122" s="336"/>
      <c r="BV122" s="336"/>
      <c r="BW122" s="336"/>
      <c r="BX122" s="336"/>
      <c r="BY122" s="336"/>
      <c r="BZ122" s="336"/>
      <c r="CA122" s="336"/>
      <c r="CB122" s="336"/>
      <c r="CC122" s="336"/>
      <c r="CD122" s="336"/>
      <c r="CE122" s="336"/>
      <c r="CF122" s="336"/>
      <c r="CG122" s="336"/>
      <c r="CH122" s="336"/>
      <c r="CI122" s="336"/>
      <c r="CJ122" s="336"/>
      <c r="CK122" s="336"/>
      <c r="CL122" s="336"/>
      <c r="CM122" s="336"/>
      <c r="CN122" s="336"/>
      <c r="CO122" s="336"/>
      <c r="CP122" s="336"/>
      <c r="CQ122" s="336"/>
      <c r="CR122" s="336"/>
      <c r="CS122" s="336"/>
      <c r="CT122" s="336"/>
      <c r="CU122" s="336"/>
      <c r="CV122" s="336"/>
      <c r="CW122" s="336"/>
      <c r="CX122" s="336"/>
      <c r="CY122" s="336"/>
      <c r="CZ122" s="336"/>
      <c r="DA122" s="336">
        <v>1</v>
      </c>
      <c r="DB122" s="336"/>
      <c r="DC122" s="336"/>
      <c r="DD122" s="336"/>
      <c r="DE122" s="336"/>
      <c r="DF122" s="336"/>
      <c r="DG122" s="336">
        <v>1</v>
      </c>
      <c r="DH122" s="336">
        <v>1</v>
      </c>
      <c r="DI122" s="336">
        <v>1</v>
      </c>
      <c r="DJ122" s="336"/>
      <c r="DK122" s="336"/>
      <c r="DL122" s="336">
        <v>1</v>
      </c>
      <c r="DM122" s="336"/>
      <c r="DN122" s="336"/>
      <c r="DO122" s="336">
        <v>1</v>
      </c>
      <c r="DP122" s="336">
        <v>1</v>
      </c>
      <c r="DQ122" s="336"/>
      <c r="DR122" s="336"/>
      <c r="DS122" s="336"/>
      <c r="DT122" s="336"/>
      <c r="DU122" s="336"/>
      <c r="DW122" s="336">
        <f t="shared" si="1022"/>
        <v>0</v>
      </c>
      <c r="DX122" s="336">
        <f t="shared" si="900"/>
        <v>0</v>
      </c>
      <c r="DY122" s="336">
        <f t="shared" si="901"/>
        <v>0</v>
      </c>
      <c r="DZ122" s="336">
        <f t="shared" si="902"/>
        <v>0</v>
      </c>
      <c r="EA122" s="336">
        <f t="shared" si="903"/>
        <v>0</v>
      </c>
      <c r="EB122" s="336">
        <f t="shared" si="904"/>
        <v>0</v>
      </c>
      <c r="EC122" s="336">
        <f t="shared" si="905"/>
        <v>0</v>
      </c>
      <c r="ED122" s="336">
        <f t="shared" si="906"/>
        <v>0</v>
      </c>
      <c r="EE122" s="336">
        <f t="shared" si="907"/>
        <v>0</v>
      </c>
      <c r="EF122" s="336">
        <f t="shared" si="908"/>
        <v>0</v>
      </c>
      <c r="EG122" s="336">
        <f t="shared" si="909"/>
        <v>0</v>
      </c>
      <c r="EH122" s="336">
        <f t="shared" si="910"/>
        <v>0</v>
      </c>
      <c r="EI122" s="336">
        <f t="shared" si="911"/>
        <v>0</v>
      </c>
      <c r="EJ122" s="336">
        <f t="shared" si="912"/>
        <v>0</v>
      </c>
      <c r="EK122" s="336">
        <f t="shared" si="913"/>
        <v>0</v>
      </c>
      <c r="EL122" s="336">
        <f t="shared" si="914"/>
        <v>0</v>
      </c>
      <c r="EM122" s="336">
        <f t="shared" si="915"/>
        <v>0</v>
      </c>
      <c r="EN122" s="336">
        <f t="shared" si="916"/>
        <v>0</v>
      </c>
      <c r="EO122" s="336">
        <f t="shared" si="917"/>
        <v>0</v>
      </c>
      <c r="EP122" s="336">
        <f t="shared" si="918"/>
        <v>0</v>
      </c>
      <c r="EQ122" s="336">
        <f t="shared" si="919"/>
        <v>0</v>
      </c>
      <c r="ER122" s="336">
        <f t="shared" si="920"/>
        <v>0</v>
      </c>
      <c r="ES122" s="336">
        <f t="shared" si="921"/>
        <v>0</v>
      </c>
      <c r="ET122" s="336">
        <f t="shared" si="921"/>
        <v>0</v>
      </c>
      <c r="EU122" s="336">
        <f t="shared" si="922"/>
        <v>0</v>
      </c>
      <c r="EV122" s="336">
        <f t="shared" si="923"/>
        <v>0</v>
      </c>
      <c r="EW122" s="336">
        <f t="shared" si="924"/>
        <v>0</v>
      </c>
      <c r="EX122" s="336">
        <f t="shared" si="925"/>
        <v>0</v>
      </c>
      <c r="EY122" s="336">
        <f t="shared" si="926"/>
        <v>0</v>
      </c>
      <c r="EZ122" s="336">
        <f t="shared" si="927"/>
        <v>0</v>
      </c>
      <c r="FA122" s="336">
        <f t="shared" si="928"/>
        <v>0</v>
      </c>
      <c r="FB122" s="336">
        <f t="shared" si="929"/>
        <v>0</v>
      </c>
      <c r="FC122" s="336">
        <f t="shared" si="930"/>
        <v>0</v>
      </c>
      <c r="FD122" s="336">
        <f t="shared" si="931"/>
        <v>0</v>
      </c>
      <c r="FE122" s="336">
        <f t="shared" si="932"/>
        <v>0</v>
      </c>
      <c r="FF122" s="336">
        <f t="shared" si="933"/>
        <v>0</v>
      </c>
      <c r="FG122" s="336">
        <f t="shared" si="934"/>
        <v>0</v>
      </c>
      <c r="FH122" s="336">
        <f t="shared" si="935"/>
        <v>0</v>
      </c>
      <c r="FI122" s="336">
        <f t="shared" si="936"/>
        <v>0</v>
      </c>
      <c r="FJ122" s="336">
        <f t="shared" si="937"/>
        <v>0</v>
      </c>
      <c r="FK122" s="336">
        <f t="shared" si="938"/>
        <v>0</v>
      </c>
      <c r="FL122" s="336">
        <f t="shared" si="939"/>
        <v>0</v>
      </c>
      <c r="FM122" s="336">
        <f t="shared" si="940"/>
        <v>0</v>
      </c>
      <c r="FN122" s="336">
        <f t="shared" si="941"/>
        <v>0</v>
      </c>
      <c r="FO122" s="336">
        <f t="shared" si="942"/>
        <v>0</v>
      </c>
      <c r="FP122" s="336">
        <f t="shared" si="943"/>
        <v>0</v>
      </c>
      <c r="FQ122" s="336">
        <f t="shared" si="944"/>
        <v>0</v>
      </c>
      <c r="FR122" s="336">
        <f t="shared" si="945"/>
        <v>0</v>
      </c>
      <c r="FS122" s="336">
        <f t="shared" si="946"/>
        <v>25</v>
      </c>
      <c r="FT122" s="336">
        <f t="shared" si="947"/>
        <v>0</v>
      </c>
      <c r="FU122" s="336">
        <f t="shared" si="1222"/>
        <v>0</v>
      </c>
      <c r="FV122" s="336">
        <f t="shared" si="1223"/>
        <v>0</v>
      </c>
      <c r="FW122" s="336">
        <f t="shared" si="1224"/>
        <v>0</v>
      </c>
      <c r="FX122" s="336">
        <f t="shared" si="1225"/>
        <v>0</v>
      </c>
      <c r="FY122" s="336">
        <f t="shared" si="948"/>
        <v>25</v>
      </c>
      <c r="FZ122" s="336">
        <f t="shared" si="949"/>
        <v>25</v>
      </c>
      <c r="GA122" s="336">
        <f t="shared" si="950"/>
        <v>25</v>
      </c>
      <c r="GB122" s="336">
        <f t="shared" si="951"/>
        <v>0</v>
      </c>
      <c r="GC122" s="336">
        <f t="shared" si="952"/>
        <v>0</v>
      </c>
      <c r="GD122" s="336">
        <f t="shared" si="953"/>
        <v>25</v>
      </c>
      <c r="GE122" s="336">
        <f t="shared" si="954"/>
        <v>0</v>
      </c>
      <c r="GF122" s="336">
        <f t="shared" si="955"/>
        <v>0</v>
      </c>
      <c r="GG122" s="336">
        <f t="shared" si="956"/>
        <v>25</v>
      </c>
      <c r="GH122" s="336">
        <f t="shared" si="957"/>
        <v>25</v>
      </c>
      <c r="GI122" s="336">
        <f t="shared" si="958"/>
        <v>0</v>
      </c>
      <c r="GJ122" s="336">
        <f t="shared" si="959"/>
        <v>0</v>
      </c>
      <c r="GK122" s="336">
        <f t="shared" si="960"/>
        <v>0</v>
      </c>
      <c r="GL122" s="336">
        <f t="shared" si="1226"/>
        <v>0</v>
      </c>
      <c r="GM122" s="336">
        <f t="shared" si="961"/>
        <v>0</v>
      </c>
    </row>
    <row r="123" spans="1:195" ht="20.100000000000001" customHeight="1">
      <c r="A123" s="337">
        <f t="shared" si="1227"/>
        <v>89</v>
      </c>
      <c r="B123" s="567" t="s">
        <v>1227</v>
      </c>
      <c r="C123" s="372" t="s">
        <v>1209</v>
      </c>
      <c r="D123" s="567" t="s">
        <v>1228</v>
      </c>
      <c r="E123" s="372" t="s">
        <v>1229</v>
      </c>
      <c r="F123" s="444"/>
      <c r="G123" s="337" t="s">
        <v>329</v>
      </c>
      <c r="H123" s="350">
        <v>5</v>
      </c>
      <c r="I123" s="337" t="s">
        <v>330</v>
      </c>
      <c r="J123" s="337" t="s">
        <v>331</v>
      </c>
      <c r="K123" s="343">
        <v>400</v>
      </c>
      <c r="L123" s="343">
        <v>0.85000000000000009</v>
      </c>
      <c r="M123" s="350">
        <v>0.95042105263157861</v>
      </c>
      <c r="N123" s="342">
        <f t="shared" ref="N123:N125" si="1229">IF(I123="kVA",IF(J123="3Ph",(H123*1000/(1.732*M123*K123)),(H123*1000/(M123*K123))),IF(I123="kW",IF(J123="3Ph",(H123*1000/(1.732*M123*K123*L123)),(H123*1000/(M123*K123*L123)))))</f>
        <v>8.9336133449992658</v>
      </c>
      <c r="O123" s="342">
        <f t="shared" si="1196"/>
        <v>0</v>
      </c>
      <c r="P123" s="343" t="str">
        <f t="shared" si="1197"/>
        <v>0.00</v>
      </c>
      <c r="Q123" s="350">
        <v>65</v>
      </c>
      <c r="R123" s="350">
        <v>0</v>
      </c>
      <c r="S123" s="350">
        <f t="shared" si="1198"/>
        <v>0</v>
      </c>
      <c r="T123" s="343" t="s">
        <v>332</v>
      </c>
      <c r="U123" s="350" t="s">
        <v>535</v>
      </c>
      <c r="V123" s="343">
        <v>25</v>
      </c>
      <c r="W123" s="343" t="str">
        <f t="shared" si="1199"/>
        <v>3.5C X 25</v>
      </c>
      <c r="X123" s="343" t="str">
        <f t="shared" si="1200"/>
        <v>3.5C X 25</v>
      </c>
      <c r="Y123" s="343" t="s">
        <v>358</v>
      </c>
      <c r="Z123" s="344">
        <f>IF(T123="AIR",VLOOKUP(W123,'Catalogue Aluminium'!$B$9:$G$93,2,FALSE),IF(T123="GROUND",VLOOKUP(W123,'Catalogue Aluminium'!$B$9:$G$93,3,FALSE),IF(T123="DUCT",VLOOKUP(W123,'Catalogue Aluminium'!$B$9:$G$93,4,FALSE),IF(T123="TRENCH",VLOOKUP(W123,'Catalogue Aluminium'!$B$9:$G$93,2,FALSE)))))</f>
        <v>95</v>
      </c>
      <c r="AA123" s="345">
        <f>VLOOKUP(W123,'Catalogue Aluminium'!$B$9:$G$93,5,FALSE)</f>
        <v>1.54</v>
      </c>
      <c r="AB123" s="345">
        <f>VLOOKUP(W123,'Catalogue Aluminium'!$B$9:$G$93,6,FALSE)</f>
        <v>8.1600000000000006E-2</v>
      </c>
      <c r="AC123" s="343">
        <f t="shared" si="1201"/>
        <v>23</v>
      </c>
      <c r="AD123" s="343">
        <f>12+58+20+54+41+2</f>
        <v>187</v>
      </c>
      <c r="AE123" s="343">
        <v>10</v>
      </c>
      <c r="AF123" s="343">
        <v>8</v>
      </c>
      <c r="AG123" s="343">
        <f t="shared" si="1202"/>
        <v>23</v>
      </c>
      <c r="AH123" s="347">
        <f t="shared" si="1203"/>
        <v>251</v>
      </c>
      <c r="AI123" s="344">
        <f>IF(T123="AIR",'Catalogue Aluminium'!$K$9,IF(T123="TRENCH",'Catalogue Aluminium'!$K$12,"NA"))</f>
        <v>0.89</v>
      </c>
      <c r="AJ123" s="342">
        <f>IF(T123="Air",(IF(U123="1C",'Catalogue Aluminium'!$L$9,'Catalogue Aluminium'!$M$9)),IF(T123="DUCT",(IF($U123="1C",'Catalogue Aluminium'!$L$10,'Catalogue Aluminium'!$M$10)),IF(T123="GROUND",(IF($U123="1C",'Catalogue Aluminium'!$L$11,'Catalogue Aluminium'!$M$11)),IF(T123="TRENCH",(IF($U123="1C",'Catalogue Aluminium'!$L$12,'Catalogue Aluminium'!$M$12))))))</f>
        <v>0.66</v>
      </c>
      <c r="AK123" s="344" t="str">
        <f>IF(T123="Air",'Catalogue Aluminium'!$N$9,IF(T123="GROUND",'Catalogue Aluminium'!$N$10,IF(T123="DUCT",'Catalogue Aluminium'!$N$11,IF(T123="TRENCH",'Catalogue Aluminium'!$N$12,"NA"))))</f>
        <v>NA</v>
      </c>
      <c r="AL123" s="344" t="str">
        <f>IF(T123="Air",(IF(U123="1C",'Catalogue Aluminium'!$O$9,'Catalogue Aluminium'!$P$9)),IF(T123="DUCT",(IF($U123="1C",'Catalogue Aluminium'!$O$10,'Catalogue Aluminium'!$P$10)),IF(T123="GROUND",(IF($U123="1C",'Catalogue Aluminium'!$O$11,'Catalogue Aluminium'!$P$11)),IF(T123="TRENCH",(IF($U123="1C",'Catalogue Aluminium'!$O$12,'Catalogue Aluminium'!$P$12))))))</f>
        <v>NA</v>
      </c>
      <c r="AM123" s="344" t="str">
        <f>IF(T123="AIR","NA",IF(T123="TRENCH","NA",IF(T123="DUCT",IF(U123="1C",VLOOKUP(V123,'Catalogue Aluminium'!$Q$9:$S$28,2,FALSE),VLOOKUP(V123,'Catalogue Aluminium'!$Q$9:$S$28,3)),IF(T123="GROUND",IF(U123="1C",VLOOKUP(V123,'Catalogue Aluminium'!$Q$9:$S$28,2,FALSE),VLOOKUP(V123,'Catalogue Aluminium'!$Q$9:$S$28,3))))))</f>
        <v>NA</v>
      </c>
      <c r="AN123" s="351">
        <f t="shared" si="1204"/>
        <v>0.58740000000000003</v>
      </c>
      <c r="AO123" s="350">
        <f t="shared" si="1205"/>
        <v>55.803000000000004</v>
      </c>
      <c r="AP123" s="349">
        <f t="shared" si="1206"/>
        <v>1</v>
      </c>
      <c r="AQ123" s="350" t="str">
        <f t="shared" si="1207"/>
        <v>YES</v>
      </c>
      <c r="AR123" s="351">
        <f t="shared" si="1208"/>
        <v>1.3127243245782558</v>
      </c>
      <c r="AS123" s="343" t="str">
        <f t="shared" si="1217"/>
        <v>YES</v>
      </c>
      <c r="AT123" s="351" t="str">
        <f t="shared" si="1209"/>
        <v>NA</v>
      </c>
      <c r="AU123" s="343" t="str">
        <f t="shared" si="1210"/>
        <v>NA</v>
      </c>
      <c r="AV123" s="354" t="str">
        <f t="shared" si="1211"/>
        <v>1R x 0.6/1kV x 3.5C x 25 Sqmm</v>
      </c>
      <c r="AW123" s="354" t="str">
        <f t="shared" si="1212"/>
        <v>1R x 0.6/1kV x 3.5C x 25 Sqmm</v>
      </c>
      <c r="AX123" s="343">
        <f t="shared" si="1218"/>
        <v>251</v>
      </c>
      <c r="AY123" s="355"/>
      <c r="AZ123" s="355">
        <f t="shared" si="1219"/>
        <v>2</v>
      </c>
      <c r="BA123" s="356" t="str">
        <f t="shared" si="1220"/>
        <v>Q3RR1R2SS1TTA</v>
      </c>
      <c r="BB123" s="501">
        <f>VLOOKUP(W123,'Catalogue Aluminium'!$B$9:$H$93,7,FALSE)</f>
        <v>25</v>
      </c>
      <c r="BC123" s="328">
        <f t="shared" si="1221"/>
        <v>25</v>
      </c>
      <c r="BE123" s="336"/>
      <c r="BF123" s="336"/>
      <c r="BG123" s="336"/>
      <c r="BH123" s="336"/>
      <c r="BI123" s="336"/>
      <c r="BJ123" s="336"/>
      <c r="BK123" s="336"/>
      <c r="BL123" s="336"/>
      <c r="BM123" s="336"/>
      <c r="BN123" s="336"/>
      <c r="BO123" s="336"/>
      <c r="BP123" s="336"/>
      <c r="BQ123" s="336"/>
      <c r="BR123" s="336"/>
      <c r="BS123" s="336"/>
      <c r="BT123" s="336"/>
      <c r="BU123" s="336"/>
      <c r="BV123" s="336"/>
      <c r="BW123" s="336"/>
      <c r="BX123" s="336"/>
      <c r="BY123" s="336"/>
      <c r="BZ123" s="336"/>
      <c r="CA123" s="336"/>
      <c r="CB123" s="336"/>
      <c r="CC123" s="336"/>
      <c r="CD123" s="336"/>
      <c r="CE123" s="336"/>
      <c r="CF123" s="336"/>
      <c r="CG123" s="336"/>
      <c r="CH123" s="336"/>
      <c r="CI123" s="336"/>
      <c r="CJ123" s="336"/>
      <c r="CK123" s="336"/>
      <c r="CL123" s="336"/>
      <c r="CM123" s="336"/>
      <c r="CN123" s="336"/>
      <c r="CO123" s="336"/>
      <c r="CP123" s="336"/>
      <c r="CQ123" s="336"/>
      <c r="CR123" s="336"/>
      <c r="CS123" s="336"/>
      <c r="CT123" s="336"/>
      <c r="CU123" s="336"/>
      <c r="CV123" s="336"/>
      <c r="CW123" s="336"/>
      <c r="CX123" s="336"/>
      <c r="CY123" s="336"/>
      <c r="CZ123" s="336"/>
      <c r="DA123" s="336">
        <v>1</v>
      </c>
      <c r="DB123" s="336"/>
      <c r="DC123" s="336"/>
      <c r="DD123" s="336"/>
      <c r="DE123" s="336"/>
      <c r="DF123" s="336"/>
      <c r="DG123" s="336">
        <v>1</v>
      </c>
      <c r="DH123" s="336">
        <v>1</v>
      </c>
      <c r="DI123" s="336">
        <v>1</v>
      </c>
      <c r="DJ123" s="336"/>
      <c r="DK123" s="336"/>
      <c r="DL123" s="336">
        <v>1</v>
      </c>
      <c r="DM123" s="336"/>
      <c r="DN123" s="336"/>
      <c r="DO123" s="336">
        <v>1</v>
      </c>
      <c r="DP123" s="336"/>
      <c r="DQ123" s="336">
        <v>1</v>
      </c>
      <c r="DR123" s="336"/>
      <c r="DS123" s="336">
        <v>1</v>
      </c>
      <c r="DT123" s="336"/>
      <c r="DU123" s="336"/>
      <c r="DW123" s="336">
        <f t="shared" si="1022"/>
        <v>0</v>
      </c>
      <c r="DX123" s="336">
        <f t="shared" si="900"/>
        <v>0</v>
      </c>
      <c r="DY123" s="336">
        <f t="shared" si="901"/>
        <v>0</v>
      </c>
      <c r="DZ123" s="336">
        <f t="shared" si="902"/>
        <v>0</v>
      </c>
      <c r="EA123" s="336">
        <f t="shared" si="903"/>
        <v>0</v>
      </c>
      <c r="EB123" s="336">
        <f t="shared" si="904"/>
        <v>0</v>
      </c>
      <c r="EC123" s="336">
        <f t="shared" si="905"/>
        <v>0</v>
      </c>
      <c r="ED123" s="336">
        <f t="shared" si="906"/>
        <v>0</v>
      </c>
      <c r="EE123" s="336">
        <f t="shared" si="907"/>
        <v>0</v>
      </c>
      <c r="EF123" s="336">
        <f t="shared" si="908"/>
        <v>0</v>
      </c>
      <c r="EG123" s="336">
        <f t="shared" si="909"/>
        <v>0</v>
      </c>
      <c r="EH123" s="336">
        <f t="shared" si="910"/>
        <v>0</v>
      </c>
      <c r="EI123" s="336">
        <f t="shared" si="911"/>
        <v>0</v>
      </c>
      <c r="EJ123" s="336">
        <f t="shared" si="912"/>
        <v>0</v>
      </c>
      <c r="EK123" s="336">
        <f t="shared" si="913"/>
        <v>0</v>
      </c>
      <c r="EL123" s="336">
        <f t="shared" si="914"/>
        <v>0</v>
      </c>
      <c r="EM123" s="336">
        <f t="shared" si="915"/>
        <v>0</v>
      </c>
      <c r="EN123" s="336">
        <f t="shared" si="916"/>
        <v>0</v>
      </c>
      <c r="EO123" s="336">
        <f t="shared" si="917"/>
        <v>0</v>
      </c>
      <c r="EP123" s="336">
        <f t="shared" si="918"/>
        <v>0</v>
      </c>
      <c r="EQ123" s="336">
        <f t="shared" si="919"/>
        <v>0</v>
      </c>
      <c r="ER123" s="336">
        <f t="shared" si="920"/>
        <v>0</v>
      </c>
      <c r="ES123" s="336">
        <f t="shared" si="921"/>
        <v>0</v>
      </c>
      <c r="ET123" s="336">
        <f t="shared" si="921"/>
        <v>0</v>
      </c>
      <c r="EU123" s="336">
        <f t="shared" si="922"/>
        <v>0</v>
      </c>
      <c r="EV123" s="336">
        <f t="shared" si="923"/>
        <v>0</v>
      </c>
      <c r="EW123" s="336">
        <f t="shared" si="924"/>
        <v>0</v>
      </c>
      <c r="EX123" s="336">
        <f t="shared" si="925"/>
        <v>0</v>
      </c>
      <c r="EY123" s="336">
        <f t="shared" si="926"/>
        <v>0</v>
      </c>
      <c r="EZ123" s="336">
        <f t="shared" si="927"/>
        <v>0</v>
      </c>
      <c r="FA123" s="336">
        <f t="shared" si="928"/>
        <v>0</v>
      </c>
      <c r="FB123" s="336">
        <f t="shared" si="929"/>
        <v>0</v>
      </c>
      <c r="FC123" s="336">
        <f t="shared" si="930"/>
        <v>0</v>
      </c>
      <c r="FD123" s="336">
        <f t="shared" si="931"/>
        <v>0</v>
      </c>
      <c r="FE123" s="336">
        <f t="shared" si="932"/>
        <v>0</v>
      </c>
      <c r="FF123" s="336">
        <f t="shared" si="933"/>
        <v>0</v>
      </c>
      <c r="FG123" s="336">
        <f t="shared" si="934"/>
        <v>0</v>
      </c>
      <c r="FH123" s="336">
        <f t="shared" si="935"/>
        <v>0</v>
      </c>
      <c r="FI123" s="336">
        <f t="shared" si="936"/>
        <v>0</v>
      </c>
      <c r="FJ123" s="336">
        <f t="shared" si="937"/>
        <v>0</v>
      </c>
      <c r="FK123" s="336">
        <f t="shared" si="938"/>
        <v>0</v>
      </c>
      <c r="FL123" s="336">
        <f t="shared" si="939"/>
        <v>0</v>
      </c>
      <c r="FM123" s="336">
        <f t="shared" si="940"/>
        <v>0</v>
      </c>
      <c r="FN123" s="336">
        <f t="shared" si="941"/>
        <v>0</v>
      </c>
      <c r="FO123" s="336">
        <f t="shared" si="942"/>
        <v>0</v>
      </c>
      <c r="FP123" s="336">
        <f t="shared" si="943"/>
        <v>0</v>
      </c>
      <c r="FQ123" s="336">
        <f t="shared" si="944"/>
        <v>0</v>
      </c>
      <c r="FR123" s="336">
        <f t="shared" si="945"/>
        <v>0</v>
      </c>
      <c r="FS123" s="336">
        <f t="shared" si="946"/>
        <v>25</v>
      </c>
      <c r="FT123" s="336">
        <f t="shared" si="947"/>
        <v>0</v>
      </c>
      <c r="FU123" s="336">
        <f t="shared" si="1222"/>
        <v>0</v>
      </c>
      <c r="FV123" s="336">
        <f t="shared" si="1223"/>
        <v>0</v>
      </c>
      <c r="FW123" s="336">
        <f t="shared" si="1224"/>
        <v>0</v>
      </c>
      <c r="FX123" s="336">
        <f t="shared" si="1225"/>
        <v>0</v>
      </c>
      <c r="FY123" s="336">
        <f t="shared" si="948"/>
        <v>25</v>
      </c>
      <c r="FZ123" s="336">
        <f t="shared" si="949"/>
        <v>25</v>
      </c>
      <c r="GA123" s="336">
        <f t="shared" si="950"/>
        <v>25</v>
      </c>
      <c r="GB123" s="336">
        <f t="shared" si="951"/>
        <v>0</v>
      </c>
      <c r="GC123" s="336">
        <f t="shared" si="952"/>
        <v>0</v>
      </c>
      <c r="GD123" s="336">
        <f t="shared" si="953"/>
        <v>25</v>
      </c>
      <c r="GE123" s="336">
        <f t="shared" si="954"/>
        <v>0</v>
      </c>
      <c r="GF123" s="336">
        <f t="shared" si="955"/>
        <v>0</v>
      </c>
      <c r="GG123" s="336">
        <f t="shared" si="956"/>
        <v>25</v>
      </c>
      <c r="GH123" s="336">
        <f t="shared" si="957"/>
        <v>0</v>
      </c>
      <c r="GI123" s="336">
        <f t="shared" si="958"/>
        <v>25</v>
      </c>
      <c r="GJ123" s="336">
        <f t="shared" si="959"/>
        <v>0</v>
      </c>
      <c r="GK123" s="336">
        <f t="shared" si="960"/>
        <v>25</v>
      </c>
      <c r="GL123" s="336">
        <f t="shared" si="1226"/>
        <v>0</v>
      </c>
      <c r="GM123" s="336">
        <f t="shared" si="961"/>
        <v>0</v>
      </c>
    </row>
    <row r="124" spans="1:195" ht="27" customHeight="1">
      <c r="A124" s="337">
        <f t="shared" si="1227"/>
        <v>90</v>
      </c>
      <c r="B124" s="567" t="s">
        <v>1230</v>
      </c>
      <c r="C124" s="372" t="s">
        <v>1209</v>
      </c>
      <c r="D124" s="567" t="s">
        <v>1231</v>
      </c>
      <c r="E124" s="372" t="s">
        <v>1194</v>
      </c>
      <c r="F124" s="444"/>
      <c r="G124" s="337" t="s">
        <v>329</v>
      </c>
      <c r="H124" s="350">
        <v>5</v>
      </c>
      <c r="I124" s="337" t="s">
        <v>330</v>
      </c>
      <c r="J124" s="337" t="s">
        <v>331</v>
      </c>
      <c r="K124" s="343">
        <v>400</v>
      </c>
      <c r="L124" s="343">
        <v>0.85000000000000009</v>
      </c>
      <c r="M124" s="350">
        <v>0.95042105263157861</v>
      </c>
      <c r="N124" s="342">
        <f t="shared" si="1229"/>
        <v>8.9336133449992658</v>
      </c>
      <c r="O124" s="342">
        <f t="shared" si="1196"/>
        <v>0</v>
      </c>
      <c r="P124" s="343" t="str">
        <f t="shared" si="1197"/>
        <v>0.00</v>
      </c>
      <c r="Q124" s="350">
        <v>65</v>
      </c>
      <c r="R124" s="350">
        <v>0</v>
      </c>
      <c r="S124" s="350">
        <f t="shared" si="1198"/>
        <v>0</v>
      </c>
      <c r="T124" s="343" t="s">
        <v>332</v>
      </c>
      <c r="U124" s="350" t="s">
        <v>535</v>
      </c>
      <c r="V124" s="343">
        <v>25</v>
      </c>
      <c r="W124" s="343" t="str">
        <f t="shared" si="1199"/>
        <v>3.5C X 25</v>
      </c>
      <c r="X124" s="343" t="str">
        <f t="shared" si="1200"/>
        <v>3.5C X 25</v>
      </c>
      <c r="Y124" s="343" t="s">
        <v>358</v>
      </c>
      <c r="Z124" s="344">
        <f>IF(T124="AIR",VLOOKUP(W124,'Catalogue Aluminium'!$B$9:$G$93,2,FALSE),IF(T124="GROUND",VLOOKUP(W124,'Catalogue Aluminium'!$B$9:$G$93,3,FALSE),IF(T124="DUCT",VLOOKUP(W124,'Catalogue Aluminium'!$B$9:$G$93,4,FALSE),IF(T124="TRENCH",VLOOKUP(W124,'Catalogue Aluminium'!$B$9:$G$93,2,FALSE)))))</f>
        <v>95</v>
      </c>
      <c r="AA124" s="345">
        <f>VLOOKUP(W124,'Catalogue Aluminium'!$B$9:$G$93,5,FALSE)</f>
        <v>1.54</v>
      </c>
      <c r="AB124" s="345">
        <f>VLOOKUP(W124,'Catalogue Aluminium'!$B$9:$G$93,6,FALSE)</f>
        <v>8.1600000000000006E-2</v>
      </c>
      <c r="AC124" s="343">
        <f t="shared" si="1201"/>
        <v>23</v>
      </c>
      <c r="AD124" s="343">
        <f>12+58+20+54+55+2</f>
        <v>201</v>
      </c>
      <c r="AE124" s="343">
        <v>10</v>
      </c>
      <c r="AF124" s="343">
        <v>8</v>
      </c>
      <c r="AG124" s="343">
        <f t="shared" si="1202"/>
        <v>25</v>
      </c>
      <c r="AH124" s="347">
        <f t="shared" si="1203"/>
        <v>267</v>
      </c>
      <c r="AI124" s="344">
        <f>IF(T124="AIR",'Catalogue Aluminium'!$K$9,IF(T124="TRENCH",'Catalogue Aluminium'!$K$12,"NA"))</f>
        <v>0.89</v>
      </c>
      <c r="AJ124" s="342">
        <f>IF(T124="Air",(IF(U124="1C",'Catalogue Aluminium'!$L$9,'Catalogue Aluminium'!$M$9)),IF(T124="DUCT",(IF($U124="1C",'Catalogue Aluminium'!$L$10,'Catalogue Aluminium'!$M$10)),IF(T124="GROUND",(IF($U124="1C",'Catalogue Aluminium'!$L$11,'Catalogue Aluminium'!$M$11)),IF(T124="TRENCH",(IF($U124="1C",'Catalogue Aluminium'!$L$12,'Catalogue Aluminium'!$M$12))))))</f>
        <v>0.66</v>
      </c>
      <c r="AK124" s="344" t="str">
        <f>IF(T124="Air",'Catalogue Aluminium'!$N$9,IF(T124="GROUND",'Catalogue Aluminium'!$N$10,IF(T124="DUCT",'Catalogue Aluminium'!$N$11,IF(T124="TRENCH",'Catalogue Aluminium'!$N$12,"NA"))))</f>
        <v>NA</v>
      </c>
      <c r="AL124" s="344" t="str">
        <f>IF(T124="Air",(IF(U124="1C",'Catalogue Aluminium'!$O$9,'Catalogue Aluminium'!$P$9)),IF(T124="DUCT",(IF($U124="1C",'Catalogue Aluminium'!$O$10,'Catalogue Aluminium'!$P$10)),IF(T124="GROUND",(IF($U124="1C",'Catalogue Aluminium'!$O$11,'Catalogue Aluminium'!$P$11)),IF(T124="TRENCH",(IF($U124="1C",'Catalogue Aluminium'!$O$12,'Catalogue Aluminium'!$P$12))))))</f>
        <v>NA</v>
      </c>
      <c r="AM124" s="344" t="str">
        <f>IF(T124="AIR","NA",IF(T124="TRENCH","NA",IF(T124="DUCT",IF(U124="1C",VLOOKUP(V124,'Catalogue Aluminium'!$Q$9:$S$28,2,FALSE),VLOOKUP(V124,'Catalogue Aluminium'!$Q$9:$S$28,3)),IF(T124="GROUND",IF(U124="1C",VLOOKUP(V124,'Catalogue Aluminium'!$Q$9:$S$28,2,FALSE),VLOOKUP(V124,'Catalogue Aluminium'!$Q$9:$S$28,3))))))</f>
        <v>NA</v>
      </c>
      <c r="AN124" s="351">
        <f t="shared" si="1204"/>
        <v>0.58740000000000003</v>
      </c>
      <c r="AO124" s="350">
        <f t="shared" si="1205"/>
        <v>55.803000000000004</v>
      </c>
      <c r="AP124" s="349">
        <f t="shared" si="1206"/>
        <v>1</v>
      </c>
      <c r="AQ124" s="350" t="str">
        <f t="shared" si="1207"/>
        <v>YES</v>
      </c>
      <c r="AR124" s="351">
        <f t="shared" si="1208"/>
        <v>1.3964039627983835</v>
      </c>
      <c r="AS124" s="343" t="str">
        <f t="shared" si="1217"/>
        <v>YES</v>
      </c>
      <c r="AT124" s="351" t="str">
        <f t="shared" si="1209"/>
        <v>NA</v>
      </c>
      <c r="AU124" s="343" t="str">
        <f t="shared" si="1210"/>
        <v>NA</v>
      </c>
      <c r="AV124" s="354" t="str">
        <f t="shared" si="1211"/>
        <v>1R x 0.6/1kV x 3.5C x 25 Sqmm</v>
      </c>
      <c r="AW124" s="354" t="str">
        <f t="shared" si="1212"/>
        <v>1R x 0.6/1kV x 3.5C x 25 Sqmm</v>
      </c>
      <c r="AX124" s="343">
        <f t="shared" si="1218"/>
        <v>267</v>
      </c>
      <c r="AY124" s="355"/>
      <c r="AZ124" s="355">
        <f t="shared" si="1219"/>
        <v>2</v>
      </c>
      <c r="BA124" s="356" t="str">
        <f t="shared" si="1220"/>
        <v>Q3RR1R2SS1TT1T1.A</v>
      </c>
      <c r="BB124" s="501">
        <f>VLOOKUP(W124,'Catalogue Aluminium'!$B$9:$H$93,7,FALSE)</f>
        <v>25</v>
      </c>
      <c r="BC124" s="328">
        <f t="shared" si="1221"/>
        <v>25</v>
      </c>
      <c r="BE124" s="336"/>
      <c r="BF124" s="336"/>
      <c r="BG124" s="336"/>
      <c r="BH124" s="336"/>
      <c r="BI124" s="336"/>
      <c r="BJ124" s="336"/>
      <c r="BK124" s="336"/>
      <c r="BL124" s="336"/>
      <c r="BM124" s="336"/>
      <c r="BN124" s="336"/>
      <c r="BO124" s="336"/>
      <c r="BP124" s="336"/>
      <c r="BQ124" s="336"/>
      <c r="BR124" s="336"/>
      <c r="BS124" s="336"/>
      <c r="BT124" s="336"/>
      <c r="BU124" s="336"/>
      <c r="BV124" s="336"/>
      <c r="BW124" s="336"/>
      <c r="BX124" s="336"/>
      <c r="BY124" s="336"/>
      <c r="BZ124" s="336"/>
      <c r="CA124" s="336"/>
      <c r="CB124" s="336"/>
      <c r="CC124" s="336"/>
      <c r="CD124" s="336"/>
      <c r="CE124" s="336"/>
      <c r="CF124" s="336"/>
      <c r="CG124" s="336"/>
      <c r="CH124" s="336"/>
      <c r="CI124" s="336"/>
      <c r="CJ124" s="336"/>
      <c r="CK124" s="336"/>
      <c r="CL124" s="336"/>
      <c r="CM124" s="336"/>
      <c r="CN124" s="336"/>
      <c r="CO124" s="336"/>
      <c r="CP124" s="336"/>
      <c r="CQ124" s="336"/>
      <c r="CR124" s="336"/>
      <c r="CS124" s="336"/>
      <c r="CT124" s="336"/>
      <c r="CU124" s="336"/>
      <c r="CV124" s="336"/>
      <c r="CW124" s="336"/>
      <c r="CX124" s="336"/>
      <c r="CY124" s="336"/>
      <c r="CZ124" s="336"/>
      <c r="DA124" s="336">
        <v>1</v>
      </c>
      <c r="DB124" s="336"/>
      <c r="DC124" s="336"/>
      <c r="DD124" s="336"/>
      <c r="DE124" s="336"/>
      <c r="DF124" s="336"/>
      <c r="DG124" s="336">
        <v>1</v>
      </c>
      <c r="DH124" s="336">
        <v>1</v>
      </c>
      <c r="DI124" s="336">
        <v>1</v>
      </c>
      <c r="DJ124" s="336"/>
      <c r="DK124" s="336"/>
      <c r="DL124" s="336">
        <v>1</v>
      </c>
      <c r="DM124" s="336"/>
      <c r="DN124" s="336"/>
      <c r="DO124" s="336">
        <v>1</v>
      </c>
      <c r="DP124" s="336"/>
      <c r="DQ124" s="336">
        <v>1</v>
      </c>
      <c r="DR124" s="336">
        <v>1</v>
      </c>
      <c r="DS124" s="336"/>
      <c r="DT124" s="336">
        <v>1</v>
      </c>
      <c r="DU124" s="336"/>
      <c r="DW124" s="336">
        <f t="shared" si="1022"/>
        <v>0</v>
      </c>
      <c r="DX124" s="336">
        <f t="shared" si="900"/>
        <v>0</v>
      </c>
      <c r="DY124" s="336">
        <f t="shared" si="901"/>
        <v>0</v>
      </c>
      <c r="DZ124" s="336">
        <f t="shared" si="902"/>
        <v>0</v>
      </c>
      <c r="EA124" s="336">
        <f t="shared" si="903"/>
        <v>0</v>
      </c>
      <c r="EB124" s="336">
        <f t="shared" si="904"/>
        <v>0</v>
      </c>
      <c r="EC124" s="336">
        <f t="shared" si="905"/>
        <v>0</v>
      </c>
      <c r="ED124" s="336">
        <f t="shared" si="906"/>
        <v>0</v>
      </c>
      <c r="EE124" s="336">
        <f t="shared" si="907"/>
        <v>0</v>
      </c>
      <c r="EF124" s="336">
        <f t="shared" si="908"/>
        <v>0</v>
      </c>
      <c r="EG124" s="336">
        <f t="shared" si="909"/>
        <v>0</v>
      </c>
      <c r="EH124" s="336">
        <f t="shared" si="910"/>
        <v>0</v>
      </c>
      <c r="EI124" s="336">
        <f t="shared" si="911"/>
        <v>0</v>
      </c>
      <c r="EJ124" s="336">
        <f t="shared" si="912"/>
        <v>0</v>
      </c>
      <c r="EK124" s="336">
        <f t="shared" si="913"/>
        <v>0</v>
      </c>
      <c r="EL124" s="336">
        <f t="shared" si="914"/>
        <v>0</v>
      </c>
      <c r="EM124" s="336">
        <f t="shared" si="915"/>
        <v>0</v>
      </c>
      <c r="EN124" s="336">
        <f t="shared" si="916"/>
        <v>0</v>
      </c>
      <c r="EO124" s="336">
        <f t="shared" si="917"/>
        <v>0</v>
      </c>
      <c r="EP124" s="336">
        <f t="shared" si="918"/>
        <v>0</v>
      </c>
      <c r="EQ124" s="336">
        <f t="shared" si="919"/>
        <v>0</v>
      </c>
      <c r="ER124" s="336">
        <f t="shared" si="920"/>
        <v>0</v>
      </c>
      <c r="ES124" s="336">
        <f t="shared" si="921"/>
        <v>0</v>
      </c>
      <c r="ET124" s="336">
        <f t="shared" si="921"/>
        <v>0</v>
      </c>
      <c r="EU124" s="336">
        <f t="shared" si="922"/>
        <v>0</v>
      </c>
      <c r="EV124" s="336">
        <f t="shared" si="923"/>
        <v>0</v>
      </c>
      <c r="EW124" s="336">
        <f t="shared" si="924"/>
        <v>0</v>
      </c>
      <c r="EX124" s="336">
        <f t="shared" si="925"/>
        <v>0</v>
      </c>
      <c r="EY124" s="336">
        <f t="shared" si="926"/>
        <v>0</v>
      </c>
      <c r="EZ124" s="336">
        <f t="shared" si="927"/>
        <v>0</v>
      </c>
      <c r="FA124" s="336">
        <f t="shared" si="928"/>
        <v>0</v>
      </c>
      <c r="FB124" s="336">
        <f t="shared" si="929"/>
        <v>0</v>
      </c>
      <c r="FC124" s="336">
        <f t="shared" si="930"/>
        <v>0</v>
      </c>
      <c r="FD124" s="336">
        <f t="shared" si="931"/>
        <v>0</v>
      </c>
      <c r="FE124" s="336">
        <f t="shared" si="932"/>
        <v>0</v>
      </c>
      <c r="FF124" s="336">
        <f t="shared" si="933"/>
        <v>0</v>
      </c>
      <c r="FG124" s="336">
        <f t="shared" si="934"/>
        <v>0</v>
      </c>
      <c r="FH124" s="336">
        <f t="shared" si="935"/>
        <v>0</v>
      </c>
      <c r="FI124" s="336">
        <f t="shared" si="936"/>
        <v>0</v>
      </c>
      <c r="FJ124" s="336">
        <f t="shared" si="937"/>
        <v>0</v>
      </c>
      <c r="FK124" s="336">
        <f t="shared" si="938"/>
        <v>0</v>
      </c>
      <c r="FL124" s="336">
        <f t="shared" si="939"/>
        <v>0</v>
      </c>
      <c r="FM124" s="336">
        <f t="shared" si="940"/>
        <v>0</v>
      </c>
      <c r="FN124" s="336">
        <f t="shared" si="941"/>
        <v>0</v>
      </c>
      <c r="FO124" s="336">
        <f t="shared" si="942"/>
        <v>0</v>
      </c>
      <c r="FP124" s="336">
        <f t="shared" si="943"/>
        <v>0</v>
      </c>
      <c r="FQ124" s="336">
        <f t="shared" si="944"/>
        <v>0</v>
      </c>
      <c r="FR124" s="336">
        <f t="shared" si="945"/>
        <v>0</v>
      </c>
      <c r="FS124" s="336">
        <f t="shared" si="946"/>
        <v>25</v>
      </c>
      <c r="FT124" s="336">
        <f t="shared" si="947"/>
        <v>0</v>
      </c>
      <c r="FU124" s="336">
        <f t="shared" si="1222"/>
        <v>0</v>
      </c>
      <c r="FV124" s="336">
        <f t="shared" si="1223"/>
        <v>0</v>
      </c>
      <c r="FW124" s="336">
        <f t="shared" si="1224"/>
        <v>0</v>
      </c>
      <c r="FX124" s="336">
        <f t="shared" si="1225"/>
        <v>0</v>
      </c>
      <c r="FY124" s="336">
        <f t="shared" si="948"/>
        <v>25</v>
      </c>
      <c r="FZ124" s="336">
        <f t="shared" si="949"/>
        <v>25</v>
      </c>
      <c r="GA124" s="336">
        <f t="shared" si="950"/>
        <v>25</v>
      </c>
      <c r="GB124" s="336">
        <f t="shared" si="951"/>
        <v>0</v>
      </c>
      <c r="GC124" s="336">
        <f t="shared" si="952"/>
        <v>0</v>
      </c>
      <c r="GD124" s="336">
        <f t="shared" si="953"/>
        <v>25</v>
      </c>
      <c r="GE124" s="336">
        <f t="shared" si="954"/>
        <v>0</v>
      </c>
      <c r="GF124" s="336">
        <f t="shared" si="955"/>
        <v>0</v>
      </c>
      <c r="GG124" s="336">
        <f t="shared" si="956"/>
        <v>25</v>
      </c>
      <c r="GH124" s="336">
        <f t="shared" si="957"/>
        <v>0</v>
      </c>
      <c r="GI124" s="336">
        <f t="shared" si="958"/>
        <v>25</v>
      </c>
      <c r="GJ124" s="336">
        <f t="shared" si="959"/>
        <v>25</v>
      </c>
      <c r="GK124" s="336">
        <f t="shared" si="960"/>
        <v>0</v>
      </c>
      <c r="GL124" s="336">
        <f t="shared" si="1226"/>
        <v>25</v>
      </c>
      <c r="GM124" s="336">
        <f t="shared" si="961"/>
        <v>0</v>
      </c>
    </row>
    <row r="125" spans="1:195" ht="20.100000000000001" customHeight="1">
      <c r="A125" s="337">
        <f t="shared" si="1227"/>
        <v>91</v>
      </c>
      <c r="B125" s="567" t="s">
        <v>1232</v>
      </c>
      <c r="C125" s="372" t="s">
        <v>1209</v>
      </c>
      <c r="D125" s="567" t="s">
        <v>1233</v>
      </c>
      <c r="E125" s="372" t="s">
        <v>419</v>
      </c>
      <c r="F125" s="444"/>
      <c r="G125" s="337" t="s">
        <v>329</v>
      </c>
      <c r="H125" s="350">
        <v>5</v>
      </c>
      <c r="I125" s="337" t="s">
        <v>330</v>
      </c>
      <c r="J125" s="337" t="s">
        <v>331</v>
      </c>
      <c r="K125" s="343">
        <v>400</v>
      </c>
      <c r="L125" s="343">
        <v>0.85000000000000009</v>
      </c>
      <c r="M125" s="350">
        <v>0.95042105263157861</v>
      </c>
      <c r="N125" s="342">
        <f t="shared" si="1229"/>
        <v>8.9336133449992658</v>
      </c>
      <c r="O125" s="342">
        <f t="shared" si="1196"/>
        <v>0</v>
      </c>
      <c r="P125" s="343" t="str">
        <f t="shared" si="1197"/>
        <v>0.00</v>
      </c>
      <c r="Q125" s="350">
        <v>65</v>
      </c>
      <c r="R125" s="350">
        <v>0</v>
      </c>
      <c r="S125" s="350">
        <f t="shared" si="1198"/>
        <v>0</v>
      </c>
      <c r="T125" s="343" t="s">
        <v>332</v>
      </c>
      <c r="U125" s="350" t="s">
        <v>535</v>
      </c>
      <c r="V125" s="343">
        <v>25</v>
      </c>
      <c r="W125" s="343" t="str">
        <f t="shared" si="1199"/>
        <v>3.5C X 25</v>
      </c>
      <c r="X125" s="343" t="str">
        <f t="shared" si="1200"/>
        <v>3.5C X 25</v>
      </c>
      <c r="Y125" s="343" t="s">
        <v>358</v>
      </c>
      <c r="Z125" s="344">
        <f>IF(T125="AIR",VLOOKUP(W125,'Catalogue Aluminium'!$B$9:$G$93,2,FALSE),IF(T125="GROUND",VLOOKUP(W125,'Catalogue Aluminium'!$B$9:$G$93,3,FALSE),IF(T125="DUCT",VLOOKUP(W125,'Catalogue Aluminium'!$B$9:$G$93,4,FALSE),IF(T125="TRENCH",VLOOKUP(W125,'Catalogue Aluminium'!$B$9:$G$93,2,FALSE)))))</f>
        <v>95</v>
      </c>
      <c r="AA125" s="345">
        <f>VLOOKUP(W125,'Catalogue Aluminium'!$B$9:$G$93,5,FALSE)</f>
        <v>1.54</v>
      </c>
      <c r="AB125" s="345">
        <f>VLOOKUP(W125,'Catalogue Aluminium'!$B$9:$G$93,6,FALSE)</f>
        <v>8.1600000000000006E-2</v>
      </c>
      <c r="AC125" s="343">
        <f t="shared" si="1201"/>
        <v>23</v>
      </c>
      <c r="AD125" s="343">
        <v>0</v>
      </c>
      <c r="AE125" s="343">
        <v>10</v>
      </c>
      <c r="AF125" s="343">
        <v>8</v>
      </c>
      <c r="AG125" s="343">
        <f t="shared" si="1202"/>
        <v>5</v>
      </c>
      <c r="AH125" s="347">
        <f t="shared" ref="AH125" si="1230">SUM(AC125:AG125)</f>
        <v>46</v>
      </c>
      <c r="AI125" s="344">
        <f>IF(T125="AIR",'Catalogue Aluminium'!$K$9,IF(T125="TRENCH",'Catalogue Aluminium'!$K$12,"NA"))</f>
        <v>0.89</v>
      </c>
      <c r="AJ125" s="342">
        <f>IF(T125="Air",(IF(U125="1C",'Catalogue Aluminium'!$L$9,'Catalogue Aluminium'!$M$9)),IF(T125="DUCT",(IF($U125="1C",'Catalogue Aluminium'!$L$10,'Catalogue Aluminium'!$M$10)),IF(T125="GROUND",(IF($U125="1C",'Catalogue Aluminium'!$L$11,'Catalogue Aluminium'!$M$11)),IF(T125="TRENCH",(IF($U125="1C",'Catalogue Aluminium'!$L$12,'Catalogue Aluminium'!$M$12))))))</f>
        <v>0.66</v>
      </c>
      <c r="AK125" s="344" t="str">
        <f>IF(T125="Air",'Catalogue Aluminium'!$N$9,IF(T125="GROUND",'Catalogue Aluminium'!$N$10,IF(T125="DUCT",'Catalogue Aluminium'!$N$11,IF(T125="TRENCH",'Catalogue Aluminium'!$N$12,"NA"))))</f>
        <v>NA</v>
      </c>
      <c r="AL125" s="344" t="str">
        <f>IF(T125="Air",(IF(U125="1C",'Catalogue Aluminium'!$O$9,'Catalogue Aluminium'!$P$9)),IF(T125="DUCT",(IF($U125="1C",'Catalogue Aluminium'!$O$10,'Catalogue Aluminium'!$P$10)),IF(T125="GROUND",(IF($U125="1C",'Catalogue Aluminium'!$O$11,'Catalogue Aluminium'!$P$11)),IF(T125="TRENCH",(IF($U125="1C",'Catalogue Aluminium'!$O$12,'Catalogue Aluminium'!$P$12))))))</f>
        <v>NA</v>
      </c>
      <c r="AM125" s="344" t="str">
        <f>IF(T125="AIR","NA",IF(T125="TRENCH","NA",IF(T125="DUCT",IF(U125="1C",VLOOKUP(V125,'Catalogue Aluminium'!$Q$9:$S$28,2,FALSE),VLOOKUP(V125,'Catalogue Aluminium'!$Q$9:$S$28,3)),IF(T125="GROUND",IF(U125="1C",VLOOKUP(V125,'Catalogue Aluminium'!$Q$9:$S$28,2,FALSE),VLOOKUP(V125,'Catalogue Aluminium'!$Q$9:$S$28,3))))))</f>
        <v>NA</v>
      </c>
      <c r="AN125" s="351">
        <f t="shared" ref="AN125" si="1231">IF(T125="AIR",AI125*AJ125,IF(T125="TRENCH",AI125*AJ125,IF(T125="DUCT",AJ125*AK125*AL125*AM125,IF(T125="GROUND",AJ125*AK125*AL125*AM125))))</f>
        <v>0.58740000000000003</v>
      </c>
      <c r="AO125" s="350">
        <f t="shared" ref="AO125" si="1232">Z125*AN125</f>
        <v>55.803000000000004</v>
      </c>
      <c r="AP125" s="349">
        <f t="shared" ref="AP125" si="1233">CEILING(((N125)/AO125),1)</f>
        <v>1</v>
      </c>
      <c r="AQ125" s="350" t="str">
        <f t="shared" ref="AQ125" si="1234">IF(AO125*AP125&gt;=N125,"YES","NO")</f>
        <v>YES</v>
      </c>
      <c r="AR125" s="351">
        <f t="shared" ref="AR125" si="1235">SQRT(3)*AH125*N125*((AA125*L125)+(AB125*SIN(ACOS(L125))))*100/(AP125*K125*1000)</f>
        <v>0.24057895988286765</v>
      </c>
      <c r="AS125" s="343" t="str">
        <f t="shared" si="1217"/>
        <v>YES</v>
      </c>
      <c r="AT125" s="351" t="str">
        <f t="shared" si="1209"/>
        <v>NA</v>
      </c>
      <c r="AU125" s="343" t="str">
        <f t="shared" si="1210"/>
        <v>NA</v>
      </c>
      <c r="AV125" s="354" t="str">
        <f t="shared" si="1211"/>
        <v>1R x 0.6/1kV x 3.5C x 25 Sqmm</v>
      </c>
      <c r="AW125" s="354" t="str">
        <f t="shared" si="1212"/>
        <v>1R x 0.6/1kV x 3.5C x 25 Sqmm</v>
      </c>
      <c r="AX125" s="342">
        <f t="shared" si="1218"/>
        <v>46</v>
      </c>
      <c r="AY125" s="342"/>
      <c r="AZ125" s="342">
        <f t="shared" si="1219"/>
        <v>2</v>
      </c>
      <c r="BA125" s="356" t="str">
        <f t="shared" si="1220"/>
        <v/>
      </c>
      <c r="BB125" s="342">
        <f>VLOOKUP(W125,'Catalogue Aluminium'!$B$9:$H$93,7,FALSE)</f>
        <v>25</v>
      </c>
      <c r="BC125" s="342">
        <f t="shared" si="1221"/>
        <v>25</v>
      </c>
      <c r="BE125" s="336"/>
      <c r="BF125" s="336"/>
      <c r="BG125" s="336"/>
      <c r="BH125" s="336"/>
      <c r="BI125" s="336"/>
      <c r="BJ125" s="336"/>
      <c r="BK125" s="336"/>
      <c r="BL125" s="336"/>
      <c r="BM125" s="336"/>
      <c r="BN125" s="336"/>
      <c r="BO125" s="336"/>
      <c r="BP125" s="336"/>
      <c r="BQ125" s="336"/>
      <c r="BR125" s="336"/>
      <c r="BS125" s="336"/>
      <c r="BT125" s="336"/>
      <c r="BU125" s="336"/>
      <c r="BV125" s="336"/>
      <c r="BW125" s="336"/>
      <c r="BX125" s="336"/>
      <c r="BY125" s="336"/>
      <c r="BZ125" s="336"/>
      <c r="CA125" s="336"/>
      <c r="CB125" s="336"/>
      <c r="CC125" s="336"/>
      <c r="CD125" s="336"/>
      <c r="CE125" s="336"/>
      <c r="CF125" s="336"/>
      <c r="CG125" s="336"/>
      <c r="CH125" s="336"/>
      <c r="CI125" s="336"/>
      <c r="CJ125" s="336"/>
      <c r="CK125" s="336"/>
      <c r="CL125" s="336"/>
      <c r="CM125" s="336"/>
      <c r="CN125" s="336"/>
      <c r="CO125" s="336"/>
      <c r="CP125" s="336"/>
      <c r="CQ125" s="336"/>
      <c r="CR125" s="336"/>
      <c r="CS125" s="336"/>
      <c r="CT125" s="336"/>
      <c r="CU125" s="336"/>
      <c r="CV125" s="336"/>
      <c r="CW125" s="336"/>
      <c r="CX125" s="336"/>
      <c r="CY125" s="336"/>
      <c r="CZ125" s="336"/>
      <c r="DA125" s="336"/>
      <c r="DB125" s="336"/>
      <c r="DC125" s="336"/>
      <c r="DD125" s="336"/>
      <c r="DE125" s="336"/>
      <c r="DF125" s="336"/>
      <c r="DG125" s="336"/>
      <c r="DH125" s="336"/>
      <c r="DI125" s="336"/>
      <c r="DJ125" s="336"/>
      <c r="DK125" s="336"/>
      <c r="DL125" s="336"/>
      <c r="DM125" s="336"/>
      <c r="DN125" s="336"/>
      <c r="DO125" s="336"/>
      <c r="DP125" s="336"/>
      <c r="DQ125" s="336"/>
      <c r="DR125" s="336"/>
      <c r="DS125" s="336"/>
      <c r="DT125" s="336"/>
      <c r="DU125" s="336"/>
      <c r="DW125" s="336">
        <f t="shared" si="1022"/>
        <v>0</v>
      </c>
      <c r="DX125" s="336">
        <f t="shared" si="900"/>
        <v>0</v>
      </c>
      <c r="DY125" s="336">
        <f t="shared" si="901"/>
        <v>0</v>
      </c>
      <c r="DZ125" s="336">
        <f t="shared" si="902"/>
        <v>0</v>
      </c>
      <c r="EA125" s="336">
        <f t="shared" si="903"/>
        <v>0</v>
      </c>
      <c r="EB125" s="336">
        <f t="shared" si="904"/>
        <v>0</v>
      </c>
      <c r="EC125" s="336">
        <f t="shared" si="905"/>
        <v>0</v>
      </c>
      <c r="ED125" s="336">
        <f t="shared" si="906"/>
        <v>0</v>
      </c>
      <c r="EE125" s="336">
        <f t="shared" si="907"/>
        <v>0</v>
      </c>
      <c r="EF125" s="336">
        <f t="shared" si="908"/>
        <v>0</v>
      </c>
      <c r="EG125" s="336">
        <f t="shared" si="909"/>
        <v>0</v>
      </c>
      <c r="EH125" s="336">
        <f t="shared" si="910"/>
        <v>0</v>
      </c>
      <c r="EI125" s="336">
        <f t="shared" si="911"/>
        <v>0</v>
      </c>
      <c r="EJ125" s="336">
        <f t="shared" si="912"/>
        <v>0</v>
      </c>
      <c r="EK125" s="336">
        <f t="shared" si="913"/>
        <v>0</v>
      </c>
      <c r="EL125" s="336">
        <f t="shared" si="914"/>
        <v>0</v>
      </c>
      <c r="EM125" s="336">
        <f t="shared" si="915"/>
        <v>0</v>
      </c>
      <c r="EN125" s="336">
        <f t="shared" si="916"/>
        <v>0</v>
      </c>
      <c r="EO125" s="336">
        <f t="shared" si="917"/>
        <v>0</v>
      </c>
      <c r="EP125" s="336">
        <f t="shared" si="918"/>
        <v>0</v>
      </c>
      <c r="EQ125" s="336">
        <f t="shared" si="919"/>
        <v>0</v>
      </c>
      <c r="ER125" s="336">
        <f t="shared" si="920"/>
        <v>0</v>
      </c>
      <c r="ES125" s="336">
        <f t="shared" si="921"/>
        <v>0</v>
      </c>
      <c r="ET125" s="336">
        <f t="shared" si="921"/>
        <v>0</v>
      </c>
      <c r="EU125" s="336">
        <f t="shared" si="922"/>
        <v>0</v>
      </c>
      <c r="EV125" s="336">
        <f t="shared" si="923"/>
        <v>0</v>
      </c>
      <c r="EW125" s="336">
        <f t="shared" si="924"/>
        <v>0</v>
      </c>
      <c r="EX125" s="336">
        <f t="shared" si="925"/>
        <v>0</v>
      </c>
      <c r="EY125" s="336">
        <f t="shared" si="926"/>
        <v>0</v>
      </c>
      <c r="EZ125" s="336">
        <f t="shared" si="927"/>
        <v>0</v>
      </c>
      <c r="FA125" s="336">
        <f t="shared" si="928"/>
        <v>0</v>
      </c>
      <c r="FB125" s="336">
        <f t="shared" si="929"/>
        <v>0</v>
      </c>
      <c r="FC125" s="336">
        <f t="shared" si="930"/>
        <v>0</v>
      </c>
      <c r="FD125" s="336">
        <f t="shared" si="931"/>
        <v>0</v>
      </c>
      <c r="FE125" s="336">
        <f t="shared" si="932"/>
        <v>0</v>
      </c>
      <c r="FF125" s="336">
        <f t="shared" si="933"/>
        <v>0</v>
      </c>
      <c r="FG125" s="336">
        <f t="shared" si="934"/>
        <v>0</v>
      </c>
      <c r="FH125" s="336">
        <f t="shared" si="935"/>
        <v>0</v>
      </c>
      <c r="FI125" s="336">
        <f t="shared" si="936"/>
        <v>0</v>
      </c>
      <c r="FJ125" s="336">
        <f t="shared" si="937"/>
        <v>0</v>
      </c>
      <c r="FK125" s="336">
        <f t="shared" si="938"/>
        <v>0</v>
      </c>
      <c r="FL125" s="336">
        <f t="shared" si="939"/>
        <v>0</v>
      </c>
      <c r="FM125" s="336">
        <f t="shared" si="940"/>
        <v>0</v>
      </c>
      <c r="FN125" s="336">
        <f t="shared" si="941"/>
        <v>0</v>
      </c>
      <c r="FO125" s="336">
        <f t="shared" si="942"/>
        <v>0</v>
      </c>
      <c r="FP125" s="336">
        <f t="shared" si="943"/>
        <v>0</v>
      </c>
      <c r="FQ125" s="336">
        <f t="shared" si="944"/>
        <v>0</v>
      </c>
      <c r="FR125" s="336">
        <f t="shared" si="945"/>
        <v>0</v>
      </c>
      <c r="FS125" s="336">
        <f t="shared" si="946"/>
        <v>0</v>
      </c>
      <c r="FT125" s="336">
        <f t="shared" si="947"/>
        <v>0</v>
      </c>
      <c r="FU125" s="336">
        <f t="shared" si="1222"/>
        <v>0</v>
      </c>
      <c r="FV125" s="336">
        <f t="shared" si="1223"/>
        <v>0</v>
      </c>
      <c r="FW125" s="336">
        <f t="shared" si="1224"/>
        <v>0</v>
      </c>
      <c r="FX125" s="336">
        <f t="shared" si="1225"/>
        <v>0</v>
      </c>
      <c r="FY125" s="336">
        <f t="shared" si="948"/>
        <v>0</v>
      </c>
      <c r="FZ125" s="336">
        <f t="shared" si="949"/>
        <v>0</v>
      </c>
      <c r="GA125" s="336">
        <f t="shared" si="950"/>
        <v>0</v>
      </c>
      <c r="GB125" s="336">
        <f t="shared" si="951"/>
        <v>0</v>
      </c>
      <c r="GC125" s="336">
        <f t="shared" si="952"/>
        <v>0</v>
      </c>
      <c r="GD125" s="336">
        <f t="shared" si="953"/>
        <v>0</v>
      </c>
      <c r="GE125" s="336">
        <f t="shared" si="954"/>
        <v>0</v>
      </c>
      <c r="GF125" s="336">
        <f t="shared" si="955"/>
        <v>0</v>
      </c>
      <c r="GG125" s="336">
        <f t="shared" si="956"/>
        <v>0</v>
      </c>
      <c r="GH125" s="336">
        <f t="shared" si="957"/>
        <v>0</v>
      </c>
      <c r="GI125" s="336">
        <f t="shared" si="958"/>
        <v>0</v>
      </c>
      <c r="GJ125" s="336">
        <f t="shared" si="959"/>
        <v>0</v>
      </c>
      <c r="GK125" s="336">
        <f t="shared" si="960"/>
        <v>0</v>
      </c>
      <c r="GL125" s="336">
        <f t="shared" si="1226"/>
        <v>0</v>
      </c>
      <c r="GM125" s="336">
        <f t="shared" si="961"/>
        <v>0</v>
      </c>
    </row>
    <row r="126" spans="1:195" ht="50.25" customHeight="1">
      <c r="A126" s="337">
        <f t="shared" si="1227"/>
        <v>92</v>
      </c>
      <c r="B126" s="567" t="s">
        <v>1234</v>
      </c>
      <c r="C126" s="372" t="s">
        <v>1209</v>
      </c>
      <c r="D126" s="567" t="s">
        <v>1235</v>
      </c>
      <c r="E126" s="372" t="s">
        <v>1236</v>
      </c>
      <c r="F126" s="444"/>
      <c r="G126" s="337" t="s">
        <v>329</v>
      </c>
      <c r="H126" s="350">
        <v>20</v>
      </c>
      <c r="I126" s="337" t="s">
        <v>330</v>
      </c>
      <c r="J126" s="337" t="s">
        <v>331</v>
      </c>
      <c r="K126" s="343">
        <v>400</v>
      </c>
      <c r="L126" s="343">
        <v>0.85000000000000009</v>
      </c>
      <c r="M126" s="350">
        <v>0.95042105263157861</v>
      </c>
      <c r="N126" s="342">
        <f>IF(I126="kVA",IF(J126="3Ph",(H126*1000/(1.732*M126*K126)),(H126*1000/(M126*K126))),IF(I126="kW",IF(J126="3Ph",(H126*1000/(1.732*M126*K126*L126)),(H126*1000/(M126*K126*L126)))))</f>
        <v>35.734453379997063</v>
      </c>
      <c r="O126" s="342">
        <f>IF(G126="MOTOR",(6*N126),IF(G126="VFD",(1*N126),0))</f>
        <v>0</v>
      </c>
      <c r="P126" s="343" t="str">
        <f>IF(G126="MOTOR",0.2,"0.00")</f>
        <v>0.00</v>
      </c>
      <c r="Q126" s="350">
        <v>65</v>
      </c>
      <c r="R126" s="350">
        <v>0</v>
      </c>
      <c r="S126" s="350">
        <f>(Q126*1000*SQRT(R126)/143)</f>
        <v>0</v>
      </c>
      <c r="T126" s="343" t="s">
        <v>332</v>
      </c>
      <c r="U126" s="350" t="s">
        <v>522</v>
      </c>
      <c r="V126" s="343">
        <v>16</v>
      </c>
      <c r="W126" s="343" t="str">
        <f>CONCATENATE(U126," X ",V126)</f>
        <v>4C X 16</v>
      </c>
      <c r="X126" s="343" t="str">
        <f>(IF(J126="1Ph",W126,IF(J126="3Ph",(IF(G126="MOTOR",(CONCATENATE(W126,"+PE")),W126)))))</f>
        <v>4C X 16</v>
      </c>
      <c r="Y126" s="343" t="s">
        <v>358</v>
      </c>
      <c r="Z126" s="344">
        <f>IF(T126="AIR",VLOOKUP(W126,'Catalogue Aluminium'!$B$9:$G$93,2,FALSE),IF(T126="GROUND",VLOOKUP(W126,'Catalogue Aluminium'!$B$9:$G$93,3,FALSE),IF(T126="DUCT",VLOOKUP(W126,'Catalogue Aluminium'!$B$9:$G$93,4,FALSE),IF(T126="TRENCH",VLOOKUP(W126,'Catalogue Aluminium'!$B$9:$G$93,2,FALSE)))))</f>
        <v>70</v>
      </c>
      <c r="AA126" s="345">
        <f>VLOOKUP(W126,'Catalogue Aluminium'!$B$9:$G$93,5,FALSE)</f>
        <v>2.44</v>
      </c>
      <c r="AB126" s="345">
        <f>VLOOKUP(W126,'Catalogue Aluminium'!$B$9:$G$93,6,FALSE)</f>
        <v>8.1500000000000003E-2</v>
      </c>
      <c r="AC126" s="343">
        <f t="shared" si="1201"/>
        <v>23</v>
      </c>
      <c r="AD126" s="346">
        <v>20</v>
      </c>
      <c r="AE126" s="343">
        <v>10</v>
      </c>
      <c r="AF126" s="343">
        <v>8</v>
      </c>
      <c r="AG126" s="343">
        <f>ROUNDUP((SUM(AC126:AF126)*0.1),0)</f>
        <v>7</v>
      </c>
      <c r="AH126" s="347">
        <f>SUM(AC126:AG126)</f>
        <v>68</v>
      </c>
      <c r="AI126" s="344">
        <f>IF(T126="AIR",'Catalogue Aluminium'!$K$9,IF(T126="TRENCH",'Catalogue Aluminium'!$K$12,"NA"))</f>
        <v>0.89</v>
      </c>
      <c r="AJ126" s="342">
        <f>IF(T126="Air",(IF(U126="1C",'Catalogue Aluminium'!$L$9,'Catalogue Aluminium'!$M$9)),IF(T126="DUCT",(IF($U126="1C",'Catalogue Aluminium'!$L$10,'Catalogue Aluminium'!$M$10)),IF(T126="GROUND",(IF($U126="1C",'Catalogue Aluminium'!$L$11,'Catalogue Aluminium'!$M$11)),IF(T126="TRENCH",(IF($U126="1C",'Catalogue Aluminium'!$L$12,'Catalogue Aluminium'!$M$12))))))</f>
        <v>0.66</v>
      </c>
      <c r="AK126" s="344" t="str">
        <f>IF(T126="Air",'Catalogue Aluminium'!$N$9,IF(T126="GROUND",'Catalogue Aluminium'!$N$10,IF(T126="DUCT",'Catalogue Aluminium'!$N$11,IF(T126="TRENCH",'Catalogue Aluminium'!$N$12,"NA"))))</f>
        <v>NA</v>
      </c>
      <c r="AL126" s="344" t="str">
        <f>IF(T126="Air",(IF(U126="1C",'Catalogue Aluminium'!$O$9,'Catalogue Aluminium'!$P$9)),IF(T126="DUCT",(IF($U126="1C",'Catalogue Aluminium'!$O$10,'Catalogue Aluminium'!$P$10)),IF(T126="GROUND",(IF($U126="1C",'Catalogue Aluminium'!$O$11,'Catalogue Aluminium'!$P$11)),IF(T126="TRENCH",(IF($U126="1C",'Catalogue Aluminium'!$O$12,'Catalogue Aluminium'!$P$12))))))</f>
        <v>NA</v>
      </c>
      <c r="AM126" s="344" t="str">
        <f>IF(T126="AIR","NA",IF(T126="TRENCH","NA",IF(T126="DUCT",IF(U126="1C",VLOOKUP(V126,'Catalogue Aluminium'!$Q$9:$S$28,2,FALSE),VLOOKUP(V126,'Catalogue Aluminium'!$Q$9:$S$28,3)),IF(T126="GROUND",IF(U126="1C",VLOOKUP(V126,'Catalogue Aluminium'!$Q$9:$S$28,2,FALSE),VLOOKUP(V126,'Catalogue Aluminium'!$Q$9:$S$28,3))))))</f>
        <v>NA</v>
      </c>
      <c r="AN126" s="351">
        <f>IF(T126="AIR",AI126*AJ126,IF(T126="TRENCH",AI126*AJ126,IF(T126="DUCT",AJ126*AK126*AL126*AM126,IF(T126="GROUND",AJ126*AK126*AL126*AM126))))</f>
        <v>0.58740000000000003</v>
      </c>
      <c r="AO126" s="350">
        <f>Z126*AN126</f>
        <v>41.118000000000002</v>
      </c>
      <c r="AP126" s="349">
        <f>CEILING(((N126)/AO126),1)</f>
        <v>1</v>
      </c>
      <c r="AQ126" s="350" t="str">
        <f>IF(AO126*AP126&gt;=N126,"YES","NO")</f>
        <v>YES</v>
      </c>
      <c r="AR126" s="351">
        <f>SQRT(3)*AH126*N126*((AA126*L126)+(AB126*SIN(ACOS(L126))))*100/(AP126*K126*1000)</f>
        <v>2.2274284461699945</v>
      </c>
      <c r="AS126" s="343" t="str">
        <f t="shared" si="1217"/>
        <v>YES</v>
      </c>
      <c r="AT126" s="351" t="str">
        <f t="shared" si="1209"/>
        <v>NA</v>
      </c>
      <c r="AU126" s="343" t="str">
        <f t="shared" si="1210"/>
        <v>NA</v>
      </c>
      <c r="AV126" s="354" t="str">
        <f t="shared" si="1211"/>
        <v>1R x 0.6/1kV x 4C x 16 Sqmm</v>
      </c>
      <c r="AW126" s="354" t="str">
        <f t="shared" si="1212"/>
        <v>1R x 0.6/1kV x 4C x 16 Sqmm</v>
      </c>
      <c r="AX126" s="343">
        <f t="shared" si="1218"/>
        <v>68</v>
      </c>
      <c r="AY126" s="343"/>
      <c r="AZ126" s="343">
        <f t="shared" si="1219"/>
        <v>2</v>
      </c>
      <c r="BA126" s="356" t="str">
        <f t="shared" si="1220"/>
        <v/>
      </c>
      <c r="BB126" s="328">
        <f>VLOOKUP(W126,'Catalogue Aluminium'!$B$9:$H$93,7,FALSE)</f>
        <v>21</v>
      </c>
      <c r="BC126" s="328">
        <f t="shared" si="1221"/>
        <v>21</v>
      </c>
      <c r="BE126" s="336"/>
      <c r="BF126" s="336"/>
      <c r="BG126" s="336"/>
      <c r="BH126" s="336"/>
      <c r="BI126" s="336"/>
      <c r="BJ126" s="336"/>
      <c r="BK126" s="336"/>
      <c r="BL126" s="336"/>
      <c r="BM126" s="336"/>
      <c r="BN126" s="336"/>
      <c r="BO126" s="336"/>
      <c r="BP126" s="336"/>
      <c r="BQ126" s="336"/>
      <c r="BR126" s="336"/>
      <c r="BS126" s="336"/>
      <c r="BT126" s="336"/>
      <c r="BU126" s="336"/>
      <c r="BV126" s="336"/>
      <c r="BW126" s="336"/>
      <c r="BX126" s="336"/>
      <c r="BY126" s="336"/>
      <c r="BZ126" s="336"/>
      <c r="CA126" s="336"/>
      <c r="CB126" s="336"/>
      <c r="CC126" s="336"/>
      <c r="CD126" s="336"/>
      <c r="CE126" s="336"/>
      <c r="CF126" s="336"/>
      <c r="CG126" s="336"/>
      <c r="CH126" s="336"/>
      <c r="CI126" s="336"/>
      <c r="CJ126" s="336"/>
      <c r="CK126" s="336"/>
      <c r="CL126" s="336"/>
      <c r="CM126" s="336"/>
      <c r="CN126" s="336"/>
      <c r="CO126" s="336"/>
      <c r="CP126" s="336"/>
      <c r="CQ126" s="336"/>
      <c r="CR126" s="336"/>
      <c r="CS126" s="336"/>
      <c r="CT126" s="336"/>
      <c r="CU126" s="336"/>
      <c r="CV126" s="336"/>
      <c r="CW126" s="336"/>
      <c r="CX126" s="336"/>
      <c r="CY126" s="336"/>
      <c r="CZ126" s="336"/>
      <c r="DA126" s="336"/>
      <c r="DB126" s="336"/>
      <c r="DC126" s="336"/>
      <c r="DD126" s="336"/>
      <c r="DE126" s="336"/>
      <c r="DF126" s="336"/>
      <c r="DG126" s="336"/>
      <c r="DH126" s="336"/>
      <c r="DI126" s="336"/>
      <c r="DJ126" s="336"/>
      <c r="DK126" s="336"/>
      <c r="DL126" s="336"/>
      <c r="DM126" s="336"/>
      <c r="DN126" s="336"/>
      <c r="DO126" s="336"/>
      <c r="DP126" s="336"/>
      <c r="DQ126" s="336"/>
      <c r="DR126" s="336"/>
      <c r="DS126" s="336"/>
      <c r="DT126" s="336"/>
      <c r="DU126" s="336"/>
      <c r="DW126" s="336">
        <f t="shared" si="1022"/>
        <v>0</v>
      </c>
      <c r="DX126" s="336">
        <f t="shared" si="900"/>
        <v>0</v>
      </c>
      <c r="DY126" s="336">
        <f t="shared" si="901"/>
        <v>0</v>
      </c>
      <c r="DZ126" s="336">
        <f t="shared" si="902"/>
        <v>0</v>
      </c>
      <c r="EA126" s="336">
        <f t="shared" si="903"/>
        <v>0</v>
      </c>
      <c r="EB126" s="336">
        <f t="shared" si="904"/>
        <v>0</v>
      </c>
      <c r="EC126" s="336">
        <f t="shared" si="905"/>
        <v>0</v>
      </c>
      <c r="ED126" s="336">
        <f t="shared" si="906"/>
        <v>0</v>
      </c>
      <c r="EE126" s="336">
        <f t="shared" si="907"/>
        <v>0</v>
      </c>
      <c r="EF126" s="336">
        <f t="shared" si="908"/>
        <v>0</v>
      </c>
      <c r="EG126" s="336">
        <f t="shared" si="909"/>
        <v>0</v>
      </c>
      <c r="EH126" s="336">
        <f t="shared" si="910"/>
        <v>0</v>
      </c>
      <c r="EI126" s="336">
        <f t="shared" si="911"/>
        <v>0</v>
      </c>
      <c r="EJ126" s="336">
        <f t="shared" si="912"/>
        <v>0</v>
      </c>
      <c r="EK126" s="336">
        <f t="shared" si="913"/>
        <v>0</v>
      </c>
      <c r="EL126" s="336">
        <f t="shared" si="914"/>
        <v>0</v>
      </c>
      <c r="EM126" s="336">
        <f t="shared" si="915"/>
        <v>0</v>
      </c>
      <c r="EN126" s="336">
        <f t="shared" si="916"/>
        <v>0</v>
      </c>
      <c r="EO126" s="336">
        <f t="shared" si="917"/>
        <v>0</v>
      </c>
      <c r="EP126" s="336">
        <f t="shared" si="918"/>
        <v>0</v>
      </c>
      <c r="EQ126" s="336">
        <f t="shared" si="919"/>
        <v>0</v>
      </c>
      <c r="ER126" s="336">
        <f t="shared" si="920"/>
        <v>0</v>
      </c>
      <c r="ES126" s="336">
        <f t="shared" si="921"/>
        <v>0</v>
      </c>
      <c r="ET126" s="336">
        <f t="shared" si="921"/>
        <v>0</v>
      </c>
      <c r="EU126" s="336">
        <f t="shared" si="922"/>
        <v>0</v>
      </c>
      <c r="EV126" s="336">
        <f t="shared" si="923"/>
        <v>0</v>
      </c>
      <c r="EW126" s="336">
        <f t="shared" si="924"/>
        <v>0</v>
      </c>
      <c r="EX126" s="336">
        <f t="shared" si="925"/>
        <v>0</v>
      </c>
      <c r="EY126" s="336">
        <f t="shared" si="926"/>
        <v>0</v>
      </c>
      <c r="EZ126" s="336">
        <f t="shared" si="927"/>
        <v>0</v>
      </c>
      <c r="FA126" s="336">
        <f t="shared" si="928"/>
        <v>0</v>
      </c>
      <c r="FB126" s="336">
        <f t="shared" si="929"/>
        <v>0</v>
      </c>
      <c r="FC126" s="336">
        <f t="shared" si="930"/>
        <v>0</v>
      </c>
      <c r="FD126" s="336">
        <f t="shared" si="931"/>
        <v>0</v>
      </c>
      <c r="FE126" s="336">
        <f t="shared" si="932"/>
        <v>0</v>
      </c>
      <c r="FF126" s="336">
        <f t="shared" si="933"/>
        <v>0</v>
      </c>
      <c r="FG126" s="336">
        <f t="shared" si="934"/>
        <v>0</v>
      </c>
      <c r="FH126" s="336">
        <f t="shared" si="935"/>
        <v>0</v>
      </c>
      <c r="FI126" s="336">
        <f t="shared" si="936"/>
        <v>0</v>
      </c>
      <c r="FJ126" s="336">
        <f t="shared" si="937"/>
        <v>0</v>
      </c>
      <c r="FK126" s="336">
        <f t="shared" si="938"/>
        <v>0</v>
      </c>
      <c r="FL126" s="336">
        <f t="shared" si="939"/>
        <v>0</v>
      </c>
      <c r="FM126" s="336">
        <f t="shared" si="940"/>
        <v>0</v>
      </c>
      <c r="FN126" s="336">
        <f t="shared" si="941"/>
        <v>0</v>
      </c>
      <c r="FO126" s="336">
        <f t="shared" si="942"/>
        <v>0</v>
      </c>
      <c r="FP126" s="336">
        <f t="shared" si="943"/>
        <v>0</v>
      </c>
      <c r="FQ126" s="336">
        <f t="shared" si="944"/>
        <v>0</v>
      </c>
      <c r="FR126" s="336">
        <f t="shared" si="945"/>
        <v>0</v>
      </c>
      <c r="FS126" s="336">
        <f t="shared" si="946"/>
        <v>0</v>
      </c>
      <c r="FT126" s="336">
        <f t="shared" si="947"/>
        <v>0</v>
      </c>
      <c r="FU126" s="336">
        <f t="shared" si="1222"/>
        <v>0</v>
      </c>
      <c r="FV126" s="336">
        <f t="shared" si="1223"/>
        <v>0</v>
      </c>
      <c r="FW126" s="336">
        <f t="shared" si="1224"/>
        <v>0</v>
      </c>
      <c r="FX126" s="336">
        <f t="shared" si="1225"/>
        <v>0</v>
      </c>
      <c r="FY126" s="336">
        <f t="shared" si="948"/>
        <v>0</v>
      </c>
      <c r="FZ126" s="336">
        <f t="shared" si="949"/>
        <v>0</v>
      </c>
      <c r="GA126" s="336">
        <f t="shared" si="950"/>
        <v>0</v>
      </c>
      <c r="GB126" s="336">
        <f t="shared" si="951"/>
        <v>0</v>
      </c>
      <c r="GC126" s="336">
        <f t="shared" si="952"/>
        <v>0</v>
      </c>
      <c r="GD126" s="336">
        <f t="shared" si="953"/>
        <v>0</v>
      </c>
      <c r="GE126" s="336">
        <f t="shared" si="954"/>
        <v>0</v>
      </c>
      <c r="GF126" s="336">
        <f t="shared" si="955"/>
        <v>0</v>
      </c>
      <c r="GG126" s="336">
        <f t="shared" si="956"/>
        <v>0</v>
      </c>
      <c r="GH126" s="336">
        <f t="shared" si="957"/>
        <v>0</v>
      </c>
      <c r="GI126" s="336">
        <f t="shared" si="958"/>
        <v>0</v>
      </c>
      <c r="GJ126" s="336">
        <f t="shared" si="959"/>
        <v>0</v>
      </c>
      <c r="GK126" s="336">
        <f t="shared" si="960"/>
        <v>0</v>
      </c>
      <c r="GL126" s="336">
        <f t="shared" si="1226"/>
        <v>0</v>
      </c>
      <c r="GM126" s="336">
        <f t="shared" si="961"/>
        <v>0</v>
      </c>
    </row>
    <row r="127" spans="1:195" ht="20.100000000000001" customHeight="1">
      <c r="A127" s="337">
        <f t="shared" si="1227"/>
        <v>93</v>
      </c>
      <c r="B127" s="567" t="s">
        <v>1237</v>
      </c>
      <c r="C127" s="372" t="s">
        <v>1238</v>
      </c>
      <c r="D127" s="567" t="s">
        <v>1239</v>
      </c>
      <c r="E127" s="372" t="s">
        <v>1240</v>
      </c>
      <c r="F127" s="444"/>
      <c r="G127" s="337" t="s">
        <v>329</v>
      </c>
      <c r="H127" s="350">
        <v>5</v>
      </c>
      <c r="I127" s="337" t="s">
        <v>330</v>
      </c>
      <c r="J127" s="337" t="s">
        <v>331</v>
      </c>
      <c r="K127" s="343">
        <v>400</v>
      </c>
      <c r="L127" s="343">
        <v>0.85000000000000009</v>
      </c>
      <c r="M127" s="350">
        <v>0.95042105263157861</v>
      </c>
      <c r="N127" s="342">
        <f t="shared" ref="N127:N128" si="1236">IF(I127="kVA",IF(J127="3Ph",(H127*1000/(1.732*M127*K127)),(H127*1000/(M127*K127))),IF(I127="kW",IF(J127="3Ph",(H127*1000/(1.732*M127*K127*L127)),(H127*1000/(M127*K127*L127)))))</f>
        <v>8.9336133449992658</v>
      </c>
      <c r="O127" s="342">
        <f t="shared" ref="O127:O128" si="1237">IF(G127="MOTOR",(6*N127),IF(G127="VFD",(1*N127),0))</f>
        <v>0</v>
      </c>
      <c r="P127" s="343" t="str">
        <f t="shared" ref="P127:P128" si="1238">IF(G127="MOTOR",0.2,"0.00")</f>
        <v>0.00</v>
      </c>
      <c r="Q127" s="350">
        <v>65</v>
      </c>
      <c r="R127" s="350">
        <v>0</v>
      </c>
      <c r="S127" s="350">
        <f t="shared" ref="S127:S128" si="1239">(Q127*1000*SQRT(R127)/143)</f>
        <v>0</v>
      </c>
      <c r="T127" s="343" t="s">
        <v>332</v>
      </c>
      <c r="U127" s="350" t="s">
        <v>522</v>
      </c>
      <c r="V127" s="343">
        <v>16</v>
      </c>
      <c r="W127" s="343" t="str">
        <f t="shared" ref="W127:W128" si="1240">CONCATENATE(U127," X ",V127)</f>
        <v>4C X 16</v>
      </c>
      <c r="X127" s="343" t="str">
        <f t="shared" ref="X127:X128" si="1241">(IF(J127="1Ph",W127,IF(J127="3Ph",(IF(G127="MOTOR",(CONCATENATE(W127,"+PE")),W127)))))</f>
        <v>4C X 16</v>
      </c>
      <c r="Y127" s="343" t="s">
        <v>358</v>
      </c>
      <c r="Z127" s="344">
        <f>IF(T127="AIR",VLOOKUP(W127,'Catalogue Aluminium'!$B$9:$G$93,2,FALSE),IF(T127="GROUND",VLOOKUP(W127,'Catalogue Aluminium'!$B$9:$G$93,3,FALSE),IF(T127="DUCT",VLOOKUP(W127,'Catalogue Aluminium'!$B$9:$G$93,4,FALSE),IF(T127="TRENCH",VLOOKUP(W127,'Catalogue Aluminium'!$B$9:$G$93,2,FALSE)))))</f>
        <v>70</v>
      </c>
      <c r="AA127" s="345">
        <f>VLOOKUP(W127,'Catalogue Aluminium'!$B$9:$G$93,5,FALSE)</f>
        <v>2.44</v>
      </c>
      <c r="AB127" s="345">
        <f>VLOOKUP(W127,'Catalogue Aluminium'!$B$9:$G$93,6,FALSE)</f>
        <v>8.1500000000000003E-2</v>
      </c>
      <c r="AC127" s="343">
        <f>24+10</f>
        <v>34</v>
      </c>
      <c r="AD127" s="343">
        <v>0</v>
      </c>
      <c r="AE127" s="343">
        <v>10</v>
      </c>
      <c r="AF127" s="343">
        <v>8</v>
      </c>
      <c r="AG127" s="343">
        <f t="shared" ref="AG127:AG128" si="1242">ROUNDUP((SUM(AC127:AF127)*0.1),0)</f>
        <v>6</v>
      </c>
      <c r="AH127" s="347">
        <f t="shared" ref="AH127:AH128" si="1243">SUM(AC127:AG127)</f>
        <v>58</v>
      </c>
      <c r="AI127" s="344">
        <f>IF(T127="AIR",'Catalogue Aluminium'!$K$9,IF(T127="TRENCH",'Catalogue Aluminium'!$K$12,"NA"))</f>
        <v>0.89</v>
      </c>
      <c r="AJ127" s="342">
        <f>IF(T127="Air",(IF(U127="1C",'Catalogue Aluminium'!$L$9,'Catalogue Aluminium'!$M$9)),IF(T127="DUCT",(IF($U127="1C",'Catalogue Aluminium'!$L$10,'Catalogue Aluminium'!$M$10)),IF(T127="GROUND",(IF($U127="1C",'Catalogue Aluminium'!$L$11,'Catalogue Aluminium'!$M$11)),IF(T127="TRENCH",(IF($U127="1C",'Catalogue Aluminium'!$L$12,'Catalogue Aluminium'!$M$12))))))</f>
        <v>0.66</v>
      </c>
      <c r="AK127" s="344" t="str">
        <f>IF(T127="Air",'Catalogue Aluminium'!$N$9,IF(T127="GROUND",'Catalogue Aluminium'!$N$10,IF(T127="DUCT",'Catalogue Aluminium'!$N$11,IF(T127="TRENCH",'Catalogue Aluminium'!$N$12,"NA"))))</f>
        <v>NA</v>
      </c>
      <c r="AL127" s="344" t="str">
        <f>IF(T127="Air",(IF(U127="1C",'Catalogue Aluminium'!$O$9,'Catalogue Aluminium'!$P$9)),IF(T127="DUCT",(IF($U127="1C",'Catalogue Aluminium'!$O$10,'Catalogue Aluminium'!$P$10)),IF(T127="GROUND",(IF($U127="1C",'Catalogue Aluminium'!$O$11,'Catalogue Aluminium'!$P$11)),IF(T127="TRENCH",(IF($U127="1C",'Catalogue Aluminium'!$O$12,'Catalogue Aluminium'!$P$12))))))</f>
        <v>NA</v>
      </c>
      <c r="AM127" s="344" t="str">
        <f>IF(T127="AIR","NA",IF(T127="TRENCH","NA",IF(T127="DUCT",IF(U127="1C",VLOOKUP(V127,'Catalogue Aluminium'!$Q$9:$S$28,2,FALSE),VLOOKUP(V127,'Catalogue Aluminium'!$Q$9:$S$28,3)),IF(T127="GROUND",IF(U127="1C",VLOOKUP(V127,'Catalogue Aluminium'!$Q$9:$S$28,2,FALSE),VLOOKUP(V127,'Catalogue Aluminium'!$Q$9:$S$28,3))))))</f>
        <v>NA</v>
      </c>
      <c r="AN127" s="351">
        <f t="shared" ref="AN127:AN128" si="1244">IF(T127="AIR",AI127*AJ127,IF(T127="TRENCH",AI127*AJ127,IF(T127="DUCT",AJ127*AK127*AL127*AM127,IF(T127="GROUND",AJ127*AK127*AL127*AM127))))</f>
        <v>0.58740000000000003</v>
      </c>
      <c r="AO127" s="350">
        <f t="shared" ref="AO127:AO128" si="1245">Z127*AN127</f>
        <v>41.118000000000002</v>
      </c>
      <c r="AP127" s="349">
        <f t="shared" ref="AP127:AP128" si="1246">CEILING(((N127)/AO127),1)</f>
        <v>1</v>
      </c>
      <c r="AQ127" s="350" t="str">
        <f t="shared" ref="AQ127:AQ128" si="1247">IF(AO127*AP127&gt;=N127,"YES","NO")</f>
        <v>YES</v>
      </c>
      <c r="AR127" s="351">
        <f t="shared" ref="AR127:AR128" si="1248">SQRT(3)*AH127*N127*((AA127*L127)+(AB127*SIN(ACOS(L127))))*100/(AP127*K127*1000)</f>
        <v>0.47496635984507235</v>
      </c>
      <c r="AS127" s="343" t="str">
        <f t="shared" si="1217"/>
        <v>YES</v>
      </c>
      <c r="AT127" s="351" t="str">
        <f t="shared" si="1209"/>
        <v>NA</v>
      </c>
      <c r="AU127" s="343" t="str">
        <f t="shared" si="1210"/>
        <v>NA</v>
      </c>
      <c r="AV127" s="354" t="str">
        <f t="shared" si="1211"/>
        <v>1R x 0.6/1kV x 4C x 16 Sqmm</v>
      </c>
      <c r="AW127" s="354" t="str">
        <f t="shared" si="1212"/>
        <v>1R x 0.6/1kV x 4C x 16 Sqmm</v>
      </c>
      <c r="AX127" s="343">
        <f t="shared" si="1218"/>
        <v>58</v>
      </c>
      <c r="AY127" s="343"/>
      <c r="AZ127" s="343">
        <f t="shared" si="1219"/>
        <v>2</v>
      </c>
      <c r="BA127" s="356" t="str">
        <f t="shared" si="1220"/>
        <v/>
      </c>
      <c r="BB127" s="328">
        <f>VLOOKUP(W127,'Catalogue Aluminium'!$B$9:$H$93,7,FALSE)</f>
        <v>21</v>
      </c>
      <c r="BC127" s="328">
        <f t="shared" si="1221"/>
        <v>21</v>
      </c>
      <c r="BE127" s="336"/>
      <c r="BF127" s="336"/>
      <c r="BG127" s="336"/>
      <c r="BH127" s="336"/>
      <c r="BI127" s="336"/>
      <c r="BJ127" s="336"/>
      <c r="BK127" s="336"/>
      <c r="BL127" s="336"/>
      <c r="BM127" s="336"/>
      <c r="BN127" s="336"/>
      <c r="BO127" s="336"/>
      <c r="BP127" s="336"/>
      <c r="BQ127" s="336"/>
      <c r="BR127" s="336"/>
      <c r="BS127" s="336"/>
      <c r="BT127" s="336"/>
      <c r="BU127" s="336"/>
      <c r="BV127" s="336"/>
      <c r="BW127" s="336"/>
      <c r="BX127" s="336"/>
      <c r="BY127" s="336"/>
      <c r="BZ127" s="336"/>
      <c r="CA127" s="336"/>
      <c r="CB127" s="336"/>
      <c r="CC127" s="336"/>
      <c r="CD127" s="336"/>
      <c r="CE127" s="336"/>
      <c r="CF127" s="336"/>
      <c r="CG127" s="336"/>
      <c r="CH127" s="336"/>
      <c r="CI127" s="336"/>
      <c r="CJ127" s="336"/>
      <c r="CK127" s="336"/>
      <c r="CL127" s="336"/>
      <c r="CM127" s="336"/>
      <c r="CN127" s="336"/>
      <c r="CO127" s="336"/>
      <c r="CP127" s="336"/>
      <c r="CQ127" s="336"/>
      <c r="CR127" s="336"/>
      <c r="CS127" s="336"/>
      <c r="CT127" s="336"/>
      <c r="CU127" s="336"/>
      <c r="CV127" s="336"/>
      <c r="CW127" s="336"/>
      <c r="CX127" s="336"/>
      <c r="CY127" s="336"/>
      <c r="CZ127" s="336"/>
      <c r="DA127" s="336"/>
      <c r="DB127" s="336"/>
      <c r="DC127" s="336"/>
      <c r="DD127" s="336"/>
      <c r="DE127" s="336"/>
      <c r="DF127" s="336"/>
      <c r="DG127" s="336"/>
      <c r="DH127" s="336"/>
      <c r="DI127" s="336"/>
      <c r="DJ127" s="336"/>
      <c r="DK127" s="336"/>
      <c r="DL127" s="336"/>
      <c r="DM127" s="336"/>
      <c r="DN127" s="336"/>
      <c r="DO127" s="336"/>
      <c r="DP127" s="336"/>
      <c r="DQ127" s="336"/>
      <c r="DR127" s="336"/>
      <c r="DS127" s="336"/>
      <c r="DT127" s="336"/>
      <c r="DU127" s="336"/>
      <c r="DW127" s="336">
        <f t="shared" si="1022"/>
        <v>0</v>
      </c>
      <c r="DX127" s="336">
        <f t="shared" si="900"/>
        <v>0</v>
      </c>
      <c r="DY127" s="336">
        <f t="shared" si="901"/>
        <v>0</v>
      </c>
      <c r="DZ127" s="336">
        <f t="shared" si="902"/>
        <v>0</v>
      </c>
      <c r="EA127" s="336">
        <f t="shared" si="903"/>
        <v>0</v>
      </c>
      <c r="EB127" s="336">
        <f t="shared" si="904"/>
        <v>0</v>
      </c>
      <c r="EC127" s="336">
        <f t="shared" si="905"/>
        <v>0</v>
      </c>
      <c r="ED127" s="336">
        <f t="shared" si="906"/>
        <v>0</v>
      </c>
      <c r="EE127" s="336">
        <f t="shared" si="907"/>
        <v>0</v>
      </c>
      <c r="EF127" s="336">
        <f t="shared" si="908"/>
        <v>0</v>
      </c>
      <c r="EG127" s="336">
        <f t="shared" si="909"/>
        <v>0</v>
      </c>
      <c r="EH127" s="336">
        <f t="shared" si="910"/>
        <v>0</v>
      </c>
      <c r="EI127" s="336">
        <f t="shared" si="911"/>
        <v>0</v>
      </c>
      <c r="EJ127" s="336">
        <f t="shared" si="912"/>
        <v>0</v>
      </c>
      <c r="EK127" s="336">
        <f t="shared" si="913"/>
        <v>0</v>
      </c>
      <c r="EL127" s="336">
        <f t="shared" si="914"/>
        <v>0</v>
      </c>
      <c r="EM127" s="336">
        <f t="shared" si="915"/>
        <v>0</v>
      </c>
      <c r="EN127" s="336">
        <f t="shared" si="916"/>
        <v>0</v>
      </c>
      <c r="EO127" s="336">
        <f t="shared" si="917"/>
        <v>0</v>
      </c>
      <c r="EP127" s="336">
        <f t="shared" si="918"/>
        <v>0</v>
      </c>
      <c r="EQ127" s="336">
        <f t="shared" si="919"/>
        <v>0</v>
      </c>
      <c r="ER127" s="336">
        <f t="shared" si="920"/>
        <v>0</v>
      </c>
      <c r="ES127" s="336">
        <f t="shared" si="921"/>
        <v>0</v>
      </c>
      <c r="ET127" s="336">
        <f t="shared" si="921"/>
        <v>0</v>
      </c>
      <c r="EU127" s="336">
        <f t="shared" si="922"/>
        <v>0</v>
      </c>
      <c r="EV127" s="336">
        <f t="shared" si="923"/>
        <v>0</v>
      </c>
      <c r="EW127" s="336">
        <f t="shared" si="924"/>
        <v>0</v>
      </c>
      <c r="EX127" s="336">
        <f t="shared" si="925"/>
        <v>0</v>
      </c>
      <c r="EY127" s="336">
        <f t="shared" si="926"/>
        <v>0</v>
      </c>
      <c r="EZ127" s="336">
        <f t="shared" si="927"/>
        <v>0</v>
      </c>
      <c r="FA127" s="336">
        <f t="shared" si="928"/>
        <v>0</v>
      </c>
      <c r="FB127" s="336">
        <f t="shared" si="929"/>
        <v>0</v>
      </c>
      <c r="FC127" s="336">
        <f t="shared" si="930"/>
        <v>0</v>
      </c>
      <c r="FD127" s="336">
        <f t="shared" si="931"/>
        <v>0</v>
      </c>
      <c r="FE127" s="336">
        <f t="shared" si="932"/>
        <v>0</v>
      </c>
      <c r="FF127" s="336">
        <f t="shared" si="933"/>
        <v>0</v>
      </c>
      <c r="FG127" s="336">
        <f t="shared" si="934"/>
        <v>0</v>
      </c>
      <c r="FH127" s="336">
        <f t="shared" si="935"/>
        <v>0</v>
      </c>
      <c r="FI127" s="336">
        <f t="shared" si="936"/>
        <v>0</v>
      </c>
      <c r="FJ127" s="336">
        <f t="shared" si="937"/>
        <v>0</v>
      </c>
      <c r="FK127" s="336">
        <f t="shared" si="938"/>
        <v>0</v>
      </c>
      <c r="FL127" s="336">
        <f t="shared" si="939"/>
        <v>0</v>
      </c>
      <c r="FM127" s="336">
        <f t="shared" si="940"/>
        <v>0</v>
      </c>
      <c r="FN127" s="336">
        <f t="shared" si="941"/>
        <v>0</v>
      </c>
      <c r="FO127" s="336">
        <f t="shared" si="942"/>
        <v>0</v>
      </c>
      <c r="FP127" s="336">
        <f t="shared" si="943"/>
        <v>0</v>
      </c>
      <c r="FQ127" s="336">
        <f t="shared" si="944"/>
        <v>0</v>
      </c>
      <c r="FR127" s="336">
        <f t="shared" si="945"/>
        <v>0</v>
      </c>
      <c r="FS127" s="336">
        <f t="shared" si="946"/>
        <v>0</v>
      </c>
      <c r="FT127" s="336">
        <f t="shared" si="947"/>
        <v>0</v>
      </c>
      <c r="FU127" s="336">
        <f t="shared" si="1222"/>
        <v>0</v>
      </c>
      <c r="FV127" s="336">
        <f t="shared" si="1223"/>
        <v>0</v>
      </c>
      <c r="FW127" s="336">
        <f t="shared" si="1224"/>
        <v>0</v>
      </c>
      <c r="FX127" s="336">
        <f t="shared" si="1225"/>
        <v>0</v>
      </c>
      <c r="FY127" s="336">
        <f t="shared" si="948"/>
        <v>0</v>
      </c>
      <c r="FZ127" s="336">
        <f t="shared" si="949"/>
        <v>0</v>
      </c>
      <c r="GA127" s="336">
        <f t="shared" si="950"/>
        <v>0</v>
      </c>
      <c r="GB127" s="336">
        <f t="shared" si="951"/>
        <v>0</v>
      </c>
      <c r="GC127" s="336">
        <f t="shared" si="952"/>
        <v>0</v>
      </c>
      <c r="GD127" s="336">
        <f t="shared" si="953"/>
        <v>0</v>
      </c>
      <c r="GE127" s="336">
        <f t="shared" si="954"/>
        <v>0</v>
      </c>
      <c r="GF127" s="336">
        <f t="shared" si="955"/>
        <v>0</v>
      </c>
      <c r="GG127" s="336">
        <f t="shared" si="956"/>
        <v>0</v>
      </c>
      <c r="GH127" s="336">
        <f t="shared" si="957"/>
        <v>0</v>
      </c>
      <c r="GI127" s="336">
        <f t="shared" si="958"/>
        <v>0</v>
      </c>
      <c r="GJ127" s="336">
        <f t="shared" si="959"/>
        <v>0</v>
      </c>
      <c r="GK127" s="336">
        <f t="shared" si="960"/>
        <v>0</v>
      </c>
      <c r="GL127" s="336">
        <f t="shared" si="1226"/>
        <v>0</v>
      </c>
      <c r="GM127" s="336">
        <f t="shared" si="961"/>
        <v>0</v>
      </c>
    </row>
    <row r="128" spans="1:195" ht="20.100000000000001" customHeight="1">
      <c r="A128" s="337">
        <f>A127+1</f>
        <v>94</v>
      </c>
      <c r="B128" s="567" t="s">
        <v>1241</v>
      </c>
      <c r="C128" s="372" t="s">
        <v>1238</v>
      </c>
      <c r="D128" s="567" t="s">
        <v>1242</v>
      </c>
      <c r="E128" s="372" t="s">
        <v>1243</v>
      </c>
      <c r="F128" s="444"/>
      <c r="G128" s="337" t="s">
        <v>329</v>
      </c>
      <c r="H128" s="350">
        <v>5</v>
      </c>
      <c r="I128" s="337" t="s">
        <v>330</v>
      </c>
      <c r="J128" s="337" t="s">
        <v>331</v>
      </c>
      <c r="K128" s="343">
        <v>400</v>
      </c>
      <c r="L128" s="343">
        <v>0.85000000000000009</v>
      </c>
      <c r="M128" s="350">
        <v>0.95042105263157861</v>
      </c>
      <c r="N128" s="342">
        <f t="shared" si="1236"/>
        <v>8.9336133449992658</v>
      </c>
      <c r="O128" s="342">
        <f t="shared" si="1237"/>
        <v>0</v>
      </c>
      <c r="P128" s="343" t="str">
        <f t="shared" si="1238"/>
        <v>0.00</v>
      </c>
      <c r="Q128" s="350">
        <v>65</v>
      </c>
      <c r="R128" s="350">
        <v>0</v>
      </c>
      <c r="S128" s="350">
        <f t="shared" si="1239"/>
        <v>0</v>
      </c>
      <c r="T128" s="343" t="s">
        <v>332</v>
      </c>
      <c r="U128" s="350" t="s">
        <v>522</v>
      </c>
      <c r="V128" s="343">
        <v>16</v>
      </c>
      <c r="W128" s="343" t="str">
        <f t="shared" si="1240"/>
        <v>4C X 16</v>
      </c>
      <c r="X128" s="343" t="str">
        <f t="shared" si="1241"/>
        <v>4C X 16</v>
      </c>
      <c r="Y128" s="343" t="s">
        <v>358</v>
      </c>
      <c r="Z128" s="344">
        <f>IF(T128="AIR",VLOOKUP(W128,'Catalogue Aluminium'!$B$9:$G$93,2,FALSE),IF(T128="GROUND",VLOOKUP(W128,'Catalogue Aluminium'!$B$9:$G$93,3,FALSE),IF(T128="DUCT",VLOOKUP(W128,'Catalogue Aluminium'!$B$9:$G$93,4,FALSE),IF(T128="TRENCH",VLOOKUP(W128,'Catalogue Aluminium'!$B$9:$G$93,2,FALSE)))))</f>
        <v>70</v>
      </c>
      <c r="AA128" s="345">
        <f>VLOOKUP(W128,'Catalogue Aluminium'!$B$9:$G$93,5,FALSE)</f>
        <v>2.44</v>
      </c>
      <c r="AB128" s="345">
        <f>VLOOKUP(W128,'Catalogue Aluminium'!$B$9:$G$93,6,FALSE)</f>
        <v>8.1500000000000003E-2</v>
      </c>
      <c r="AC128" s="343">
        <f>24+10</f>
        <v>34</v>
      </c>
      <c r="AD128" s="343">
        <v>0</v>
      </c>
      <c r="AE128" s="343">
        <v>10</v>
      </c>
      <c r="AF128" s="343">
        <v>8</v>
      </c>
      <c r="AG128" s="343">
        <f t="shared" si="1242"/>
        <v>6</v>
      </c>
      <c r="AH128" s="347">
        <f t="shared" si="1243"/>
        <v>58</v>
      </c>
      <c r="AI128" s="344">
        <f>IF(T128="AIR",'Catalogue Aluminium'!$K$9,IF(T128="TRENCH",'Catalogue Aluminium'!$K$12,"NA"))</f>
        <v>0.89</v>
      </c>
      <c r="AJ128" s="342">
        <f>IF(T128="Air",(IF(U128="1C",'Catalogue Aluminium'!$L$9,'Catalogue Aluminium'!$M$9)),IF(T128="DUCT",(IF($U128="1C",'Catalogue Aluminium'!$L$10,'Catalogue Aluminium'!$M$10)),IF(T128="GROUND",(IF($U128="1C",'Catalogue Aluminium'!$L$11,'Catalogue Aluminium'!$M$11)),IF(T128="TRENCH",(IF($U128="1C",'Catalogue Aluminium'!$L$12,'Catalogue Aluminium'!$M$12))))))</f>
        <v>0.66</v>
      </c>
      <c r="AK128" s="344" t="str">
        <f>IF(T128="Air",'Catalogue Aluminium'!$N$9,IF(T128="GROUND",'Catalogue Aluminium'!$N$10,IF(T128="DUCT",'Catalogue Aluminium'!$N$11,IF(T128="TRENCH",'Catalogue Aluminium'!$N$12,"NA"))))</f>
        <v>NA</v>
      </c>
      <c r="AL128" s="344" t="str">
        <f>IF(T128="Air",(IF(U128="1C",'Catalogue Aluminium'!$O$9,'Catalogue Aluminium'!$P$9)),IF(T128="DUCT",(IF($U128="1C",'Catalogue Aluminium'!$O$10,'Catalogue Aluminium'!$P$10)),IF(T128="GROUND",(IF($U128="1C",'Catalogue Aluminium'!$O$11,'Catalogue Aluminium'!$P$11)),IF(T128="TRENCH",(IF($U128="1C",'Catalogue Aluminium'!$O$12,'Catalogue Aluminium'!$P$12))))))</f>
        <v>NA</v>
      </c>
      <c r="AM128" s="344" t="str">
        <f>IF(T128="AIR","NA",IF(T128="TRENCH","NA",IF(T128="DUCT",IF(U128="1C",VLOOKUP(V128,'Catalogue Aluminium'!$Q$9:$S$28,2,FALSE),VLOOKUP(V128,'Catalogue Aluminium'!$Q$9:$S$28,3)),IF(T128="GROUND",IF(U128="1C",VLOOKUP(V128,'Catalogue Aluminium'!$Q$9:$S$28,2,FALSE),VLOOKUP(V128,'Catalogue Aluminium'!$Q$9:$S$28,3))))))</f>
        <v>NA</v>
      </c>
      <c r="AN128" s="351">
        <f t="shared" si="1244"/>
        <v>0.58740000000000003</v>
      </c>
      <c r="AO128" s="350">
        <f t="shared" si="1245"/>
        <v>41.118000000000002</v>
      </c>
      <c r="AP128" s="349">
        <f t="shared" si="1246"/>
        <v>1</v>
      </c>
      <c r="AQ128" s="350" t="str">
        <f t="shared" si="1247"/>
        <v>YES</v>
      </c>
      <c r="AR128" s="351">
        <f t="shared" si="1248"/>
        <v>0.47496635984507235</v>
      </c>
      <c r="AS128" s="343" t="str">
        <f t="shared" si="1217"/>
        <v>YES</v>
      </c>
      <c r="AT128" s="351" t="str">
        <f t="shared" si="1209"/>
        <v>NA</v>
      </c>
      <c r="AU128" s="343" t="str">
        <f t="shared" si="1210"/>
        <v>NA</v>
      </c>
      <c r="AV128" s="354" t="str">
        <f t="shared" si="1211"/>
        <v>1R x 0.6/1kV x 4C x 16 Sqmm</v>
      </c>
      <c r="AW128" s="354" t="str">
        <f t="shared" si="1212"/>
        <v>1R x 0.6/1kV x 4C x 16 Sqmm</v>
      </c>
      <c r="AX128" s="343">
        <f t="shared" si="1218"/>
        <v>58</v>
      </c>
      <c r="AY128" s="343"/>
      <c r="AZ128" s="343">
        <f t="shared" si="1219"/>
        <v>2</v>
      </c>
      <c r="BA128" s="356" t="str">
        <f t="shared" si="1220"/>
        <v/>
      </c>
      <c r="BB128" s="328">
        <f>VLOOKUP(W128,'Catalogue Aluminium'!$B$9:$H$93,7,FALSE)</f>
        <v>21</v>
      </c>
      <c r="BC128" s="328">
        <f t="shared" si="1221"/>
        <v>21</v>
      </c>
      <c r="BE128" s="336"/>
      <c r="BF128" s="336"/>
      <c r="BG128" s="336"/>
      <c r="BH128" s="336"/>
      <c r="BI128" s="336"/>
      <c r="BJ128" s="336"/>
      <c r="BK128" s="336"/>
      <c r="BL128" s="336"/>
      <c r="BM128" s="336"/>
      <c r="BN128" s="336"/>
      <c r="BO128" s="336"/>
      <c r="BP128" s="336"/>
      <c r="BQ128" s="336"/>
      <c r="BR128" s="336"/>
      <c r="BS128" s="336"/>
      <c r="BT128" s="336"/>
      <c r="BU128" s="336"/>
      <c r="BV128" s="336"/>
      <c r="BW128" s="336"/>
      <c r="BX128" s="336"/>
      <c r="BY128" s="336"/>
      <c r="BZ128" s="336"/>
      <c r="CA128" s="336"/>
      <c r="CB128" s="336"/>
      <c r="CC128" s="336"/>
      <c r="CD128" s="336"/>
      <c r="CE128" s="336"/>
      <c r="CF128" s="336"/>
      <c r="CG128" s="336"/>
      <c r="CH128" s="336"/>
      <c r="CI128" s="336"/>
      <c r="CJ128" s="336"/>
      <c r="CK128" s="336"/>
      <c r="CL128" s="336"/>
      <c r="CM128" s="336"/>
      <c r="CN128" s="336"/>
      <c r="CO128" s="336"/>
      <c r="CP128" s="336"/>
      <c r="CQ128" s="336"/>
      <c r="CR128" s="336"/>
      <c r="CS128" s="336"/>
      <c r="CT128" s="336"/>
      <c r="CU128" s="336"/>
      <c r="CV128" s="336"/>
      <c r="CW128" s="336"/>
      <c r="CX128" s="336"/>
      <c r="CY128" s="336"/>
      <c r="CZ128" s="336"/>
      <c r="DA128" s="336"/>
      <c r="DB128" s="336"/>
      <c r="DC128" s="336"/>
      <c r="DD128" s="336"/>
      <c r="DE128" s="336"/>
      <c r="DF128" s="336"/>
      <c r="DG128" s="336"/>
      <c r="DH128" s="336"/>
      <c r="DI128" s="336"/>
      <c r="DJ128" s="336"/>
      <c r="DK128" s="336"/>
      <c r="DL128" s="336"/>
      <c r="DM128" s="336"/>
      <c r="DN128" s="336"/>
      <c r="DO128" s="336"/>
      <c r="DP128" s="336"/>
      <c r="DQ128" s="336"/>
      <c r="DR128" s="336"/>
      <c r="DS128" s="336"/>
      <c r="DT128" s="336"/>
      <c r="DU128" s="336"/>
      <c r="DW128" s="336">
        <f t="shared" si="1022"/>
        <v>0</v>
      </c>
      <c r="DX128" s="336">
        <f t="shared" si="900"/>
        <v>0</v>
      </c>
      <c r="DY128" s="336">
        <f t="shared" si="901"/>
        <v>0</v>
      </c>
      <c r="DZ128" s="336">
        <f t="shared" si="902"/>
        <v>0</v>
      </c>
      <c r="EA128" s="336">
        <f t="shared" si="903"/>
        <v>0</v>
      </c>
      <c r="EB128" s="336">
        <f t="shared" si="904"/>
        <v>0</v>
      </c>
      <c r="EC128" s="336">
        <f t="shared" si="905"/>
        <v>0</v>
      </c>
      <c r="ED128" s="336">
        <f t="shared" si="906"/>
        <v>0</v>
      </c>
      <c r="EE128" s="336">
        <f t="shared" si="907"/>
        <v>0</v>
      </c>
      <c r="EF128" s="336">
        <f t="shared" si="908"/>
        <v>0</v>
      </c>
      <c r="EG128" s="336">
        <f t="shared" si="909"/>
        <v>0</v>
      </c>
      <c r="EH128" s="336">
        <f t="shared" si="910"/>
        <v>0</v>
      </c>
      <c r="EI128" s="336">
        <f t="shared" si="911"/>
        <v>0</v>
      </c>
      <c r="EJ128" s="336">
        <f t="shared" si="912"/>
        <v>0</v>
      </c>
      <c r="EK128" s="336">
        <f t="shared" si="913"/>
        <v>0</v>
      </c>
      <c r="EL128" s="336">
        <f t="shared" si="914"/>
        <v>0</v>
      </c>
      <c r="EM128" s="336">
        <f t="shared" si="915"/>
        <v>0</v>
      </c>
      <c r="EN128" s="336">
        <f t="shared" si="916"/>
        <v>0</v>
      </c>
      <c r="EO128" s="336">
        <f t="shared" si="917"/>
        <v>0</v>
      </c>
      <c r="EP128" s="336">
        <f t="shared" si="918"/>
        <v>0</v>
      </c>
      <c r="EQ128" s="336">
        <f t="shared" si="919"/>
        <v>0</v>
      </c>
      <c r="ER128" s="336">
        <f t="shared" si="920"/>
        <v>0</v>
      </c>
      <c r="ES128" s="336">
        <f t="shared" si="921"/>
        <v>0</v>
      </c>
      <c r="ET128" s="336">
        <f t="shared" si="921"/>
        <v>0</v>
      </c>
      <c r="EU128" s="336">
        <f t="shared" si="922"/>
        <v>0</v>
      </c>
      <c r="EV128" s="336">
        <f t="shared" si="923"/>
        <v>0</v>
      </c>
      <c r="EW128" s="336">
        <f t="shared" si="924"/>
        <v>0</v>
      </c>
      <c r="EX128" s="336">
        <f t="shared" si="925"/>
        <v>0</v>
      </c>
      <c r="EY128" s="336">
        <f t="shared" si="926"/>
        <v>0</v>
      </c>
      <c r="EZ128" s="336">
        <f t="shared" si="927"/>
        <v>0</v>
      </c>
      <c r="FA128" s="336">
        <f t="shared" si="928"/>
        <v>0</v>
      </c>
      <c r="FB128" s="336">
        <f t="shared" si="929"/>
        <v>0</v>
      </c>
      <c r="FC128" s="336">
        <f t="shared" si="930"/>
        <v>0</v>
      </c>
      <c r="FD128" s="336">
        <f t="shared" si="931"/>
        <v>0</v>
      </c>
      <c r="FE128" s="336">
        <f t="shared" si="932"/>
        <v>0</v>
      </c>
      <c r="FF128" s="336">
        <f t="shared" si="933"/>
        <v>0</v>
      </c>
      <c r="FG128" s="336">
        <f t="shared" si="934"/>
        <v>0</v>
      </c>
      <c r="FH128" s="336">
        <f t="shared" si="935"/>
        <v>0</v>
      </c>
      <c r="FI128" s="336">
        <f t="shared" si="936"/>
        <v>0</v>
      </c>
      <c r="FJ128" s="336">
        <f t="shared" si="937"/>
        <v>0</v>
      </c>
      <c r="FK128" s="336">
        <f t="shared" si="938"/>
        <v>0</v>
      </c>
      <c r="FL128" s="336">
        <f t="shared" si="939"/>
        <v>0</v>
      </c>
      <c r="FM128" s="336">
        <f t="shared" si="940"/>
        <v>0</v>
      </c>
      <c r="FN128" s="336">
        <f t="shared" si="941"/>
        <v>0</v>
      </c>
      <c r="FO128" s="336">
        <f t="shared" si="942"/>
        <v>0</v>
      </c>
      <c r="FP128" s="336">
        <f t="shared" si="943"/>
        <v>0</v>
      </c>
      <c r="FQ128" s="336">
        <f t="shared" si="944"/>
        <v>0</v>
      </c>
      <c r="FR128" s="336">
        <f t="shared" si="945"/>
        <v>0</v>
      </c>
      <c r="FS128" s="336">
        <f t="shared" si="946"/>
        <v>0</v>
      </c>
      <c r="FT128" s="336">
        <f t="shared" si="947"/>
        <v>0</v>
      </c>
      <c r="FU128" s="336">
        <f t="shared" si="1222"/>
        <v>0</v>
      </c>
      <c r="FV128" s="336">
        <f t="shared" si="1223"/>
        <v>0</v>
      </c>
      <c r="FW128" s="336">
        <f t="shared" si="1224"/>
        <v>0</v>
      </c>
      <c r="FX128" s="336">
        <f t="shared" si="1225"/>
        <v>0</v>
      </c>
      <c r="FY128" s="336">
        <f t="shared" si="948"/>
        <v>0</v>
      </c>
      <c r="FZ128" s="336">
        <f t="shared" si="949"/>
        <v>0</v>
      </c>
      <c r="GA128" s="336">
        <f t="shared" si="950"/>
        <v>0</v>
      </c>
      <c r="GB128" s="336">
        <f t="shared" si="951"/>
        <v>0</v>
      </c>
      <c r="GC128" s="336">
        <f t="shared" si="952"/>
        <v>0</v>
      </c>
      <c r="GD128" s="336">
        <f t="shared" si="953"/>
        <v>0</v>
      </c>
      <c r="GE128" s="336">
        <f t="shared" si="954"/>
        <v>0</v>
      </c>
      <c r="GF128" s="336">
        <f t="shared" si="955"/>
        <v>0</v>
      </c>
      <c r="GG128" s="336">
        <f t="shared" si="956"/>
        <v>0</v>
      </c>
      <c r="GH128" s="336">
        <f t="shared" si="957"/>
        <v>0</v>
      </c>
      <c r="GI128" s="336">
        <f t="shared" si="958"/>
        <v>0</v>
      </c>
      <c r="GJ128" s="336">
        <f t="shared" si="959"/>
        <v>0</v>
      </c>
      <c r="GK128" s="336">
        <f t="shared" si="960"/>
        <v>0</v>
      </c>
      <c r="GL128" s="336">
        <f t="shared" si="1226"/>
        <v>0</v>
      </c>
      <c r="GM128" s="336">
        <f t="shared" si="961"/>
        <v>0</v>
      </c>
    </row>
    <row r="129" spans="1:229" ht="33" customHeight="1">
      <c r="A129" s="337">
        <f t="shared" si="1227"/>
        <v>95</v>
      </c>
      <c r="B129" s="567" t="s">
        <v>1244</v>
      </c>
      <c r="C129" s="372" t="s">
        <v>1209</v>
      </c>
      <c r="D129" s="567" t="s">
        <v>1245</v>
      </c>
      <c r="E129" s="372" t="s">
        <v>1246</v>
      </c>
      <c r="F129" s="444"/>
      <c r="G129" s="337" t="s">
        <v>329</v>
      </c>
      <c r="H129" s="350">
        <v>5</v>
      </c>
      <c r="I129" s="337" t="s">
        <v>330</v>
      </c>
      <c r="J129" s="337" t="s">
        <v>331</v>
      </c>
      <c r="K129" s="343">
        <v>400</v>
      </c>
      <c r="L129" s="343">
        <v>0.85000000000000009</v>
      </c>
      <c r="M129" s="350">
        <v>0.95042105263157861</v>
      </c>
      <c r="N129" s="342">
        <f t="shared" ref="N129:N131" si="1249">IF(I129="kVA",IF(J129="3Ph",(H129*1000/(1.732*M129*K129)),(H129*1000/(M129*K129))),IF(I129="kW",IF(J129="3Ph",(H129*1000/(1.732*M129*K129*L129)),(H129*1000/(M129*K129*L129)))))</f>
        <v>8.9336133449992658</v>
      </c>
      <c r="O129" s="342">
        <f t="shared" ref="O129:O131" si="1250">IF(G129="MOTOR",(6*N129),IF(G129="VFD",(1*N129),0))</f>
        <v>0</v>
      </c>
      <c r="P129" s="343" t="str">
        <f t="shared" ref="P129:P131" si="1251">IF(G129="MOTOR",0.2,"0.00")</f>
        <v>0.00</v>
      </c>
      <c r="Q129" s="350">
        <v>65</v>
      </c>
      <c r="R129" s="350">
        <v>0</v>
      </c>
      <c r="S129" s="350">
        <f t="shared" ref="S129:S131" si="1252">(Q129*1000*SQRT(R129)/143)</f>
        <v>0</v>
      </c>
      <c r="T129" s="343" t="s">
        <v>332</v>
      </c>
      <c r="U129" s="350" t="s">
        <v>522</v>
      </c>
      <c r="V129" s="343">
        <v>16</v>
      </c>
      <c r="W129" s="343" t="str">
        <f t="shared" ref="W129:W131" si="1253">CONCATENATE(U129," X ",V129)</f>
        <v>4C X 16</v>
      </c>
      <c r="X129" s="343" t="str">
        <f t="shared" ref="X129:X131" si="1254">(IF(J129="1Ph",W129,IF(J129="3Ph",(IF(G129="MOTOR",(CONCATENATE(W129,"+PE")),W129)))))</f>
        <v>4C X 16</v>
      </c>
      <c r="Y129" s="343" t="s">
        <v>358</v>
      </c>
      <c r="Z129" s="344">
        <f>IF(T129="AIR",VLOOKUP(W129,'Catalogue Aluminium'!$B$9:$G$93,2,FALSE),IF(T129="GROUND",VLOOKUP(W129,'Catalogue Aluminium'!$B$9:$G$93,3,FALSE),IF(T129="DUCT",VLOOKUP(W129,'Catalogue Aluminium'!$B$9:$G$93,4,FALSE),IF(T129="TRENCH",VLOOKUP(W129,'Catalogue Aluminium'!$B$9:$G$93,2,FALSE)))))</f>
        <v>70</v>
      </c>
      <c r="AA129" s="345">
        <f>VLOOKUP(W129,'Catalogue Aluminium'!$B$9:$G$93,5,FALSE)</f>
        <v>2.44</v>
      </c>
      <c r="AB129" s="345">
        <f>VLOOKUP(W129,'Catalogue Aluminium'!$B$9:$G$93,6,FALSE)</f>
        <v>8.1500000000000003E-2</v>
      </c>
      <c r="AC129" s="343">
        <f t="shared" si="1201"/>
        <v>23</v>
      </c>
      <c r="AD129" s="343">
        <f>12+58+20+54+71+10</f>
        <v>225</v>
      </c>
      <c r="AE129" s="343">
        <v>10</v>
      </c>
      <c r="AF129" s="343">
        <v>8</v>
      </c>
      <c r="AG129" s="343">
        <f t="shared" ref="AG129:AG131" si="1255">ROUNDUP((SUM(AC129:AF129)*0.1),0)</f>
        <v>27</v>
      </c>
      <c r="AH129" s="347">
        <f t="shared" ref="AH129:AH131" si="1256">SUM(AC129:AG129)</f>
        <v>293</v>
      </c>
      <c r="AI129" s="344">
        <f>IF(T129="AIR",'Catalogue Aluminium'!$K$9,IF(T129="TRENCH",'Catalogue Aluminium'!$K$12,"NA"))</f>
        <v>0.89</v>
      </c>
      <c r="AJ129" s="342">
        <f>IF(T129="Air",(IF(U129="1C",'Catalogue Aluminium'!$L$9,'Catalogue Aluminium'!$M$9)),IF(T129="DUCT",(IF($U129="1C",'Catalogue Aluminium'!$L$10,'Catalogue Aluminium'!$M$10)),IF(T129="GROUND",(IF($U129="1C",'Catalogue Aluminium'!$L$11,'Catalogue Aluminium'!$M$11)),IF(T129="TRENCH",(IF($U129="1C",'Catalogue Aluminium'!$L$12,'Catalogue Aluminium'!$M$12))))))</f>
        <v>0.66</v>
      </c>
      <c r="AK129" s="344" t="str">
        <f>IF(T129="Air",'Catalogue Aluminium'!$N$9,IF(T129="GROUND",'Catalogue Aluminium'!$N$10,IF(T129="DUCT",'Catalogue Aluminium'!$N$11,IF(T129="TRENCH",'Catalogue Aluminium'!$N$12,"NA"))))</f>
        <v>NA</v>
      </c>
      <c r="AL129" s="344" t="str">
        <f>IF(T129="Air",(IF(U129="1C",'Catalogue Aluminium'!$O$9,'Catalogue Aluminium'!$P$9)),IF(T129="DUCT",(IF($U129="1C",'Catalogue Aluminium'!$O$10,'Catalogue Aluminium'!$P$10)),IF(T129="GROUND",(IF($U129="1C",'Catalogue Aluminium'!$O$11,'Catalogue Aluminium'!$P$11)),IF(T129="TRENCH",(IF($U129="1C",'Catalogue Aluminium'!$O$12,'Catalogue Aluminium'!$P$12))))))</f>
        <v>NA</v>
      </c>
      <c r="AM129" s="344" t="str">
        <f>IF(T129="AIR","NA",IF(T129="TRENCH","NA",IF(T129="DUCT",IF(U129="1C",VLOOKUP(V129,'Catalogue Aluminium'!$Q$9:$S$28,2,FALSE),VLOOKUP(V129,'Catalogue Aluminium'!$Q$9:$S$28,3)),IF(T129="GROUND",IF(U129="1C",VLOOKUP(V129,'Catalogue Aluminium'!$Q$9:$S$28,2,FALSE),VLOOKUP(V129,'Catalogue Aluminium'!$Q$9:$S$28,3))))))</f>
        <v>NA</v>
      </c>
      <c r="AN129" s="351">
        <f t="shared" ref="AN129:AN131" si="1257">IF(T129="AIR",AI129*AJ129,IF(T129="TRENCH",AI129*AJ129,IF(T129="DUCT",AJ129*AK129*AL129*AM129,IF(T129="GROUND",AJ129*AK129*AL129*AM129))))</f>
        <v>0.58740000000000003</v>
      </c>
      <c r="AO129" s="350">
        <f t="shared" ref="AO129:AO131" si="1258">Z129*AN129</f>
        <v>41.118000000000002</v>
      </c>
      <c r="AP129" s="349">
        <f t="shared" ref="AP129:AP131" si="1259">CEILING(((N129)/AO129),1)</f>
        <v>1</v>
      </c>
      <c r="AQ129" s="350" t="str">
        <f t="shared" ref="AQ129:AQ131" si="1260">IF(AO129*AP129&gt;=N129,"YES","NO")</f>
        <v>YES</v>
      </c>
      <c r="AR129" s="351">
        <f t="shared" ref="AR129:AR131" si="1261">SQRT(3)*AH129*N129*((AA129*L129)+(AB129*SIN(ACOS(L129))))*100/(AP129*K129*1000)</f>
        <v>2.3993990247345902</v>
      </c>
      <c r="AS129" s="343" t="str">
        <f t="shared" si="1217"/>
        <v>YES</v>
      </c>
      <c r="AT129" s="351" t="str">
        <f t="shared" si="1209"/>
        <v>NA</v>
      </c>
      <c r="AU129" s="343" t="str">
        <f t="shared" si="1210"/>
        <v>NA</v>
      </c>
      <c r="AV129" s="351" t="str">
        <f t="shared" si="1211"/>
        <v>1R x 0.6/1kV x 4C x 16 Sqmm</v>
      </c>
      <c r="AW129" s="351" t="str">
        <f t="shared" si="1212"/>
        <v>1R x 0.6/1kV x 4C x 16 Sqmm</v>
      </c>
      <c r="AX129" s="342">
        <f t="shared" si="1218"/>
        <v>293</v>
      </c>
      <c r="AY129" s="342"/>
      <c r="AZ129" s="342">
        <f t="shared" si="1219"/>
        <v>2</v>
      </c>
      <c r="BA129" s="356" t="str">
        <f t="shared" si="1220"/>
        <v>Q3RR1R2SS1TT1</v>
      </c>
      <c r="BB129" s="342">
        <f>VLOOKUP(W129,'Catalogue Aluminium'!$B$9:$H$93,7,FALSE)</f>
        <v>21</v>
      </c>
      <c r="BC129" s="342">
        <f t="shared" si="1221"/>
        <v>21</v>
      </c>
      <c r="BE129" s="336"/>
      <c r="BF129" s="336"/>
      <c r="BG129" s="336"/>
      <c r="BH129" s="336"/>
      <c r="BI129" s="336"/>
      <c r="BJ129" s="336"/>
      <c r="BK129" s="336"/>
      <c r="BL129" s="336"/>
      <c r="BM129" s="336"/>
      <c r="BN129" s="336"/>
      <c r="BO129" s="336"/>
      <c r="BP129" s="336"/>
      <c r="BQ129" s="336"/>
      <c r="BR129" s="336"/>
      <c r="BS129" s="336"/>
      <c r="BT129" s="336"/>
      <c r="BU129" s="336"/>
      <c r="BV129" s="336"/>
      <c r="BW129" s="336"/>
      <c r="BX129" s="336"/>
      <c r="BY129" s="336"/>
      <c r="BZ129" s="336"/>
      <c r="CA129" s="336"/>
      <c r="CB129" s="336"/>
      <c r="CC129" s="336"/>
      <c r="CD129" s="336"/>
      <c r="CE129" s="336"/>
      <c r="CF129" s="336"/>
      <c r="CG129" s="336"/>
      <c r="CH129" s="336"/>
      <c r="CI129" s="336"/>
      <c r="CJ129" s="336"/>
      <c r="CK129" s="336"/>
      <c r="CL129" s="336"/>
      <c r="CM129" s="336"/>
      <c r="CN129" s="336"/>
      <c r="CO129" s="336"/>
      <c r="CP129" s="336"/>
      <c r="CQ129" s="336"/>
      <c r="CR129" s="336"/>
      <c r="CS129" s="336"/>
      <c r="CT129" s="336"/>
      <c r="CU129" s="336"/>
      <c r="CV129" s="336"/>
      <c r="CW129" s="336"/>
      <c r="CX129" s="336"/>
      <c r="CY129" s="336"/>
      <c r="CZ129" s="336"/>
      <c r="DA129" s="336">
        <v>1</v>
      </c>
      <c r="DB129" s="336"/>
      <c r="DC129" s="336"/>
      <c r="DD129" s="336"/>
      <c r="DE129" s="336"/>
      <c r="DF129" s="336"/>
      <c r="DG129" s="336">
        <v>1</v>
      </c>
      <c r="DH129" s="336">
        <v>1</v>
      </c>
      <c r="DI129" s="336">
        <v>1</v>
      </c>
      <c r="DJ129" s="336"/>
      <c r="DK129" s="336"/>
      <c r="DL129" s="336">
        <v>1</v>
      </c>
      <c r="DM129" s="336"/>
      <c r="DN129" s="336"/>
      <c r="DO129" s="336">
        <v>1</v>
      </c>
      <c r="DP129" s="336"/>
      <c r="DQ129" s="336">
        <v>1</v>
      </c>
      <c r="DR129" s="336">
        <v>1</v>
      </c>
      <c r="DS129" s="336"/>
      <c r="DT129" s="336"/>
      <c r="DU129" s="336"/>
      <c r="DW129" s="336">
        <f t="shared" si="1022"/>
        <v>0</v>
      </c>
      <c r="DX129" s="336">
        <f t="shared" si="900"/>
        <v>0</v>
      </c>
      <c r="DY129" s="336">
        <f t="shared" si="901"/>
        <v>0</v>
      </c>
      <c r="DZ129" s="336">
        <f t="shared" si="902"/>
        <v>0</v>
      </c>
      <c r="EA129" s="336">
        <f t="shared" si="903"/>
        <v>0</v>
      </c>
      <c r="EB129" s="336">
        <f t="shared" si="904"/>
        <v>0</v>
      </c>
      <c r="EC129" s="336">
        <f t="shared" si="905"/>
        <v>0</v>
      </c>
      <c r="ED129" s="336">
        <f t="shared" si="906"/>
        <v>0</v>
      </c>
      <c r="EE129" s="336">
        <f t="shared" si="907"/>
        <v>0</v>
      </c>
      <c r="EF129" s="336">
        <f t="shared" si="908"/>
        <v>0</v>
      </c>
      <c r="EG129" s="336">
        <f t="shared" si="909"/>
        <v>0</v>
      </c>
      <c r="EH129" s="336">
        <f t="shared" si="910"/>
        <v>0</v>
      </c>
      <c r="EI129" s="336">
        <f t="shared" si="911"/>
        <v>0</v>
      </c>
      <c r="EJ129" s="336">
        <f t="shared" si="912"/>
        <v>0</v>
      </c>
      <c r="EK129" s="336">
        <f t="shared" si="913"/>
        <v>0</v>
      </c>
      <c r="EL129" s="336">
        <f t="shared" si="914"/>
        <v>0</v>
      </c>
      <c r="EM129" s="336">
        <f t="shared" si="915"/>
        <v>0</v>
      </c>
      <c r="EN129" s="336">
        <f t="shared" si="916"/>
        <v>0</v>
      </c>
      <c r="EO129" s="336">
        <f t="shared" si="917"/>
        <v>0</v>
      </c>
      <c r="EP129" s="336">
        <f t="shared" si="918"/>
        <v>0</v>
      </c>
      <c r="EQ129" s="336">
        <f t="shared" si="919"/>
        <v>0</v>
      </c>
      <c r="ER129" s="336">
        <f t="shared" si="920"/>
        <v>0</v>
      </c>
      <c r="ES129" s="336">
        <f t="shared" si="921"/>
        <v>0</v>
      </c>
      <c r="ET129" s="336">
        <f t="shared" si="921"/>
        <v>0</v>
      </c>
      <c r="EU129" s="336">
        <f t="shared" si="922"/>
        <v>0</v>
      </c>
      <c r="EV129" s="336">
        <f t="shared" si="923"/>
        <v>0</v>
      </c>
      <c r="EW129" s="336">
        <f t="shared" si="924"/>
        <v>0</v>
      </c>
      <c r="EX129" s="336">
        <f t="shared" si="925"/>
        <v>0</v>
      </c>
      <c r="EY129" s="336">
        <f t="shared" si="926"/>
        <v>0</v>
      </c>
      <c r="EZ129" s="336">
        <f t="shared" si="927"/>
        <v>0</v>
      </c>
      <c r="FA129" s="336">
        <f t="shared" si="928"/>
        <v>0</v>
      </c>
      <c r="FB129" s="336">
        <f t="shared" si="929"/>
        <v>0</v>
      </c>
      <c r="FC129" s="336">
        <f t="shared" si="930"/>
        <v>0</v>
      </c>
      <c r="FD129" s="336">
        <f t="shared" si="931"/>
        <v>0</v>
      </c>
      <c r="FE129" s="336">
        <f t="shared" si="932"/>
        <v>0</v>
      </c>
      <c r="FF129" s="336">
        <f t="shared" si="933"/>
        <v>0</v>
      </c>
      <c r="FG129" s="336">
        <f t="shared" si="934"/>
        <v>0</v>
      </c>
      <c r="FH129" s="336">
        <f t="shared" si="935"/>
        <v>0</v>
      </c>
      <c r="FI129" s="336">
        <f t="shared" si="936"/>
        <v>0</v>
      </c>
      <c r="FJ129" s="336">
        <f t="shared" si="937"/>
        <v>0</v>
      </c>
      <c r="FK129" s="336">
        <f t="shared" si="938"/>
        <v>0</v>
      </c>
      <c r="FL129" s="336">
        <f t="shared" si="939"/>
        <v>0</v>
      </c>
      <c r="FM129" s="336">
        <f t="shared" si="940"/>
        <v>0</v>
      </c>
      <c r="FN129" s="336">
        <f t="shared" si="941"/>
        <v>0</v>
      </c>
      <c r="FO129" s="336">
        <f t="shared" si="942"/>
        <v>0</v>
      </c>
      <c r="FP129" s="336">
        <f t="shared" si="943"/>
        <v>0</v>
      </c>
      <c r="FQ129" s="336">
        <f t="shared" si="944"/>
        <v>0</v>
      </c>
      <c r="FR129" s="336">
        <f t="shared" si="945"/>
        <v>0</v>
      </c>
      <c r="FS129" s="336">
        <f t="shared" si="946"/>
        <v>21</v>
      </c>
      <c r="FT129" s="336">
        <f t="shared" si="947"/>
        <v>0</v>
      </c>
      <c r="FU129" s="336">
        <f t="shared" si="1222"/>
        <v>0</v>
      </c>
      <c r="FV129" s="336">
        <f t="shared" si="1223"/>
        <v>0</v>
      </c>
      <c r="FW129" s="336">
        <f t="shared" si="1224"/>
        <v>0</v>
      </c>
      <c r="FX129" s="336">
        <f t="shared" si="1225"/>
        <v>0</v>
      </c>
      <c r="FY129" s="336">
        <f t="shared" si="948"/>
        <v>21</v>
      </c>
      <c r="FZ129" s="336">
        <f t="shared" si="949"/>
        <v>21</v>
      </c>
      <c r="GA129" s="336">
        <f t="shared" si="950"/>
        <v>21</v>
      </c>
      <c r="GB129" s="336">
        <f t="shared" si="951"/>
        <v>0</v>
      </c>
      <c r="GC129" s="336">
        <f t="shared" si="952"/>
        <v>0</v>
      </c>
      <c r="GD129" s="336">
        <f t="shared" si="953"/>
        <v>21</v>
      </c>
      <c r="GE129" s="336">
        <f t="shared" si="954"/>
        <v>0</v>
      </c>
      <c r="GF129" s="336">
        <f t="shared" si="955"/>
        <v>0</v>
      </c>
      <c r="GG129" s="336">
        <f t="shared" si="956"/>
        <v>21</v>
      </c>
      <c r="GH129" s="336">
        <f t="shared" si="957"/>
        <v>0</v>
      </c>
      <c r="GI129" s="336">
        <f t="shared" si="958"/>
        <v>21</v>
      </c>
      <c r="GJ129" s="336">
        <f t="shared" si="959"/>
        <v>21</v>
      </c>
      <c r="GK129" s="336">
        <f t="shared" si="960"/>
        <v>0</v>
      </c>
      <c r="GL129" s="336">
        <f t="shared" si="1226"/>
        <v>0</v>
      </c>
      <c r="GM129" s="336">
        <f t="shared" si="961"/>
        <v>0</v>
      </c>
    </row>
    <row r="130" spans="1:229" ht="33" customHeight="1">
      <c r="A130" s="337">
        <f t="shared" si="1227"/>
        <v>96</v>
      </c>
      <c r="B130" s="567" t="s">
        <v>1247</v>
      </c>
      <c r="C130" s="372" t="s">
        <v>1209</v>
      </c>
      <c r="D130" s="567" t="s">
        <v>1248</v>
      </c>
      <c r="E130" s="372" t="s">
        <v>1246</v>
      </c>
      <c r="F130" s="444"/>
      <c r="G130" s="337" t="s">
        <v>329</v>
      </c>
      <c r="H130" s="350">
        <v>5</v>
      </c>
      <c r="I130" s="337" t="s">
        <v>330</v>
      </c>
      <c r="J130" s="337" t="s">
        <v>331</v>
      </c>
      <c r="K130" s="343">
        <v>400</v>
      </c>
      <c r="L130" s="343">
        <v>0.85000000000000009</v>
      </c>
      <c r="M130" s="350">
        <v>0.95042105263157861</v>
      </c>
      <c r="N130" s="342">
        <f t="shared" si="1249"/>
        <v>8.9336133449992658</v>
      </c>
      <c r="O130" s="342">
        <f t="shared" si="1250"/>
        <v>0</v>
      </c>
      <c r="P130" s="343" t="str">
        <f t="shared" si="1251"/>
        <v>0.00</v>
      </c>
      <c r="Q130" s="350">
        <v>65</v>
      </c>
      <c r="R130" s="350">
        <v>0</v>
      </c>
      <c r="S130" s="350">
        <f t="shared" si="1252"/>
        <v>0</v>
      </c>
      <c r="T130" s="343" t="s">
        <v>332</v>
      </c>
      <c r="U130" s="350" t="s">
        <v>522</v>
      </c>
      <c r="V130" s="343">
        <v>16</v>
      </c>
      <c r="W130" s="343" t="str">
        <f t="shared" si="1253"/>
        <v>4C X 16</v>
      </c>
      <c r="X130" s="343" t="str">
        <f t="shared" si="1254"/>
        <v>4C X 16</v>
      </c>
      <c r="Y130" s="343" t="s">
        <v>358</v>
      </c>
      <c r="Z130" s="344">
        <f>IF(T130="AIR",VLOOKUP(W130,'Catalogue Aluminium'!$B$9:$G$93,2,FALSE),IF(T130="GROUND",VLOOKUP(W130,'Catalogue Aluminium'!$B$9:$G$93,3,FALSE),IF(T130="DUCT",VLOOKUP(W130,'Catalogue Aluminium'!$B$9:$G$93,4,FALSE),IF(T130="TRENCH",VLOOKUP(W130,'Catalogue Aluminium'!$B$9:$G$93,2,FALSE)))))</f>
        <v>70</v>
      </c>
      <c r="AA130" s="345">
        <f>VLOOKUP(W130,'Catalogue Aluminium'!$B$9:$G$93,5,FALSE)</f>
        <v>2.44</v>
      </c>
      <c r="AB130" s="345">
        <f>VLOOKUP(W130,'Catalogue Aluminium'!$B$9:$G$93,6,FALSE)</f>
        <v>8.1500000000000003E-2</v>
      </c>
      <c r="AC130" s="343">
        <f t="shared" si="1201"/>
        <v>23</v>
      </c>
      <c r="AD130" s="343">
        <f t="shared" ref="AD130" si="1262">12+58+20+54+71+10</f>
        <v>225</v>
      </c>
      <c r="AE130" s="343">
        <v>10</v>
      </c>
      <c r="AF130" s="343">
        <v>8</v>
      </c>
      <c r="AG130" s="343">
        <f t="shared" si="1255"/>
        <v>27</v>
      </c>
      <c r="AH130" s="347">
        <f t="shared" si="1256"/>
        <v>293</v>
      </c>
      <c r="AI130" s="344">
        <f>IF(T130="AIR",'Catalogue Aluminium'!$K$9,IF(T130="TRENCH",'Catalogue Aluminium'!$K$12,"NA"))</f>
        <v>0.89</v>
      </c>
      <c r="AJ130" s="342">
        <f>IF(T130="Air",(IF(U130="1C",'Catalogue Aluminium'!$L$9,'Catalogue Aluminium'!$M$9)),IF(T130="DUCT",(IF($U130="1C",'Catalogue Aluminium'!$L$10,'Catalogue Aluminium'!$M$10)),IF(T130="GROUND",(IF($U130="1C",'Catalogue Aluminium'!$L$11,'Catalogue Aluminium'!$M$11)),IF(T130="TRENCH",(IF($U130="1C",'Catalogue Aluminium'!$L$12,'Catalogue Aluminium'!$M$12))))))</f>
        <v>0.66</v>
      </c>
      <c r="AK130" s="344" t="str">
        <f>IF(T130="Air",'Catalogue Aluminium'!$N$9,IF(T130="GROUND",'Catalogue Aluminium'!$N$10,IF(T130="DUCT",'Catalogue Aluminium'!$N$11,IF(T130="TRENCH",'Catalogue Aluminium'!$N$12,"NA"))))</f>
        <v>NA</v>
      </c>
      <c r="AL130" s="344" t="str">
        <f>IF(T130="Air",(IF(U130="1C",'Catalogue Aluminium'!$O$9,'Catalogue Aluminium'!$P$9)),IF(T130="DUCT",(IF($U130="1C",'Catalogue Aluminium'!$O$10,'Catalogue Aluminium'!$P$10)),IF(T130="GROUND",(IF($U130="1C",'Catalogue Aluminium'!$O$11,'Catalogue Aluminium'!$P$11)),IF(T130="TRENCH",(IF($U130="1C",'Catalogue Aluminium'!$O$12,'Catalogue Aluminium'!$P$12))))))</f>
        <v>NA</v>
      </c>
      <c r="AM130" s="344" t="str">
        <f>IF(T130="AIR","NA",IF(T130="TRENCH","NA",IF(T130="DUCT",IF(U130="1C",VLOOKUP(V130,'Catalogue Aluminium'!$Q$9:$S$28,2,FALSE),VLOOKUP(V130,'Catalogue Aluminium'!$Q$9:$S$28,3)),IF(T130="GROUND",IF(U130="1C",VLOOKUP(V130,'Catalogue Aluminium'!$Q$9:$S$28,2,FALSE),VLOOKUP(V130,'Catalogue Aluminium'!$Q$9:$S$28,3))))))</f>
        <v>NA</v>
      </c>
      <c r="AN130" s="351">
        <f t="shared" si="1257"/>
        <v>0.58740000000000003</v>
      </c>
      <c r="AO130" s="350">
        <f t="shared" si="1258"/>
        <v>41.118000000000002</v>
      </c>
      <c r="AP130" s="349">
        <f t="shared" si="1259"/>
        <v>1</v>
      </c>
      <c r="AQ130" s="350" t="str">
        <f t="shared" si="1260"/>
        <v>YES</v>
      </c>
      <c r="AR130" s="351">
        <f t="shared" si="1261"/>
        <v>2.3993990247345902</v>
      </c>
      <c r="AS130" s="343" t="str">
        <f t="shared" si="1217"/>
        <v>YES</v>
      </c>
      <c r="AT130" s="351" t="str">
        <f t="shared" si="1209"/>
        <v>NA</v>
      </c>
      <c r="AU130" s="343" t="str">
        <f t="shared" si="1210"/>
        <v>NA</v>
      </c>
      <c r="AV130" s="351" t="str">
        <f t="shared" si="1211"/>
        <v>1R x 0.6/1kV x 4C x 16 Sqmm</v>
      </c>
      <c r="AW130" s="351" t="str">
        <f t="shared" si="1212"/>
        <v>1R x 0.6/1kV x 4C x 16 Sqmm</v>
      </c>
      <c r="AX130" s="342">
        <f t="shared" si="1218"/>
        <v>293</v>
      </c>
      <c r="AY130" s="342"/>
      <c r="AZ130" s="342">
        <f t="shared" si="1219"/>
        <v>2</v>
      </c>
      <c r="BA130" s="356" t="str">
        <f t="shared" si="1220"/>
        <v>Q3RR1R2SS1TT1</v>
      </c>
      <c r="BB130" s="342">
        <f>VLOOKUP(W130,'Catalogue Aluminium'!$B$9:$H$93,7,FALSE)</f>
        <v>21</v>
      </c>
      <c r="BC130" s="342">
        <f t="shared" si="1221"/>
        <v>21</v>
      </c>
      <c r="BE130" s="336"/>
      <c r="BF130" s="336"/>
      <c r="BG130" s="336"/>
      <c r="BH130" s="336"/>
      <c r="BI130" s="336"/>
      <c r="BJ130" s="336"/>
      <c r="BK130" s="336"/>
      <c r="BL130" s="336"/>
      <c r="BM130" s="336"/>
      <c r="BN130" s="336"/>
      <c r="BO130" s="336"/>
      <c r="BP130" s="336"/>
      <c r="BQ130" s="336"/>
      <c r="BR130" s="336"/>
      <c r="BS130" s="336"/>
      <c r="BT130" s="336"/>
      <c r="BU130" s="336"/>
      <c r="BV130" s="336"/>
      <c r="BW130" s="336"/>
      <c r="BX130" s="336"/>
      <c r="BY130" s="336"/>
      <c r="BZ130" s="336"/>
      <c r="CA130" s="336"/>
      <c r="CB130" s="336"/>
      <c r="CC130" s="336"/>
      <c r="CD130" s="336"/>
      <c r="CE130" s="336"/>
      <c r="CF130" s="336"/>
      <c r="CG130" s="336"/>
      <c r="CH130" s="336"/>
      <c r="CI130" s="336"/>
      <c r="CJ130" s="336"/>
      <c r="CK130" s="336"/>
      <c r="CL130" s="336"/>
      <c r="CM130" s="336"/>
      <c r="CN130" s="336"/>
      <c r="CO130" s="336"/>
      <c r="CP130" s="336"/>
      <c r="CQ130" s="336"/>
      <c r="CR130" s="336"/>
      <c r="CS130" s="336"/>
      <c r="CT130" s="336"/>
      <c r="CU130" s="336"/>
      <c r="CV130" s="336"/>
      <c r="CW130" s="336"/>
      <c r="CX130" s="336"/>
      <c r="CY130" s="336"/>
      <c r="CZ130" s="336"/>
      <c r="DA130" s="336">
        <v>1</v>
      </c>
      <c r="DB130" s="336"/>
      <c r="DC130" s="336"/>
      <c r="DD130" s="336"/>
      <c r="DE130" s="336"/>
      <c r="DF130" s="336"/>
      <c r="DG130" s="336">
        <v>1</v>
      </c>
      <c r="DH130" s="336">
        <v>1</v>
      </c>
      <c r="DI130" s="336">
        <v>1</v>
      </c>
      <c r="DJ130" s="336"/>
      <c r="DK130" s="336"/>
      <c r="DL130" s="336">
        <v>1</v>
      </c>
      <c r="DM130" s="336"/>
      <c r="DN130" s="336"/>
      <c r="DO130" s="336">
        <v>1</v>
      </c>
      <c r="DP130" s="336"/>
      <c r="DQ130" s="336">
        <v>1</v>
      </c>
      <c r="DR130" s="336">
        <v>1</v>
      </c>
      <c r="DS130" s="336"/>
      <c r="DT130" s="336"/>
      <c r="DU130" s="336"/>
      <c r="DW130" s="336">
        <f t="shared" si="1022"/>
        <v>0</v>
      </c>
      <c r="DX130" s="336">
        <f t="shared" si="900"/>
        <v>0</v>
      </c>
      <c r="DY130" s="336">
        <f t="shared" si="901"/>
        <v>0</v>
      </c>
      <c r="DZ130" s="336">
        <f t="shared" si="902"/>
        <v>0</v>
      </c>
      <c r="EA130" s="336">
        <f t="shared" si="903"/>
        <v>0</v>
      </c>
      <c r="EB130" s="336">
        <f t="shared" si="904"/>
        <v>0</v>
      </c>
      <c r="EC130" s="336">
        <f t="shared" si="905"/>
        <v>0</v>
      </c>
      <c r="ED130" s="336">
        <f t="shared" si="906"/>
        <v>0</v>
      </c>
      <c r="EE130" s="336">
        <f t="shared" si="907"/>
        <v>0</v>
      </c>
      <c r="EF130" s="336">
        <f t="shared" si="908"/>
        <v>0</v>
      </c>
      <c r="EG130" s="336">
        <f t="shared" si="909"/>
        <v>0</v>
      </c>
      <c r="EH130" s="336">
        <f t="shared" si="910"/>
        <v>0</v>
      </c>
      <c r="EI130" s="336">
        <f t="shared" si="911"/>
        <v>0</v>
      </c>
      <c r="EJ130" s="336">
        <f t="shared" si="912"/>
        <v>0</v>
      </c>
      <c r="EK130" s="336">
        <f t="shared" si="913"/>
        <v>0</v>
      </c>
      <c r="EL130" s="336">
        <f t="shared" si="914"/>
        <v>0</v>
      </c>
      <c r="EM130" s="336">
        <f t="shared" si="915"/>
        <v>0</v>
      </c>
      <c r="EN130" s="336">
        <f t="shared" si="916"/>
        <v>0</v>
      </c>
      <c r="EO130" s="336">
        <f t="shared" si="917"/>
        <v>0</v>
      </c>
      <c r="EP130" s="336">
        <f t="shared" si="918"/>
        <v>0</v>
      </c>
      <c r="EQ130" s="336">
        <f t="shared" si="919"/>
        <v>0</v>
      </c>
      <c r="ER130" s="336">
        <f t="shared" si="920"/>
        <v>0</v>
      </c>
      <c r="ES130" s="336">
        <f t="shared" si="921"/>
        <v>0</v>
      </c>
      <c r="ET130" s="336">
        <f t="shared" si="921"/>
        <v>0</v>
      </c>
      <c r="EU130" s="336">
        <f t="shared" si="922"/>
        <v>0</v>
      </c>
      <c r="EV130" s="336">
        <f t="shared" si="923"/>
        <v>0</v>
      </c>
      <c r="EW130" s="336">
        <f t="shared" si="924"/>
        <v>0</v>
      </c>
      <c r="EX130" s="336">
        <f t="shared" si="925"/>
        <v>0</v>
      </c>
      <c r="EY130" s="336">
        <f t="shared" si="926"/>
        <v>0</v>
      </c>
      <c r="EZ130" s="336">
        <f t="shared" si="927"/>
        <v>0</v>
      </c>
      <c r="FA130" s="336">
        <f t="shared" si="928"/>
        <v>0</v>
      </c>
      <c r="FB130" s="336">
        <f t="shared" si="929"/>
        <v>0</v>
      </c>
      <c r="FC130" s="336">
        <f t="shared" si="930"/>
        <v>0</v>
      </c>
      <c r="FD130" s="336">
        <f t="shared" si="931"/>
        <v>0</v>
      </c>
      <c r="FE130" s="336">
        <f t="shared" si="932"/>
        <v>0</v>
      </c>
      <c r="FF130" s="336">
        <f t="shared" si="933"/>
        <v>0</v>
      </c>
      <c r="FG130" s="336">
        <f t="shared" si="934"/>
        <v>0</v>
      </c>
      <c r="FH130" s="336">
        <f t="shared" si="935"/>
        <v>0</v>
      </c>
      <c r="FI130" s="336">
        <f t="shared" si="936"/>
        <v>0</v>
      </c>
      <c r="FJ130" s="336">
        <f t="shared" si="937"/>
        <v>0</v>
      </c>
      <c r="FK130" s="336">
        <f t="shared" si="938"/>
        <v>0</v>
      </c>
      <c r="FL130" s="336">
        <f t="shared" si="939"/>
        <v>0</v>
      </c>
      <c r="FM130" s="336">
        <f t="shared" si="940"/>
        <v>0</v>
      </c>
      <c r="FN130" s="336">
        <f t="shared" si="941"/>
        <v>0</v>
      </c>
      <c r="FO130" s="336">
        <f t="shared" si="942"/>
        <v>0</v>
      </c>
      <c r="FP130" s="336">
        <f t="shared" si="943"/>
        <v>0</v>
      </c>
      <c r="FQ130" s="336">
        <f t="shared" si="944"/>
        <v>0</v>
      </c>
      <c r="FR130" s="336">
        <f t="shared" si="945"/>
        <v>0</v>
      </c>
      <c r="FS130" s="336">
        <f t="shared" si="946"/>
        <v>21</v>
      </c>
      <c r="FT130" s="336">
        <f t="shared" si="947"/>
        <v>0</v>
      </c>
      <c r="FU130" s="336">
        <f t="shared" si="1222"/>
        <v>0</v>
      </c>
      <c r="FV130" s="336">
        <f t="shared" si="1223"/>
        <v>0</v>
      </c>
      <c r="FW130" s="336">
        <f t="shared" si="1224"/>
        <v>0</v>
      </c>
      <c r="FX130" s="336">
        <f t="shared" si="1225"/>
        <v>0</v>
      </c>
      <c r="FY130" s="336">
        <f t="shared" si="948"/>
        <v>21</v>
      </c>
      <c r="FZ130" s="336">
        <f t="shared" si="949"/>
        <v>21</v>
      </c>
      <c r="GA130" s="336">
        <f t="shared" si="950"/>
        <v>21</v>
      </c>
      <c r="GB130" s="336">
        <f t="shared" si="951"/>
        <v>0</v>
      </c>
      <c r="GC130" s="336">
        <f t="shared" si="952"/>
        <v>0</v>
      </c>
      <c r="GD130" s="336">
        <f t="shared" si="953"/>
        <v>21</v>
      </c>
      <c r="GE130" s="336">
        <f t="shared" si="954"/>
        <v>0</v>
      </c>
      <c r="GF130" s="336">
        <f t="shared" si="955"/>
        <v>0</v>
      </c>
      <c r="GG130" s="336">
        <f t="shared" si="956"/>
        <v>21</v>
      </c>
      <c r="GH130" s="336">
        <f t="shared" si="957"/>
        <v>0</v>
      </c>
      <c r="GI130" s="336">
        <f t="shared" si="958"/>
        <v>21</v>
      </c>
      <c r="GJ130" s="336">
        <f t="shared" si="959"/>
        <v>21</v>
      </c>
      <c r="GK130" s="336">
        <f t="shared" si="960"/>
        <v>0</v>
      </c>
      <c r="GL130" s="336">
        <f t="shared" si="1226"/>
        <v>0</v>
      </c>
      <c r="GM130" s="336">
        <f t="shared" si="961"/>
        <v>0</v>
      </c>
    </row>
    <row r="131" spans="1:229" ht="33" customHeight="1">
      <c r="A131" s="337">
        <f t="shared" si="1227"/>
        <v>97</v>
      </c>
      <c r="B131" s="567" t="s">
        <v>1249</v>
      </c>
      <c r="C131" s="372" t="s">
        <v>1209</v>
      </c>
      <c r="D131" s="567" t="s">
        <v>1250</v>
      </c>
      <c r="E131" s="372" t="s">
        <v>1251</v>
      </c>
      <c r="F131" s="444"/>
      <c r="G131" s="337" t="s">
        <v>329</v>
      </c>
      <c r="H131" s="350">
        <v>5</v>
      </c>
      <c r="I131" s="337" t="s">
        <v>330</v>
      </c>
      <c r="J131" s="337" t="s">
        <v>331</v>
      </c>
      <c r="K131" s="343">
        <v>400</v>
      </c>
      <c r="L131" s="343">
        <v>0.85000000000000009</v>
      </c>
      <c r="M131" s="350">
        <v>0.95042105263157861</v>
      </c>
      <c r="N131" s="342">
        <f t="shared" si="1249"/>
        <v>8.9336133449992658</v>
      </c>
      <c r="O131" s="342">
        <f t="shared" si="1250"/>
        <v>0</v>
      </c>
      <c r="P131" s="343" t="str">
        <f t="shared" si="1251"/>
        <v>0.00</v>
      </c>
      <c r="Q131" s="350">
        <v>65</v>
      </c>
      <c r="R131" s="350">
        <v>0</v>
      </c>
      <c r="S131" s="350">
        <f t="shared" si="1252"/>
        <v>0</v>
      </c>
      <c r="T131" s="343" t="s">
        <v>332</v>
      </c>
      <c r="U131" s="350" t="s">
        <v>522</v>
      </c>
      <c r="V131" s="343">
        <v>16</v>
      </c>
      <c r="W131" s="343" t="str">
        <f t="shared" si="1253"/>
        <v>4C X 16</v>
      </c>
      <c r="X131" s="343" t="str">
        <f t="shared" si="1254"/>
        <v>4C X 16</v>
      </c>
      <c r="Y131" s="343" t="s">
        <v>358</v>
      </c>
      <c r="Z131" s="344">
        <f>IF(T131="AIR",VLOOKUP(W131,'Catalogue Aluminium'!$B$9:$G$93,2,FALSE),IF(T131="GROUND",VLOOKUP(W131,'Catalogue Aluminium'!$B$9:$G$93,3,FALSE),IF(T131="DUCT",VLOOKUP(W131,'Catalogue Aluminium'!$B$9:$G$93,4,FALSE),IF(T131="TRENCH",VLOOKUP(W131,'Catalogue Aluminium'!$B$9:$G$93,2,FALSE)))))</f>
        <v>70</v>
      </c>
      <c r="AA131" s="345">
        <f>VLOOKUP(W131,'Catalogue Aluminium'!$B$9:$G$93,5,FALSE)</f>
        <v>2.44</v>
      </c>
      <c r="AB131" s="345">
        <f>VLOOKUP(W131,'Catalogue Aluminium'!$B$9:$G$93,6,FALSE)</f>
        <v>8.1500000000000003E-2</v>
      </c>
      <c r="AC131" s="343">
        <f t="shared" si="1201"/>
        <v>23</v>
      </c>
      <c r="AD131" s="343">
        <f>12+40+43</f>
        <v>95</v>
      </c>
      <c r="AE131" s="343">
        <v>10</v>
      </c>
      <c r="AF131" s="343">
        <v>8</v>
      </c>
      <c r="AG131" s="343">
        <f t="shared" si="1255"/>
        <v>14</v>
      </c>
      <c r="AH131" s="347">
        <f t="shared" si="1256"/>
        <v>150</v>
      </c>
      <c r="AI131" s="344">
        <f>IF(T131="AIR",'Catalogue Aluminium'!$K$9,IF(T131="TRENCH",'Catalogue Aluminium'!$K$12,"NA"))</f>
        <v>0.89</v>
      </c>
      <c r="AJ131" s="342">
        <f>IF(T131="Air",(IF(U131="1C",'Catalogue Aluminium'!$L$9,'Catalogue Aluminium'!$M$9)),IF(T131="DUCT",(IF($U131="1C",'Catalogue Aluminium'!$L$10,'Catalogue Aluminium'!$M$10)),IF(T131="GROUND",(IF($U131="1C",'Catalogue Aluminium'!$L$11,'Catalogue Aluminium'!$M$11)),IF(T131="TRENCH",(IF($U131="1C",'Catalogue Aluminium'!$L$12,'Catalogue Aluminium'!$M$12))))))</f>
        <v>0.66</v>
      </c>
      <c r="AK131" s="344" t="str">
        <f>IF(T131="Air",'Catalogue Aluminium'!$N$9,IF(T131="GROUND",'Catalogue Aluminium'!$N$10,IF(T131="DUCT",'Catalogue Aluminium'!$N$11,IF(T131="TRENCH",'Catalogue Aluminium'!$N$12,"NA"))))</f>
        <v>NA</v>
      </c>
      <c r="AL131" s="344" t="str">
        <f>IF(T131="Air",(IF(U131="1C",'Catalogue Aluminium'!$O$9,'Catalogue Aluminium'!$P$9)),IF(T131="DUCT",(IF($U131="1C",'Catalogue Aluminium'!$O$10,'Catalogue Aluminium'!$P$10)),IF(T131="GROUND",(IF($U131="1C",'Catalogue Aluminium'!$O$11,'Catalogue Aluminium'!$P$11)),IF(T131="TRENCH",(IF($U131="1C",'Catalogue Aluminium'!$O$12,'Catalogue Aluminium'!$P$12))))))</f>
        <v>NA</v>
      </c>
      <c r="AM131" s="344" t="str">
        <f>IF(T131="AIR","NA",IF(T131="TRENCH","NA",IF(T131="DUCT",IF(U131="1C",VLOOKUP(V131,'Catalogue Aluminium'!$Q$9:$S$28,2,FALSE),VLOOKUP(V131,'Catalogue Aluminium'!$Q$9:$S$28,3)),IF(T131="GROUND",IF(U131="1C",VLOOKUP(V131,'Catalogue Aluminium'!$Q$9:$S$28,2,FALSE),VLOOKUP(V131,'Catalogue Aluminium'!$Q$9:$S$28,3))))))</f>
        <v>NA</v>
      </c>
      <c r="AN131" s="351">
        <f t="shared" si="1257"/>
        <v>0.58740000000000003</v>
      </c>
      <c r="AO131" s="350">
        <f t="shared" si="1258"/>
        <v>41.118000000000002</v>
      </c>
      <c r="AP131" s="349">
        <f t="shared" si="1259"/>
        <v>1</v>
      </c>
      <c r="AQ131" s="350" t="str">
        <f t="shared" si="1260"/>
        <v>YES</v>
      </c>
      <c r="AR131" s="351">
        <f t="shared" si="1261"/>
        <v>1.2283612754613942</v>
      </c>
      <c r="AS131" s="343" t="str">
        <f t="shared" si="1217"/>
        <v>YES</v>
      </c>
      <c r="AT131" s="351" t="str">
        <f t="shared" si="1209"/>
        <v>NA</v>
      </c>
      <c r="AU131" s="343" t="str">
        <f t="shared" si="1210"/>
        <v>NA</v>
      </c>
      <c r="AV131" s="351" t="str">
        <f t="shared" si="1211"/>
        <v>1R x 0.6/1kV x 4C x 16 Sqmm</v>
      </c>
      <c r="AW131" s="351" t="str">
        <f t="shared" si="1212"/>
        <v>1R x 0.6/1kV x 4C x 16 Sqmm</v>
      </c>
      <c r="AX131" s="342">
        <f t="shared" si="1218"/>
        <v>150</v>
      </c>
      <c r="AY131" s="342"/>
      <c r="AZ131" s="342">
        <f t="shared" si="1219"/>
        <v>2</v>
      </c>
      <c r="BA131" s="356" t="str">
        <f t="shared" si="1220"/>
        <v>Q3R</v>
      </c>
      <c r="BB131" s="342">
        <f>VLOOKUP(W131,'Catalogue Aluminium'!$B$9:$H$93,7,FALSE)</f>
        <v>21</v>
      </c>
      <c r="BC131" s="342">
        <f t="shared" si="1221"/>
        <v>21</v>
      </c>
      <c r="BE131" s="336"/>
      <c r="BF131" s="336"/>
      <c r="BG131" s="336"/>
      <c r="BH131" s="336"/>
      <c r="BI131" s="336"/>
      <c r="BJ131" s="336"/>
      <c r="BK131" s="336"/>
      <c r="BL131" s="336"/>
      <c r="BM131" s="336"/>
      <c r="BN131" s="336"/>
      <c r="BO131" s="336"/>
      <c r="BP131" s="336"/>
      <c r="BQ131" s="336"/>
      <c r="BR131" s="336"/>
      <c r="BS131" s="336"/>
      <c r="BT131" s="336"/>
      <c r="BU131" s="336"/>
      <c r="BV131" s="336"/>
      <c r="BW131" s="336"/>
      <c r="BX131" s="336"/>
      <c r="BY131" s="336"/>
      <c r="BZ131" s="336"/>
      <c r="CA131" s="336"/>
      <c r="CB131" s="336"/>
      <c r="CC131" s="336"/>
      <c r="CD131" s="336"/>
      <c r="CE131" s="336"/>
      <c r="CF131" s="336"/>
      <c r="CG131" s="336"/>
      <c r="CH131" s="336"/>
      <c r="CI131" s="336"/>
      <c r="CJ131" s="336"/>
      <c r="CK131" s="336"/>
      <c r="CL131" s="336"/>
      <c r="CM131" s="336"/>
      <c r="CN131" s="336"/>
      <c r="CO131" s="336"/>
      <c r="CP131" s="336"/>
      <c r="CQ131" s="336"/>
      <c r="CR131" s="336"/>
      <c r="CS131" s="336"/>
      <c r="CT131" s="336"/>
      <c r="CU131" s="336"/>
      <c r="CV131" s="336"/>
      <c r="CW131" s="336"/>
      <c r="CX131" s="336"/>
      <c r="CY131" s="336"/>
      <c r="CZ131" s="336"/>
      <c r="DA131" s="336">
        <v>1</v>
      </c>
      <c r="DB131" s="336"/>
      <c r="DC131" s="336"/>
      <c r="DD131" s="336"/>
      <c r="DE131" s="336"/>
      <c r="DF131" s="336"/>
      <c r="DG131" s="336">
        <v>1</v>
      </c>
      <c r="DH131" s="336"/>
      <c r="DI131" s="336"/>
      <c r="DJ131" s="336"/>
      <c r="DK131" s="336"/>
      <c r="DL131" s="336"/>
      <c r="DM131" s="336"/>
      <c r="DN131" s="336"/>
      <c r="DO131" s="336"/>
      <c r="DP131" s="336"/>
      <c r="DQ131" s="336"/>
      <c r="DR131" s="336"/>
      <c r="DS131" s="336"/>
      <c r="DT131" s="336"/>
      <c r="DU131" s="336"/>
      <c r="DW131" s="336">
        <f t="shared" si="1022"/>
        <v>0</v>
      </c>
      <c r="DX131" s="336">
        <f t="shared" si="900"/>
        <v>0</v>
      </c>
      <c r="DY131" s="336">
        <f t="shared" si="901"/>
        <v>0</v>
      </c>
      <c r="DZ131" s="336">
        <f t="shared" si="902"/>
        <v>0</v>
      </c>
      <c r="EA131" s="336">
        <f t="shared" si="903"/>
        <v>0</v>
      </c>
      <c r="EB131" s="336">
        <f t="shared" si="904"/>
        <v>0</v>
      </c>
      <c r="EC131" s="336">
        <f t="shared" si="905"/>
        <v>0</v>
      </c>
      <c r="ED131" s="336">
        <f t="shared" si="906"/>
        <v>0</v>
      </c>
      <c r="EE131" s="336">
        <f t="shared" si="907"/>
        <v>0</v>
      </c>
      <c r="EF131" s="336">
        <f t="shared" si="908"/>
        <v>0</v>
      </c>
      <c r="EG131" s="336">
        <f t="shared" si="909"/>
        <v>0</v>
      </c>
      <c r="EH131" s="336">
        <f t="shared" si="910"/>
        <v>0</v>
      </c>
      <c r="EI131" s="336">
        <f t="shared" si="911"/>
        <v>0</v>
      </c>
      <c r="EJ131" s="336">
        <f t="shared" si="912"/>
        <v>0</v>
      </c>
      <c r="EK131" s="336">
        <f t="shared" si="913"/>
        <v>0</v>
      </c>
      <c r="EL131" s="336">
        <f t="shared" si="914"/>
        <v>0</v>
      </c>
      <c r="EM131" s="336">
        <f t="shared" si="915"/>
        <v>0</v>
      </c>
      <c r="EN131" s="336">
        <f t="shared" si="916"/>
        <v>0</v>
      </c>
      <c r="EO131" s="336">
        <f t="shared" si="917"/>
        <v>0</v>
      </c>
      <c r="EP131" s="336">
        <f t="shared" si="918"/>
        <v>0</v>
      </c>
      <c r="EQ131" s="336">
        <f t="shared" si="919"/>
        <v>0</v>
      </c>
      <c r="ER131" s="336">
        <f t="shared" si="920"/>
        <v>0</v>
      </c>
      <c r="ES131" s="336">
        <f t="shared" si="921"/>
        <v>0</v>
      </c>
      <c r="ET131" s="336">
        <f t="shared" si="921"/>
        <v>0</v>
      </c>
      <c r="EU131" s="336">
        <f t="shared" si="922"/>
        <v>0</v>
      </c>
      <c r="EV131" s="336">
        <f t="shared" si="923"/>
        <v>0</v>
      </c>
      <c r="EW131" s="336">
        <f t="shared" si="924"/>
        <v>0</v>
      </c>
      <c r="EX131" s="336">
        <f t="shared" si="925"/>
        <v>0</v>
      </c>
      <c r="EY131" s="336">
        <f t="shared" si="926"/>
        <v>0</v>
      </c>
      <c r="EZ131" s="336">
        <f t="shared" si="927"/>
        <v>0</v>
      </c>
      <c r="FA131" s="336">
        <f t="shared" si="928"/>
        <v>0</v>
      </c>
      <c r="FB131" s="336">
        <f t="shared" si="929"/>
        <v>0</v>
      </c>
      <c r="FC131" s="336">
        <f t="shared" si="930"/>
        <v>0</v>
      </c>
      <c r="FD131" s="336">
        <f t="shared" si="931"/>
        <v>0</v>
      </c>
      <c r="FE131" s="336">
        <f t="shared" si="932"/>
        <v>0</v>
      </c>
      <c r="FF131" s="336">
        <f t="shared" si="933"/>
        <v>0</v>
      </c>
      <c r="FG131" s="336">
        <f t="shared" si="934"/>
        <v>0</v>
      </c>
      <c r="FH131" s="336">
        <f t="shared" si="935"/>
        <v>0</v>
      </c>
      <c r="FI131" s="336">
        <f t="shared" si="936"/>
        <v>0</v>
      </c>
      <c r="FJ131" s="336">
        <f t="shared" si="937"/>
        <v>0</v>
      </c>
      <c r="FK131" s="336">
        <f t="shared" si="938"/>
        <v>0</v>
      </c>
      <c r="FL131" s="336">
        <f t="shared" si="939"/>
        <v>0</v>
      </c>
      <c r="FM131" s="336">
        <f t="shared" si="940"/>
        <v>0</v>
      </c>
      <c r="FN131" s="336">
        <f t="shared" si="941"/>
        <v>0</v>
      </c>
      <c r="FO131" s="336">
        <f t="shared" si="942"/>
        <v>0</v>
      </c>
      <c r="FP131" s="336">
        <f t="shared" si="943"/>
        <v>0</v>
      </c>
      <c r="FQ131" s="336">
        <f t="shared" si="944"/>
        <v>0</v>
      </c>
      <c r="FR131" s="336">
        <f t="shared" si="945"/>
        <v>0</v>
      </c>
      <c r="FS131" s="336">
        <f t="shared" si="946"/>
        <v>21</v>
      </c>
      <c r="FT131" s="336">
        <f t="shared" si="947"/>
        <v>0</v>
      </c>
      <c r="FU131" s="336">
        <f t="shared" si="1222"/>
        <v>0</v>
      </c>
      <c r="FV131" s="336">
        <f t="shared" si="1223"/>
        <v>0</v>
      </c>
      <c r="FW131" s="336">
        <f t="shared" si="1224"/>
        <v>0</v>
      </c>
      <c r="FX131" s="336">
        <f t="shared" si="1225"/>
        <v>0</v>
      </c>
      <c r="FY131" s="336">
        <f t="shared" si="948"/>
        <v>21</v>
      </c>
      <c r="FZ131" s="336">
        <f t="shared" si="949"/>
        <v>0</v>
      </c>
      <c r="GA131" s="336">
        <f t="shared" si="950"/>
        <v>0</v>
      </c>
      <c r="GB131" s="336">
        <f t="shared" si="951"/>
        <v>0</v>
      </c>
      <c r="GC131" s="336">
        <f t="shared" si="952"/>
        <v>0</v>
      </c>
      <c r="GD131" s="336">
        <f t="shared" si="953"/>
        <v>0</v>
      </c>
      <c r="GE131" s="336">
        <f t="shared" si="954"/>
        <v>0</v>
      </c>
      <c r="GF131" s="336">
        <f t="shared" si="955"/>
        <v>0</v>
      </c>
      <c r="GG131" s="336">
        <f t="shared" si="956"/>
        <v>0</v>
      </c>
      <c r="GH131" s="336">
        <f t="shared" si="957"/>
        <v>0</v>
      </c>
      <c r="GI131" s="336">
        <f t="shared" si="958"/>
        <v>0</v>
      </c>
      <c r="GJ131" s="336">
        <f t="shared" si="959"/>
        <v>0</v>
      </c>
      <c r="GK131" s="336">
        <f t="shared" si="960"/>
        <v>0</v>
      </c>
      <c r="GL131" s="336">
        <f t="shared" si="1226"/>
        <v>0</v>
      </c>
      <c r="GM131" s="336">
        <f t="shared" si="961"/>
        <v>0</v>
      </c>
    </row>
    <row r="132" spans="1:229" ht="20.100000000000001" customHeight="1">
      <c r="A132" s="337">
        <f>A131+1</f>
        <v>98</v>
      </c>
      <c r="B132" s="397" t="s">
        <v>1163</v>
      </c>
      <c r="C132" s="372" t="str">
        <f>$C$77</f>
        <v>PMCC-2</v>
      </c>
      <c r="D132" s="569" t="s">
        <v>1252</v>
      </c>
      <c r="E132" s="440" t="s">
        <v>419</v>
      </c>
      <c r="F132" s="372"/>
      <c r="G132" s="340" t="s">
        <v>337</v>
      </c>
      <c r="H132" s="350">
        <v>85</v>
      </c>
      <c r="I132" s="337" t="s">
        <v>330</v>
      </c>
      <c r="J132" s="337" t="s">
        <v>331</v>
      </c>
      <c r="K132" s="343">
        <v>400</v>
      </c>
      <c r="L132" s="343">
        <v>0.85000000000000009</v>
      </c>
      <c r="M132" s="350">
        <v>0.95042105263157861</v>
      </c>
      <c r="N132" s="337">
        <v>200</v>
      </c>
      <c r="O132" s="926"/>
      <c r="P132" s="927"/>
      <c r="Q132" s="927"/>
      <c r="R132" s="927"/>
      <c r="S132" s="927"/>
      <c r="T132" s="927"/>
      <c r="U132" s="927"/>
      <c r="V132" s="927"/>
      <c r="W132" s="927"/>
      <c r="X132" s="927"/>
      <c r="Y132" s="927"/>
      <c r="Z132" s="927"/>
      <c r="AA132" s="927"/>
      <c r="AB132" s="927"/>
      <c r="AC132" s="927"/>
      <c r="AD132" s="927"/>
      <c r="AE132" s="927"/>
      <c r="AF132" s="927"/>
      <c r="AG132" s="927"/>
      <c r="AH132" s="927"/>
      <c r="AI132" s="927"/>
      <c r="AJ132" s="927"/>
      <c r="AK132" s="927"/>
      <c r="AL132" s="927"/>
      <c r="AM132" s="927"/>
      <c r="AN132" s="927"/>
      <c r="AO132" s="927"/>
      <c r="AP132" s="927"/>
      <c r="AQ132" s="927"/>
      <c r="AR132" s="927"/>
      <c r="AS132" s="927"/>
      <c r="AT132" s="927"/>
      <c r="AU132" s="927"/>
      <c r="AV132" s="927"/>
      <c r="AW132" s="927"/>
      <c r="AX132" s="927"/>
      <c r="AY132" s="927"/>
      <c r="AZ132" s="927"/>
      <c r="BA132" s="927"/>
      <c r="BB132" s="927"/>
      <c r="BC132" s="1020"/>
      <c r="BE132" s="336"/>
      <c r="BF132" s="336"/>
      <c r="BG132" s="336"/>
      <c r="BH132" s="336"/>
      <c r="BI132" s="336"/>
      <c r="BJ132" s="336"/>
      <c r="BK132" s="336"/>
      <c r="BL132" s="336"/>
      <c r="BM132" s="336"/>
      <c r="BN132" s="336"/>
      <c r="BO132" s="336"/>
      <c r="BP132" s="336"/>
      <c r="BQ132" s="336"/>
      <c r="BR132" s="336"/>
      <c r="BS132" s="336"/>
      <c r="BT132" s="336"/>
      <c r="BU132" s="336"/>
      <c r="BV132" s="336"/>
      <c r="BW132" s="336"/>
      <c r="BX132" s="336"/>
      <c r="BY132" s="336"/>
      <c r="BZ132" s="336"/>
      <c r="CA132" s="336"/>
      <c r="CB132" s="336"/>
      <c r="CC132" s="336"/>
      <c r="CD132" s="336"/>
      <c r="CE132" s="336"/>
      <c r="CF132" s="336"/>
      <c r="CG132" s="336"/>
      <c r="CH132" s="336"/>
      <c r="CI132" s="336"/>
      <c r="CJ132" s="336"/>
      <c r="CK132" s="336"/>
      <c r="CL132" s="336"/>
      <c r="CM132" s="336"/>
      <c r="CN132" s="336"/>
      <c r="CO132" s="336"/>
      <c r="CP132" s="336"/>
      <c r="CQ132" s="336"/>
      <c r="CR132" s="336"/>
      <c r="CS132" s="336"/>
      <c r="CT132" s="336"/>
      <c r="CU132" s="336"/>
      <c r="CV132" s="336"/>
      <c r="CW132" s="336"/>
      <c r="CX132" s="336"/>
      <c r="CY132" s="336"/>
      <c r="CZ132" s="336"/>
      <c r="DA132" s="336"/>
      <c r="DB132" s="336"/>
      <c r="DC132" s="336"/>
      <c r="DD132" s="336"/>
      <c r="DE132" s="336"/>
      <c r="DF132" s="336"/>
      <c r="DG132" s="336"/>
      <c r="DH132" s="336"/>
      <c r="DI132" s="336"/>
      <c r="DJ132" s="336"/>
      <c r="DK132" s="336"/>
      <c r="DL132" s="336"/>
      <c r="DM132" s="336"/>
      <c r="DN132" s="336"/>
      <c r="DO132" s="336"/>
      <c r="DP132" s="336"/>
      <c r="DQ132" s="336"/>
      <c r="DR132" s="336"/>
      <c r="DS132" s="336"/>
      <c r="DT132" s="336"/>
      <c r="DU132" s="336"/>
      <c r="DW132" s="336">
        <f t="shared" si="1022"/>
        <v>0</v>
      </c>
      <c r="DX132" s="336">
        <f t="shared" si="900"/>
        <v>0</v>
      </c>
      <c r="DY132" s="336">
        <f t="shared" si="901"/>
        <v>0</v>
      </c>
      <c r="DZ132" s="336">
        <f t="shared" si="902"/>
        <v>0</v>
      </c>
      <c r="EA132" s="336">
        <f t="shared" si="903"/>
        <v>0</v>
      </c>
      <c r="EB132" s="336">
        <f t="shared" si="904"/>
        <v>0</v>
      </c>
      <c r="EC132" s="336">
        <f t="shared" si="905"/>
        <v>0</v>
      </c>
      <c r="ED132" s="336">
        <f t="shared" si="906"/>
        <v>0</v>
      </c>
      <c r="EE132" s="336">
        <f t="shared" si="907"/>
        <v>0</v>
      </c>
      <c r="EF132" s="336">
        <f t="shared" si="908"/>
        <v>0</v>
      </c>
      <c r="EG132" s="336">
        <f t="shared" si="909"/>
        <v>0</v>
      </c>
      <c r="EH132" s="336">
        <f t="shared" si="910"/>
        <v>0</v>
      </c>
      <c r="EI132" s="336">
        <f t="shared" si="911"/>
        <v>0</v>
      </c>
      <c r="EJ132" s="336">
        <f t="shared" si="912"/>
        <v>0</v>
      </c>
      <c r="EK132" s="336">
        <f t="shared" si="913"/>
        <v>0</v>
      </c>
      <c r="EL132" s="336">
        <f t="shared" si="914"/>
        <v>0</v>
      </c>
      <c r="EM132" s="336">
        <f t="shared" si="915"/>
        <v>0</v>
      </c>
      <c r="EN132" s="336">
        <f t="shared" si="916"/>
        <v>0</v>
      </c>
      <c r="EO132" s="336">
        <f t="shared" si="917"/>
        <v>0</v>
      </c>
      <c r="EP132" s="336">
        <f t="shared" si="918"/>
        <v>0</v>
      </c>
      <c r="EQ132" s="336">
        <f t="shared" si="919"/>
        <v>0</v>
      </c>
      <c r="ER132" s="336">
        <f t="shared" si="920"/>
        <v>0</v>
      </c>
      <c r="ES132" s="336">
        <f t="shared" si="921"/>
        <v>0</v>
      </c>
      <c r="ET132" s="336">
        <f t="shared" si="921"/>
        <v>0</v>
      </c>
      <c r="EU132" s="336">
        <f t="shared" si="922"/>
        <v>0</v>
      </c>
      <c r="EV132" s="336">
        <f t="shared" si="923"/>
        <v>0</v>
      </c>
      <c r="EW132" s="336">
        <f t="shared" si="924"/>
        <v>0</v>
      </c>
      <c r="EX132" s="336">
        <f t="shared" si="925"/>
        <v>0</v>
      </c>
      <c r="EY132" s="336">
        <f t="shared" si="926"/>
        <v>0</v>
      </c>
      <c r="EZ132" s="336">
        <f t="shared" si="927"/>
        <v>0</v>
      </c>
      <c r="FA132" s="336">
        <f t="shared" si="928"/>
        <v>0</v>
      </c>
      <c r="FB132" s="336">
        <f t="shared" si="929"/>
        <v>0</v>
      </c>
      <c r="FC132" s="336">
        <f t="shared" si="930"/>
        <v>0</v>
      </c>
      <c r="FD132" s="336">
        <f t="shared" si="931"/>
        <v>0</v>
      </c>
      <c r="FE132" s="336">
        <f t="shared" si="932"/>
        <v>0</v>
      </c>
      <c r="FF132" s="336">
        <f t="shared" si="933"/>
        <v>0</v>
      </c>
      <c r="FG132" s="336">
        <f t="shared" si="934"/>
        <v>0</v>
      </c>
      <c r="FH132" s="336">
        <f t="shared" si="935"/>
        <v>0</v>
      </c>
      <c r="FI132" s="336">
        <f t="shared" si="936"/>
        <v>0</v>
      </c>
      <c r="FJ132" s="336">
        <f t="shared" si="937"/>
        <v>0</v>
      </c>
      <c r="FK132" s="336">
        <f t="shared" si="938"/>
        <v>0</v>
      </c>
      <c r="FL132" s="336">
        <f t="shared" si="939"/>
        <v>0</v>
      </c>
      <c r="FM132" s="336">
        <f t="shared" si="940"/>
        <v>0</v>
      </c>
      <c r="FN132" s="336">
        <f t="shared" si="941"/>
        <v>0</v>
      </c>
      <c r="FO132" s="336">
        <f t="shared" si="942"/>
        <v>0</v>
      </c>
      <c r="FP132" s="336">
        <f t="shared" si="943"/>
        <v>0</v>
      </c>
      <c r="FQ132" s="336">
        <f t="shared" si="944"/>
        <v>0</v>
      </c>
      <c r="FR132" s="336">
        <f t="shared" si="945"/>
        <v>0</v>
      </c>
      <c r="FS132" s="336">
        <f t="shared" si="946"/>
        <v>0</v>
      </c>
      <c r="FT132" s="336">
        <f t="shared" si="947"/>
        <v>0</v>
      </c>
      <c r="FU132" s="336">
        <f t="shared" si="1222"/>
        <v>0</v>
      </c>
      <c r="FV132" s="336">
        <f t="shared" si="1223"/>
        <v>0</v>
      </c>
      <c r="FW132" s="336">
        <f t="shared" si="1224"/>
        <v>0</v>
      </c>
      <c r="FX132" s="336">
        <f t="shared" si="1225"/>
        <v>0</v>
      </c>
      <c r="FY132" s="336">
        <f t="shared" si="948"/>
        <v>0</v>
      </c>
      <c r="FZ132" s="336">
        <f t="shared" si="949"/>
        <v>0</v>
      </c>
      <c r="GA132" s="336">
        <f t="shared" si="950"/>
        <v>0</v>
      </c>
      <c r="GB132" s="336">
        <f t="shared" si="951"/>
        <v>0</v>
      </c>
      <c r="GC132" s="336">
        <f t="shared" si="952"/>
        <v>0</v>
      </c>
      <c r="GD132" s="336">
        <f t="shared" si="953"/>
        <v>0</v>
      </c>
      <c r="GE132" s="336">
        <f t="shared" si="954"/>
        <v>0</v>
      </c>
      <c r="GF132" s="336">
        <f t="shared" si="955"/>
        <v>0</v>
      </c>
      <c r="GG132" s="336">
        <f t="shared" si="956"/>
        <v>0</v>
      </c>
      <c r="GH132" s="336">
        <f t="shared" si="957"/>
        <v>0</v>
      </c>
      <c r="GI132" s="336">
        <f t="shared" si="958"/>
        <v>0</v>
      </c>
      <c r="GJ132" s="336">
        <f t="shared" si="959"/>
        <v>0</v>
      </c>
      <c r="GK132" s="336">
        <f t="shared" si="960"/>
        <v>0</v>
      </c>
      <c r="GL132" s="336">
        <f t="shared" si="1226"/>
        <v>0</v>
      </c>
      <c r="GM132" s="336">
        <f t="shared" si="961"/>
        <v>0</v>
      </c>
    </row>
    <row r="133" spans="1:229" s="60" customFormat="1" ht="33.75" customHeight="1">
      <c r="A133" s="710"/>
      <c r="B133" s="710"/>
      <c r="C133" s="711"/>
      <c r="D133" s="477" t="s">
        <v>1253</v>
      </c>
      <c r="E133" s="712"/>
      <c r="F133" s="710"/>
      <c r="G133" s="713"/>
      <c r="H133" s="714"/>
      <c r="I133" s="715"/>
      <c r="J133" s="715"/>
      <c r="K133" s="715"/>
      <c r="L133" s="714"/>
      <c r="M133" s="714"/>
      <c r="N133" s="716"/>
      <c r="O133" s="716"/>
      <c r="P133" s="717"/>
      <c r="Q133" s="714"/>
      <c r="R133" s="714"/>
      <c r="S133" s="714"/>
      <c r="T133" s="717"/>
      <c r="U133" s="714"/>
      <c r="V133" s="717"/>
      <c r="W133" s="717"/>
      <c r="X133" s="717"/>
      <c r="Y133" s="717"/>
      <c r="Z133" s="718"/>
      <c r="AA133" s="719"/>
      <c r="AB133" s="719"/>
      <c r="AC133" s="719"/>
      <c r="AD133" s="719"/>
      <c r="AE133" s="719"/>
      <c r="AF133" s="719"/>
      <c r="AG133" s="719"/>
      <c r="AH133" s="720"/>
      <c r="AI133" s="718"/>
      <c r="AJ133" s="716"/>
      <c r="AK133" s="718"/>
      <c r="AL133" s="718"/>
      <c r="AM133" s="718"/>
      <c r="AN133" s="721"/>
      <c r="AO133" s="714"/>
      <c r="AP133" s="722"/>
      <c r="AQ133" s="714"/>
      <c r="AR133" s="721"/>
      <c r="AS133" s="717"/>
      <c r="AT133" s="721"/>
      <c r="AU133" s="721"/>
      <c r="AV133" s="723"/>
      <c r="AW133" s="723"/>
      <c r="AX133" s="717"/>
      <c r="AY133" s="724"/>
      <c r="AZ133" s="724"/>
      <c r="BA133" s="724"/>
      <c r="BB133" s="753"/>
      <c r="BC133" s="754"/>
      <c r="BD133" s="61"/>
      <c r="BE133" s="336"/>
      <c r="BF133" s="336"/>
      <c r="BG133" s="336"/>
      <c r="BH133" s="336"/>
      <c r="BI133" s="336"/>
      <c r="BJ133" s="336"/>
      <c r="BK133" s="336"/>
      <c r="BL133" s="336"/>
      <c r="BM133" s="336"/>
      <c r="BN133" s="336"/>
      <c r="BO133" s="336"/>
      <c r="BP133" s="336"/>
      <c r="BQ133" s="336"/>
      <c r="BR133" s="336"/>
      <c r="BS133" s="336"/>
      <c r="BT133" s="336"/>
      <c r="BU133" s="336"/>
      <c r="BV133" s="336"/>
      <c r="BW133" s="336"/>
      <c r="BX133" s="336"/>
      <c r="BY133" s="336"/>
      <c r="BZ133" s="336"/>
      <c r="CA133" s="336"/>
      <c r="CB133" s="336"/>
      <c r="CC133" s="336"/>
      <c r="CD133" s="336"/>
      <c r="CE133" s="336"/>
      <c r="CF133" s="336"/>
      <c r="CG133" s="336"/>
      <c r="CH133" s="336"/>
      <c r="CI133" s="336"/>
      <c r="CJ133" s="336"/>
      <c r="CK133" s="336"/>
      <c r="CL133" s="336"/>
      <c r="CM133" s="336"/>
      <c r="CN133" s="336"/>
      <c r="CO133" s="336"/>
      <c r="CP133" s="336"/>
      <c r="CQ133" s="336"/>
      <c r="CR133" s="336"/>
      <c r="CS133" s="336"/>
      <c r="CT133" s="336"/>
      <c r="CU133" s="336"/>
      <c r="CV133" s="336"/>
      <c r="CW133" s="336"/>
      <c r="CX133" s="336"/>
      <c r="CY133" s="336"/>
      <c r="CZ133" s="760"/>
      <c r="DA133" s="760"/>
      <c r="DB133" s="760"/>
      <c r="DC133" s="760"/>
      <c r="DD133" s="760"/>
      <c r="DE133" s="760"/>
      <c r="DF133" s="760"/>
      <c r="DG133" s="760"/>
      <c r="DH133" s="760"/>
      <c r="DI133" s="760"/>
      <c r="DJ133" s="760"/>
      <c r="DK133" s="760"/>
      <c r="DL133" s="760"/>
      <c r="DM133" s="760"/>
      <c r="DN133" s="760"/>
      <c r="DO133" s="760"/>
      <c r="DP133" s="760"/>
      <c r="DQ133" s="760"/>
      <c r="DR133" s="760"/>
      <c r="DS133" s="760"/>
      <c r="DT133" s="760"/>
      <c r="DU133" s="760"/>
      <c r="DV133" s="61"/>
      <c r="DW133" s="336">
        <f t="shared" si="1022"/>
        <v>0</v>
      </c>
      <c r="DX133" s="336">
        <f t="shared" si="900"/>
        <v>0</v>
      </c>
      <c r="DY133" s="336">
        <f t="shared" si="901"/>
        <v>0</v>
      </c>
      <c r="DZ133" s="336">
        <f t="shared" si="902"/>
        <v>0</v>
      </c>
      <c r="EA133" s="336">
        <f t="shared" si="903"/>
        <v>0</v>
      </c>
      <c r="EB133" s="336">
        <f t="shared" si="904"/>
        <v>0</v>
      </c>
      <c r="EC133" s="336">
        <f t="shared" si="905"/>
        <v>0</v>
      </c>
      <c r="ED133" s="336">
        <f t="shared" si="906"/>
        <v>0</v>
      </c>
      <c r="EE133" s="336">
        <f t="shared" si="907"/>
        <v>0</v>
      </c>
      <c r="EF133" s="336">
        <f t="shared" si="908"/>
        <v>0</v>
      </c>
      <c r="EG133" s="336">
        <f t="shared" si="909"/>
        <v>0</v>
      </c>
      <c r="EH133" s="336">
        <f t="shared" si="910"/>
        <v>0</v>
      </c>
      <c r="EI133" s="336">
        <f t="shared" si="911"/>
        <v>0</v>
      </c>
      <c r="EJ133" s="336">
        <f t="shared" si="912"/>
        <v>0</v>
      </c>
      <c r="EK133" s="336">
        <f t="shared" si="913"/>
        <v>0</v>
      </c>
      <c r="EL133" s="336">
        <f t="shared" si="914"/>
        <v>0</v>
      </c>
      <c r="EM133" s="336">
        <f t="shared" si="915"/>
        <v>0</v>
      </c>
      <c r="EN133" s="336">
        <f t="shared" si="916"/>
        <v>0</v>
      </c>
      <c r="EO133" s="336">
        <f t="shared" si="917"/>
        <v>0</v>
      </c>
      <c r="EP133" s="336">
        <f t="shared" si="918"/>
        <v>0</v>
      </c>
      <c r="EQ133" s="336">
        <f t="shared" si="919"/>
        <v>0</v>
      </c>
      <c r="ER133" s="336">
        <f t="shared" si="920"/>
        <v>0</v>
      </c>
      <c r="ES133" s="336">
        <f t="shared" si="921"/>
        <v>0</v>
      </c>
      <c r="ET133" s="336">
        <f t="shared" si="921"/>
        <v>0</v>
      </c>
      <c r="EU133" s="336">
        <f t="shared" si="922"/>
        <v>0</v>
      </c>
      <c r="EV133" s="336">
        <f t="shared" si="923"/>
        <v>0</v>
      </c>
      <c r="EW133" s="336">
        <f t="shared" si="924"/>
        <v>0</v>
      </c>
      <c r="EX133" s="336">
        <f t="shared" si="925"/>
        <v>0</v>
      </c>
      <c r="EY133" s="336">
        <f t="shared" si="926"/>
        <v>0</v>
      </c>
      <c r="EZ133" s="336">
        <f t="shared" si="927"/>
        <v>0</v>
      </c>
      <c r="FA133" s="336">
        <f t="shared" si="928"/>
        <v>0</v>
      </c>
      <c r="FB133" s="336">
        <f t="shared" si="929"/>
        <v>0</v>
      </c>
      <c r="FC133" s="336">
        <f t="shared" si="930"/>
        <v>0</v>
      </c>
      <c r="FD133" s="336">
        <f t="shared" si="931"/>
        <v>0</v>
      </c>
      <c r="FE133" s="336">
        <f t="shared" si="932"/>
        <v>0</v>
      </c>
      <c r="FF133" s="336">
        <f t="shared" si="933"/>
        <v>0</v>
      </c>
      <c r="FG133" s="336">
        <f t="shared" si="934"/>
        <v>0</v>
      </c>
      <c r="FH133" s="336">
        <f t="shared" si="935"/>
        <v>0</v>
      </c>
      <c r="FI133" s="336">
        <f t="shared" si="936"/>
        <v>0</v>
      </c>
      <c r="FJ133" s="336">
        <f t="shared" si="937"/>
        <v>0</v>
      </c>
      <c r="FK133" s="336">
        <f t="shared" si="938"/>
        <v>0</v>
      </c>
      <c r="FL133" s="336">
        <f t="shared" si="939"/>
        <v>0</v>
      </c>
      <c r="FM133" s="336">
        <f t="shared" si="940"/>
        <v>0</v>
      </c>
      <c r="FN133" s="336">
        <f t="shared" si="941"/>
        <v>0</v>
      </c>
      <c r="FO133" s="336">
        <f t="shared" si="942"/>
        <v>0</v>
      </c>
      <c r="FP133" s="336">
        <f t="shared" si="943"/>
        <v>0</v>
      </c>
      <c r="FQ133" s="336">
        <f t="shared" si="944"/>
        <v>0</v>
      </c>
      <c r="FR133" s="336">
        <f t="shared" si="945"/>
        <v>0</v>
      </c>
      <c r="FS133" s="336">
        <f t="shared" si="946"/>
        <v>0</v>
      </c>
      <c r="FT133" s="336">
        <f t="shared" si="947"/>
        <v>0</v>
      </c>
      <c r="FU133" s="336">
        <f t="shared" si="1222"/>
        <v>0</v>
      </c>
      <c r="FV133" s="336">
        <f t="shared" si="1223"/>
        <v>0</v>
      </c>
      <c r="FW133" s="336">
        <f t="shared" si="1224"/>
        <v>0</v>
      </c>
      <c r="FX133" s="336">
        <f t="shared" si="1225"/>
        <v>0</v>
      </c>
      <c r="FY133" s="336">
        <f t="shared" si="948"/>
        <v>0</v>
      </c>
      <c r="FZ133" s="336">
        <f t="shared" si="949"/>
        <v>0</v>
      </c>
      <c r="GA133" s="336">
        <f t="shared" si="950"/>
        <v>0</v>
      </c>
      <c r="GB133" s="336">
        <f t="shared" si="951"/>
        <v>0</v>
      </c>
      <c r="GC133" s="336">
        <f t="shared" si="952"/>
        <v>0</v>
      </c>
      <c r="GD133" s="336">
        <f t="shared" si="953"/>
        <v>0</v>
      </c>
      <c r="GE133" s="336">
        <f t="shared" si="954"/>
        <v>0</v>
      </c>
      <c r="GF133" s="336">
        <f t="shared" si="955"/>
        <v>0</v>
      </c>
      <c r="GG133" s="336">
        <f t="shared" si="956"/>
        <v>0</v>
      </c>
      <c r="GH133" s="336">
        <f t="shared" si="957"/>
        <v>0</v>
      </c>
      <c r="GI133" s="336">
        <f t="shared" si="958"/>
        <v>0</v>
      </c>
      <c r="GJ133" s="336">
        <f t="shared" si="959"/>
        <v>0</v>
      </c>
      <c r="GK133" s="336">
        <f t="shared" si="960"/>
        <v>0</v>
      </c>
      <c r="GL133" s="336">
        <f t="shared" si="1226"/>
        <v>0</v>
      </c>
      <c r="GM133" s="336">
        <f t="shared" si="961"/>
        <v>0</v>
      </c>
    </row>
    <row r="134" spans="1:229" ht="31.5" customHeight="1">
      <c r="A134" s="337">
        <f>A132+1</f>
        <v>99</v>
      </c>
      <c r="B134" s="567" t="s">
        <v>1254</v>
      </c>
      <c r="C134" s="372" t="s">
        <v>1253</v>
      </c>
      <c r="D134" s="567" t="s">
        <v>1255</v>
      </c>
      <c r="E134" s="440" t="s">
        <v>1211</v>
      </c>
      <c r="F134" s="372"/>
      <c r="G134" s="337" t="s">
        <v>329</v>
      </c>
      <c r="H134" s="350">
        <v>5</v>
      </c>
      <c r="I134" s="337" t="s">
        <v>330</v>
      </c>
      <c r="J134" s="337" t="s">
        <v>331</v>
      </c>
      <c r="K134" s="343">
        <v>400</v>
      </c>
      <c r="L134" s="343">
        <v>0.85000000000000009</v>
      </c>
      <c r="M134" s="350">
        <v>0.95042105263157861</v>
      </c>
      <c r="N134" s="342">
        <f t="shared" ref="N134:N143" si="1263">IF(I134="kVA",IF(J134="3Ph",(H134*1000/(1.732*M134*K134)),(H134*1000/(M134*K134))),IF(I134="kW",IF(J134="3Ph",(H134*1000/(1.732*M134*K134*L134)),(H134*1000/(M134*K134*L134)))))</f>
        <v>8.9336133449992658</v>
      </c>
      <c r="O134" s="342">
        <f t="shared" ref="O134:O143" si="1264">IF(G134="MOTOR",(6*N134),IF(G134="VFD",(1*N134),0))</f>
        <v>0</v>
      </c>
      <c r="P134" s="343" t="str">
        <f t="shared" ref="P134:P143" si="1265">IF(G134="MOTOR",0.2,"0.00")</f>
        <v>0.00</v>
      </c>
      <c r="Q134" s="350">
        <v>65</v>
      </c>
      <c r="R134" s="350">
        <v>0</v>
      </c>
      <c r="S134" s="350">
        <f t="shared" ref="S134:S143" si="1266">(Q134*1000*SQRT(R134)/143)</f>
        <v>0</v>
      </c>
      <c r="T134" s="343" t="s">
        <v>332</v>
      </c>
      <c r="U134" s="350" t="s">
        <v>522</v>
      </c>
      <c r="V134" s="343">
        <v>10</v>
      </c>
      <c r="W134" s="343" t="str">
        <f t="shared" ref="W134:W143" si="1267">CONCATENATE(U134," X ",V134)</f>
        <v>4C X 10</v>
      </c>
      <c r="X134" s="343" t="str">
        <f t="shared" ref="X134:X143" si="1268">(IF(J134="1Ph",W134,IF(J134="3Ph",(IF(G134="MOTOR",(CONCATENATE(W134,"+PE")),W134)))))</f>
        <v>4C X 10</v>
      </c>
      <c r="Y134" s="343" t="s">
        <v>358</v>
      </c>
      <c r="Z134" s="344">
        <f>IF(T134="AIR",VLOOKUP(W134,'Catalogue Aluminium'!$B$9:$G$93,2,FALSE),IF(T134="GROUND",VLOOKUP(W134,'Catalogue Aluminium'!$B$9:$G$93,3,FALSE),IF(T134="DUCT",VLOOKUP(W134,'Catalogue Aluminium'!$B$9:$G$93,4,FALSE),IF(T134="TRENCH",VLOOKUP(W134,'Catalogue Aluminium'!$B$9:$G$93,2,FALSE)))))</f>
        <v>60</v>
      </c>
      <c r="AA134" s="345">
        <f>VLOOKUP(W134,'Catalogue Aluminium'!$B$9:$G$93,5,FALSE)</f>
        <v>3.94</v>
      </c>
      <c r="AB134" s="345">
        <f>VLOOKUP(W134,'Catalogue Aluminium'!$B$9:$G$93,6,FALSE)</f>
        <v>8.5199999999999998E-2</v>
      </c>
      <c r="AC134" s="343">
        <f t="shared" ref="AC134:AC142" si="1269">13+8</f>
        <v>21</v>
      </c>
      <c r="AD134" s="343">
        <f>12+58+20+5</f>
        <v>95</v>
      </c>
      <c r="AE134" s="343">
        <v>10</v>
      </c>
      <c r="AF134" s="343">
        <v>8</v>
      </c>
      <c r="AG134" s="343">
        <f t="shared" ref="AG134:AG143" si="1270">ROUNDUP((SUM(AC134:AF134)*0.1),0)</f>
        <v>14</v>
      </c>
      <c r="AH134" s="347">
        <f t="shared" ref="AH134:AH143" si="1271">SUM(AC134:AG134)</f>
        <v>148</v>
      </c>
      <c r="AI134" s="344">
        <f>IF(T134="AIR",'Catalogue Aluminium'!$K$9,IF(T134="TRENCH",'Catalogue Aluminium'!$K$12,"NA"))</f>
        <v>0.89</v>
      </c>
      <c r="AJ134" s="342">
        <f>IF(T134="Air",(IF(U134="1C",'Catalogue Aluminium'!$L$9,'Catalogue Aluminium'!$M$9)),IF(T134="DUCT",(IF($U134="1C",'Catalogue Aluminium'!$L$10,'Catalogue Aluminium'!$M$10)),IF(T134="GROUND",(IF($U134="1C",'Catalogue Aluminium'!$L$11,'Catalogue Aluminium'!$M$11)),IF(T134="TRENCH",(IF($U134="1C",'Catalogue Aluminium'!$L$12,'Catalogue Aluminium'!$M$12))))))</f>
        <v>0.66</v>
      </c>
      <c r="AK134" s="344" t="str">
        <f>IF(T134="Air",'Catalogue Aluminium'!$N$9,IF(T134="GROUND",'Catalogue Aluminium'!$N$10,IF(T134="DUCT",'Catalogue Aluminium'!$N$11,IF(T134="TRENCH",'Catalogue Aluminium'!$N$12,"NA"))))</f>
        <v>NA</v>
      </c>
      <c r="AL134" s="344" t="str">
        <f>IF(T134="Air",(IF(U134="1C",'Catalogue Aluminium'!$O$9,'Catalogue Aluminium'!$P$9)),IF(T134="DUCT",(IF($U134="1C",'Catalogue Aluminium'!$O$10,'Catalogue Aluminium'!$P$10)),IF(T134="GROUND",(IF($U134="1C",'Catalogue Aluminium'!$O$11,'Catalogue Aluminium'!$P$11)),IF(T134="TRENCH",(IF($U134="1C",'Catalogue Aluminium'!$O$12,'Catalogue Aluminium'!$P$12))))))</f>
        <v>NA</v>
      </c>
      <c r="AM134" s="344" t="str">
        <f>IF(T134="AIR","NA",IF(T134="TRENCH","NA",IF(T134="DUCT",IF(U134="1C",VLOOKUP(V134,'Catalogue Aluminium'!$Q$9:$S$28,2,FALSE),VLOOKUP(V134,'Catalogue Aluminium'!$Q$9:$S$28,3)),IF(T134="GROUND",IF(U134="1C",VLOOKUP(V134,'Catalogue Aluminium'!$Q$9:$S$28,2,FALSE),VLOOKUP(V134,'Catalogue Aluminium'!$Q$9:$S$28,3))))))</f>
        <v>NA</v>
      </c>
      <c r="AN134" s="351">
        <f t="shared" ref="AN134:AN143" si="1272">IF(T134="AIR",AI134*AJ134,IF(T134="TRENCH",AI134*AJ134,IF(T134="DUCT",AJ134*AK134*AL134*AM134,IF(T134="GROUND",AJ134*AK134*AL134*AM134))))</f>
        <v>0.58740000000000003</v>
      </c>
      <c r="AO134" s="350">
        <f t="shared" ref="AO134:AO143" si="1273">Z134*AN134</f>
        <v>35.244</v>
      </c>
      <c r="AP134" s="349">
        <f t="shared" ref="AP134:AP143" si="1274">CEILING(((N134)/AO134),1)</f>
        <v>1</v>
      </c>
      <c r="AQ134" s="350" t="str">
        <f t="shared" ref="AQ134:AQ143" si="1275">IF(AO134*AP134&gt;=N134,"YES","NO")</f>
        <v>YES</v>
      </c>
      <c r="AR134" s="351">
        <f t="shared" ref="AR134:AR143" si="1276">SQRT(3)*AH134*N134*((AA134*L134)+(AB134*SIN(ACOS(L134))))*100/(AP134*K134*1000)</f>
        <v>1.9430600699992535</v>
      </c>
      <c r="AS134" s="343" t="str">
        <f t="shared" ref="AS134:AS143" si="1277">IF(G134="INCOMER",(IF(AR134&lt;=2,"YES","NO")),IF(G134="POWER",(IF(AR134&lt;=2.5,"YES","NO")),IF(G134="MOTOR",(IF(AR134&lt;=3,"YES","NO")))))</f>
        <v>YES</v>
      </c>
      <c r="AT134" s="351" t="str">
        <f t="shared" ref="AT134:AT143" si="1278">IF(G134="MOTOR",(SQRT(3)*AH134*O134*((AA134*P134)+(AB134*SIN(ACOS(P134))))*100/(AP134*K134*1000)),"NA")</f>
        <v>NA</v>
      </c>
      <c r="AU134" s="343" t="str">
        <f t="shared" ref="AU134:AU143" si="1279">IF(G134="MOTOR",IF(AT134&lt;=15,"YES","NO"),"NA")</f>
        <v>NA</v>
      </c>
      <c r="AV134" s="354" t="str">
        <f t="shared" ref="AV134:AV143" si="1280">IF(U134="1C",CONCATENATE(AP134,"R x ",Y134,"kV x ",U134," x ",V134," Sqmm/Phase"),CONCATENATE(AP134,"R x ",0.6,"/1kV x ",U134," x ",V134," Sqmm"))</f>
        <v>1R x 0.6/1kV x 4C x 10 Sqmm</v>
      </c>
      <c r="AW134" s="354" t="str">
        <f t="shared" ref="AW134:AW143" si="1281">IF(U134="1C",CONCATENATE(AP134,"R x ",Y134,"kV x ",U134," x ",V134," Sqmm/Phase"),CONCATENATE(AP134,"R x ",0.6,"/1kV x ",U134," x ",V134,(IF(G134="MOTOR","+PE",""))," Sqmm"))</f>
        <v>1R x 0.6/1kV x 4C x 10 Sqmm</v>
      </c>
      <c r="AX134" s="343">
        <f t="shared" ref="AX134:AX143" si="1282">(IF(K134=400,(IF(U134="1C",(4*AH134*AP134),(AH134*AP134))),IF(K134=230,(AH134*AP134))))</f>
        <v>148</v>
      </c>
      <c r="AY134" s="355"/>
      <c r="AZ134" s="355">
        <f t="shared" ref="AZ134:AZ143" si="1283">IF(U134="1C",(3*AP134*2),(AP134*2))</f>
        <v>2</v>
      </c>
      <c r="BA134" s="356" t="str">
        <f t="shared" ref="BA134:BA143" si="1284">CONCATENATE(IF(BE134=1,BE$4,""),IF(BF134=1,BF$4,""),IF(BG134=1,BG$4,""),IF(BH134=1,BH$4,""),IF(BI134=1,BI$4,""),IF(BJ134=1,BJ$4,""),IF(BK134=1,BK$4,""),IF(BL134=1,BL$4,""),IF(BM134=1,BM$4,""),IF(BN134=1,BN$4,""),IF(BO134=1,BO$4,""),IF(BP134=1,BP$4,""),IF(BQ134=1,BQ$4,""),IF(BR134=1,BR$4,""),IF(BS134=1,BS$4,""),IF(BT134=1,BT$4,""),IF(BU134=1,BU$4,""),IF(BV134=1,BV$4,""),IF(BW134=1,BW$4,""),IF(BX134=1,BX$4,""),IF(BY134=1,BY$4,""),IF(BZ134=1,BZ$4,""),IF(CA134=1,CA$4,""),IF(CB134=1,CB$4,""),IF(CC134=1,CC$4,""),IF(CD134=1,CD$4,""),IF(CE134=1,CE$4,""),IF(CF134=1,CF$4,""),IF(CG134=1,CG$4,""),IF(CH134=1,CH$4,""),IF(CI134=1,CI$4,""),IF(CJ134=1,CJ$4,""),IF(CK134=1,CK$4,""),IF(CL134=1,CL$4,""),IF(CM134=1,CM$4,""),IF(CN134=1,CN$4,""),IF(CO134=1,CO$4,""),IF(CP134=1,CP$4,""),IF(CQ134=1,CQ$4,""),IF(CR134=1,CR$4,""),IF(CS134=1,CS$4,""),IF(CT134=1,CT$4,""),IF(CU134=1,CU$4,""),IF(CV134=1,CV$4,""),IF(CW134=1,CW$4,""),IF(CX134=1,CX$4,""),IF(CY134=1,CY$4,""),IF(CZ134=1,CZ$4,""),IF(DA134=1,DA$4,""),IF(DB134=1,DB$4,""),IF(DC134=1,DC$4,""),IF(DD134=1,DD$4,""),IF(DE134=1,DE$4,""),IF(DF134=1,DF$4,""),IF(DG134=1,DG$4,""),IF(DH134=1,DH$4,""),IF(DI134=1,DI$4,""),IF(DJ134=1,DJ$4,""),IF(DK134=1,DK$4,""),IF(DL134=1,DL$4,""),IF(DM134=1,DM$4,""),IF(DN134=1,DN$4,""),IF(DO134=1,DO$4,""),IF(DP134=1,DP$4,""),IF(DQ134=1,DQ$4,""),IF(DR134=1,DR$4,""),IF(DS134=1,DS$4,""),IF(DT134=1,DT$4,""),IF(DU134=1,DU$4,""))</f>
        <v>Q3RR1R2R2.A</v>
      </c>
      <c r="BB134" s="501">
        <f>VLOOKUP(W134,'Catalogue Aluminium'!$B$9:$H$93,7,FALSE)</f>
        <v>20</v>
      </c>
      <c r="BC134" s="328">
        <f t="shared" ref="BC134:BC143" si="1285">AP134*BB134</f>
        <v>20</v>
      </c>
      <c r="BE134" s="336"/>
      <c r="BF134" s="336"/>
      <c r="BG134" s="336"/>
      <c r="BH134" s="336"/>
      <c r="BI134" s="336"/>
      <c r="BJ134" s="336"/>
      <c r="BK134" s="336"/>
      <c r="BL134" s="336"/>
      <c r="BM134" s="336"/>
      <c r="BN134" s="336"/>
      <c r="BO134" s="336"/>
      <c r="BP134" s="336"/>
      <c r="BQ134" s="336"/>
      <c r="BR134" s="336"/>
      <c r="BS134" s="336"/>
      <c r="BT134" s="336"/>
      <c r="BU134" s="336"/>
      <c r="BV134" s="336"/>
      <c r="BW134" s="336"/>
      <c r="BX134" s="336"/>
      <c r="BY134" s="336"/>
      <c r="BZ134" s="336"/>
      <c r="CA134" s="336"/>
      <c r="CB134" s="336"/>
      <c r="CC134" s="336"/>
      <c r="CD134" s="336"/>
      <c r="CE134" s="336"/>
      <c r="CF134" s="336"/>
      <c r="CG134" s="336"/>
      <c r="CH134" s="336"/>
      <c r="CI134" s="336"/>
      <c r="CJ134" s="336"/>
      <c r="CK134" s="336"/>
      <c r="CL134" s="336"/>
      <c r="CM134" s="336"/>
      <c r="CN134" s="336"/>
      <c r="CO134" s="336"/>
      <c r="CP134" s="336"/>
      <c r="CQ134" s="336"/>
      <c r="CR134" s="336"/>
      <c r="CS134" s="336"/>
      <c r="CT134" s="336"/>
      <c r="CU134" s="336"/>
      <c r="CV134" s="336"/>
      <c r="CW134" s="336"/>
      <c r="CX134" s="336"/>
      <c r="CY134" s="336"/>
      <c r="CZ134" s="336"/>
      <c r="DA134" s="336">
        <v>1</v>
      </c>
      <c r="DB134" s="336"/>
      <c r="DC134" s="336"/>
      <c r="DD134" s="336"/>
      <c r="DE134" s="336"/>
      <c r="DF134" s="336"/>
      <c r="DG134" s="336">
        <v>1</v>
      </c>
      <c r="DH134" s="336">
        <v>1</v>
      </c>
      <c r="DI134" s="336">
        <v>1</v>
      </c>
      <c r="DJ134" s="336"/>
      <c r="DK134" s="336">
        <v>1</v>
      </c>
      <c r="DL134" s="336"/>
      <c r="DM134" s="336"/>
      <c r="DN134" s="336"/>
      <c r="DO134" s="336"/>
      <c r="DP134" s="336"/>
      <c r="DQ134" s="336"/>
      <c r="DR134" s="336"/>
      <c r="DS134" s="336"/>
      <c r="DT134" s="336"/>
      <c r="DU134" s="336"/>
      <c r="DW134" s="336">
        <f t="shared" ref="DW134:DW181" si="1286">IF(BE134=1,($BC134*BE134),0)</f>
        <v>0</v>
      </c>
      <c r="DX134" s="336">
        <f t="shared" ref="DX134:DX178" si="1287">IF(BF134=1,($BC134*BF134),0)</f>
        <v>0</v>
      </c>
      <c r="DY134" s="336">
        <f t="shared" ref="DY134:DY178" si="1288">IF(BG134=1,($BC134*BG134),0)</f>
        <v>0</v>
      </c>
      <c r="DZ134" s="336">
        <f t="shared" ref="DZ134:DZ178" si="1289">IF(BH134=1,($BC134*BH134),0)</f>
        <v>0</v>
      </c>
      <c r="EA134" s="336">
        <f t="shared" ref="EA134:EA178" si="1290">IF(BI134=1,($BC134*BI134),0)</f>
        <v>0</v>
      </c>
      <c r="EB134" s="336">
        <f t="shared" ref="EB134:EB178" si="1291">IF(BJ134=1,($BC134*BJ134),0)</f>
        <v>0</v>
      </c>
      <c r="EC134" s="336">
        <f t="shared" ref="EC134:EC178" si="1292">IF(BK134=1,($BC134*BK134),0)</f>
        <v>0</v>
      </c>
      <c r="ED134" s="336">
        <f t="shared" ref="ED134:ED178" si="1293">IF(BL134=1,($BC134*BL134),0)</f>
        <v>0</v>
      </c>
      <c r="EE134" s="336">
        <f t="shared" ref="EE134:EE178" si="1294">IF(BM134=1,($BC134*BM134),0)</f>
        <v>0</v>
      </c>
      <c r="EF134" s="336">
        <f t="shared" ref="EF134:EF178" si="1295">IF(BN134=1,($BC134*BN134),0)</f>
        <v>0</v>
      </c>
      <c r="EG134" s="336">
        <f t="shared" ref="EG134:EG178" si="1296">IF(BO134=1,($BC134*BO134),0)</f>
        <v>0</v>
      </c>
      <c r="EH134" s="336">
        <f t="shared" ref="EH134:EH178" si="1297">IF(BP134=1,($BC134*BP134),0)</f>
        <v>0</v>
      </c>
      <c r="EI134" s="336">
        <f t="shared" ref="EI134:EI178" si="1298">IF(BQ134=1,($BC134*BQ134),0)</f>
        <v>0</v>
      </c>
      <c r="EJ134" s="336">
        <f t="shared" ref="EJ134:EJ178" si="1299">IF(BR134=1,($BC134*BR134),0)</f>
        <v>0</v>
      </c>
      <c r="EK134" s="336">
        <f t="shared" ref="EK134:EK178" si="1300">IF(BS134=1,($BC134*BS134),0)</f>
        <v>0</v>
      </c>
      <c r="EL134" s="336">
        <f t="shared" ref="EL134:EL178" si="1301">IF(BT134=1,($BC134*BT134),0)</f>
        <v>0</v>
      </c>
      <c r="EM134" s="336">
        <f t="shared" ref="EM134:EM178" si="1302">IF(BU134=1,($BC134*BU134),0)</f>
        <v>0</v>
      </c>
      <c r="EN134" s="336">
        <f t="shared" ref="EN134:EN178" si="1303">IF(BV134=1,($BC134*BV134),0)</f>
        <v>0</v>
      </c>
      <c r="EO134" s="336">
        <f t="shared" ref="EO134:EO178" si="1304">IF(BW134=1,($BC134*BW134),0)</f>
        <v>0</v>
      </c>
      <c r="EP134" s="336">
        <f t="shared" ref="EP134:EP178" si="1305">IF(BX134=1,($BC134*BX134),0)</f>
        <v>0</v>
      </c>
      <c r="EQ134" s="336">
        <f t="shared" ref="EQ134:EQ178" si="1306">IF(BY134=1,($BC134*BY134),0)</f>
        <v>0</v>
      </c>
      <c r="ER134" s="336">
        <f t="shared" ref="ER134:ER178" si="1307">IF(BZ134=1,($BC134*BZ134),0)</f>
        <v>0</v>
      </c>
      <c r="ES134" s="336">
        <f t="shared" ref="ES134:ET178" si="1308">IF(CA134=1,($BC134*CA134),0)</f>
        <v>0</v>
      </c>
      <c r="ET134" s="336">
        <f t="shared" si="1308"/>
        <v>0</v>
      </c>
      <c r="EU134" s="336">
        <f t="shared" ref="EU134:EU178" si="1309">IF(CC134=1,($BC134*CC134),0)</f>
        <v>0</v>
      </c>
      <c r="EV134" s="336">
        <f t="shared" ref="EV134:EV178" si="1310">IF(CD134=1,($BC134*CD134),0)</f>
        <v>0</v>
      </c>
      <c r="EW134" s="336">
        <f t="shared" ref="EW134:EW178" si="1311">IF(CE134=1,($BC134*CE134),0)</f>
        <v>0</v>
      </c>
      <c r="EX134" s="336">
        <f t="shared" ref="EX134:EX178" si="1312">IF(CF134=1,($BC134*CF134),0)</f>
        <v>0</v>
      </c>
      <c r="EY134" s="336">
        <f t="shared" ref="EY134:EY178" si="1313">IF(CG134=1,($BC134*CG134),0)</f>
        <v>0</v>
      </c>
      <c r="EZ134" s="336">
        <f t="shared" ref="EZ134:EZ178" si="1314">IF(CH134=1,($BC134*CH134),0)</f>
        <v>0</v>
      </c>
      <c r="FA134" s="336">
        <f t="shared" ref="FA134:FA178" si="1315">IF(CI134=1,($BC134*CI134),0)</f>
        <v>0</v>
      </c>
      <c r="FB134" s="336">
        <f t="shared" ref="FB134:FB178" si="1316">IF(CJ134=1,($BC134*CJ134),0)</f>
        <v>0</v>
      </c>
      <c r="FC134" s="336">
        <f t="shared" ref="FC134:FC178" si="1317">IF(CK134=1,($BC134*CK134),0)</f>
        <v>0</v>
      </c>
      <c r="FD134" s="336">
        <f t="shared" ref="FD134:FD178" si="1318">IF(CL134=1,($BC134*CL134),0)</f>
        <v>0</v>
      </c>
      <c r="FE134" s="336">
        <f t="shared" ref="FE134:FE178" si="1319">IF(CM134=1,($BC134*CM134),0)</f>
        <v>0</v>
      </c>
      <c r="FF134" s="336">
        <f t="shared" ref="FF134:FF178" si="1320">IF(CN134=1,($BC134*CN134),0)</f>
        <v>0</v>
      </c>
      <c r="FG134" s="336">
        <f t="shared" ref="FG134:FG178" si="1321">IF(CO134=1,($BC134*CO134),0)</f>
        <v>0</v>
      </c>
      <c r="FH134" s="336">
        <f t="shared" ref="FH134:FH178" si="1322">IF(CP134=1,($BC134*CP134),0)</f>
        <v>0</v>
      </c>
      <c r="FI134" s="336">
        <f t="shared" ref="FI134:FI178" si="1323">IF(CQ134=1,($BC134*CQ134),0)</f>
        <v>0</v>
      </c>
      <c r="FJ134" s="336">
        <f t="shared" ref="FJ134:FJ178" si="1324">IF(CR134=1,($BC134*CR134),0)</f>
        <v>0</v>
      </c>
      <c r="FK134" s="336">
        <f t="shared" ref="FK134:FK178" si="1325">IF(CS134=1,($BC134*CS134),0)</f>
        <v>0</v>
      </c>
      <c r="FL134" s="336">
        <f t="shared" ref="FL134:FL178" si="1326">IF(CT134=1,($BC134*CT134),0)</f>
        <v>0</v>
      </c>
      <c r="FM134" s="336">
        <f t="shared" ref="FM134:FM178" si="1327">IF(CU134=1,($BC134*CU134),0)</f>
        <v>0</v>
      </c>
      <c r="FN134" s="336">
        <f t="shared" ref="FN134:FN178" si="1328">IF(CV134=1,($BC134*CV134),0)</f>
        <v>0</v>
      </c>
      <c r="FO134" s="336">
        <f t="shared" ref="FO134:FO178" si="1329">IF(CW134=1,($BC134*CW134),0)</f>
        <v>0</v>
      </c>
      <c r="FP134" s="336">
        <f t="shared" ref="FP134:FP178" si="1330">IF(CX134=1,($BC134*CX134),0)</f>
        <v>0</v>
      </c>
      <c r="FQ134" s="336">
        <f t="shared" ref="FQ134:FQ178" si="1331">IF(CY134=1,($BC134*CY134),0)</f>
        <v>0</v>
      </c>
      <c r="FR134" s="336">
        <f t="shared" ref="FR134:FR178" si="1332">IF(CZ134=1,($BC134*CZ134),0)</f>
        <v>0</v>
      </c>
      <c r="FS134" s="336">
        <f t="shared" ref="FS134:FS178" si="1333">IF(DA134=1,($BC134*DA134),0)</f>
        <v>20</v>
      </c>
      <c r="FT134" s="336">
        <f t="shared" ref="FT134:FT178" si="1334">IF(DB134=1,($BC134*DB134),0)</f>
        <v>0</v>
      </c>
      <c r="FU134" s="336">
        <f t="shared" si="1222"/>
        <v>0</v>
      </c>
      <c r="FV134" s="336">
        <f t="shared" si="1223"/>
        <v>0</v>
      </c>
      <c r="FW134" s="336">
        <f t="shared" si="1224"/>
        <v>0</v>
      </c>
      <c r="FX134" s="336">
        <f t="shared" si="1225"/>
        <v>0</v>
      </c>
      <c r="FY134" s="336">
        <f t="shared" si="948"/>
        <v>20</v>
      </c>
      <c r="FZ134" s="336">
        <f t="shared" si="949"/>
        <v>20</v>
      </c>
      <c r="GA134" s="336">
        <f t="shared" si="950"/>
        <v>20</v>
      </c>
      <c r="GB134" s="336">
        <f t="shared" si="951"/>
        <v>0</v>
      </c>
      <c r="GC134" s="336">
        <f t="shared" si="952"/>
        <v>20</v>
      </c>
      <c r="GD134" s="336">
        <f t="shared" si="953"/>
        <v>0</v>
      </c>
      <c r="GE134" s="336">
        <f t="shared" si="954"/>
        <v>0</v>
      </c>
      <c r="GF134" s="336">
        <f t="shared" si="955"/>
        <v>0</v>
      </c>
      <c r="GG134" s="336">
        <f t="shared" si="956"/>
        <v>0</v>
      </c>
      <c r="GH134" s="336">
        <f t="shared" si="957"/>
        <v>0</v>
      </c>
      <c r="GI134" s="336">
        <f t="shared" si="958"/>
        <v>0</v>
      </c>
      <c r="GJ134" s="336">
        <f t="shared" si="959"/>
        <v>0</v>
      </c>
      <c r="GK134" s="336">
        <f t="shared" si="960"/>
        <v>0</v>
      </c>
      <c r="GL134" s="336">
        <f t="shared" si="1226"/>
        <v>0</v>
      </c>
      <c r="GM134" s="336">
        <f t="shared" si="961"/>
        <v>0</v>
      </c>
    </row>
    <row r="135" spans="1:229" ht="36.75" customHeight="1">
      <c r="A135" s="337">
        <f>A134+1</f>
        <v>100</v>
      </c>
      <c r="B135" s="567" t="s">
        <v>1256</v>
      </c>
      <c r="C135" s="372" t="s">
        <v>1253</v>
      </c>
      <c r="D135" s="567" t="s">
        <v>1257</v>
      </c>
      <c r="E135" s="440" t="s">
        <v>1214</v>
      </c>
      <c r="F135" s="372"/>
      <c r="G135" s="337" t="s">
        <v>329</v>
      </c>
      <c r="H135" s="350">
        <v>5</v>
      </c>
      <c r="I135" s="337" t="s">
        <v>330</v>
      </c>
      <c r="J135" s="337" t="s">
        <v>331</v>
      </c>
      <c r="K135" s="343">
        <v>400</v>
      </c>
      <c r="L135" s="343">
        <v>0.85000000000000009</v>
      </c>
      <c r="M135" s="350">
        <v>0.95042105263157861</v>
      </c>
      <c r="N135" s="342">
        <f t="shared" si="1263"/>
        <v>8.9336133449992658</v>
      </c>
      <c r="O135" s="342">
        <f t="shared" si="1264"/>
        <v>0</v>
      </c>
      <c r="P135" s="343" t="str">
        <f t="shared" si="1265"/>
        <v>0.00</v>
      </c>
      <c r="Q135" s="350">
        <v>65</v>
      </c>
      <c r="R135" s="350">
        <v>0</v>
      </c>
      <c r="S135" s="350">
        <f t="shared" si="1266"/>
        <v>0</v>
      </c>
      <c r="T135" s="343" t="s">
        <v>332</v>
      </c>
      <c r="U135" s="350" t="s">
        <v>522</v>
      </c>
      <c r="V135" s="343">
        <v>10</v>
      </c>
      <c r="W135" s="343" t="str">
        <f t="shared" si="1267"/>
        <v>4C X 10</v>
      </c>
      <c r="X135" s="343" t="str">
        <f t="shared" si="1268"/>
        <v>4C X 10</v>
      </c>
      <c r="Y135" s="343" t="s">
        <v>358</v>
      </c>
      <c r="Z135" s="344">
        <f>IF(T135="AIR",VLOOKUP(W135,'Catalogue Aluminium'!$B$9:$G$93,2,FALSE),IF(T135="GROUND",VLOOKUP(W135,'Catalogue Aluminium'!$B$9:$G$93,3,FALSE),IF(T135="DUCT",VLOOKUP(W135,'Catalogue Aluminium'!$B$9:$G$93,4,FALSE),IF(T135="TRENCH",VLOOKUP(W135,'Catalogue Aluminium'!$B$9:$G$93,2,FALSE)))))</f>
        <v>60</v>
      </c>
      <c r="AA135" s="345">
        <f>VLOOKUP(W135,'Catalogue Aluminium'!$B$9:$G$93,5,FALSE)</f>
        <v>3.94</v>
      </c>
      <c r="AB135" s="345">
        <f>VLOOKUP(W135,'Catalogue Aluminium'!$B$9:$G$93,6,FALSE)</f>
        <v>8.5199999999999998E-2</v>
      </c>
      <c r="AC135" s="343">
        <f t="shared" si="1269"/>
        <v>21</v>
      </c>
      <c r="AD135" s="343">
        <f>12+58+20+5+5</f>
        <v>100</v>
      </c>
      <c r="AE135" s="343">
        <v>10</v>
      </c>
      <c r="AF135" s="343">
        <v>8</v>
      </c>
      <c r="AG135" s="343">
        <f t="shared" si="1270"/>
        <v>14</v>
      </c>
      <c r="AH135" s="347">
        <f t="shared" si="1271"/>
        <v>153</v>
      </c>
      <c r="AI135" s="344">
        <f>IF(T135="AIR",'Catalogue Aluminium'!$K$9,IF(T135="TRENCH",'Catalogue Aluminium'!$K$12,"NA"))</f>
        <v>0.89</v>
      </c>
      <c r="AJ135" s="342">
        <f>IF(T135="Air",(IF(U135="1C",'Catalogue Aluminium'!$L$9,'Catalogue Aluminium'!$M$9)),IF(T135="DUCT",(IF($U135="1C",'Catalogue Aluminium'!$L$10,'Catalogue Aluminium'!$M$10)),IF(T135="GROUND",(IF($U135="1C",'Catalogue Aluminium'!$L$11,'Catalogue Aluminium'!$M$11)),IF(T135="TRENCH",(IF($U135="1C",'Catalogue Aluminium'!$L$12,'Catalogue Aluminium'!$M$12))))))</f>
        <v>0.66</v>
      </c>
      <c r="AK135" s="344" t="str">
        <f>IF(T135="Air",'Catalogue Aluminium'!$N$9,IF(T135="GROUND",'Catalogue Aluminium'!$N$10,IF(T135="DUCT",'Catalogue Aluminium'!$N$11,IF(T135="TRENCH",'Catalogue Aluminium'!$N$12,"NA"))))</f>
        <v>NA</v>
      </c>
      <c r="AL135" s="344" t="str">
        <f>IF(T135="Air",(IF(U135="1C",'Catalogue Aluminium'!$O$9,'Catalogue Aluminium'!$P$9)),IF(T135="DUCT",(IF($U135="1C",'Catalogue Aluminium'!$O$10,'Catalogue Aluminium'!$P$10)),IF(T135="GROUND",(IF($U135="1C",'Catalogue Aluminium'!$O$11,'Catalogue Aluminium'!$P$11)),IF(T135="TRENCH",(IF($U135="1C",'Catalogue Aluminium'!$O$12,'Catalogue Aluminium'!$P$12))))))</f>
        <v>NA</v>
      </c>
      <c r="AM135" s="344" t="str">
        <f>IF(T135="AIR","NA",IF(T135="TRENCH","NA",IF(T135="DUCT",IF(U135="1C",VLOOKUP(V135,'Catalogue Aluminium'!$Q$9:$S$28,2,FALSE),VLOOKUP(V135,'Catalogue Aluminium'!$Q$9:$S$28,3)),IF(T135="GROUND",IF(U135="1C",VLOOKUP(V135,'Catalogue Aluminium'!$Q$9:$S$28,2,FALSE),VLOOKUP(V135,'Catalogue Aluminium'!$Q$9:$S$28,3))))))</f>
        <v>NA</v>
      </c>
      <c r="AN135" s="351">
        <f t="shared" si="1272"/>
        <v>0.58740000000000003</v>
      </c>
      <c r="AO135" s="350">
        <f t="shared" si="1273"/>
        <v>35.244</v>
      </c>
      <c r="AP135" s="349">
        <f t="shared" si="1274"/>
        <v>1</v>
      </c>
      <c r="AQ135" s="350" t="str">
        <f t="shared" si="1275"/>
        <v>YES</v>
      </c>
      <c r="AR135" s="351">
        <f t="shared" si="1276"/>
        <v>2.0087039912830122</v>
      </c>
      <c r="AS135" s="343" t="str">
        <f t="shared" si="1277"/>
        <v>YES</v>
      </c>
      <c r="AT135" s="351" t="str">
        <f t="shared" si="1278"/>
        <v>NA</v>
      </c>
      <c r="AU135" s="343" t="str">
        <f t="shared" si="1279"/>
        <v>NA</v>
      </c>
      <c r="AV135" s="354" t="str">
        <f t="shared" si="1280"/>
        <v>1R x 0.6/1kV x 4C x 10 Sqmm</v>
      </c>
      <c r="AW135" s="354" t="str">
        <f t="shared" si="1281"/>
        <v>1R x 0.6/1kV x 4C x 10 Sqmm</v>
      </c>
      <c r="AX135" s="343">
        <f t="shared" si="1282"/>
        <v>153</v>
      </c>
      <c r="AY135" s="355"/>
      <c r="AZ135" s="355">
        <f t="shared" si="1283"/>
        <v>2</v>
      </c>
      <c r="BA135" s="356" t="str">
        <f t="shared" si="1284"/>
        <v>Q3RR1R2R2.A</v>
      </c>
      <c r="BB135" s="501">
        <f>VLOOKUP(W135,'Catalogue Aluminium'!$B$9:$H$93,7,FALSE)</f>
        <v>20</v>
      </c>
      <c r="BC135" s="328">
        <f t="shared" si="1285"/>
        <v>20</v>
      </c>
      <c r="BE135" s="336"/>
      <c r="BF135" s="336"/>
      <c r="BG135" s="336"/>
      <c r="BH135" s="336"/>
      <c r="BI135" s="336"/>
      <c r="BJ135" s="336"/>
      <c r="BK135" s="336"/>
      <c r="BL135" s="336"/>
      <c r="BM135" s="336"/>
      <c r="BN135" s="336"/>
      <c r="BO135" s="336"/>
      <c r="BP135" s="336"/>
      <c r="BQ135" s="336"/>
      <c r="BR135" s="336"/>
      <c r="BS135" s="336"/>
      <c r="BT135" s="336"/>
      <c r="BU135" s="336"/>
      <c r="BV135" s="336"/>
      <c r="BW135" s="336"/>
      <c r="BX135" s="336"/>
      <c r="BY135" s="336"/>
      <c r="BZ135" s="336"/>
      <c r="CA135" s="336"/>
      <c r="CB135" s="336"/>
      <c r="CC135" s="336"/>
      <c r="CD135" s="336"/>
      <c r="CE135" s="336"/>
      <c r="CF135" s="336"/>
      <c r="CG135" s="336"/>
      <c r="CH135" s="336"/>
      <c r="CI135" s="336"/>
      <c r="CJ135" s="336"/>
      <c r="CK135" s="336"/>
      <c r="CL135" s="336"/>
      <c r="CM135" s="336"/>
      <c r="CN135" s="336"/>
      <c r="CO135" s="336"/>
      <c r="CP135" s="336"/>
      <c r="CQ135" s="336"/>
      <c r="CR135" s="336"/>
      <c r="CS135" s="336"/>
      <c r="CT135" s="336"/>
      <c r="CU135" s="336"/>
      <c r="CV135" s="336"/>
      <c r="CW135" s="336"/>
      <c r="CX135" s="336"/>
      <c r="CY135" s="336"/>
      <c r="CZ135" s="336"/>
      <c r="DA135" s="336">
        <v>1</v>
      </c>
      <c r="DB135" s="336"/>
      <c r="DC135" s="336"/>
      <c r="DD135" s="336"/>
      <c r="DE135" s="336"/>
      <c r="DF135" s="336"/>
      <c r="DG135" s="336">
        <v>1</v>
      </c>
      <c r="DH135" s="336">
        <v>1</v>
      </c>
      <c r="DI135" s="336">
        <v>1</v>
      </c>
      <c r="DJ135" s="336"/>
      <c r="DK135" s="336">
        <v>1</v>
      </c>
      <c r="DL135" s="336"/>
      <c r="DM135" s="336"/>
      <c r="DN135" s="336"/>
      <c r="DO135" s="336"/>
      <c r="DP135" s="336"/>
      <c r="DQ135" s="336"/>
      <c r="DR135" s="336"/>
      <c r="DS135" s="336"/>
      <c r="DT135" s="336"/>
      <c r="DU135" s="336"/>
      <c r="DW135" s="336">
        <f t="shared" si="1286"/>
        <v>0</v>
      </c>
      <c r="DX135" s="336">
        <f t="shared" si="1287"/>
        <v>0</v>
      </c>
      <c r="DY135" s="336">
        <f t="shared" si="1288"/>
        <v>0</v>
      </c>
      <c r="DZ135" s="336">
        <f t="shared" si="1289"/>
        <v>0</v>
      </c>
      <c r="EA135" s="336">
        <f t="shared" si="1290"/>
        <v>0</v>
      </c>
      <c r="EB135" s="336">
        <f t="shared" si="1291"/>
        <v>0</v>
      </c>
      <c r="EC135" s="336">
        <f t="shared" si="1292"/>
        <v>0</v>
      </c>
      <c r="ED135" s="336">
        <f t="shared" si="1293"/>
        <v>0</v>
      </c>
      <c r="EE135" s="336">
        <f t="shared" si="1294"/>
        <v>0</v>
      </c>
      <c r="EF135" s="336">
        <f t="shared" si="1295"/>
        <v>0</v>
      </c>
      <c r="EG135" s="336">
        <f t="shared" si="1296"/>
        <v>0</v>
      </c>
      <c r="EH135" s="336">
        <f t="shared" si="1297"/>
        <v>0</v>
      </c>
      <c r="EI135" s="336">
        <f t="shared" si="1298"/>
        <v>0</v>
      </c>
      <c r="EJ135" s="336">
        <f t="shared" si="1299"/>
        <v>0</v>
      </c>
      <c r="EK135" s="336">
        <f t="shared" si="1300"/>
        <v>0</v>
      </c>
      <c r="EL135" s="336">
        <f t="shared" si="1301"/>
        <v>0</v>
      </c>
      <c r="EM135" s="336">
        <f t="shared" si="1302"/>
        <v>0</v>
      </c>
      <c r="EN135" s="336">
        <f t="shared" si="1303"/>
        <v>0</v>
      </c>
      <c r="EO135" s="336">
        <f t="shared" si="1304"/>
        <v>0</v>
      </c>
      <c r="EP135" s="336">
        <f t="shared" si="1305"/>
        <v>0</v>
      </c>
      <c r="EQ135" s="336">
        <f t="shared" si="1306"/>
        <v>0</v>
      </c>
      <c r="ER135" s="336">
        <f t="shared" si="1307"/>
        <v>0</v>
      </c>
      <c r="ES135" s="336">
        <f t="shared" si="1308"/>
        <v>0</v>
      </c>
      <c r="ET135" s="336">
        <f t="shared" si="1308"/>
        <v>0</v>
      </c>
      <c r="EU135" s="336">
        <f t="shared" si="1309"/>
        <v>0</v>
      </c>
      <c r="EV135" s="336">
        <f t="shared" si="1310"/>
        <v>0</v>
      </c>
      <c r="EW135" s="336">
        <f t="shared" si="1311"/>
        <v>0</v>
      </c>
      <c r="EX135" s="336">
        <f t="shared" si="1312"/>
        <v>0</v>
      </c>
      <c r="EY135" s="336">
        <f t="shared" si="1313"/>
        <v>0</v>
      </c>
      <c r="EZ135" s="336">
        <f t="shared" si="1314"/>
        <v>0</v>
      </c>
      <c r="FA135" s="336">
        <f t="shared" si="1315"/>
        <v>0</v>
      </c>
      <c r="FB135" s="336">
        <f t="shared" si="1316"/>
        <v>0</v>
      </c>
      <c r="FC135" s="336">
        <f t="shared" si="1317"/>
        <v>0</v>
      </c>
      <c r="FD135" s="336">
        <f t="shared" si="1318"/>
        <v>0</v>
      </c>
      <c r="FE135" s="336">
        <f t="shared" si="1319"/>
        <v>0</v>
      </c>
      <c r="FF135" s="336">
        <f t="shared" si="1320"/>
        <v>0</v>
      </c>
      <c r="FG135" s="336">
        <f t="shared" si="1321"/>
        <v>0</v>
      </c>
      <c r="FH135" s="336">
        <f t="shared" si="1322"/>
        <v>0</v>
      </c>
      <c r="FI135" s="336">
        <f t="shared" si="1323"/>
        <v>0</v>
      </c>
      <c r="FJ135" s="336">
        <f t="shared" si="1324"/>
        <v>0</v>
      </c>
      <c r="FK135" s="336">
        <f t="shared" si="1325"/>
        <v>0</v>
      </c>
      <c r="FL135" s="336">
        <f t="shared" si="1326"/>
        <v>0</v>
      </c>
      <c r="FM135" s="336">
        <f t="shared" si="1327"/>
        <v>0</v>
      </c>
      <c r="FN135" s="336">
        <f t="shared" si="1328"/>
        <v>0</v>
      </c>
      <c r="FO135" s="336">
        <f t="shared" si="1329"/>
        <v>0</v>
      </c>
      <c r="FP135" s="336">
        <f t="shared" si="1330"/>
        <v>0</v>
      </c>
      <c r="FQ135" s="336">
        <f t="shared" si="1331"/>
        <v>0</v>
      </c>
      <c r="FR135" s="336">
        <f t="shared" si="1332"/>
        <v>0</v>
      </c>
      <c r="FS135" s="336">
        <f t="shared" si="1333"/>
        <v>20</v>
      </c>
      <c r="FT135" s="336">
        <f t="shared" si="1334"/>
        <v>0</v>
      </c>
      <c r="FU135" s="336">
        <f t="shared" si="1222"/>
        <v>0</v>
      </c>
      <c r="FV135" s="336">
        <f t="shared" si="1223"/>
        <v>0</v>
      </c>
      <c r="FW135" s="336">
        <f t="shared" si="1224"/>
        <v>0</v>
      </c>
      <c r="FX135" s="336">
        <f t="shared" si="1225"/>
        <v>0</v>
      </c>
      <c r="FY135" s="336">
        <f t="shared" si="948"/>
        <v>20</v>
      </c>
      <c r="FZ135" s="336">
        <f t="shared" si="949"/>
        <v>20</v>
      </c>
      <c r="GA135" s="336">
        <f t="shared" si="950"/>
        <v>20</v>
      </c>
      <c r="GB135" s="336">
        <f t="shared" si="951"/>
        <v>0</v>
      </c>
      <c r="GC135" s="336">
        <f t="shared" si="952"/>
        <v>20</v>
      </c>
      <c r="GD135" s="336">
        <f t="shared" si="953"/>
        <v>0</v>
      </c>
      <c r="GE135" s="336">
        <f t="shared" si="954"/>
        <v>0</v>
      </c>
      <c r="GF135" s="336">
        <f t="shared" si="955"/>
        <v>0</v>
      </c>
      <c r="GG135" s="336">
        <f t="shared" si="956"/>
        <v>0</v>
      </c>
      <c r="GH135" s="336">
        <f t="shared" si="957"/>
        <v>0</v>
      </c>
      <c r="GI135" s="336">
        <f t="shared" si="958"/>
        <v>0</v>
      </c>
      <c r="GJ135" s="336">
        <f t="shared" si="959"/>
        <v>0</v>
      </c>
      <c r="GK135" s="336">
        <f t="shared" si="960"/>
        <v>0</v>
      </c>
      <c r="GL135" s="336">
        <f t="shared" si="1226"/>
        <v>0</v>
      </c>
      <c r="GM135" s="336">
        <f t="shared" si="961"/>
        <v>0</v>
      </c>
    </row>
    <row r="136" spans="1:229" ht="21" customHeight="1">
      <c r="A136" s="337">
        <f t="shared" ref="A136:A144" si="1335">A135+1</f>
        <v>101</v>
      </c>
      <c r="B136" s="567" t="s">
        <v>1258</v>
      </c>
      <c r="C136" s="372" t="s">
        <v>1253</v>
      </c>
      <c r="D136" s="567" t="s">
        <v>1259</v>
      </c>
      <c r="E136" s="440" t="s">
        <v>1181</v>
      </c>
      <c r="F136" s="372"/>
      <c r="G136" s="337" t="s">
        <v>329</v>
      </c>
      <c r="H136" s="350">
        <v>5</v>
      </c>
      <c r="I136" s="337" t="s">
        <v>330</v>
      </c>
      <c r="J136" s="337" t="s">
        <v>331</v>
      </c>
      <c r="K136" s="343">
        <v>400</v>
      </c>
      <c r="L136" s="343">
        <v>0.85000000000000009</v>
      </c>
      <c r="M136" s="350">
        <v>0.95042105263157861</v>
      </c>
      <c r="N136" s="342">
        <f t="shared" si="1263"/>
        <v>8.9336133449992658</v>
      </c>
      <c r="O136" s="342">
        <f t="shared" si="1264"/>
        <v>0</v>
      </c>
      <c r="P136" s="343" t="str">
        <f t="shared" si="1265"/>
        <v>0.00</v>
      </c>
      <c r="Q136" s="350">
        <v>65</v>
      </c>
      <c r="R136" s="350">
        <v>0</v>
      </c>
      <c r="S136" s="350">
        <f t="shared" si="1266"/>
        <v>0</v>
      </c>
      <c r="T136" s="343" t="s">
        <v>332</v>
      </c>
      <c r="U136" s="350" t="s">
        <v>522</v>
      </c>
      <c r="V136" s="343">
        <v>10</v>
      </c>
      <c r="W136" s="343" t="str">
        <f t="shared" si="1267"/>
        <v>4C X 10</v>
      </c>
      <c r="X136" s="343" t="str">
        <f t="shared" si="1268"/>
        <v>4C X 10</v>
      </c>
      <c r="Y136" s="343" t="s">
        <v>358</v>
      </c>
      <c r="Z136" s="344">
        <f>IF(T136="AIR",VLOOKUP(W136,'Catalogue Aluminium'!$B$9:$G$93,2,FALSE),IF(T136="GROUND",VLOOKUP(W136,'Catalogue Aluminium'!$B$9:$G$93,3,FALSE),IF(T136="DUCT",VLOOKUP(W136,'Catalogue Aluminium'!$B$9:$G$93,4,FALSE),IF(T136="TRENCH",VLOOKUP(W136,'Catalogue Aluminium'!$B$9:$G$93,2,FALSE)))))</f>
        <v>60</v>
      </c>
      <c r="AA136" s="345">
        <f>VLOOKUP(W136,'Catalogue Aluminium'!$B$9:$G$93,5,FALSE)</f>
        <v>3.94</v>
      </c>
      <c r="AB136" s="345">
        <f>VLOOKUP(W136,'Catalogue Aluminium'!$B$9:$G$93,6,FALSE)</f>
        <v>8.5199999999999998E-2</v>
      </c>
      <c r="AC136" s="343">
        <f t="shared" si="1269"/>
        <v>21</v>
      </c>
      <c r="AD136" s="343">
        <f>12+58+20+41+2</f>
        <v>133</v>
      </c>
      <c r="AE136" s="343">
        <v>10</v>
      </c>
      <c r="AF136" s="343">
        <v>8</v>
      </c>
      <c r="AG136" s="343">
        <f t="shared" si="1270"/>
        <v>18</v>
      </c>
      <c r="AH136" s="347">
        <f t="shared" si="1271"/>
        <v>190</v>
      </c>
      <c r="AI136" s="344">
        <f>IF(T136="AIR",'Catalogue Aluminium'!$K$9,IF(T136="TRENCH",'Catalogue Aluminium'!$K$12,"NA"))</f>
        <v>0.89</v>
      </c>
      <c r="AJ136" s="342">
        <f>IF(T136="Air",(IF(U136="1C",'Catalogue Aluminium'!$L$9,'Catalogue Aluminium'!$M$9)),IF(T136="DUCT",(IF($U136="1C",'Catalogue Aluminium'!$L$10,'Catalogue Aluminium'!$M$10)),IF(T136="GROUND",(IF($U136="1C",'Catalogue Aluminium'!$L$11,'Catalogue Aluminium'!$M$11)),IF(T136="TRENCH",(IF($U136="1C",'Catalogue Aluminium'!$L$12,'Catalogue Aluminium'!$M$12))))))</f>
        <v>0.66</v>
      </c>
      <c r="AK136" s="344" t="str">
        <f>IF(T136="Air",'Catalogue Aluminium'!$N$9,IF(T136="GROUND",'Catalogue Aluminium'!$N$10,IF(T136="DUCT",'Catalogue Aluminium'!$N$11,IF(T136="TRENCH",'Catalogue Aluminium'!$N$12,"NA"))))</f>
        <v>NA</v>
      </c>
      <c r="AL136" s="344" t="str">
        <f>IF(T136="Air",(IF(U136="1C",'Catalogue Aluminium'!$O$9,'Catalogue Aluminium'!$P$9)),IF(T136="DUCT",(IF($U136="1C",'Catalogue Aluminium'!$O$10,'Catalogue Aluminium'!$P$10)),IF(T136="GROUND",(IF($U136="1C",'Catalogue Aluminium'!$O$11,'Catalogue Aluminium'!$P$11)),IF(T136="TRENCH",(IF($U136="1C",'Catalogue Aluminium'!$O$12,'Catalogue Aluminium'!$P$12))))))</f>
        <v>NA</v>
      </c>
      <c r="AM136" s="344" t="str">
        <f>IF(T136="AIR","NA",IF(T136="TRENCH","NA",IF(T136="DUCT",IF(U136="1C",VLOOKUP(V136,'Catalogue Aluminium'!$Q$9:$S$28,2,FALSE),VLOOKUP(V136,'Catalogue Aluminium'!$Q$9:$S$28,3)),IF(T136="GROUND",IF(U136="1C",VLOOKUP(V136,'Catalogue Aluminium'!$Q$9:$S$28,2,FALSE),VLOOKUP(V136,'Catalogue Aluminium'!$Q$9:$S$28,3))))))</f>
        <v>NA</v>
      </c>
      <c r="AN136" s="351">
        <f t="shared" si="1272"/>
        <v>0.58740000000000003</v>
      </c>
      <c r="AO136" s="350">
        <f t="shared" si="1273"/>
        <v>35.244</v>
      </c>
      <c r="AP136" s="349">
        <f t="shared" si="1274"/>
        <v>1</v>
      </c>
      <c r="AQ136" s="350" t="str">
        <f t="shared" si="1275"/>
        <v>YES</v>
      </c>
      <c r="AR136" s="351">
        <f t="shared" si="1276"/>
        <v>2.4944690087828256</v>
      </c>
      <c r="AS136" s="343" t="str">
        <f t="shared" si="1277"/>
        <v>YES</v>
      </c>
      <c r="AT136" s="351" t="str">
        <f t="shared" si="1278"/>
        <v>NA</v>
      </c>
      <c r="AU136" s="343" t="str">
        <f t="shared" si="1279"/>
        <v>NA</v>
      </c>
      <c r="AV136" s="354" t="str">
        <f t="shared" si="1280"/>
        <v>1R x 0.6/1kV x 4C x 10 Sqmm</v>
      </c>
      <c r="AW136" s="354" t="str">
        <f t="shared" si="1281"/>
        <v>1R x 0.6/1kV x 4C x 10 Sqmm</v>
      </c>
      <c r="AX136" s="343">
        <f t="shared" si="1282"/>
        <v>190</v>
      </c>
      <c r="AY136" s="355"/>
      <c r="AZ136" s="355">
        <f t="shared" si="1283"/>
        <v>2</v>
      </c>
      <c r="BA136" s="356" t="str">
        <f t="shared" si="1284"/>
        <v>Q3RR1R2SS.B</v>
      </c>
      <c r="BB136" s="501">
        <f>VLOOKUP(W136,'Catalogue Aluminium'!$B$9:$H$93,7,FALSE)</f>
        <v>20</v>
      </c>
      <c r="BC136" s="328">
        <f t="shared" si="1285"/>
        <v>20</v>
      </c>
      <c r="BE136" s="336"/>
      <c r="BF136" s="336"/>
      <c r="BG136" s="336"/>
      <c r="BH136" s="336"/>
      <c r="BI136" s="336"/>
      <c r="BJ136" s="336"/>
      <c r="BK136" s="336"/>
      <c r="BL136" s="336"/>
      <c r="BM136" s="336"/>
      <c r="BN136" s="336"/>
      <c r="BO136" s="336"/>
      <c r="BP136" s="336"/>
      <c r="BQ136" s="336"/>
      <c r="BR136" s="336"/>
      <c r="BS136" s="336"/>
      <c r="BT136" s="336"/>
      <c r="BU136" s="336"/>
      <c r="BV136" s="336"/>
      <c r="BW136" s="336"/>
      <c r="BX136" s="336"/>
      <c r="BY136" s="336"/>
      <c r="BZ136" s="336"/>
      <c r="CA136" s="336"/>
      <c r="CB136" s="336"/>
      <c r="CC136" s="336"/>
      <c r="CD136" s="336"/>
      <c r="CE136" s="336"/>
      <c r="CF136" s="336"/>
      <c r="CG136" s="336"/>
      <c r="CH136" s="336"/>
      <c r="CI136" s="336"/>
      <c r="CJ136" s="336"/>
      <c r="CK136" s="336"/>
      <c r="CL136" s="336"/>
      <c r="CM136" s="336"/>
      <c r="CN136" s="336"/>
      <c r="CO136" s="336"/>
      <c r="CP136" s="336"/>
      <c r="CQ136" s="336"/>
      <c r="CR136" s="336"/>
      <c r="CS136" s="336"/>
      <c r="CT136" s="336"/>
      <c r="CU136" s="336"/>
      <c r="CV136" s="336"/>
      <c r="CW136" s="336"/>
      <c r="CX136" s="336"/>
      <c r="CY136" s="336"/>
      <c r="CZ136" s="336"/>
      <c r="DA136" s="336">
        <v>1</v>
      </c>
      <c r="DB136" s="336"/>
      <c r="DC136" s="336"/>
      <c r="DD136" s="336"/>
      <c r="DE136" s="336"/>
      <c r="DF136" s="336"/>
      <c r="DG136" s="336">
        <v>1</v>
      </c>
      <c r="DH136" s="336">
        <v>1</v>
      </c>
      <c r="DI136" s="336">
        <v>1</v>
      </c>
      <c r="DJ136" s="336"/>
      <c r="DK136" s="336"/>
      <c r="DL136" s="336">
        <v>1</v>
      </c>
      <c r="DM136" s="336"/>
      <c r="DN136" s="336">
        <v>1</v>
      </c>
      <c r="DO136" s="336"/>
      <c r="DP136" s="336"/>
      <c r="DQ136" s="336"/>
      <c r="DR136" s="336"/>
      <c r="DS136" s="336"/>
      <c r="DT136" s="336"/>
      <c r="DU136" s="336"/>
      <c r="DW136" s="336">
        <f t="shared" si="1286"/>
        <v>0</v>
      </c>
      <c r="DX136" s="336">
        <f t="shared" si="1287"/>
        <v>0</v>
      </c>
      <c r="DY136" s="336">
        <f t="shared" si="1288"/>
        <v>0</v>
      </c>
      <c r="DZ136" s="336">
        <f t="shared" si="1289"/>
        <v>0</v>
      </c>
      <c r="EA136" s="336">
        <f t="shared" si="1290"/>
        <v>0</v>
      </c>
      <c r="EB136" s="336">
        <f t="shared" si="1291"/>
        <v>0</v>
      </c>
      <c r="EC136" s="336">
        <f t="shared" si="1292"/>
        <v>0</v>
      </c>
      <c r="ED136" s="336">
        <f t="shared" si="1293"/>
        <v>0</v>
      </c>
      <c r="EE136" s="336">
        <f t="shared" si="1294"/>
        <v>0</v>
      </c>
      <c r="EF136" s="336">
        <f t="shared" si="1295"/>
        <v>0</v>
      </c>
      <c r="EG136" s="336">
        <f t="shared" si="1296"/>
        <v>0</v>
      </c>
      <c r="EH136" s="336">
        <f t="shared" si="1297"/>
        <v>0</v>
      </c>
      <c r="EI136" s="336">
        <f t="shared" si="1298"/>
        <v>0</v>
      </c>
      <c r="EJ136" s="336">
        <f t="shared" si="1299"/>
        <v>0</v>
      </c>
      <c r="EK136" s="336">
        <f t="shared" si="1300"/>
        <v>0</v>
      </c>
      <c r="EL136" s="336">
        <f t="shared" si="1301"/>
        <v>0</v>
      </c>
      <c r="EM136" s="336">
        <f t="shared" si="1302"/>
        <v>0</v>
      </c>
      <c r="EN136" s="336">
        <f t="shared" si="1303"/>
        <v>0</v>
      </c>
      <c r="EO136" s="336">
        <f t="shared" si="1304"/>
        <v>0</v>
      </c>
      <c r="EP136" s="336">
        <f t="shared" si="1305"/>
        <v>0</v>
      </c>
      <c r="EQ136" s="336">
        <f t="shared" si="1306"/>
        <v>0</v>
      </c>
      <c r="ER136" s="336">
        <f t="shared" si="1307"/>
        <v>0</v>
      </c>
      <c r="ES136" s="336">
        <f t="shared" si="1308"/>
        <v>0</v>
      </c>
      <c r="ET136" s="336">
        <f t="shared" si="1308"/>
        <v>0</v>
      </c>
      <c r="EU136" s="336">
        <f t="shared" si="1309"/>
        <v>0</v>
      </c>
      <c r="EV136" s="336">
        <f t="shared" si="1310"/>
        <v>0</v>
      </c>
      <c r="EW136" s="336">
        <f t="shared" si="1311"/>
        <v>0</v>
      </c>
      <c r="EX136" s="336">
        <f t="shared" si="1312"/>
        <v>0</v>
      </c>
      <c r="EY136" s="336">
        <f t="shared" si="1313"/>
        <v>0</v>
      </c>
      <c r="EZ136" s="336">
        <f t="shared" si="1314"/>
        <v>0</v>
      </c>
      <c r="FA136" s="336">
        <f t="shared" si="1315"/>
        <v>0</v>
      </c>
      <c r="FB136" s="336">
        <f t="shared" si="1316"/>
        <v>0</v>
      </c>
      <c r="FC136" s="336">
        <f t="shared" si="1317"/>
        <v>0</v>
      </c>
      <c r="FD136" s="336">
        <f t="shared" si="1318"/>
        <v>0</v>
      </c>
      <c r="FE136" s="336">
        <f t="shared" si="1319"/>
        <v>0</v>
      </c>
      <c r="FF136" s="336">
        <f t="shared" si="1320"/>
        <v>0</v>
      </c>
      <c r="FG136" s="336">
        <f t="shared" si="1321"/>
        <v>0</v>
      </c>
      <c r="FH136" s="336">
        <f t="shared" si="1322"/>
        <v>0</v>
      </c>
      <c r="FI136" s="336">
        <f t="shared" si="1323"/>
        <v>0</v>
      </c>
      <c r="FJ136" s="336">
        <f t="shared" si="1324"/>
        <v>0</v>
      </c>
      <c r="FK136" s="336">
        <f t="shared" si="1325"/>
        <v>0</v>
      </c>
      <c r="FL136" s="336">
        <f t="shared" si="1326"/>
        <v>0</v>
      </c>
      <c r="FM136" s="336">
        <f t="shared" si="1327"/>
        <v>0</v>
      </c>
      <c r="FN136" s="336">
        <f t="shared" si="1328"/>
        <v>0</v>
      </c>
      <c r="FO136" s="336">
        <f t="shared" si="1329"/>
        <v>0</v>
      </c>
      <c r="FP136" s="336">
        <f t="shared" si="1330"/>
        <v>0</v>
      </c>
      <c r="FQ136" s="336">
        <f t="shared" si="1331"/>
        <v>0</v>
      </c>
      <c r="FR136" s="336">
        <f t="shared" si="1332"/>
        <v>0</v>
      </c>
      <c r="FS136" s="336">
        <f t="shared" si="1333"/>
        <v>20</v>
      </c>
      <c r="FT136" s="336">
        <f t="shared" si="1334"/>
        <v>0</v>
      </c>
      <c r="FU136" s="336">
        <f t="shared" si="1222"/>
        <v>0</v>
      </c>
      <c r="FV136" s="336">
        <f t="shared" si="1223"/>
        <v>0</v>
      </c>
      <c r="FW136" s="336">
        <f t="shared" si="1224"/>
        <v>0</v>
      </c>
      <c r="FX136" s="336">
        <f t="shared" si="1225"/>
        <v>0</v>
      </c>
      <c r="FY136" s="336">
        <f t="shared" si="948"/>
        <v>20</v>
      </c>
      <c r="FZ136" s="336">
        <f t="shared" si="949"/>
        <v>20</v>
      </c>
      <c r="GA136" s="336">
        <f t="shared" si="950"/>
        <v>20</v>
      </c>
      <c r="GB136" s="336">
        <f t="shared" si="951"/>
        <v>0</v>
      </c>
      <c r="GC136" s="336">
        <f t="shared" si="952"/>
        <v>0</v>
      </c>
      <c r="GD136" s="336">
        <f t="shared" si="953"/>
        <v>20</v>
      </c>
      <c r="GE136" s="336">
        <f t="shared" si="954"/>
        <v>0</v>
      </c>
      <c r="GF136" s="336">
        <f t="shared" si="955"/>
        <v>20</v>
      </c>
      <c r="GG136" s="336">
        <f t="shared" si="956"/>
        <v>0</v>
      </c>
      <c r="GH136" s="336">
        <f t="shared" si="957"/>
        <v>0</v>
      </c>
      <c r="GI136" s="336">
        <f t="shared" si="958"/>
        <v>0</v>
      </c>
      <c r="GJ136" s="336">
        <f t="shared" si="959"/>
        <v>0</v>
      </c>
      <c r="GK136" s="336">
        <f t="shared" si="960"/>
        <v>0</v>
      </c>
      <c r="GL136" s="336">
        <f t="shared" si="1226"/>
        <v>0</v>
      </c>
      <c r="GM136" s="336">
        <f t="shared" si="961"/>
        <v>0</v>
      </c>
    </row>
    <row r="137" spans="1:229" ht="21" customHeight="1">
      <c r="A137" s="337">
        <f t="shared" si="1335"/>
        <v>102</v>
      </c>
      <c r="B137" s="567" t="s">
        <v>1260</v>
      </c>
      <c r="C137" s="372" t="s">
        <v>1253</v>
      </c>
      <c r="D137" s="567" t="s">
        <v>1261</v>
      </c>
      <c r="E137" s="440" t="s">
        <v>1219</v>
      </c>
      <c r="F137" s="372"/>
      <c r="G137" s="337" t="s">
        <v>329</v>
      </c>
      <c r="H137" s="350">
        <v>5</v>
      </c>
      <c r="I137" s="337" t="s">
        <v>330</v>
      </c>
      <c r="J137" s="337" t="s">
        <v>331</v>
      </c>
      <c r="K137" s="343">
        <v>400</v>
      </c>
      <c r="L137" s="343">
        <v>0.85000000000000009</v>
      </c>
      <c r="M137" s="350">
        <v>0.95042105263157861</v>
      </c>
      <c r="N137" s="342">
        <f t="shared" si="1263"/>
        <v>8.9336133449992658</v>
      </c>
      <c r="O137" s="342">
        <f t="shared" si="1264"/>
        <v>0</v>
      </c>
      <c r="P137" s="343" t="str">
        <f t="shared" si="1265"/>
        <v>0.00</v>
      </c>
      <c r="Q137" s="350">
        <v>65</v>
      </c>
      <c r="R137" s="350">
        <v>0</v>
      </c>
      <c r="S137" s="350">
        <f t="shared" si="1266"/>
        <v>0</v>
      </c>
      <c r="T137" s="343" t="s">
        <v>332</v>
      </c>
      <c r="U137" s="350" t="s">
        <v>522</v>
      </c>
      <c r="V137" s="343">
        <v>16</v>
      </c>
      <c r="W137" s="343" t="str">
        <f t="shared" si="1267"/>
        <v>4C X 16</v>
      </c>
      <c r="X137" s="343" t="str">
        <f t="shared" si="1268"/>
        <v>4C X 16</v>
      </c>
      <c r="Y137" s="343" t="s">
        <v>358</v>
      </c>
      <c r="Z137" s="344">
        <f>IF(T137="AIR",VLOOKUP(W137,'Catalogue Aluminium'!$B$9:$G$93,2,FALSE),IF(T137="GROUND",VLOOKUP(W137,'Catalogue Aluminium'!$B$9:$G$93,3,FALSE),IF(T137="DUCT",VLOOKUP(W137,'Catalogue Aluminium'!$B$9:$G$93,4,FALSE),IF(T137="TRENCH",VLOOKUP(W137,'Catalogue Aluminium'!$B$9:$G$93,2,FALSE)))))</f>
        <v>70</v>
      </c>
      <c r="AA137" s="345">
        <f>VLOOKUP(W137,'Catalogue Aluminium'!$B$9:$G$93,5,FALSE)</f>
        <v>2.44</v>
      </c>
      <c r="AB137" s="345">
        <f>VLOOKUP(W137,'Catalogue Aluminium'!$B$9:$G$93,6,FALSE)</f>
        <v>8.1500000000000003E-2</v>
      </c>
      <c r="AC137" s="343">
        <f t="shared" si="1269"/>
        <v>21</v>
      </c>
      <c r="AD137" s="343">
        <f>12+58+20+41+2+10</f>
        <v>143</v>
      </c>
      <c r="AE137" s="343">
        <v>10</v>
      </c>
      <c r="AF137" s="343">
        <v>8</v>
      </c>
      <c r="AG137" s="343">
        <f t="shared" si="1270"/>
        <v>19</v>
      </c>
      <c r="AH137" s="347">
        <f t="shared" si="1271"/>
        <v>201</v>
      </c>
      <c r="AI137" s="344">
        <f>IF(T137="AIR",'Catalogue Aluminium'!$K$9,IF(T137="TRENCH",'Catalogue Aluminium'!$K$12,"NA"))</f>
        <v>0.89</v>
      </c>
      <c r="AJ137" s="342">
        <f>IF(T137="Air",(IF(U137="1C",'Catalogue Aluminium'!$L$9,'Catalogue Aluminium'!$M$9)),IF(T137="DUCT",(IF($U137="1C",'Catalogue Aluminium'!$L$10,'Catalogue Aluminium'!$M$10)),IF(T137="GROUND",(IF($U137="1C",'Catalogue Aluminium'!$L$11,'Catalogue Aluminium'!$M$11)),IF(T137="TRENCH",(IF($U137="1C",'Catalogue Aluminium'!$L$12,'Catalogue Aluminium'!$M$12))))))</f>
        <v>0.66</v>
      </c>
      <c r="AK137" s="344" t="str">
        <f>IF(T137="Air",'Catalogue Aluminium'!$N$9,IF(T137="GROUND",'Catalogue Aluminium'!$N$10,IF(T137="DUCT",'Catalogue Aluminium'!$N$11,IF(T137="TRENCH",'Catalogue Aluminium'!$N$12,"NA"))))</f>
        <v>NA</v>
      </c>
      <c r="AL137" s="344" t="str">
        <f>IF(T137="Air",(IF(U137="1C",'Catalogue Aluminium'!$O$9,'Catalogue Aluminium'!$P$9)),IF(T137="DUCT",(IF($U137="1C",'Catalogue Aluminium'!$O$10,'Catalogue Aluminium'!$P$10)),IF(T137="GROUND",(IF($U137="1C",'Catalogue Aluminium'!$O$11,'Catalogue Aluminium'!$P$11)),IF(T137="TRENCH",(IF($U137="1C",'Catalogue Aluminium'!$O$12,'Catalogue Aluminium'!$P$12))))))</f>
        <v>NA</v>
      </c>
      <c r="AM137" s="344" t="str">
        <f>IF(T137="AIR","NA",IF(T137="TRENCH","NA",IF(T137="DUCT",IF(U137="1C",VLOOKUP(V137,'Catalogue Aluminium'!$Q$9:$S$28,2,FALSE),VLOOKUP(V137,'Catalogue Aluminium'!$Q$9:$S$28,3)),IF(T137="GROUND",IF(U137="1C",VLOOKUP(V137,'Catalogue Aluminium'!$Q$9:$S$28,2,FALSE),VLOOKUP(V137,'Catalogue Aluminium'!$Q$9:$S$28,3))))))</f>
        <v>NA</v>
      </c>
      <c r="AN137" s="351">
        <f t="shared" si="1272"/>
        <v>0.58740000000000003</v>
      </c>
      <c r="AO137" s="350">
        <f t="shared" si="1273"/>
        <v>41.118000000000002</v>
      </c>
      <c r="AP137" s="349">
        <f t="shared" si="1274"/>
        <v>1</v>
      </c>
      <c r="AQ137" s="350" t="str">
        <f t="shared" si="1275"/>
        <v>YES</v>
      </c>
      <c r="AR137" s="351">
        <f t="shared" si="1276"/>
        <v>1.646004109118268</v>
      </c>
      <c r="AS137" s="343" t="str">
        <f t="shared" si="1277"/>
        <v>YES</v>
      </c>
      <c r="AT137" s="351" t="str">
        <f t="shared" si="1278"/>
        <v>NA</v>
      </c>
      <c r="AU137" s="343" t="str">
        <f t="shared" si="1279"/>
        <v>NA</v>
      </c>
      <c r="AV137" s="354" t="str">
        <f t="shared" si="1280"/>
        <v>1R x 0.6/1kV x 4C x 16 Sqmm</v>
      </c>
      <c r="AW137" s="354" t="str">
        <f t="shared" si="1281"/>
        <v>1R x 0.6/1kV x 4C x 16 Sqmm</v>
      </c>
      <c r="AX137" s="343">
        <f t="shared" si="1282"/>
        <v>201</v>
      </c>
      <c r="AY137" s="355"/>
      <c r="AZ137" s="355">
        <f t="shared" si="1283"/>
        <v>2</v>
      </c>
      <c r="BA137" s="356" t="str">
        <f t="shared" si="1284"/>
        <v>Q3RR1R2SS.B</v>
      </c>
      <c r="BB137" s="501">
        <f>VLOOKUP(W137,'Catalogue Aluminium'!$B$9:$H$93,7,FALSE)</f>
        <v>21</v>
      </c>
      <c r="BC137" s="328">
        <f t="shared" si="1285"/>
        <v>21</v>
      </c>
      <c r="BE137" s="336"/>
      <c r="BF137" s="336"/>
      <c r="BG137" s="336"/>
      <c r="BH137" s="336"/>
      <c r="BI137" s="336"/>
      <c r="BJ137" s="336"/>
      <c r="BK137" s="336"/>
      <c r="BL137" s="336"/>
      <c r="BM137" s="336"/>
      <c r="BN137" s="336"/>
      <c r="BO137" s="336"/>
      <c r="BP137" s="336"/>
      <c r="BQ137" s="336"/>
      <c r="BR137" s="336"/>
      <c r="BS137" s="336"/>
      <c r="BT137" s="336"/>
      <c r="BU137" s="336"/>
      <c r="BV137" s="336"/>
      <c r="BW137" s="336"/>
      <c r="BX137" s="336"/>
      <c r="BY137" s="336"/>
      <c r="BZ137" s="336"/>
      <c r="CA137" s="336"/>
      <c r="CB137" s="336"/>
      <c r="CC137" s="336"/>
      <c r="CD137" s="336"/>
      <c r="CE137" s="336"/>
      <c r="CF137" s="336"/>
      <c r="CG137" s="336"/>
      <c r="CH137" s="336"/>
      <c r="CI137" s="336"/>
      <c r="CJ137" s="336"/>
      <c r="CK137" s="336"/>
      <c r="CL137" s="336"/>
      <c r="CM137" s="336"/>
      <c r="CN137" s="336"/>
      <c r="CO137" s="336"/>
      <c r="CP137" s="336"/>
      <c r="CQ137" s="336"/>
      <c r="CR137" s="336"/>
      <c r="CS137" s="336"/>
      <c r="CT137" s="336"/>
      <c r="CU137" s="336"/>
      <c r="CV137" s="336"/>
      <c r="CW137" s="336"/>
      <c r="CX137" s="336"/>
      <c r="CY137" s="336"/>
      <c r="CZ137" s="336"/>
      <c r="DA137" s="336">
        <v>1</v>
      </c>
      <c r="DB137" s="336"/>
      <c r="DC137" s="336"/>
      <c r="DD137" s="336"/>
      <c r="DE137" s="336"/>
      <c r="DF137" s="336"/>
      <c r="DG137" s="336">
        <v>1</v>
      </c>
      <c r="DH137" s="336">
        <v>1</v>
      </c>
      <c r="DI137" s="336">
        <v>1</v>
      </c>
      <c r="DJ137" s="336"/>
      <c r="DK137" s="336"/>
      <c r="DL137" s="336">
        <v>1</v>
      </c>
      <c r="DM137" s="336"/>
      <c r="DN137" s="336">
        <v>1</v>
      </c>
      <c r="DO137" s="336"/>
      <c r="DP137" s="336"/>
      <c r="DQ137" s="336"/>
      <c r="DR137" s="336"/>
      <c r="DS137" s="336"/>
      <c r="DT137" s="336"/>
      <c r="DU137" s="336"/>
      <c r="DW137" s="336">
        <f t="shared" si="1286"/>
        <v>0</v>
      </c>
      <c r="DX137" s="336">
        <f t="shared" si="1287"/>
        <v>0</v>
      </c>
      <c r="DY137" s="336">
        <f t="shared" si="1288"/>
        <v>0</v>
      </c>
      <c r="DZ137" s="336">
        <f t="shared" si="1289"/>
        <v>0</v>
      </c>
      <c r="EA137" s="336">
        <f t="shared" si="1290"/>
        <v>0</v>
      </c>
      <c r="EB137" s="336">
        <f t="shared" si="1291"/>
        <v>0</v>
      </c>
      <c r="EC137" s="336">
        <f t="shared" si="1292"/>
        <v>0</v>
      </c>
      <c r="ED137" s="336">
        <f t="shared" si="1293"/>
        <v>0</v>
      </c>
      <c r="EE137" s="336">
        <f t="shared" si="1294"/>
        <v>0</v>
      </c>
      <c r="EF137" s="336">
        <f t="shared" si="1295"/>
        <v>0</v>
      </c>
      <c r="EG137" s="336">
        <f t="shared" si="1296"/>
        <v>0</v>
      </c>
      <c r="EH137" s="336">
        <f t="shared" si="1297"/>
        <v>0</v>
      </c>
      <c r="EI137" s="336">
        <f t="shared" si="1298"/>
        <v>0</v>
      </c>
      <c r="EJ137" s="336">
        <f t="shared" si="1299"/>
        <v>0</v>
      </c>
      <c r="EK137" s="336">
        <f t="shared" si="1300"/>
        <v>0</v>
      </c>
      <c r="EL137" s="336">
        <f t="shared" si="1301"/>
        <v>0</v>
      </c>
      <c r="EM137" s="336">
        <f t="shared" si="1302"/>
        <v>0</v>
      </c>
      <c r="EN137" s="336">
        <f t="shared" si="1303"/>
        <v>0</v>
      </c>
      <c r="EO137" s="336">
        <f t="shared" si="1304"/>
        <v>0</v>
      </c>
      <c r="EP137" s="336">
        <f t="shared" si="1305"/>
        <v>0</v>
      </c>
      <c r="EQ137" s="336">
        <f t="shared" si="1306"/>
        <v>0</v>
      </c>
      <c r="ER137" s="336">
        <f t="shared" si="1307"/>
        <v>0</v>
      </c>
      <c r="ES137" s="336">
        <f t="shared" si="1308"/>
        <v>0</v>
      </c>
      <c r="ET137" s="336">
        <f t="shared" si="1308"/>
        <v>0</v>
      </c>
      <c r="EU137" s="336">
        <f t="shared" si="1309"/>
        <v>0</v>
      </c>
      <c r="EV137" s="336">
        <f t="shared" si="1310"/>
        <v>0</v>
      </c>
      <c r="EW137" s="336">
        <f t="shared" si="1311"/>
        <v>0</v>
      </c>
      <c r="EX137" s="336">
        <f t="shared" si="1312"/>
        <v>0</v>
      </c>
      <c r="EY137" s="336">
        <f t="shared" si="1313"/>
        <v>0</v>
      </c>
      <c r="EZ137" s="336">
        <f t="shared" si="1314"/>
        <v>0</v>
      </c>
      <c r="FA137" s="336">
        <f t="shared" si="1315"/>
        <v>0</v>
      </c>
      <c r="FB137" s="336">
        <f t="shared" si="1316"/>
        <v>0</v>
      </c>
      <c r="FC137" s="336">
        <f t="shared" si="1317"/>
        <v>0</v>
      </c>
      <c r="FD137" s="336">
        <f t="shared" si="1318"/>
        <v>0</v>
      </c>
      <c r="FE137" s="336">
        <f t="shared" si="1319"/>
        <v>0</v>
      </c>
      <c r="FF137" s="336">
        <f t="shared" si="1320"/>
        <v>0</v>
      </c>
      <c r="FG137" s="336">
        <f t="shared" si="1321"/>
        <v>0</v>
      </c>
      <c r="FH137" s="336">
        <f t="shared" si="1322"/>
        <v>0</v>
      </c>
      <c r="FI137" s="336">
        <f t="shared" si="1323"/>
        <v>0</v>
      </c>
      <c r="FJ137" s="336">
        <f t="shared" si="1324"/>
        <v>0</v>
      </c>
      <c r="FK137" s="336">
        <f t="shared" si="1325"/>
        <v>0</v>
      </c>
      <c r="FL137" s="336">
        <f t="shared" si="1326"/>
        <v>0</v>
      </c>
      <c r="FM137" s="336">
        <f t="shared" si="1327"/>
        <v>0</v>
      </c>
      <c r="FN137" s="336">
        <f t="shared" si="1328"/>
        <v>0</v>
      </c>
      <c r="FO137" s="336">
        <f t="shared" si="1329"/>
        <v>0</v>
      </c>
      <c r="FP137" s="336">
        <f t="shared" si="1330"/>
        <v>0</v>
      </c>
      <c r="FQ137" s="336">
        <f t="shared" si="1331"/>
        <v>0</v>
      </c>
      <c r="FR137" s="336">
        <f t="shared" si="1332"/>
        <v>0</v>
      </c>
      <c r="FS137" s="336">
        <f t="shared" si="1333"/>
        <v>21</v>
      </c>
      <c r="FT137" s="336">
        <f t="shared" si="1334"/>
        <v>0</v>
      </c>
      <c r="FU137" s="336">
        <f t="shared" si="1222"/>
        <v>0</v>
      </c>
      <c r="FV137" s="336">
        <f t="shared" si="1223"/>
        <v>0</v>
      </c>
      <c r="FW137" s="336">
        <f t="shared" si="1224"/>
        <v>0</v>
      </c>
      <c r="FX137" s="336">
        <f t="shared" si="1225"/>
        <v>0</v>
      </c>
      <c r="FY137" s="336">
        <f t="shared" si="948"/>
        <v>21</v>
      </c>
      <c r="FZ137" s="336">
        <f t="shared" si="949"/>
        <v>21</v>
      </c>
      <c r="GA137" s="336">
        <f t="shared" si="950"/>
        <v>21</v>
      </c>
      <c r="GB137" s="336">
        <f t="shared" si="951"/>
        <v>0</v>
      </c>
      <c r="GC137" s="336">
        <f t="shared" si="952"/>
        <v>0</v>
      </c>
      <c r="GD137" s="336">
        <f t="shared" si="953"/>
        <v>21</v>
      </c>
      <c r="GE137" s="336">
        <f t="shared" si="954"/>
        <v>0</v>
      </c>
      <c r="GF137" s="336">
        <f t="shared" si="955"/>
        <v>21</v>
      </c>
      <c r="GG137" s="336">
        <f t="shared" si="956"/>
        <v>0</v>
      </c>
      <c r="GH137" s="336">
        <f t="shared" si="957"/>
        <v>0</v>
      </c>
      <c r="GI137" s="336">
        <f t="shared" si="958"/>
        <v>0</v>
      </c>
      <c r="GJ137" s="336">
        <f t="shared" si="959"/>
        <v>0</v>
      </c>
      <c r="GK137" s="336">
        <f t="shared" si="960"/>
        <v>0</v>
      </c>
      <c r="GL137" s="336">
        <f t="shared" si="1226"/>
        <v>0</v>
      </c>
      <c r="GM137" s="336">
        <f t="shared" si="961"/>
        <v>0</v>
      </c>
    </row>
    <row r="138" spans="1:229" s="159" customFormat="1" ht="29.25" customHeight="1">
      <c r="A138" s="337">
        <f t="shared" si="1335"/>
        <v>103</v>
      </c>
      <c r="B138" s="567" t="s">
        <v>1262</v>
      </c>
      <c r="C138" s="372" t="s">
        <v>1263</v>
      </c>
      <c r="D138" s="567" t="s">
        <v>1264</v>
      </c>
      <c r="E138" s="440" t="s">
        <v>1222</v>
      </c>
      <c r="F138" s="372"/>
      <c r="G138" s="337" t="s">
        <v>329</v>
      </c>
      <c r="H138" s="350">
        <v>5</v>
      </c>
      <c r="I138" s="337" t="s">
        <v>330</v>
      </c>
      <c r="J138" s="337" t="s">
        <v>331</v>
      </c>
      <c r="K138" s="343">
        <v>400</v>
      </c>
      <c r="L138" s="343">
        <v>0.85000000000000009</v>
      </c>
      <c r="M138" s="350">
        <v>0.95042105263157861</v>
      </c>
      <c r="N138" s="342">
        <f>IF(I138="kVA",IF(J138="3Ph",(H138*1000/(1.732*M138*K138)),(H138*1000/(M138*K138))),IF(I138="kW",IF(J138="3Ph",(H138*1000/(1.732*M138*K138*L138)),(H138*1000/(M138*K138*L138)))))</f>
        <v>8.9336133449992658</v>
      </c>
      <c r="O138" s="342">
        <f>IF(G138="MOTOR",(6*N138),IF(G138="VFD",(1*N138),0))</f>
        <v>0</v>
      </c>
      <c r="P138" s="343" t="str">
        <f>IF(G138="MOTOR",0.2,"0.00")</f>
        <v>0.00</v>
      </c>
      <c r="Q138" s="350">
        <v>65</v>
      </c>
      <c r="R138" s="350">
        <v>0</v>
      </c>
      <c r="S138" s="350">
        <f>(Q138*1000*SQRT(R138)/143)</f>
        <v>0</v>
      </c>
      <c r="T138" s="343" t="s">
        <v>332</v>
      </c>
      <c r="U138" s="350" t="s">
        <v>522</v>
      </c>
      <c r="V138" s="343">
        <v>10</v>
      </c>
      <c r="W138" s="343" t="str">
        <f>CONCATENATE(U138," X ",V138)</f>
        <v>4C X 10</v>
      </c>
      <c r="X138" s="343" t="str">
        <f>(IF(J138="1Ph",W138,IF(J138="3Ph",(IF(G138="MOTOR",(CONCATENATE(W138,"+PE")),W138)))))</f>
        <v>4C X 10</v>
      </c>
      <c r="Y138" s="343" t="s">
        <v>358</v>
      </c>
      <c r="Z138" s="344">
        <f>IF(T138="AIR",VLOOKUP(W138,'Catalogue Aluminium'!$B$9:$G$93,2,FALSE),IF(T138="GROUND",VLOOKUP(W138,'Catalogue Aluminium'!$B$9:$G$93,3,FALSE),IF(T138="DUCT",VLOOKUP(W138,'Catalogue Aluminium'!$B$9:$G$93,4,FALSE),IF(T138="TRENCH",VLOOKUP(W138,'Catalogue Aluminium'!$B$9:$G$93,2,FALSE)))))</f>
        <v>60</v>
      </c>
      <c r="AA138" s="345">
        <f>VLOOKUP(W138,'Catalogue Aluminium'!$B$9:$G$93,5,FALSE)</f>
        <v>3.94</v>
      </c>
      <c r="AB138" s="345">
        <f>VLOOKUP(W138,'Catalogue Aluminium'!$B$9:$G$93,6,FALSE)</f>
        <v>8.5199999999999998E-2</v>
      </c>
      <c r="AC138" s="343">
        <f t="shared" ref="AC138:AC143" si="1336">15+8</f>
        <v>23</v>
      </c>
      <c r="AD138" s="343">
        <f>95</f>
        <v>95</v>
      </c>
      <c r="AE138" s="343">
        <v>10</v>
      </c>
      <c r="AF138" s="343">
        <v>8</v>
      </c>
      <c r="AG138" s="343">
        <f t="shared" ref="AG138" si="1337">ROUNDUP((SUM(AC138:AF138)*0.1),0)</f>
        <v>14</v>
      </c>
      <c r="AH138" s="347">
        <f t="shared" ref="AH138" si="1338">SUM(AC138:AG138)</f>
        <v>150</v>
      </c>
      <c r="AI138" s="344">
        <f>IF(T138="AIR",'Catalogue Aluminium'!$K$9,IF(T138="TRENCH",'Catalogue Aluminium'!$K$12,"NA"))</f>
        <v>0.89</v>
      </c>
      <c r="AJ138" s="342">
        <f>IF(T138="Air",(IF(U138="1C",'Catalogue Aluminium'!$L$9,'Catalogue Aluminium'!$M$9)),IF(T138="DUCT",(IF($U138="1C",'Catalogue Aluminium'!$L$10,'Catalogue Aluminium'!$M$10)),IF(T138="GROUND",(IF($U138="1C",'Catalogue Aluminium'!$L$11,'Catalogue Aluminium'!$M$11)),IF(T138="TRENCH",(IF($U138="1C",'Catalogue Aluminium'!$L$12,'Catalogue Aluminium'!$M$12))))))</f>
        <v>0.66</v>
      </c>
      <c r="AK138" s="344" t="str">
        <f>IF(T138="Air",'Catalogue Aluminium'!$N$9,IF(T138="GROUND",'Catalogue Aluminium'!$N$10,IF(T138="DUCT",'Catalogue Aluminium'!$N$11,IF(T138="TRENCH",'Catalogue Aluminium'!$N$12,"NA"))))</f>
        <v>NA</v>
      </c>
      <c r="AL138" s="344" t="str">
        <f>IF(T138="Air",(IF(U138="1C",'Catalogue Aluminium'!$O$9,'Catalogue Aluminium'!$P$9)),IF(T138="DUCT",(IF($U138="1C",'Catalogue Aluminium'!$O$10,'Catalogue Aluminium'!$P$10)),IF(T138="GROUND",(IF($U138="1C",'Catalogue Aluminium'!$O$11,'Catalogue Aluminium'!$P$11)),IF(T138="TRENCH",(IF($U138="1C",'Catalogue Aluminium'!$O$12,'Catalogue Aluminium'!$P$12))))))</f>
        <v>NA</v>
      </c>
      <c r="AM138" s="344" t="str">
        <f>IF(T138="AIR","NA",IF(T138="TRENCH","NA",IF(T138="DUCT",IF(U138="1C",VLOOKUP(V138,'Catalogue Aluminium'!$Q$9:$S$28,2,FALSE),VLOOKUP(V138,'Catalogue Aluminium'!$Q$9:$S$28,3)),IF(T138="GROUND",IF(U138="1C",VLOOKUP(V138,'Catalogue Aluminium'!$Q$9:$S$28,2,FALSE),VLOOKUP(V138,'Catalogue Aluminium'!$Q$9:$S$28,3))))))</f>
        <v>NA</v>
      </c>
      <c r="AN138" s="351">
        <f>IF(T138="AIR",AI138*AJ138,IF(T138="TRENCH",AI138*AJ138,IF(T138="DUCT",AJ138*AK138*AL138*AM138,IF(T138="GROUND",AJ138*AK138*AL138*AM138))))</f>
        <v>0.58740000000000003</v>
      </c>
      <c r="AO138" s="350">
        <f>Z138*AN138</f>
        <v>35.244</v>
      </c>
      <c r="AP138" s="349">
        <f>CEILING(((N138)/AO138),1)</f>
        <v>1</v>
      </c>
      <c r="AQ138" s="350" t="str">
        <f>IF(AO138*AP138&gt;=N138,"YES","NO")</f>
        <v>YES</v>
      </c>
      <c r="AR138" s="351">
        <f>SQRT(3)*AH138*N138*((AA138*L138)+(AB138*SIN(ACOS(L138))))*100/(AP138*K138*1000)</f>
        <v>1.9693176385127573</v>
      </c>
      <c r="AS138" s="343" t="str">
        <f t="shared" si="1277"/>
        <v>YES</v>
      </c>
      <c r="AT138" s="351" t="str">
        <f t="shared" si="1278"/>
        <v>NA</v>
      </c>
      <c r="AU138" s="343" t="str">
        <f t="shared" si="1279"/>
        <v>NA</v>
      </c>
      <c r="AV138" s="351" t="str">
        <f t="shared" si="1280"/>
        <v>1R x 0.6/1kV x 4C x 10 Sqmm</v>
      </c>
      <c r="AW138" s="351" t="str">
        <f t="shared" si="1281"/>
        <v>1R x 0.6/1kV x 4C x 10 Sqmm</v>
      </c>
      <c r="AX138" s="342">
        <f t="shared" si="1282"/>
        <v>150</v>
      </c>
      <c r="AY138" s="342"/>
      <c r="AZ138" s="342">
        <f t="shared" si="1283"/>
        <v>2</v>
      </c>
      <c r="BA138" s="356" t="str">
        <f t="shared" si="1284"/>
        <v>Q3RR1R1.A</v>
      </c>
      <c r="BB138" s="762">
        <f>VLOOKUP(W138,'Catalogue Aluminium'!$B$9:$H$93,7,FALSE)</f>
        <v>20</v>
      </c>
      <c r="BC138" s="762">
        <f t="shared" si="1285"/>
        <v>20</v>
      </c>
      <c r="BD138" s="336"/>
      <c r="BE138" s="336"/>
      <c r="BF138" s="336"/>
      <c r="BG138" s="336"/>
      <c r="BH138" s="336"/>
      <c r="BI138" s="336"/>
      <c r="BJ138" s="336"/>
      <c r="BK138" s="336"/>
      <c r="BL138" s="336"/>
      <c r="BM138" s="336"/>
      <c r="BN138" s="336"/>
      <c r="BO138" s="336"/>
      <c r="BP138" s="336"/>
      <c r="BQ138" s="336"/>
      <c r="BR138" s="336"/>
      <c r="BS138" s="336"/>
      <c r="BT138" s="336"/>
      <c r="BU138" s="336"/>
      <c r="BV138" s="336"/>
      <c r="BW138" s="336"/>
      <c r="BX138" s="336"/>
      <c r="BY138" s="336"/>
      <c r="BZ138" s="336"/>
      <c r="CA138" s="336"/>
      <c r="CB138" s="336"/>
      <c r="CC138" s="336"/>
      <c r="CD138" s="336"/>
      <c r="CE138" s="336"/>
      <c r="CF138" s="336"/>
      <c r="CG138" s="336"/>
      <c r="CH138" s="336"/>
      <c r="CI138" s="336"/>
      <c r="CJ138" s="336"/>
      <c r="CK138" s="336"/>
      <c r="CL138" s="336"/>
      <c r="CM138" s="336"/>
      <c r="CN138" s="336"/>
      <c r="CO138" s="336"/>
      <c r="CP138" s="336"/>
      <c r="CQ138" s="336"/>
      <c r="CR138" s="336"/>
      <c r="CS138" s="336"/>
      <c r="CT138" s="336"/>
      <c r="CU138" s="336"/>
      <c r="CV138" s="336"/>
      <c r="CW138" s="336"/>
      <c r="CX138" s="336"/>
      <c r="CY138" s="336"/>
      <c r="CZ138" s="336"/>
      <c r="DA138" s="336">
        <v>1</v>
      </c>
      <c r="DB138" s="336"/>
      <c r="DC138" s="336"/>
      <c r="DD138" s="336"/>
      <c r="DE138" s="336"/>
      <c r="DF138" s="336"/>
      <c r="DG138" s="336">
        <v>1</v>
      </c>
      <c r="DH138" s="336">
        <v>1</v>
      </c>
      <c r="DI138" s="336"/>
      <c r="DJ138" s="336">
        <v>1</v>
      </c>
      <c r="DK138" s="336"/>
      <c r="DL138" s="336"/>
      <c r="DM138" s="336"/>
      <c r="DN138" s="336"/>
      <c r="DO138" s="336"/>
      <c r="DP138" s="336"/>
      <c r="DQ138" s="336"/>
      <c r="DR138" s="336"/>
      <c r="DS138" s="336"/>
      <c r="DT138" s="336"/>
      <c r="DU138" s="336"/>
      <c r="DV138" s="336"/>
      <c r="DW138" s="336">
        <f t="shared" si="1286"/>
        <v>0</v>
      </c>
      <c r="DX138" s="336">
        <f t="shared" si="1287"/>
        <v>0</v>
      </c>
      <c r="DY138" s="336">
        <f t="shared" si="1288"/>
        <v>0</v>
      </c>
      <c r="DZ138" s="336">
        <f t="shared" si="1289"/>
        <v>0</v>
      </c>
      <c r="EA138" s="336">
        <f t="shared" si="1290"/>
        <v>0</v>
      </c>
      <c r="EB138" s="336">
        <f t="shared" si="1291"/>
        <v>0</v>
      </c>
      <c r="EC138" s="336">
        <f t="shared" si="1292"/>
        <v>0</v>
      </c>
      <c r="ED138" s="336">
        <f t="shared" si="1293"/>
        <v>0</v>
      </c>
      <c r="EE138" s="336">
        <f t="shared" si="1294"/>
        <v>0</v>
      </c>
      <c r="EF138" s="336">
        <f t="shared" si="1295"/>
        <v>0</v>
      </c>
      <c r="EG138" s="336">
        <f t="shared" si="1296"/>
        <v>0</v>
      </c>
      <c r="EH138" s="336">
        <f t="shared" si="1297"/>
        <v>0</v>
      </c>
      <c r="EI138" s="336">
        <f t="shared" si="1298"/>
        <v>0</v>
      </c>
      <c r="EJ138" s="336">
        <f t="shared" si="1299"/>
        <v>0</v>
      </c>
      <c r="EK138" s="336">
        <f t="shared" si="1300"/>
        <v>0</v>
      </c>
      <c r="EL138" s="336">
        <f t="shared" si="1301"/>
        <v>0</v>
      </c>
      <c r="EM138" s="336">
        <f t="shared" si="1302"/>
        <v>0</v>
      </c>
      <c r="EN138" s="336">
        <f t="shared" si="1303"/>
        <v>0</v>
      </c>
      <c r="EO138" s="336">
        <f t="shared" si="1304"/>
        <v>0</v>
      </c>
      <c r="EP138" s="336">
        <f t="shared" si="1305"/>
        <v>0</v>
      </c>
      <c r="EQ138" s="336">
        <f t="shared" si="1306"/>
        <v>0</v>
      </c>
      <c r="ER138" s="336">
        <f t="shared" si="1307"/>
        <v>0</v>
      </c>
      <c r="ES138" s="336">
        <f t="shared" si="1308"/>
        <v>0</v>
      </c>
      <c r="ET138" s="336">
        <f t="shared" si="1308"/>
        <v>0</v>
      </c>
      <c r="EU138" s="336">
        <f t="shared" si="1309"/>
        <v>0</v>
      </c>
      <c r="EV138" s="336">
        <f t="shared" si="1310"/>
        <v>0</v>
      </c>
      <c r="EW138" s="336">
        <f t="shared" si="1311"/>
        <v>0</v>
      </c>
      <c r="EX138" s="336">
        <f t="shared" si="1312"/>
        <v>0</v>
      </c>
      <c r="EY138" s="336">
        <f t="shared" si="1313"/>
        <v>0</v>
      </c>
      <c r="EZ138" s="336">
        <f t="shared" si="1314"/>
        <v>0</v>
      </c>
      <c r="FA138" s="336">
        <f t="shared" si="1315"/>
        <v>0</v>
      </c>
      <c r="FB138" s="336">
        <f t="shared" si="1316"/>
        <v>0</v>
      </c>
      <c r="FC138" s="336">
        <f t="shared" si="1317"/>
        <v>0</v>
      </c>
      <c r="FD138" s="336">
        <f t="shared" si="1318"/>
        <v>0</v>
      </c>
      <c r="FE138" s="336">
        <f t="shared" si="1319"/>
        <v>0</v>
      </c>
      <c r="FF138" s="336">
        <f t="shared" si="1320"/>
        <v>0</v>
      </c>
      <c r="FG138" s="336">
        <f t="shared" si="1321"/>
        <v>0</v>
      </c>
      <c r="FH138" s="336">
        <f t="shared" si="1322"/>
        <v>0</v>
      </c>
      <c r="FI138" s="336">
        <f t="shared" si="1323"/>
        <v>0</v>
      </c>
      <c r="FJ138" s="336">
        <f t="shared" si="1324"/>
        <v>0</v>
      </c>
      <c r="FK138" s="336">
        <f t="shared" si="1325"/>
        <v>0</v>
      </c>
      <c r="FL138" s="336">
        <f t="shared" si="1326"/>
        <v>0</v>
      </c>
      <c r="FM138" s="336">
        <f t="shared" si="1327"/>
        <v>0</v>
      </c>
      <c r="FN138" s="336">
        <f t="shared" si="1328"/>
        <v>0</v>
      </c>
      <c r="FO138" s="336">
        <f t="shared" si="1329"/>
        <v>0</v>
      </c>
      <c r="FP138" s="336">
        <f t="shared" si="1330"/>
        <v>0</v>
      </c>
      <c r="FQ138" s="336">
        <f t="shared" si="1331"/>
        <v>0</v>
      </c>
      <c r="FR138" s="336">
        <f t="shared" si="1332"/>
        <v>0</v>
      </c>
      <c r="FS138" s="336">
        <f t="shared" si="1333"/>
        <v>20</v>
      </c>
      <c r="FT138" s="336">
        <f t="shared" si="1334"/>
        <v>0</v>
      </c>
      <c r="FU138" s="336">
        <f t="shared" si="1222"/>
        <v>0</v>
      </c>
      <c r="FV138" s="336">
        <f t="shared" si="1223"/>
        <v>0</v>
      </c>
      <c r="FW138" s="336">
        <f t="shared" si="1224"/>
        <v>0</v>
      </c>
      <c r="FX138" s="336">
        <f t="shared" si="1225"/>
        <v>0</v>
      </c>
      <c r="FY138" s="336">
        <f t="shared" si="948"/>
        <v>20</v>
      </c>
      <c r="FZ138" s="336">
        <f t="shared" si="949"/>
        <v>20</v>
      </c>
      <c r="GA138" s="336">
        <f t="shared" si="950"/>
        <v>0</v>
      </c>
      <c r="GB138" s="336">
        <f t="shared" si="951"/>
        <v>20</v>
      </c>
      <c r="GC138" s="336">
        <f t="shared" si="952"/>
        <v>0</v>
      </c>
      <c r="GD138" s="336">
        <f t="shared" si="953"/>
        <v>0</v>
      </c>
      <c r="GE138" s="336">
        <f t="shared" si="954"/>
        <v>0</v>
      </c>
      <c r="GF138" s="336">
        <f t="shared" si="955"/>
        <v>0</v>
      </c>
      <c r="GG138" s="336">
        <f t="shared" si="956"/>
        <v>0</v>
      </c>
      <c r="GH138" s="336">
        <f t="shared" si="957"/>
        <v>0</v>
      </c>
      <c r="GI138" s="336">
        <f t="shared" si="958"/>
        <v>0</v>
      </c>
      <c r="GJ138" s="336">
        <f t="shared" si="959"/>
        <v>0</v>
      </c>
      <c r="GK138" s="336">
        <f t="shared" si="960"/>
        <v>0</v>
      </c>
      <c r="GL138" s="336">
        <f t="shared" si="1226"/>
        <v>0</v>
      </c>
      <c r="GM138" s="336">
        <f t="shared" si="961"/>
        <v>0</v>
      </c>
      <c r="GN138" s="61"/>
      <c r="GO138" s="61"/>
      <c r="GP138" s="61"/>
      <c r="GQ138" s="61"/>
      <c r="GR138" s="61"/>
      <c r="GS138" s="61"/>
      <c r="GT138" s="61"/>
      <c r="GU138" s="61"/>
      <c r="GV138" s="61"/>
      <c r="GW138" s="61"/>
      <c r="GX138" s="61"/>
      <c r="GY138" s="61"/>
      <c r="GZ138" s="61"/>
      <c r="HA138" s="61"/>
      <c r="HB138" s="61"/>
      <c r="HC138" s="61"/>
      <c r="HD138" s="61"/>
      <c r="HE138" s="61"/>
      <c r="HF138" s="61"/>
      <c r="HG138" s="61"/>
      <c r="HH138" s="61"/>
      <c r="HI138" s="61"/>
      <c r="HJ138" s="61"/>
      <c r="HK138" s="61"/>
      <c r="HL138" s="61"/>
      <c r="HM138" s="61"/>
      <c r="HN138" s="61"/>
      <c r="HO138" s="61"/>
      <c r="HP138" s="61"/>
      <c r="HQ138" s="61"/>
      <c r="HR138" s="61"/>
      <c r="HS138" s="61"/>
      <c r="HT138" s="61"/>
      <c r="HU138" s="61"/>
    </row>
    <row r="139" spans="1:229" ht="21" customHeight="1">
      <c r="A139" s="337">
        <f t="shared" si="1335"/>
        <v>104</v>
      </c>
      <c r="B139" s="567" t="s">
        <v>1265</v>
      </c>
      <c r="C139" s="372" t="s">
        <v>1253</v>
      </c>
      <c r="D139" s="567" t="s">
        <v>1266</v>
      </c>
      <c r="E139" s="440" t="s">
        <v>1191</v>
      </c>
      <c r="F139" s="372"/>
      <c r="G139" s="337" t="s">
        <v>329</v>
      </c>
      <c r="H139" s="350">
        <v>5</v>
      </c>
      <c r="I139" s="337" t="s">
        <v>330</v>
      </c>
      <c r="J139" s="337" t="s">
        <v>331</v>
      </c>
      <c r="K139" s="343">
        <v>400</v>
      </c>
      <c r="L139" s="343">
        <v>0.85000000000000009</v>
      </c>
      <c r="M139" s="350">
        <v>0.95042105263157861</v>
      </c>
      <c r="N139" s="342">
        <f t="shared" si="1263"/>
        <v>8.9336133449992658</v>
      </c>
      <c r="O139" s="342">
        <f t="shared" si="1264"/>
        <v>0</v>
      </c>
      <c r="P139" s="343" t="str">
        <f t="shared" si="1265"/>
        <v>0.00</v>
      </c>
      <c r="Q139" s="350">
        <v>65</v>
      </c>
      <c r="R139" s="350">
        <v>0</v>
      </c>
      <c r="S139" s="350">
        <f t="shared" si="1266"/>
        <v>0</v>
      </c>
      <c r="T139" s="343" t="s">
        <v>332</v>
      </c>
      <c r="U139" s="350" t="s">
        <v>522</v>
      </c>
      <c r="V139" s="343">
        <v>16</v>
      </c>
      <c r="W139" s="343" t="str">
        <f t="shared" si="1267"/>
        <v>4C X 16</v>
      </c>
      <c r="X139" s="343" t="str">
        <f t="shared" si="1268"/>
        <v>4C X 16</v>
      </c>
      <c r="Y139" s="343" t="s">
        <v>358</v>
      </c>
      <c r="Z139" s="344">
        <f>IF(T139="AIR",VLOOKUP(W139,'Catalogue Aluminium'!$B$9:$G$93,2,FALSE),IF(T139="GROUND",VLOOKUP(W139,'Catalogue Aluminium'!$B$9:$G$93,3,FALSE),IF(T139="DUCT",VLOOKUP(W139,'Catalogue Aluminium'!$B$9:$G$93,4,FALSE),IF(T139="TRENCH",VLOOKUP(W139,'Catalogue Aluminium'!$B$9:$G$93,2,FALSE)))))</f>
        <v>70</v>
      </c>
      <c r="AA139" s="345">
        <f>VLOOKUP(W139,'Catalogue Aluminium'!$B$9:$G$93,5,FALSE)</f>
        <v>2.44</v>
      </c>
      <c r="AB139" s="345">
        <f>VLOOKUP(W139,'Catalogue Aluminium'!$B$9:$G$93,6,FALSE)</f>
        <v>8.1500000000000003E-2</v>
      </c>
      <c r="AC139" s="343">
        <f t="shared" si="1269"/>
        <v>21</v>
      </c>
      <c r="AD139" s="343">
        <f>12+58+20+54+35+2</f>
        <v>181</v>
      </c>
      <c r="AE139" s="343">
        <v>10</v>
      </c>
      <c r="AF139" s="343">
        <v>8</v>
      </c>
      <c r="AG139" s="343">
        <f t="shared" si="1270"/>
        <v>22</v>
      </c>
      <c r="AH139" s="347">
        <f t="shared" si="1271"/>
        <v>242</v>
      </c>
      <c r="AI139" s="344">
        <f>IF(T139="AIR",'Catalogue Aluminium'!$K$9,IF(T139="TRENCH",'Catalogue Aluminium'!$K$12,"NA"))</f>
        <v>0.89</v>
      </c>
      <c r="AJ139" s="342">
        <f>IF(T139="Air",(IF(U139="1C",'Catalogue Aluminium'!$L$9,'Catalogue Aluminium'!$M$9)),IF(T139="DUCT",(IF($U139="1C",'Catalogue Aluminium'!$L$10,'Catalogue Aluminium'!$M$10)),IF(T139="GROUND",(IF($U139="1C",'Catalogue Aluminium'!$L$11,'Catalogue Aluminium'!$M$11)),IF(T139="TRENCH",(IF($U139="1C",'Catalogue Aluminium'!$L$12,'Catalogue Aluminium'!$M$12))))))</f>
        <v>0.66</v>
      </c>
      <c r="AK139" s="344" t="str">
        <f>IF(T139="Air",'Catalogue Aluminium'!$N$9,IF(T139="GROUND",'Catalogue Aluminium'!$N$10,IF(T139="DUCT",'Catalogue Aluminium'!$N$11,IF(T139="TRENCH",'Catalogue Aluminium'!$N$12,"NA"))))</f>
        <v>NA</v>
      </c>
      <c r="AL139" s="344" t="str">
        <f>IF(T139="Air",(IF(U139="1C",'Catalogue Aluminium'!$O$9,'Catalogue Aluminium'!$P$9)),IF(T139="DUCT",(IF($U139="1C",'Catalogue Aluminium'!$O$10,'Catalogue Aluminium'!$P$10)),IF(T139="GROUND",(IF($U139="1C",'Catalogue Aluminium'!$O$11,'Catalogue Aluminium'!$P$11)),IF(T139="TRENCH",(IF($U139="1C",'Catalogue Aluminium'!$O$12,'Catalogue Aluminium'!$P$12))))))</f>
        <v>NA</v>
      </c>
      <c r="AM139" s="344" t="str">
        <f>IF(T139="AIR","NA",IF(T139="TRENCH","NA",IF(T139="DUCT",IF(U139="1C",VLOOKUP(V139,'Catalogue Aluminium'!$Q$9:$S$28,2,FALSE),VLOOKUP(V139,'Catalogue Aluminium'!$Q$9:$S$28,3)),IF(T139="GROUND",IF(U139="1C",VLOOKUP(V139,'Catalogue Aluminium'!$Q$9:$S$28,2,FALSE),VLOOKUP(V139,'Catalogue Aluminium'!$Q$9:$S$28,3))))))</f>
        <v>NA</v>
      </c>
      <c r="AN139" s="351">
        <f t="shared" si="1272"/>
        <v>0.58740000000000003</v>
      </c>
      <c r="AO139" s="350">
        <f t="shared" si="1273"/>
        <v>41.118000000000002</v>
      </c>
      <c r="AP139" s="349">
        <f t="shared" si="1274"/>
        <v>1</v>
      </c>
      <c r="AQ139" s="350" t="str">
        <f t="shared" si="1275"/>
        <v>YES</v>
      </c>
      <c r="AR139" s="351">
        <f t="shared" si="1276"/>
        <v>1.9817561910777162</v>
      </c>
      <c r="AS139" s="343" t="str">
        <f t="shared" si="1277"/>
        <v>YES</v>
      </c>
      <c r="AT139" s="351" t="str">
        <f t="shared" si="1278"/>
        <v>NA</v>
      </c>
      <c r="AU139" s="343" t="str">
        <f t="shared" si="1279"/>
        <v>NA</v>
      </c>
      <c r="AV139" s="351" t="str">
        <f t="shared" si="1280"/>
        <v>1R x 0.6/1kV x 4C x 16 Sqmm</v>
      </c>
      <c r="AW139" s="351" t="str">
        <f t="shared" si="1281"/>
        <v>1R x 0.6/1kV x 4C x 16 Sqmm</v>
      </c>
      <c r="AX139" s="343">
        <f t="shared" si="1282"/>
        <v>242</v>
      </c>
      <c r="AY139" s="355"/>
      <c r="AZ139" s="355">
        <f t="shared" si="1283"/>
        <v>2</v>
      </c>
      <c r="BA139" s="356" t="str">
        <f t="shared" si="1284"/>
        <v>Q3RR1R2SS.A</v>
      </c>
      <c r="BB139" s="328">
        <f>VLOOKUP(W139,'Catalogue Aluminium'!$B$9:$H$93,7,FALSE)</f>
        <v>21</v>
      </c>
      <c r="BC139" s="328">
        <f t="shared" si="1285"/>
        <v>21</v>
      </c>
      <c r="BE139" s="336"/>
      <c r="BF139" s="336"/>
      <c r="BG139" s="336"/>
      <c r="BH139" s="336"/>
      <c r="BI139" s="336"/>
      <c r="BJ139" s="336"/>
      <c r="BK139" s="336"/>
      <c r="BL139" s="336"/>
      <c r="BM139" s="336"/>
      <c r="BN139" s="336"/>
      <c r="BO139" s="336"/>
      <c r="BP139" s="336"/>
      <c r="BQ139" s="336"/>
      <c r="BR139" s="336"/>
      <c r="BS139" s="336"/>
      <c r="BT139" s="336"/>
      <c r="BU139" s="336"/>
      <c r="BV139" s="336"/>
      <c r="BW139" s="336"/>
      <c r="BX139" s="336"/>
      <c r="BY139" s="336"/>
      <c r="BZ139" s="336"/>
      <c r="CA139" s="336"/>
      <c r="CB139" s="336"/>
      <c r="CC139" s="336"/>
      <c r="CD139" s="336"/>
      <c r="CE139" s="336"/>
      <c r="CF139" s="336"/>
      <c r="CG139" s="336"/>
      <c r="CH139" s="336"/>
      <c r="CI139" s="336"/>
      <c r="CJ139" s="336"/>
      <c r="CK139" s="336"/>
      <c r="CL139" s="336"/>
      <c r="CM139" s="336"/>
      <c r="CN139" s="336"/>
      <c r="CO139" s="336"/>
      <c r="CP139" s="336"/>
      <c r="CQ139" s="336"/>
      <c r="CR139" s="336"/>
      <c r="CS139" s="336"/>
      <c r="CT139" s="336"/>
      <c r="CU139" s="336"/>
      <c r="CV139" s="336"/>
      <c r="CW139" s="336"/>
      <c r="CX139" s="336"/>
      <c r="CY139" s="336"/>
      <c r="CZ139" s="336"/>
      <c r="DA139" s="336">
        <v>1</v>
      </c>
      <c r="DB139" s="336"/>
      <c r="DC139" s="336"/>
      <c r="DD139" s="336"/>
      <c r="DE139" s="336"/>
      <c r="DF139" s="336"/>
      <c r="DG139" s="336">
        <v>1</v>
      </c>
      <c r="DH139" s="336">
        <v>1</v>
      </c>
      <c r="DI139" s="336">
        <v>1</v>
      </c>
      <c r="DJ139" s="336"/>
      <c r="DK139" s="336"/>
      <c r="DL139" s="336">
        <v>1</v>
      </c>
      <c r="DM139" s="336">
        <v>1</v>
      </c>
      <c r="DN139" s="336"/>
      <c r="DO139" s="336"/>
      <c r="DP139" s="336"/>
      <c r="DQ139" s="336"/>
      <c r="DR139" s="336"/>
      <c r="DS139" s="336"/>
      <c r="DT139" s="336"/>
      <c r="DU139" s="336"/>
      <c r="DW139" s="336">
        <f t="shared" si="1286"/>
        <v>0</v>
      </c>
      <c r="DX139" s="336">
        <f t="shared" si="1287"/>
        <v>0</v>
      </c>
      <c r="DY139" s="336">
        <f t="shared" si="1288"/>
        <v>0</v>
      </c>
      <c r="DZ139" s="336">
        <f t="shared" si="1289"/>
        <v>0</v>
      </c>
      <c r="EA139" s="336">
        <f t="shared" si="1290"/>
        <v>0</v>
      </c>
      <c r="EB139" s="336">
        <f t="shared" si="1291"/>
        <v>0</v>
      </c>
      <c r="EC139" s="336">
        <f t="shared" si="1292"/>
        <v>0</v>
      </c>
      <c r="ED139" s="336">
        <f t="shared" si="1293"/>
        <v>0</v>
      </c>
      <c r="EE139" s="336">
        <f t="shared" si="1294"/>
        <v>0</v>
      </c>
      <c r="EF139" s="336">
        <f t="shared" si="1295"/>
        <v>0</v>
      </c>
      <c r="EG139" s="336">
        <f t="shared" si="1296"/>
        <v>0</v>
      </c>
      <c r="EH139" s="336">
        <f t="shared" si="1297"/>
        <v>0</v>
      </c>
      <c r="EI139" s="336">
        <f t="shared" si="1298"/>
        <v>0</v>
      </c>
      <c r="EJ139" s="336">
        <f t="shared" si="1299"/>
        <v>0</v>
      </c>
      <c r="EK139" s="336">
        <f t="shared" si="1300"/>
        <v>0</v>
      </c>
      <c r="EL139" s="336">
        <f t="shared" si="1301"/>
        <v>0</v>
      </c>
      <c r="EM139" s="336">
        <f t="shared" si="1302"/>
        <v>0</v>
      </c>
      <c r="EN139" s="336">
        <f t="shared" si="1303"/>
        <v>0</v>
      </c>
      <c r="EO139" s="336">
        <f t="shared" si="1304"/>
        <v>0</v>
      </c>
      <c r="EP139" s="336">
        <f t="shared" si="1305"/>
        <v>0</v>
      </c>
      <c r="EQ139" s="336">
        <f t="shared" si="1306"/>
        <v>0</v>
      </c>
      <c r="ER139" s="336">
        <f t="shared" si="1307"/>
        <v>0</v>
      </c>
      <c r="ES139" s="336">
        <f t="shared" si="1308"/>
        <v>0</v>
      </c>
      <c r="ET139" s="336">
        <f t="shared" si="1308"/>
        <v>0</v>
      </c>
      <c r="EU139" s="336">
        <f t="shared" si="1309"/>
        <v>0</v>
      </c>
      <c r="EV139" s="336">
        <f t="shared" si="1310"/>
        <v>0</v>
      </c>
      <c r="EW139" s="336">
        <f t="shared" si="1311"/>
        <v>0</v>
      </c>
      <c r="EX139" s="336">
        <f t="shared" si="1312"/>
        <v>0</v>
      </c>
      <c r="EY139" s="336">
        <f t="shared" si="1313"/>
        <v>0</v>
      </c>
      <c r="EZ139" s="336">
        <f t="shared" si="1314"/>
        <v>0</v>
      </c>
      <c r="FA139" s="336">
        <f t="shared" si="1315"/>
        <v>0</v>
      </c>
      <c r="FB139" s="336">
        <f t="shared" si="1316"/>
        <v>0</v>
      </c>
      <c r="FC139" s="336">
        <f t="shared" si="1317"/>
        <v>0</v>
      </c>
      <c r="FD139" s="336">
        <f t="shared" si="1318"/>
        <v>0</v>
      </c>
      <c r="FE139" s="336">
        <f t="shared" si="1319"/>
        <v>0</v>
      </c>
      <c r="FF139" s="336">
        <f t="shared" si="1320"/>
        <v>0</v>
      </c>
      <c r="FG139" s="336">
        <f t="shared" si="1321"/>
        <v>0</v>
      </c>
      <c r="FH139" s="336">
        <f t="shared" si="1322"/>
        <v>0</v>
      </c>
      <c r="FI139" s="336">
        <f t="shared" si="1323"/>
        <v>0</v>
      </c>
      <c r="FJ139" s="336">
        <f t="shared" si="1324"/>
        <v>0</v>
      </c>
      <c r="FK139" s="336">
        <f t="shared" si="1325"/>
        <v>0</v>
      </c>
      <c r="FL139" s="336">
        <f t="shared" si="1326"/>
        <v>0</v>
      </c>
      <c r="FM139" s="336">
        <f t="shared" si="1327"/>
        <v>0</v>
      </c>
      <c r="FN139" s="336">
        <f t="shared" si="1328"/>
        <v>0</v>
      </c>
      <c r="FO139" s="336">
        <f t="shared" si="1329"/>
        <v>0</v>
      </c>
      <c r="FP139" s="336">
        <f t="shared" si="1330"/>
        <v>0</v>
      </c>
      <c r="FQ139" s="336">
        <f t="shared" si="1331"/>
        <v>0</v>
      </c>
      <c r="FR139" s="336">
        <f t="shared" si="1332"/>
        <v>0</v>
      </c>
      <c r="FS139" s="336">
        <f t="shared" si="1333"/>
        <v>21</v>
      </c>
      <c r="FT139" s="336">
        <f t="shared" si="1334"/>
        <v>0</v>
      </c>
      <c r="FU139" s="336">
        <f t="shared" si="1222"/>
        <v>0</v>
      </c>
      <c r="FV139" s="336">
        <f t="shared" si="1223"/>
        <v>0</v>
      </c>
      <c r="FW139" s="336">
        <f t="shared" si="1224"/>
        <v>0</v>
      </c>
      <c r="FX139" s="336">
        <f t="shared" si="1225"/>
        <v>0</v>
      </c>
      <c r="FY139" s="336">
        <f t="shared" si="948"/>
        <v>21</v>
      </c>
      <c r="FZ139" s="336">
        <f t="shared" si="949"/>
        <v>21</v>
      </c>
      <c r="GA139" s="336">
        <f t="shared" si="950"/>
        <v>21</v>
      </c>
      <c r="GB139" s="336">
        <f t="shared" si="951"/>
        <v>0</v>
      </c>
      <c r="GC139" s="336">
        <f t="shared" si="952"/>
        <v>0</v>
      </c>
      <c r="GD139" s="336">
        <f t="shared" si="953"/>
        <v>21</v>
      </c>
      <c r="GE139" s="336">
        <f t="shared" si="954"/>
        <v>21</v>
      </c>
      <c r="GF139" s="336">
        <f t="shared" si="955"/>
        <v>0</v>
      </c>
      <c r="GG139" s="336">
        <f t="shared" si="956"/>
        <v>0</v>
      </c>
      <c r="GH139" s="336">
        <f t="shared" si="957"/>
        <v>0</v>
      </c>
      <c r="GI139" s="336">
        <f t="shared" si="958"/>
        <v>0</v>
      </c>
      <c r="GJ139" s="336">
        <f t="shared" si="959"/>
        <v>0</v>
      </c>
      <c r="GK139" s="336">
        <f t="shared" si="960"/>
        <v>0</v>
      </c>
      <c r="GL139" s="336">
        <f t="shared" si="1226"/>
        <v>0</v>
      </c>
      <c r="GM139" s="336">
        <f t="shared" si="961"/>
        <v>0</v>
      </c>
    </row>
    <row r="140" spans="1:229" ht="21" customHeight="1">
      <c r="A140" s="337">
        <f t="shared" si="1335"/>
        <v>105</v>
      </c>
      <c r="B140" s="567" t="s">
        <v>1267</v>
      </c>
      <c r="C140" s="372" t="s">
        <v>1253</v>
      </c>
      <c r="D140" s="567" t="s">
        <v>1268</v>
      </c>
      <c r="E140" s="440" t="s">
        <v>1185</v>
      </c>
      <c r="F140" s="372"/>
      <c r="G140" s="337" t="s">
        <v>329</v>
      </c>
      <c r="H140" s="350">
        <v>5</v>
      </c>
      <c r="I140" s="337" t="s">
        <v>330</v>
      </c>
      <c r="J140" s="337" t="s">
        <v>331</v>
      </c>
      <c r="K140" s="343">
        <v>400</v>
      </c>
      <c r="L140" s="343">
        <v>0.85000000000000009</v>
      </c>
      <c r="M140" s="350">
        <v>0.95042105263157861</v>
      </c>
      <c r="N140" s="342">
        <f t="shared" si="1263"/>
        <v>8.9336133449992658</v>
      </c>
      <c r="O140" s="342">
        <f t="shared" si="1264"/>
        <v>0</v>
      </c>
      <c r="P140" s="343" t="str">
        <f t="shared" si="1265"/>
        <v>0.00</v>
      </c>
      <c r="Q140" s="350">
        <v>65</v>
      </c>
      <c r="R140" s="350">
        <v>0</v>
      </c>
      <c r="S140" s="350">
        <f t="shared" si="1266"/>
        <v>0</v>
      </c>
      <c r="T140" s="343" t="s">
        <v>332</v>
      </c>
      <c r="U140" s="350" t="s">
        <v>522</v>
      </c>
      <c r="V140" s="343">
        <v>16</v>
      </c>
      <c r="W140" s="343" t="str">
        <f t="shared" si="1267"/>
        <v>4C X 16</v>
      </c>
      <c r="X140" s="343" t="str">
        <f t="shared" si="1268"/>
        <v>4C X 16</v>
      </c>
      <c r="Y140" s="343" t="s">
        <v>358</v>
      </c>
      <c r="Z140" s="344">
        <f>IF(T140="AIR",VLOOKUP(W140,'Catalogue Aluminium'!$B$9:$G$93,2,FALSE),IF(T140="GROUND",VLOOKUP(W140,'Catalogue Aluminium'!$B$9:$G$93,3,FALSE),IF(T140="DUCT",VLOOKUP(W140,'Catalogue Aluminium'!$B$9:$G$93,4,FALSE),IF(T140="TRENCH",VLOOKUP(W140,'Catalogue Aluminium'!$B$9:$G$93,2,FALSE)))))</f>
        <v>70</v>
      </c>
      <c r="AA140" s="345">
        <f>VLOOKUP(W140,'Catalogue Aluminium'!$B$9:$G$93,5,FALSE)</f>
        <v>2.44</v>
      </c>
      <c r="AB140" s="345">
        <f>VLOOKUP(W140,'Catalogue Aluminium'!$B$9:$G$93,6,FALSE)</f>
        <v>8.1500000000000003E-2</v>
      </c>
      <c r="AC140" s="343">
        <f t="shared" si="1269"/>
        <v>21</v>
      </c>
      <c r="AD140" s="343">
        <f>12+58+20+52+2</f>
        <v>144</v>
      </c>
      <c r="AE140" s="343">
        <v>10</v>
      </c>
      <c r="AF140" s="343">
        <v>8</v>
      </c>
      <c r="AG140" s="343">
        <f t="shared" si="1270"/>
        <v>19</v>
      </c>
      <c r="AH140" s="347">
        <f t="shared" si="1271"/>
        <v>202</v>
      </c>
      <c r="AI140" s="344">
        <f>IF(T140="AIR",'Catalogue Aluminium'!$K$9,IF(T140="TRENCH",'Catalogue Aluminium'!$K$12,"NA"))</f>
        <v>0.89</v>
      </c>
      <c r="AJ140" s="342">
        <f>IF(T140="Air",(IF(U140="1C",'Catalogue Aluminium'!$L$9,'Catalogue Aluminium'!$M$9)),IF(T140="DUCT",(IF($U140="1C",'Catalogue Aluminium'!$L$10,'Catalogue Aluminium'!$M$10)),IF(T140="GROUND",(IF($U140="1C",'Catalogue Aluminium'!$L$11,'Catalogue Aluminium'!$M$11)),IF(T140="TRENCH",(IF($U140="1C",'Catalogue Aluminium'!$L$12,'Catalogue Aluminium'!$M$12))))))</f>
        <v>0.66</v>
      </c>
      <c r="AK140" s="344" t="str">
        <f>IF(T140="Air",'Catalogue Aluminium'!$N$9,IF(T140="GROUND",'Catalogue Aluminium'!$N$10,IF(T140="DUCT",'Catalogue Aluminium'!$N$11,IF(T140="TRENCH",'Catalogue Aluminium'!$N$12,"NA"))))</f>
        <v>NA</v>
      </c>
      <c r="AL140" s="344" t="str">
        <f>IF(T140="Air",(IF(U140="1C",'Catalogue Aluminium'!$O$9,'Catalogue Aluminium'!$P$9)),IF(T140="DUCT",(IF($U140="1C",'Catalogue Aluminium'!$O$10,'Catalogue Aluminium'!$P$10)),IF(T140="GROUND",(IF($U140="1C",'Catalogue Aluminium'!$O$11,'Catalogue Aluminium'!$P$11)),IF(T140="TRENCH",(IF($U140="1C",'Catalogue Aluminium'!$O$12,'Catalogue Aluminium'!$P$12))))))</f>
        <v>NA</v>
      </c>
      <c r="AM140" s="344" t="str">
        <f>IF(T140="AIR","NA",IF(T140="TRENCH","NA",IF(T140="DUCT",IF(U140="1C",VLOOKUP(V140,'Catalogue Aluminium'!$Q$9:$S$28,2,FALSE),VLOOKUP(V140,'Catalogue Aluminium'!$Q$9:$S$28,3)),IF(T140="GROUND",IF(U140="1C",VLOOKUP(V140,'Catalogue Aluminium'!$Q$9:$S$28,2,FALSE),VLOOKUP(V140,'Catalogue Aluminium'!$Q$9:$S$28,3))))))</f>
        <v>NA</v>
      </c>
      <c r="AN140" s="351">
        <f t="shared" si="1272"/>
        <v>0.58740000000000003</v>
      </c>
      <c r="AO140" s="350">
        <f t="shared" si="1273"/>
        <v>41.118000000000002</v>
      </c>
      <c r="AP140" s="349">
        <f t="shared" si="1274"/>
        <v>1</v>
      </c>
      <c r="AQ140" s="350" t="str">
        <f t="shared" si="1275"/>
        <v>YES</v>
      </c>
      <c r="AR140" s="351">
        <f t="shared" si="1276"/>
        <v>1.6541931842880104</v>
      </c>
      <c r="AS140" s="343" t="str">
        <f t="shared" si="1277"/>
        <v>YES</v>
      </c>
      <c r="AT140" s="351" t="str">
        <f t="shared" si="1278"/>
        <v>NA</v>
      </c>
      <c r="AU140" s="343" t="str">
        <f t="shared" si="1279"/>
        <v>NA</v>
      </c>
      <c r="AV140" s="354" t="str">
        <f t="shared" si="1280"/>
        <v>1R x 0.6/1kV x 4C x 16 Sqmm</v>
      </c>
      <c r="AW140" s="354" t="str">
        <f t="shared" si="1281"/>
        <v>1R x 0.6/1kV x 4C x 16 Sqmm</v>
      </c>
      <c r="AX140" s="343">
        <f t="shared" si="1282"/>
        <v>202</v>
      </c>
      <c r="AY140" s="355"/>
      <c r="AZ140" s="355">
        <f t="shared" si="1283"/>
        <v>2</v>
      </c>
      <c r="BA140" s="356" t="str">
        <f t="shared" si="1284"/>
        <v>Q3RR1R2SS1S1.A</v>
      </c>
      <c r="BB140" s="501">
        <f>VLOOKUP(W140,'Catalogue Aluminium'!$B$9:$H$93,7,FALSE)</f>
        <v>21</v>
      </c>
      <c r="BC140" s="328">
        <f t="shared" si="1285"/>
        <v>21</v>
      </c>
      <c r="BE140" s="336"/>
      <c r="BF140" s="336"/>
      <c r="BG140" s="336"/>
      <c r="BH140" s="336"/>
      <c r="BI140" s="336"/>
      <c r="BJ140" s="336"/>
      <c r="BK140" s="336"/>
      <c r="BL140" s="336"/>
      <c r="BM140" s="336"/>
      <c r="BN140" s="336"/>
      <c r="BO140" s="336"/>
      <c r="BP140" s="336"/>
      <c r="BQ140" s="336"/>
      <c r="BR140" s="336"/>
      <c r="BS140" s="336"/>
      <c r="BT140" s="336"/>
      <c r="BU140" s="336"/>
      <c r="BV140" s="336"/>
      <c r="BW140" s="336"/>
      <c r="BX140" s="336"/>
      <c r="BY140" s="336"/>
      <c r="BZ140" s="336"/>
      <c r="CA140" s="336"/>
      <c r="CB140" s="336"/>
      <c r="CC140" s="336"/>
      <c r="CD140" s="336"/>
      <c r="CE140" s="336"/>
      <c r="CF140" s="336"/>
      <c r="CG140" s="336"/>
      <c r="CH140" s="336"/>
      <c r="CI140" s="336"/>
      <c r="CJ140" s="336"/>
      <c r="CK140" s="336"/>
      <c r="CL140" s="336"/>
      <c r="CM140" s="336"/>
      <c r="CN140" s="336"/>
      <c r="CO140" s="336"/>
      <c r="CP140" s="336"/>
      <c r="CQ140" s="336"/>
      <c r="CR140" s="336"/>
      <c r="CS140" s="336"/>
      <c r="CT140" s="336"/>
      <c r="CU140" s="336"/>
      <c r="CV140" s="336"/>
      <c r="CW140" s="336"/>
      <c r="CX140" s="336"/>
      <c r="CY140" s="336"/>
      <c r="CZ140" s="336"/>
      <c r="DA140" s="336">
        <v>1</v>
      </c>
      <c r="DB140" s="336"/>
      <c r="DC140" s="336"/>
      <c r="DD140" s="336"/>
      <c r="DE140" s="336"/>
      <c r="DF140" s="336"/>
      <c r="DG140" s="336">
        <v>1</v>
      </c>
      <c r="DH140" s="336">
        <v>1</v>
      </c>
      <c r="DI140" s="336">
        <v>1</v>
      </c>
      <c r="DJ140" s="336"/>
      <c r="DK140" s="336"/>
      <c r="DL140" s="336">
        <v>1</v>
      </c>
      <c r="DM140" s="336"/>
      <c r="DN140" s="336"/>
      <c r="DO140" s="336">
        <v>1</v>
      </c>
      <c r="DP140" s="336">
        <v>1</v>
      </c>
      <c r="DQ140" s="336"/>
      <c r="DR140" s="336"/>
      <c r="DS140" s="336"/>
      <c r="DT140" s="336"/>
      <c r="DU140" s="336"/>
      <c r="DW140" s="336">
        <f t="shared" si="1286"/>
        <v>0</v>
      </c>
      <c r="DX140" s="336">
        <f t="shared" si="1287"/>
        <v>0</v>
      </c>
      <c r="DY140" s="336">
        <f t="shared" si="1288"/>
        <v>0</v>
      </c>
      <c r="DZ140" s="336">
        <f t="shared" si="1289"/>
        <v>0</v>
      </c>
      <c r="EA140" s="336">
        <f t="shared" si="1290"/>
        <v>0</v>
      </c>
      <c r="EB140" s="336">
        <f t="shared" si="1291"/>
        <v>0</v>
      </c>
      <c r="EC140" s="336">
        <f t="shared" si="1292"/>
        <v>0</v>
      </c>
      <c r="ED140" s="336">
        <f t="shared" si="1293"/>
        <v>0</v>
      </c>
      <c r="EE140" s="336">
        <f t="shared" si="1294"/>
        <v>0</v>
      </c>
      <c r="EF140" s="336">
        <f t="shared" si="1295"/>
        <v>0</v>
      </c>
      <c r="EG140" s="336">
        <f t="shared" si="1296"/>
        <v>0</v>
      </c>
      <c r="EH140" s="336">
        <f t="shared" si="1297"/>
        <v>0</v>
      </c>
      <c r="EI140" s="336">
        <f t="shared" si="1298"/>
        <v>0</v>
      </c>
      <c r="EJ140" s="336">
        <f t="shared" si="1299"/>
        <v>0</v>
      </c>
      <c r="EK140" s="336">
        <f t="shared" si="1300"/>
        <v>0</v>
      </c>
      <c r="EL140" s="336">
        <f t="shared" si="1301"/>
        <v>0</v>
      </c>
      <c r="EM140" s="336">
        <f t="shared" si="1302"/>
        <v>0</v>
      </c>
      <c r="EN140" s="336">
        <f t="shared" si="1303"/>
        <v>0</v>
      </c>
      <c r="EO140" s="336">
        <f t="shared" si="1304"/>
        <v>0</v>
      </c>
      <c r="EP140" s="336">
        <f t="shared" si="1305"/>
        <v>0</v>
      </c>
      <c r="EQ140" s="336">
        <f t="shared" si="1306"/>
        <v>0</v>
      </c>
      <c r="ER140" s="336">
        <f t="shared" si="1307"/>
        <v>0</v>
      </c>
      <c r="ES140" s="336">
        <f t="shared" si="1308"/>
        <v>0</v>
      </c>
      <c r="ET140" s="336">
        <f t="shared" si="1308"/>
        <v>0</v>
      </c>
      <c r="EU140" s="336">
        <f t="shared" si="1309"/>
        <v>0</v>
      </c>
      <c r="EV140" s="336">
        <f t="shared" si="1310"/>
        <v>0</v>
      </c>
      <c r="EW140" s="336">
        <f t="shared" si="1311"/>
        <v>0</v>
      </c>
      <c r="EX140" s="336">
        <f t="shared" si="1312"/>
        <v>0</v>
      </c>
      <c r="EY140" s="336">
        <f t="shared" si="1313"/>
        <v>0</v>
      </c>
      <c r="EZ140" s="336">
        <f t="shared" si="1314"/>
        <v>0</v>
      </c>
      <c r="FA140" s="336">
        <f t="shared" si="1315"/>
        <v>0</v>
      </c>
      <c r="FB140" s="336">
        <f t="shared" si="1316"/>
        <v>0</v>
      </c>
      <c r="FC140" s="336">
        <f t="shared" si="1317"/>
        <v>0</v>
      </c>
      <c r="FD140" s="336">
        <f t="shared" si="1318"/>
        <v>0</v>
      </c>
      <c r="FE140" s="336">
        <f t="shared" si="1319"/>
        <v>0</v>
      </c>
      <c r="FF140" s="336">
        <f t="shared" si="1320"/>
        <v>0</v>
      </c>
      <c r="FG140" s="336">
        <f t="shared" si="1321"/>
        <v>0</v>
      </c>
      <c r="FH140" s="336">
        <f t="shared" si="1322"/>
        <v>0</v>
      </c>
      <c r="FI140" s="336">
        <f t="shared" si="1323"/>
        <v>0</v>
      </c>
      <c r="FJ140" s="336">
        <f t="shared" si="1324"/>
        <v>0</v>
      </c>
      <c r="FK140" s="336">
        <f t="shared" si="1325"/>
        <v>0</v>
      </c>
      <c r="FL140" s="336">
        <f t="shared" si="1326"/>
        <v>0</v>
      </c>
      <c r="FM140" s="336">
        <f t="shared" si="1327"/>
        <v>0</v>
      </c>
      <c r="FN140" s="336">
        <f t="shared" si="1328"/>
        <v>0</v>
      </c>
      <c r="FO140" s="336">
        <f t="shared" si="1329"/>
        <v>0</v>
      </c>
      <c r="FP140" s="336">
        <f t="shared" si="1330"/>
        <v>0</v>
      </c>
      <c r="FQ140" s="336">
        <f t="shared" si="1331"/>
        <v>0</v>
      </c>
      <c r="FR140" s="336">
        <f t="shared" si="1332"/>
        <v>0</v>
      </c>
      <c r="FS140" s="336">
        <f t="shared" si="1333"/>
        <v>21</v>
      </c>
      <c r="FT140" s="336">
        <f t="shared" si="1334"/>
        <v>0</v>
      </c>
      <c r="FU140" s="336">
        <f t="shared" si="1222"/>
        <v>0</v>
      </c>
      <c r="FV140" s="336">
        <f t="shared" si="1223"/>
        <v>0</v>
      </c>
      <c r="FW140" s="336">
        <f t="shared" si="1224"/>
        <v>0</v>
      </c>
      <c r="FX140" s="336">
        <f t="shared" si="1225"/>
        <v>0</v>
      </c>
      <c r="FY140" s="336">
        <f t="shared" si="948"/>
        <v>21</v>
      </c>
      <c r="FZ140" s="336">
        <f t="shared" si="949"/>
        <v>21</v>
      </c>
      <c r="GA140" s="336">
        <f t="shared" si="950"/>
        <v>21</v>
      </c>
      <c r="GB140" s="336">
        <f t="shared" si="951"/>
        <v>0</v>
      </c>
      <c r="GC140" s="336">
        <f t="shared" si="952"/>
        <v>0</v>
      </c>
      <c r="GD140" s="336">
        <f t="shared" si="953"/>
        <v>21</v>
      </c>
      <c r="GE140" s="336">
        <f t="shared" si="954"/>
        <v>0</v>
      </c>
      <c r="GF140" s="336">
        <f t="shared" si="955"/>
        <v>0</v>
      </c>
      <c r="GG140" s="336">
        <f t="shared" si="956"/>
        <v>21</v>
      </c>
      <c r="GH140" s="336">
        <f t="shared" si="957"/>
        <v>21</v>
      </c>
      <c r="GI140" s="336">
        <f t="shared" si="958"/>
        <v>0</v>
      </c>
      <c r="GJ140" s="336">
        <f t="shared" si="959"/>
        <v>0</v>
      </c>
      <c r="GK140" s="336">
        <f t="shared" si="960"/>
        <v>0</v>
      </c>
      <c r="GL140" s="336">
        <f t="shared" si="1226"/>
        <v>0</v>
      </c>
      <c r="GM140" s="336">
        <f t="shared" si="961"/>
        <v>0</v>
      </c>
    </row>
    <row r="141" spans="1:229" ht="21" customHeight="1">
      <c r="A141" s="337">
        <f t="shared" si="1335"/>
        <v>106</v>
      </c>
      <c r="B141" s="567" t="s">
        <v>1269</v>
      </c>
      <c r="C141" s="372" t="s">
        <v>1253</v>
      </c>
      <c r="D141" s="567" t="s">
        <v>1270</v>
      </c>
      <c r="E141" s="440" t="s">
        <v>1229</v>
      </c>
      <c r="F141" s="372"/>
      <c r="G141" s="337" t="s">
        <v>329</v>
      </c>
      <c r="H141" s="350">
        <v>5</v>
      </c>
      <c r="I141" s="337" t="s">
        <v>330</v>
      </c>
      <c r="J141" s="337" t="s">
        <v>331</v>
      </c>
      <c r="K141" s="343">
        <v>400</v>
      </c>
      <c r="L141" s="343">
        <v>0.85000000000000009</v>
      </c>
      <c r="M141" s="350">
        <v>0.95042105263157861</v>
      </c>
      <c r="N141" s="342">
        <f t="shared" si="1263"/>
        <v>8.9336133449992658</v>
      </c>
      <c r="O141" s="342">
        <f t="shared" si="1264"/>
        <v>0</v>
      </c>
      <c r="P141" s="343" t="str">
        <f t="shared" si="1265"/>
        <v>0.00</v>
      </c>
      <c r="Q141" s="350">
        <v>65</v>
      </c>
      <c r="R141" s="350">
        <v>0</v>
      </c>
      <c r="S141" s="350">
        <f t="shared" si="1266"/>
        <v>0</v>
      </c>
      <c r="T141" s="343" t="s">
        <v>332</v>
      </c>
      <c r="U141" s="350" t="s">
        <v>522</v>
      </c>
      <c r="V141" s="343">
        <v>16</v>
      </c>
      <c r="W141" s="343" t="str">
        <f t="shared" si="1267"/>
        <v>4C X 16</v>
      </c>
      <c r="X141" s="343" t="str">
        <f t="shared" si="1268"/>
        <v>4C X 16</v>
      </c>
      <c r="Y141" s="343" t="s">
        <v>358</v>
      </c>
      <c r="Z141" s="344">
        <f>IF(T141="AIR",VLOOKUP(W141,'Catalogue Aluminium'!$B$9:$G$93,2,FALSE),IF(T141="GROUND",VLOOKUP(W141,'Catalogue Aluminium'!$B$9:$G$93,3,FALSE),IF(T141="DUCT",VLOOKUP(W141,'Catalogue Aluminium'!$B$9:$G$93,4,FALSE),IF(T141="TRENCH",VLOOKUP(W141,'Catalogue Aluminium'!$B$9:$G$93,2,FALSE)))))</f>
        <v>70</v>
      </c>
      <c r="AA141" s="345">
        <f>VLOOKUP(W141,'Catalogue Aluminium'!$B$9:$G$93,5,FALSE)</f>
        <v>2.44</v>
      </c>
      <c r="AB141" s="345">
        <f>VLOOKUP(W141,'Catalogue Aluminium'!$B$9:$G$93,6,FALSE)</f>
        <v>8.1500000000000003E-2</v>
      </c>
      <c r="AC141" s="343">
        <f t="shared" si="1269"/>
        <v>21</v>
      </c>
      <c r="AD141" s="343">
        <f>12+58+20+54+41+2</f>
        <v>187</v>
      </c>
      <c r="AE141" s="343">
        <v>10</v>
      </c>
      <c r="AF141" s="343">
        <v>8</v>
      </c>
      <c r="AG141" s="343">
        <f t="shared" si="1270"/>
        <v>23</v>
      </c>
      <c r="AH141" s="347">
        <f t="shared" si="1271"/>
        <v>249</v>
      </c>
      <c r="AI141" s="344">
        <f>IF(T141="AIR",'Catalogue Aluminium'!$K$9,IF(T141="TRENCH",'Catalogue Aluminium'!$K$12,"NA"))</f>
        <v>0.89</v>
      </c>
      <c r="AJ141" s="342">
        <f>IF(T141="Air",(IF(U141="1C",'Catalogue Aluminium'!$L$9,'Catalogue Aluminium'!$M$9)),IF(T141="DUCT",(IF($U141="1C",'Catalogue Aluminium'!$L$10,'Catalogue Aluminium'!$M$10)),IF(T141="GROUND",(IF($U141="1C",'Catalogue Aluminium'!$L$11,'Catalogue Aluminium'!$M$11)),IF(T141="TRENCH",(IF($U141="1C",'Catalogue Aluminium'!$L$12,'Catalogue Aluminium'!$M$12))))))</f>
        <v>0.66</v>
      </c>
      <c r="AK141" s="344" t="str">
        <f>IF(T141="Air",'Catalogue Aluminium'!$N$9,IF(T141="GROUND",'Catalogue Aluminium'!$N$10,IF(T141="DUCT",'Catalogue Aluminium'!$N$11,IF(T141="TRENCH",'Catalogue Aluminium'!$N$12,"NA"))))</f>
        <v>NA</v>
      </c>
      <c r="AL141" s="344" t="str">
        <f>IF(T141="Air",(IF(U141="1C",'Catalogue Aluminium'!$O$9,'Catalogue Aluminium'!$P$9)),IF(T141="DUCT",(IF($U141="1C",'Catalogue Aluminium'!$O$10,'Catalogue Aluminium'!$P$10)),IF(T141="GROUND",(IF($U141="1C",'Catalogue Aluminium'!$O$11,'Catalogue Aluminium'!$P$11)),IF(T141="TRENCH",(IF($U141="1C",'Catalogue Aluminium'!$O$12,'Catalogue Aluminium'!$P$12))))))</f>
        <v>NA</v>
      </c>
      <c r="AM141" s="344" t="str">
        <f>IF(T141="AIR","NA",IF(T141="TRENCH","NA",IF(T141="DUCT",IF(U141="1C",VLOOKUP(V141,'Catalogue Aluminium'!$Q$9:$S$28,2,FALSE),VLOOKUP(V141,'Catalogue Aluminium'!$Q$9:$S$28,3)),IF(T141="GROUND",IF(U141="1C",VLOOKUP(V141,'Catalogue Aluminium'!$Q$9:$S$28,2,FALSE),VLOOKUP(V141,'Catalogue Aluminium'!$Q$9:$S$28,3))))))</f>
        <v>NA</v>
      </c>
      <c r="AN141" s="351">
        <f t="shared" si="1272"/>
        <v>0.58740000000000003</v>
      </c>
      <c r="AO141" s="350">
        <f t="shared" si="1273"/>
        <v>41.118000000000002</v>
      </c>
      <c r="AP141" s="349">
        <f t="shared" si="1274"/>
        <v>1</v>
      </c>
      <c r="AQ141" s="350" t="str">
        <f t="shared" si="1275"/>
        <v>YES</v>
      </c>
      <c r="AR141" s="351">
        <f t="shared" si="1276"/>
        <v>2.0390797172659143</v>
      </c>
      <c r="AS141" s="343" t="str">
        <f t="shared" si="1277"/>
        <v>YES</v>
      </c>
      <c r="AT141" s="351" t="str">
        <f t="shared" si="1278"/>
        <v>NA</v>
      </c>
      <c r="AU141" s="343" t="str">
        <f t="shared" si="1279"/>
        <v>NA</v>
      </c>
      <c r="AV141" s="354" t="str">
        <f t="shared" si="1280"/>
        <v>1R x 0.6/1kV x 4C x 16 Sqmm</v>
      </c>
      <c r="AW141" s="354" t="str">
        <f t="shared" si="1281"/>
        <v>1R x 0.6/1kV x 4C x 16 Sqmm</v>
      </c>
      <c r="AX141" s="343">
        <f t="shared" si="1282"/>
        <v>249</v>
      </c>
      <c r="AY141" s="355"/>
      <c r="AZ141" s="355">
        <f t="shared" si="1283"/>
        <v>2</v>
      </c>
      <c r="BA141" s="356" t="str">
        <f t="shared" si="1284"/>
        <v>Q3RR1R2SS1TTA</v>
      </c>
      <c r="BB141" s="501">
        <f>VLOOKUP(W141,'Catalogue Aluminium'!$B$9:$H$93,7,FALSE)</f>
        <v>21</v>
      </c>
      <c r="BC141" s="328">
        <f t="shared" si="1285"/>
        <v>21</v>
      </c>
      <c r="BE141" s="336"/>
      <c r="BF141" s="336"/>
      <c r="BG141" s="336"/>
      <c r="BH141" s="336"/>
      <c r="BI141" s="336"/>
      <c r="BJ141" s="336"/>
      <c r="BK141" s="336"/>
      <c r="BL141" s="336"/>
      <c r="BM141" s="336"/>
      <c r="BN141" s="336"/>
      <c r="BO141" s="336"/>
      <c r="BP141" s="336"/>
      <c r="BQ141" s="336"/>
      <c r="BR141" s="336"/>
      <c r="BS141" s="336"/>
      <c r="BT141" s="336"/>
      <c r="BU141" s="336"/>
      <c r="BV141" s="336"/>
      <c r="BW141" s="336"/>
      <c r="BX141" s="336"/>
      <c r="BY141" s="336"/>
      <c r="BZ141" s="336"/>
      <c r="CA141" s="336"/>
      <c r="CB141" s="336"/>
      <c r="CC141" s="336"/>
      <c r="CD141" s="336"/>
      <c r="CE141" s="336"/>
      <c r="CF141" s="336"/>
      <c r="CG141" s="336"/>
      <c r="CH141" s="336"/>
      <c r="CI141" s="336"/>
      <c r="CJ141" s="336"/>
      <c r="CK141" s="336"/>
      <c r="CL141" s="336"/>
      <c r="CM141" s="336"/>
      <c r="CN141" s="336"/>
      <c r="CO141" s="336"/>
      <c r="CP141" s="336"/>
      <c r="CQ141" s="336"/>
      <c r="CR141" s="336"/>
      <c r="CS141" s="336"/>
      <c r="CT141" s="336"/>
      <c r="CU141" s="336"/>
      <c r="CV141" s="336"/>
      <c r="CW141" s="336"/>
      <c r="CX141" s="336"/>
      <c r="CY141" s="336"/>
      <c r="CZ141" s="336"/>
      <c r="DA141" s="336">
        <v>1</v>
      </c>
      <c r="DB141" s="336"/>
      <c r="DC141" s="336"/>
      <c r="DD141" s="336"/>
      <c r="DE141" s="336"/>
      <c r="DF141" s="336"/>
      <c r="DG141" s="336">
        <v>1</v>
      </c>
      <c r="DH141" s="336">
        <v>1</v>
      </c>
      <c r="DI141" s="336">
        <v>1</v>
      </c>
      <c r="DJ141" s="336"/>
      <c r="DK141" s="336"/>
      <c r="DL141" s="336">
        <v>1</v>
      </c>
      <c r="DM141" s="336"/>
      <c r="DN141" s="336"/>
      <c r="DO141" s="336">
        <v>1</v>
      </c>
      <c r="DP141" s="336"/>
      <c r="DQ141" s="336">
        <v>1</v>
      </c>
      <c r="DR141" s="336"/>
      <c r="DS141" s="336">
        <v>1</v>
      </c>
      <c r="DT141" s="336"/>
      <c r="DU141" s="336"/>
      <c r="DW141" s="336">
        <f t="shared" si="1286"/>
        <v>0</v>
      </c>
      <c r="DX141" s="336">
        <f t="shared" si="1287"/>
        <v>0</v>
      </c>
      <c r="DY141" s="336">
        <f t="shared" si="1288"/>
        <v>0</v>
      </c>
      <c r="DZ141" s="336">
        <f t="shared" si="1289"/>
        <v>0</v>
      </c>
      <c r="EA141" s="336">
        <f t="shared" si="1290"/>
        <v>0</v>
      </c>
      <c r="EB141" s="336">
        <f t="shared" si="1291"/>
        <v>0</v>
      </c>
      <c r="EC141" s="336">
        <f t="shared" si="1292"/>
        <v>0</v>
      </c>
      <c r="ED141" s="336">
        <f t="shared" si="1293"/>
        <v>0</v>
      </c>
      <c r="EE141" s="336">
        <f t="shared" si="1294"/>
        <v>0</v>
      </c>
      <c r="EF141" s="336">
        <f t="shared" si="1295"/>
        <v>0</v>
      </c>
      <c r="EG141" s="336">
        <f t="shared" si="1296"/>
        <v>0</v>
      </c>
      <c r="EH141" s="336">
        <f t="shared" si="1297"/>
        <v>0</v>
      </c>
      <c r="EI141" s="336">
        <f t="shared" si="1298"/>
        <v>0</v>
      </c>
      <c r="EJ141" s="336">
        <f t="shared" si="1299"/>
        <v>0</v>
      </c>
      <c r="EK141" s="336">
        <f t="shared" si="1300"/>
        <v>0</v>
      </c>
      <c r="EL141" s="336">
        <f t="shared" si="1301"/>
        <v>0</v>
      </c>
      <c r="EM141" s="336">
        <f t="shared" si="1302"/>
        <v>0</v>
      </c>
      <c r="EN141" s="336">
        <f t="shared" si="1303"/>
        <v>0</v>
      </c>
      <c r="EO141" s="336">
        <f t="shared" si="1304"/>
        <v>0</v>
      </c>
      <c r="EP141" s="336">
        <f t="shared" si="1305"/>
        <v>0</v>
      </c>
      <c r="EQ141" s="336">
        <f t="shared" si="1306"/>
        <v>0</v>
      </c>
      <c r="ER141" s="336">
        <f t="shared" si="1307"/>
        <v>0</v>
      </c>
      <c r="ES141" s="336">
        <f t="shared" si="1308"/>
        <v>0</v>
      </c>
      <c r="ET141" s="336">
        <f t="shared" si="1308"/>
        <v>0</v>
      </c>
      <c r="EU141" s="336">
        <f t="shared" si="1309"/>
        <v>0</v>
      </c>
      <c r="EV141" s="336">
        <f t="shared" si="1310"/>
        <v>0</v>
      </c>
      <c r="EW141" s="336">
        <f t="shared" si="1311"/>
        <v>0</v>
      </c>
      <c r="EX141" s="336">
        <f t="shared" si="1312"/>
        <v>0</v>
      </c>
      <c r="EY141" s="336">
        <f t="shared" si="1313"/>
        <v>0</v>
      </c>
      <c r="EZ141" s="336">
        <f t="shared" si="1314"/>
        <v>0</v>
      </c>
      <c r="FA141" s="336">
        <f t="shared" si="1315"/>
        <v>0</v>
      </c>
      <c r="FB141" s="336">
        <f t="shared" si="1316"/>
        <v>0</v>
      </c>
      <c r="FC141" s="336">
        <f t="shared" si="1317"/>
        <v>0</v>
      </c>
      <c r="FD141" s="336">
        <f t="shared" si="1318"/>
        <v>0</v>
      </c>
      <c r="FE141" s="336">
        <f t="shared" si="1319"/>
        <v>0</v>
      </c>
      <c r="FF141" s="336">
        <f t="shared" si="1320"/>
        <v>0</v>
      </c>
      <c r="FG141" s="336">
        <f t="shared" si="1321"/>
        <v>0</v>
      </c>
      <c r="FH141" s="336">
        <f t="shared" si="1322"/>
        <v>0</v>
      </c>
      <c r="FI141" s="336">
        <f t="shared" si="1323"/>
        <v>0</v>
      </c>
      <c r="FJ141" s="336">
        <f t="shared" si="1324"/>
        <v>0</v>
      </c>
      <c r="FK141" s="336">
        <f t="shared" si="1325"/>
        <v>0</v>
      </c>
      <c r="FL141" s="336">
        <f t="shared" si="1326"/>
        <v>0</v>
      </c>
      <c r="FM141" s="336">
        <f t="shared" si="1327"/>
        <v>0</v>
      </c>
      <c r="FN141" s="336">
        <f t="shared" si="1328"/>
        <v>0</v>
      </c>
      <c r="FO141" s="336">
        <f t="shared" si="1329"/>
        <v>0</v>
      </c>
      <c r="FP141" s="336">
        <f t="shared" si="1330"/>
        <v>0</v>
      </c>
      <c r="FQ141" s="336">
        <f t="shared" si="1331"/>
        <v>0</v>
      </c>
      <c r="FR141" s="336">
        <f t="shared" si="1332"/>
        <v>0</v>
      </c>
      <c r="FS141" s="336">
        <f t="shared" si="1333"/>
        <v>21</v>
      </c>
      <c r="FT141" s="336">
        <f t="shared" si="1334"/>
        <v>0</v>
      </c>
      <c r="FU141" s="336">
        <f t="shared" si="1222"/>
        <v>0</v>
      </c>
      <c r="FV141" s="336">
        <f t="shared" si="1223"/>
        <v>0</v>
      </c>
      <c r="FW141" s="336">
        <f t="shared" si="1224"/>
        <v>0</v>
      </c>
      <c r="FX141" s="336">
        <f t="shared" si="1225"/>
        <v>0</v>
      </c>
      <c r="FY141" s="336">
        <f t="shared" si="948"/>
        <v>21</v>
      </c>
      <c r="FZ141" s="336">
        <f t="shared" si="949"/>
        <v>21</v>
      </c>
      <c r="GA141" s="336">
        <f t="shared" si="950"/>
        <v>21</v>
      </c>
      <c r="GB141" s="336">
        <f t="shared" si="951"/>
        <v>0</v>
      </c>
      <c r="GC141" s="336">
        <f t="shared" si="952"/>
        <v>0</v>
      </c>
      <c r="GD141" s="336">
        <f t="shared" si="953"/>
        <v>21</v>
      </c>
      <c r="GE141" s="336">
        <f t="shared" si="954"/>
        <v>0</v>
      </c>
      <c r="GF141" s="336">
        <f t="shared" si="955"/>
        <v>0</v>
      </c>
      <c r="GG141" s="336">
        <f t="shared" si="956"/>
        <v>21</v>
      </c>
      <c r="GH141" s="336">
        <f t="shared" si="957"/>
        <v>0</v>
      </c>
      <c r="GI141" s="336">
        <f t="shared" si="958"/>
        <v>21</v>
      </c>
      <c r="GJ141" s="336">
        <f t="shared" si="959"/>
        <v>0</v>
      </c>
      <c r="GK141" s="336">
        <f t="shared" si="960"/>
        <v>21</v>
      </c>
      <c r="GL141" s="336">
        <f t="shared" si="1226"/>
        <v>0</v>
      </c>
      <c r="GM141" s="336">
        <f t="shared" si="961"/>
        <v>0</v>
      </c>
    </row>
    <row r="142" spans="1:229" ht="26.25" customHeight="1">
      <c r="A142" s="337">
        <f t="shared" si="1335"/>
        <v>107</v>
      </c>
      <c r="B142" s="763" t="s">
        <v>1271</v>
      </c>
      <c r="C142" s="764" t="s">
        <v>1253</v>
      </c>
      <c r="D142" s="763" t="s">
        <v>1272</v>
      </c>
      <c r="E142" s="765" t="s">
        <v>1194</v>
      </c>
      <c r="F142" s="764"/>
      <c r="G142" s="743" t="s">
        <v>329</v>
      </c>
      <c r="H142" s="766">
        <v>5</v>
      </c>
      <c r="I142" s="743" t="s">
        <v>330</v>
      </c>
      <c r="J142" s="743" t="s">
        <v>331</v>
      </c>
      <c r="K142" s="767">
        <v>400</v>
      </c>
      <c r="L142" s="767">
        <v>0.85000000000000009</v>
      </c>
      <c r="M142" s="766">
        <v>0.95042105263157861</v>
      </c>
      <c r="N142" s="768">
        <f t="shared" si="1263"/>
        <v>8.9336133449992658</v>
      </c>
      <c r="O142" s="768">
        <f t="shared" si="1264"/>
        <v>0</v>
      </c>
      <c r="P142" s="767" t="str">
        <f t="shared" si="1265"/>
        <v>0.00</v>
      </c>
      <c r="Q142" s="766">
        <v>65</v>
      </c>
      <c r="R142" s="766">
        <v>0</v>
      </c>
      <c r="S142" s="766">
        <f t="shared" si="1266"/>
        <v>0</v>
      </c>
      <c r="T142" s="343" t="s">
        <v>332</v>
      </c>
      <c r="U142" s="350" t="s">
        <v>522</v>
      </c>
      <c r="V142" s="343">
        <v>16</v>
      </c>
      <c r="W142" s="767" t="str">
        <f t="shared" si="1267"/>
        <v>4C X 16</v>
      </c>
      <c r="X142" s="767" t="str">
        <f t="shared" si="1268"/>
        <v>4C X 16</v>
      </c>
      <c r="Y142" s="767" t="s">
        <v>358</v>
      </c>
      <c r="Z142" s="769">
        <f>IF(T142="AIR",VLOOKUP(W142,'Catalogue Aluminium'!$B$9:$G$93,2,FALSE),IF(T142="GROUND",VLOOKUP(W142,'Catalogue Aluminium'!$B$9:$G$93,3,FALSE),IF(T142="DUCT",VLOOKUP(W142,'Catalogue Aluminium'!$B$9:$G$93,4,FALSE),IF(T142="TRENCH",VLOOKUP(W142,'Catalogue Aluminium'!$B$9:$G$93,2,FALSE)))))</f>
        <v>70</v>
      </c>
      <c r="AA142" s="770">
        <f>VLOOKUP(W142,'Catalogue Aluminium'!$B$9:$G$93,5,FALSE)</f>
        <v>2.44</v>
      </c>
      <c r="AB142" s="770">
        <f>VLOOKUP(W142,'Catalogue Aluminium'!$B$9:$G$93,6,FALSE)</f>
        <v>8.1500000000000003E-2</v>
      </c>
      <c r="AC142" s="767">
        <f t="shared" si="1269"/>
        <v>21</v>
      </c>
      <c r="AD142" s="343">
        <f>12+58+20+54+55+2</f>
        <v>201</v>
      </c>
      <c r="AE142" s="767">
        <v>10</v>
      </c>
      <c r="AF142" s="767">
        <v>8</v>
      </c>
      <c r="AG142" s="767">
        <f t="shared" si="1270"/>
        <v>24</v>
      </c>
      <c r="AH142" s="771">
        <f t="shared" si="1271"/>
        <v>264</v>
      </c>
      <c r="AI142" s="769">
        <f>IF(T142="AIR",'Catalogue Aluminium'!$K$9,IF(T142="TRENCH",'Catalogue Aluminium'!$K$12,"NA"))</f>
        <v>0.89</v>
      </c>
      <c r="AJ142" s="768">
        <f>IF(T142="Air",(IF(U142="1C",'Catalogue Aluminium'!$L$9,'Catalogue Aluminium'!$M$9)),IF(T142="DUCT",(IF($U142="1C",'Catalogue Aluminium'!$L$10,'Catalogue Aluminium'!$M$10)),IF(T142="GROUND",(IF($U142="1C",'Catalogue Aluminium'!$L$11,'Catalogue Aluminium'!$M$11)),IF(T142="TRENCH",(IF($U142="1C",'Catalogue Aluminium'!$L$12,'Catalogue Aluminium'!$M$12))))))</f>
        <v>0.66</v>
      </c>
      <c r="AK142" s="769" t="str">
        <f>IF(T142="Air",'Catalogue Aluminium'!$N$9,IF(T142="GROUND",'Catalogue Aluminium'!$N$10,IF(T142="DUCT",'Catalogue Aluminium'!$N$11,IF(T142="TRENCH",'Catalogue Aluminium'!$N$12,"NA"))))</f>
        <v>NA</v>
      </c>
      <c r="AL142" s="769" t="str">
        <f>IF(T142="Air",(IF(U142="1C",'Catalogue Aluminium'!$O$9,'Catalogue Aluminium'!$P$9)),IF(T142="DUCT",(IF($U142="1C",'Catalogue Aluminium'!$O$10,'Catalogue Aluminium'!$P$10)),IF(T142="GROUND",(IF($U142="1C",'Catalogue Aluminium'!$O$11,'Catalogue Aluminium'!$P$11)),IF(T142="TRENCH",(IF($U142="1C",'Catalogue Aluminium'!$O$12,'Catalogue Aluminium'!$P$12))))))</f>
        <v>NA</v>
      </c>
      <c r="AM142" s="769" t="str">
        <f>IF(T142="AIR","NA",IF(T142="TRENCH","NA",IF(T142="DUCT",IF(U142="1C",VLOOKUP(V142,'Catalogue Aluminium'!$Q$9:$S$28,2,FALSE),VLOOKUP(V142,'Catalogue Aluminium'!$Q$9:$S$28,3)),IF(T142="GROUND",IF(U142="1C",VLOOKUP(V142,'Catalogue Aluminium'!$Q$9:$S$28,2,FALSE),VLOOKUP(V142,'Catalogue Aluminium'!$Q$9:$S$28,3))))))</f>
        <v>NA</v>
      </c>
      <c r="AN142" s="772">
        <f t="shared" si="1272"/>
        <v>0.58740000000000003</v>
      </c>
      <c r="AO142" s="766">
        <f t="shared" si="1273"/>
        <v>41.118000000000002</v>
      </c>
      <c r="AP142" s="773">
        <f t="shared" si="1274"/>
        <v>1</v>
      </c>
      <c r="AQ142" s="766" t="str">
        <f t="shared" si="1275"/>
        <v>YES</v>
      </c>
      <c r="AR142" s="772">
        <f t="shared" si="1276"/>
        <v>2.1619158448120532</v>
      </c>
      <c r="AS142" s="343" t="str">
        <f t="shared" si="1277"/>
        <v>YES</v>
      </c>
      <c r="AT142" s="351" t="str">
        <f t="shared" si="1278"/>
        <v>NA</v>
      </c>
      <c r="AU142" s="767" t="str">
        <f t="shared" si="1279"/>
        <v>NA</v>
      </c>
      <c r="AV142" s="774" t="str">
        <f t="shared" si="1280"/>
        <v>1R x 0.6/1kV x 4C x 16 Sqmm</v>
      </c>
      <c r="AW142" s="774" t="str">
        <f t="shared" si="1281"/>
        <v>1R x 0.6/1kV x 4C x 16 Sqmm</v>
      </c>
      <c r="AX142" s="767">
        <f t="shared" si="1282"/>
        <v>264</v>
      </c>
      <c r="AY142" s="775"/>
      <c r="AZ142" s="775">
        <f t="shared" si="1283"/>
        <v>2</v>
      </c>
      <c r="BA142" s="356" t="str">
        <f t="shared" si="1284"/>
        <v>Q3RR1R2SS1TT1T1.A</v>
      </c>
      <c r="BB142" s="776">
        <f>VLOOKUP(W142,'Catalogue Aluminium'!$B$9:$H$93,7,FALSE)</f>
        <v>21</v>
      </c>
      <c r="BC142" s="777">
        <f t="shared" si="1285"/>
        <v>21</v>
      </c>
      <c r="BE142" s="336"/>
      <c r="BF142" s="336"/>
      <c r="BG142" s="336"/>
      <c r="BH142" s="336"/>
      <c r="BI142" s="336"/>
      <c r="BJ142" s="336"/>
      <c r="BK142" s="336"/>
      <c r="BL142" s="336"/>
      <c r="BM142" s="336"/>
      <c r="BN142" s="336"/>
      <c r="BO142" s="336"/>
      <c r="BP142" s="336"/>
      <c r="BQ142" s="336"/>
      <c r="BR142" s="336"/>
      <c r="BS142" s="336"/>
      <c r="BT142" s="336"/>
      <c r="BU142" s="336"/>
      <c r="BV142" s="336"/>
      <c r="BW142" s="336"/>
      <c r="BX142" s="336"/>
      <c r="BY142" s="336"/>
      <c r="BZ142" s="336"/>
      <c r="CA142" s="336"/>
      <c r="CB142" s="336"/>
      <c r="CC142" s="336"/>
      <c r="CD142" s="336"/>
      <c r="CE142" s="336"/>
      <c r="CF142" s="336"/>
      <c r="CG142" s="336"/>
      <c r="CH142" s="336"/>
      <c r="CI142" s="336"/>
      <c r="CJ142" s="336"/>
      <c r="CK142" s="336"/>
      <c r="CL142" s="336"/>
      <c r="CM142" s="336"/>
      <c r="CN142" s="336"/>
      <c r="CO142" s="336"/>
      <c r="CP142" s="336"/>
      <c r="CQ142" s="336"/>
      <c r="CR142" s="336"/>
      <c r="CS142" s="336"/>
      <c r="CT142" s="336"/>
      <c r="CU142" s="336"/>
      <c r="CV142" s="336"/>
      <c r="CW142" s="336"/>
      <c r="CX142" s="336"/>
      <c r="CY142" s="336"/>
      <c r="CZ142" s="336"/>
      <c r="DA142" s="336">
        <v>1</v>
      </c>
      <c r="DB142" s="336"/>
      <c r="DC142" s="336"/>
      <c r="DD142" s="336"/>
      <c r="DE142" s="336"/>
      <c r="DF142" s="336"/>
      <c r="DG142" s="336">
        <v>1</v>
      </c>
      <c r="DH142" s="336">
        <v>1</v>
      </c>
      <c r="DI142" s="336">
        <v>1</v>
      </c>
      <c r="DJ142" s="336"/>
      <c r="DK142" s="336"/>
      <c r="DL142" s="336">
        <v>1</v>
      </c>
      <c r="DM142" s="336"/>
      <c r="DN142" s="336"/>
      <c r="DO142" s="336">
        <v>1</v>
      </c>
      <c r="DP142" s="336"/>
      <c r="DQ142" s="336">
        <v>1</v>
      </c>
      <c r="DR142" s="336">
        <v>1</v>
      </c>
      <c r="DS142" s="336"/>
      <c r="DT142" s="336">
        <v>1</v>
      </c>
      <c r="DU142" s="336"/>
      <c r="DW142" s="336">
        <f t="shared" si="1286"/>
        <v>0</v>
      </c>
      <c r="DX142" s="336">
        <f t="shared" si="1287"/>
        <v>0</v>
      </c>
      <c r="DY142" s="336">
        <f t="shared" si="1288"/>
        <v>0</v>
      </c>
      <c r="DZ142" s="336">
        <f t="shared" si="1289"/>
        <v>0</v>
      </c>
      <c r="EA142" s="336">
        <f t="shared" si="1290"/>
        <v>0</v>
      </c>
      <c r="EB142" s="336">
        <f t="shared" si="1291"/>
        <v>0</v>
      </c>
      <c r="EC142" s="336">
        <f t="shared" si="1292"/>
        <v>0</v>
      </c>
      <c r="ED142" s="336">
        <f t="shared" si="1293"/>
        <v>0</v>
      </c>
      <c r="EE142" s="336">
        <f t="shared" si="1294"/>
        <v>0</v>
      </c>
      <c r="EF142" s="336">
        <f t="shared" si="1295"/>
        <v>0</v>
      </c>
      <c r="EG142" s="336">
        <f t="shared" si="1296"/>
        <v>0</v>
      </c>
      <c r="EH142" s="336">
        <f t="shared" si="1297"/>
        <v>0</v>
      </c>
      <c r="EI142" s="336">
        <f t="shared" si="1298"/>
        <v>0</v>
      </c>
      <c r="EJ142" s="336">
        <f t="shared" si="1299"/>
        <v>0</v>
      </c>
      <c r="EK142" s="336">
        <f t="shared" si="1300"/>
        <v>0</v>
      </c>
      <c r="EL142" s="336">
        <f t="shared" si="1301"/>
        <v>0</v>
      </c>
      <c r="EM142" s="336">
        <f t="shared" si="1302"/>
        <v>0</v>
      </c>
      <c r="EN142" s="336">
        <f t="shared" si="1303"/>
        <v>0</v>
      </c>
      <c r="EO142" s="336">
        <f t="shared" si="1304"/>
        <v>0</v>
      </c>
      <c r="EP142" s="336">
        <f t="shared" si="1305"/>
        <v>0</v>
      </c>
      <c r="EQ142" s="336">
        <f t="shared" si="1306"/>
        <v>0</v>
      </c>
      <c r="ER142" s="336">
        <f t="shared" si="1307"/>
        <v>0</v>
      </c>
      <c r="ES142" s="336">
        <f t="shared" si="1308"/>
        <v>0</v>
      </c>
      <c r="ET142" s="336">
        <f t="shared" si="1308"/>
        <v>0</v>
      </c>
      <c r="EU142" s="336">
        <f t="shared" si="1309"/>
        <v>0</v>
      </c>
      <c r="EV142" s="336">
        <f t="shared" si="1310"/>
        <v>0</v>
      </c>
      <c r="EW142" s="336">
        <f t="shared" si="1311"/>
        <v>0</v>
      </c>
      <c r="EX142" s="336">
        <f t="shared" si="1312"/>
        <v>0</v>
      </c>
      <c r="EY142" s="336">
        <f t="shared" si="1313"/>
        <v>0</v>
      </c>
      <c r="EZ142" s="336">
        <f t="shared" si="1314"/>
        <v>0</v>
      </c>
      <c r="FA142" s="336">
        <f t="shared" si="1315"/>
        <v>0</v>
      </c>
      <c r="FB142" s="336">
        <f t="shared" si="1316"/>
        <v>0</v>
      </c>
      <c r="FC142" s="336">
        <f t="shared" si="1317"/>
        <v>0</v>
      </c>
      <c r="FD142" s="336">
        <f t="shared" si="1318"/>
        <v>0</v>
      </c>
      <c r="FE142" s="336">
        <f t="shared" si="1319"/>
        <v>0</v>
      </c>
      <c r="FF142" s="336">
        <f t="shared" si="1320"/>
        <v>0</v>
      </c>
      <c r="FG142" s="336">
        <f t="shared" si="1321"/>
        <v>0</v>
      </c>
      <c r="FH142" s="336">
        <f t="shared" si="1322"/>
        <v>0</v>
      </c>
      <c r="FI142" s="336">
        <f t="shared" si="1323"/>
        <v>0</v>
      </c>
      <c r="FJ142" s="336">
        <f t="shared" si="1324"/>
        <v>0</v>
      </c>
      <c r="FK142" s="336">
        <f t="shared" si="1325"/>
        <v>0</v>
      </c>
      <c r="FL142" s="336">
        <f t="shared" si="1326"/>
        <v>0</v>
      </c>
      <c r="FM142" s="336">
        <f t="shared" si="1327"/>
        <v>0</v>
      </c>
      <c r="FN142" s="336">
        <f t="shared" si="1328"/>
        <v>0</v>
      </c>
      <c r="FO142" s="336">
        <f t="shared" si="1329"/>
        <v>0</v>
      </c>
      <c r="FP142" s="336">
        <f t="shared" si="1330"/>
        <v>0</v>
      </c>
      <c r="FQ142" s="336">
        <f t="shared" si="1331"/>
        <v>0</v>
      </c>
      <c r="FR142" s="336">
        <f t="shared" si="1332"/>
        <v>0</v>
      </c>
      <c r="FS142" s="336">
        <f t="shared" si="1333"/>
        <v>21</v>
      </c>
      <c r="FT142" s="336">
        <f t="shared" si="1334"/>
        <v>0</v>
      </c>
      <c r="FU142" s="336">
        <f t="shared" si="1222"/>
        <v>0</v>
      </c>
      <c r="FV142" s="336">
        <f t="shared" si="1223"/>
        <v>0</v>
      </c>
      <c r="FW142" s="336">
        <f t="shared" si="1224"/>
        <v>0</v>
      </c>
      <c r="FX142" s="336">
        <f t="shared" si="1225"/>
        <v>0</v>
      </c>
      <c r="FY142" s="336">
        <f t="shared" si="948"/>
        <v>21</v>
      </c>
      <c r="FZ142" s="336">
        <f t="shared" si="949"/>
        <v>21</v>
      </c>
      <c r="GA142" s="336">
        <f t="shared" si="950"/>
        <v>21</v>
      </c>
      <c r="GB142" s="336">
        <f t="shared" si="951"/>
        <v>0</v>
      </c>
      <c r="GC142" s="336">
        <f t="shared" si="952"/>
        <v>0</v>
      </c>
      <c r="GD142" s="336">
        <f t="shared" si="953"/>
        <v>21</v>
      </c>
      <c r="GE142" s="336">
        <f t="shared" si="954"/>
        <v>0</v>
      </c>
      <c r="GF142" s="336">
        <f t="shared" si="955"/>
        <v>0</v>
      </c>
      <c r="GG142" s="336">
        <f t="shared" si="956"/>
        <v>21</v>
      </c>
      <c r="GH142" s="336">
        <f t="shared" si="957"/>
        <v>0</v>
      </c>
      <c r="GI142" s="336">
        <f t="shared" si="958"/>
        <v>21</v>
      </c>
      <c r="GJ142" s="336">
        <f t="shared" si="959"/>
        <v>21</v>
      </c>
      <c r="GK142" s="336">
        <f t="shared" si="960"/>
        <v>0</v>
      </c>
      <c r="GL142" s="336">
        <f t="shared" si="1226"/>
        <v>21</v>
      </c>
      <c r="GM142" s="336">
        <f t="shared" si="961"/>
        <v>0</v>
      </c>
    </row>
    <row r="143" spans="1:229" s="159" customFormat="1" ht="21" customHeight="1">
      <c r="A143" s="337">
        <f t="shared" si="1335"/>
        <v>108</v>
      </c>
      <c r="B143" s="567" t="s">
        <v>1273</v>
      </c>
      <c r="C143" s="372" t="s">
        <v>1253</v>
      </c>
      <c r="D143" s="567" t="s">
        <v>1274</v>
      </c>
      <c r="E143" s="440" t="s">
        <v>419</v>
      </c>
      <c r="F143" s="372"/>
      <c r="G143" s="337" t="s">
        <v>329</v>
      </c>
      <c r="H143" s="350">
        <v>5</v>
      </c>
      <c r="I143" s="337" t="s">
        <v>330</v>
      </c>
      <c r="J143" s="337" t="s">
        <v>331</v>
      </c>
      <c r="K143" s="343">
        <v>400</v>
      </c>
      <c r="L143" s="343">
        <v>0.85000000000000009</v>
      </c>
      <c r="M143" s="350">
        <v>0.95042105263157861</v>
      </c>
      <c r="N143" s="342">
        <f t="shared" si="1263"/>
        <v>8.9336133449992658</v>
      </c>
      <c r="O143" s="342">
        <f t="shared" si="1264"/>
        <v>0</v>
      </c>
      <c r="P143" s="343" t="str">
        <f t="shared" si="1265"/>
        <v>0.00</v>
      </c>
      <c r="Q143" s="350">
        <v>65</v>
      </c>
      <c r="R143" s="350">
        <v>0</v>
      </c>
      <c r="S143" s="350">
        <f t="shared" si="1266"/>
        <v>0</v>
      </c>
      <c r="T143" s="343" t="s">
        <v>332</v>
      </c>
      <c r="U143" s="350" t="s">
        <v>522</v>
      </c>
      <c r="V143" s="343">
        <v>10</v>
      </c>
      <c r="W143" s="343" t="str">
        <f t="shared" si="1267"/>
        <v>4C X 10</v>
      </c>
      <c r="X143" s="343" t="str">
        <f t="shared" si="1268"/>
        <v>4C X 10</v>
      </c>
      <c r="Y143" s="343" t="s">
        <v>358</v>
      </c>
      <c r="Z143" s="344">
        <f>IF(T143="AIR",VLOOKUP(W143,'Catalogue Aluminium'!$B$9:$G$93,2,FALSE),IF(T143="GROUND",VLOOKUP(W143,'Catalogue Aluminium'!$B$9:$G$93,3,FALSE),IF(T143="DUCT",VLOOKUP(W143,'Catalogue Aluminium'!$B$9:$G$93,4,FALSE),IF(T143="TRENCH",VLOOKUP(W143,'Catalogue Aluminium'!$B$9:$G$93,2,FALSE)))))</f>
        <v>60</v>
      </c>
      <c r="AA143" s="345">
        <f>VLOOKUP(W143,'Catalogue Aluminium'!$B$9:$G$93,5,FALSE)</f>
        <v>3.94</v>
      </c>
      <c r="AB143" s="345">
        <f>VLOOKUP(W143,'Catalogue Aluminium'!$B$9:$G$93,6,FALSE)</f>
        <v>8.5199999999999998E-2</v>
      </c>
      <c r="AC143" s="343">
        <f t="shared" si="1336"/>
        <v>23</v>
      </c>
      <c r="AD143" s="343">
        <v>9</v>
      </c>
      <c r="AE143" s="343">
        <v>10</v>
      </c>
      <c r="AF143" s="343">
        <v>8</v>
      </c>
      <c r="AG143" s="343">
        <f t="shared" si="1270"/>
        <v>5</v>
      </c>
      <c r="AH143" s="347">
        <f t="shared" si="1271"/>
        <v>55</v>
      </c>
      <c r="AI143" s="344">
        <f>IF(T143="AIR",'Catalogue Aluminium'!$K$9,IF(T143="TRENCH",'Catalogue Aluminium'!$K$12,"NA"))</f>
        <v>0.89</v>
      </c>
      <c r="AJ143" s="342">
        <f>IF(T143="Air",(IF(U143="1C",'Catalogue Aluminium'!$L$9,'Catalogue Aluminium'!$M$9)),IF(T143="DUCT",(IF($U143="1C",'Catalogue Aluminium'!$L$10,'Catalogue Aluminium'!$M$10)),IF(T143="GROUND",(IF($U143="1C",'Catalogue Aluminium'!$L$11,'Catalogue Aluminium'!$M$11)),IF(T143="TRENCH",(IF($U143="1C",'Catalogue Aluminium'!$L$12,'Catalogue Aluminium'!$M$12))))))</f>
        <v>0.66</v>
      </c>
      <c r="AK143" s="344" t="str">
        <f>IF(T143="Air",'Catalogue Aluminium'!$N$9,IF(T143="GROUND",'Catalogue Aluminium'!$N$10,IF(T143="DUCT",'Catalogue Aluminium'!$N$11,IF(T143="TRENCH",'Catalogue Aluminium'!$N$12,"NA"))))</f>
        <v>NA</v>
      </c>
      <c r="AL143" s="344" t="str">
        <f>IF(T143="Air",(IF(U143="1C",'Catalogue Aluminium'!$O$9,'Catalogue Aluminium'!$P$9)),IF(T143="DUCT",(IF($U143="1C",'Catalogue Aluminium'!$O$10,'Catalogue Aluminium'!$P$10)),IF(T143="GROUND",(IF($U143="1C",'Catalogue Aluminium'!$O$11,'Catalogue Aluminium'!$P$11)),IF(T143="TRENCH",(IF($U143="1C",'Catalogue Aluminium'!$O$12,'Catalogue Aluminium'!$P$12))))))</f>
        <v>NA</v>
      </c>
      <c r="AM143" s="344" t="str">
        <f>IF(T143="AIR","NA",IF(T143="TRENCH","NA",IF(T143="DUCT",IF(U143="1C",VLOOKUP(V143,'Catalogue Aluminium'!$Q$9:$S$28,2,FALSE),VLOOKUP(V143,'Catalogue Aluminium'!$Q$9:$S$28,3)),IF(T143="GROUND",IF(U143="1C",VLOOKUP(V143,'Catalogue Aluminium'!$Q$9:$S$28,2,FALSE),VLOOKUP(V143,'Catalogue Aluminium'!$Q$9:$S$28,3))))))</f>
        <v>NA</v>
      </c>
      <c r="AN143" s="351">
        <f t="shared" si="1272"/>
        <v>0.58740000000000003</v>
      </c>
      <c r="AO143" s="350">
        <f t="shared" si="1273"/>
        <v>35.244</v>
      </c>
      <c r="AP143" s="349">
        <f t="shared" si="1274"/>
        <v>1</v>
      </c>
      <c r="AQ143" s="350" t="str">
        <f t="shared" si="1275"/>
        <v>YES</v>
      </c>
      <c r="AR143" s="351">
        <f t="shared" si="1276"/>
        <v>0.72208313412134417</v>
      </c>
      <c r="AS143" s="343" t="str">
        <f t="shared" si="1277"/>
        <v>YES</v>
      </c>
      <c r="AT143" s="351" t="str">
        <f t="shared" si="1278"/>
        <v>NA</v>
      </c>
      <c r="AU143" s="343" t="str">
        <f t="shared" si="1279"/>
        <v>NA</v>
      </c>
      <c r="AV143" s="351" t="str">
        <f t="shared" si="1280"/>
        <v>1R x 0.6/1kV x 4C x 10 Sqmm</v>
      </c>
      <c r="AW143" s="351" t="str">
        <f t="shared" si="1281"/>
        <v>1R x 0.6/1kV x 4C x 10 Sqmm</v>
      </c>
      <c r="AX143" s="342">
        <f t="shared" si="1282"/>
        <v>55</v>
      </c>
      <c r="AY143" s="342"/>
      <c r="AZ143" s="342">
        <f t="shared" si="1283"/>
        <v>2</v>
      </c>
      <c r="BA143" s="356" t="str">
        <f t="shared" si="1284"/>
        <v/>
      </c>
      <c r="BB143" s="762">
        <f>VLOOKUP(W143,'Catalogue Aluminium'!$B$9:$H$93,7,FALSE)</f>
        <v>20</v>
      </c>
      <c r="BC143" s="762">
        <f t="shared" si="1285"/>
        <v>20</v>
      </c>
      <c r="BD143" s="336"/>
      <c r="BE143" s="762"/>
      <c r="BF143" s="762"/>
      <c r="BG143" s="762"/>
      <c r="BH143" s="762"/>
      <c r="BI143" s="762"/>
      <c r="BJ143" s="336"/>
      <c r="BK143" s="336"/>
      <c r="BL143" s="336"/>
      <c r="BM143" s="336"/>
      <c r="BN143" s="336"/>
      <c r="BO143" s="336"/>
      <c r="BP143" s="336"/>
      <c r="BQ143" s="336"/>
      <c r="BR143" s="336"/>
      <c r="BS143" s="336"/>
      <c r="BT143" s="336"/>
      <c r="BU143" s="336"/>
      <c r="BV143" s="336"/>
      <c r="BW143" s="336"/>
      <c r="BX143" s="336"/>
      <c r="BY143" s="336"/>
      <c r="BZ143" s="336"/>
      <c r="CA143" s="336"/>
      <c r="CB143" s="336"/>
      <c r="CC143" s="336"/>
      <c r="CD143" s="336"/>
      <c r="CE143" s="336"/>
      <c r="CF143" s="336"/>
      <c r="CG143" s="336"/>
      <c r="CH143" s="336"/>
      <c r="CI143" s="336"/>
      <c r="CJ143" s="336"/>
      <c r="CK143" s="336"/>
      <c r="CL143" s="336"/>
      <c r="CM143" s="336"/>
      <c r="CN143" s="336"/>
      <c r="CO143" s="336"/>
      <c r="CP143" s="336"/>
      <c r="CQ143" s="336"/>
      <c r="CR143" s="336"/>
      <c r="CS143" s="336"/>
      <c r="CT143" s="336"/>
      <c r="CU143" s="336"/>
      <c r="CV143" s="336"/>
      <c r="CW143" s="336"/>
      <c r="CX143" s="336"/>
      <c r="CY143" s="336"/>
      <c r="CZ143" s="336"/>
      <c r="DA143" s="336"/>
      <c r="DB143" s="336"/>
      <c r="DC143" s="336"/>
      <c r="DD143" s="336"/>
      <c r="DE143" s="336"/>
      <c r="DF143" s="336"/>
      <c r="DG143" s="336"/>
      <c r="DH143" s="336"/>
      <c r="DI143" s="336"/>
      <c r="DJ143" s="336"/>
      <c r="DK143" s="336"/>
      <c r="DL143" s="336"/>
      <c r="DM143" s="336"/>
      <c r="DN143" s="336"/>
      <c r="DO143" s="336"/>
      <c r="DP143" s="336"/>
      <c r="DQ143" s="336"/>
      <c r="DR143" s="336"/>
      <c r="DS143" s="336"/>
      <c r="DT143" s="336"/>
      <c r="DU143" s="336"/>
      <c r="DV143" s="336"/>
      <c r="DW143" s="336">
        <f t="shared" si="1286"/>
        <v>0</v>
      </c>
      <c r="DX143" s="336">
        <f t="shared" si="1287"/>
        <v>0</v>
      </c>
      <c r="DY143" s="336">
        <f t="shared" si="1288"/>
        <v>0</v>
      </c>
      <c r="DZ143" s="336">
        <f t="shared" si="1289"/>
        <v>0</v>
      </c>
      <c r="EA143" s="336">
        <f t="shared" si="1290"/>
        <v>0</v>
      </c>
      <c r="EB143" s="336">
        <f t="shared" si="1291"/>
        <v>0</v>
      </c>
      <c r="EC143" s="336">
        <f t="shared" si="1292"/>
        <v>0</v>
      </c>
      <c r="ED143" s="336">
        <f t="shared" si="1293"/>
        <v>0</v>
      </c>
      <c r="EE143" s="336">
        <f t="shared" si="1294"/>
        <v>0</v>
      </c>
      <c r="EF143" s="336">
        <f t="shared" si="1295"/>
        <v>0</v>
      </c>
      <c r="EG143" s="336">
        <f t="shared" si="1296"/>
        <v>0</v>
      </c>
      <c r="EH143" s="336">
        <f t="shared" si="1297"/>
        <v>0</v>
      </c>
      <c r="EI143" s="336">
        <f t="shared" si="1298"/>
        <v>0</v>
      </c>
      <c r="EJ143" s="336">
        <f t="shared" si="1299"/>
        <v>0</v>
      </c>
      <c r="EK143" s="336">
        <f t="shared" si="1300"/>
        <v>0</v>
      </c>
      <c r="EL143" s="336">
        <f t="shared" si="1301"/>
        <v>0</v>
      </c>
      <c r="EM143" s="336">
        <f t="shared" si="1302"/>
        <v>0</v>
      </c>
      <c r="EN143" s="336">
        <f t="shared" si="1303"/>
        <v>0</v>
      </c>
      <c r="EO143" s="336">
        <f t="shared" si="1304"/>
        <v>0</v>
      </c>
      <c r="EP143" s="336">
        <f t="shared" si="1305"/>
        <v>0</v>
      </c>
      <c r="EQ143" s="336">
        <f t="shared" si="1306"/>
        <v>0</v>
      </c>
      <c r="ER143" s="336">
        <f t="shared" si="1307"/>
        <v>0</v>
      </c>
      <c r="ES143" s="336">
        <f t="shared" si="1308"/>
        <v>0</v>
      </c>
      <c r="ET143" s="336">
        <f t="shared" si="1308"/>
        <v>0</v>
      </c>
      <c r="EU143" s="336">
        <f t="shared" si="1309"/>
        <v>0</v>
      </c>
      <c r="EV143" s="336">
        <f t="shared" si="1310"/>
        <v>0</v>
      </c>
      <c r="EW143" s="336">
        <f t="shared" si="1311"/>
        <v>0</v>
      </c>
      <c r="EX143" s="336">
        <f t="shared" si="1312"/>
        <v>0</v>
      </c>
      <c r="EY143" s="336">
        <f t="shared" si="1313"/>
        <v>0</v>
      </c>
      <c r="EZ143" s="336">
        <f t="shared" si="1314"/>
        <v>0</v>
      </c>
      <c r="FA143" s="336">
        <f t="shared" si="1315"/>
        <v>0</v>
      </c>
      <c r="FB143" s="336">
        <f t="shared" si="1316"/>
        <v>0</v>
      </c>
      <c r="FC143" s="336">
        <f t="shared" si="1317"/>
        <v>0</v>
      </c>
      <c r="FD143" s="336">
        <f t="shared" si="1318"/>
        <v>0</v>
      </c>
      <c r="FE143" s="336">
        <f t="shared" si="1319"/>
        <v>0</v>
      </c>
      <c r="FF143" s="336">
        <f t="shared" si="1320"/>
        <v>0</v>
      </c>
      <c r="FG143" s="336">
        <f t="shared" si="1321"/>
        <v>0</v>
      </c>
      <c r="FH143" s="336">
        <f t="shared" si="1322"/>
        <v>0</v>
      </c>
      <c r="FI143" s="336">
        <f t="shared" si="1323"/>
        <v>0</v>
      </c>
      <c r="FJ143" s="336">
        <f t="shared" si="1324"/>
        <v>0</v>
      </c>
      <c r="FK143" s="336">
        <f t="shared" si="1325"/>
        <v>0</v>
      </c>
      <c r="FL143" s="336">
        <f t="shared" si="1326"/>
        <v>0</v>
      </c>
      <c r="FM143" s="336">
        <f t="shared" si="1327"/>
        <v>0</v>
      </c>
      <c r="FN143" s="336">
        <f t="shared" si="1328"/>
        <v>0</v>
      </c>
      <c r="FO143" s="336">
        <f t="shared" si="1329"/>
        <v>0</v>
      </c>
      <c r="FP143" s="336">
        <f t="shared" si="1330"/>
        <v>0</v>
      </c>
      <c r="FQ143" s="336">
        <f t="shared" si="1331"/>
        <v>0</v>
      </c>
      <c r="FR143" s="336">
        <f t="shared" si="1332"/>
        <v>0</v>
      </c>
      <c r="FS143" s="336">
        <f t="shared" si="1333"/>
        <v>0</v>
      </c>
      <c r="FT143" s="336">
        <f t="shared" si="1334"/>
        <v>0</v>
      </c>
      <c r="FU143" s="336">
        <f t="shared" si="1222"/>
        <v>0</v>
      </c>
      <c r="FV143" s="336">
        <f t="shared" si="1223"/>
        <v>0</v>
      </c>
      <c r="FW143" s="336">
        <f t="shared" si="1224"/>
        <v>0</v>
      </c>
      <c r="FX143" s="336">
        <f t="shared" si="1225"/>
        <v>0</v>
      </c>
      <c r="FY143" s="336">
        <f t="shared" si="948"/>
        <v>0</v>
      </c>
      <c r="FZ143" s="336">
        <f t="shared" si="949"/>
        <v>0</v>
      </c>
      <c r="GA143" s="336">
        <f t="shared" si="950"/>
        <v>0</v>
      </c>
      <c r="GB143" s="336">
        <f t="shared" si="951"/>
        <v>0</v>
      </c>
      <c r="GC143" s="336">
        <f t="shared" si="952"/>
        <v>0</v>
      </c>
      <c r="GD143" s="336">
        <f t="shared" si="953"/>
        <v>0</v>
      </c>
      <c r="GE143" s="336">
        <f t="shared" si="954"/>
        <v>0</v>
      </c>
      <c r="GF143" s="336">
        <f t="shared" si="955"/>
        <v>0</v>
      </c>
      <c r="GG143" s="336">
        <f t="shared" si="956"/>
        <v>0</v>
      </c>
      <c r="GH143" s="336">
        <f t="shared" si="957"/>
        <v>0</v>
      </c>
      <c r="GI143" s="336">
        <f t="shared" si="958"/>
        <v>0</v>
      </c>
      <c r="GJ143" s="336">
        <f t="shared" si="959"/>
        <v>0</v>
      </c>
      <c r="GK143" s="336">
        <f t="shared" si="960"/>
        <v>0</v>
      </c>
      <c r="GL143" s="336">
        <f t="shared" si="1226"/>
        <v>0</v>
      </c>
      <c r="GM143" s="336">
        <f t="shared" si="961"/>
        <v>0</v>
      </c>
      <c r="GN143" s="61"/>
      <c r="GO143" s="61"/>
      <c r="GP143" s="61"/>
      <c r="GQ143" s="61"/>
      <c r="GR143" s="61"/>
      <c r="GS143" s="61"/>
      <c r="GT143" s="61"/>
      <c r="GU143" s="61"/>
      <c r="GV143" s="61"/>
      <c r="GW143" s="61"/>
      <c r="GX143" s="61"/>
      <c r="GY143" s="61"/>
      <c r="GZ143" s="61"/>
      <c r="HA143" s="61"/>
      <c r="HB143" s="61"/>
      <c r="HC143" s="61"/>
      <c r="HD143" s="61"/>
      <c r="HE143" s="61"/>
      <c r="HF143" s="61"/>
      <c r="HG143" s="61"/>
      <c r="HH143" s="61"/>
      <c r="HI143" s="61"/>
      <c r="HJ143" s="61"/>
      <c r="HK143" s="61"/>
      <c r="HL143" s="61"/>
      <c r="HM143" s="61"/>
      <c r="HN143" s="61"/>
      <c r="HO143" s="61"/>
      <c r="HP143" s="61"/>
      <c r="HQ143" s="61"/>
      <c r="HR143" s="61"/>
      <c r="HS143" s="61"/>
      <c r="HT143" s="61"/>
      <c r="HU143" s="61"/>
    </row>
    <row r="144" spans="1:229" ht="21" customHeight="1">
      <c r="A144" s="337">
        <f t="shared" si="1335"/>
        <v>109</v>
      </c>
      <c r="B144" s="163" t="s">
        <v>728</v>
      </c>
      <c r="C144" s="166" t="str">
        <f>'LV Cable sizing_SS-1'!$C$165</f>
        <v>EPMCC-1</v>
      </c>
      <c r="D144" s="164" t="s">
        <v>1275</v>
      </c>
      <c r="E144" s="165" t="s">
        <v>419</v>
      </c>
      <c r="F144" s="166"/>
      <c r="G144" s="167" t="s">
        <v>337</v>
      </c>
      <c r="H144" s="61">
        <v>20</v>
      </c>
      <c r="I144" s="77" t="s">
        <v>330</v>
      </c>
      <c r="J144" s="77" t="s">
        <v>331</v>
      </c>
      <c r="K144" s="168">
        <v>400</v>
      </c>
      <c r="L144" s="168">
        <v>0.85000000000000009</v>
      </c>
      <c r="M144" s="169">
        <v>0.95042105263157861</v>
      </c>
      <c r="N144" s="170">
        <v>63</v>
      </c>
      <c r="O144" s="926"/>
      <c r="P144" s="927"/>
      <c r="Q144" s="927"/>
      <c r="R144" s="927"/>
      <c r="S144" s="927"/>
      <c r="T144" s="927"/>
      <c r="U144" s="927"/>
      <c r="V144" s="927"/>
      <c r="W144" s="927"/>
      <c r="X144" s="927"/>
      <c r="Y144" s="927"/>
      <c r="Z144" s="927"/>
      <c r="AA144" s="927"/>
      <c r="AB144" s="927"/>
      <c r="AC144" s="927"/>
      <c r="AD144" s="927"/>
      <c r="AE144" s="927"/>
      <c r="AF144" s="927"/>
      <c r="AG144" s="927"/>
      <c r="AH144" s="927"/>
      <c r="AI144" s="927"/>
      <c r="AJ144" s="927"/>
      <c r="AK144" s="927"/>
      <c r="AL144" s="927"/>
      <c r="AM144" s="927"/>
      <c r="AN144" s="927"/>
      <c r="AO144" s="927"/>
      <c r="AP144" s="927"/>
      <c r="AQ144" s="927"/>
      <c r="AR144" s="927"/>
      <c r="AS144" s="927"/>
      <c r="AT144" s="927"/>
      <c r="AU144" s="927"/>
      <c r="AV144" s="927"/>
      <c r="AW144" s="927"/>
      <c r="AX144" s="927"/>
      <c r="AY144" s="927"/>
      <c r="AZ144" s="927"/>
      <c r="BA144" s="927"/>
      <c r="BB144" s="927"/>
      <c r="BC144" s="1020"/>
      <c r="BE144" s="161"/>
      <c r="BF144" s="161"/>
      <c r="BG144" s="161"/>
      <c r="BH144" s="161"/>
      <c r="BI144" s="161"/>
      <c r="BJ144" s="161"/>
      <c r="BK144" s="161"/>
      <c r="BL144" s="161"/>
      <c r="BM144" s="161"/>
      <c r="BN144" s="161"/>
      <c r="BO144" s="161"/>
      <c r="BP144" s="161"/>
      <c r="BQ144" s="161"/>
      <c r="BR144" s="161"/>
      <c r="BS144" s="161"/>
      <c r="BT144" s="161"/>
      <c r="BU144" s="161"/>
      <c r="BV144" s="161"/>
      <c r="BW144" s="161"/>
      <c r="BX144" s="161"/>
      <c r="BY144" s="161"/>
      <c r="BZ144" s="161"/>
      <c r="CA144" s="161"/>
      <c r="CB144" s="161"/>
      <c r="CC144" s="161"/>
      <c r="CD144" s="161"/>
      <c r="CE144" s="161"/>
      <c r="CF144" s="161"/>
      <c r="CG144" s="161"/>
      <c r="CH144" s="161"/>
      <c r="CI144" s="161"/>
      <c r="CJ144" s="161"/>
      <c r="CK144" s="161"/>
      <c r="CL144" s="161"/>
      <c r="CM144" s="161"/>
      <c r="CN144" s="161"/>
      <c r="CO144" s="161"/>
      <c r="CP144" s="161"/>
      <c r="CQ144" s="161"/>
      <c r="CR144" s="161"/>
      <c r="CS144" s="161"/>
      <c r="CT144" s="161"/>
      <c r="CU144" s="161"/>
      <c r="CV144" s="161"/>
      <c r="CW144" s="161"/>
      <c r="CX144" s="161"/>
      <c r="CY144" s="161"/>
      <c r="CZ144" s="162"/>
      <c r="DA144" s="162"/>
      <c r="DB144" s="162"/>
      <c r="DC144" s="162"/>
      <c r="DD144" s="162"/>
      <c r="DE144" s="162"/>
      <c r="DF144" s="162"/>
      <c r="DG144" s="162"/>
      <c r="DH144" s="162"/>
      <c r="DI144" s="162"/>
      <c r="DJ144" s="162"/>
      <c r="DK144" s="162"/>
      <c r="DL144" s="162"/>
      <c r="DM144" s="162"/>
      <c r="DN144" s="162"/>
      <c r="DO144" s="162"/>
      <c r="DP144" s="162"/>
      <c r="DQ144" s="162"/>
      <c r="DR144" s="162"/>
      <c r="DS144" s="162"/>
      <c r="DT144" s="162"/>
      <c r="DU144" s="162"/>
      <c r="DW144" s="336">
        <f t="shared" si="1286"/>
        <v>0</v>
      </c>
      <c r="DX144" s="336">
        <f t="shared" si="1287"/>
        <v>0</v>
      </c>
      <c r="DY144" s="336">
        <f t="shared" si="1288"/>
        <v>0</v>
      </c>
      <c r="DZ144" s="336">
        <f t="shared" si="1289"/>
        <v>0</v>
      </c>
      <c r="EA144" s="336">
        <f t="shared" si="1290"/>
        <v>0</v>
      </c>
      <c r="EB144" s="336">
        <f t="shared" si="1291"/>
        <v>0</v>
      </c>
      <c r="EC144" s="336">
        <f t="shared" si="1292"/>
        <v>0</v>
      </c>
      <c r="ED144" s="336">
        <f t="shared" si="1293"/>
        <v>0</v>
      </c>
      <c r="EE144" s="336">
        <f t="shared" si="1294"/>
        <v>0</v>
      </c>
      <c r="EF144" s="336">
        <f t="shared" si="1295"/>
        <v>0</v>
      </c>
      <c r="EG144" s="336">
        <f t="shared" si="1296"/>
        <v>0</v>
      </c>
      <c r="EH144" s="336">
        <f t="shared" si="1297"/>
        <v>0</v>
      </c>
      <c r="EI144" s="336">
        <f t="shared" si="1298"/>
        <v>0</v>
      </c>
      <c r="EJ144" s="336">
        <f t="shared" si="1299"/>
        <v>0</v>
      </c>
      <c r="EK144" s="336">
        <f t="shared" si="1300"/>
        <v>0</v>
      </c>
      <c r="EL144" s="336">
        <f t="shared" si="1301"/>
        <v>0</v>
      </c>
      <c r="EM144" s="336">
        <f t="shared" si="1302"/>
        <v>0</v>
      </c>
      <c r="EN144" s="336">
        <f t="shared" si="1303"/>
        <v>0</v>
      </c>
      <c r="EO144" s="336">
        <f t="shared" si="1304"/>
        <v>0</v>
      </c>
      <c r="EP144" s="336">
        <f t="shared" si="1305"/>
        <v>0</v>
      </c>
      <c r="EQ144" s="336">
        <f t="shared" si="1306"/>
        <v>0</v>
      </c>
      <c r="ER144" s="336">
        <f t="shared" si="1307"/>
        <v>0</v>
      </c>
      <c r="ES144" s="336">
        <f t="shared" si="1308"/>
        <v>0</v>
      </c>
      <c r="ET144" s="336">
        <f t="shared" si="1308"/>
        <v>0</v>
      </c>
      <c r="EU144" s="336">
        <f t="shared" si="1309"/>
        <v>0</v>
      </c>
      <c r="EV144" s="336">
        <f t="shared" si="1310"/>
        <v>0</v>
      </c>
      <c r="EW144" s="336">
        <f t="shared" si="1311"/>
        <v>0</v>
      </c>
      <c r="EX144" s="336">
        <f t="shared" si="1312"/>
        <v>0</v>
      </c>
      <c r="EY144" s="336">
        <f t="shared" si="1313"/>
        <v>0</v>
      </c>
      <c r="EZ144" s="336">
        <f t="shared" si="1314"/>
        <v>0</v>
      </c>
      <c r="FA144" s="336">
        <f t="shared" si="1315"/>
        <v>0</v>
      </c>
      <c r="FB144" s="336">
        <f t="shared" si="1316"/>
        <v>0</v>
      </c>
      <c r="FC144" s="336">
        <f t="shared" si="1317"/>
        <v>0</v>
      </c>
      <c r="FD144" s="336">
        <f t="shared" si="1318"/>
        <v>0</v>
      </c>
      <c r="FE144" s="336">
        <f t="shared" si="1319"/>
        <v>0</v>
      </c>
      <c r="FF144" s="336">
        <f t="shared" si="1320"/>
        <v>0</v>
      </c>
      <c r="FG144" s="336">
        <f t="shared" si="1321"/>
        <v>0</v>
      </c>
      <c r="FH144" s="336">
        <f t="shared" si="1322"/>
        <v>0</v>
      </c>
      <c r="FI144" s="336">
        <f t="shared" si="1323"/>
        <v>0</v>
      </c>
      <c r="FJ144" s="336">
        <f t="shared" si="1324"/>
        <v>0</v>
      </c>
      <c r="FK144" s="336">
        <f t="shared" si="1325"/>
        <v>0</v>
      </c>
      <c r="FL144" s="336">
        <f t="shared" si="1326"/>
        <v>0</v>
      </c>
      <c r="FM144" s="336">
        <f t="shared" si="1327"/>
        <v>0</v>
      </c>
      <c r="FN144" s="336">
        <f t="shared" si="1328"/>
        <v>0</v>
      </c>
      <c r="FO144" s="336">
        <f t="shared" si="1329"/>
        <v>0</v>
      </c>
      <c r="FP144" s="336">
        <f t="shared" si="1330"/>
        <v>0</v>
      </c>
      <c r="FQ144" s="336">
        <f t="shared" si="1331"/>
        <v>0</v>
      </c>
      <c r="FR144" s="336">
        <f t="shared" si="1332"/>
        <v>0</v>
      </c>
      <c r="FS144" s="336">
        <f t="shared" si="1333"/>
        <v>0</v>
      </c>
      <c r="FT144" s="336">
        <f t="shared" si="1334"/>
        <v>0</v>
      </c>
      <c r="FU144" s="336">
        <f t="shared" si="1222"/>
        <v>0</v>
      </c>
      <c r="FV144" s="336">
        <f t="shared" si="1223"/>
        <v>0</v>
      </c>
      <c r="FW144" s="336">
        <f t="shared" si="1224"/>
        <v>0</v>
      </c>
      <c r="FX144" s="336">
        <f t="shared" si="1225"/>
        <v>0</v>
      </c>
      <c r="FY144" s="336">
        <f t="shared" si="948"/>
        <v>0</v>
      </c>
      <c r="FZ144" s="336">
        <f t="shared" si="949"/>
        <v>0</v>
      </c>
      <c r="GA144" s="336">
        <f t="shared" si="950"/>
        <v>0</v>
      </c>
      <c r="GB144" s="336">
        <f t="shared" si="951"/>
        <v>0</v>
      </c>
      <c r="GC144" s="336">
        <f t="shared" si="952"/>
        <v>0</v>
      </c>
      <c r="GD144" s="336">
        <f t="shared" si="953"/>
        <v>0</v>
      </c>
      <c r="GE144" s="336">
        <f t="shared" si="954"/>
        <v>0</v>
      </c>
      <c r="GF144" s="336">
        <f t="shared" si="955"/>
        <v>0</v>
      </c>
      <c r="GG144" s="336">
        <f t="shared" si="956"/>
        <v>0</v>
      </c>
      <c r="GH144" s="336">
        <f t="shared" si="957"/>
        <v>0</v>
      </c>
      <c r="GI144" s="336">
        <f t="shared" si="958"/>
        <v>0</v>
      </c>
      <c r="GJ144" s="336">
        <f t="shared" si="959"/>
        <v>0</v>
      </c>
      <c r="GK144" s="336">
        <f t="shared" si="960"/>
        <v>0</v>
      </c>
      <c r="GL144" s="336">
        <f t="shared" si="1226"/>
        <v>0</v>
      </c>
      <c r="GM144" s="336">
        <f t="shared" si="961"/>
        <v>0</v>
      </c>
    </row>
    <row r="145" spans="1:195" s="60" customFormat="1" ht="33.75" customHeight="1">
      <c r="A145" s="710"/>
      <c r="B145" s="710"/>
      <c r="C145" s="711"/>
      <c r="D145" s="477" t="s">
        <v>1276</v>
      </c>
      <c r="E145" s="712"/>
      <c r="F145" s="710"/>
      <c r="G145" s="713"/>
      <c r="H145" s="714"/>
      <c r="I145" s="715"/>
      <c r="J145" s="715"/>
      <c r="K145" s="715"/>
      <c r="L145" s="714"/>
      <c r="M145" s="714"/>
      <c r="N145" s="716"/>
      <c r="O145" s="716"/>
      <c r="P145" s="717"/>
      <c r="Q145" s="714"/>
      <c r="R145" s="714"/>
      <c r="S145" s="714"/>
      <c r="T145" s="717"/>
      <c r="U145" s="714"/>
      <c r="V145" s="717"/>
      <c r="W145" s="717"/>
      <c r="X145" s="717"/>
      <c r="Y145" s="717"/>
      <c r="Z145" s="718"/>
      <c r="AA145" s="719"/>
      <c r="AB145" s="719"/>
      <c r="AC145" s="719"/>
      <c r="AD145" s="719"/>
      <c r="AE145" s="719"/>
      <c r="AF145" s="719"/>
      <c r="AG145" s="719"/>
      <c r="AH145" s="720"/>
      <c r="AI145" s="718"/>
      <c r="AJ145" s="716"/>
      <c r="AK145" s="718"/>
      <c r="AL145" s="718"/>
      <c r="AM145" s="718"/>
      <c r="AN145" s="721"/>
      <c r="AO145" s="714"/>
      <c r="AP145" s="722"/>
      <c r="AQ145" s="714"/>
      <c r="AR145" s="721"/>
      <c r="AS145" s="717"/>
      <c r="AT145" s="721"/>
      <c r="AU145" s="721"/>
      <c r="AV145" s="723"/>
      <c r="AW145" s="723"/>
      <c r="AX145" s="717"/>
      <c r="AY145" s="724"/>
      <c r="AZ145" s="724"/>
      <c r="BA145" s="724"/>
      <c r="BB145" s="753"/>
      <c r="BC145" s="754"/>
      <c r="BD145" s="61"/>
      <c r="BE145" s="336"/>
      <c r="BF145" s="336"/>
      <c r="BG145" s="336"/>
      <c r="BH145" s="336"/>
      <c r="BI145" s="336"/>
      <c r="BJ145" s="336"/>
      <c r="BK145" s="336"/>
      <c r="BL145" s="336"/>
      <c r="BM145" s="336"/>
      <c r="BN145" s="336"/>
      <c r="BO145" s="336"/>
      <c r="BP145" s="336"/>
      <c r="BQ145" s="336"/>
      <c r="BR145" s="336"/>
      <c r="BS145" s="336"/>
      <c r="BT145" s="336"/>
      <c r="BU145" s="336"/>
      <c r="BV145" s="336"/>
      <c r="BW145" s="336"/>
      <c r="BX145" s="336"/>
      <c r="BY145" s="336"/>
      <c r="BZ145" s="336"/>
      <c r="CA145" s="336"/>
      <c r="CB145" s="336"/>
      <c r="CC145" s="336"/>
      <c r="CD145" s="336"/>
      <c r="CE145" s="336"/>
      <c r="CF145" s="336"/>
      <c r="CG145" s="336"/>
      <c r="CH145" s="336"/>
      <c r="CI145" s="336"/>
      <c r="CJ145" s="336"/>
      <c r="CK145" s="336"/>
      <c r="CL145" s="336"/>
      <c r="CM145" s="336"/>
      <c r="CN145" s="336"/>
      <c r="CO145" s="336"/>
      <c r="CP145" s="336"/>
      <c r="CQ145" s="336"/>
      <c r="CR145" s="336"/>
      <c r="CS145" s="336"/>
      <c r="CT145" s="336"/>
      <c r="CU145" s="336"/>
      <c r="CV145" s="336"/>
      <c r="CW145" s="336"/>
      <c r="CX145" s="336"/>
      <c r="CY145" s="336"/>
      <c r="CZ145" s="760"/>
      <c r="DA145" s="760"/>
      <c r="DB145" s="760"/>
      <c r="DC145" s="760"/>
      <c r="DD145" s="760"/>
      <c r="DE145" s="760"/>
      <c r="DF145" s="760"/>
      <c r="DG145" s="760"/>
      <c r="DH145" s="760"/>
      <c r="DI145" s="760"/>
      <c r="DJ145" s="760"/>
      <c r="DK145" s="760"/>
      <c r="DL145" s="760"/>
      <c r="DM145" s="760"/>
      <c r="DN145" s="760"/>
      <c r="DO145" s="760"/>
      <c r="DP145" s="760"/>
      <c r="DQ145" s="760"/>
      <c r="DR145" s="760"/>
      <c r="DS145" s="760"/>
      <c r="DT145" s="760"/>
      <c r="DU145" s="760"/>
      <c r="DV145" s="61"/>
      <c r="DW145" s="336">
        <f t="shared" si="1286"/>
        <v>0</v>
      </c>
      <c r="DX145" s="336">
        <f t="shared" si="1287"/>
        <v>0</v>
      </c>
      <c r="DY145" s="336">
        <f t="shared" si="1288"/>
        <v>0</v>
      </c>
      <c r="DZ145" s="336">
        <f t="shared" si="1289"/>
        <v>0</v>
      </c>
      <c r="EA145" s="336">
        <f t="shared" si="1290"/>
        <v>0</v>
      </c>
      <c r="EB145" s="336">
        <f t="shared" si="1291"/>
        <v>0</v>
      </c>
      <c r="EC145" s="336">
        <f t="shared" si="1292"/>
        <v>0</v>
      </c>
      <c r="ED145" s="336">
        <f t="shared" si="1293"/>
        <v>0</v>
      </c>
      <c r="EE145" s="336">
        <f t="shared" si="1294"/>
        <v>0</v>
      </c>
      <c r="EF145" s="336">
        <f t="shared" si="1295"/>
        <v>0</v>
      </c>
      <c r="EG145" s="336">
        <f t="shared" si="1296"/>
        <v>0</v>
      </c>
      <c r="EH145" s="336">
        <f t="shared" si="1297"/>
        <v>0</v>
      </c>
      <c r="EI145" s="336">
        <f t="shared" si="1298"/>
        <v>0</v>
      </c>
      <c r="EJ145" s="336">
        <f t="shared" si="1299"/>
        <v>0</v>
      </c>
      <c r="EK145" s="336">
        <f t="shared" si="1300"/>
        <v>0</v>
      </c>
      <c r="EL145" s="336">
        <f t="shared" si="1301"/>
        <v>0</v>
      </c>
      <c r="EM145" s="336">
        <f t="shared" si="1302"/>
        <v>0</v>
      </c>
      <c r="EN145" s="336">
        <f t="shared" si="1303"/>
        <v>0</v>
      </c>
      <c r="EO145" s="336">
        <f t="shared" si="1304"/>
        <v>0</v>
      </c>
      <c r="EP145" s="336">
        <f t="shared" si="1305"/>
        <v>0</v>
      </c>
      <c r="EQ145" s="336">
        <f t="shared" si="1306"/>
        <v>0</v>
      </c>
      <c r="ER145" s="336">
        <f t="shared" si="1307"/>
        <v>0</v>
      </c>
      <c r="ES145" s="336">
        <f t="shared" si="1308"/>
        <v>0</v>
      </c>
      <c r="ET145" s="336">
        <f t="shared" si="1308"/>
        <v>0</v>
      </c>
      <c r="EU145" s="336">
        <f t="shared" si="1309"/>
        <v>0</v>
      </c>
      <c r="EV145" s="336">
        <f t="shared" si="1310"/>
        <v>0</v>
      </c>
      <c r="EW145" s="336">
        <f t="shared" si="1311"/>
        <v>0</v>
      </c>
      <c r="EX145" s="336">
        <f t="shared" si="1312"/>
        <v>0</v>
      </c>
      <c r="EY145" s="336">
        <f t="shared" si="1313"/>
        <v>0</v>
      </c>
      <c r="EZ145" s="336">
        <f t="shared" si="1314"/>
        <v>0</v>
      </c>
      <c r="FA145" s="336">
        <f t="shared" si="1315"/>
        <v>0</v>
      </c>
      <c r="FB145" s="336">
        <f t="shared" si="1316"/>
        <v>0</v>
      </c>
      <c r="FC145" s="336">
        <f t="shared" si="1317"/>
        <v>0</v>
      </c>
      <c r="FD145" s="336">
        <f t="shared" si="1318"/>
        <v>0</v>
      </c>
      <c r="FE145" s="336">
        <f t="shared" si="1319"/>
        <v>0</v>
      </c>
      <c r="FF145" s="336">
        <f t="shared" si="1320"/>
        <v>0</v>
      </c>
      <c r="FG145" s="336">
        <f t="shared" si="1321"/>
        <v>0</v>
      </c>
      <c r="FH145" s="336">
        <f t="shared" si="1322"/>
        <v>0</v>
      </c>
      <c r="FI145" s="336">
        <f t="shared" si="1323"/>
        <v>0</v>
      </c>
      <c r="FJ145" s="336">
        <f t="shared" si="1324"/>
        <v>0</v>
      </c>
      <c r="FK145" s="336">
        <f t="shared" si="1325"/>
        <v>0</v>
      </c>
      <c r="FL145" s="336">
        <f t="shared" si="1326"/>
        <v>0</v>
      </c>
      <c r="FM145" s="336">
        <f t="shared" si="1327"/>
        <v>0</v>
      </c>
      <c r="FN145" s="336">
        <f t="shared" si="1328"/>
        <v>0</v>
      </c>
      <c r="FO145" s="336">
        <f t="shared" si="1329"/>
        <v>0</v>
      </c>
      <c r="FP145" s="336">
        <f t="shared" si="1330"/>
        <v>0</v>
      </c>
      <c r="FQ145" s="336">
        <f t="shared" si="1331"/>
        <v>0</v>
      </c>
      <c r="FR145" s="336">
        <f t="shared" si="1332"/>
        <v>0</v>
      </c>
      <c r="FS145" s="336">
        <f t="shared" si="1333"/>
        <v>0</v>
      </c>
      <c r="FT145" s="336">
        <f t="shared" si="1334"/>
        <v>0</v>
      </c>
      <c r="FU145" s="336">
        <f t="shared" si="1222"/>
        <v>0</v>
      </c>
      <c r="FV145" s="336">
        <f t="shared" si="1223"/>
        <v>0</v>
      </c>
      <c r="FW145" s="336">
        <f t="shared" si="1224"/>
        <v>0</v>
      </c>
      <c r="FX145" s="336">
        <f t="shared" si="1225"/>
        <v>0</v>
      </c>
      <c r="FY145" s="336">
        <f t="shared" si="948"/>
        <v>0</v>
      </c>
      <c r="FZ145" s="336">
        <f t="shared" si="949"/>
        <v>0</v>
      </c>
      <c r="GA145" s="336">
        <f t="shared" si="950"/>
        <v>0</v>
      </c>
      <c r="GB145" s="336">
        <f t="shared" si="951"/>
        <v>0</v>
      </c>
      <c r="GC145" s="336">
        <f t="shared" si="952"/>
        <v>0</v>
      </c>
      <c r="GD145" s="336">
        <f t="shared" si="953"/>
        <v>0</v>
      </c>
      <c r="GE145" s="336">
        <f t="shared" si="954"/>
        <v>0</v>
      </c>
      <c r="GF145" s="336">
        <f t="shared" si="955"/>
        <v>0</v>
      </c>
      <c r="GG145" s="336">
        <f t="shared" si="956"/>
        <v>0</v>
      </c>
      <c r="GH145" s="336">
        <f t="shared" si="957"/>
        <v>0</v>
      </c>
      <c r="GI145" s="336">
        <f t="shared" si="958"/>
        <v>0</v>
      </c>
      <c r="GJ145" s="336">
        <f t="shared" si="959"/>
        <v>0</v>
      </c>
      <c r="GK145" s="336">
        <f t="shared" si="960"/>
        <v>0</v>
      </c>
      <c r="GL145" s="336">
        <f t="shared" si="1226"/>
        <v>0</v>
      </c>
      <c r="GM145" s="336">
        <f t="shared" si="961"/>
        <v>0</v>
      </c>
    </row>
    <row r="146" spans="1:195" ht="29.25" customHeight="1">
      <c r="A146" s="337">
        <f>A144+1</f>
        <v>110</v>
      </c>
      <c r="B146" s="567" t="s">
        <v>1277</v>
      </c>
      <c r="C146" s="372" t="s">
        <v>1278</v>
      </c>
      <c r="D146" s="567" t="s">
        <v>1279</v>
      </c>
      <c r="E146" s="440" t="s">
        <v>1211</v>
      </c>
      <c r="F146" s="372"/>
      <c r="G146" s="337" t="s">
        <v>329</v>
      </c>
      <c r="H146" s="350">
        <v>10</v>
      </c>
      <c r="I146" s="337" t="s">
        <v>330</v>
      </c>
      <c r="J146" s="337" t="s">
        <v>331</v>
      </c>
      <c r="K146" s="343">
        <v>400</v>
      </c>
      <c r="L146" s="343">
        <v>0.85000000000000009</v>
      </c>
      <c r="M146" s="350">
        <v>0.95042105263157861</v>
      </c>
      <c r="N146" s="342">
        <f t="shared" ref="N146:N158" si="1339">IF(I146="kVA",IF(J146="3Ph",(H146*1000/(1.732*M146*K146)),(H146*1000/(M146*K146))),IF(I146="kW",IF(J146="3Ph",(H146*1000/(1.732*M146*K146*L146)),(H146*1000/(M146*K146*L146)))))</f>
        <v>17.867226689998532</v>
      </c>
      <c r="O146" s="342">
        <f t="shared" ref="O146:O155" si="1340">IF(G146="MOTOR",(6*N146),IF(G146="VFD",(1*N146),0))</f>
        <v>0</v>
      </c>
      <c r="P146" s="343" t="str">
        <f t="shared" ref="P146:P155" si="1341">IF(G146="MOTOR",0.2,"0.00")</f>
        <v>0.00</v>
      </c>
      <c r="Q146" s="350">
        <v>65</v>
      </c>
      <c r="R146" s="350">
        <v>0</v>
      </c>
      <c r="S146" s="350">
        <f t="shared" ref="S146:S155" si="1342">(Q146*1000*SQRT(R146)/143)</f>
        <v>0</v>
      </c>
      <c r="T146" s="343" t="s">
        <v>332</v>
      </c>
      <c r="U146" s="350" t="s">
        <v>535</v>
      </c>
      <c r="V146" s="343">
        <v>35</v>
      </c>
      <c r="W146" s="343" t="str">
        <f t="shared" ref="W146:W155" si="1343">CONCATENATE(U146," X ",V146)</f>
        <v>3.5C X 35</v>
      </c>
      <c r="X146" s="343" t="str">
        <f t="shared" ref="X146:X155" si="1344">(IF(J146="1Ph",W146,IF(J146="3Ph",(IF(G146="MOTOR",(CONCATENATE(W146,"+PE")),W146)))))</f>
        <v>3.5C X 35</v>
      </c>
      <c r="Y146" s="343" t="s">
        <v>358</v>
      </c>
      <c r="Z146" s="344">
        <f>IF(T146="AIR",VLOOKUP(W146,'Catalogue Aluminium'!$B$9:$G$93,2,FALSE),IF(T146="GROUND",VLOOKUP(W146,'Catalogue Aluminium'!$B$9:$G$93,3,FALSE),IF(T146="DUCT",VLOOKUP(W146,'Catalogue Aluminium'!$B$9:$G$93,4,FALSE),IF(T146="TRENCH",VLOOKUP(W146,'Catalogue Aluminium'!$B$9:$G$93,2,FALSE)))))</f>
        <v>117</v>
      </c>
      <c r="AA146" s="345">
        <f>VLOOKUP(W146,'Catalogue Aluminium'!$B$9:$G$93,5,FALSE)</f>
        <v>1.1100000000000001</v>
      </c>
      <c r="AB146" s="345">
        <f>VLOOKUP(W146,'Catalogue Aluminium'!$B$9:$G$93,6,FALSE)</f>
        <v>7.9399999999999998E-2</v>
      </c>
      <c r="AC146" s="343">
        <f t="shared" ref="AC146:AC158" si="1345">15+8</f>
        <v>23</v>
      </c>
      <c r="AD146" s="343">
        <f>12+58+20+5</f>
        <v>95</v>
      </c>
      <c r="AE146" s="343">
        <v>10</v>
      </c>
      <c r="AF146" s="343">
        <v>8</v>
      </c>
      <c r="AG146" s="343">
        <f t="shared" ref="AG146:AG155" si="1346">ROUNDUP((SUM(AC146:AF146)*0.1),0)</f>
        <v>14</v>
      </c>
      <c r="AH146" s="347">
        <f t="shared" ref="AH146:AH155" si="1347">SUM(AC146:AG146)</f>
        <v>150</v>
      </c>
      <c r="AI146" s="344">
        <f>IF(T146="AIR",'Catalogue Aluminium'!$K$9,IF(T146="TRENCH",'Catalogue Aluminium'!$K$12,"NA"))</f>
        <v>0.89</v>
      </c>
      <c r="AJ146" s="342">
        <f>IF(T146="Air",(IF(U146="1C",'Catalogue Aluminium'!$L$9,'Catalogue Aluminium'!$M$9)),IF(T146="DUCT",(IF($U146="1C",'Catalogue Aluminium'!$L$10,'Catalogue Aluminium'!$M$10)),IF(T146="GROUND",(IF($U146="1C",'Catalogue Aluminium'!$L$11,'Catalogue Aluminium'!$M$11)),IF(T146="TRENCH",(IF($U146="1C",'Catalogue Aluminium'!$L$12,'Catalogue Aluminium'!$M$12))))))</f>
        <v>0.66</v>
      </c>
      <c r="AK146" s="344" t="str">
        <f>IF(T146="Air",'Catalogue Aluminium'!$N$9,IF(T146="GROUND",'Catalogue Aluminium'!$N$10,IF(T146="DUCT",'Catalogue Aluminium'!$N$11,IF(T146="TRENCH",'Catalogue Aluminium'!$N$12,"NA"))))</f>
        <v>NA</v>
      </c>
      <c r="AL146" s="344" t="str">
        <f>IF(T146="Air",(IF(U146="1C",'Catalogue Aluminium'!$O$9,'Catalogue Aluminium'!$P$9)),IF(T146="DUCT",(IF($U146="1C",'Catalogue Aluminium'!$O$10,'Catalogue Aluminium'!$P$10)),IF(T146="GROUND",(IF($U146="1C",'Catalogue Aluminium'!$O$11,'Catalogue Aluminium'!$P$11)),IF(T146="TRENCH",(IF($U146="1C",'Catalogue Aluminium'!$O$12,'Catalogue Aluminium'!$P$12))))))</f>
        <v>NA</v>
      </c>
      <c r="AM146" s="344" t="str">
        <f>IF(T146="AIR","NA",IF(T146="TRENCH","NA",IF(T146="DUCT",IF(U146="1C",VLOOKUP(V146,'Catalogue Aluminium'!$Q$9:$S$28,2,FALSE),VLOOKUP(V146,'Catalogue Aluminium'!$Q$9:$S$28,3)),IF(T146="GROUND",IF(U146="1C",VLOOKUP(V146,'Catalogue Aluminium'!$Q$9:$S$28,2,FALSE),VLOOKUP(V146,'Catalogue Aluminium'!$Q$9:$S$28,3))))))</f>
        <v>NA</v>
      </c>
      <c r="AN146" s="351">
        <f t="shared" ref="AN146:AN155" si="1348">IF(T146="AIR",AI146*AJ146,IF(T146="TRENCH",AI146*AJ146,IF(T146="DUCT",AJ146*AK146*AL146*AM146,IF(T146="GROUND",AJ146*AK146*AL146*AM146))))</f>
        <v>0.58740000000000003</v>
      </c>
      <c r="AO146" s="350">
        <f t="shared" ref="AO146:AO155" si="1349">Z146*AN146</f>
        <v>68.725800000000007</v>
      </c>
      <c r="AP146" s="349">
        <f t="shared" ref="AP146:AP155" si="1350">CEILING(((N146)/AO146),1)</f>
        <v>1</v>
      </c>
      <c r="AQ146" s="350" t="str">
        <f t="shared" ref="AQ146:AQ155" si="1351">IF(AO146*AP146&gt;=N146,"YES","NO")</f>
        <v>YES</v>
      </c>
      <c r="AR146" s="351">
        <f t="shared" ref="AR146:AR155" si="1352">SQRT(3)*AH146*N146*((AA146*L146)+(AB146*SIN(ACOS(L146))))*100/(AP146*K146*1000)</f>
        <v>1.1434817187552733</v>
      </c>
      <c r="AS146" s="343" t="str">
        <f t="shared" ref="AS146:AS158" si="1353">IF(G146="INCOMER",(IF(AR146&lt;=2,"YES","NO")),IF(G146="POWER",(IF(AR146&lt;=2.5,"YES","NO")),IF(G146="MOTOR",(IF(AR146&lt;=3,"YES","NO")))))</f>
        <v>YES</v>
      </c>
      <c r="AT146" s="351" t="str">
        <f t="shared" ref="AT146:AT158" si="1354">IF(G146="MOTOR",(SQRT(3)*AH146*O146*((AA146*P146)+(AB146*SIN(ACOS(P146))))*100/(AP146*K146*1000)),"NA")</f>
        <v>NA</v>
      </c>
      <c r="AU146" s="343" t="str">
        <f t="shared" ref="AU146:AU158" si="1355">IF(G146="MOTOR",IF(AT146&lt;=15,"YES","NO"),"NA")</f>
        <v>NA</v>
      </c>
      <c r="AV146" s="354" t="str">
        <f t="shared" ref="AV146:AV158" si="1356">IF(U146="1C",CONCATENATE(AP146,"R x ",Y146,"kV x ",U146," x ",V146," Sqmm/Phase"),CONCATENATE(AP146,"R x ",0.6,"/1kV x ",U146," x ",V146," Sqmm"))</f>
        <v>1R x 0.6/1kV x 3.5C x 35 Sqmm</v>
      </c>
      <c r="AW146" s="354" t="str">
        <f t="shared" ref="AW146:AW158" si="1357">IF(U146="1C",CONCATENATE(AP146,"R x ",Y146,"kV x ",U146," x ",V146," Sqmm/Phase"),CONCATENATE(AP146,"R x ",0.6,"/1kV x ",U146," x ",V146,(IF(G146="MOTOR","+PE",""))," Sqmm"))</f>
        <v>1R x 0.6/1kV x 3.5C x 35 Sqmm</v>
      </c>
      <c r="AX146" s="343">
        <f t="shared" ref="AX146:AX158" si="1358">(IF(K146=400,(IF(U146="1C",(4*AH146*AP146),(AH146*AP146))),IF(K146=230,(AH146*AP146))))</f>
        <v>150</v>
      </c>
      <c r="AY146" s="355"/>
      <c r="AZ146" s="355">
        <f t="shared" ref="AZ146:AZ158" si="1359">IF(U146="1C",(3*AP146*2),(AP146*2))</f>
        <v>2</v>
      </c>
      <c r="BA146" s="356" t="str">
        <f t="shared" ref="BA146:BA158" si="1360">CONCATENATE(IF(BE146=1,BE$4,""),IF(BF146=1,BF$4,""),IF(BG146=1,BG$4,""),IF(BH146=1,BH$4,""),IF(BI146=1,BI$4,""),IF(BJ146=1,BJ$4,""),IF(BK146=1,BK$4,""),IF(BL146=1,BL$4,""),IF(BM146=1,BM$4,""),IF(BN146=1,BN$4,""),IF(BO146=1,BO$4,""),IF(BP146=1,BP$4,""),IF(BQ146=1,BQ$4,""),IF(BR146=1,BR$4,""),IF(BS146=1,BS$4,""),IF(BT146=1,BT$4,""),IF(BU146=1,BU$4,""),IF(BV146=1,BV$4,""),IF(BW146=1,BW$4,""),IF(BX146=1,BX$4,""),IF(BY146=1,BY$4,""),IF(BZ146=1,BZ$4,""),IF(CA146=1,CA$4,""),IF(CB146=1,CB$4,""),IF(CC146=1,CC$4,""),IF(CD146=1,CD$4,""),IF(CE146=1,CE$4,""),IF(CF146=1,CF$4,""),IF(CG146=1,CG$4,""),IF(CH146=1,CH$4,""),IF(CI146=1,CI$4,""),IF(CJ146=1,CJ$4,""),IF(CK146=1,CK$4,""),IF(CL146=1,CL$4,""),IF(CM146=1,CM$4,""),IF(CN146=1,CN$4,""),IF(CO146=1,CO$4,""),IF(CP146=1,CP$4,""),IF(CQ146=1,CQ$4,""),IF(CR146=1,CR$4,""),IF(CS146=1,CS$4,""),IF(CT146=1,CT$4,""),IF(CU146=1,CU$4,""),IF(CV146=1,CV$4,""),IF(CW146=1,CW$4,""),IF(CX146=1,CX$4,""),IF(CY146=1,CY$4,""),IF(CZ146=1,CZ$4,""),IF(DA146=1,DA$4,""),IF(DB146=1,DB$4,""),IF(DC146=1,DC$4,""),IF(DD146=1,DD$4,""),IF(DE146=1,DE$4,""),IF(DF146=1,DF$4,""),IF(DG146=1,DG$4,""),IF(DH146=1,DH$4,""),IF(DI146=1,DI$4,""),IF(DJ146=1,DJ$4,""),IF(DK146=1,DK$4,""),IF(DL146=1,DL$4,""),IF(DM146=1,DM$4,""),IF(DN146=1,DN$4,""),IF(DO146=1,DO$4,""),IF(DP146=1,DP$4,""),IF(DQ146=1,DQ$4,""),IF(DR146=1,DR$4,""),IF(DS146=1,DS$4,""),IF(DT146=1,DT$4,""),IF(DU146=1,DU$4,""))</f>
        <v>Q3RR1R2R2.A</v>
      </c>
      <c r="BB146" s="501">
        <f>VLOOKUP(W146,'Catalogue Aluminium'!$B$9:$H$93,7,FALSE)</f>
        <v>27</v>
      </c>
      <c r="BC146" s="328">
        <f t="shared" ref="BC146:BC158" si="1361">AP146*BB146</f>
        <v>27</v>
      </c>
      <c r="BE146" s="336"/>
      <c r="BF146" s="336"/>
      <c r="BG146" s="336"/>
      <c r="BH146" s="336"/>
      <c r="BI146" s="336"/>
      <c r="BJ146" s="336"/>
      <c r="BK146" s="336"/>
      <c r="BL146" s="336"/>
      <c r="BM146" s="336"/>
      <c r="BN146" s="336"/>
      <c r="BO146" s="336"/>
      <c r="BP146" s="336"/>
      <c r="BQ146" s="336"/>
      <c r="BR146" s="336"/>
      <c r="BS146" s="336"/>
      <c r="BT146" s="336"/>
      <c r="BU146" s="336"/>
      <c r="BV146" s="336"/>
      <c r="BW146" s="336"/>
      <c r="BX146" s="336"/>
      <c r="BY146" s="336"/>
      <c r="BZ146" s="336"/>
      <c r="CA146" s="336"/>
      <c r="CB146" s="336"/>
      <c r="CC146" s="336"/>
      <c r="CD146" s="336"/>
      <c r="CE146" s="336"/>
      <c r="CF146" s="336"/>
      <c r="CG146" s="336"/>
      <c r="CH146" s="336"/>
      <c r="CI146" s="336"/>
      <c r="CJ146" s="336"/>
      <c r="CK146" s="336"/>
      <c r="CL146" s="336"/>
      <c r="CM146" s="336"/>
      <c r="CN146" s="336"/>
      <c r="CO146" s="336"/>
      <c r="CP146" s="336"/>
      <c r="CQ146" s="336"/>
      <c r="CR146" s="336"/>
      <c r="CS146" s="336"/>
      <c r="CT146" s="336"/>
      <c r="CU146" s="336"/>
      <c r="CV146" s="336"/>
      <c r="CW146" s="336"/>
      <c r="CX146" s="336"/>
      <c r="CY146" s="336"/>
      <c r="CZ146" s="336"/>
      <c r="DA146" s="336">
        <v>1</v>
      </c>
      <c r="DB146" s="336"/>
      <c r="DC146" s="336"/>
      <c r="DD146" s="336"/>
      <c r="DE146" s="336"/>
      <c r="DF146" s="336"/>
      <c r="DG146" s="336">
        <v>1</v>
      </c>
      <c r="DH146" s="336">
        <v>1</v>
      </c>
      <c r="DI146" s="336">
        <v>1</v>
      </c>
      <c r="DJ146" s="336"/>
      <c r="DK146" s="336">
        <v>1</v>
      </c>
      <c r="DL146" s="336"/>
      <c r="DM146" s="336"/>
      <c r="DN146" s="336"/>
      <c r="DO146" s="336"/>
      <c r="DP146" s="336"/>
      <c r="DQ146" s="336"/>
      <c r="DR146" s="336"/>
      <c r="DS146" s="336"/>
      <c r="DT146" s="336"/>
      <c r="DU146" s="336"/>
      <c r="DW146" s="336">
        <f t="shared" si="1286"/>
        <v>0</v>
      </c>
      <c r="DX146" s="336">
        <f t="shared" si="1287"/>
        <v>0</v>
      </c>
      <c r="DY146" s="336">
        <f t="shared" si="1288"/>
        <v>0</v>
      </c>
      <c r="DZ146" s="336">
        <f t="shared" si="1289"/>
        <v>0</v>
      </c>
      <c r="EA146" s="336">
        <f t="shared" si="1290"/>
        <v>0</v>
      </c>
      <c r="EB146" s="336">
        <f t="shared" si="1291"/>
        <v>0</v>
      </c>
      <c r="EC146" s="336">
        <f t="shared" si="1292"/>
        <v>0</v>
      </c>
      <c r="ED146" s="336">
        <f t="shared" si="1293"/>
        <v>0</v>
      </c>
      <c r="EE146" s="336">
        <f t="shared" si="1294"/>
        <v>0</v>
      </c>
      <c r="EF146" s="336">
        <f t="shared" si="1295"/>
        <v>0</v>
      </c>
      <c r="EG146" s="336">
        <f t="shared" si="1296"/>
        <v>0</v>
      </c>
      <c r="EH146" s="336">
        <f t="shared" si="1297"/>
        <v>0</v>
      </c>
      <c r="EI146" s="336">
        <f t="shared" si="1298"/>
        <v>0</v>
      </c>
      <c r="EJ146" s="336">
        <f t="shared" si="1299"/>
        <v>0</v>
      </c>
      <c r="EK146" s="336">
        <f t="shared" si="1300"/>
        <v>0</v>
      </c>
      <c r="EL146" s="336">
        <f t="shared" si="1301"/>
        <v>0</v>
      </c>
      <c r="EM146" s="336">
        <f t="shared" si="1302"/>
        <v>0</v>
      </c>
      <c r="EN146" s="336">
        <f t="shared" si="1303"/>
        <v>0</v>
      </c>
      <c r="EO146" s="336">
        <f t="shared" si="1304"/>
        <v>0</v>
      </c>
      <c r="EP146" s="336">
        <f t="shared" si="1305"/>
        <v>0</v>
      </c>
      <c r="EQ146" s="336">
        <f t="shared" si="1306"/>
        <v>0</v>
      </c>
      <c r="ER146" s="336">
        <f t="shared" si="1307"/>
        <v>0</v>
      </c>
      <c r="ES146" s="336">
        <f t="shared" si="1308"/>
        <v>0</v>
      </c>
      <c r="ET146" s="336">
        <f t="shared" si="1308"/>
        <v>0</v>
      </c>
      <c r="EU146" s="336">
        <f t="shared" si="1309"/>
        <v>0</v>
      </c>
      <c r="EV146" s="336">
        <f t="shared" si="1310"/>
        <v>0</v>
      </c>
      <c r="EW146" s="336">
        <f t="shared" si="1311"/>
        <v>0</v>
      </c>
      <c r="EX146" s="336">
        <f t="shared" si="1312"/>
        <v>0</v>
      </c>
      <c r="EY146" s="336">
        <f t="shared" si="1313"/>
        <v>0</v>
      </c>
      <c r="EZ146" s="336">
        <f t="shared" si="1314"/>
        <v>0</v>
      </c>
      <c r="FA146" s="336">
        <f t="shared" si="1315"/>
        <v>0</v>
      </c>
      <c r="FB146" s="336">
        <f t="shared" si="1316"/>
        <v>0</v>
      </c>
      <c r="FC146" s="336">
        <f t="shared" si="1317"/>
        <v>0</v>
      </c>
      <c r="FD146" s="336">
        <f t="shared" si="1318"/>
        <v>0</v>
      </c>
      <c r="FE146" s="336">
        <f t="shared" si="1319"/>
        <v>0</v>
      </c>
      <c r="FF146" s="336">
        <f t="shared" si="1320"/>
        <v>0</v>
      </c>
      <c r="FG146" s="336">
        <f t="shared" si="1321"/>
        <v>0</v>
      </c>
      <c r="FH146" s="336">
        <f t="shared" si="1322"/>
        <v>0</v>
      </c>
      <c r="FI146" s="336">
        <f t="shared" si="1323"/>
        <v>0</v>
      </c>
      <c r="FJ146" s="336">
        <f t="shared" si="1324"/>
        <v>0</v>
      </c>
      <c r="FK146" s="336">
        <f t="shared" si="1325"/>
        <v>0</v>
      </c>
      <c r="FL146" s="336">
        <f t="shared" si="1326"/>
        <v>0</v>
      </c>
      <c r="FM146" s="336">
        <f t="shared" si="1327"/>
        <v>0</v>
      </c>
      <c r="FN146" s="336">
        <f t="shared" si="1328"/>
        <v>0</v>
      </c>
      <c r="FO146" s="336">
        <f t="shared" si="1329"/>
        <v>0</v>
      </c>
      <c r="FP146" s="336">
        <f t="shared" si="1330"/>
        <v>0</v>
      </c>
      <c r="FQ146" s="336">
        <f t="shared" si="1331"/>
        <v>0</v>
      </c>
      <c r="FR146" s="336">
        <f t="shared" si="1332"/>
        <v>0</v>
      </c>
      <c r="FS146" s="336">
        <f t="shared" si="1333"/>
        <v>27</v>
      </c>
      <c r="FT146" s="336">
        <f t="shared" si="1334"/>
        <v>0</v>
      </c>
      <c r="FU146" s="336">
        <f t="shared" si="1222"/>
        <v>0</v>
      </c>
      <c r="FV146" s="336">
        <f t="shared" si="1223"/>
        <v>0</v>
      </c>
      <c r="FW146" s="336">
        <f t="shared" si="1224"/>
        <v>0</v>
      </c>
      <c r="FX146" s="336">
        <f t="shared" si="1225"/>
        <v>0</v>
      </c>
      <c r="FY146" s="336">
        <f t="shared" si="948"/>
        <v>27</v>
      </c>
      <c r="FZ146" s="336">
        <f t="shared" si="949"/>
        <v>27</v>
      </c>
      <c r="GA146" s="336">
        <f t="shared" si="950"/>
        <v>27</v>
      </c>
      <c r="GB146" s="336">
        <f t="shared" si="951"/>
        <v>0</v>
      </c>
      <c r="GC146" s="336">
        <f t="shared" si="952"/>
        <v>27</v>
      </c>
      <c r="GD146" s="336">
        <f t="shared" si="953"/>
        <v>0</v>
      </c>
      <c r="GE146" s="336">
        <f t="shared" si="954"/>
        <v>0</v>
      </c>
      <c r="GF146" s="336">
        <f t="shared" si="955"/>
        <v>0</v>
      </c>
      <c r="GG146" s="336">
        <f t="shared" si="956"/>
        <v>0</v>
      </c>
      <c r="GH146" s="336">
        <f t="shared" si="957"/>
        <v>0</v>
      </c>
      <c r="GI146" s="336">
        <f t="shared" si="958"/>
        <v>0</v>
      </c>
      <c r="GJ146" s="336">
        <f t="shared" si="959"/>
        <v>0</v>
      </c>
      <c r="GK146" s="336">
        <f t="shared" si="960"/>
        <v>0</v>
      </c>
      <c r="GL146" s="336">
        <f t="shared" si="1226"/>
        <v>0</v>
      </c>
      <c r="GM146" s="336">
        <f t="shared" si="961"/>
        <v>0</v>
      </c>
    </row>
    <row r="147" spans="1:195" ht="25.5">
      <c r="A147" s="337">
        <f>A146+1</f>
        <v>111</v>
      </c>
      <c r="B147" s="567" t="s">
        <v>1280</v>
      </c>
      <c r="C147" s="372" t="s">
        <v>1278</v>
      </c>
      <c r="D147" s="567" t="s">
        <v>1281</v>
      </c>
      <c r="E147" s="440" t="s">
        <v>1214</v>
      </c>
      <c r="F147" s="372"/>
      <c r="G147" s="337" t="s">
        <v>329</v>
      </c>
      <c r="H147" s="350">
        <v>5</v>
      </c>
      <c r="I147" s="337" t="s">
        <v>330</v>
      </c>
      <c r="J147" s="337" t="s">
        <v>331</v>
      </c>
      <c r="K147" s="343">
        <v>400</v>
      </c>
      <c r="L147" s="343">
        <v>0.85000000000000009</v>
      </c>
      <c r="M147" s="350">
        <v>0.95042105263157861</v>
      </c>
      <c r="N147" s="342">
        <f t="shared" si="1339"/>
        <v>8.9336133449992658</v>
      </c>
      <c r="O147" s="342">
        <f t="shared" si="1340"/>
        <v>0</v>
      </c>
      <c r="P147" s="343" t="str">
        <f t="shared" si="1341"/>
        <v>0.00</v>
      </c>
      <c r="Q147" s="350">
        <v>65</v>
      </c>
      <c r="R147" s="350">
        <v>0</v>
      </c>
      <c r="S147" s="350">
        <f t="shared" si="1342"/>
        <v>0</v>
      </c>
      <c r="T147" s="343" t="s">
        <v>332</v>
      </c>
      <c r="U147" s="350" t="s">
        <v>535</v>
      </c>
      <c r="V147" s="343">
        <v>35</v>
      </c>
      <c r="W147" s="343" t="str">
        <f t="shared" si="1343"/>
        <v>3.5C X 35</v>
      </c>
      <c r="X147" s="343" t="str">
        <f t="shared" si="1344"/>
        <v>3.5C X 35</v>
      </c>
      <c r="Y147" s="343" t="s">
        <v>358</v>
      </c>
      <c r="Z147" s="344">
        <f>IF(T147="AIR",VLOOKUP(W147,'Catalogue Aluminium'!$B$9:$G$93,2,FALSE),IF(T147="GROUND",VLOOKUP(W147,'Catalogue Aluminium'!$B$9:$G$93,3,FALSE),IF(T147="DUCT",VLOOKUP(W147,'Catalogue Aluminium'!$B$9:$G$93,4,FALSE),IF(T147="TRENCH",VLOOKUP(W147,'Catalogue Aluminium'!$B$9:$G$93,2,FALSE)))))</f>
        <v>117</v>
      </c>
      <c r="AA147" s="345">
        <f>VLOOKUP(W147,'Catalogue Aluminium'!$B$9:$G$93,5,FALSE)</f>
        <v>1.1100000000000001</v>
      </c>
      <c r="AB147" s="345">
        <f>VLOOKUP(W147,'Catalogue Aluminium'!$B$9:$G$93,6,FALSE)</f>
        <v>7.9399999999999998E-2</v>
      </c>
      <c r="AC147" s="343">
        <f t="shared" si="1345"/>
        <v>23</v>
      </c>
      <c r="AD147" s="343">
        <f>12+58+20+5+5</f>
        <v>100</v>
      </c>
      <c r="AE147" s="343">
        <v>10</v>
      </c>
      <c r="AF147" s="343">
        <v>8</v>
      </c>
      <c r="AG147" s="343">
        <f t="shared" si="1346"/>
        <v>15</v>
      </c>
      <c r="AH147" s="347">
        <f t="shared" si="1347"/>
        <v>156</v>
      </c>
      <c r="AI147" s="344">
        <f>IF(T147="AIR",'Catalogue Aluminium'!$K$9,IF(T147="TRENCH",'Catalogue Aluminium'!$K$12,"NA"))</f>
        <v>0.89</v>
      </c>
      <c r="AJ147" s="342">
        <f>IF(T147="Air",(IF(U147="1C",'Catalogue Aluminium'!$L$9,'Catalogue Aluminium'!$M$9)),IF(T147="DUCT",(IF($U147="1C",'Catalogue Aluminium'!$L$10,'Catalogue Aluminium'!$M$10)),IF(T147="GROUND",(IF($U147="1C",'Catalogue Aluminium'!$L$11,'Catalogue Aluminium'!$M$11)),IF(T147="TRENCH",(IF($U147="1C",'Catalogue Aluminium'!$L$12,'Catalogue Aluminium'!$M$12))))))</f>
        <v>0.66</v>
      </c>
      <c r="AK147" s="344" t="str">
        <f>IF(T147="Air",'Catalogue Aluminium'!$N$9,IF(T147="GROUND",'Catalogue Aluminium'!$N$10,IF(T147="DUCT",'Catalogue Aluminium'!$N$11,IF(T147="TRENCH",'Catalogue Aluminium'!$N$12,"NA"))))</f>
        <v>NA</v>
      </c>
      <c r="AL147" s="344" t="str">
        <f>IF(T147="Air",(IF(U147="1C",'Catalogue Aluminium'!$O$9,'Catalogue Aluminium'!$P$9)),IF(T147="DUCT",(IF($U147="1C",'Catalogue Aluminium'!$O$10,'Catalogue Aluminium'!$P$10)),IF(T147="GROUND",(IF($U147="1C",'Catalogue Aluminium'!$O$11,'Catalogue Aluminium'!$P$11)),IF(T147="TRENCH",(IF($U147="1C",'Catalogue Aluminium'!$O$12,'Catalogue Aluminium'!$P$12))))))</f>
        <v>NA</v>
      </c>
      <c r="AM147" s="344" t="str">
        <f>IF(T147="AIR","NA",IF(T147="TRENCH","NA",IF(T147="DUCT",IF(U147="1C",VLOOKUP(V147,'Catalogue Aluminium'!$Q$9:$S$28,2,FALSE),VLOOKUP(V147,'Catalogue Aluminium'!$Q$9:$S$28,3)),IF(T147="GROUND",IF(U147="1C",VLOOKUP(V147,'Catalogue Aluminium'!$Q$9:$S$28,2,FALSE),VLOOKUP(V147,'Catalogue Aluminium'!$Q$9:$S$28,3))))))</f>
        <v>NA</v>
      </c>
      <c r="AN147" s="351">
        <f t="shared" si="1348"/>
        <v>0.58740000000000003</v>
      </c>
      <c r="AO147" s="350">
        <f t="shared" si="1349"/>
        <v>68.725800000000007</v>
      </c>
      <c r="AP147" s="349">
        <f t="shared" si="1350"/>
        <v>1</v>
      </c>
      <c r="AQ147" s="350" t="str">
        <f t="shared" si="1351"/>
        <v>YES</v>
      </c>
      <c r="AR147" s="351">
        <f t="shared" si="1352"/>
        <v>0.59461049375274222</v>
      </c>
      <c r="AS147" s="343" t="str">
        <f t="shared" si="1353"/>
        <v>YES</v>
      </c>
      <c r="AT147" s="351" t="str">
        <f t="shared" si="1354"/>
        <v>NA</v>
      </c>
      <c r="AU147" s="343" t="str">
        <f t="shared" si="1355"/>
        <v>NA</v>
      </c>
      <c r="AV147" s="354" t="str">
        <f t="shared" si="1356"/>
        <v>1R x 0.6/1kV x 3.5C x 35 Sqmm</v>
      </c>
      <c r="AW147" s="354" t="str">
        <f t="shared" si="1357"/>
        <v>1R x 0.6/1kV x 3.5C x 35 Sqmm</v>
      </c>
      <c r="AX147" s="343">
        <f t="shared" si="1358"/>
        <v>156</v>
      </c>
      <c r="AY147" s="355"/>
      <c r="AZ147" s="355">
        <f t="shared" si="1359"/>
        <v>2</v>
      </c>
      <c r="BA147" s="356" t="str">
        <f t="shared" si="1360"/>
        <v>Q3RR1R2R2.A</v>
      </c>
      <c r="BB147" s="501">
        <f>VLOOKUP(W147,'Catalogue Aluminium'!$B$9:$H$93,7,FALSE)</f>
        <v>27</v>
      </c>
      <c r="BC147" s="328">
        <f t="shared" si="1361"/>
        <v>27</v>
      </c>
      <c r="BE147" s="336"/>
      <c r="BF147" s="336"/>
      <c r="BG147" s="336"/>
      <c r="BH147" s="336"/>
      <c r="BI147" s="336"/>
      <c r="BJ147" s="336"/>
      <c r="BK147" s="336"/>
      <c r="BL147" s="336"/>
      <c r="BM147" s="336"/>
      <c r="BN147" s="336"/>
      <c r="BO147" s="336"/>
      <c r="BP147" s="336"/>
      <c r="BQ147" s="336"/>
      <c r="BR147" s="336"/>
      <c r="BS147" s="336"/>
      <c r="BT147" s="336"/>
      <c r="BU147" s="336"/>
      <c r="BV147" s="336"/>
      <c r="BW147" s="336"/>
      <c r="BX147" s="336"/>
      <c r="BY147" s="336"/>
      <c r="BZ147" s="336"/>
      <c r="CA147" s="336"/>
      <c r="CB147" s="336"/>
      <c r="CC147" s="336"/>
      <c r="CD147" s="336"/>
      <c r="CE147" s="336"/>
      <c r="CF147" s="336"/>
      <c r="CG147" s="336"/>
      <c r="CH147" s="336"/>
      <c r="CI147" s="336"/>
      <c r="CJ147" s="336"/>
      <c r="CK147" s="336"/>
      <c r="CL147" s="336"/>
      <c r="CM147" s="336"/>
      <c r="CN147" s="336"/>
      <c r="CO147" s="336"/>
      <c r="CP147" s="336"/>
      <c r="CQ147" s="336"/>
      <c r="CR147" s="336"/>
      <c r="CS147" s="336"/>
      <c r="CT147" s="336"/>
      <c r="CU147" s="336"/>
      <c r="CV147" s="336"/>
      <c r="CW147" s="336"/>
      <c r="CX147" s="336"/>
      <c r="CY147" s="336"/>
      <c r="CZ147" s="336"/>
      <c r="DA147" s="336">
        <v>1</v>
      </c>
      <c r="DB147" s="336"/>
      <c r="DC147" s="336"/>
      <c r="DD147" s="336"/>
      <c r="DE147" s="336"/>
      <c r="DF147" s="336"/>
      <c r="DG147" s="336">
        <v>1</v>
      </c>
      <c r="DH147" s="336">
        <v>1</v>
      </c>
      <c r="DI147" s="336">
        <v>1</v>
      </c>
      <c r="DJ147" s="336"/>
      <c r="DK147" s="336">
        <v>1</v>
      </c>
      <c r="DL147" s="336"/>
      <c r="DM147" s="336"/>
      <c r="DN147" s="336"/>
      <c r="DO147" s="336"/>
      <c r="DP147" s="336"/>
      <c r="DQ147" s="336"/>
      <c r="DR147" s="336"/>
      <c r="DS147" s="336"/>
      <c r="DT147" s="336"/>
      <c r="DU147" s="336"/>
      <c r="DW147" s="336">
        <f t="shared" si="1286"/>
        <v>0</v>
      </c>
      <c r="DX147" s="336">
        <f t="shared" si="1287"/>
        <v>0</v>
      </c>
      <c r="DY147" s="336">
        <f t="shared" si="1288"/>
        <v>0</v>
      </c>
      <c r="DZ147" s="336">
        <f t="shared" si="1289"/>
        <v>0</v>
      </c>
      <c r="EA147" s="336">
        <f t="shared" si="1290"/>
        <v>0</v>
      </c>
      <c r="EB147" s="336">
        <f t="shared" si="1291"/>
        <v>0</v>
      </c>
      <c r="EC147" s="336">
        <f t="shared" si="1292"/>
        <v>0</v>
      </c>
      <c r="ED147" s="336">
        <f t="shared" si="1293"/>
        <v>0</v>
      </c>
      <c r="EE147" s="336">
        <f t="shared" si="1294"/>
        <v>0</v>
      </c>
      <c r="EF147" s="336">
        <f t="shared" si="1295"/>
        <v>0</v>
      </c>
      <c r="EG147" s="336">
        <f t="shared" si="1296"/>
        <v>0</v>
      </c>
      <c r="EH147" s="336">
        <f t="shared" si="1297"/>
        <v>0</v>
      </c>
      <c r="EI147" s="336">
        <f t="shared" si="1298"/>
        <v>0</v>
      </c>
      <c r="EJ147" s="336">
        <f t="shared" si="1299"/>
        <v>0</v>
      </c>
      <c r="EK147" s="336">
        <f t="shared" si="1300"/>
        <v>0</v>
      </c>
      <c r="EL147" s="336">
        <f t="shared" si="1301"/>
        <v>0</v>
      </c>
      <c r="EM147" s="336">
        <f t="shared" si="1302"/>
        <v>0</v>
      </c>
      <c r="EN147" s="336">
        <f t="shared" si="1303"/>
        <v>0</v>
      </c>
      <c r="EO147" s="336">
        <f t="shared" si="1304"/>
        <v>0</v>
      </c>
      <c r="EP147" s="336">
        <f t="shared" si="1305"/>
        <v>0</v>
      </c>
      <c r="EQ147" s="336">
        <f t="shared" si="1306"/>
        <v>0</v>
      </c>
      <c r="ER147" s="336">
        <f t="shared" si="1307"/>
        <v>0</v>
      </c>
      <c r="ES147" s="336">
        <f t="shared" si="1308"/>
        <v>0</v>
      </c>
      <c r="ET147" s="336">
        <f t="shared" si="1308"/>
        <v>0</v>
      </c>
      <c r="EU147" s="336">
        <f t="shared" si="1309"/>
        <v>0</v>
      </c>
      <c r="EV147" s="336">
        <f t="shared" si="1310"/>
        <v>0</v>
      </c>
      <c r="EW147" s="336">
        <f t="shared" si="1311"/>
        <v>0</v>
      </c>
      <c r="EX147" s="336">
        <f t="shared" si="1312"/>
        <v>0</v>
      </c>
      <c r="EY147" s="336">
        <f t="shared" si="1313"/>
        <v>0</v>
      </c>
      <c r="EZ147" s="336">
        <f t="shared" si="1314"/>
        <v>0</v>
      </c>
      <c r="FA147" s="336">
        <f t="shared" si="1315"/>
        <v>0</v>
      </c>
      <c r="FB147" s="336">
        <f t="shared" si="1316"/>
        <v>0</v>
      </c>
      <c r="FC147" s="336">
        <f t="shared" si="1317"/>
        <v>0</v>
      </c>
      <c r="FD147" s="336">
        <f t="shared" si="1318"/>
        <v>0</v>
      </c>
      <c r="FE147" s="336">
        <f t="shared" si="1319"/>
        <v>0</v>
      </c>
      <c r="FF147" s="336">
        <f t="shared" si="1320"/>
        <v>0</v>
      </c>
      <c r="FG147" s="336">
        <f t="shared" si="1321"/>
        <v>0</v>
      </c>
      <c r="FH147" s="336">
        <f t="shared" si="1322"/>
        <v>0</v>
      </c>
      <c r="FI147" s="336">
        <f t="shared" si="1323"/>
        <v>0</v>
      </c>
      <c r="FJ147" s="336">
        <f t="shared" si="1324"/>
        <v>0</v>
      </c>
      <c r="FK147" s="336">
        <f t="shared" si="1325"/>
        <v>0</v>
      </c>
      <c r="FL147" s="336">
        <f t="shared" si="1326"/>
        <v>0</v>
      </c>
      <c r="FM147" s="336">
        <f t="shared" si="1327"/>
        <v>0</v>
      </c>
      <c r="FN147" s="336">
        <f t="shared" si="1328"/>
        <v>0</v>
      </c>
      <c r="FO147" s="336">
        <f t="shared" si="1329"/>
        <v>0</v>
      </c>
      <c r="FP147" s="336">
        <f t="shared" si="1330"/>
        <v>0</v>
      </c>
      <c r="FQ147" s="336">
        <f t="shared" si="1331"/>
        <v>0</v>
      </c>
      <c r="FR147" s="336">
        <f t="shared" si="1332"/>
        <v>0</v>
      </c>
      <c r="FS147" s="336">
        <f t="shared" si="1333"/>
        <v>27</v>
      </c>
      <c r="FT147" s="336">
        <f t="shared" si="1334"/>
        <v>0</v>
      </c>
      <c r="FU147" s="336">
        <f t="shared" si="1222"/>
        <v>0</v>
      </c>
      <c r="FV147" s="336">
        <f t="shared" si="1223"/>
        <v>0</v>
      </c>
      <c r="FW147" s="336">
        <f t="shared" si="1224"/>
        <v>0</v>
      </c>
      <c r="FX147" s="336">
        <f t="shared" si="1225"/>
        <v>0</v>
      </c>
      <c r="FY147" s="336">
        <f t="shared" si="948"/>
        <v>27</v>
      </c>
      <c r="FZ147" s="336">
        <f t="shared" si="949"/>
        <v>27</v>
      </c>
      <c r="GA147" s="336">
        <f t="shared" si="950"/>
        <v>27</v>
      </c>
      <c r="GB147" s="336">
        <f t="shared" si="951"/>
        <v>0</v>
      </c>
      <c r="GC147" s="336">
        <f t="shared" si="952"/>
        <v>27</v>
      </c>
      <c r="GD147" s="336">
        <f t="shared" si="953"/>
        <v>0</v>
      </c>
      <c r="GE147" s="336">
        <f t="shared" si="954"/>
        <v>0</v>
      </c>
      <c r="GF147" s="336">
        <f t="shared" si="955"/>
        <v>0</v>
      </c>
      <c r="GG147" s="336">
        <f t="shared" si="956"/>
        <v>0</v>
      </c>
      <c r="GH147" s="336">
        <f t="shared" si="957"/>
        <v>0</v>
      </c>
      <c r="GI147" s="336">
        <f t="shared" si="958"/>
        <v>0</v>
      </c>
      <c r="GJ147" s="336">
        <f t="shared" si="959"/>
        <v>0</v>
      </c>
      <c r="GK147" s="336">
        <f t="shared" si="960"/>
        <v>0</v>
      </c>
      <c r="GL147" s="336">
        <f t="shared" si="1226"/>
        <v>0</v>
      </c>
      <c r="GM147" s="336">
        <f t="shared" si="961"/>
        <v>0</v>
      </c>
    </row>
    <row r="148" spans="1:195">
      <c r="A148" s="337">
        <f t="shared" ref="A148:A159" si="1362">A147+1</f>
        <v>112</v>
      </c>
      <c r="B148" s="567" t="s">
        <v>1282</v>
      </c>
      <c r="C148" s="372" t="s">
        <v>1278</v>
      </c>
      <c r="D148" s="567" t="s">
        <v>1283</v>
      </c>
      <c r="E148" s="440" t="s">
        <v>1181</v>
      </c>
      <c r="F148" s="372"/>
      <c r="G148" s="337" t="s">
        <v>329</v>
      </c>
      <c r="H148" s="350">
        <v>5</v>
      </c>
      <c r="I148" s="337" t="s">
        <v>330</v>
      </c>
      <c r="J148" s="337" t="s">
        <v>331</v>
      </c>
      <c r="K148" s="343">
        <v>400</v>
      </c>
      <c r="L148" s="343">
        <v>0.85000000000000009</v>
      </c>
      <c r="M148" s="350">
        <v>0.95042105263157861</v>
      </c>
      <c r="N148" s="342">
        <f t="shared" si="1339"/>
        <v>8.9336133449992658</v>
      </c>
      <c r="O148" s="342">
        <f t="shared" si="1340"/>
        <v>0</v>
      </c>
      <c r="P148" s="343" t="str">
        <f t="shared" si="1341"/>
        <v>0.00</v>
      </c>
      <c r="Q148" s="350">
        <v>65</v>
      </c>
      <c r="R148" s="350">
        <v>0</v>
      </c>
      <c r="S148" s="350">
        <f t="shared" si="1342"/>
        <v>0</v>
      </c>
      <c r="T148" s="343" t="s">
        <v>332</v>
      </c>
      <c r="U148" s="350" t="s">
        <v>535</v>
      </c>
      <c r="V148" s="343">
        <v>35</v>
      </c>
      <c r="W148" s="343" t="str">
        <f t="shared" si="1343"/>
        <v>3.5C X 35</v>
      </c>
      <c r="X148" s="343" t="str">
        <f t="shared" si="1344"/>
        <v>3.5C X 35</v>
      </c>
      <c r="Y148" s="343" t="s">
        <v>358</v>
      </c>
      <c r="Z148" s="344">
        <f>IF(T148="AIR",VLOOKUP(W148,'Catalogue Aluminium'!$B$9:$G$93,2,FALSE),IF(T148="GROUND",VLOOKUP(W148,'Catalogue Aluminium'!$B$9:$G$93,3,FALSE),IF(T148="DUCT",VLOOKUP(W148,'Catalogue Aluminium'!$B$9:$G$93,4,FALSE),IF(T148="TRENCH",VLOOKUP(W148,'Catalogue Aluminium'!$B$9:$G$93,2,FALSE)))))</f>
        <v>117</v>
      </c>
      <c r="AA148" s="345">
        <f>VLOOKUP(W148,'Catalogue Aluminium'!$B$9:$G$93,5,FALSE)</f>
        <v>1.1100000000000001</v>
      </c>
      <c r="AB148" s="345">
        <f>VLOOKUP(W148,'Catalogue Aluminium'!$B$9:$G$93,6,FALSE)</f>
        <v>7.9399999999999998E-2</v>
      </c>
      <c r="AC148" s="343">
        <f t="shared" si="1345"/>
        <v>23</v>
      </c>
      <c r="AD148" s="343">
        <f>12+58+20+41+2</f>
        <v>133</v>
      </c>
      <c r="AE148" s="343">
        <v>10</v>
      </c>
      <c r="AF148" s="343">
        <v>8</v>
      </c>
      <c r="AG148" s="343">
        <f t="shared" si="1346"/>
        <v>18</v>
      </c>
      <c r="AH148" s="347">
        <f t="shared" si="1347"/>
        <v>192</v>
      </c>
      <c r="AI148" s="344">
        <f>IF(T148="AIR",'Catalogue Aluminium'!$K$9,IF(T148="TRENCH",'Catalogue Aluminium'!$K$12,"NA"))</f>
        <v>0.89</v>
      </c>
      <c r="AJ148" s="342">
        <f>IF(T148="Air",(IF(U148="1C",'Catalogue Aluminium'!$L$9,'Catalogue Aluminium'!$M$9)),IF(T148="DUCT",(IF($U148="1C",'Catalogue Aluminium'!$L$10,'Catalogue Aluminium'!$M$10)),IF(T148="GROUND",(IF($U148="1C",'Catalogue Aluminium'!$L$11,'Catalogue Aluminium'!$M$11)),IF(T148="TRENCH",(IF($U148="1C",'Catalogue Aluminium'!$L$12,'Catalogue Aluminium'!$M$12))))))</f>
        <v>0.66</v>
      </c>
      <c r="AK148" s="344" t="str">
        <f>IF(T148="Air",'Catalogue Aluminium'!$N$9,IF(T148="GROUND",'Catalogue Aluminium'!$N$10,IF(T148="DUCT",'Catalogue Aluminium'!$N$11,IF(T148="TRENCH",'Catalogue Aluminium'!$N$12,"NA"))))</f>
        <v>NA</v>
      </c>
      <c r="AL148" s="344" t="str">
        <f>IF(T148="Air",(IF(U148="1C",'Catalogue Aluminium'!$O$9,'Catalogue Aluminium'!$P$9)),IF(T148="DUCT",(IF($U148="1C",'Catalogue Aluminium'!$O$10,'Catalogue Aluminium'!$P$10)),IF(T148="GROUND",(IF($U148="1C",'Catalogue Aluminium'!$O$11,'Catalogue Aluminium'!$P$11)),IF(T148="TRENCH",(IF($U148="1C",'Catalogue Aluminium'!$O$12,'Catalogue Aluminium'!$P$12))))))</f>
        <v>NA</v>
      </c>
      <c r="AM148" s="344" t="str">
        <f>IF(T148="AIR","NA",IF(T148="TRENCH","NA",IF(T148="DUCT",IF(U148="1C",VLOOKUP(V148,'Catalogue Aluminium'!$Q$9:$S$28,2,FALSE),VLOOKUP(V148,'Catalogue Aluminium'!$Q$9:$S$28,3)),IF(T148="GROUND",IF(U148="1C",VLOOKUP(V148,'Catalogue Aluminium'!$Q$9:$S$28,2,FALSE),VLOOKUP(V148,'Catalogue Aluminium'!$Q$9:$S$28,3))))))</f>
        <v>NA</v>
      </c>
      <c r="AN148" s="351">
        <f t="shared" si="1348"/>
        <v>0.58740000000000003</v>
      </c>
      <c r="AO148" s="350">
        <f t="shared" si="1349"/>
        <v>68.725800000000007</v>
      </c>
      <c r="AP148" s="349">
        <f t="shared" si="1350"/>
        <v>1</v>
      </c>
      <c r="AQ148" s="350" t="str">
        <f t="shared" si="1351"/>
        <v>YES</v>
      </c>
      <c r="AR148" s="351">
        <f t="shared" si="1352"/>
        <v>0.73182830000337484</v>
      </c>
      <c r="AS148" s="343" t="str">
        <f t="shared" si="1353"/>
        <v>YES</v>
      </c>
      <c r="AT148" s="351" t="str">
        <f t="shared" si="1354"/>
        <v>NA</v>
      </c>
      <c r="AU148" s="343" t="str">
        <f t="shared" si="1355"/>
        <v>NA</v>
      </c>
      <c r="AV148" s="354" t="str">
        <f t="shared" si="1356"/>
        <v>1R x 0.6/1kV x 3.5C x 35 Sqmm</v>
      </c>
      <c r="AW148" s="354" t="str">
        <f t="shared" si="1357"/>
        <v>1R x 0.6/1kV x 3.5C x 35 Sqmm</v>
      </c>
      <c r="AX148" s="343">
        <f t="shared" si="1358"/>
        <v>192</v>
      </c>
      <c r="AY148" s="355"/>
      <c r="AZ148" s="355">
        <f t="shared" si="1359"/>
        <v>2</v>
      </c>
      <c r="BA148" s="356" t="str">
        <f t="shared" si="1360"/>
        <v>Q3RR1R2SS.B</v>
      </c>
      <c r="BB148" s="501">
        <f>VLOOKUP(W148,'Catalogue Aluminium'!$B$9:$H$93,7,FALSE)</f>
        <v>27</v>
      </c>
      <c r="BC148" s="328">
        <f t="shared" si="1361"/>
        <v>27</v>
      </c>
      <c r="BE148" s="336"/>
      <c r="BF148" s="336"/>
      <c r="BG148" s="336"/>
      <c r="BH148" s="336"/>
      <c r="BI148" s="336"/>
      <c r="BJ148" s="336"/>
      <c r="BK148" s="336"/>
      <c r="BL148" s="336"/>
      <c r="BM148" s="336"/>
      <c r="BN148" s="336"/>
      <c r="BO148" s="336"/>
      <c r="BP148" s="336"/>
      <c r="BQ148" s="336"/>
      <c r="BR148" s="336"/>
      <c r="BS148" s="336"/>
      <c r="BT148" s="336"/>
      <c r="BU148" s="336"/>
      <c r="BV148" s="336"/>
      <c r="BW148" s="336"/>
      <c r="BX148" s="336"/>
      <c r="BY148" s="336"/>
      <c r="BZ148" s="336"/>
      <c r="CA148" s="336"/>
      <c r="CB148" s="336"/>
      <c r="CC148" s="336"/>
      <c r="CD148" s="336"/>
      <c r="CE148" s="336"/>
      <c r="CF148" s="336"/>
      <c r="CG148" s="336"/>
      <c r="CH148" s="336"/>
      <c r="CI148" s="336"/>
      <c r="CJ148" s="336"/>
      <c r="CK148" s="336"/>
      <c r="CL148" s="336"/>
      <c r="CM148" s="336"/>
      <c r="CN148" s="336"/>
      <c r="CO148" s="336"/>
      <c r="CP148" s="336"/>
      <c r="CQ148" s="336"/>
      <c r="CR148" s="336"/>
      <c r="CS148" s="336"/>
      <c r="CT148" s="336"/>
      <c r="CU148" s="336"/>
      <c r="CV148" s="336"/>
      <c r="CW148" s="336"/>
      <c r="CX148" s="336"/>
      <c r="CY148" s="336"/>
      <c r="CZ148" s="336"/>
      <c r="DA148" s="336">
        <v>1</v>
      </c>
      <c r="DB148" s="336"/>
      <c r="DC148" s="336"/>
      <c r="DD148" s="336"/>
      <c r="DE148" s="336"/>
      <c r="DF148" s="336"/>
      <c r="DG148" s="336">
        <v>1</v>
      </c>
      <c r="DH148" s="336">
        <v>1</v>
      </c>
      <c r="DI148" s="336">
        <v>1</v>
      </c>
      <c r="DJ148" s="336"/>
      <c r="DK148" s="336"/>
      <c r="DL148" s="336">
        <v>1</v>
      </c>
      <c r="DM148" s="336"/>
      <c r="DN148" s="336">
        <v>1</v>
      </c>
      <c r="DO148" s="336"/>
      <c r="DP148" s="336"/>
      <c r="DQ148" s="336"/>
      <c r="DR148" s="336"/>
      <c r="DS148" s="336"/>
      <c r="DT148" s="336"/>
      <c r="DU148" s="336"/>
      <c r="DW148" s="336">
        <f t="shared" si="1286"/>
        <v>0</v>
      </c>
      <c r="DX148" s="336">
        <f t="shared" si="1287"/>
        <v>0</v>
      </c>
      <c r="DY148" s="336">
        <f t="shared" si="1288"/>
        <v>0</v>
      </c>
      <c r="DZ148" s="336">
        <f t="shared" si="1289"/>
        <v>0</v>
      </c>
      <c r="EA148" s="336">
        <f t="shared" si="1290"/>
        <v>0</v>
      </c>
      <c r="EB148" s="336">
        <f t="shared" si="1291"/>
        <v>0</v>
      </c>
      <c r="EC148" s="336">
        <f t="shared" si="1292"/>
        <v>0</v>
      </c>
      <c r="ED148" s="336">
        <f t="shared" si="1293"/>
        <v>0</v>
      </c>
      <c r="EE148" s="336">
        <f t="shared" si="1294"/>
        <v>0</v>
      </c>
      <c r="EF148" s="336">
        <f t="shared" si="1295"/>
        <v>0</v>
      </c>
      <c r="EG148" s="336">
        <f t="shared" si="1296"/>
        <v>0</v>
      </c>
      <c r="EH148" s="336">
        <f t="shared" si="1297"/>
        <v>0</v>
      </c>
      <c r="EI148" s="336">
        <f t="shared" si="1298"/>
        <v>0</v>
      </c>
      <c r="EJ148" s="336">
        <f t="shared" si="1299"/>
        <v>0</v>
      </c>
      <c r="EK148" s="336">
        <f t="shared" si="1300"/>
        <v>0</v>
      </c>
      <c r="EL148" s="336">
        <f t="shared" si="1301"/>
        <v>0</v>
      </c>
      <c r="EM148" s="336">
        <f t="shared" si="1302"/>
        <v>0</v>
      </c>
      <c r="EN148" s="336">
        <f t="shared" si="1303"/>
        <v>0</v>
      </c>
      <c r="EO148" s="336">
        <f t="shared" si="1304"/>
        <v>0</v>
      </c>
      <c r="EP148" s="336">
        <f t="shared" si="1305"/>
        <v>0</v>
      </c>
      <c r="EQ148" s="336">
        <f t="shared" si="1306"/>
        <v>0</v>
      </c>
      <c r="ER148" s="336">
        <f t="shared" si="1307"/>
        <v>0</v>
      </c>
      <c r="ES148" s="336">
        <f t="shared" si="1308"/>
        <v>0</v>
      </c>
      <c r="ET148" s="336">
        <f t="shared" si="1308"/>
        <v>0</v>
      </c>
      <c r="EU148" s="336">
        <f t="shared" si="1309"/>
        <v>0</v>
      </c>
      <c r="EV148" s="336">
        <f t="shared" si="1310"/>
        <v>0</v>
      </c>
      <c r="EW148" s="336">
        <f t="shared" si="1311"/>
        <v>0</v>
      </c>
      <c r="EX148" s="336">
        <f t="shared" si="1312"/>
        <v>0</v>
      </c>
      <c r="EY148" s="336">
        <f t="shared" si="1313"/>
        <v>0</v>
      </c>
      <c r="EZ148" s="336">
        <f t="shared" si="1314"/>
        <v>0</v>
      </c>
      <c r="FA148" s="336">
        <f t="shared" si="1315"/>
        <v>0</v>
      </c>
      <c r="FB148" s="336">
        <f t="shared" si="1316"/>
        <v>0</v>
      </c>
      <c r="FC148" s="336">
        <f t="shared" si="1317"/>
        <v>0</v>
      </c>
      <c r="FD148" s="336">
        <f t="shared" si="1318"/>
        <v>0</v>
      </c>
      <c r="FE148" s="336">
        <f t="shared" si="1319"/>
        <v>0</v>
      </c>
      <c r="FF148" s="336">
        <f t="shared" si="1320"/>
        <v>0</v>
      </c>
      <c r="FG148" s="336">
        <f t="shared" si="1321"/>
        <v>0</v>
      </c>
      <c r="FH148" s="336">
        <f t="shared" si="1322"/>
        <v>0</v>
      </c>
      <c r="FI148" s="336">
        <f t="shared" si="1323"/>
        <v>0</v>
      </c>
      <c r="FJ148" s="336">
        <f t="shared" si="1324"/>
        <v>0</v>
      </c>
      <c r="FK148" s="336">
        <f t="shared" si="1325"/>
        <v>0</v>
      </c>
      <c r="FL148" s="336">
        <f t="shared" si="1326"/>
        <v>0</v>
      </c>
      <c r="FM148" s="336">
        <f t="shared" si="1327"/>
        <v>0</v>
      </c>
      <c r="FN148" s="336">
        <f t="shared" si="1328"/>
        <v>0</v>
      </c>
      <c r="FO148" s="336">
        <f t="shared" si="1329"/>
        <v>0</v>
      </c>
      <c r="FP148" s="336">
        <f t="shared" si="1330"/>
        <v>0</v>
      </c>
      <c r="FQ148" s="336">
        <f t="shared" si="1331"/>
        <v>0</v>
      </c>
      <c r="FR148" s="336">
        <f t="shared" si="1332"/>
        <v>0</v>
      </c>
      <c r="FS148" s="336">
        <f t="shared" si="1333"/>
        <v>27</v>
      </c>
      <c r="FT148" s="336">
        <f t="shared" si="1334"/>
        <v>0</v>
      </c>
      <c r="FU148" s="336">
        <f t="shared" si="1222"/>
        <v>0</v>
      </c>
      <c r="FV148" s="336">
        <f t="shared" si="1223"/>
        <v>0</v>
      </c>
      <c r="FW148" s="336">
        <f t="shared" si="1224"/>
        <v>0</v>
      </c>
      <c r="FX148" s="336">
        <f t="shared" si="1225"/>
        <v>0</v>
      </c>
      <c r="FY148" s="336">
        <f t="shared" si="948"/>
        <v>27</v>
      </c>
      <c r="FZ148" s="336">
        <f t="shared" si="949"/>
        <v>27</v>
      </c>
      <c r="GA148" s="336">
        <f t="shared" si="950"/>
        <v>27</v>
      </c>
      <c r="GB148" s="336">
        <f t="shared" si="951"/>
        <v>0</v>
      </c>
      <c r="GC148" s="336">
        <f t="shared" si="952"/>
        <v>0</v>
      </c>
      <c r="GD148" s="336">
        <f t="shared" si="953"/>
        <v>27</v>
      </c>
      <c r="GE148" s="336">
        <f t="shared" si="954"/>
        <v>0</v>
      </c>
      <c r="GF148" s="336">
        <f t="shared" si="955"/>
        <v>27</v>
      </c>
      <c r="GG148" s="336">
        <f t="shared" si="956"/>
        <v>0</v>
      </c>
      <c r="GH148" s="336">
        <f t="shared" si="957"/>
        <v>0</v>
      </c>
      <c r="GI148" s="336">
        <f t="shared" si="958"/>
        <v>0</v>
      </c>
      <c r="GJ148" s="336">
        <f t="shared" si="959"/>
        <v>0</v>
      </c>
      <c r="GK148" s="336">
        <f t="shared" si="960"/>
        <v>0</v>
      </c>
      <c r="GL148" s="336">
        <f t="shared" si="1226"/>
        <v>0</v>
      </c>
      <c r="GM148" s="336">
        <f t="shared" si="961"/>
        <v>0</v>
      </c>
    </row>
    <row r="149" spans="1:195">
      <c r="A149" s="337">
        <f t="shared" si="1362"/>
        <v>113</v>
      </c>
      <c r="B149" s="567" t="s">
        <v>1284</v>
      </c>
      <c r="C149" s="372" t="s">
        <v>1278</v>
      </c>
      <c r="D149" s="567" t="s">
        <v>1285</v>
      </c>
      <c r="E149" s="440" t="s">
        <v>1219</v>
      </c>
      <c r="F149" s="372"/>
      <c r="G149" s="337" t="s">
        <v>329</v>
      </c>
      <c r="H149" s="350">
        <v>5</v>
      </c>
      <c r="I149" s="337" t="s">
        <v>330</v>
      </c>
      <c r="J149" s="337" t="s">
        <v>331</v>
      </c>
      <c r="K149" s="343">
        <v>400</v>
      </c>
      <c r="L149" s="343">
        <v>0.85000000000000009</v>
      </c>
      <c r="M149" s="350">
        <v>0.95042105263157861</v>
      </c>
      <c r="N149" s="342">
        <f t="shared" si="1339"/>
        <v>8.9336133449992658</v>
      </c>
      <c r="O149" s="342">
        <f t="shared" si="1340"/>
        <v>0</v>
      </c>
      <c r="P149" s="343" t="str">
        <f t="shared" si="1341"/>
        <v>0.00</v>
      </c>
      <c r="Q149" s="350">
        <v>65</v>
      </c>
      <c r="R149" s="350">
        <v>0</v>
      </c>
      <c r="S149" s="350">
        <f t="shared" si="1342"/>
        <v>0</v>
      </c>
      <c r="T149" s="343" t="s">
        <v>332</v>
      </c>
      <c r="U149" s="350" t="s">
        <v>535</v>
      </c>
      <c r="V149" s="343">
        <v>35</v>
      </c>
      <c r="W149" s="343" t="str">
        <f t="shared" si="1343"/>
        <v>3.5C X 35</v>
      </c>
      <c r="X149" s="343" t="str">
        <f t="shared" si="1344"/>
        <v>3.5C X 35</v>
      </c>
      <c r="Y149" s="343" t="s">
        <v>358</v>
      </c>
      <c r="Z149" s="344">
        <f>IF(T149="AIR",VLOOKUP(W149,'Catalogue Aluminium'!$B$9:$G$93,2,FALSE),IF(T149="GROUND",VLOOKUP(W149,'Catalogue Aluminium'!$B$9:$G$93,3,FALSE),IF(T149="DUCT",VLOOKUP(W149,'Catalogue Aluminium'!$B$9:$G$93,4,FALSE),IF(T149="TRENCH",VLOOKUP(W149,'Catalogue Aluminium'!$B$9:$G$93,2,FALSE)))))</f>
        <v>117</v>
      </c>
      <c r="AA149" s="345">
        <f>VLOOKUP(W149,'Catalogue Aluminium'!$B$9:$G$93,5,FALSE)</f>
        <v>1.1100000000000001</v>
      </c>
      <c r="AB149" s="345">
        <f>VLOOKUP(W149,'Catalogue Aluminium'!$B$9:$G$93,6,FALSE)</f>
        <v>7.9399999999999998E-2</v>
      </c>
      <c r="AC149" s="343">
        <f t="shared" si="1345"/>
        <v>23</v>
      </c>
      <c r="AD149" s="343">
        <f>12+58+20+41+2+10</f>
        <v>143</v>
      </c>
      <c r="AE149" s="343">
        <v>10</v>
      </c>
      <c r="AF149" s="343">
        <v>8</v>
      </c>
      <c r="AG149" s="343">
        <f t="shared" si="1346"/>
        <v>19</v>
      </c>
      <c r="AH149" s="347">
        <f t="shared" si="1347"/>
        <v>203</v>
      </c>
      <c r="AI149" s="344">
        <f>IF(T149="AIR",'Catalogue Aluminium'!$K$9,IF(T149="TRENCH",'Catalogue Aluminium'!$K$12,"NA"))</f>
        <v>0.89</v>
      </c>
      <c r="AJ149" s="342">
        <f>IF(T149="Air",(IF(U149="1C",'Catalogue Aluminium'!$L$9,'Catalogue Aluminium'!$M$9)),IF(T149="DUCT",(IF($U149="1C",'Catalogue Aluminium'!$L$10,'Catalogue Aluminium'!$M$10)),IF(T149="GROUND",(IF($U149="1C",'Catalogue Aluminium'!$L$11,'Catalogue Aluminium'!$M$11)),IF(T149="TRENCH",(IF($U149="1C",'Catalogue Aluminium'!$L$12,'Catalogue Aluminium'!$M$12))))))</f>
        <v>0.66</v>
      </c>
      <c r="AK149" s="344" t="str">
        <f>IF(T149="Air",'Catalogue Aluminium'!$N$9,IF(T149="GROUND",'Catalogue Aluminium'!$N$10,IF(T149="DUCT",'Catalogue Aluminium'!$N$11,IF(T149="TRENCH",'Catalogue Aluminium'!$N$12,"NA"))))</f>
        <v>NA</v>
      </c>
      <c r="AL149" s="344" t="str">
        <f>IF(T149="Air",(IF(U149="1C",'Catalogue Aluminium'!$O$9,'Catalogue Aluminium'!$P$9)),IF(T149="DUCT",(IF($U149="1C",'Catalogue Aluminium'!$O$10,'Catalogue Aluminium'!$P$10)),IF(T149="GROUND",(IF($U149="1C",'Catalogue Aluminium'!$O$11,'Catalogue Aluminium'!$P$11)),IF(T149="TRENCH",(IF($U149="1C",'Catalogue Aluminium'!$O$12,'Catalogue Aluminium'!$P$12))))))</f>
        <v>NA</v>
      </c>
      <c r="AM149" s="344" t="str">
        <f>IF(T149="AIR","NA",IF(T149="TRENCH","NA",IF(T149="DUCT",IF(U149="1C",VLOOKUP(V149,'Catalogue Aluminium'!$Q$9:$S$28,2,FALSE),VLOOKUP(V149,'Catalogue Aluminium'!$Q$9:$S$28,3)),IF(T149="GROUND",IF(U149="1C",VLOOKUP(V149,'Catalogue Aluminium'!$Q$9:$S$28,2,FALSE),VLOOKUP(V149,'Catalogue Aluminium'!$Q$9:$S$28,3))))))</f>
        <v>NA</v>
      </c>
      <c r="AN149" s="351">
        <f t="shared" si="1348"/>
        <v>0.58740000000000003</v>
      </c>
      <c r="AO149" s="350">
        <f t="shared" si="1349"/>
        <v>68.725800000000007</v>
      </c>
      <c r="AP149" s="349">
        <f t="shared" si="1350"/>
        <v>1</v>
      </c>
      <c r="AQ149" s="350" t="str">
        <f t="shared" si="1351"/>
        <v>YES</v>
      </c>
      <c r="AR149" s="351">
        <f t="shared" si="1352"/>
        <v>0.77375596302440153</v>
      </c>
      <c r="AS149" s="343" t="str">
        <f t="shared" si="1353"/>
        <v>YES</v>
      </c>
      <c r="AT149" s="351" t="str">
        <f t="shared" si="1354"/>
        <v>NA</v>
      </c>
      <c r="AU149" s="343" t="str">
        <f t="shared" si="1355"/>
        <v>NA</v>
      </c>
      <c r="AV149" s="354" t="str">
        <f t="shared" si="1356"/>
        <v>1R x 0.6/1kV x 3.5C x 35 Sqmm</v>
      </c>
      <c r="AW149" s="354" t="str">
        <f t="shared" si="1357"/>
        <v>1R x 0.6/1kV x 3.5C x 35 Sqmm</v>
      </c>
      <c r="AX149" s="343">
        <f t="shared" si="1358"/>
        <v>203</v>
      </c>
      <c r="AY149" s="355"/>
      <c r="AZ149" s="355">
        <f t="shared" si="1359"/>
        <v>2</v>
      </c>
      <c r="BA149" s="356" t="str">
        <f t="shared" si="1360"/>
        <v>Q3RR1R2SS.B</v>
      </c>
      <c r="BB149" s="501">
        <f>VLOOKUP(W149,'Catalogue Aluminium'!$B$9:$H$93,7,FALSE)</f>
        <v>27</v>
      </c>
      <c r="BC149" s="328">
        <f t="shared" si="1361"/>
        <v>27</v>
      </c>
      <c r="BE149" s="336"/>
      <c r="BF149" s="336"/>
      <c r="BG149" s="336"/>
      <c r="BH149" s="336"/>
      <c r="BI149" s="336"/>
      <c r="BJ149" s="336"/>
      <c r="BK149" s="336"/>
      <c r="BL149" s="336"/>
      <c r="BM149" s="336"/>
      <c r="BN149" s="336"/>
      <c r="BO149" s="336"/>
      <c r="BP149" s="336"/>
      <c r="BQ149" s="336"/>
      <c r="BR149" s="336"/>
      <c r="BS149" s="336"/>
      <c r="BT149" s="336"/>
      <c r="BU149" s="336"/>
      <c r="BV149" s="336"/>
      <c r="BW149" s="336"/>
      <c r="BX149" s="336"/>
      <c r="BY149" s="336"/>
      <c r="BZ149" s="336"/>
      <c r="CA149" s="336"/>
      <c r="CB149" s="336"/>
      <c r="CC149" s="336"/>
      <c r="CD149" s="336"/>
      <c r="CE149" s="336"/>
      <c r="CF149" s="336"/>
      <c r="CG149" s="336"/>
      <c r="CH149" s="336"/>
      <c r="CI149" s="336"/>
      <c r="CJ149" s="336"/>
      <c r="CK149" s="336"/>
      <c r="CL149" s="336"/>
      <c r="CM149" s="336"/>
      <c r="CN149" s="336"/>
      <c r="CO149" s="336"/>
      <c r="CP149" s="336"/>
      <c r="CQ149" s="336"/>
      <c r="CR149" s="336"/>
      <c r="CS149" s="336"/>
      <c r="CT149" s="336"/>
      <c r="CU149" s="336"/>
      <c r="CV149" s="336"/>
      <c r="CW149" s="336"/>
      <c r="CX149" s="336"/>
      <c r="CY149" s="336"/>
      <c r="CZ149" s="336"/>
      <c r="DA149" s="336">
        <v>1</v>
      </c>
      <c r="DB149" s="336"/>
      <c r="DC149" s="336"/>
      <c r="DD149" s="336"/>
      <c r="DE149" s="336"/>
      <c r="DF149" s="336"/>
      <c r="DG149" s="336">
        <v>1</v>
      </c>
      <c r="DH149" s="336">
        <v>1</v>
      </c>
      <c r="DI149" s="336">
        <v>1</v>
      </c>
      <c r="DJ149" s="336"/>
      <c r="DK149" s="336"/>
      <c r="DL149" s="336">
        <v>1</v>
      </c>
      <c r="DM149" s="336"/>
      <c r="DN149" s="336">
        <v>1</v>
      </c>
      <c r="DO149" s="336"/>
      <c r="DP149" s="336"/>
      <c r="DQ149" s="336"/>
      <c r="DR149" s="336"/>
      <c r="DS149" s="336"/>
      <c r="DT149" s="336"/>
      <c r="DU149" s="336"/>
      <c r="DW149" s="336">
        <f t="shared" si="1286"/>
        <v>0</v>
      </c>
      <c r="DX149" s="336">
        <f t="shared" si="1287"/>
        <v>0</v>
      </c>
      <c r="DY149" s="336">
        <f t="shared" si="1288"/>
        <v>0</v>
      </c>
      <c r="DZ149" s="336">
        <f t="shared" si="1289"/>
        <v>0</v>
      </c>
      <c r="EA149" s="336">
        <f t="shared" si="1290"/>
        <v>0</v>
      </c>
      <c r="EB149" s="336">
        <f t="shared" si="1291"/>
        <v>0</v>
      </c>
      <c r="EC149" s="336">
        <f t="shared" si="1292"/>
        <v>0</v>
      </c>
      <c r="ED149" s="336">
        <f t="shared" si="1293"/>
        <v>0</v>
      </c>
      <c r="EE149" s="336">
        <f t="shared" si="1294"/>
        <v>0</v>
      </c>
      <c r="EF149" s="336">
        <f t="shared" si="1295"/>
        <v>0</v>
      </c>
      <c r="EG149" s="336">
        <f t="shared" si="1296"/>
        <v>0</v>
      </c>
      <c r="EH149" s="336">
        <f t="shared" si="1297"/>
        <v>0</v>
      </c>
      <c r="EI149" s="336">
        <f t="shared" si="1298"/>
        <v>0</v>
      </c>
      <c r="EJ149" s="336">
        <f t="shared" si="1299"/>
        <v>0</v>
      </c>
      <c r="EK149" s="336">
        <f t="shared" si="1300"/>
        <v>0</v>
      </c>
      <c r="EL149" s="336">
        <f t="shared" si="1301"/>
        <v>0</v>
      </c>
      <c r="EM149" s="336">
        <f t="shared" si="1302"/>
        <v>0</v>
      </c>
      <c r="EN149" s="336">
        <f t="shared" si="1303"/>
        <v>0</v>
      </c>
      <c r="EO149" s="336">
        <f t="shared" si="1304"/>
        <v>0</v>
      </c>
      <c r="EP149" s="336">
        <f t="shared" si="1305"/>
        <v>0</v>
      </c>
      <c r="EQ149" s="336">
        <f t="shared" si="1306"/>
        <v>0</v>
      </c>
      <c r="ER149" s="336">
        <f t="shared" si="1307"/>
        <v>0</v>
      </c>
      <c r="ES149" s="336">
        <f t="shared" si="1308"/>
        <v>0</v>
      </c>
      <c r="ET149" s="336">
        <f t="shared" si="1308"/>
        <v>0</v>
      </c>
      <c r="EU149" s="336">
        <f t="shared" si="1309"/>
        <v>0</v>
      </c>
      <c r="EV149" s="336">
        <f t="shared" si="1310"/>
        <v>0</v>
      </c>
      <c r="EW149" s="336">
        <f t="shared" si="1311"/>
        <v>0</v>
      </c>
      <c r="EX149" s="336">
        <f t="shared" si="1312"/>
        <v>0</v>
      </c>
      <c r="EY149" s="336">
        <f t="shared" si="1313"/>
        <v>0</v>
      </c>
      <c r="EZ149" s="336">
        <f t="shared" si="1314"/>
        <v>0</v>
      </c>
      <c r="FA149" s="336">
        <f t="shared" si="1315"/>
        <v>0</v>
      </c>
      <c r="FB149" s="336">
        <f t="shared" si="1316"/>
        <v>0</v>
      </c>
      <c r="FC149" s="336">
        <f t="shared" si="1317"/>
        <v>0</v>
      </c>
      <c r="FD149" s="336">
        <f t="shared" si="1318"/>
        <v>0</v>
      </c>
      <c r="FE149" s="336">
        <f t="shared" si="1319"/>
        <v>0</v>
      </c>
      <c r="FF149" s="336">
        <f t="shared" si="1320"/>
        <v>0</v>
      </c>
      <c r="FG149" s="336">
        <f t="shared" si="1321"/>
        <v>0</v>
      </c>
      <c r="FH149" s="336">
        <f t="shared" si="1322"/>
        <v>0</v>
      </c>
      <c r="FI149" s="336">
        <f t="shared" si="1323"/>
        <v>0</v>
      </c>
      <c r="FJ149" s="336">
        <f t="shared" si="1324"/>
        <v>0</v>
      </c>
      <c r="FK149" s="336">
        <f t="shared" si="1325"/>
        <v>0</v>
      </c>
      <c r="FL149" s="336">
        <f t="shared" si="1326"/>
        <v>0</v>
      </c>
      <c r="FM149" s="336">
        <f t="shared" si="1327"/>
        <v>0</v>
      </c>
      <c r="FN149" s="336">
        <f t="shared" si="1328"/>
        <v>0</v>
      </c>
      <c r="FO149" s="336">
        <f t="shared" si="1329"/>
        <v>0</v>
      </c>
      <c r="FP149" s="336">
        <f t="shared" si="1330"/>
        <v>0</v>
      </c>
      <c r="FQ149" s="336">
        <f t="shared" si="1331"/>
        <v>0</v>
      </c>
      <c r="FR149" s="336">
        <f t="shared" si="1332"/>
        <v>0</v>
      </c>
      <c r="FS149" s="336">
        <f t="shared" si="1333"/>
        <v>27</v>
      </c>
      <c r="FT149" s="336">
        <f t="shared" si="1334"/>
        <v>0</v>
      </c>
      <c r="FU149" s="336">
        <f t="shared" si="1222"/>
        <v>0</v>
      </c>
      <c r="FV149" s="336">
        <f t="shared" si="1223"/>
        <v>0</v>
      </c>
      <c r="FW149" s="336">
        <f t="shared" si="1224"/>
        <v>0</v>
      </c>
      <c r="FX149" s="336">
        <f t="shared" si="1225"/>
        <v>0</v>
      </c>
      <c r="FY149" s="336">
        <f t="shared" si="948"/>
        <v>27</v>
      </c>
      <c r="FZ149" s="336">
        <f t="shared" si="949"/>
        <v>27</v>
      </c>
      <c r="GA149" s="336">
        <f t="shared" si="950"/>
        <v>27</v>
      </c>
      <c r="GB149" s="336">
        <f t="shared" si="951"/>
        <v>0</v>
      </c>
      <c r="GC149" s="336">
        <f t="shared" si="952"/>
        <v>0</v>
      </c>
      <c r="GD149" s="336">
        <f t="shared" si="953"/>
        <v>27</v>
      </c>
      <c r="GE149" s="336">
        <f t="shared" si="954"/>
        <v>0</v>
      </c>
      <c r="GF149" s="336">
        <f t="shared" si="955"/>
        <v>27</v>
      </c>
      <c r="GG149" s="336">
        <f t="shared" si="956"/>
        <v>0</v>
      </c>
      <c r="GH149" s="336">
        <f t="shared" si="957"/>
        <v>0</v>
      </c>
      <c r="GI149" s="336">
        <f t="shared" si="958"/>
        <v>0</v>
      </c>
      <c r="GJ149" s="336">
        <f t="shared" si="959"/>
        <v>0</v>
      </c>
      <c r="GK149" s="336">
        <f t="shared" si="960"/>
        <v>0</v>
      </c>
      <c r="GL149" s="336">
        <f t="shared" si="1226"/>
        <v>0</v>
      </c>
      <c r="GM149" s="336">
        <f t="shared" si="961"/>
        <v>0</v>
      </c>
    </row>
    <row r="150" spans="1:195" ht="25.5">
      <c r="A150" s="337">
        <f t="shared" si="1362"/>
        <v>114</v>
      </c>
      <c r="B150" s="567" t="s">
        <v>1286</v>
      </c>
      <c r="C150" s="372" t="s">
        <v>1278</v>
      </c>
      <c r="D150" s="567" t="s">
        <v>1287</v>
      </c>
      <c r="E150" s="440" t="s">
        <v>1222</v>
      </c>
      <c r="F150" s="372"/>
      <c r="G150" s="337" t="s">
        <v>329</v>
      </c>
      <c r="H150" s="350">
        <v>5</v>
      </c>
      <c r="I150" s="337" t="s">
        <v>330</v>
      </c>
      <c r="J150" s="337" t="s">
        <v>331</v>
      </c>
      <c r="K150" s="343">
        <v>400</v>
      </c>
      <c r="L150" s="343">
        <v>0.85000000000000009</v>
      </c>
      <c r="M150" s="350">
        <v>0.95042105263157861</v>
      </c>
      <c r="N150" s="342">
        <f t="shared" si="1339"/>
        <v>8.9336133449992658</v>
      </c>
      <c r="O150" s="342">
        <f>IF(G150="MOTOR",(6*N150),IF(G150="VFD",(1*N150),0))</f>
        <v>0</v>
      </c>
      <c r="P150" s="343" t="str">
        <f>IF(G150="MOTOR",0.2,"0.00")</f>
        <v>0.00</v>
      </c>
      <c r="Q150" s="350">
        <v>65</v>
      </c>
      <c r="R150" s="350">
        <v>0</v>
      </c>
      <c r="S150" s="350">
        <f>(Q150*1000*SQRT(R150)/143)</f>
        <v>0</v>
      </c>
      <c r="T150" s="343" t="s">
        <v>332</v>
      </c>
      <c r="U150" s="350" t="s">
        <v>535</v>
      </c>
      <c r="V150" s="343">
        <v>35</v>
      </c>
      <c r="W150" s="343" t="str">
        <f>CONCATENATE(U150," X ",V150)</f>
        <v>3.5C X 35</v>
      </c>
      <c r="X150" s="343" t="str">
        <f>(IF(J150="1Ph",W150,IF(J150="3Ph",(IF(G150="MOTOR",(CONCATENATE(W150,"+PE")),W150)))))</f>
        <v>3.5C X 35</v>
      </c>
      <c r="Y150" s="343" t="s">
        <v>358</v>
      </c>
      <c r="Z150" s="344">
        <f>IF(T150="AIR",VLOOKUP(W150,'Catalogue Aluminium'!$B$9:$G$93,2,FALSE),IF(T150="GROUND",VLOOKUP(W150,'Catalogue Aluminium'!$B$9:$G$93,3,FALSE),IF(T150="DUCT",VLOOKUP(W150,'Catalogue Aluminium'!$B$9:$G$93,4,FALSE),IF(T150="TRENCH",VLOOKUP(W150,'Catalogue Aluminium'!$B$9:$G$93,2,FALSE)))))</f>
        <v>117</v>
      </c>
      <c r="AA150" s="345">
        <f>VLOOKUP(W150,'Catalogue Aluminium'!$B$9:$G$93,5,FALSE)</f>
        <v>1.1100000000000001</v>
      </c>
      <c r="AB150" s="345">
        <f>VLOOKUP(W150,'Catalogue Aluminium'!$B$9:$G$93,6,FALSE)</f>
        <v>7.9399999999999998E-2</v>
      </c>
      <c r="AC150" s="343">
        <f t="shared" si="1345"/>
        <v>23</v>
      </c>
      <c r="AD150" s="343">
        <f>95</f>
        <v>95</v>
      </c>
      <c r="AE150" s="343">
        <v>10</v>
      </c>
      <c r="AF150" s="343">
        <v>8</v>
      </c>
      <c r="AG150" s="343">
        <f>ROUNDUP((SUM(AC150:AF150)*0.1),0)</f>
        <v>14</v>
      </c>
      <c r="AH150" s="347">
        <f t="shared" ref="AH150" si="1363">SUM(AC150:AG150)</f>
        <v>150</v>
      </c>
      <c r="AI150" s="344">
        <f>IF(T150="AIR",'Catalogue Aluminium'!$K$9,IF(T150="TRENCH",'Catalogue Aluminium'!$K$12,"NA"))</f>
        <v>0.89</v>
      </c>
      <c r="AJ150" s="342">
        <f>IF(T150="Air",(IF(U150="1C",'Catalogue Aluminium'!$L$9,'Catalogue Aluminium'!$M$9)),IF(T150="DUCT",(IF($U150="1C",'Catalogue Aluminium'!$L$10,'Catalogue Aluminium'!$M$10)),IF(T150="GROUND",(IF($U150="1C",'Catalogue Aluminium'!$L$11,'Catalogue Aluminium'!$M$11)),IF(T150="TRENCH",(IF($U150="1C",'Catalogue Aluminium'!$L$12,'Catalogue Aluminium'!$M$12))))))</f>
        <v>0.66</v>
      </c>
      <c r="AK150" s="344" t="str">
        <f>IF(T150="Air",'Catalogue Aluminium'!$N$9,IF(T150="GROUND",'Catalogue Aluminium'!$N$10,IF(T150="DUCT",'Catalogue Aluminium'!$N$11,IF(T150="TRENCH",'Catalogue Aluminium'!$N$12,"NA"))))</f>
        <v>NA</v>
      </c>
      <c r="AL150" s="344" t="str">
        <f>IF(T150="Air",(IF(U150="1C",'Catalogue Aluminium'!$O$9,'Catalogue Aluminium'!$P$9)),IF(T150="DUCT",(IF($U150="1C",'Catalogue Aluminium'!$O$10,'Catalogue Aluminium'!$P$10)),IF(T150="GROUND",(IF($U150="1C",'Catalogue Aluminium'!$O$11,'Catalogue Aluminium'!$P$11)),IF(T150="TRENCH",(IF($U150="1C",'Catalogue Aluminium'!$O$12,'Catalogue Aluminium'!$P$12))))))</f>
        <v>NA</v>
      </c>
      <c r="AM150" s="344" t="str">
        <f>IF(T150="AIR","NA",IF(T150="TRENCH","NA",IF(T150="DUCT",IF(U150="1C",VLOOKUP(V150,'Catalogue Aluminium'!$Q$9:$S$28,2,FALSE),VLOOKUP(V150,'Catalogue Aluminium'!$Q$9:$S$28,3)),IF(T150="GROUND",IF(U150="1C",VLOOKUP(V150,'Catalogue Aluminium'!$Q$9:$S$28,2,FALSE),VLOOKUP(V150,'Catalogue Aluminium'!$Q$9:$S$28,3))))))</f>
        <v>NA</v>
      </c>
      <c r="AN150" s="351">
        <f>IF(T150="AIR",AI150*AJ150,IF(T150="TRENCH",AI150*AJ150,IF(T150="DUCT",AJ150*AK150*AL150*AM150,IF(T150="GROUND",AJ150*AK150*AL150*AM150))))</f>
        <v>0.58740000000000003</v>
      </c>
      <c r="AO150" s="350">
        <f>Z150*AN150</f>
        <v>68.725800000000007</v>
      </c>
      <c r="AP150" s="349">
        <f>CEILING(((N150)/AO150),1)</f>
        <v>1</v>
      </c>
      <c r="AQ150" s="350" t="str">
        <f>IF(AO150*AP150&gt;=N150,"YES","NO")</f>
        <v>YES</v>
      </c>
      <c r="AR150" s="351">
        <f>SQRT(3)*AH150*N150*((AA150*L150)+(AB150*SIN(ACOS(L150))))*100/(AP150*K150*1000)</f>
        <v>0.57174085937763663</v>
      </c>
      <c r="AS150" s="343" t="str">
        <f t="shared" si="1353"/>
        <v>YES</v>
      </c>
      <c r="AT150" s="351" t="str">
        <f t="shared" si="1354"/>
        <v>NA</v>
      </c>
      <c r="AU150" s="343" t="str">
        <f t="shared" si="1355"/>
        <v>NA</v>
      </c>
      <c r="AV150" s="354" t="str">
        <f t="shared" si="1356"/>
        <v>1R x 0.6/1kV x 3.5C x 35 Sqmm</v>
      </c>
      <c r="AW150" s="354" t="str">
        <f t="shared" si="1357"/>
        <v>1R x 0.6/1kV x 3.5C x 35 Sqmm</v>
      </c>
      <c r="AX150" s="342">
        <f t="shared" si="1358"/>
        <v>150</v>
      </c>
      <c r="AY150" s="342"/>
      <c r="AZ150" s="342">
        <f t="shared" si="1359"/>
        <v>2</v>
      </c>
      <c r="BA150" s="356" t="str">
        <f t="shared" si="1360"/>
        <v>Q3RR1R1.A</v>
      </c>
      <c r="BB150" s="762">
        <f>VLOOKUP(W150,'Catalogue Aluminium'!$B$9:$H$93,7,FALSE)</f>
        <v>27</v>
      </c>
      <c r="BC150" s="762">
        <f t="shared" si="1361"/>
        <v>27</v>
      </c>
      <c r="BE150" s="336"/>
      <c r="BF150" s="336"/>
      <c r="BG150" s="336"/>
      <c r="BH150" s="336"/>
      <c r="BI150" s="336"/>
      <c r="BJ150" s="336"/>
      <c r="BK150" s="336"/>
      <c r="BL150" s="336"/>
      <c r="BM150" s="336"/>
      <c r="BN150" s="336"/>
      <c r="BO150" s="336"/>
      <c r="BP150" s="336"/>
      <c r="BQ150" s="336"/>
      <c r="BR150" s="336"/>
      <c r="BS150" s="336"/>
      <c r="BT150" s="336"/>
      <c r="BU150" s="336"/>
      <c r="BV150" s="336"/>
      <c r="BW150" s="336"/>
      <c r="BX150" s="336"/>
      <c r="BY150" s="336"/>
      <c r="BZ150" s="336"/>
      <c r="CA150" s="336"/>
      <c r="CB150" s="336"/>
      <c r="CC150" s="336"/>
      <c r="CD150" s="336"/>
      <c r="CE150" s="336"/>
      <c r="CF150" s="336"/>
      <c r="CG150" s="336"/>
      <c r="CH150" s="336"/>
      <c r="CI150" s="336"/>
      <c r="CJ150" s="336"/>
      <c r="CK150" s="336"/>
      <c r="CL150" s="336"/>
      <c r="CM150" s="336"/>
      <c r="CN150" s="336"/>
      <c r="CO150" s="336"/>
      <c r="CP150" s="336"/>
      <c r="CQ150" s="336"/>
      <c r="CR150" s="336"/>
      <c r="CS150" s="336"/>
      <c r="CT150" s="336"/>
      <c r="CU150" s="336"/>
      <c r="CV150" s="336"/>
      <c r="CW150" s="336"/>
      <c r="CX150" s="336"/>
      <c r="CY150" s="336"/>
      <c r="CZ150" s="336"/>
      <c r="DA150" s="336">
        <v>1</v>
      </c>
      <c r="DB150" s="336"/>
      <c r="DC150" s="336"/>
      <c r="DD150" s="336"/>
      <c r="DE150" s="336"/>
      <c r="DF150" s="336"/>
      <c r="DG150" s="336">
        <v>1</v>
      </c>
      <c r="DH150" s="336">
        <v>1</v>
      </c>
      <c r="DI150" s="336"/>
      <c r="DJ150" s="336">
        <v>1</v>
      </c>
      <c r="DK150" s="336"/>
      <c r="DL150" s="336"/>
      <c r="DM150" s="336"/>
      <c r="DN150" s="336"/>
      <c r="DO150" s="336"/>
      <c r="DP150" s="336"/>
      <c r="DQ150" s="336"/>
      <c r="DR150" s="336"/>
      <c r="DS150" s="336"/>
      <c r="DT150" s="336"/>
      <c r="DU150" s="336"/>
      <c r="DW150" s="336">
        <f t="shared" si="1286"/>
        <v>0</v>
      </c>
      <c r="DX150" s="336">
        <f t="shared" si="1287"/>
        <v>0</v>
      </c>
      <c r="DY150" s="336">
        <f t="shared" si="1288"/>
        <v>0</v>
      </c>
      <c r="DZ150" s="336">
        <f t="shared" si="1289"/>
        <v>0</v>
      </c>
      <c r="EA150" s="336">
        <f t="shared" si="1290"/>
        <v>0</v>
      </c>
      <c r="EB150" s="336">
        <f t="shared" si="1291"/>
        <v>0</v>
      </c>
      <c r="EC150" s="336">
        <f t="shared" si="1292"/>
        <v>0</v>
      </c>
      <c r="ED150" s="336">
        <f t="shared" si="1293"/>
        <v>0</v>
      </c>
      <c r="EE150" s="336">
        <f t="shared" si="1294"/>
        <v>0</v>
      </c>
      <c r="EF150" s="336">
        <f t="shared" si="1295"/>
        <v>0</v>
      </c>
      <c r="EG150" s="336">
        <f t="shared" si="1296"/>
        <v>0</v>
      </c>
      <c r="EH150" s="336">
        <f t="shared" si="1297"/>
        <v>0</v>
      </c>
      <c r="EI150" s="336">
        <f t="shared" si="1298"/>
        <v>0</v>
      </c>
      <c r="EJ150" s="336">
        <f t="shared" si="1299"/>
        <v>0</v>
      </c>
      <c r="EK150" s="336">
        <f t="shared" si="1300"/>
        <v>0</v>
      </c>
      <c r="EL150" s="336">
        <f t="shared" si="1301"/>
        <v>0</v>
      </c>
      <c r="EM150" s="336">
        <f t="shared" si="1302"/>
        <v>0</v>
      </c>
      <c r="EN150" s="336">
        <f t="shared" si="1303"/>
        <v>0</v>
      </c>
      <c r="EO150" s="336">
        <f t="shared" si="1304"/>
        <v>0</v>
      </c>
      <c r="EP150" s="336">
        <f t="shared" si="1305"/>
        <v>0</v>
      </c>
      <c r="EQ150" s="336">
        <f t="shared" si="1306"/>
        <v>0</v>
      </c>
      <c r="ER150" s="336">
        <f t="shared" si="1307"/>
        <v>0</v>
      </c>
      <c r="ES150" s="336">
        <f t="shared" si="1308"/>
        <v>0</v>
      </c>
      <c r="ET150" s="336">
        <f t="shared" si="1308"/>
        <v>0</v>
      </c>
      <c r="EU150" s="336">
        <f t="shared" si="1309"/>
        <v>0</v>
      </c>
      <c r="EV150" s="336">
        <f t="shared" si="1310"/>
        <v>0</v>
      </c>
      <c r="EW150" s="336">
        <f t="shared" si="1311"/>
        <v>0</v>
      </c>
      <c r="EX150" s="336">
        <f t="shared" si="1312"/>
        <v>0</v>
      </c>
      <c r="EY150" s="336">
        <f t="shared" si="1313"/>
        <v>0</v>
      </c>
      <c r="EZ150" s="336">
        <f t="shared" si="1314"/>
        <v>0</v>
      </c>
      <c r="FA150" s="336">
        <f t="shared" si="1315"/>
        <v>0</v>
      </c>
      <c r="FB150" s="336">
        <f t="shared" si="1316"/>
        <v>0</v>
      </c>
      <c r="FC150" s="336">
        <f t="shared" si="1317"/>
        <v>0</v>
      </c>
      <c r="FD150" s="336">
        <f t="shared" si="1318"/>
        <v>0</v>
      </c>
      <c r="FE150" s="336">
        <f t="shared" si="1319"/>
        <v>0</v>
      </c>
      <c r="FF150" s="336">
        <f t="shared" si="1320"/>
        <v>0</v>
      </c>
      <c r="FG150" s="336">
        <f t="shared" si="1321"/>
        <v>0</v>
      </c>
      <c r="FH150" s="336">
        <f t="shared" si="1322"/>
        <v>0</v>
      </c>
      <c r="FI150" s="336">
        <f t="shared" si="1323"/>
        <v>0</v>
      </c>
      <c r="FJ150" s="336">
        <f t="shared" si="1324"/>
        <v>0</v>
      </c>
      <c r="FK150" s="336">
        <f t="shared" si="1325"/>
        <v>0</v>
      </c>
      <c r="FL150" s="336">
        <f t="shared" si="1326"/>
        <v>0</v>
      </c>
      <c r="FM150" s="336">
        <f t="shared" si="1327"/>
        <v>0</v>
      </c>
      <c r="FN150" s="336">
        <f t="shared" si="1328"/>
        <v>0</v>
      </c>
      <c r="FO150" s="336">
        <f t="shared" si="1329"/>
        <v>0</v>
      </c>
      <c r="FP150" s="336">
        <f t="shared" si="1330"/>
        <v>0</v>
      </c>
      <c r="FQ150" s="336">
        <f t="shared" si="1331"/>
        <v>0</v>
      </c>
      <c r="FR150" s="336">
        <f t="shared" si="1332"/>
        <v>0</v>
      </c>
      <c r="FS150" s="336">
        <f t="shared" si="1333"/>
        <v>27</v>
      </c>
      <c r="FT150" s="336">
        <f t="shared" si="1334"/>
        <v>0</v>
      </c>
      <c r="FU150" s="336">
        <f t="shared" si="1222"/>
        <v>0</v>
      </c>
      <c r="FV150" s="336">
        <f t="shared" si="1223"/>
        <v>0</v>
      </c>
      <c r="FW150" s="336">
        <f t="shared" si="1224"/>
        <v>0</v>
      </c>
      <c r="FX150" s="336">
        <f t="shared" si="1225"/>
        <v>0</v>
      </c>
      <c r="FY150" s="336">
        <f t="shared" si="948"/>
        <v>27</v>
      </c>
      <c r="FZ150" s="336">
        <f t="shared" si="949"/>
        <v>27</v>
      </c>
      <c r="GA150" s="336">
        <f t="shared" si="950"/>
        <v>0</v>
      </c>
      <c r="GB150" s="336">
        <f t="shared" si="951"/>
        <v>27</v>
      </c>
      <c r="GC150" s="336">
        <f t="shared" si="952"/>
        <v>0</v>
      </c>
      <c r="GD150" s="336">
        <f t="shared" si="953"/>
        <v>0</v>
      </c>
      <c r="GE150" s="336">
        <f t="shared" si="954"/>
        <v>0</v>
      </c>
      <c r="GF150" s="336">
        <f t="shared" si="955"/>
        <v>0</v>
      </c>
      <c r="GG150" s="336">
        <f t="shared" si="956"/>
        <v>0</v>
      </c>
      <c r="GH150" s="336">
        <f t="shared" si="957"/>
        <v>0</v>
      </c>
      <c r="GI150" s="336">
        <f t="shared" si="958"/>
        <v>0</v>
      </c>
      <c r="GJ150" s="336">
        <f t="shared" si="959"/>
        <v>0</v>
      </c>
      <c r="GK150" s="336">
        <f t="shared" si="960"/>
        <v>0</v>
      </c>
      <c r="GL150" s="336">
        <f t="shared" si="1226"/>
        <v>0</v>
      </c>
      <c r="GM150" s="336">
        <f t="shared" si="961"/>
        <v>0</v>
      </c>
    </row>
    <row r="151" spans="1:195">
      <c r="A151" s="337">
        <f t="shared" si="1362"/>
        <v>115</v>
      </c>
      <c r="B151" s="567" t="s">
        <v>1288</v>
      </c>
      <c r="C151" s="372" t="s">
        <v>1278</v>
      </c>
      <c r="D151" s="567" t="s">
        <v>1289</v>
      </c>
      <c r="E151" s="440" t="s">
        <v>1191</v>
      </c>
      <c r="F151" s="372"/>
      <c r="G151" s="337" t="s">
        <v>329</v>
      </c>
      <c r="H151" s="350">
        <v>5</v>
      </c>
      <c r="I151" s="337" t="s">
        <v>330</v>
      </c>
      <c r="J151" s="337" t="s">
        <v>331</v>
      </c>
      <c r="K151" s="343">
        <v>400</v>
      </c>
      <c r="L151" s="343">
        <v>0.85000000000000009</v>
      </c>
      <c r="M151" s="350">
        <v>0.95042105263157861</v>
      </c>
      <c r="N151" s="342">
        <f t="shared" si="1339"/>
        <v>8.9336133449992658</v>
      </c>
      <c r="O151" s="342">
        <f t="shared" si="1340"/>
        <v>0</v>
      </c>
      <c r="P151" s="343" t="str">
        <f t="shared" si="1341"/>
        <v>0.00</v>
      </c>
      <c r="Q151" s="350">
        <v>65</v>
      </c>
      <c r="R151" s="350">
        <v>0</v>
      </c>
      <c r="S151" s="350">
        <f t="shared" si="1342"/>
        <v>0</v>
      </c>
      <c r="T151" s="343" t="s">
        <v>332</v>
      </c>
      <c r="U151" s="350" t="s">
        <v>535</v>
      </c>
      <c r="V151" s="343">
        <v>35</v>
      </c>
      <c r="W151" s="343" t="str">
        <f t="shared" si="1343"/>
        <v>3.5C X 35</v>
      </c>
      <c r="X151" s="343" t="str">
        <f t="shared" si="1344"/>
        <v>3.5C X 35</v>
      </c>
      <c r="Y151" s="343" t="s">
        <v>358</v>
      </c>
      <c r="Z151" s="344">
        <f>IF(T151="AIR",VLOOKUP(W151,'Catalogue Aluminium'!$B$9:$G$93,2,FALSE),IF(T151="GROUND",VLOOKUP(W151,'Catalogue Aluminium'!$B$9:$G$93,3,FALSE),IF(T151="DUCT",VLOOKUP(W151,'Catalogue Aluminium'!$B$9:$G$93,4,FALSE),IF(T151="TRENCH",VLOOKUP(W151,'Catalogue Aluminium'!$B$9:$G$93,2,FALSE)))))</f>
        <v>117</v>
      </c>
      <c r="AA151" s="345">
        <f>VLOOKUP(W151,'Catalogue Aluminium'!$B$9:$G$93,5,FALSE)</f>
        <v>1.1100000000000001</v>
      </c>
      <c r="AB151" s="345">
        <f>VLOOKUP(W151,'Catalogue Aluminium'!$B$9:$G$93,6,FALSE)</f>
        <v>7.9399999999999998E-2</v>
      </c>
      <c r="AC151" s="343">
        <f t="shared" si="1345"/>
        <v>23</v>
      </c>
      <c r="AD151" s="343">
        <f>12+58+20+54+35+2</f>
        <v>181</v>
      </c>
      <c r="AE151" s="343">
        <v>10</v>
      </c>
      <c r="AF151" s="343">
        <v>8</v>
      </c>
      <c r="AG151" s="343">
        <f t="shared" si="1346"/>
        <v>23</v>
      </c>
      <c r="AH151" s="347">
        <f t="shared" si="1347"/>
        <v>245</v>
      </c>
      <c r="AI151" s="344">
        <f>IF(T151="AIR",'Catalogue Aluminium'!$K$9,IF(T151="TRENCH",'Catalogue Aluminium'!$K$12,"NA"))</f>
        <v>0.89</v>
      </c>
      <c r="AJ151" s="342">
        <f>IF(T151="Air",(IF(U151="1C",'Catalogue Aluminium'!$L$9,'Catalogue Aluminium'!$M$9)),IF(T151="DUCT",(IF($U151="1C",'Catalogue Aluminium'!$L$10,'Catalogue Aluminium'!$M$10)),IF(T151="GROUND",(IF($U151="1C",'Catalogue Aluminium'!$L$11,'Catalogue Aluminium'!$M$11)),IF(T151="TRENCH",(IF($U151="1C",'Catalogue Aluminium'!$L$12,'Catalogue Aluminium'!$M$12))))))</f>
        <v>0.66</v>
      </c>
      <c r="AK151" s="344" t="str">
        <f>IF(T151="Air",'Catalogue Aluminium'!$N$9,IF(T151="GROUND",'Catalogue Aluminium'!$N$10,IF(T151="DUCT",'Catalogue Aluminium'!$N$11,IF(T151="TRENCH",'Catalogue Aluminium'!$N$12,"NA"))))</f>
        <v>NA</v>
      </c>
      <c r="AL151" s="344" t="str">
        <f>IF(T151="Air",(IF(U151="1C",'Catalogue Aluminium'!$O$9,'Catalogue Aluminium'!$P$9)),IF(T151="DUCT",(IF($U151="1C",'Catalogue Aluminium'!$O$10,'Catalogue Aluminium'!$P$10)),IF(T151="GROUND",(IF($U151="1C",'Catalogue Aluminium'!$O$11,'Catalogue Aluminium'!$P$11)),IF(T151="TRENCH",(IF($U151="1C",'Catalogue Aluminium'!$O$12,'Catalogue Aluminium'!$P$12))))))</f>
        <v>NA</v>
      </c>
      <c r="AM151" s="344" t="str">
        <f>IF(T151="AIR","NA",IF(T151="TRENCH","NA",IF(T151="DUCT",IF(U151="1C",VLOOKUP(V151,'Catalogue Aluminium'!$Q$9:$S$28,2,FALSE),VLOOKUP(V151,'Catalogue Aluminium'!$Q$9:$S$28,3)),IF(T151="GROUND",IF(U151="1C",VLOOKUP(V151,'Catalogue Aluminium'!$Q$9:$S$28,2,FALSE),VLOOKUP(V151,'Catalogue Aluminium'!$Q$9:$S$28,3))))))</f>
        <v>NA</v>
      </c>
      <c r="AN151" s="351">
        <f t="shared" si="1348"/>
        <v>0.58740000000000003</v>
      </c>
      <c r="AO151" s="350">
        <f t="shared" si="1349"/>
        <v>68.725800000000007</v>
      </c>
      <c r="AP151" s="349">
        <f t="shared" si="1350"/>
        <v>1</v>
      </c>
      <c r="AQ151" s="350" t="str">
        <f t="shared" si="1351"/>
        <v>YES</v>
      </c>
      <c r="AR151" s="351">
        <f t="shared" si="1352"/>
        <v>0.93384340365013985</v>
      </c>
      <c r="AS151" s="343" t="str">
        <f t="shared" si="1353"/>
        <v>YES</v>
      </c>
      <c r="AT151" s="351" t="str">
        <f t="shared" si="1354"/>
        <v>NA</v>
      </c>
      <c r="AU151" s="343" t="str">
        <f t="shared" si="1355"/>
        <v>NA</v>
      </c>
      <c r="AV151" s="351" t="str">
        <f t="shared" si="1356"/>
        <v>1R x 0.6/1kV x 3.5C x 35 Sqmm</v>
      </c>
      <c r="AW151" s="351" t="str">
        <f t="shared" si="1357"/>
        <v>1R x 0.6/1kV x 3.5C x 35 Sqmm</v>
      </c>
      <c r="AX151" s="343">
        <f t="shared" si="1358"/>
        <v>245</v>
      </c>
      <c r="AY151" s="355"/>
      <c r="AZ151" s="355">
        <f t="shared" si="1359"/>
        <v>2</v>
      </c>
      <c r="BA151" s="356" t="str">
        <f t="shared" si="1360"/>
        <v>Q3RR1R2SS.A</v>
      </c>
      <c r="BB151" s="328">
        <f>VLOOKUP(W151,'Catalogue Aluminium'!$B$9:$H$93,7,FALSE)</f>
        <v>27</v>
      </c>
      <c r="BC151" s="328">
        <f t="shared" si="1361"/>
        <v>27</v>
      </c>
      <c r="BE151" s="336"/>
      <c r="BF151" s="336"/>
      <c r="BG151" s="336"/>
      <c r="BH151" s="336"/>
      <c r="BI151" s="336"/>
      <c r="BJ151" s="336"/>
      <c r="BK151" s="336"/>
      <c r="BL151" s="336"/>
      <c r="BM151" s="336"/>
      <c r="BN151" s="336"/>
      <c r="BO151" s="336"/>
      <c r="BP151" s="336"/>
      <c r="BQ151" s="336"/>
      <c r="BR151" s="336"/>
      <c r="BS151" s="336"/>
      <c r="BT151" s="336"/>
      <c r="BU151" s="336"/>
      <c r="BV151" s="336"/>
      <c r="BW151" s="336"/>
      <c r="BX151" s="336"/>
      <c r="BY151" s="336"/>
      <c r="BZ151" s="336"/>
      <c r="CA151" s="336"/>
      <c r="CB151" s="336"/>
      <c r="CC151" s="336"/>
      <c r="CD151" s="336"/>
      <c r="CE151" s="336"/>
      <c r="CF151" s="336"/>
      <c r="CG151" s="336"/>
      <c r="CH151" s="336"/>
      <c r="CI151" s="336"/>
      <c r="CJ151" s="336"/>
      <c r="CK151" s="336"/>
      <c r="CL151" s="336"/>
      <c r="CM151" s="336"/>
      <c r="CN151" s="336"/>
      <c r="CO151" s="336"/>
      <c r="CP151" s="336"/>
      <c r="CQ151" s="336"/>
      <c r="CR151" s="336"/>
      <c r="CS151" s="336"/>
      <c r="CT151" s="336"/>
      <c r="CU151" s="336"/>
      <c r="CV151" s="336"/>
      <c r="CW151" s="336"/>
      <c r="CX151" s="336"/>
      <c r="CY151" s="336"/>
      <c r="CZ151" s="336"/>
      <c r="DA151" s="336">
        <v>1</v>
      </c>
      <c r="DB151" s="336"/>
      <c r="DC151" s="336"/>
      <c r="DD151" s="336"/>
      <c r="DE151" s="336"/>
      <c r="DF151" s="336"/>
      <c r="DG151" s="336">
        <v>1</v>
      </c>
      <c r="DH151" s="336">
        <v>1</v>
      </c>
      <c r="DI151" s="336">
        <v>1</v>
      </c>
      <c r="DJ151" s="336"/>
      <c r="DK151" s="336"/>
      <c r="DL151" s="336">
        <v>1</v>
      </c>
      <c r="DM151" s="336">
        <v>1</v>
      </c>
      <c r="DN151" s="336"/>
      <c r="DO151" s="336"/>
      <c r="DP151" s="336"/>
      <c r="DQ151" s="336"/>
      <c r="DR151" s="336"/>
      <c r="DS151" s="336"/>
      <c r="DT151" s="336"/>
      <c r="DU151" s="336"/>
      <c r="DW151" s="336">
        <f t="shared" si="1286"/>
        <v>0</v>
      </c>
      <c r="DX151" s="336">
        <f t="shared" si="1287"/>
        <v>0</v>
      </c>
      <c r="DY151" s="336">
        <f t="shared" si="1288"/>
        <v>0</v>
      </c>
      <c r="DZ151" s="336">
        <f t="shared" si="1289"/>
        <v>0</v>
      </c>
      <c r="EA151" s="336">
        <f t="shared" si="1290"/>
        <v>0</v>
      </c>
      <c r="EB151" s="336">
        <f t="shared" si="1291"/>
        <v>0</v>
      </c>
      <c r="EC151" s="336">
        <f t="shared" si="1292"/>
        <v>0</v>
      </c>
      <c r="ED151" s="336">
        <f t="shared" si="1293"/>
        <v>0</v>
      </c>
      <c r="EE151" s="336">
        <f t="shared" si="1294"/>
        <v>0</v>
      </c>
      <c r="EF151" s="336">
        <f t="shared" si="1295"/>
        <v>0</v>
      </c>
      <c r="EG151" s="336">
        <f t="shared" si="1296"/>
        <v>0</v>
      </c>
      <c r="EH151" s="336">
        <f t="shared" si="1297"/>
        <v>0</v>
      </c>
      <c r="EI151" s="336">
        <f t="shared" si="1298"/>
        <v>0</v>
      </c>
      <c r="EJ151" s="336">
        <f t="shared" si="1299"/>
        <v>0</v>
      </c>
      <c r="EK151" s="336">
        <f t="shared" si="1300"/>
        <v>0</v>
      </c>
      <c r="EL151" s="336">
        <f t="shared" si="1301"/>
        <v>0</v>
      </c>
      <c r="EM151" s="336">
        <f t="shared" si="1302"/>
        <v>0</v>
      </c>
      <c r="EN151" s="336">
        <f t="shared" si="1303"/>
        <v>0</v>
      </c>
      <c r="EO151" s="336">
        <f t="shared" si="1304"/>
        <v>0</v>
      </c>
      <c r="EP151" s="336">
        <f t="shared" si="1305"/>
        <v>0</v>
      </c>
      <c r="EQ151" s="336">
        <f t="shared" si="1306"/>
        <v>0</v>
      </c>
      <c r="ER151" s="336">
        <f t="shared" si="1307"/>
        <v>0</v>
      </c>
      <c r="ES151" s="336">
        <f t="shared" si="1308"/>
        <v>0</v>
      </c>
      <c r="ET151" s="336">
        <f t="shared" si="1308"/>
        <v>0</v>
      </c>
      <c r="EU151" s="336">
        <f t="shared" si="1309"/>
        <v>0</v>
      </c>
      <c r="EV151" s="336">
        <f t="shared" si="1310"/>
        <v>0</v>
      </c>
      <c r="EW151" s="336">
        <f t="shared" si="1311"/>
        <v>0</v>
      </c>
      <c r="EX151" s="336">
        <f t="shared" si="1312"/>
        <v>0</v>
      </c>
      <c r="EY151" s="336">
        <f t="shared" si="1313"/>
        <v>0</v>
      </c>
      <c r="EZ151" s="336">
        <f t="shared" si="1314"/>
        <v>0</v>
      </c>
      <c r="FA151" s="336">
        <f t="shared" si="1315"/>
        <v>0</v>
      </c>
      <c r="FB151" s="336">
        <f t="shared" si="1316"/>
        <v>0</v>
      </c>
      <c r="FC151" s="336">
        <f t="shared" si="1317"/>
        <v>0</v>
      </c>
      <c r="FD151" s="336">
        <f t="shared" si="1318"/>
        <v>0</v>
      </c>
      <c r="FE151" s="336">
        <f t="shared" si="1319"/>
        <v>0</v>
      </c>
      <c r="FF151" s="336">
        <f t="shared" si="1320"/>
        <v>0</v>
      </c>
      <c r="FG151" s="336">
        <f t="shared" si="1321"/>
        <v>0</v>
      </c>
      <c r="FH151" s="336">
        <f t="shared" si="1322"/>
        <v>0</v>
      </c>
      <c r="FI151" s="336">
        <f t="shared" si="1323"/>
        <v>0</v>
      </c>
      <c r="FJ151" s="336">
        <f t="shared" si="1324"/>
        <v>0</v>
      </c>
      <c r="FK151" s="336">
        <f t="shared" si="1325"/>
        <v>0</v>
      </c>
      <c r="FL151" s="336">
        <f t="shared" si="1326"/>
        <v>0</v>
      </c>
      <c r="FM151" s="336">
        <f t="shared" si="1327"/>
        <v>0</v>
      </c>
      <c r="FN151" s="336">
        <f t="shared" si="1328"/>
        <v>0</v>
      </c>
      <c r="FO151" s="336">
        <f t="shared" si="1329"/>
        <v>0</v>
      </c>
      <c r="FP151" s="336">
        <f t="shared" si="1330"/>
        <v>0</v>
      </c>
      <c r="FQ151" s="336">
        <f t="shared" si="1331"/>
        <v>0</v>
      </c>
      <c r="FR151" s="336">
        <f t="shared" si="1332"/>
        <v>0</v>
      </c>
      <c r="FS151" s="336">
        <f t="shared" si="1333"/>
        <v>27</v>
      </c>
      <c r="FT151" s="336">
        <f t="shared" si="1334"/>
        <v>0</v>
      </c>
      <c r="FU151" s="336">
        <f t="shared" si="1222"/>
        <v>0</v>
      </c>
      <c r="FV151" s="336">
        <f t="shared" si="1223"/>
        <v>0</v>
      </c>
      <c r="FW151" s="336">
        <f t="shared" si="1224"/>
        <v>0</v>
      </c>
      <c r="FX151" s="336">
        <f t="shared" si="1225"/>
        <v>0</v>
      </c>
      <c r="FY151" s="336">
        <f t="shared" si="948"/>
        <v>27</v>
      </c>
      <c r="FZ151" s="336">
        <f t="shared" si="949"/>
        <v>27</v>
      </c>
      <c r="GA151" s="336">
        <f t="shared" si="950"/>
        <v>27</v>
      </c>
      <c r="GB151" s="336">
        <f t="shared" si="951"/>
        <v>0</v>
      </c>
      <c r="GC151" s="336">
        <f t="shared" si="952"/>
        <v>0</v>
      </c>
      <c r="GD151" s="336">
        <f t="shared" si="953"/>
        <v>27</v>
      </c>
      <c r="GE151" s="336">
        <f t="shared" si="954"/>
        <v>27</v>
      </c>
      <c r="GF151" s="336">
        <f t="shared" si="955"/>
        <v>0</v>
      </c>
      <c r="GG151" s="336">
        <f t="shared" si="956"/>
        <v>0</v>
      </c>
      <c r="GH151" s="336">
        <f t="shared" si="957"/>
        <v>0</v>
      </c>
      <c r="GI151" s="336">
        <f t="shared" si="958"/>
        <v>0</v>
      </c>
      <c r="GJ151" s="336">
        <f t="shared" si="959"/>
        <v>0</v>
      </c>
      <c r="GK151" s="336">
        <f t="shared" si="960"/>
        <v>0</v>
      </c>
      <c r="GL151" s="336">
        <f t="shared" si="1226"/>
        <v>0</v>
      </c>
      <c r="GM151" s="336">
        <f t="shared" si="961"/>
        <v>0</v>
      </c>
    </row>
    <row r="152" spans="1:195">
      <c r="A152" s="337">
        <f t="shared" si="1362"/>
        <v>116</v>
      </c>
      <c r="B152" s="567" t="s">
        <v>1290</v>
      </c>
      <c r="C152" s="372" t="s">
        <v>1278</v>
      </c>
      <c r="D152" s="567" t="s">
        <v>1291</v>
      </c>
      <c r="E152" s="440" t="s">
        <v>1185</v>
      </c>
      <c r="F152" s="372"/>
      <c r="G152" s="337" t="s">
        <v>329</v>
      </c>
      <c r="H152" s="350">
        <v>5</v>
      </c>
      <c r="I152" s="337" t="s">
        <v>330</v>
      </c>
      <c r="J152" s="337" t="s">
        <v>331</v>
      </c>
      <c r="K152" s="343">
        <v>400</v>
      </c>
      <c r="L152" s="343">
        <v>0.85000000000000009</v>
      </c>
      <c r="M152" s="350">
        <v>0.95042105263157861</v>
      </c>
      <c r="N152" s="342">
        <f t="shared" si="1339"/>
        <v>8.9336133449992658</v>
      </c>
      <c r="O152" s="342">
        <f t="shared" si="1340"/>
        <v>0</v>
      </c>
      <c r="P152" s="343" t="str">
        <f t="shared" si="1341"/>
        <v>0.00</v>
      </c>
      <c r="Q152" s="350">
        <v>65</v>
      </c>
      <c r="R152" s="350">
        <v>0</v>
      </c>
      <c r="S152" s="350">
        <f t="shared" si="1342"/>
        <v>0</v>
      </c>
      <c r="T152" s="343" t="s">
        <v>332</v>
      </c>
      <c r="U152" s="350" t="s">
        <v>535</v>
      </c>
      <c r="V152" s="343">
        <v>35</v>
      </c>
      <c r="W152" s="343" t="str">
        <f t="shared" si="1343"/>
        <v>3.5C X 35</v>
      </c>
      <c r="X152" s="343" t="str">
        <f t="shared" si="1344"/>
        <v>3.5C X 35</v>
      </c>
      <c r="Y152" s="343" t="s">
        <v>358</v>
      </c>
      <c r="Z152" s="344">
        <f>IF(T152="AIR",VLOOKUP(W152,'Catalogue Aluminium'!$B$9:$G$93,2,FALSE),IF(T152="GROUND",VLOOKUP(W152,'Catalogue Aluminium'!$B$9:$G$93,3,FALSE),IF(T152="DUCT",VLOOKUP(W152,'Catalogue Aluminium'!$B$9:$G$93,4,FALSE),IF(T152="TRENCH",VLOOKUP(W152,'Catalogue Aluminium'!$B$9:$G$93,2,FALSE)))))</f>
        <v>117</v>
      </c>
      <c r="AA152" s="345">
        <f>VLOOKUP(W152,'Catalogue Aluminium'!$B$9:$G$93,5,FALSE)</f>
        <v>1.1100000000000001</v>
      </c>
      <c r="AB152" s="345">
        <f>VLOOKUP(W152,'Catalogue Aluminium'!$B$9:$G$93,6,FALSE)</f>
        <v>7.9399999999999998E-2</v>
      </c>
      <c r="AC152" s="343">
        <f t="shared" si="1345"/>
        <v>23</v>
      </c>
      <c r="AD152" s="343">
        <f>12+58+20+52+2</f>
        <v>144</v>
      </c>
      <c r="AE152" s="343">
        <v>10</v>
      </c>
      <c r="AF152" s="343">
        <v>8</v>
      </c>
      <c r="AG152" s="343">
        <f t="shared" si="1346"/>
        <v>19</v>
      </c>
      <c r="AH152" s="347">
        <f t="shared" si="1347"/>
        <v>204</v>
      </c>
      <c r="AI152" s="344">
        <f>IF(T152="AIR",'Catalogue Aluminium'!$K$9,IF(T152="TRENCH",'Catalogue Aluminium'!$K$12,"NA"))</f>
        <v>0.89</v>
      </c>
      <c r="AJ152" s="342">
        <f>IF(T152="Air",(IF(U152="1C",'Catalogue Aluminium'!$L$9,'Catalogue Aluminium'!$M$9)),IF(T152="DUCT",(IF($U152="1C",'Catalogue Aluminium'!$L$10,'Catalogue Aluminium'!$M$10)),IF(T152="GROUND",(IF($U152="1C",'Catalogue Aluminium'!$L$11,'Catalogue Aluminium'!$M$11)),IF(T152="TRENCH",(IF($U152="1C",'Catalogue Aluminium'!$L$12,'Catalogue Aluminium'!$M$12))))))</f>
        <v>0.66</v>
      </c>
      <c r="AK152" s="344" t="str">
        <f>IF(T152="Air",'Catalogue Aluminium'!$N$9,IF(T152="GROUND",'Catalogue Aluminium'!$N$10,IF(T152="DUCT",'Catalogue Aluminium'!$N$11,IF(T152="TRENCH",'Catalogue Aluminium'!$N$12,"NA"))))</f>
        <v>NA</v>
      </c>
      <c r="AL152" s="344" t="str">
        <f>IF(T152="Air",(IF(U152="1C",'Catalogue Aluminium'!$O$9,'Catalogue Aluminium'!$P$9)),IF(T152="DUCT",(IF($U152="1C",'Catalogue Aluminium'!$O$10,'Catalogue Aluminium'!$P$10)),IF(T152="GROUND",(IF($U152="1C",'Catalogue Aluminium'!$O$11,'Catalogue Aluminium'!$P$11)),IF(T152="TRENCH",(IF($U152="1C",'Catalogue Aluminium'!$O$12,'Catalogue Aluminium'!$P$12))))))</f>
        <v>NA</v>
      </c>
      <c r="AM152" s="344" t="str">
        <f>IF(T152="AIR","NA",IF(T152="TRENCH","NA",IF(T152="DUCT",IF(U152="1C",VLOOKUP(V152,'Catalogue Aluminium'!$Q$9:$S$28,2,FALSE),VLOOKUP(V152,'Catalogue Aluminium'!$Q$9:$S$28,3)),IF(T152="GROUND",IF(U152="1C",VLOOKUP(V152,'Catalogue Aluminium'!$Q$9:$S$28,2,FALSE),VLOOKUP(V152,'Catalogue Aluminium'!$Q$9:$S$28,3))))))</f>
        <v>NA</v>
      </c>
      <c r="AN152" s="351">
        <f t="shared" si="1348"/>
        <v>0.58740000000000003</v>
      </c>
      <c r="AO152" s="350">
        <f t="shared" si="1349"/>
        <v>68.725800000000007</v>
      </c>
      <c r="AP152" s="349">
        <f t="shared" si="1350"/>
        <v>1</v>
      </c>
      <c r="AQ152" s="350" t="str">
        <f t="shared" si="1351"/>
        <v>YES</v>
      </c>
      <c r="AR152" s="351">
        <f t="shared" si="1352"/>
        <v>0.77756756875358579</v>
      </c>
      <c r="AS152" s="343" t="str">
        <f t="shared" si="1353"/>
        <v>YES</v>
      </c>
      <c r="AT152" s="351" t="str">
        <f t="shared" si="1354"/>
        <v>NA</v>
      </c>
      <c r="AU152" s="343" t="str">
        <f t="shared" si="1355"/>
        <v>NA</v>
      </c>
      <c r="AV152" s="354" t="str">
        <f t="shared" si="1356"/>
        <v>1R x 0.6/1kV x 3.5C x 35 Sqmm</v>
      </c>
      <c r="AW152" s="354" t="str">
        <f t="shared" si="1357"/>
        <v>1R x 0.6/1kV x 3.5C x 35 Sqmm</v>
      </c>
      <c r="AX152" s="343">
        <f t="shared" si="1358"/>
        <v>204</v>
      </c>
      <c r="AY152" s="355"/>
      <c r="AZ152" s="355">
        <f t="shared" si="1359"/>
        <v>2</v>
      </c>
      <c r="BA152" s="356" t="str">
        <f t="shared" si="1360"/>
        <v>Q3RR1R2SS1S1.A</v>
      </c>
      <c r="BB152" s="501">
        <f>VLOOKUP(W152,'Catalogue Aluminium'!$B$9:$H$93,7,FALSE)</f>
        <v>27</v>
      </c>
      <c r="BC152" s="328">
        <f t="shared" si="1361"/>
        <v>27</v>
      </c>
      <c r="BE152" s="336"/>
      <c r="BF152" s="336"/>
      <c r="BG152" s="336"/>
      <c r="BH152" s="336"/>
      <c r="BI152" s="336"/>
      <c r="BJ152" s="336"/>
      <c r="BK152" s="336"/>
      <c r="BL152" s="336"/>
      <c r="BM152" s="336"/>
      <c r="BN152" s="336"/>
      <c r="BO152" s="336"/>
      <c r="BP152" s="336"/>
      <c r="BQ152" s="336"/>
      <c r="BR152" s="336"/>
      <c r="BS152" s="336"/>
      <c r="BT152" s="336"/>
      <c r="BU152" s="336"/>
      <c r="BV152" s="336"/>
      <c r="BW152" s="336"/>
      <c r="BX152" s="336"/>
      <c r="BY152" s="336"/>
      <c r="BZ152" s="336"/>
      <c r="CA152" s="336"/>
      <c r="CB152" s="336"/>
      <c r="CC152" s="336"/>
      <c r="CD152" s="336"/>
      <c r="CE152" s="336"/>
      <c r="CF152" s="336"/>
      <c r="CG152" s="336"/>
      <c r="CH152" s="336"/>
      <c r="CI152" s="336"/>
      <c r="CJ152" s="336"/>
      <c r="CK152" s="336"/>
      <c r="CL152" s="336"/>
      <c r="CM152" s="336"/>
      <c r="CN152" s="336"/>
      <c r="CO152" s="336"/>
      <c r="CP152" s="336"/>
      <c r="CQ152" s="336"/>
      <c r="CR152" s="336"/>
      <c r="CS152" s="336"/>
      <c r="CT152" s="336"/>
      <c r="CU152" s="336"/>
      <c r="CV152" s="336"/>
      <c r="CW152" s="336"/>
      <c r="CX152" s="336"/>
      <c r="CY152" s="336"/>
      <c r="CZ152" s="336"/>
      <c r="DA152" s="336">
        <v>1</v>
      </c>
      <c r="DB152" s="336"/>
      <c r="DC152" s="336"/>
      <c r="DD152" s="336"/>
      <c r="DE152" s="336"/>
      <c r="DF152" s="336"/>
      <c r="DG152" s="336">
        <v>1</v>
      </c>
      <c r="DH152" s="336">
        <v>1</v>
      </c>
      <c r="DI152" s="336">
        <v>1</v>
      </c>
      <c r="DJ152" s="336"/>
      <c r="DK152" s="336"/>
      <c r="DL152" s="336">
        <v>1</v>
      </c>
      <c r="DM152" s="336"/>
      <c r="DN152" s="336"/>
      <c r="DO152" s="336">
        <v>1</v>
      </c>
      <c r="DP152" s="336">
        <v>1</v>
      </c>
      <c r="DQ152" s="336"/>
      <c r="DR152" s="336"/>
      <c r="DS152" s="336"/>
      <c r="DT152" s="336"/>
      <c r="DU152" s="336"/>
      <c r="DW152" s="336">
        <f t="shared" si="1286"/>
        <v>0</v>
      </c>
      <c r="DX152" s="336">
        <f t="shared" si="1287"/>
        <v>0</v>
      </c>
      <c r="DY152" s="336">
        <f t="shared" si="1288"/>
        <v>0</v>
      </c>
      <c r="DZ152" s="336">
        <f t="shared" si="1289"/>
        <v>0</v>
      </c>
      <c r="EA152" s="336">
        <f t="shared" si="1290"/>
        <v>0</v>
      </c>
      <c r="EB152" s="336">
        <f t="shared" si="1291"/>
        <v>0</v>
      </c>
      <c r="EC152" s="336">
        <f t="shared" si="1292"/>
        <v>0</v>
      </c>
      <c r="ED152" s="336">
        <f t="shared" si="1293"/>
        <v>0</v>
      </c>
      <c r="EE152" s="336">
        <f t="shared" si="1294"/>
        <v>0</v>
      </c>
      <c r="EF152" s="336">
        <f t="shared" si="1295"/>
        <v>0</v>
      </c>
      <c r="EG152" s="336">
        <f t="shared" si="1296"/>
        <v>0</v>
      </c>
      <c r="EH152" s="336">
        <f t="shared" si="1297"/>
        <v>0</v>
      </c>
      <c r="EI152" s="336">
        <f t="shared" si="1298"/>
        <v>0</v>
      </c>
      <c r="EJ152" s="336">
        <f t="shared" si="1299"/>
        <v>0</v>
      </c>
      <c r="EK152" s="336">
        <f t="shared" si="1300"/>
        <v>0</v>
      </c>
      <c r="EL152" s="336">
        <f t="shared" si="1301"/>
        <v>0</v>
      </c>
      <c r="EM152" s="336">
        <f t="shared" si="1302"/>
        <v>0</v>
      </c>
      <c r="EN152" s="336">
        <f t="shared" si="1303"/>
        <v>0</v>
      </c>
      <c r="EO152" s="336">
        <f t="shared" si="1304"/>
        <v>0</v>
      </c>
      <c r="EP152" s="336">
        <f t="shared" si="1305"/>
        <v>0</v>
      </c>
      <c r="EQ152" s="336">
        <f t="shared" si="1306"/>
        <v>0</v>
      </c>
      <c r="ER152" s="336">
        <f t="shared" si="1307"/>
        <v>0</v>
      </c>
      <c r="ES152" s="336">
        <f t="shared" si="1308"/>
        <v>0</v>
      </c>
      <c r="ET152" s="336">
        <f t="shared" si="1308"/>
        <v>0</v>
      </c>
      <c r="EU152" s="336">
        <f t="shared" si="1309"/>
        <v>0</v>
      </c>
      <c r="EV152" s="336">
        <f t="shared" si="1310"/>
        <v>0</v>
      </c>
      <c r="EW152" s="336">
        <f t="shared" si="1311"/>
        <v>0</v>
      </c>
      <c r="EX152" s="336">
        <f t="shared" si="1312"/>
        <v>0</v>
      </c>
      <c r="EY152" s="336">
        <f t="shared" si="1313"/>
        <v>0</v>
      </c>
      <c r="EZ152" s="336">
        <f t="shared" si="1314"/>
        <v>0</v>
      </c>
      <c r="FA152" s="336">
        <f t="shared" si="1315"/>
        <v>0</v>
      </c>
      <c r="FB152" s="336">
        <f t="shared" si="1316"/>
        <v>0</v>
      </c>
      <c r="FC152" s="336">
        <f t="shared" si="1317"/>
        <v>0</v>
      </c>
      <c r="FD152" s="336">
        <f t="shared" si="1318"/>
        <v>0</v>
      </c>
      <c r="FE152" s="336">
        <f t="shared" si="1319"/>
        <v>0</v>
      </c>
      <c r="FF152" s="336">
        <f t="shared" si="1320"/>
        <v>0</v>
      </c>
      <c r="FG152" s="336">
        <f t="shared" si="1321"/>
        <v>0</v>
      </c>
      <c r="FH152" s="336">
        <f t="shared" si="1322"/>
        <v>0</v>
      </c>
      <c r="FI152" s="336">
        <f t="shared" si="1323"/>
        <v>0</v>
      </c>
      <c r="FJ152" s="336">
        <f t="shared" si="1324"/>
        <v>0</v>
      </c>
      <c r="FK152" s="336">
        <f t="shared" si="1325"/>
        <v>0</v>
      </c>
      <c r="FL152" s="336">
        <f t="shared" si="1326"/>
        <v>0</v>
      </c>
      <c r="FM152" s="336">
        <f t="shared" si="1327"/>
        <v>0</v>
      </c>
      <c r="FN152" s="336">
        <f t="shared" si="1328"/>
        <v>0</v>
      </c>
      <c r="FO152" s="336">
        <f t="shared" si="1329"/>
        <v>0</v>
      </c>
      <c r="FP152" s="336">
        <f t="shared" si="1330"/>
        <v>0</v>
      </c>
      <c r="FQ152" s="336">
        <f t="shared" si="1331"/>
        <v>0</v>
      </c>
      <c r="FR152" s="336">
        <f t="shared" si="1332"/>
        <v>0</v>
      </c>
      <c r="FS152" s="336">
        <f t="shared" si="1333"/>
        <v>27</v>
      </c>
      <c r="FT152" s="336">
        <f t="shared" si="1334"/>
        <v>0</v>
      </c>
      <c r="FU152" s="336">
        <f t="shared" si="1222"/>
        <v>0</v>
      </c>
      <c r="FV152" s="336">
        <f t="shared" si="1223"/>
        <v>0</v>
      </c>
      <c r="FW152" s="336">
        <f t="shared" si="1224"/>
        <v>0</v>
      </c>
      <c r="FX152" s="336">
        <f t="shared" si="1225"/>
        <v>0</v>
      </c>
      <c r="FY152" s="336">
        <f t="shared" si="948"/>
        <v>27</v>
      </c>
      <c r="FZ152" s="336">
        <f t="shared" si="949"/>
        <v>27</v>
      </c>
      <c r="GA152" s="336">
        <f t="shared" si="950"/>
        <v>27</v>
      </c>
      <c r="GB152" s="336">
        <f t="shared" si="951"/>
        <v>0</v>
      </c>
      <c r="GC152" s="336">
        <f t="shared" si="952"/>
        <v>0</v>
      </c>
      <c r="GD152" s="336">
        <f t="shared" si="953"/>
        <v>27</v>
      </c>
      <c r="GE152" s="336">
        <f t="shared" si="954"/>
        <v>0</v>
      </c>
      <c r="GF152" s="336">
        <f t="shared" si="955"/>
        <v>0</v>
      </c>
      <c r="GG152" s="336">
        <f t="shared" si="956"/>
        <v>27</v>
      </c>
      <c r="GH152" s="336">
        <f t="shared" si="957"/>
        <v>27</v>
      </c>
      <c r="GI152" s="336">
        <f t="shared" si="958"/>
        <v>0</v>
      </c>
      <c r="GJ152" s="336">
        <f t="shared" si="959"/>
        <v>0</v>
      </c>
      <c r="GK152" s="336">
        <f t="shared" si="960"/>
        <v>0</v>
      </c>
      <c r="GL152" s="336">
        <f t="shared" si="1226"/>
        <v>0</v>
      </c>
      <c r="GM152" s="336">
        <f t="shared" si="961"/>
        <v>0</v>
      </c>
    </row>
    <row r="153" spans="1:195">
      <c r="A153" s="337">
        <f t="shared" si="1362"/>
        <v>117</v>
      </c>
      <c r="B153" s="567" t="s">
        <v>1292</v>
      </c>
      <c r="C153" s="372" t="s">
        <v>1278</v>
      </c>
      <c r="D153" s="567" t="s">
        <v>1293</v>
      </c>
      <c r="E153" s="440" t="s">
        <v>1229</v>
      </c>
      <c r="F153" s="372"/>
      <c r="G153" s="337" t="s">
        <v>329</v>
      </c>
      <c r="H153" s="350">
        <v>5</v>
      </c>
      <c r="I153" s="337" t="s">
        <v>330</v>
      </c>
      <c r="J153" s="337" t="s">
        <v>331</v>
      </c>
      <c r="K153" s="343">
        <v>400</v>
      </c>
      <c r="L153" s="343">
        <v>0.85000000000000009</v>
      </c>
      <c r="M153" s="350">
        <v>0.95042105263157861</v>
      </c>
      <c r="N153" s="342">
        <f t="shared" si="1339"/>
        <v>8.9336133449992658</v>
      </c>
      <c r="O153" s="342">
        <f t="shared" si="1340"/>
        <v>0</v>
      </c>
      <c r="P153" s="343" t="str">
        <f t="shared" si="1341"/>
        <v>0.00</v>
      </c>
      <c r="Q153" s="350">
        <v>65</v>
      </c>
      <c r="R153" s="350">
        <v>0</v>
      </c>
      <c r="S153" s="350">
        <f t="shared" si="1342"/>
        <v>0</v>
      </c>
      <c r="T153" s="343" t="s">
        <v>332</v>
      </c>
      <c r="U153" s="350" t="s">
        <v>535</v>
      </c>
      <c r="V153" s="343">
        <v>35</v>
      </c>
      <c r="W153" s="343" t="str">
        <f t="shared" si="1343"/>
        <v>3.5C X 35</v>
      </c>
      <c r="X153" s="343" t="str">
        <f t="shared" si="1344"/>
        <v>3.5C X 35</v>
      </c>
      <c r="Y153" s="343" t="s">
        <v>358</v>
      </c>
      <c r="Z153" s="344">
        <f>IF(T153="AIR",VLOOKUP(W153,'Catalogue Aluminium'!$B$9:$G$93,2,FALSE),IF(T153="GROUND",VLOOKUP(W153,'Catalogue Aluminium'!$B$9:$G$93,3,FALSE),IF(T153="DUCT",VLOOKUP(W153,'Catalogue Aluminium'!$B$9:$G$93,4,FALSE),IF(T153="TRENCH",VLOOKUP(W153,'Catalogue Aluminium'!$B$9:$G$93,2,FALSE)))))</f>
        <v>117</v>
      </c>
      <c r="AA153" s="345">
        <f>VLOOKUP(W153,'Catalogue Aluminium'!$B$9:$G$93,5,FALSE)</f>
        <v>1.1100000000000001</v>
      </c>
      <c r="AB153" s="345">
        <f>VLOOKUP(W153,'Catalogue Aluminium'!$B$9:$G$93,6,FALSE)</f>
        <v>7.9399999999999998E-2</v>
      </c>
      <c r="AC153" s="343">
        <f t="shared" si="1345"/>
        <v>23</v>
      </c>
      <c r="AD153" s="343">
        <f>12+58+20+54+41+2</f>
        <v>187</v>
      </c>
      <c r="AE153" s="343">
        <v>10</v>
      </c>
      <c r="AF153" s="343">
        <v>8</v>
      </c>
      <c r="AG153" s="343">
        <f t="shared" si="1346"/>
        <v>23</v>
      </c>
      <c r="AH153" s="347">
        <f t="shared" si="1347"/>
        <v>251</v>
      </c>
      <c r="AI153" s="344">
        <f>IF(T153="AIR",'Catalogue Aluminium'!$K$9,IF(T153="TRENCH",'Catalogue Aluminium'!$K$12,"NA"))</f>
        <v>0.89</v>
      </c>
      <c r="AJ153" s="342">
        <f>IF(T153="Air",(IF(U153="1C",'Catalogue Aluminium'!$L$9,'Catalogue Aluminium'!$M$9)),IF(T153="DUCT",(IF($U153="1C",'Catalogue Aluminium'!$L$10,'Catalogue Aluminium'!$M$10)),IF(T153="GROUND",(IF($U153="1C",'Catalogue Aluminium'!$L$11,'Catalogue Aluminium'!$M$11)),IF(T153="TRENCH",(IF($U153="1C",'Catalogue Aluminium'!$L$12,'Catalogue Aluminium'!$M$12))))))</f>
        <v>0.66</v>
      </c>
      <c r="AK153" s="344" t="str">
        <f>IF(T153="Air",'Catalogue Aluminium'!$N$9,IF(T153="GROUND",'Catalogue Aluminium'!$N$10,IF(T153="DUCT",'Catalogue Aluminium'!$N$11,IF(T153="TRENCH",'Catalogue Aluminium'!$N$12,"NA"))))</f>
        <v>NA</v>
      </c>
      <c r="AL153" s="344" t="str">
        <f>IF(T153="Air",(IF(U153="1C",'Catalogue Aluminium'!$O$9,'Catalogue Aluminium'!$P$9)),IF(T153="DUCT",(IF($U153="1C",'Catalogue Aluminium'!$O$10,'Catalogue Aluminium'!$P$10)),IF(T153="GROUND",(IF($U153="1C",'Catalogue Aluminium'!$O$11,'Catalogue Aluminium'!$P$11)),IF(T153="TRENCH",(IF($U153="1C",'Catalogue Aluminium'!$O$12,'Catalogue Aluminium'!$P$12))))))</f>
        <v>NA</v>
      </c>
      <c r="AM153" s="344" t="str">
        <f>IF(T153="AIR","NA",IF(T153="TRENCH","NA",IF(T153="DUCT",IF(U153="1C",VLOOKUP(V153,'Catalogue Aluminium'!$Q$9:$S$28,2,FALSE),VLOOKUP(V153,'Catalogue Aluminium'!$Q$9:$S$28,3)),IF(T153="GROUND",IF(U153="1C",VLOOKUP(V153,'Catalogue Aluminium'!$Q$9:$S$28,2,FALSE),VLOOKUP(V153,'Catalogue Aluminium'!$Q$9:$S$28,3))))))</f>
        <v>NA</v>
      </c>
      <c r="AN153" s="351">
        <f t="shared" si="1348"/>
        <v>0.58740000000000003</v>
      </c>
      <c r="AO153" s="350">
        <f t="shared" si="1349"/>
        <v>68.725800000000007</v>
      </c>
      <c r="AP153" s="349">
        <f t="shared" si="1350"/>
        <v>1</v>
      </c>
      <c r="AQ153" s="350" t="str">
        <f t="shared" si="1351"/>
        <v>YES</v>
      </c>
      <c r="AR153" s="351">
        <f t="shared" si="1352"/>
        <v>0.95671303802524532</v>
      </c>
      <c r="AS153" s="343" t="str">
        <f t="shared" si="1353"/>
        <v>YES</v>
      </c>
      <c r="AT153" s="351" t="str">
        <f t="shared" si="1354"/>
        <v>NA</v>
      </c>
      <c r="AU153" s="343" t="str">
        <f t="shared" si="1355"/>
        <v>NA</v>
      </c>
      <c r="AV153" s="354" t="str">
        <f t="shared" si="1356"/>
        <v>1R x 0.6/1kV x 3.5C x 35 Sqmm</v>
      </c>
      <c r="AW153" s="354" t="str">
        <f t="shared" si="1357"/>
        <v>1R x 0.6/1kV x 3.5C x 35 Sqmm</v>
      </c>
      <c r="AX153" s="343">
        <f t="shared" si="1358"/>
        <v>251</v>
      </c>
      <c r="AY153" s="355"/>
      <c r="AZ153" s="355">
        <f t="shared" si="1359"/>
        <v>2</v>
      </c>
      <c r="BA153" s="356" t="str">
        <f t="shared" si="1360"/>
        <v>Q3RR1R2SS1TTA</v>
      </c>
      <c r="BB153" s="501">
        <f>VLOOKUP(W153,'Catalogue Aluminium'!$B$9:$H$93,7,FALSE)</f>
        <v>27</v>
      </c>
      <c r="BC153" s="328">
        <f t="shared" si="1361"/>
        <v>27</v>
      </c>
      <c r="BE153" s="336"/>
      <c r="BF153" s="336"/>
      <c r="BG153" s="336"/>
      <c r="BH153" s="336"/>
      <c r="BI153" s="336"/>
      <c r="BJ153" s="336"/>
      <c r="BK153" s="336"/>
      <c r="BL153" s="336"/>
      <c r="BM153" s="336"/>
      <c r="BN153" s="336"/>
      <c r="BO153" s="336"/>
      <c r="BP153" s="336"/>
      <c r="BQ153" s="336"/>
      <c r="BR153" s="336"/>
      <c r="BS153" s="336"/>
      <c r="BT153" s="336"/>
      <c r="BU153" s="336"/>
      <c r="BV153" s="336"/>
      <c r="BW153" s="336"/>
      <c r="BX153" s="336"/>
      <c r="BY153" s="336"/>
      <c r="BZ153" s="336"/>
      <c r="CA153" s="336"/>
      <c r="CB153" s="336"/>
      <c r="CC153" s="336"/>
      <c r="CD153" s="336"/>
      <c r="CE153" s="336"/>
      <c r="CF153" s="336"/>
      <c r="CG153" s="336"/>
      <c r="CH153" s="336"/>
      <c r="CI153" s="336"/>
      <c r="CJ153" s="336"/>
      <c r="CK153" s="336"/>
      <c r="CL153" s="336"/>
      <c r="CM153" s="336"/>
      <c r="CN153" s="336"/>
      <c r="CO153" s="336"/>
      <c r="CP153" s="336"/>
      <c r="CQ153" s="336"/>
      <c r="CR153" s="336"/>
      <c r="CS153" s="336"/>
      <c r="CT153" s="336"/>
      <c r="CU153" s="336"/>
      <c r="CV153" s="336"/>
      <c r="CW153" s="336"/>
      <c r="CX153" s="336"/>
      <c r="CY153" s="336"/>
      <c r="CZ153" s="336"/>
      <c r="DA153" s="336">
        <v>1</v>
      </c>
      <c r="DB153" s="336"/>
      <c r="DC153" s="336"/>
      <c r="DD153" s="336"/>
      <c r="DE153" s="336"/>
      <c r="DF153" s="336"/>
      <c r="DG153" s="336">
        <v>1</v>
      </c>
      <c r="DH153" s="336">
        <v>1</v>
      </c>
      <c r="DI153" s="336">
        <v>1</v>
      </c>
      <c r="DJ153" s="336"/>
      <c r="DK153" s="336"/>
      <c r="DL153" s="336">
        <v>1</v>
      </c>
      <c r="DM153" s="336"/>
      <c r="DN153" s="336"/>
      <c r="DO153" s="336">
        <v>1</v>
      </c>
      <c r="DP153" s="336"/>
      <c r="DQ153" s="336">
        <v>1</v>
      </c>
      <c r="DR153" s="336"/>
      <c r="DS153" s="336">
        <v>1</v>
      </c>
      <c r="DT153" s="336"/>
      <c r="DU153" s="336"/>
      <c r="DW153" s="336">
        <f t="shared" si="1286"/>
        <v>0</v>
      </c>
      <c r="DX153" s="336">
        <f t="shared" si="1287"/>
        <v>0</v>
      </c>
      <c r="DY153" s="336">
        <f t="shared" si="1288"/>
        <v>0</v>
      </c>
      <c r="DZ153" s="336">
        <f t="shared" si="1289"/>
        <v>0</v>
      </c>
      <c r="EA153" s="336">
        <f t="shared" si="1290"/>
        <v>0</v>
      </c>
      <c r="EB153" s="336">
        <f t="shared" si="1291"/>
        <v>0</v>
      </c>
      <c r="EC153" s="336">
        <f t="shared" si="1292"/>
        <v>0</v>
      </c>
      <c r="ED153" s="336">
        <f t="shared" si="1293"/>
        <v>0</v>
      </c>
      <c r="EE153" s="336">
        <f t="shared" si="1294"/>
        <v>0</v>
      </c>
      <c r="EF153" s="336">
        <f t="shared" si="1295"/>
        <v>0</v>
      </c>
      <c r="EG153" s="336">
        <f t="shared" si="1296"/>
        <v>0</v>
      </c>
      <c r="EH153" s="336">
        <f t="shared" si="1297"/>
        <v>0</v>
      </c>
      <c r="EI153" s="336">
        <f t="shared" si="1298"/>
        <v>0</v>
      </c>
      <c r="EJ153" s="336">
        <f t="shared" si="1299"/>
        <v>0</v>
      </c>
      <c r="EK153" s="336">
        <f t="shared" si="1300"/>
        <v>0</v>
      </c>
      <c r="EL153" s="336">
        <f t="shared" si="1301"/>
        <v>0</v>
      </c>
      <c r="EM153" s="336">
        <f t="shared" si="1302"/>
        <v>0</v>
      </c>
      <c r="EN153" s="336">
        <f t="shared" si="1303"/>
        <v>0</v>
      </c>
      <c r="EO153" s="336">
        <f t="shared" si="1304"/>
        <v>0</v>
      </c>
      <c r="EP153" s="336">
        <f t="shared" si="1305"/>
        <v>0</v>
      </c>
      <c r="EQ153" s="336">
        <f t="shared" si="1306"/>
        <v>0</v>
      </c>
      <c r="ER153" s="336">
        <f t="shared" si="1307"/>
        <v>0</v>
      </c>
      <c r="ES153" s="336">
        <f t="shared" si="1308"/>
        <v>0</v>
      </c>
      <c r="ET153" s="336">
        <f t="shared" si="1308"/>
        <v>0</v>
      </c>
      <c r="EU153" s="336">
        <f t="shared" si="1309"/>
        <v>0</v>
      </c>
      <c r="EV153" s="336">
        <f t="shared" si="1310"/>
        <v>0</v>
      </c>
      <c r="EW153" s="336">
        <f t="shared" si="1311"/>
        <v>0</v>
      </c>
      <c r="EX153" s="336">
        <f t="shared" si="1312"/>
        <v>0</v>
      </c>
      <c r="EY153" s="336">
        <f t="shared" si="1313"/>
        <v>0</v>
      </c>
      <c r="EZ153" s="336">
        <f t="shared" si="1314"/>
        <v>0</v>
      </c>
      <c r="FA153" s="336">
        <f t="shared" si="1315"/>
        <v>0</v>
      </c>
      <c r="FB153" s="336">
        <f t="shared" si="1316"/>
        <v>0</v>
      </c>
      <c r="FC153" s="336">
        <f t="shared" si="1317"/>
        <v>0</v>
      </c>
      <c r="FD153" s="336">
        <f t="shared" si="1318"/>
        <v>0</v>
      </c>
      <c r="FE153" s="336">
        <f t="shared" si="1319"/>
        <v>0</v>
      </c>
      <c r="FF153" s="336">
        <f t="shared" si="1320"/>
        <v>0</v>
      </c>
      <c r="FG153" s="336">
        <f t="shared" si="1321"/>
        <v>0</v>
      </c>
      <c r="FH153" s="336">
        <f t="shared" si="1322"/>
        <v>0</v>
      </c>
      <c r="FI153" s="336">
        <f t="shared" si="1323"/>
        <v>0</v>
      </c>
      <c r="FJ153" s="336">
        <f t="shared" si="1324"/>
        <v>0</v>
      </c>
      <c r="FK153" s="336">
        <f t="shared" si="1325"/>
        <v>0</v>
      </c>
      <c r="FL153" s="336">
        <f t="shared" si="1326"/>
        <v>0</v>
      </c>
      <c r="FM153" s="336">
        <f t="shared" si="1327"/>
        <v>0</v>
      </c>
      <c r="FN153" s="336">
        <f t="shared" si="1328"/>
        <v>0</v>
      </c>
      <c r="FO153" s="336">
        <f t="shared" si="1329"/>
        <v>0</v>
      </c>
      <c r="FP153" s="336">
        <f t="shared" si="1330"/>
        <v>0</v>
      </c>
      <c r="FQ153" s="336">
        <f t="shared" si="1331"/>
        <v>0</v>
      </c>
      <c r="FR153" s="336">
        <f t="shared" si="1332"/>
        <v>0</v>
      </c>
      <c r="FS153" s="336">
        <f t="shared" si="1333"/>
        <v>27</v>
      </c>
      <c r="FT153" s="336">
        <f t="shared" si="1334"/>
        <v>0</v>
      </c>
      <c r="FU153" s="336">
        <f t="shared" si="1222"/>
        <v>0</v>
      </c>
      <c r="FV153" s="336">
        <f t="shared" si="1223"/>
        <v>0</v>
      </c>
      <c r="FW153" s="336">
        <f t="shared" si="1224"/>
        <v>0</v>
      </c>
      <c r="FX153" s="336">
        <f t="shared" si="1225"/>
        <v>0</v>
      </c>
      <c r="FY153" s="336">
        <f t="shared" si="948"/>
        <v>27</v>
      </c>
      <c r="FZ153" s="336">
        <f t="shared" si="949"/>
        <v>27</v>
      </c>
      <c r="GA153" s="336">
        <f t="shared" si="950"/>
        <v>27</v>
      </c>
      <c r="GB153" s="336">
        <f t="shared" si="951"/>
        <v>0</v>
      </c>
      <c r="GC153" s="336">
        <f t="shared" si="952"/>
        <v>0</v>
      </c>
      <c r="GD153" s="336">
        <f t="shared" si="953"/>
        <v>27</v>
      </c>
      <c r="GE153" s="336">
        <f t="shared" si="954"/>
        <v>0</v>
      </c>
      <c r="GF153" s="336">
        <f t="shared" si="955"/>
        <v>0</v>
      </c>
      <c r="GG153" s="336">
        <f t="shared" si="956"/>
        <v>27</v>
      </c>
      <c r="GH153" s="336">
        <f t="shared" si="957"/>
        <v>0</v>
      </c>
      <c r="GI153" s="336">
        <f t="shared" si="958"/>
        <v>27</v>
      </c>
      <c r="GJ153" s="336">
        <f t="shared" si="959"/>
        <v>0</v>
      </c>
      <c r="GK153" s="336">
        <f t="shared" si="960"/>
        <v>27</v>
      </c>
      <c r="GL153" s="336">
        <f t="shared" si="1226"/>
        <v>0</v>
      </c>
      <c r="GM153" s="336">
        <f t="shared" si="961"/>
        <v>0</v>
      </c>
    </row>
    <row r="154" spans="1:195" ht="25.5">
      <c r="A154" s="337">
        <f t="shared" si="1362"/>
        <v>118</v>
      </c>
      <c r="B154" s="567" t="s">
        <v>1294</v>
      </c>
      <c r="C154" s="372" t="s">
        <v>1278</v>
      </c>
      <c r="D154" s="567" t="s">
        <v>1295</v>
      </c>
      <c r="E154" s="440" t="s">
        <v>1194</v>
      </c>
      <c r="F154" s="372"/>
      <c r="G154" s="337" t="s">
        <v>329</v>
      </c>
      <c r="H154" s="350">
        <v>5</v>
      </c>
      <c r="I154" s="337" t="s">
        <v>330</v>
      </c>
      <c r="J154" s="337" t="s">
        <v>331</v>
      </c>
      <c r="K154" s="343">
        <v>400</v>
      </c>
      <c r="L154" s="343">
        <v>0.85000000000000009</v>
      </c>
      <c r="M154" s="350">
        <v>0.95042105263157861</v>
      </c>
      <c r="N154" s="342">
        <f t="shared" si="1339"/>
        <v>8.9336133449992658</v>
      </c>
      <c r="O154" s="342">
        <f t="shared" si="1340"/>
        <v>0</v>
      </c>
      <c r="P154" s="343" t="str">
        <f t="shared" si="1341"/>
        <v>0.00</v>
      </c>
      <c r="Q154" s="350">
        <v>65</v>
      </c>
      <c r="R154" s="350">
        <v>0</v>
      </c>
      <c r="S154" s="350">
        <f t="shared" si="1342"/>
        <v>0</v>
      </c>
      <c r="T154" s="343" t="s">
        <v>332</v>
      </c>
      <c r="U154" s="350" t="s">
        <v>535</v>
      </c>
      <c r="V154" s="343">
        <v>35</v>
      </c>
      <c r="W154" s="343" t="str">
        <f t="shared" si="1343"/>
        <v>3.5C X 35</v>
      </c>
      <c r="X154" s="343" t="str">
        <f t="shared" si="1344"/>
        <v>3.5C X 35</v>
      </c>
      <c r="Y154" s="343" t="s">
        <v>358</v>
      </c>
      <c r="Z154" s="344">
        <f>IF(T154="AIR",VLOOKUP(W154,'Catalogue Aluminium'!$B$9:$G$93,2,FALSE),IF(T154="GROUND",VLOOKUP(W154,'Catalogue Aluminium'!$B$9:$G$93,3,FALSE),IF(T154="DUCT",VLOOKUP(W154,'Catalogue Aluminium'!$B$9:$G$93,4,FALSE),IF(T154="TRENCH",VLOOKUP(W154,'Catalogue Aluminium'!$B$9:$G$93,2,FALSE)))))</f>
        <v>117</v>
      </c>
      <c r="AA154" s="345">
        <f>VLOOKUP(W154,'Catalogue Aluminium'!$B$9:$G$93,5,FALSE)</f>
        <v>1.1100000000000001</v>
      </c>
      <c r="AB154" s="345">
        <f>VLOOKUP(W154,'Catalogue Aluminium'!$B$9:$G$93,6,FALSE)</f>
        <v>7.9399999999999998E-2</v>
      </c>
      <c r="AC154" s="343">
        <f t="shared" si="1345"/>
        <v>23</v>
      </c>
      <c r="AD154" s="343">
        <f>12+58+20+54+55+2</f>
        <v>201</v>
      </c>
      <c r="AE154" s="343">
        <v>10</v>
      </c>
      <c r="AF154" s="343">
        <v>8</v>
      </c>
      <c r="AG154" s="343">
        <f t="shared" si="1346"/>
        <v>25</v>
      </c>
      <c r="AH154" s="347">
        <f t="shared" si="1347"/>
        <v>267</v>
      </c>
      <c r="AI154" s="344">
        <f>IF(T154="AIR",'Catalogue Aluminium'!$K$9,IF(T154="TRENCH",'Catalogue Aluminium'!$K$12,"NA"))</f>
        <v>0.89</v>
      </c>
      <c r="AJ154" s="342">
        <f>IF(T154="Air",(IF(U154="1C",'Catalogue Aluminium'!$L$9,'Catalogue Aluminium'!$M$9)),IF(T154="DUCT",(IF($U154="1C",'Catalogue Aluminium'!$L$10,'Catalogue Aluminium'!$M$10)),IF(T154="GROUND",(IF($U154="1C",'Catalogue Aluminium'!$L$11,'Catalogue Aluminium'!$M$11)),IF(T154="TRENCH",(IF($U154="1C",'Catalogue Aluminium'!$L$12,'Catalogue Aluminium'!$M$12))))))</f>
        <v>0.66</v>
      </c>
      <c r="AK154" s="344" t="str">
        <f>IF(T154="Air",'Catalogue Aluminium'!$N$9,IF(T154="GROUND",'Catalogue Aluminium'!$N$10,IF(T154="DUCT",'Catalogue Aluminium'!$N$11,IF(T154="TRENCH",'Catalogue Aluminium'!$N$12,"NA"))))</f>
        <v>NA</v>
      </c>
      <c r="AL154" s="344" t="str">
        <f>IF(T154="Air",(IF(U154="1C",'Catalogue Aluminium'!$O$9,'Catalogue Aluminium'!$P$9)),IF(T154="DUCT",(IF($U154="1C",'Catalogue Aluminium'!$O$10,'Catalogue Aluminium'!$P$10)),IF(T154="GROUND",(IF($U154="1C",'Catalogue Aluminium'!$O$11,'Catalogue Aluminium'!$P$11)),IF(T154="TRENCH",(IF($U154="1C",'Catalogue Aluminium'!$O$12,'Catalogue Aluminium'!$P$12))))))</f>
        <v>NA</v>
      </c>
      <c r="AM154" s="344" t="str">
        <f>IF(T154="AIR","NA",IF(T154="TRENCH","NA",IF(T154="DUCT",IF(U154="1C",VLOOKUP(V154,'Catalogue Aluminium'!$Q$9:$S$28,2,FALSE),VLOOKUP(V154,'Catalogue Aluminium'!$Q$9:$S$28,3)),IF(T154="GROUND",IF(U154="1C",VLOOKUP(V154,'Catalogue Aluminium'!$Q$9:$S$28,2,FALSE),VLOOKUP(V154,'Catalogue Aluminium'!$Q$9:$S$28,3))))))</f>
        <v>NA</v>
      </c>
      <c r="AN154" s="351">
        <f t="shared" si="1348"/>
        <v>0.58740000000000003</v>
      </c>
      <c r="AO154" s="350">
        <f t="shared" si="1349"/>
        <v>68.725800000000007</v>
      </c>
      <c r="AP154" s="349">
        <f t="shared" si="1350"/>
        <v>1</v>
      </c>
      <c r="AQ154" s="350" t="str">
        <f t="shared" si="1351"/>
        <v>YES</v>
      </c>
      <c r="AR154" s="351">
        <f t="shared" si="1352"/>
        <v>1.0176987296921931</v>
      </c>
      <c r="AS154" s="343" t="str">
        <f t="shared" si="1353"/>
        <v>YES</v>
      </c>
      <c r="AT154" s="351" t="str">
        <f t="shared" si="1354"/>
        <v>NA</v>
      </c>
      <c r="AU154" s="343" t="str">
        <f t="shared" si="1355"/>
        <v>NA</v>
      </c>
      <c r="AV154" s="354" t="str">
        <f t="shared" si="1356"/>
        <v>1R x 0.6/1kV x 3.5C x 35 Sqmm</v>
      </c>
      <c r="AW154" s="354" t="str">
        <f t="shared" si="1357"/>
        <v>1R x 0.6/1kV x 3.5C x 35 Sqmm</v>
      </c>
      <c r="AX154" s="343">
        <f t="shared" si="1358"/>
        <v>267</v>
      </c>
      <c r="AY154" s="343"/>
      <c r="AZ154" s="343">
        <f t="shared" si="1359"/>
        <v>2</v>
      </c>
      <c r="BA154" s="356" t="str">
        <f t="shared" si="1360"/>
        <v>Q3RR1R2SS1TT1T1.A</v>
      </c>
      <c r="BB154" s="328">
        <f>VLOOKUP(W154,'Catalogue Aluminium'!$B$9:$H$93,7,FALSE)</f>
        <v>27</v>
      </c>
      <c r="BC154" s="328">
        <f t="shared" si="1361"/>
        <v>27</v>
      </c>
      <c r="BE154" s="336"/>
      <c r="BF154" s="336"/>
      <c r="BG154" s="336"/>
      <c r="BH154" s="336"/>
      <c r="BI154" s="336"/>
      <c r="BJ154" s="336"/>
      <c r="BK154" s="336"/>
      <c r="BL154" s="336"/>
      <c r="BM154" s="336"/>
      <c r="BN154" s="336"/>
      <c r="BO154" s="336"/>
      <c r="BP154" s="336"/>
      <c r="BQ154" s="336"/>
      <c r="BR154" s="336"/>
      <c r="BS154" s="336"/>
      <c r="BT154" s="336"/>
      <c r="BU154" s="336"/>
      <c r="BV154" s="336"/>
      <c r="BW154" s="336"/>
      <c r="BX154" s="336"/>
      <c r="BY154" s="336"/>
      <c r="BZ154" s="336"/>
      <c r="CA154" s="336"/>
      <c r="CB154" s="336"/>
      <c r="CC154" s="336"/>
      <c r="CD154" s="336"/>
      <c r="CE154" s="336"/>
      <c r="CF154" s="336"/>
      <c r="CG154" s="336"/>
      <c r="CH154" s="336"/>
      <c r="CI154" s="336"/>
      <c r="CJ154" s="336"/>
      <c r="CK154" s="336"/>
      <c r="CL154" s="336"/>
      <c r="CM154" s="336"/>
      <c r="CN154" s="336"/>
      <c r="CO154" s="336"/>
      <c r="CP154" s="336"/>
      <c r="CQ154" s="336"/>
      <c r="CR154" s="336"/>
      <c r="CS154" s="336"/>
      <c r="CT154" s="336"/>
      <c r="CU154" s="336"/>
      <c r="CV154" s="336"/>
      <c r="CW154" s="336"/>
      <c r="CX154" s="336"/>
      <c r="CY154" s="336"/>
      <c r="CZ154" s="336"/>
      <c r="DA154" s="336">
        <v>1</v>
      </c>
      <c r="DB154" s="336"/>
      <c r="DC154" s="336"/>
      <c r="DD154" s="336"/>
      <c r="DE154" s="336"/>
      <c r="DF154" s="336"/>
      <c r="DG154" s="336">
        <v>1</v>
      </c>
      <c r="DH154" s="336">
        <v>1</v>
      </c>
      <c r="DI154" s="336">
        <v>1</v>
      </c>
      <c r="DJ154" s="336"/>
      <c r="DK154" s="336"/>
      <c r="DL154" s="336">
        <v>1</v>
      </c>
      <c r="DM154" s="336"/>
      <c r="DN154" s="336"/>
      <c r="DO154" s="336">
        <v>1</v>
      </c>
      <c r="DP154" s="336"/>
      <c r="DQ154" s="336">
        <v>1</v>
      </c>
      <c r="DR154" s="336">
        <v>1</v>
      </c>
      <c r="DS154" s="336"/>
      <c r="DT154" s="336">
        <v>1</v>
      </c>
      <c r="DU154" s="336"/>
      <c r="DW154" s="336">
        <f t="shared" si="1286"/>
        <v>0</v>
      </c>
      <c r="DX154" s="336">
        <f t="shared" si="1287"/>
        <v>0</v>
      </c>
      <c r="DY154" s="336">
        <f t="shared" si="1288"/>
        <v>0</v>
      </c>
      <c r="DZ154" s="336">
        <f t="shared" si="1289"/>
        <v>0</v>
      </c>
      <c r="EA154" s="336">
        <f t="shared" si="1290"/>
        <v>0</v>
      </c>
      <c r="EB154" s="336">
        <f t="shared" si="1291"/>
        <v>0</v>
      </c>
      <c r="EC154" s="336">
        <f t="shared" si="1292"/>
        <v>0</v>
      </c>
      <c r="ED154" s="336">
        <f t="shared" si="1293"/>
        <v>0</v>
      </c>
      <c r="EE154" s="336">
        <f t="shared" si="1294"/>
        <v>0</v>
      </c>
      <c r="EF154" s="336">
        <f t="shared" si="1295"/>
        <v>0</v>
      </c>
      <c r="EG154" s="336">
        <f t="shared" si="1296"/>
        <v>0</v>
      </c>
      <c r="EH154" s="336">
        <f t="shared" si="1297"/>
        <v>0</v>
      </c>
      <c r="EI154" s="336">
        <f t="shared" si="1298"/>
        <v>0</v>
      </c>
      <c r="EJ154" s="336">
        <f t="shared" si="1299"/>
        <v>0</v>
      </c>
      <c r="EK154" s="336">
        <f t="shared" si="1300"/>
        <v>0</v>
      </c>
      <c r="EL154" s="336">
        <f t="shared" si="1301"/>
        <v>0</v>
      </c>
      <c r="EM154" s="336">
        <f t="shared" si="1302"/>
        <v>0</v>
      </c>
      <c r="EN154" s="336">
        <f t="shared" si="1303"/>
        <v>0</v>
      </c>
      <c r="EO154" s="336">
        <f t="shared" si="1304"/>
        <v>0</v>
      </c>
      <c r="EP154" s="336">
        <f t="shared" si="1305"/>
        <v>0</v>
      </c>
      <c r="EQ154" s="336">
        <f t="shared" si="1306"/>
        <v>0</v>
      </c>
      <c r="ER154" s="336">
        <f t="shared" si="1307"/>
        <v>0</v>
      </c>
      <c r="ES154" s="336">
        <f t="shared" si="1308"/>
        <v>0</v>
      </c>
      <c r="ET154" s="336">
        <f t="shared" si="1308"/>
        <v>0</v>
      </c>
      <c r="EU154" s="336">
        <f t="shared" si="1309"/>
        <v>0</v>
      </c>
      <c r="EV154" s="336">
        <f t="shared" si="1310"/>
        <v>0</v>
      </c>
      <c r="EW154" s="336">
        <f t="shared" si="1311"/>
        <v>0</v>
      </c>
      <c r="EX154" s="336">
        <f t="shared" si="1312"/>
        <v>0</v>
      </c>
      <c r="EY154" s="336">
        <f t="shared" si="1313"/>
        <v>0</v>
      </c>
      <c r="EZ154" s="336">
        <f t="shared" si="1314"/>
        <v>0</v>
      </c>
      <c r="FA154" s="336">
        <f t="shared" si="1315"/>
        <v>0</v>
      </c>
      <c r="FB154" s="336">
        <f t="shared" si="1316"/>
        <v>0</v>
      </c>
      <c r="FC154" s="336">
        <f t="shared" si="1317"/>
        <v>0</v>
      </c>
      <c r="FD154" s="336">
        <f t="shared" si="1318"/>
        <v>0</v>
      </c>
      <c r="FE154" s="336">
        <f t="shared" si="1319"/>
        <v>0</v>
      </c>
      <c r="FF154" s="336">
        <f t="shared" si="1320"/>
        <v>0</v>
      </c>
      <c r="FG154" s="336">
        <f t="shared" si="1321"/>
        <v>0</v>
      </c>
      <c r="FH154" s="336">
        <f t="shared" si="1322"/>
        <v>0</v>
      </c>
      <c r="FI154" s="336">
        <f t="shared" si="1323"/>
        <v>0</v>
      </c>
      <c r="FJ154" s="336">
        <f t="shared" si="1324"/>
        <v>0</v>
      </c>
      <c r="FK154" s="336">
        <f t="shared" si="1325"/>
        <v>0</v>
      </c>
      <c r="FL154" s="336">
        <f t="shared" si="1326"/>
        <v>0</v>
      </c>
      <c r="FM154" s="336">
        <f t="shared" si="1327"/>
        <v>0</v>
      </c>
      <c r="FN154" s="336">
        <f t="shared" si="1328"/>
        <v>0</v>
      </c>
      <c r="FO154" s="336">
        <f t="shared" si="1329"/>
        <v>0</v>
      </c>
      <c r="FP154" s="336">
        <f t="shared" si="1330"/>
        <v>0</v>
      </c>
      <c r="FQ154" s="336">
        <f t="shared" si="1331"/>
        <v>0</v>
      </c>
      <c r="FR154" s="336">
        <f t="shared" si="1332"/>
        <v>0</v>
      </c>
      <c r="FS154" s="336">
        <f t="shared" si="1333"/>
        <v>27</v>
      </c>
      <c r="FT154" s="336">
        <f t="shared" si="1334"/>
        <v>0</v>
      </c>
      <c r="FU154" s="336">
        <f t="shared" si="1222"/>
        <v>0</v>
      </c>
      <c r="FV154" s="336">
        <f t="shared" si="1223"/>
        <v>0</v>
      </c>
      <c r="FW154" s="336">
        <f t="shared" si="1224"/>
        <v>0</v>
      </c>
      <c r="FX154" s="336">
        <f t="shared" si="1225"/>
        <v>0</v>
      </c>
      <c r="FY154" s="336">
        <f t="shared" ref="FY154:FY160" si="1364">IF(DG154=1,($BC154*DG154),0)</f>
        <v>27</v>
      </c>
      <c r="FZ154" s="336">
        <f t="shared" ref="FZ154:FZ160" si="1365">IF(DH154=1,($BC154*DH154),0)</f>
        <v>27</v>
      </c>
      <c r="GA154" s="336">
        <f t="shared" ref="GA154:GA160" si="1366">IF(DI154=1,($BC154*DI154),0)</f>
        <v>27</v>
      </c>
      <c r="GB154" s="336">
        <f t="shared" ref="GB154:GB160" si="1367">IF(DJ154=1,($BC154*DJ154),0)</f>
        <v>0</v>
      </c>
      <c r="GC154" s="336">
        <f t="shared" ref="GC154:GC160" si="1368">IF(DK154=1,($BC154*DK154),0)</f>
        <v>0</v>
      </c>
      <c r="GD154" s="336">
        <f t="shared" ref="GD154:GD160" si="1369">IF(DL154=1,($BC154*DL154),0)</f>
        <v>27</v>
      </c>
      <c r="GE154" s="336">
        <f t="shared" ref="GE154:GE160" si="1370">IF(DM154=1,($BC154*DM154),0)</f>
        <v>0</v>
      </c>
      <c r="GF154" s="336">
        <f t="shared" ref="GF154:GF160" si="1371">IF(DN154=1,($BC154*DN154),0)</f>
        <v>0</v>
      </c>
      <c r="GG154" s="336">
        <f t="shared" ref="GG154:GG160" si="1372">IF(DO154=1,($BC154*DO154),0)</f>
        <v>27</v>
      </c>
      <c r="GH154" s="336">
        <f t="shared" ref="GH154:GH160" si="1373">IF(DP154=1,($BC154*DP154),0)</f>
        <v>0</v>
      </c>
      <c r="GI154" s="336">
        <f t="shared" ref="GI154:GI160" si="1374">IF(DQ154=1,($BC154*DQ154),0)</f>
        <v>27</v>
      </c>
      <c r="GJ154" s="336">
        <f t="shared" ref="GJ154:GJ160" si="1375">IF(DR154=1,($BC154*DR154),0)</f>
        <v>27</v>
      </c>
      <c r="GK154" s="336">
        <f t="shared" ref="GK154:GK160" si="1376">IF(DS154=1,($BC154*DS154),0)</f>
        <v>0</v>
      </c>
      <c r="GL154" s="336">
        <f t="shared" si="1226"/>
        <v>27</v>
      </c>
      <c r="GM154" s="336">
        <f t="shared" ref="GM154:GM160" si="1377">IF(DU154=1,($BC154*DU154),0)</f>
        <v>0</v>
      </c>
    </row>
    <row r="155" spans="1:195">
      <c r="A155" s="337">
        <f t="shared" si="1362"/>
        <v>119</v>
      </c>
      <c r="B155" s="567" t="s">
        <v>1296</v>
      </c>
      <c r="C155" s="372" t="s">
        <v>1278</v>
      </c>
      <c r="D155" s="567" t="s">
        <v>1297</v>
      </c>
      <c r="E155" s="440" t="s">
        <v>419</v>
      </c>
      <c r="F155" s="372"/>
      <c r="G155" s="337" t="s">
        <v>329</v>
      </c>
      <c r="H155" s="350">
        <v>5</v>
      </c>
      <c r="I155" s="337" t="s">
        <v>330</v>
      </c>
      <c r="J155" s="337" t="s">
        <v>331</v>
      </c>
      <c r="K155" s="343">
        <v>400</v>
      </c>
      <c r="L155" s="343">
        <v>0.85000000000000009</v>
      </c>
      <c r="M155" s="350">
        <v>0.95042105263157861</v>
      </c>
      <c r="N155" s="342">
        <f t="shared" si="1339"/>
        <v>8.9336133449992658</v>
      </c>
      <c r="O155" s="342">
        <f t="shared" si="1340"/>
        <v>0</v>
      </c>
      <c r="P155" s="343" t="str">
        <f t="shared" si="1341"/>
        <v>0.00</v>
      </c>
      <c r="Q155" s="350">
        <v>65</v>
      </c>
      <c r="R155" s="350">
        <v>0</v>
      </c>
      <c r="S155" s="350">
        <f t="shared" si="1342"/>
        <v>0</v>
      </c>
      <c r="T155" s="343" t="s">
        <v>332</v>
      </c>
      <c r="U155" s="350" t="s">
        <v>535</v>
      </c>
      <c r="V155" s="343">
        <v>35</v>
      </c>
      <c r="W155" s="343" t="str">
        <f t="shared" si="1343"/>
        <v>3.5C X 35</v>
      </c>
      <c r="X155" s="343" t="str">
        <f t="shared" si="1344"/>
        <v>3.5C X 35</v>
      </c>
      <c r="Y155" s="343" t="s">
        <v>358</v>
      </c>
      <c r="Z155" s="344">
        <f>IF(T155="AIR",VLOOKUP(W155,'Catalogue Aluminium'!$B$9:$G$93,2,FALSE),IF(T155="GROUND",VLOOKUP(W155,'Catalogue Aluminium'!$B$9:$G$93,3,FALSE),IF(T155="DUCT",VLOOKUP(W155,'Catalogue Aluminium'!$B$9:$G$93,4,FALSE),IF(T155="TRENCH",VLOOKUP(W155,'Catalogue Aluminium'!$B$9:$G$93,2,FALSE)))))</f>
        <v>117</v>
      </c>
      <c r="AA155" s="345">
        <f>VLOOKUP(W155,'Catalogue Aluminium'!$B$9:$G$93,5,FALSE)</f>
        <v>1.1100000000000001</v>
      </c>
      <c r="AB155" s="345">
        <f>VLOOKUP(W155,'Catalogue Aluminium'!$B$9:$G$93,6,FALSE)</f>
        <v>7.9399999999999998E-2</v>
      </c>
      <c r="AC155" s="343">
        <f t="shared" ref="AC155" si="1378">15+8</f>
        <v>23</v>
      </c>
      <c r="AD155" s="343">
        <v>9</v>
      </c>
      <c r="AE155" s="343">
        <v>10</v>
      </c>
      <c r="AF155" s="343">
        <v>8</v>
      </c>
      <c r="AG155" s="343">
        <f t="shared" si="1346"/>
        <v>5</v>
      </c>
      <c r="AH155" s="347">
        <f t="shared" si="1347"/>
        <v>55</v>
      </c>
      <c r="AI155" s="344">
        <f>IF(T155="AIR",'Catalogue Aluminium'!$K$9,IF(T155="TRENCH",'Catalogue Aluminium'!$K$12,"NA"))</f>
        <v>0.89</v>
      </c>
      <c r="AJ155" s="342">
        <f>IF(T155="Air",(IF(U155="1C",'Catalogue Aluminium'!$L$9,'Catalogue Aluminium'!$M$9)),IF(T155="DUCT",(IF($U155="1C",'Catalogue Aluminium'!$L$10,'Catalogue Aluminium'!$M$10)),IF(T155="GROUND",(IF($U155="1C",'Catalogue Aluminium'!$L$11,'Catalogue Aluminium'!$M$11)),IF(T155="TRENCH",(IF($U155="1C",'Catalogue Aluminium'!$L$12,'Catalogue Aluminium'!$M$12))))))</f>
        <v>0.66</v>
      </c>
      <c r="AK155" s="344" t="str">
        <f>IF(T155="Air",'Catalogue Aluminium'!$N$9,IF(T155="GROUND",'Catalogue Aluminium'!$N$10,IF(T155="DUCT",'Catalogue Aluminium'!$N$11,IF(T155="TRENCH",'Catalogue Aluminium'!$N$12,"NA"))))</f>
        <v>NA</v>
      </c>
      <c r="AL155" s="344" t="str">
        <f>IF(T155="Air",(IF(U155="1C",'Catalogue Aluminium'!$O$9,'Catalogue Aluminium'!$P$9)),IF(T155="DUCT",(IF($U155="1C",'Catalogue Aluminium'!$O$10,'Catalogue Aluminium'!$P$10)),IF(T155="GROUND",(IF($U155="1C",'Catalogue Aluminium'!$O$11,'Catalogue Aluminium'!$P$11)),IF(T155="TRENCH",(IF($U155="1C",'Catalogue Aluminium'!$O$12,'Catalogue Aluminium'!$P$12))))))</f>
        <v>NA</v>
      </c>
      <c r="AM155" s="344" t="str">
        <f>IF(T155="AIR","NA",IF(T155="TRENCH","NA",IF(T155="DUCT",IF(U155="1C",VLOOKUP(V155,'Catalogue Aluminium'!$Q$9:$S$28,2,FALSE),VLOOKUP(V155,'Catalogue Aluminium'!$Q$9:$S$28,3)),IF(T155="GROUND",IF(U155="1C",VLOOKUP(V155,'Catalogue Aluminium'!$Q$9:$S$28,2,FALSE),VLOOKUP(V155,'Catalogue Aluminium'!$Q$9:$S$28,3))))))</f>
        <v>NA</v>
      </c>
      <c r="AN155" s="351">
        <f t="shared" si="1348"/>
        <v>0.58740000000000003</v>
      </c>
      <c r="AO155" s="350">
        <f t="shared" si="1349"/>
        <v>68.725800000000007</v>
      </c>
      <c r="AP155" s="349">
        <f t="shared" si="1350"/>
        <v>1</v>
      </c>
      <c r="AQ155" s="350" t="str">
        <f t="shared" si="1351"/>
        <v>YES</v>
      </c>
      <c r="AR155" s="351">
        <f t="shared" si="1352"/>
        <v>0.20963831510513339</v>
      </c>
      <c r="AS155" s="343" t="str">
        <f t="shared" si="1353"/>
        <v>YES</v>
      </c>
      <c r="AT155" s="351" t="str">
        <f t="shared" si="1354"/>
        <v>NA</v>
      </c>
      <c r="AU155" s="343" t="str">
        <f t="shared" si="1355"/>
        <v>NA</v>
      </c>
      <c r="AV155" s="354" t="str">
        <f t="shared" si="1356"/>
        <v>1R x 0.6/1kV x 3.5C x 35 Sqmm</v>
      </c>
      <c r="AW155" s="354" t="str">
        <f t="shared" si="1357"/>
        <v>1R x 0.6/1kV x 3.5C x 35 Sqmm</v>
      </c>
      <c r="AX155" s="342">
        <f t="shared" si="1358"/>
        <v>55</v>
      </c>
      <c r="AY155" s="342"/>
      <c r="AZ155" s="342">
        <f t="shared" si="1359"/>
        <v>2</v>
      </c>
      <c r="BA155" s="356" t="str">
        <f t="shared" si="1360"/>
        <v/>
      </c>
      <c r="BB155" s="762">
        <f>VLOOKUP(W155,'Catalogue Aluminium'!$B$9:$H$93,7,FALSE)</f>
        <v>27</v>
      </c>
      <c r="BC155" s="762">
        <f t="shared" si="1361"/>
        <v>27</v>
      </c>
      <c r="BE155" s="762"/>
      <c r="BF155" s="762"/>
      <c r="BG155" s="762"/>
      <c r="BH155" s="762"/>
      <c r="BI155" s="762"/>
      <c r="BJ155" s="336"/>
      <c r="BK155" s="336"/>
      <c r="BL155" s="336"/>
      <c r="BM155" s="336"/>
      <c r="BN155" s="336"/>
      <c r="BO155" s="336"/>
      <c r="BP155" s="336"/>
      <c r="BQ155" s="336"/>
      <c r="BR155" s="336"/>
      <c r="BS155" s="336"/>
      <c r="BT155" s="336"/>
      <c r="BU155" s="336"/>
      <c r="BV155" s="336"/>
      <c r="BW155" s="336"/>
      <c r="BX155" s="336"/>
      <c r="BY155" s="336"/>
      <c r="BZ155" s="336"/>
      <c r="CA155" s="336"/>
      <c r="CB155" s="336"/>
      <c r="CC155" s="336"/>
      <c r="CD155" s="336"/>
      <c r="CE155" s="336"/>
      <c r="CF155" s="336"/>
      <c r="CG155" s="336"/>
      <c r="CH155" s="336"/>
      <c r="CI155" s="336"/>
      <c r="CJ155" s="336"/>
      <c r="CK155" s="336"/>
      <c r="CL155" s="336"/>
      <c r="CM155" s="336"/>
      <c r="CN155" s="336"/>
      <c r="CO155" s="336"/>
      <c r="CP155" s="336"/>
      <c r="CQ155" s="336"/>
      <c r="CR155" s="336"/>
      <c r="CS155" s="336"/>
      <c r="CT155" s="336"/>
      <c r="CU155" s="336"/>
      <c r="CV155" s="336"/>
      <c r="CW155" s="336"/>
      <c r="CX155" s="336"/>
      <c r="CY155" s="336"/>
      <c r="CZ155" s="336"/>
      <c r="DA155" s="336"/>
      <c r="DB155" s="336"/>
      <c r="DC155" s="336"/>
      <c r="DD155" s="336"/>
      <c r="DE155" s="336"/>
      <c r="DF155" s="336"/>
      <c r="DG155" s="336"/>
      <c r="DH155" s="336"/>
      <c r="DI155" s="336"/>
      <c r="DJ155" s="336"/>
      <c r="DK155" s="336"/>
      <c r="DL155" s="336"/>
      <c r="DM155" s="336"/>
      <c r="DN155" s="336"/>
      <c r="DO155" s="336"/>
      <c r="DP155" s="336"/>
      <c r="DQ155" s="336"/>
      <c r="DR155" s="336"/>
      <c r="DS155" s="336"/>
      <c r="DT155" s="336"/>
      <c r="DU155" s="336"/>
      <c r="DW155" s="336">
        <f t="shared" si="1286"/>
        <v>0</v>
      </c>
      <c r="DX155" s="336">
        <f t="shared" si="1287"/>
        <v>0</v>
      </c>
      <c r="DY155" s="336">
        <f t="shared" si="1288"/>
        <v>0</v>
      </c>
      <c r="DZ155" s="336">
        <f t="shared" si="1289"/>
        <v>0</v>
      </c>
      <c r="EA155" s="336">
        <f t="shared" si="1290"/>
        <v>0</v>
      </c>
      <c r="EB155" s="336">
        <f t="shared" si="1291"/>
        <v>0</v>
      </c>
      <c r="EC155" s="336">
        <f t="shared" si="1292"/>
        <v>0</v>
      </c>
      <c r="ED155" s="336">
        <f t="shared" si="1293"/>
        <v>0</v>
      </c>
      <c r="EE155" s="336">
        <f t="shared" si="1294"/>
        <v>0</v>
      </c>
      <c r="EF155" s="336">
        <f t="shared" si="1295"/>
        <v>0</v>
      </c>
      <c r="EG155" s="336">
        <f t="shared" si="1296"/>
        <v>0</v>
      </c>
      <c r="EH155" s="336">
        <f t="shared" si="1297"/>
        <v>0</v>
      </c>
      <c r="EI155" s="336">
        <f t="shared" si="1298"/>
        <v>0</v>
      </c>
      <c r="EJ155" s="336">
        <f t="shared" si="1299"/>
        <v>0</v>
      </c>
      <c r="EK155" s="336">
        <f t="shared" si="1300"/>
        <v>0</v>
      </c>
      <c r="EL155" s="336">
        <f t="shared" si="1301"/>
        <v>0</v>
      </c>
      <c r="EM155" s="336">
        <f t="shared" si="1302"/>
        <v>0</v>
      </c>
      <c r="EN155" s="336">
        <f t="shared" si="1303"/>
        <v>0</v>
      </c>
      <c r="EO155" s="336">
        <f t="shared" si="1304"/>
        <v>0</v>
      </c>
      <c r="EP155" s="336">
        <f t="shared" si="1305"/>
        <v>0</v>
      </c>
      <c r="EQ155" s="336">
        <f t="shared" si="1306"/>
        <v>0</v>
      </c>
      <c r="ER155" s="336">
        <f t="shared" si="1307"/>
        <v>0</v>
      </c>
      <c r="ES155" s="336">
        <f t="shared" si="1308"/>
        <v>0</v>
      </c>
      <c r="ET155" s="336">
        <f t="shared" si="1308"/>
        <v>0</v>
      </c>
      <c r="EU155" s="336">
        <f t="shared" si="1309"/>
        <v>0</v>
      </c>
      <c r="EV155" s="336">
        <f t="shared" si="1310"/>
        <v>0</v>
      </c>
      <c r="EW155" s="336">
        <f t="shared" si="1311"/>
        <v>0</v>
      </c>
      <c r="EX155" s="336">
        <f t="shared" si="1312"/>
        <v>0</v>
      </c>
      <c r="EY155" s="336">
        <f t="shared" si="1313"/>
        <v>0</v>
      </c>
      <c r="EZ155" s="336">
        <f t="shared" si="1314"/>
        <v>0</v>
      </c>
      <c r="FA155" s="336">
        <f t="shared" si="1315"/>
        <v>0</v>
      </c>
      <c r="FB155" s="336">
        <f t="shared" si="1316"/>
        <v>0</v>
      </c>
      <c r="FC155" s="336">
        <f t="shared" si="1317"/>
        <v>0</v>
      </c>
      <c r="FD155" s="336">
        <f t="shared" si="1318"/>
        <v>0</v>
      </c>
      <c r="FE155" s="336">
        <f t="shared" si="1319"/>
        <v>0</v>
      </c>
      <c r="FF155" s="336">
        <f t="shared" si="1320"/>
        <v>0</v>
      </c>
      <c r="FG155" s="336">
        <f t="shared" si="1321"/>
        <v>0</v>
      </c>
      <c r="FH155" s="336">
        <f t="shared" si="1322"/>
        <v>0</v>
      </c>
      <c r="FI155" s="336">
        <f t="shared" si="1323"/>
        <v>0</v>
      </c>
      <c r="FJ155" s="336">
        <f t="shared" si="1324"/>
        <v>0</v>
      </c>
      <c r="FK155" s="336">
        <f t="shared" si="1325"/>
        <v>0</v>
      </c>
      <c r="FL155" s="336">
        <f t="shared" si="1326"/>
        <v>0</v>
      </c>
      <c r="FM155" s="336">
        <f t="shared" si="1327"/>
        <v>0</v>
      </c>
      <c r="FN155" s="336">
        <f t="shared" si="1328"/>
        <v>0</v>
      </c>
      <c r="FO155" s="336">
        <f t="shared" si="1329"/>
        <v>0</v>
      </c>
      <c r="FP155" s="336">
        <f t="shared" si="1330"/>
        <v>0</v>
      </c>
      <c r="FQ155" s="336">
        <f t="shared" si="1331"/>
        <v>0</v>
      </c>
      <c r="FR155" s="336">
        <f t="shared" si="1332"/>
        <v>0</v>
      </c>
      <c r="FS155" s="336">
        <f t="shared" si="1333"/>
        <v>0</v>
      </c>
      <c r="FT155" s="336">
        <f t="shared" si="1334"/>
        <v>0</v>
      </c>
      <c r="FU155" s="336">
        <f t="shared" si="1222"/>
        <v>0</v>
      </c>
      <c r="FV155" s="336">
        <f t="shared" si="1223"/>
        <v>0</v>
      </c>
      <c r="FW155" s="336">
        <f t="shared" si="1224"/>
        <v>0</v>
      </c>
      <c r="FX155" s="336">
        <f t="shared" si="1225"/>
        <v>0</v>
      </c>
      <c r="FY155" s="336">
        <f t="shared" si="1364"/>
        <v>0</v>
      </c>
      <c r="FZ155" s="336">
        <f t="shared" si="1365"/>
        <v>0</v>
      </c>
      <c r="GA155" s="336">
        <f t="shared" si="1366"/>
        <v>0</v>
      </c>
      <c r="GB155" s="336">
        <f t="shared" si="1367"/>
        <v>0</v>
      </c>
      <c r="GC155" s="336">
        <f t="shared" si="1368"/>
        <v>0</v>
      </c>
      <c r="GD155" s="336">
        <f t="shared" si="1369"/>
        <v>0</v>
      </c>
      <c r="GE155" s="336">
        <f t="shared" si="1370"/>
        <v>0</v>
      </c>
      <c r="GF155" s="336">
        <f t="shared" si="1371"/>
        <v>0</v>
      </c>
      <c r="GG155" s="336">
        <f t="shared" si="1372"/>
        <v>0</v>
      </c>
      <c r="GH155" s="336">
        <f t="shared" si="1373"/>
        <v>0</v>
      </c>
      <c r="GI155" s="336">
        <f t="shared" si="1374"/>
        <v>0</v>
      </c>
      <c r="GJ155" s="336">
        <f t="shared" si="1375"/>
        <v>0</v>
      </c>
      <c r="GK155" s="336">
        <f t="shared" si="1376"/>
        <v>0</v>
      </c>
      <c r="GL155" s="336">
        <f t="shared" si="1226"/>
        <v>0</v>
      </c>
      <c r="GM155" s="336">
        <f t="shared" si="1377"/>
        <v>0</v>
      </c>
    </row>
    <row r="156" spans="1:195" ht="25.5">
      <c r="A156" s="337">
        <f t="shared" si="1362"/>
        <v>120</v>
      </c>
      <c r="B156" s="567" t="s">
        <v>1298</v>
      </c>
      <c r="C156" s="372" t="s">
        <v>1278</v>
      </c>
      <c r="D156" s="567" t="s">
        <v>1299</v>
      </c>
      <c r="E156" s="440" t="s">
        <v>1300</v>
      </c>
      <c r="F156" s="372"/>
      <c r="G156" s="337" t="s">
        <v>329</v>
      </c>
      <c r="H156" s="350">
        <v>5</v>
      </c>
      <c r="I156" s="337" t="s">
        <v>330</v>
      </c>
      <c r="J156" s="337" t="s">
        <v>331</v>
      </c>
      <c r="K156" s="343">
        <v>400</v>
      </c>
      <c r="L156" s="343">
        <v>0.85000000000000009</v>
      </c>
      <c r="M156" s="350">
        <v>0.95042105263157861</v>
      </c>
      <c r="N156" s="342">
        <f t="shared" si="1339"/>
        <v>8.9336133449992658</v>
      </c>
      <c r="O156" s="342">
        <f t="shared" ref="O156:O157" si="1379">IF(G156="MOTOR",(6*N156),IF(G156="VFD",(1*N156),0))</f>
        <v>0</v>
      </c>
      <c r="P156" s="343" t="str">
        <f t="shared" ref="P156:P157" si="1380">IF(G156="MOTOR",0.2,"0.00")</f>
        <v>0.00</v>
      </c>
      <c r="Q156" s="350">
        <v>65</v>
      </c>
      <c r="R156" s="350">
        <v>0</v>
      </c>
      <c r="S156" s="350">
        <f t="shared" ref="S156:S157" si="1381">(Q156*1000*SQRT(R156)/143)</f>
        <v>0</v>
      </c>
      <c r="T156" s="343" t="s">
        <v>332</v>
      </c>
      <c r="U156" s="350" t="s">
        <v>522</v>
      </c>
      <c r="V156" s="343">
        <v>16</v>
      </c>
      <c r="W156" s="343" t="str">
        <f t="shared" ref="W156:W157" si="1382">CONCATENATE(U156," X ",V156)</f>
        <v>4C X 16</v>
      </c>
      <c r="X156" s="343" t="str">
        <f t="shared" ref="X156:X157" si="1383">(IF(J156="1Ph",W156,IF(J156="3Ph",(IF(G156="MOTOR",(CONCATENATE(W156,"+PE")),W156)))))</f>
        <v>4C X 16</v>
      </c>
      <c r="Y156" s="343" t="s">
        <v>358</v>
      </c>
      <c r="Z156" s="344">
        <f>IF(T156="AIR",VLOOKUP(W156,'Catalogue Aluminium'!$B$9:$G$93,2,FALSE),IF(T156="GROUND",VLOOKUP(W156,'Catalogue Aluminium'!$B$9:$G$93,3,FALSE),IF(T156="DUCT",VLOOKUP(W156,'Catalogue Aluminium'!$B$9:$G$93,4,FALSE),IF(T156="TRENCH",VLOOKUP(W156,'Catalogue Aluminium'!$B$9:$G$93,2,FALSE)))))</f>
        <v>70</v>
      </c>
      <c r="AA156" s="345">
        <f>VLOOKUP(W156,'Catalogue Aluminium'!$B$9:$G$93,5,FALSE)</f>
        <v>2.44</v>
      </c>
      <c r="AB156" s="345">
        <f>VLOOKUP(W156,'Catalogue Aluminium'!$B$9:$G$93,6,FALSE)</f>
        <v>8.1500000000000003E-2</v>
      </c>
      <c r="AC156" s="343">
        <f t="shared" si="1345"/>
        <v>23</v>
      </c>
      <c r="AD156" s="343">
        <v>9</v>
      </c>
      <c r="AE156" s="343">
        <v>10</v>
      </c>
      <c r="AF156" s="343">
        <v>8</v>
      </c>
      <c r="AG156" s="343">
        <f t="shared" ref="AG156:AG157" si="1384">ROUNDUP((SUM(AC156:AF156)*0.1),0)</f>
        <v>5</v>
      </c>
      <c r="AH156" s="347">
        <f t="shared" ref="AH156:AH157" si="1385">SUM(AC156:AG156)</f>
        <v>55</v>
      </c>
      <c r="AI156" s="344">
        <f>IF(T156="AIR",'Catalogue Aluminium'!$K$9,IF(T156="TRENCH",'Catalogue Aluminium'!$K$12,"NA"))</f>
        <v>0.89</v>
      </c>
      <c r="AJ156" s="342">
        <f>IF(T156="Air",(IF(U156="1C",'Catalogue Aluminium'!$L$9,'Catalogue Aluminium'!$M$9)),IF(T156="DUCT",(IF($U156="1C",'Catalogue Aluminium'!$L$10,'Catalogue Aluminium'!$M$10)),IF(T156="GROUND",(IF($U156="1C",'Catalogue Aluminium'!$L$11,'Catalogue Aluminium'!$M$11)),IF(T156="TRENCH",(IF($U156="1C",'Catalogue Aluminium'!$L$12,'Catalogue Aluminium'!$M$12))))))</f>
        <v>0.66</v>
      </c>
      <c r="AK156" s="344" t="str">
        <f>IF(T156="Air",'Catalogue Aluminium'!$N$9,IF(T156="GROUND",'Catalogue Aluminium'!$N$10,IF(T156="DUCT",'Catalogue Aluminium'!$N$11,IF(T156="TRENCH",'Catalogue Aluminium'!$N$12,"NA"))))</f>
        <v>NA</v>
      </c>
      <c r="AL156" s="344" t="str">
        <f>IF(T156="Air",(IF(U156="1C",'Catalogue Aluminium'!$O$9,'Catalogue Aluminium'!$P$9)),IF(T156="DUCT",(IF($U156="1C",'Catalogue Aluminium'!$O$10,'Catalogue Aluminium'!$P$10)),IF(T156="GROUND",(IF($U156="1C",'Catalogue Aluminium'!$O$11,'Catalogue Aluminium'!$P$11)),IF(T156="TRENCH",(IF($U156="1C",'Catalogue Aluminium'!$O$12,'Catalogue Aluminium'!$P$12))))))</f>
        <v>NA</v>
      </c>
      <c r="AM156" s="344" t="str">
        <f>IF(T156="AIR","NA",IF(T156="TRENCH","NA",IF(T156="DUCT",IF(U156="1C",VLOOKUP(V156,'Catalogue Aluminium'!$Q$9:$S$28,2,FALSE),VLOOKUP(V156,'Catalogue Aluminium'!$Q$9:$S$28,3)),IF(T156="GROUND",IF(U156="1C",VLOOKUP(V156,'Catalogue Aluminium'!$Q$9:$S$28,2,FALSE),VLOOKUP(V156,'Catalogue Aluminium'!$Q$9:$S$28,3))))))</f>
        <v>NA</v>
      </c>
      <c r="AN156" s="351">
        <f t="shared" ref="AN156:AN157" si="1386">IF(T156="AIR",AI156*AJ156,IF(T156="TRENCH",AI156*AJ156,IF(T156="DUCT",AJ156*AK156*AL156*AM156,IF(T156="GROUND",AJ156*AK156*AL156*AM156))))</f>
        <v>0.58740000000000003</v>
      </c>
      <c r="AO156" s="350">
        <f t="shared" ref="AO156:AO157" si="1387">Z156*AN156</f>
        <v>41.118000000000002</v>
      </c>
      <c r="AP156" s="349">
        <f t="shared" ref="AP156:AP157" si="1388">CEILING(((N156)/AO156),1)</f>
        <v>1</v>
      </c>
      <c r="AQ156" s="350" t="str">
        <f t="shared" ref="AQ156:AQ157" si="1389">IF(AO156*AP156&gt;=N156,"YES","NO")</f>
        <v>YES</v>
      </c>
      <c r="AR156" s="351">
        <f t="shared" ref="AR156:AR157" si="1390">SQRT(3)*AH156*N156*((AA156*L156)+(AB156*SIN(ACOS(L156))))*100/(AP156*K156*1000)</f>
        <v>0.4503991343358445</v>
      </c>
      <c r="AS156" s="343" t="str">
        <f t="shared" si="1353"/>
        <v>YES</v>
      </c>
      <c r="AT156" s="351" t="str">
        <f t="shared" si="1354"/>
        <v>NA</v>
      </c>
      <c r="AU156" s="343" t="str">
        <f t="shared" si="1355"/>
        <v>NA</v>
      </c>
      <c r="AV156" s="354" t="str">
        <f t="shared" si="1356"/>
        <v>1R x 0.6/1kV x 4C x 16 Sqmm</v>
      </c>
      <c r="AW156" s="354" t="str">
        <f t="shared" si="1357"/>
        <v>1R x 0.6/1kV x 4C x 16 Sqmm</v>
      </c>
      <c r="AX156" s="342">
        <f t="shared" si="1358"/>
        <v>55</v>
      </c>
      <c r="AY156" s="342"/>
      <c r="AZ156" s="342">
        <f t="shared" si="1359"/>
        <v>2</v>
      </c>
      <c r="BA156" s="356" t="str">
        <f t="shared" si="1360"/>
        <v/>
      </c>
      <c r="BB156" s="762">
        <f>VLOOKUP(W156,'Catalogue Aluminium'!$B$9:$H$93,7,FALSE)</f>
        <v>21</v>
      </c>
      <c r="BC156" s="762">
        <f t="shared" si="1361"/>
        <v>21</v>
      </c>
      <c r="BE156" s="762"/>
      <c r="BF156" s="762"/>
      <c r="BG156" s="762"/>
      <c r="BH156" s="762"/>
      <c r="BI156" s="762"/>
      <c r="BJ156" s="336"/>
      <c r="BK156" s="336"/>
      <c r="BL156" s="336"/>
      <c r="BM156" s="336"/>
      <c r="BN156" s="336"/>
      <c r="BO156" s="336"/>
      <c r="BP156" s="336"/>
      <c r="BQ156" s="336"/>
      <c r="BR156" s="336"/>
      <c r="BS156" s="336"/>
      <c r="BT156" s="336"/>
      <c r="BU156" s="336"/>
      <c r="BV156" s="336"/>
      <c r="BW156" s="336"/>
      <c r="BX156" s="336"/>
      <c r="BY156" s="336"/>
      <c r="BZ156" s="336"/>
      <c r="CA156" s="336"/>
      <c r="CB156" s="336"/>
      <c r="CC156" s="336"/>
      <c r="CD156" s="336"/>
      <c r="CE156" s="336"/>
      <c r="CF156" s="336"/>
      <c r="CG156" s="336"/>
      <c r="CH156" s="336"/>
      <c r="CI156" s="336"/>
      <c r="CJ156" s="336"/>
      <c r="CK156" s="336"/>
      <c r="CL156" s="336"/>
      <c r="CM156" s="336"/>
      <c r="CN156" s="336"/>
      <c r="CO156" s="336"/>
      <c r="CP156" s="336"/>
      <c r="CQ156" s="336"/>
      <c r="CR156" s="336"/>
      <c r="CS156" s="336"/>
      <c r="CT156" s="336"/>
      <c r="CU156" s="336"/>
      <c r="CV156" s="336"/>
      <c r="CW156" s="336"/>
      <c r="CX156" s="336"/>
      <c r="CY156" s="336"/>
      <c r="CZ156" s="336"/>
      <c r="DA156" s="336"/>
      <c r="DB156" s="336"/>
      <c r="DC156" s="336"/>
      <c r="DD156" s="336"/>
      <c r="DE156" s="336"/>
      <c r="DF156" s="336"/>
      <c r="DG156" s="336"/>
      <c r="DH156" s="336"/>
      <c r="DI156" s="336"/>
      <c r="DJ156" s="336"/>
      <c r="DK156" s="336"/>
      <c r="DL156" s="336"/>
      <c r="DM156" s="336"/>
      <c r="DN156" s="336"/>
      <c r="DO156" s="336"/>
      <c r="DP156" s="336"/>
      <c r="DQ156" s="336"/>
      <c r="DR156" s="336"/>
      <c r="DS156" s="336"/>
      <c r="DT156" s="336"/>
      <c r="DU156" s="336"/>
      <c r="DW156" s="336">
        <f t="shared" si="1286"/>
        <v>0</v>
      </c>
      <c r="DX156" s="336">
        <f t="shared" si="1287"/>
        <v>0</v>
      </c>
      <c r="DY156" s="336">
        <f t="shared" si="1288"/>
        <v>0</v>
      </c>
      <c r="DZ156" s="336">
        <f t="shared" si="1289"/>
        <v>0</v>
      </c>
      <c r="EA156" s="336">
        <f t="shared" si="1290"/>
        <v>0</v>
      </c>
      <c r="EB156" s="336">
        <f t="shared" si="1291"/>
        <v>0</v>
      </c>
      <c r="EC156" s="336">
        <f t="shared" si="1292"/>
        <v>0</v>
      </c>
      <c r="ED156" s="336">
        <f t="shared" si="1293"/>
        <v>0</v>
      </c>
      <c r="EE156" s="336">
        <f t="shared" si="1294"/>
        <v>0</v>
      </c>
      <c r="EF156" s="336">
        <f t="shared" si="1295"/>
        <v>0</v>
      </c>
      <c r="EG156" s="336">
        <f t="shared" si="1296"/>
        <v>0</v>
      </c>
      <c r="EH156" s="336">
        <f t="shared" si="1297"/>
        <v>0</v>
      </c>
      <c r="EI156" s="336">
        <f t="shared" si="1298"/>
        <v>0</v>
      </c>
      <c r="EJ156" s="336">
        <f t="shared" si="1299"/>
        <v>0</v>
      </c>
      <c r="EK156" s="336">
        <f t="shared" si="1300"/>
        <v>0</v>
      </c>
      <c r="EL156" s="336">
        <f t="shared" si="1301"/>
        <v>0</v>
      </c>
      <c r="EM156" s="336">
        <f t="shared" si="1302"/>
        <v>0</v>
      </c>
      <c r="EN156" s="336">
        <f t="shared" si="1303"/>
        <v>0</v>
      </c>
      <c r="EO156" s="336">
        <f t="shared" si="1304"/>
        <v>0</v>
      </c>
      <c r="EP156" s="336">
        <f t="shared" si="1305"/>
        <v>0</v>
      </c>
      <c r="EQ156" s="336">
        <f t="shared" si="1306"/>
        <v>0</v>
      </c>
      <c r="ER156" s="336">
        <f t="shared" si="1307"/>
        <v>0</v>
      </c>
      <c r="ES156" s="336">
        <f t="shared" si="1308"/>
        <v>0</v>
      </c>
      <c r="ET156" s="336">
        <f t="shared" si="1308"/>
        <v>0</v>
      </c>
      <c r="EU156" s="336">
        <f t="shared" si="1309"/>
        <v>0</v>
      </c>
      <c r="EV156" s="336">
        <f t="shared" si="1310"/>
        <v>0</v>
      </c>
      <c r="EW156" s="336">
        <f t="shared" si="1311"/>
        <v>0</v>
      </c>
      <c r="EX156" s="336">
        <f t="shared" si="1312"/>
        <v>0</v>
      </c>
      <c r="EY156" s="336">
        <f t="shared" si="1313"/>
        <v>0</v>
      </c>
      <c r="EZ156" s="336">
        <f t="shared" si="1314"/>
        <v>0</v>
      </c>
      <c r="FA156" s="336">
        <f t="shared" si="1315"/>
        <v>0</v>
      </c>
      <c r="FB156" s="336">
        <f t="shared" si="1316"/>
        <v>0</v>
      </c>
      <c r="FC156" s="336">
        <f t="shared" si="1317"/>
        <v>0</v>
      </c>
      <c r="FD156" s="336">
        <f t="shared" si="1318"/>
        <v>0</v>
      </c>
      <c r="FE156" s="336">
        <f t="shared" si="1319"/>
        <v>0</v>
      </c>
      <c r="FF156" s="336">
        <f t="shared" si="1320"/>
        <v>0</v>
      </c>
      <c r="FG156" s="336">
        <f t="shared" si="1321"/>
        <v>0</v>
      </c>
      <c r="FH156" s="336">
        <f t="shared" si="1322"/>
        <v>0</v>
      </c>
      <c r="FI156" s="336">
        <f t="shared" si="1323"/>
        <v>0</v>
      </c>
      <c r="FJ156" s="336">
        <f t="shared" si="1324"/>
        <v>0</v>
      </c>
      <c r="FK156" s="336">
        <f t="shared" si="1325"/>
        <v>0</v>
      </c>
      <c r="FL156" s="336">
        <f t="shared" si="1326"/>
        <v>0</v>
      </c>
      <c r="FM156" s="336">
        <f t="shared" si="1327"/>
        <v>0</v>
      </c>
      <c r="FN156" s="336">
        <f t="shared" si="1328"/>
        <v>0</v>
      </c>
      <c r="FO156" s="336">
        <f t="shared" si="1329"/>
        <v>0</v>
      </c>
      <c r="FP156" s="336">
        <f t="shared" si="1330"/>
        <v>0</v>
      </c>
      <c r="FQ156" s="336">
        <f t="shared" si="1331"/>
        <v>0</v>
      </c>
      <c r="FR156" s="336">
        <f t="shared" si="1332"/>
        <v>0</v>
      </c>
      <c r="FS156" s="336">
        <f t="shared" si="1333"/>
        <v>0</v>
      </c>
      <c r="FT156" s="336">
        <f t="shared" si="1334"/>
        <v>0</v>
      </c>
      <c r="FU156" s="336">
        <f t="shared" si="1222"/>
        <v>0</v>
      </c>
      <c r="FV156" s="336">
        <f t="shared" si="1223"/>
        <v>0</v>
      </c>
      <c r="FW156" s="336">
        <f t="shared" si="1224"/>
        <v>0</v>
      </c>
      <c r="FX156" s="336">
        <f t="shared" si="1225"/>
        <v>0</v>
      </c>
      <c r="FY156" s="336">
        <f t="shared" si="1364"/>
        <v>0</v>
      </c>
      <c r="FZ156" s="336">
        <f t="shared" si="1365"/>
        <v>0</v>
      </c>
      <c r="GA156" s="336">
        <f t="shared" si="1366"/>
        <v>0</v>
      </c>
      <c r="GB156" s="336">
        <f t="shared" si="1367"/>
        <v>0</v>
      </c>
      <c r="GC156" s="336">
        <f t="shared" si="1368"/>
        <v>0</v>
      </c>
      <c r="GD156" s="336">
        <f t="shared" si="1369"/>
        <v>0</v>
      </c>
      <c r="GE156" s="336">
        <f t="shared" si="1370"/>
        <v>0</v>
      </c>
      <c r="GF156" s="336">
        <f t="shared" si="1371"/>
        <v>0</v>
      </c>
      <c r="GG156" s="336">
        <f t="shared" si="1372"/>
        <v>0</v>
      </c>
      <c r="GH156" s="336">
        <f t="shared" si="1373"/>
        <v>0</v>
      </c>
      <c r="GI156" s="336">
        <f t="shared" si="1374"/>
        <v>0</v>
      </c>
      <c r="GJ156" s="336">
        <f t="shared" si="1375"/>
        <v>0</v>
      </c>
      <c r="GK156" s="336">
        <f t="shared" si="1376"/>
        <v>0</v>
      </c>
      <c r="GL156" s="336">
        <f t="shared" si="1226"/>
        <v>0</v>
      </c>
      <c r="GM156" s="336">
        <f t="shared" si="1377"/>
        <v>0</v>
      </c>
    </row>
    <row r="157" spans="1:195">
      <c r="A157" s="337">
        <f t="shared" si="1362"/>
        <v>121</v>
      </c>
      <c r="B157" s="567" t="s">
        <v>1301</v>
      </c>
      <c r="C157" s="372" t="s">
        <v>1278</v>
      </c>
      <c r="D157" s="567" t="s">
        <v>1302</v>
      </c>
      <c r="E157" s="440" t="s">
        <v>1185</v>
      </c>
      <c r="F157" s="372"/>
      <c r="G157" s="337" t="s">
        <v>329</v>
      </c>
      <c r="H157" s="350">
        <v>5</v>
      </c>
      <c r="I157" s="337" t="s">
        <v>330</v>
      </c>
      <c r="J157" s="337" t="s">
        <v>331</v>
      </c>
      <c r="K157" s="343">
        <v>400</v>
      </c>
      <c r="L157" s="343">
        <v>0.85000000000000009</v>
      </c>
      <c r="M157" s="350">
        <v>0.95042105263157861</v>
      </c>
      <c r="N157" s="342">
        <f t="shared" si="1339"/>
        <v>8.9336133449992658</v>
      </c>
      <c r="O157" s="342">
        <f t="shared" si="1379"/>
        <v>0</v>
      </c>
      <c r="P157" s="343" t="str">
        <f t="shared" si="1380"/>
        <v>0.00</v>
      </c>
      <c r="Q157" s="350">
        <v>65</v>
      </c>
      <c r="R157" s="350">
        <v>0</v>
      </c>
      <c r="S157" s="350">
        <f t="shared" si="1381"/>
        <v>0</v>
      </c>
      <c r="T157" s="343" t="s">
        <v>332</v>
      </c>
      <c r="U157" s="350" t="s">
        <v>522</v>
      </c>
      <c r="V157" s="343">
        <v>16</v>
      </c>
      <c r="W157" s="343" t="str">
        <f t="shared" si="1382"/>
        <v>4C X 16</v>
      </c>
      <c r="X157" s="343" t="str">
        <f t="shared" si="1383"/>
        <v>4C X 16</v>
      </c>
      <c r="Y157" s="343" t="s">
        <v>358</v>
      </c>
      <c r="Z157" s="344">
        <f>IF(T157="AIR",VLOOKUP(W157,'Catalogue Aluminium'!$B$9:$G$93,2,FALSE),IF(T157="GROUND",VLOOKUP(W157,'Catalogue Aluminium'!$B$9:$G$93,3,FALSE),IF(T157="DUCT",VLOOKUP(W157,'Catalogue Aluminium'!$B$9:$G$93,4,FALSE),IF(T157="TRENCH",VLOOKUP(W157,'Catalogue Aluminium'!$B$9:$G$93,2,FALSE)))))</f>
        <v>70</v>
      </c>
      <c r="AA157" s="345">
        <f>VLOOKUP(W157,'Catalogue Aluminium'!$B$9:$G$93,5,FALSE)</f>
        <v>2.44</v>
      </c>
      <c r="AB157" s="345">
        <f>VLOOKUP(W157,'Catalogue Aluminium'!$B$9:$G$93,6,FALSE)</f>
        <v>8.1500000000000003E-2</v>
      </c>
      <c r="AC157" s="343">
        <f t="shared" si="1345"/>
        <v>23</v>
      </c>
      <c r="AD157" s="343">
        <f>12+58+20+52+2</f>
        <v>144</v>
      </c>
      <c r="AE157" s="343">
        <v>10</v>
      </c>
      <c r="AF157" s="343">
        <v>8</v>
      </c>
      <c r="AG157" s="343">
        <f t="shared" si="1384"/>
        <v>19</v>
      </c>
      <c r="AH157" s="347">
        <f t="shared" si="1385"/>
        <v>204</v>
      </c>
      <c r="AI157" s="344">
        <f>IF(T157="AIR",'Catalogue Aluminium'!$K$9,IF(T157="TRENCH",'Catalogue Aluminium'!$K$12,"NA"))</f>
        <v>0.89</v>
      </c>
      <c r="AJ157" s="342">
        <f>IF(T157="Air",(IF(U157="1C",'Catalogue Aluminium'!$L$9,'Catalogue Aluminium'!$M$9)),IF(T157="DUCT",(IF($U157="1C",'Catalogue Aluminium'!$L$10,'Catalogue Aluminium'!$M$10)),IF(T157="GROUND",(IF($U157="1C",'Catalogue Aluminium'!$L$11,'Catalogue Aluminium'!$M$11)),IF(T157="TRENCH",(IF($U157="1C",'Catalogue Aluminium'!$L$12,'Catalogue Aluminium'!$M$12))))))</f>
        <v>0.66</v>
      </c>
      <c r="AK157" s="344" t="str">
        <f>IF(T157="Air",'Catalogue Aluminium'!$N$9,IF(T157="GROUND",'Catalogue Aluminium'!$N$10,IF(T157="DUCT",'Catalogue Aluminium'!$N$11,IF(T157="TRENCH",'Catalogue Aluminium'!$N$12,"NA"))))</f>
        <v>NA</v>
      </c>
      <c r="AL157" s="344" t="str">
        <f>IF(T157="Air",(IF(U157="1C",'Catalogue Aluminium'!$O$9,'Catalogue Aluminium'!$P$9)),IF(T157="DUCT",(IF($U157="1C",'Catalogue Aluminium'!$O$10,'Catalogue Aluminium'!$P$10)),IF(T157="GROUND",(IF($U157="1C",'Catalogue Aluminium'!$O$11,'Catalogue Aluminium'!$P$11)),IF(T157="TRENCH",(IF($U157="1C",'Catalogue Aluminium'!$O$12,'Catalogue Aluminium'!$P$12))))))</f>
        <v>NA</v>
      </c>
      <c r="AM157" s="344" t="str">
        <f>IF(T157="AIR","NA",IF(T157="TRENCH","NA",IF(T157="DUCT",IF(U157="1C",VLOOKUP(V157,'Catalogue Aluminium'!$Q$9:$S$28,2,FALSE),VLOOKUP(V157,'Catalogue Aluminium'!$Q$9:$S$28,3)),IF(T157="GROUND",IF(U157="1C",VLOOKUP(V157,'Catalogue Aluminium'!$Q$9:$S$28,2,FALSE),VLOOKUP(V157,'Catalogue Aluminium'!$Q$9:$S$28,3))))))</f>
        <v>NA</v>
      </c>
      <c r="AN157" s="351">
        <f t="shared" si="1386"/>
        <v>0.58740000000000003</v>
      </c>
      <c r="AO157" s="350">
        <f t="shared" si="1387"/>
        <v>41.118000000000002</v>
      </c>
      <c r="AP157" s="349">
        <f t="shared" si="1388"/>
        <v>1</v>
      </c>
      <c r="AQ157" s="350" t="str">
        <f t="shared" si="1389"/>
        <v>YES</v>
      </c>
      <c r="AR157" s="351">
        <f t="shared" si="1390"/>
        <v>1.670571334627496</v>
      </c>
      <c r="AS157" s="343" t="str">
        <f t="shared" si="1353"/>
        <v>YES</v>
      </c>
      <c r="AT157" s="351" t="str">
        <f t="shared" si="1354"/>
        <v>NA</v>
      </c>
      <c r="AU157" s="343" t="str">
        <f t="shared" si="1355"/>
        <v>NA</v>
      </c>
      <c r="AV157" s="351" t="str">
        <f t="shared" si="1356"/>
        <v>1R x 0.6/1kV x 4C x 16 Sqmm</v>
      </c>
      <c r="AW157" s="351" t="str">
        <f t="shared" si="1357"/>
        <v>1R x 0.6/1kV x 4C x 16 Sqmm</v>
      </c>
      <c r="AX157" s="342">
        <f t="shared" si="1358"/>
        <v>204</v>
      </c>
      <c r="AY157" s="342"/>
      <c r="AZ157" s="342">
        <f t="shared" si="1359"/>
        <v>2</v>
      </c>
      <c r="BA157" s="356" t="str">
        <f t="shared" si="1360"/>
        <v>Q3RR1R2SS1S1.A</v>
      </c>
      <c r="BB157" s="762">
        <f>VLOOKUP(W157,'Catalogue Aluminium'!$B$9:$H$93,7,FALSE)</f>
        <v>21</v>
      </c>
      <c r="BC157" s="762">
        <f t="shared" si="1361"/>
        <v>21</v>
      </c>
      <c r="BE157" s="336"/>
      <c r="BF157" s="336"/>
      <c r="BG157" s="336"/>
      <c r="BH157" s="336"/>
      <c r="BI157" s="336"/>
      <c r="BJ157" s="336"/>
      <c r="BK157" s="336"/>
      <c r="BL157" s="336"/>
      <c r="BM157" s="336"/>
      <c r="BN157" s="336"/>
      <c r="BO157" s="336"/>
      <c r="BP157" s="336"/>
      <c r="BQ157" s="336"/>
      <c r="BR157" s="336"/>
      <c r="BS157" s="336"/>
      <c r="BT157" s="336"/>
      <c r="BU157" s="336"/>
      <c r="BV157" s="336"/>
      <c r="BW157" s="336"/>
      <c r="BX157" s="336"/>
      <c r="BY157" s="336"/>
      <c r="BZ157" s="336"/>
      <c r="CA157" s="336"/>
      <c r="CB157" s="336"/>
      <c r="CC157" s="336"/>
      <c r="CD157" s="336"/>
      <c r="CE157" s="336"/>
      <c r="CF157" s="336"/>
      <c r="CG157" s="336"/>
      <c r="CH157" s="336"/>
      <c r="CI157" s="336"/>
      <c r="CJ157" s="336"/>
      <c r="CK157" s="336"/>
      <c r="CL157" s="336"/>
      <c r="CM157" s="336"/>
      <c r="CN157" s="336"/>
      <c r="CO157" s="336"/>
      <c r="CP157" s="336"/>
      <c r="CQ157" s="336"/>
      <c r="CR157" s="336"/>
      <c r="CS157" s="336"/>
      <c r="CT157" s="336"/>
      <c r="CU157" s="336"/>
      <c r="CV157" s="336"/>
      <c r="CW157" s="336"/>
      <c r="CX157" s="336"/>
      <c r="CY157" s="336"/>
      <c r="CZ157" s="336"/>
      <c r="DA157" s="336">
        <v>1</v>
      </c>
      <c r="DB157" s="336"/>
      <c r="DC157" s="336"/>
      <c r="DD157" s="336"/>
      <c r="DE157" s="336"/>
      <c r="DF157" s="336"/>
      <c r="DG157" s="336">
        <v>1</v>
      </c>
      <c r="DH157" s="336">
        <v>1</v>
      </c>
      <c r="DI157" s="336">
        <v>1</v>
      </c>
      <c r="DJ157" s="336"/>
      <c r="DK157" s="336"/>
      <c r="DL157" s="336">
        <v>1</v>
      </c>
      <c r="DM157" s="336"/>
      <c r="DN157" s="336"/>
      <c r="DO157" s="336">
        <v>1</v>
      </c>
      <c r="DP157" s="336">
        <v>1</v>
      </c>
      <c r="DQ157" s="336"/>
      <c r="DR157" s="336"/>
      <c r="DS157" s="336"/>
      <c r="DT157" s="336"/>
      <c r="DU157" s="336"/>
      <c r="DW157" s="336">
        <f t="shared" si="1286"/>
        <v>0</v>
      </c>
      <c r="DX157" s="336">
        <f t="shared" si="1287"/>
        <v>0</v>
      </c>
      <c r="DY157" s="336">
        <f t="shared" si="1288"/>
        <v>0</v>
      </c>
      <c r="DZ157" s="336">
        <f t="shared" si="1289"/>
        <v>0</v>
      </c>
      <c r="EA157" s="336">
        <f t="shared" si="1290"/>
        <v>0</v>
      </c>
      <c r="EB157" s="336">
        <f t="shared" si="1291"/>
        <v>0</v>
      </c>
      <c r="EC157" s="336">
        <f t="shared" si="1292"/>
        <v>0</v>
      </c>
      <c r="ED157" s="336">
        <f t="shared" si="1293"/>
        <v>0</v>
      </c>
      <c r="EE157" s="336">
        <f t="shared" si="1294"/>
        <v>0</v>
      </c>
      <c r="EF157" s="336">
        <f t="shared" si="1295"/>
        <v>0</v>
      </c>
      <c r="EG157" s="336">
        <f t="shared" si="1296"/>
        <v>0</v>
      </c>
      <c r="EH157" s="336">
        <f t="shared" si="1297"/>
        <v>0</v>
      </c>
      <c r="EI157" s="336">
        <f t="shared" si="1298"/>
        <v>0</v>
      </c>
      <c r="EJ157" s="336">
        <f t="shared" si="1299"/>
        <v>0</v>
      </c>
      <c r="EK157" s="336">
        <f t="shared" si="1300"/>
        <v>0</v>
      </c>
      <c r="EL157" s="336">
        <f t="shared" si="1301"/>
        <v>0</v>
      </c>
      <c r="EM157" s="336">
        <f t="shared" si="1302"/>
        <v>0</v>
      </c>
      <c r="EN157" s="336">
        <f t="shared" si="1303"/>
        <v>0</v>
      </c>
      <c r="EO157" s="336">
        <f t="shared" si="1304"/>
        <v>0</v>
      </c>
      <c r="EP157" s="336">
        <f t="shared" si="1305"/>
        <v>0</v>
      </c>
      <c r="EQ157" s="336">
        <f t="shared" si="1306"/>
        <v>0</v>
      </c>
      <c r="ER157" s="336">
        <f t="shared" si="1307"/>
        <v>0</v>
      </c>
      <c r="ES157" s="336">
        <f t="shared" si="1308"/>
        <v>0</v>
      </c>
      <c r="ET157" s="336">
        <f t="shared" si="1308"/>
        <v>0</v>
      </c>
      <c r="EU157" s="336">
        <f t="shared" si="1309"/>
        <v>0</v>
      </c>
      <c r="EV157" s="336">
        <f t="shared" si="1310"/>
        <v>0</v>
      </c>
      <c r="EW157" s="336">
        <f t="shared" si="1311"/>
        <v>0</v>
      </c>
      <c r="EX157" s="336">
        <f t="shared" si="1312"/>
        <v>0</v>
      </c>
      <c r="EY157" s="336">
        <f t="shared" si="1313"/>
        <v>0</v>
      </c>
      <c r="EZ157" s="336">
        <f t="shared" si="1314"/>
        <v>0</v>
      </c>
      <c r="FA157" s="336">
        <f t="shared" si="1315"/>
        <v>0</v>
      </c>
      <c r="FB157" s="336">
        <f t="shared" si="1316"/>
        <v>0</v>
      </c>
      <c r="FC157" s="336">
        <f t="shared" si="1317"/>
        <v>0</v>
      </c>
      <c r="FD157" s="336">
        <f t="shared" si="1318"/>
        <v>0</v>
      </c>
      <c r="FE157" s="336">
        <f t="shared" si="1319"/>
        <v>0</v>
      </c>
      <c r="FF157" s="336">
        <f t="shared" si="1320"/>
        <v>0</v>
      </c>
      <c r="FG157" s="336">
        <f t="shared" si="1321"/>
        <v>0</v>
      </c>
      <c r="FH157" s="336">
        <f t="shared" si="1322"/>
        <v>0</v>
      </c>
      <c r="FI157" s="336">
        <f t="shared" si="1323"/>
        <v>0</v>
      </c>
      <c r="FJ157" s="336">
        <f t="shared" si="1324"/>
        <v>0</v>
      </c>
      <c r="FK157" s="336">
        <f t="shared" si="1325"/>
        <v>0</v>
      </c>
      <c r="FL157" s="336">
        <f t="shared" si="1326"/>
        <v>0</v>
      </c>
      <c r="FM157" s="336">
        <f t="shared" si="1327"/>
        <v>0</v>
      </c>
      <c r="FN157" s="336">
        <f t="shared" si="1328"/>
        <v>0</v>
      </c>
      <c r="FO157" s="336">
        <f t="shared" si="1329"/>
        <v>0</v>
      </c>
      <c r="FP157" s="336">
        <f t="shared" si="1330"/>
        <v>0</v>
      </c>
      <c r="FQ157" s="336">
        <f t="shared" si="1331"/>
        <v>0</v>
      </c>
      <c r="FR157" s="336">
        <f t="shared" si="1332"/>
        <v>0</v>
      </c>
      <c r="FS157" s="336">
        <f t="shared" si="1333"/>
        <v>21</v>
      </c>
      <c r="FT157" s="336">
        <f t="shared" si="1334"/>
        <v>0</v>
      </c>
      <c r="FU157" s="336">
        <f t="shared" si="1222"/>
        <v>0</v>
      </c>
      <c r="FV157" s="336">
        <f t="shared" si="1223"/>
        <v>0</v>
      </c>
      <c r="FW157" s="336">
        <f t="shared" si="1224"/>
        <v>0</v>
      </c>
      <c r="FX157" s="336">
        <f t="shared" si="1225"/>
        <v>0</v>
      </c>
      <c r="FY157" s="336">
        <f t="shared" si="1364"/>
        <v>21</v>
      </c>
      <c r="FZ157" s="336">
        <f t="shared" si="1365"/>
        <v>21</v>
      </c>
      <c r="GA157" s="336">
        <f t="shared" si="1366"/>
        <v>21</v>
      </c>
      <c r="GB157" s="336">
        <f t="shared" si="1367"/>
        <v>0</v>
      </c>
      <c r="GC157" s="336">
        <f t="shared" si="1368"/>
        <v>0</v>
      </c>
      <c r="GD157" s="336">
        <f t="shared" si="1369"/>
        <v>21</v>
      </c>
      <c r="GE157" s="336">
        <f t="shared" si="1370"/>
        <v>0</v>
      </c>
      <c r="GF157" s="336">
        <f t="shared" si="1371"/>
        <v>0</v>
      </c>
      <c r="GG157" s="336">
        <f t="shared" si="1372"/>
        <v>21</v>
      </c>
      <c r="GH157" s="336">
        <f t="shared" si="1373"/>
        <v>21</v>
      </c>
      <c r="GI157" s="336">
        <f t="shared" si="1374"/>
        <v>0</v>
      </c>
      <c r="GJ157" s="336">
        <f t="shared" si="1375"/>
        <v>0</v>
      </c>
      <c r="GK157" s="336">
        <f t="shared" si="1376"/>
        <v>0</v>
      </c>
      <c r="GL157" s="336">
        <f t="shared" si="1226"/>
        <v>0</v>
      </c>
      <c r="GM157" s="336">
        <f t="shared" si="1377"/>
        <v>0</v>
      </c>
    </row>
    <row r="158" spans="1:195" ht="25.5">
      <c r="A158" s="337">
        <f t="shared" si="1362"/>
        <v>122</v>
      </c>
      <c r="B158" s="567" t="s">
        <v>1303</v>
      </c>
      <c r="C158" s="372" t="s">
        <v>1278</v>
      </c>
      <c r="D158" s="567" t="s">
        <v>1304</v>
      </c>
      <c r="E158" s="440" t="s">
        <v>1305</v>
      </c>
      <c r="F158" s="372"/>
      <c r="G158" s="337" t="s">
        <v>329</v>
      </c>
      <c r="H158" s="350">
        <v>5</v>
      </c>
      <c r="I158" s="337" t="s">
        <v>330</v>
      </c>
      <c r="J158" s="337" t="s">
        <v>331</v>
      </c>
      <c r="K158" s="343">
        <v>400</v>
      </c>
      <c r="L158" s="343">
        <v>0.85000000000000009</v>
      </c>
      <c r="M158" s="350">
        <v>0.95042105263157861</v>
      </c>
      <c r="N158" s="342">
        <f t="shared" si="1339"/>
        <v>8.9336133449992658</v>
      </c>
      <c r="O158" s="342">
        <f t="shared" ref="O158" si="1391">IF(G158="MOTOR",(6*N158),IF(G158="VFD",(1*N158),0))</f>
        <v>0</v>
      </c>
      <c r="P158" s="343" t="str">
        <f t="shared" ref="P158" si="1392">IF(G158="MOTOR",0.2,"0.00")</f>
        <v>0.00</v>
      </c>
      <c r="Q158" s="350">
        <v>65</v>
      </c>
      <c r="R158" s="350">
        <v>0</v>
      </c>
      <c r="S158" s="350">
        <f t="shared" ref="S158" si="1393">(Q158*1000*SQRT(R158)/143)</f>
        <v>0</v>
      </c>
      <c r="T158" s="343" t="s">
        <v>332</v>
      </c>
      <c r="U158" s="350" t="s">
        <v>522</v>
      </c>
      <c r="V158" s="343">
        <v>16</v>
      </c>
      <c r="W158" s="343" t="str">
        <f t="shared" ref="W158" si="1394">CONCATENATE(U158," X ",V158)</f>
        <v>4C X 16</v>
      </c>
      <c r="X158" s="343" t="str">
        <f t="shared" ref="X158" si="1395">(IF(J158="1Ph",W158,IF(J158="3Ph",(IF(G158="MOTOR",(CONCATENATE(W158,"+PE")),W158)))))</f>
        <v>4C X 16</v>
      </c>
      <c r="Y158" s="343" t="s">
        <v>358</v>
      </c>
      <c r="Z158" s="344">
        <f>IF(T158="AIR",VLOOKUP(W158,'Catalogue Aluminium'!$B$9:$G$93,2,FALSE),IF(T158="GROUND",VLOOKUP(W158,'Catalogue Aluminium'!$B$9:$G$93,3,FALSE),IF(T158="DUCT",VLOOKUP(W158,'Catalogue Aluminium'!$B$9:$G$93,4,FALSE),IF(T158="TRENCH",VLOOKUP(W158,'Catalogue Aluminium'!$B$9:$G$93,2,FALSE)))))</f>
        <v>70</v>
      </c>
      <c r="AA158" s="345">
        <f>VLOOKUP(W158,'Catalogue Aluminium'!$B$9:$G$93,5,FALSE)</f>
        <v>2.44</v>
      </c>
      <c r="AB158" s="345">
        <f>VLOOKUP(W158,'Catalogue Aluminium'!$B$9:$G$93,6,FALSE)</f>
        <v>8.1500000000000003E-2</v>
      </c>
      <c r="AC158" s="343">
        <f t="shared" si="1345"/>
        <v>23</v>
      </c>
      <c r="AD158" s="343">
        <f>12+58+20+5</f>
        <v>95</v>
      </c>
      <c r="AE158" s="343">
        <v>10</v>
      </c>
      <c r="AF158" s="343">
        <v>8</v>
      </c>
      <c r="AG158" s="343">
        <f t="shared" ref="AG158" si="1396">ROUNDUP((SUM(AC158:AF158)*0.1),0)</f>
        <v>14</v>
      </c>
      <c r="AH158" s="347">
        <f t="shared" ref="AH158" si="1397">SUM(AC158:AG158)</f>
        <v>150</v>
      </c>
      <c r="AI158" s="344">
        <f>IF(T158="AIR",'Catalogue Aluminium'!$K$9,IF(T158="TRENCH",'Catalogue Aluminium'!$K$12,"NA"))</f>
        <v>0.89</v>
      </c>
      <c r="AJ158" s="342">
        <f>IF(T158="Air",(IF(U158="1C",'Catalogue Aluminium'!$L$9,'Catalogue Aluminium'!$M$9)),IF(T158="DUCT",(IF($U158="1C",'Catalogue Aluminium'!$L$10,'Catalogue Aluminium'!$M$10)),IF(T158="GROUND",(IF($U158="1C",'Catalogue Aluminium'!$L$11,'Catalogue Aluminium'!$M$11)),IF(T158="TRENCH",(IF($U158="1C",'Catalogue Aluminium'!$L$12,'Catalogue Aluminium'!$M$12))))))</f>
        <v>0.66</v>
      </c>
      <c r="AK158" s="344" t="str">
        <f>IF(T158="Air",'Catalogue Aluminium'!$N$9,IF(T158="GROUND",'Catalogue Aluminium'!$N$10,IF(T158="DUCT",'Catalogue Aluminium'!$N$11,IF(T158="TRENCH",'Catalogue Aluminium'!$N$12,"NA"))))</f>
        <v>NA</v>
      </c>
      <c r="AL158" s="344" t="str">
        <f>IF(T158="Air",(IF(U158="1C",'Catalogue Aluminium'!$O$9,'Catalogue Aluminium'!$P$9)),IF(T158="DUCT",(IF($U158="1C",'Catalogue Aluminium'!$O$10,'Catalogue Aluminium'!$P$10)),IF(T158="GROUND",(IF($U158="1C",'Catalogue Aluminium'!$O$11,'Catalogue Aluminium'!$P$11)),IF(T158="TRENCH",(IF($U158="1C",'Catalogue Aluminium'!$O$12,'Catalogue Aluminium'!$P$12))))))</f>
        <v>NA</v>
      </c>
      <c r="AM158" s="344" t="str">
        <f>IF(T158="AIR","NA",IF(T158="TRENCH","NA",IF(T158="DUCT",IF(U158="1C",VLOOKUP(V158,'Catalogue Aluminium'!$Q$9:$S$28,2,FALSE),VLOOKUP(V158,'Catalogue Aluminium'!$Q$9:$S$28,3)),IF(T158="GROUND",IF(U158="1C",VLOOKUP(V158,'Catalogue Aluminium'!$Q$9:$S$28,2,FALSE),VLOOKUP(V158,'Catalogue Aluminium'!$Q$9:$S$28,3))))))</f>
        <v>NA</v>
      </c>
      <c r="AN158" s="351">
        <f t="shared" ref="AN158" si="1398">IF(T158="AIR",AI158*AJ158,IF(T158="TRENCH",AI158*AJ158,IF(T158="DUCT",AJ158*AK158*AL158*AM158,IF(T158="GROUND",AJ158*AK158*AL158*AM158))))</f>
        <v>0.58740000000000003</v>
      </c>
      <c r="AO158" s="350">
        <f t="shared" ref="AO158" si="1399">Z158*AN158</f>
        <v>41.118000000000002</v>
      </c>
      <c r="AP158" s="349">
        <f t="shared" ref="AP158" si="1400">CEILING(((N158)/AO158),1)</f>
        <v>1</v>
      </c>
      <c r="AQ158" s="350" t="str">
        <f t="shared" ref="AQ158" si="1401">IF(AO158*AP158&gt;=N158,"YES","NO")</f>
        <v>YES</v>
      </c>
      <c r="AR158" s="351">
        <f t="shared" ref="AR158" si="1402">SQRT(3)*AH158*N158*((AA158*L158)+(AB158*SIN(ACOS(L158))))*100/(AP158*K158*1000)</f>
        <v>1.2283612754613942</v>
      </c>
      <c r="AS158" s="343" t="str">
        <f t="shared" si="1353"/>
        <v>YES</v>
      </c>
      <c r="AT158" s="351" t="str">
        <f t="shared" si="1354"/>
        <v>NA</v>
      </c>
      <c r="AU158" s="343" t="str">
        <f t="shared" si="1355"/>
        <v>NA</v>
      </c>
      <c r="AV158" s="351" t="str">
        <f t="shared" si="1356"/>
        <v>1R x 0.6/1kV x 4C x 16 Sqmm</v>
      </c>
      <c r="AW158" s="351" t="str">
        <f t="shared" si="1357"/>
        <v>1R x 0.6/1kV x 4C x 16 Sqmm</v>
      </c>
      <c r="AX158" s="342">
        <f t="shared" si="1358"/>
        <v>150</v>
      </c>
      <c r="AY158" s="342"/>
      <c r="AZ158" s="342">
        <f t="shared" si="1359"/>
        <v>2</v>
      </c>
      <c r="BA158" s="356" t="str">
        <f t="shared" si="1360"/>
        <v>Q3RR1R2R2.A</v>
      </c>
      <c r="BB158" s="762">
        <f>VLOOKUP(W158,'Catalogue Aluminium'!$B$9:$H$93,7,FALSE)</f>
        <v>21</v>
      </c>
      <c r="BC158" s="762">
        <f t="shared" si="1361"/>
        <v>21</v>
      </c>
      <c r="BE158" s="336"/>
      <c r="BF158" s="336"/>
      <c r="BG158" s="336"/>
      <c r="BH158" s="336"/>
      <c r="BI158" s="336"/>
      <c r="BJ158" s="336"/>
      <c r="BK158" s="336"/>
      <c r="BL158" s="336"/>
      <c r="BM158" s="336"/>
      <c r="BN158" s="336"/>
      <c r="BO158" s="336"/>
      <c r="BP158" s="336"/>
      <c r="BQ158" s="336"/>
      <c r="BR158" s="336"/>
      <c r="BS158" s="336"/>
      <c r="BT158" s="336"/>
      <c r="BU158" s="336"/>
      <c r="BV158" s="336"/>
      <c r="BW158" s="336"/>
      <c r="BX158" s="336"/>
      <c r="BY158" s="336"/>
      <c r="BZ158" s="336"/>
      <c r="CA158" s="336"/>
      <c r="CB158" s="336"/>
      <c r="CC158" s="336"/>
      <c r="CD158" s="336"/>
      <c r="CE158" s="336"/>
      <c r="CF158" s="336"/>
      <c r="CG158" s="336"/>
      <c r="CH158" s="336"/>
      <c r="CI158" s="336"/>
      <c r="CJ158" s="336"/>
      <c r="CK158" s="336"/>
      <c r="CL158" s="336"/>
      <c r="CM158" s="336"/>
      <c r="CN158" s="336"/>
      <c r="CO158" s="336"/>
      <c r="CP158" s="336"/>
      <c r="CQ158" s="336"/>
      <c r="CR158" s="336"/>
      <c r="CS158" s="336"/>
      <c r="CT158" s="336"/>
      <c r="CU158" s="336"/>
      <c r="CV158" s="336"/>
      <c r="CW158" s="336"/>
      <c r="CX158" s="336"/>
      <c r="CY158" s="336"/>
      <c r="CZ158" s="336"/>
      <c r="DA158" s="336">
        <v>1</v>
      </c>
      <c r="DB158" s="336"/>
      <c r="DC158" s="336"/>
      <c r="DD158" s="336"/>
      <c r="DE158" s="336"/>
      <c r="DF158" s="336"/>
      <c r="DG158" s="336">
        <v>1</v>
      </c>
      <c r="DH158" s="336">
        <v>1</v>
      </c>
      <c r="DI158" s="336">
        <v>1</v>
      </c>
      <c r="DJ158" s="336"/>
      <c r="DK158" s="336">
        <v>1</v>
      </c>
      <c r="DL158" s="336"/>
      <c r="DM158" s="336"/>
      <c r="DN158" s="336"/>
      <c r="DO158" s="336"/>
      <c r="DP158" s="336"/>
      <c r="DQ158" s="336"/>
      <c r="DR158" s="336"/>
      <c r="DS158" s="336"/>
      <c r="DT158" s="336"/>
      <c r="DU158" s="336"/>
      <c r="DW158" s="336">
        <f t="shared" si="1286"/>
        <v>0</v>
      </c>
      <c r="DX158" s="336">
        <f t="shared" si="1287"/>
        <v>0</v>
      </c>
      <c r="DY158" s="336">
        <f t="shared" si="1288"/>
        <v>0</v>
      </c>
      <c r="DZ158" s="336">
        <f t="shared" si="1289"/>
        <v>0</v>
      </c>
      <c r="EA158" s="336">
        <f t="shared" si="1290"/>
        <v>0</v>
      </c>
      <c r="EB158" s="336">
        <f t="shared" si="1291"/>
        <v>0</v>
      </c>
      <c r="EC158" s="336">
        <f t="shared" si="1292"/>
        <v>0</v>
      </c>
      <c r="ED158" s="336">
        <f t="shared" si="1293"/>
        <v>0</v>
      </c>
      <c r="EE158" s="336">
        <f t="shared" si="1294"/>
        <v>0</v>
      </c>
      <c r="EF158" s="336">
        <f t="shared" si="1295"/>
        <v>0</v>
      </c>
      <c r="EG158" s="336">
        <f t="shared" si="1296"/>
        <v>0</v>
      </c>
      <c r="EH158" s="336">
        <f t="shared" si="1297"/>
        <v>0</v>
      </c>
      <c r="EI158" s="336">
        <f t="shared" si="1298"/>
        <v>0</v>
      </c>
      <c r="EJ158" s="336">
        <f t="shared" si="1299"/>
        <v>0</v>
      </c>
      <c r="EK158" s="336">
        <f t="shared" si="1300"/>
        <v>0</v>
      </c>
      <c r="EL158" s="336">
        <f t="shared" si="1301"/>
        <v>0</v>
      </c>
      <c r="EM158" s="336">
        <f t="shared" si="1302"/>
        <v>0</v>
      </c>
      <c r="EN158" s="336">
        <f t="shared" si="1303"/>
        <v>0</v>
      </c>
      <c r="EO158" s="336">
        <f t="shared" si="1304"/>
        <v>0</v>
      </c>
      <c r="EP158" s="336">
        <f t="shared" si="1305"/>
        <v>0</v>
      </c>
      <c r="EQ158" s="336">
        <f t="shared" si="1306"/>
        <v>0</v>
      </c>
      <c r="ER158" s="336">
        <f t="shared" si="1307"/>
        <v>0</v>
      </c>
      <c r="ES158" s="336">
        <f t="shared" si="1308"/>
        <v>0</v>
      </c>
      <c r="ET158" s="336">
        <f t="shared" si="1308"/>
        <v>0</v>
      </c>
      <c r="EU158" s="336">
        <f t="shared" si="1309"/>
        <v>0</v>
      </c>
      <c r="EV158" s="336">
        <f t="shared" si="1310"/>
        <v>0</v>
      </c>
      <c r="EW158" s="336">
        <f t="shared" si="1311"/>
        <v>0</v>
      </c>
      <c r="EX158" s="336">
        <f t="shared" si="1312"/>
        <v>0</v>
      </c>
      <c r="EY158" s="336">
        <f t="shared" si="1313"/>
        <v>0</v>
      </c>
      <c r="EZ158" s="336">
        <f t="shared" si="1314"/>
        <v>0</v>
      </c>
      <c r="FA158" s="336">
        <f t="shared" si="1315"/>
        <v>0</v>
      </c>
      <c r="FB158" s="336">
        <f t="shared" si="1316"/>
        <v>0</v>
      </c>
      <c r="FC158" s="336">
        <f t="shared" si="1317"/>
        <v>0</v>
      </c>
      <c r="FD158" s="336">
        <f t="shared" si="1318"/>
        <v>0</v>
      </c>
      <c r="FE158" s="336">
        <f t="shared" si="1319"/>
        <v>0</v>
      </c>
      <c r="FF158" s="336">
        <f t="shared" si="1320"/>
        <v>0</v>
      </c>
      <c r="FG158" s="336">
        <f t="shared" si="1321"/>
        <v>0</v>
      </c>
      <c r="FH158" s="336">
        <f t="shared" si="1322"/>
        <v>0</v>
      </c>
      <c r="FI158" s="336">
        <f t="shared" si="1323"/>
        <v>0</v>
      </c>
      <c r="FJ158" s="336">
        <f t="shared" si="1324"/>
        <v>0</v>
      </c>
      <c r="FK158" s="336">
        <f t="shared" si="1325"/>
        <v>0</v>
      </c>
      <c r="FL158" s="336">
        <f t="shared" si="1326"/>
        <v>0</v>
      </c>
      <c r="FM158" s="336">
        <f t="shared" si="1327"/>
        <v>0</v>
      </c>
      <c r="FN158" s="336">
        <f t="shared" si="1328"/>
        <v>0</v>
      </c>
      <c r="FO158" s="336">
        <f t="shared" si="1329"/>
        <v>0</v>
      </c>
      <c r="FP158" s="336">
        <f t="shared" si="1330"/>
        <v>0</v>
      </c>
      <c r="FQ158" s="336">
        <f t="shared" si="1331"/>
        <v>0</v>
      </c>
      <c r="FR158" s="336">
        <f t="shared" si="1332"/>
        <v>0</v>
      </c>
      <c r="FS158" s="336">
        <f t="shared" si="1333"/>
        <v>21</v>
      </c>
      <c r="FT158" s="336">
        <f t="shared" si="1334"/>
        <v>0</v>
      </c>
      <c r="FU158" s="336">
        <f t="shared" si="1222"/>
        <v>0</v>
      </c>
      <c r="FV158" s="336">
        <f t="shared" si="1223"/>
        <v>0</v>
      </c>
      <c r="FW158" s="336">
        <f t="shared" si="1224"/>
        <v>0</v>
      </c>
      <c r="FX158" s="336">
        <f t="shared" si="1225"/>
        <v>0</v>
      </c>
      <c r="FY158" s="336">
        <f t="shared" si="1364"/>
        <v>21</v>
      </c>
      <c r="FZ158" s="336">
        <f t="shared" si="1365"/>
        <v>21</v>
      </c>
      <c r="GA158" s="336">
        <f t="shared" si="1366"/>
        <v>21</v>
      </c>
      <c r="GB158" s="336">
        <f t="shared" si="1367"/>
        <v>0</v>
      </c>
      <c r="GC158" s="336">
        <f t="shared" si="1368"/>
        <v>21</v>
      </c>
      <c r="GD158" s="336">
        <f t="shared" si="1369"/>
        <v>0</v>
      </c>
      <c r="GE158" s="336">
        <f t="shared" si="1370"/>
        <v>0</v>
      </c>
      <c r="GF158" s="336">
        <f t="shared" si="1371"/>
        <v>0</v>
      </c>
      <c r="GG158" s="336">
        <f t="shared" si="1372"/>
        <v>0</v>
      </c>
      <c r="GH158" s="336">
        <f t="shared" si="1373"/>
        <v>0</v>
      </c>
      <c r="GI158" s="336">
        <f t="shared" si="1374"/>
        <v>0</v>
      </c>
      <c r="GJ158" s="336">
        <f t="shared" si="1375"/>
        <v>0</v>
      </c>
      <c r="GK158" s="336">
        <f t="shared" si="1376"/>
        <v>0</v>
      </c>
      <c r="GL158" s="336">
        <f t="shared" si="1226"/>
        <v>0</v>
      </c>
      <c r="GM158" s="336">
        <f t="shared" si="1377"/>
        <v>0</v>
      </c>
    </row>
    <row r="159" spans="1:195" ht="19.5" customHeight="1">
      <c r="A159" s="337">
        <f t="shared" si="1362"/>
        <v>123</v>
      </c>
      <c r="B159" s="397" t="s">
        <v>1165</v>
      </c>
      <c r="C159" s="372" t="str">
        <f>$C$77</f>
        <v>PMCC-2</v>
      </c>
      <c r="D159" s="567" t="s">
        <v>1306</v>
      </c>
      <c r="E159" s="569"/>
      <c r="F159" s="756"/>
      <c r="G159" s="340" t="s">
        <v>337</v>
      </c>
      <c r="H159" s="350">
        <v>42.5</v>
      </c>
      <c r="I159" s="337" t="s">
        <v>330</v>
      </c>
      <c r="J159" s="337" t="s">
        <v>331</v>
      </c>
      <c r="K159" s="343">
        <v>400</v>
      </c>
      <c r="L159" s="343">
        <v>0.85000000000000009</v>
      </c>
      <c r="M159" s="350">
        <v>0.95042105263157861</v>
      </c>
      <c r="N159" s="342">
        <v>125</v>
      </c>
      <c r="O159" s="926"/>
      <c r="P159" s="927"/>
      <c r="Q159" s="927"/>
      <c r="R159" s="927"/>
      <c r="S159" s="927"/>
      <c r="T159" s="927"/>
      <c r="U159" s="927"/>
      <c r="V159" s="927"/>
      <c r="W159" s="927"/>
      <c r="X159" s="927"/>
      <c r="Y159" s="927"/>
      <c r="Z159" s="927"/>
      <c r="AA159" s="927"/>
      <c r="AB159" s="927"/>
      <c r="AC159" s="927"/>
      <c r="AD159" s="927"/>
      <c r="AE159" s="927"/>
      <c r="AF159" s="927"/>
      <c r="AG159" s="927"/>
      <c r="AH159" s="927"/>
      <c r="AI159" s="927"/>
      <c r="AJ159" s="927"/>
      <c r="AK159" s="927"/>
      <c r="AL159" s="927"/>
      <c r="AM159" s="927"/>
      <c r="AN159" s="927"/>
      <c r="AO159" s="927"/>
      <c r="AP159" s="927"/>
      <c r="AQ159" s="927"/>
      <c r="AR159" s="927"/>
      <c r="AS159" s="927"/>
      <c r="AT159" s="927"/>
      <c r="AU159" s="927"/>
      <c r="AV159" s="927"/>
      <c r="AW159" s="927"/>
      <c r="AX159" s="927"/>
      <c r="AY159" s="927"/>
      <c r="AZ159" s="927"/>
      <c r="BA159" s="927"/>
      <c r="BB159" s="927"/>
      <c r="BC159" s="1020"/>
      <c r="BE159" s="336"/>
      <c r="BF159" s="336"/>
      <c r="BG159" s="336"/>
      <c r="BH159" s="336"/>
      <c r="BI159" s="336"/>
      <c r="BJ159" s="336"/>
      <c r="BK159" s="336"/>
      <c r="BL159" s="336"/>
      <c r="BM159" s="336"/>
      <c r="BN159" s="336"/>
      <c r="BO159" s="336"/>
      <c r="BP159" s="336"/>
      <c r="BQ159" s="336"/>
      <c r="BR159" s="336"/>
      <c r="BS159" s="336"/>
      <c r="BT159" s="336"/>
      <c r="BU159" s="336"/>
      <c r="BV159" s="336"/>
      <c r="BW159" s="336"/>
      <c r="BX159" s="336"/>
      <c r="BY159" s="336"/>
      <c r="BZ159" s="336"/>
      <c r="CA159" s="336"/>
      <c r="CB159" s="336"/>
      <c r="CC159" s="336"/>
      <c r="CD159" s="336"/>
      <c r="CE159" s="336"/>
      <c r="CF159" s="336"/>
      <c r="CG159" s="336"/>
      <c r="CH159" s="336"/>
      <c r="CI159" s="336"/>
      <c r="CJ159" s="336"/>
      <c r="CK159" s="336"/>
      <c r="CL159" s="336"/>
      <c r="CM159" s="336"/>
      <c r="CN159" s="336"/>
      <c r="CO159" s="336"/>
      <c r="CP159" s="336"/>
      <c r="CQ159" s="336"/>
      <c r="CR159" s="336"/>
      <c r="CS159" s="336"/>
      <c r="CT159" s="336"/>
      <c r="CU159" s="336"/>
      <c r="CV159" s="336"/>
      <c r="CW159" s="336"/>
      <c r="CX159" s="336"/>
      <c r="CY159" s="336"/>
      <c r="CZ159" s="336"/>
      <c r="DA159" s="336"/>
      <c r="DB159" s="336"/>
      <c r="DC159" s="336"/>
      <c r="DD159" s="336"/>
      <c r="DE159" s="336"/>
      <c r="DF159" s="336"/>
      <c r="DG159" s="336"/>
      <c r="DH159" s="336"/>
      <c r="DI159" s="336"/>
      <c r="DJ159" s="336"/>
      <c r="DK159" s="336"/>
      <c r="DL159" s="336"/>
      <c r="DM159" s="336"/>
      <c r="DN159" s="336"/>
      <c r="DO159" s="336"/>
      <c r="DP159" s="336"/>
      <c r="DQ159" s="336"/>
      <c r="DR159" s="336"/>
      <c r="DS159" s="336"/>
      <c r="DT159" s="336"/>
      <c r="DU159" s="336"/>
      <c r="DW159" s="336">
        <f t="shared" si="1286"/>
        <v>0</v>
      </c>
      <c r="DX159" s="336">
        <f t="shared" si="1287"/>
        <v>0</v>
      </c>
      <c r="DY159" s="336">
        <f t="shared" si="1288"/>
        <v>0</v>
      </c>
      <c r="DZ159" s="336">
        <f t="shared" si="1289"/>
        <v>0</v>
      </c>
      <c r="EA159" s="336">
        <f t="shared" si="1290"/>
        <v>0</v>
      </c>
      <c r="EB159" s="336">
        <f t="shared" si="1291"/>
        <v>0</v>
      </c>
      <c r="EC159" s="336">
        <f t="shared" si="1292"/>
        <v>0</v>
      </c>
      <c r="ED159" s="336">
        <f t="shared" si="1293"/>
        <v>0</v>
      </c>
      <c r="EE159" s="336">
        <f t="shared" si="1294"/>
        <v>0</v>
      </c>
      <c r="EF159" s="336">
        <f t="shared" si="1295"/>
        <v>0</v>
      </c>
      <c r="EG159" s="336">
        <f t="shared" si="1296"/>
        <v>0</v>
      </c>
      <c r="EH159" s="336">
        <f t="shared" si="1297"/>
        <v>0</v>
      </c>
      <c r="EI159" s="336">
        <f t="shared" si="1298"/>
        <v>0</v>
      </c>
      <c r="EJ159" s="336">
        <f t="shared" si="1299"/>
        <v>0</v>
      </c>
      <c r="EK159" s="336">
        <f t="shared" si="1300"/>
        <v>0</v>
      </c>
      <c r="EL159" s="336">
        <f t="shared" si="1301"/>
        <v>0</v>
      </c>
      <c r="EM159" s="336">
        <f t="shared" si="1302"/>
        <v>0</v>
      </c>
      <c r="EN159" s="336">
        <f t="shared" si="1303"/>
        <v>0</v>
      </c>
      <c r="EO159" s="336">
        <f t="shared" si="1304"/>
        <v>0</v>
      </c>
      <c r="EP159" s="336">
        <f t="shared" si="1305"/>
        <v>0</v>
      </c>
      <c r="EQ159" s="336">
        <f t="shared" si="1306"/>
        <v>0</v>
      </c>
      <c r="ER159" s="336">
        <f t="shared" si="1307"/>
        <v>0</v>
      </c>
      <c r="ES159" s="336">
        <f t="shared" si="1308"/>
        <v>0</v>
      </c>
      <c r="ET159" s="336">
        <f t="shared" si="1308"/>
        <v>0</v>
      </c>
      <c r="EU159" s="336">
        <f t="shared" si="1309"/>
        <v>0</v>
      </c>
      <c r="EV159" s="336">
        <f t="shared" si="1310"/>
        <v>0</v>
      </c>
      <c r="EW159" s="336">
        <f t="shared" si="1311"/>
        <v>0</v>
      </c>
      <c r="EX159" s="336">
        <f t="shared" si="1312"/>
        <v>0</v>
      </c>
      <c r="EY159" s="336">
        <f t="shared" si="1313"/>
        <v>0</v>
      </c>
      <c r="EZ159" s="336">
        <f t="shared" si="1314"/>
        <v>0</v>
      </c>
      <c r="FA159" s="336">
        <f t="shared" si="1315"/>
        <v>0</v>
      </c>
      <c r="FB159" s="336">
        <f t="shared" si="1316"/>
        <v>0</v>
      </c>
      <c r="FC159" s="336">
        <f t="shared" si="1317"/>
        <v>0</v>
      </c>
      <c r="FD159" s="336">
        <f t="shared" si="1318"/>
        <v>0</v>
      </c>
      <c r="FE159" s="336">
        <f t="shared" si="1319"/>
        <v>0</v>
      </c>
      <c r="FF159" s="336">
        <f t="shared" si="1320"/>
        <v>0</v>
      </c>
      <c r="FG159" s="336">
        <f t="shared" si="1321"/>
        <v>0</v>
      </c>
      <c r="FH159" s="336">
        <f t="shared" si="1322"/>
        <v>0</v>
      </c>
      <c r="FI159" s="336">
        <f t="shared" si="1323"/>
        <v>0</v>
      </c>
      <c r="FJ159" s="336">
        <f t="shared" si="1324"/>
        <v>0</v>
      </c>
      <c r="FK159" s="336">
        <f t="shared" si="1325"/>
        <v>0</v>
      </c>
      <c r="FL159" s="336">
        <f t="shared" si="1326"/>
        <v>0</v>
      </c>
      <c r="FM159" s="336">
        <f t="shared" si="1327"/>
        <v>0</v>
      </c>
      <c r="FN159" s="336">
        <f t="shared" si="1328"/>
        <v>0</v>
      </c>
      <c r="FO159" s="336">
        <f t="shared" si="1329"/>
        <v>0</v>
      </c>
      <c r="FP159" s="336">
        <f t="shared" si="1330"/>
        <v>0</v>
      </c>
      <c r="FQ159" s="336">
        <f t="shared" si="1331"/>
        <v>0</v>
      </c>
      <c r="FR159" s="336">
        <f t="shared" si="1332"/>
        <v>0</v>
      </c>
      <c r="FS159" s="336">
        <f t="shared" si="1333"/>
        <v>0</v>
      </c>
      <c r="FT159" s="336">
        <f t="shared" si="1334"/>
        <v>0</v>
      </c>
      <c r="FU159" s="336">
        <f t="shared" si="1222"/>
        <v>0</v>
      </c>
      <c r="FV159" s="336">
        <f t="shared" si="1223"/>
        <v>0</v>
      </c>
      <c r="FW159" s="336">
        <f t="shared" si="1224"/>
        <v>0</v>
      </c>
      <c r="FX159" s="336">
        <f t="shared" si="1225"/>
        <v>0</v>
      </c>
      <c r="FY159" s="336">
        <f t="shared" si="1364"/>
        <v>0</v>
      </c>
      <c r="FZ159" s="336">
        <f t="shared" si="1365"/>
        <v>0</v>
      </c>
      <c r="GA159" s="336">
        <f t="shared" si="1366"/>
        <v>0</v>
      </c>
      <c r="GB159" s="336">
        <f t="shared" si="1367"/>
        <v>0</v>
      </c>
      <c r="GC159" s="336">
        <f t="shared" si="1368"/>
        <v>0</v>
      </c>
      <c r="GD159" s="336">
        <f t="shared" si="1369"/>
        <v>0</v>
      </c>
      <c r="GE159" s="336">
        <f t="shared" si="1370"/>
        <v>0</v>
      </c>
      <c r="GF159" s="336">
        <f t="shared" si="1371"/>
        <v>0</v>
      </c>
      <c r="GG159" s="336">
        <f t="shared" si="1372"/>
        <v>0</v>
      </c>
      <c r="GH159" s="336">
        <f t="shared" si="1373"/>
        <v>0</v>
      </c>
      <c r="GI159" s="336">
        <f t="shared" si="1374"/>
        <v>0</v>
      </c>
      <c r="GJ159" s="336">
        <f t="shared" si="1375"/>
        <v>0</v>
      </c>
      <c r="GK159" s="336">
        <f t="shared" si="1376"/>
        <v>0</v>
      </c>
      <c r="GL159" s="336">
        <f t="shared" si="1226"/>
        <v>0</v>
      </c>
      <c r="GM159" s="336">
        <f t="shared" si="1377"/>
        <v>0</v>
      </c>
    </row>
    <row r="160" spans="1:195" s="60" customFormat="1" ht="33.75" customHeight="1">
      <c r="A160" s="710"/>
      <c r="B160" s="710"/>
      <c r="C160" s="711"/>
      <c r="D160" s="477" t="s">
        <v>1307</v>
      </c>
      <c r="E160" s="712"/>
      <c r="F160" s="710"/>
      <c r="G160" s="713"/>
      <c r="H160" s="714"/>
      <c r="I160" s="715"/>
      <c r="J160" s="715"/>
      <c r="K160" s="715"/>
      <c r="L160" s="714"/>
      <c r="M160" s="714"/>
      <c r="N160" s="716"/>
      <c r="O160" s="716"/>
      <c r="P160" s="717"/>
      <c r="Q160" s="714"/>
      <c r="R160" s="714"/>
      <c r="S160" s="714"/>
      <c r="T160" s="717"/>
      <c r="U160" s="714"/>
      <c r="V160" s="717"/>
      <c r="W160" s="717"/>
      <c r="X160" s="717"/>
      <c r="Y160" s="717"/>
      <c r="Z160" s="718"/>
      <c r="AA160" s="719"/>
      <c r="AB160" s="719"/>
      <c r="AC160" s="719"/>
      <c r="AD160" s="719"/>
      <c r="AE160" s="719"/>
      <c r="AF160" s="719"/>
      <c r="AG160" s="719"/>
      <c r="AH160" s="720"/>
      <c r="AI160" s="718"/>
      <c r="AJ160" s="716"/>
      <c r="AK160" s="718"/>
      <c r="AL160" s="718"/>
      <c r="AM160" s="718"/>
      <c r="AN160" s="721"/>
      <c r="AO160" s="714"/>
      <c r="AP160" s="722"/>
      <c r="AQ160" s="714"/>
      <c r="AR160" s="721"/>
      <c r="AS160" s="717"/>
      <c r="AT160" s="721"/>
      <c r="AU160" s="721"/>
      <c r="AV160" s="723"/>
      <c r="AW160" s="723"/>
      <c r="AX160" s="717"/>
      <c r="AY160" s="724"/>
      <c r="AZ160" s="724"/>
      <c r="BA160" s="724"/>
      <c r="BB160" s="753"/>
      <c r="BC160" s="754"/>
      <c r="BD160" s="61"/>
      <c r="BE160" s="336"/>
      <c r="BF160" s="336"/>
      <c r="BG160" s="336"/>
      <c r="BH160" s="336"/>
      <c r="BI160" s="336"/>
      <c r="BJ160" s="336"/>
      <c r="BK160" s="336"/>
      <c r="BL160" s="336"/>
      <c r="BM160" s="336"/>
      <c r="BN160" s="336"/>
      <c r="BO160" s="336"/>
      <c r="BP160" s="336"/>
      <c r="BQ160" s="336"/>
      <c r="BR160" s="336"/>
      <c r="BS160" s="336"/>
      <c r="BT160" s="336"/>
      <c r="BU160" s="336"/>
      <c r="BV160" s="336"/>
      <c r="BW160" s="336"/>
      <c r="BX160" s="336"/>
      <c r="BY160" s="336"/>
      <c r="BZ160" s="336"/>
      <c r="CA160" s="336"/>
      <c r="CB160" s="336"/>
      <c r="CC160" s="336"/>
      <c r="CD160" s="336"/>
      <c r="CE160" s="336"/>
      <c r="CF160" s="336"/>
      <c r="CG160" s="336"/>
      <c r="CH160" s="336"/>
      <c r="CI160" s="336"/>
      <c r="CJ160" s="336"/>
      <c r="CK160" s="336"/>
      <c r="CL160" s="336"/>
      <c r="CM160" s="336"/>
      <c r="CN160" s="336"/>
      <c r="CO160" s="336"/>
      <c r="CP160" s="336"/>
      <c r="CQ160" s="336"/>
      <c r="CR160" s="336"/>
      <c r="CS160" s="336"/>
      <c r="CT160" s="336"/>
      <c r="CU160" s="336"/>
      <c r="CV160" s="336"/>
      <c r="CW160" s="336"/>
      <c r="CX160" s="336"/>
      <c r="CY160" s="336"/>
      <c r="CZ160" s="760"/>
      <c r="DA160" s="760"/>
      <c r="DB160" s="760"/>
      <c r="DC160" s="760"/>
      <c r="DD160" s="760"/>
      <c r="DE160" s="760"/>
      <c r="DF160" s="760"/>
      <c r="DG160" s="760"/>
      <c r="DH160" s="760"/>
      <c r="DI160" s="760"/>
      <c r="DJ160" s="760"/>
      <c r="DK160" s="760"/>
      <c r="DL160" s="760"/>
      <c r="DM160" s="760"/>
      <c r="DN160" s="760"/>
      <c r="DO160" s="760"/>
      <c r="DP160" s="760"/>
      <c r="DQ160" s="760"/>
      <c r="DR160" s="760"/>
      <c r="DS160" s="760"/>
      <c r="DT160" s="760"/>
      <c r="DU160" s="760"/>
      <c r="DV160" s="61"/>
      <c r="DW160" s="336">
        <f t="shared" si="1286"/>
        <v>0</v>
      </c>
      <c r="DX160" s="336">
        <f t="shared" si="1287"/>
        <v>0</v>
      </c>
      <c r="DY160" s="336">
        <f t="shared" si="1288"/>
        <v>0</v>
      </c>
      <c r="DZ160" s="336">
        <f t="shared" si="1289"/>
        <v>0</v>
      </c>
      <c r="EA160" s="336">
        <f t="shared" si="1290"/>
        <v>0</v>
      </c>
      <c r="EB160" s="336">
        <f t="shared" si="1291"/>
        <v>0</v>
      </c>
      <c r="EC160" s="336">
        <f t="shared" si="1292"/>
        <v>0</v>
      </c>
      <c r="ED160" s="336">
        <f t="shared" si="1293"/>
        <v>0</v>
      </c>
      <c r="EE160" s="336">
        <f t="shared" si="1294"/>
        <v>0</v>
      </c>
      <c r="EF160" s="336">
        <f t="shared" si="1295"/>
        <v>0</v>
      </c>
      <c r="EG160" s="336">
        <f t="shared" si="1296"/>
        <v>0</v>
      </c>
      <c r="EH160" s="336">
        <f t="shared" si="1297"/>
        <v>0</v>
      </c>
      <c r="EI160" s="336">
        <f t="shared" si="1298"/>
        <v>0</v>
      </c>
      <c r="EJ160" s="336">
        <f t="shared" si="1299"/>
        <v>0</v>
      </c>
      <c r="EK160" s="336">
        <f t="shared" si="1300"/>
        <v>0</v>
      </c>
      <c r="EL160" s="336">
        <f t="shared" si="1301"/>
        <v>0</v>
      </c>
      <c r="EM160" s="336">
        <f t="shared" si="1302"/>
        <v>0</v>
      </c>
      <c r="EN160" s="336">
        <f t="shared" si="1303"/>
        <v>0</v>
      </c>
      <c r="EO160" s="336">
        <f t="shared" si="1304"/>
        <v>0</v>
      </c>
      <c r="EP160" s="336">
        <f t="shared" si="1305"/>
        <v>0</v>
      </c>
      <c r="EQ160" s="336">
        <f t="shared" si="1306"/>
        <v>0</v>
      </c>
      <c r="ER160" s="336">
        <f t="shared" si="1307"/>
        <v>0</v>
      </c>
      <c r="ES160" s="336">
        <f t="shared" si="1308"/>
        <v>0</v>
      </c>
      <c r="ET160" s="336">
        <f t="shared" si="1308"/>
        <v>0</v>
      </c>
      <c r="EU160" s="336">
        <f t="shared" si="1309"/>
        <v>0</v>
      </c>
      <c r="EV160" s="336">
        <f t="shared" si="1310"/>
        <v>0</v>
      </c>
      <c r="EW160" s="336">
        <f t="shared" si="1311"/>
        <v>0</v>
      </c>
      <c r="EX160" s="336">
        <f t="shared" si="1312"/>
        <v>0</v>
      </c>
      <c r="EY160" s="336">
        <f t="shared" si="1313"/>
        <v>0</v>
      </c>
      <c r="EZ160" s="336">
        <f t="shared" si="1314"/>
        <v>0</v>
      </c>
      <c r="FA160" s="336">
        <f t="shared" si="1315"/>
        <v>0</v>
      </c>
      <c r="FB160" s="336">
        <f t="shared" si="1316"/>
        <v>0</v>
      </c>
      <c r="FC160" s="336">
        <f t="shared" si="1317"/>
        <v>0</v>
      </c>
      <c r="FD160" s="336">
        <f t="shared" si="1318"/>
        <v>0</v>
      </c>
      <c r="FE160" s="336">
        <f t="shared" si="1319"/>
        <v>0</v>
      </c>
      <c r="FF160" s="336">
        <f t="shared" si="1320"/>
        <v>0</v>
      </c>
      <c r="FG160" s="336">
        <f t="shared" si="1321"/>
        <v>0</v>
      </c>
      <c r="FH160" s="336">
        <f t="shared" si="1322"/>
        <v>0</v>
      </c>
      <c r="FI160" s="336">
        <f t="shared" si="1323"/>
        <v>0</v>
      </c>
      <c r="FJ160" s="336">
        <f t="shared" si="1324"/>
        <v>0</v>
      </c>
      <c r="FK160" s="336">
        <f t="shared" si="1325"/>
        <v>0</v>
      </c>
      <c r="FL160" s="336">
        <f t="shared" si="1326"/>
        <v>0</v>
      </c>
      <c r="FM160" s="336">
        <f t="shared" si="1327"/>
        <v>0</v>
      </c>
      <c r="FN160" s="336">
        <f t="shared" si="1328"/>
        <v>0</v>
      </c>
      <c r="FO160" s="336">
        <f t="shared" si="1329"/>
        <v>0</v>
      </c>
      <c r="FP160" s="336">
        <f t="shared" si="1330"/>
        <v>0</v>
      </c>
      <c r="FQ160" s="336">
        <f t="shared" si="1331"/>
        <v>0</v>
      </c>
      <c r="FR160" s="336">
        <f t="shared" si="1332"/>
        <v>0</v>
      </c>
      <c r="FS160" s="336">
        <f t="shared" si="1333"/>
        <v>0</v>
      </c>
      <c r="FT160" s="336">
        <f t="shared" si="1334"/>
        <v>0</v>
      </c>
      <c r="FU160" s="336">
        <f t="shared" si="1222"/>
        <v>0</v>
      </c>
      <c r="FV160" s="336">
        <f t="shared" si="1223"/>
        <v>0</v>
      </c>
      <c r="FW160" s="336">
        <f t="shared" si="1224"/>
        <v>0</v>
      </c>
      <c r="FX160" s="336">
        <f t="shared" si="1225"/>
        <v>0</v>
      </c>
      <c r="FY160" s="336">
        <f t="shared" si="1364"/>
        <v>0</v>
      </c>
      <c r="FZ160" s="336">
        <f t="shared" si="1365"/>
        <v>0</v>
      </c>
      <c r="GA160" s="336">
        <f t="shared" si="1366"/>
        <v>0</v>
      </c>
      <c r="GB160" s="336">
        <f t="shared" si="1367"/>
        <v>0</v>
      </c>
      <c r="GC160" s="336">
        <f t="shared" si="1368"/>
        <v>0</v>
      </c>
      <c r="GD160" s="336">
        <f t="shared" si="1369"/>
        <v>0</v>
      </c>
      <c r="GE160" s="336">
        <f t="shared" si="1370"/>
        <v>0</v>
      </c>
      <c r="GF160" s="336">
        <f t="shared" si="1371"/>
        <v>0</v>
      </c>
      <c r="GG160" s="336">
        <f t="shared" si="1372"/>
        <v>0</v>
      </c>
      <c r="GH160" s="336">
        <f t="shared" si="1373"/>
        <v>0</v>
      </c>
      <c r="GI160" s="336">
        <f t="shared" si="1374"/>
        <v>0</v>
      </c>
      <c r="GJ160" s="336">
        <f t="shared" si="1375"/>
        <v>0</v>
      </c>
      <c r="GK160" s="336">
        <f t="shared" si="1376"/>
        <v>0</v>
      </c>
      <c r="GL160" s="336">
        <f t="shared" si="1226"/>
        <v>0</v>
      </c>
      <c r="GM160" s="336">
        <f t="shared" si="1377"/>
        <v>0</v>
      </c>
    </row>
    <row r="161" spans="1:195" s="83" customFormat="1" ht="25.5" hidden="1">
      <c r="A161" s="357" t="s">
        <v>334</v>
      </c>
      <c r="B161" s="565" t="s">
        <v>527</v>
      </c>
      <c r="C161" s="395" t="str">
        <f>$D$160</f>
        <v>COOLING TOWER SUBSTATION HVAC DB</v>
      </c>
      <c r="D161" s="565" t="s">
        <v>1308</v>
      </c>
      <c r="E161" s="778" t="s">
        <v>419</v>
      </c>
      <c r="F161" s="779"/>
      <c r="G161" s="360" t="s">
        <v>329</v>
      </c>
      <c r="H161" s="352">
        <v>3</v>
      </c>
      <c r="I161" s="357" t="s">
        <v>330</v>
      </c>
      <c r="J161" s="353" t="s">
        <v>357</v>
      </c>
      <c r="K161" s="353">
        <v>230</v>
      </c>
      <c r="L161" s="360">
        <v>0.85</v>
      </c>
      <c r="M161" s="352">
        <v>0.95</v>
      </c>
      <c r="N161" s="359">
        <f t="shared" ref="N161:N167" si="1403">IF(I161="kVA",IF(J161="3Ph",(H161*1000/(1.732*M161*K161)),(H161*1000/(M161*K161))),IF(I161="kW",IF(J161="3Ph",(H161*1000/(1.732*M161*K161*L161)),(H161*1000/(M161*K161*L161)))))</f>
        <v>16.152914254946829</v>
      </c>
      <c r="O161" s="359">
        <f t="shared" ref="O161:O166" si="1404">IF(G161="MOTOR",(6*N161),IF(G161="VFD",(1*N161),0))</f>
        <v>0</v>
      </c>
      <c r="P161" s="360" t="str">
        <f t="shared" ref="P161:P166" si="1405">IF(G161="MOTOR",0.2,"0.00")</f>
        <v>0.00</v>
      </c>
      <c r="Q161" s="352">
        <v>65</v>
      </c>
      <c r="R161" s="352">
        <v>0</v>
      </c>
      <c r="S161" s="352">
        <f t="shared" ref="S161:S166" si="1406">(Q161*1000*SQRT(R161)/143)</f>
        <v>0</v>
      </c>
      <c r="T161" s="360" t="s">
        <v>332</v>
      </c>
      <c r="U161" s="352" t="s">
        <v>333</v>
      </c>
      <c r="V161" s="360">
        <v>4</v>
      </c>
      <c r="W161" s="360" t="str">
        <f t="shared" ref="W161:W166" si="1407">CONCATENATE(U161," X ",V161)</f>
        <v>3C X 4</v>
      </c>
      <c r="X161" s="360" t="str">
        <f t="shared" ref="X161:X166" si="1408">(IF(J161="1Ph",W161,IF(J161="3Ph",(IF(G161="MOTOR",(CONCATENATE(W161,"+PE")),W161)))))</f>
        <v>3C X 4</v>
      </c>
      <c r="Y161" s="360" t="s">
        <v>358</v>
      </c>
      <c r="Z161" s="361">
        <f>IF(T161="AIR",VLOOKUP(W161,'Catalogue Aluminium'!$B$9:$G$93,2,FALSE),IF(T161="GROUND",VLOOKUP(W161,'Catalogue Aluminium'!$B$9:$G$93,3,FALSE),IF(T161="DUCT",VLOOKUP(W161,'Catalogue Aluminium'!$B$9:$G$93,4,FALSE),IF(T161="TRENCH",VLOOKUP(W161,'Catalogue Aluminium'!$B$9:$G$93,2,FALSE)))))</f>
        <v>38</v>
      </c>
      <c r="AA161" s="362">
        <f>VLOOKUP(W161,'Catalogue Aluminium'!$B$9:$G$93,5,FALSE)</f>
        <v>5.9</v>
      </c>
      <c r="AB161" s="362">
        <f>VLOOKUP(W161,'Catalogue Aluminium'!$B$9:$G$93,6,FALSE)</f>
        <v>9.4700000000000006E-2</v>
      </c>
      <c r="AC161" s="360">
        <v>10</v>
      </c>
      <c r="AD161" s="564">
        <v>0</v>
      </c>
      <c r="AE161" s="360">
        <v>10</v>
      </c>
      <c r="AF161" s="360">
        <v>5</v>
      </c>
      <c r="AG161" s="360">
        <f t="shared" si="1177"/>
        <v>3</v>
      </c>
      <c r="AH161" s="363"/>
      <c r="AI161" s="361">
        <f>IF(T161="AIR",'Catalogue Aluminium'!$K$9,IF(T161="TRENCH",'Catalogue Aluminium'!$K$12,"NA"))</f>
        <v>0.89</v>
      </c>
      <c r="AJ161" s="359">
        <f>IF(T161="Air",(IF(U161="1C",'Catalogue Aluminium'!$L$9,'Catalogue Aluminium'!$M$9)),IF(T161="DUCT",(IF($U161="1C",'Catalogue Aluminium'!$L$10,'Catalogue Aluminium'!$M$10)),IF(T161="GROUND",(IF($U161="1C",'Catalogue Aluminium'!$L$11,'Catalogue Aluminium'!$M$11)),IF(T161="TRENCH",(IF($U161="1C",'Catalogue Aluminium'!$L$12,'Catalogue Aluminium'!$M$12))))))</f>
        <v>0.66</v>
      </c>
      <c r="AK161" s="361" t="str">
        <f>IF(T161="Air",'Catalogue Aluminium'!$N$9,IF(T161="GROUND",'Catalogue Aluminium'!$N$10,IF(T161="DUCT",'Catalogue Aluminium'!$N$11,IF(T161="TRENCH",'Catalogue Aluminium'!$N$12,"NA"))))</f>
        <v>NA</v>
      </c>
      <c r="AL161" s="361" t="str">
        <f>IF(T161="Air",(IF(U161="1C",'Catalogue Aluminium'!$O$9,'Catalogue Aluminium'!$P$9)),IF(T161="DUCT",(IF($U161="1C",'Catalogue Aluminium'!$O$10,'Catalogue Aluminium'!$P$10)),IF(T161="GROUND",(IF($U161="1C",'Catalogue Aluminium'!$O$11,'Catalogue Aluminium'!$P$11)),IF(T161="TRENCH",(IF($U161="1C",'Catalogue Aluminium'!$O$12,'Catalogue Aluminium'!$P$12))))))</f>
        <v>NA</v>
      </c>
      <c r="AM161" s="361" t="str">
        <f>IF(T161="AIR","NA",IF(T161="TRENCH","NA",IF(T161="DUCT",IF(U161="1C",VLOOKUP(V161,'Catalogue Aluminium'!$Q$9:$S$28,2,FALSE),VLOOKUP(V161,'Catalogue Aluminium'!$Q$9:$S$28,3)),IF(T161="GROUND",IF(U161="1C",VLOOKUP(V161,'Catalogue Aluminium'!$Q$9:$S$28,2,FALSE),VLOOKUP(V161,'Catalogue Aluminium'!$Q$9:$S$28,3))))))</f>
        <v>NA</v>
      </c>
      <c r="AN161" s="365">
        <f t="shared" ref="AN161:AN166" si="1409">IF(T161="AIR",AI161*AJ161,IF(T161="TRENCH",AI161*AJ161,IF(T161="DUCT",AJ161*AK161*AL161*AM161,IF(T161="GROUND",AJ161*AK161*AL161*AM161))))</f>
        <v>0.58740000000000003</v>
      </c>
      <c r="AO161" s="352">
        <f t="shared" ref="AO161:AO166" si="1410">Z161*AN161</f>
        <v>22.321200000000001</v>
      </c>
      <c r="AP161" s="353">
        <f t="shared" ref="AP161:AP166" si="1411">CEILING(((N161)/AO161),1)</f>
        <v>1</v>
      </c>
      <c r="AQ161" s="352" t="str">
        <f t="shared" ref="AQ161:AQ166" si="1412">IF(AO161*AP161&gt;=N161,"YES","NO")</f>
        <v>YES</v>
      </c>
      <c r="AR161" s="365">
        <f t="shared" si="1178"/>
        <v>0</v>
      </c>
      <c r="AS161" s="360" t="str">
        <f t="shared" si="1179"/>
        <v>YES</v>
      </c>
      <c r="AT161" s="365" t="str">
        <f>IF(G161="MOTOR",(SQRT(3)*AH161*O161*((AA161*L161)+(AB161*SIN(ACOS(L161))))*100/(AP161*K161*1000)),"NA")</f>
        <v>NA</v>
      </c>
      <c r="AU161" s="360" t="str">
        <f t="shared" ref="AU161:AU166" si="1413">IF(G161="MOTOR",IF(AT161&lt;=15,"YES","NO"),"NA")</f>
        <v>NA</v>
      </c>
      <c r="AV161" s="366" t="str">
        <f t="shared" ref="AV161:AV166" si="1414">IF(U161="1C",CONCATENATE(AP161,"R x ",Y161,"kV x ",U161," x ",V161," Sqmm/Phase"),CONCATENATE(AP161,"R x ",0.6,"/1kV x ",U161," x ",V161," Sqmm"))</f>
        <v>1R x 0.6/1kV x 3C x 4 Sqmm</v>
      </c>
      <c r="AW161" s="366" t="str">
        <f t="shared" ref="AW161:AW166" si="1415">IF(U161="1C",CONCATENATE(AP161,"R x ",Y161,"kV x ",U161," x ",V161," Sqmm/Phase"),CONCATENATE(AP161,"R x ",0.6,"/1kV x ",U161," x ",V161,(IF(G161="MOTOR","+PE",""))," Sqmm"))</f>
        <v>1R x 0.6/1kV x 3C x 4 Sqmm</v>
      </c>
      <c r="AX161" s="360"/>
      <c r="AY161" s="367"/>
      <c r="AZ161" s="367"/>
      <c r="BA161" s="356" t="str">
        <f t="shared" ref="BA161:BA166" si="1416">CONCATENATE(IF(BE161=1,BE$4,""),IF(BF161=1,BF$4,""),IF(BG161=1,BG$4,""),IF(BH161=1,BH$4,""),IF(BI161=1,BI$4,""),IF(BJ161=1,BJ$4,""),IF(BK161=1,BK$4,""),IF(BL161=1,BL$4,""),IF(BM161=1,BM$4,""),IF(BN161=1,BN$4,""),IF(BO161=1,BO$4,""),IF(BP161=1,BP$4,""),IF(BQ161=1,BQ$4,""),IF(BR161=1,BR$4,""),IF(BS161=1,BS$4,""),IF(BT161=1,BT$4,""),IF(BU161=1,BU$4,""),IF(BV161=1,BV$4,""),IF(BW161=1,BW$4,""),IF(BX161=1,BX$4,""),IF(BY161=1,BY$4,""),IF(BZ161=1,BZ$4,""),IF(CA161=1,CA$4,""),IF(CC161=1,CC$4,""),IF(CD161=1,CD$4,""),IF(CE161=1,CE$4,""),IF(CF161=1,CF$4,""),IF(CG161=1,CG$4,""),IF(CH161=1,CH$4,""),IF(CI161=1,CI$4,""),IF(CJ161=1,CJ$4,""),IF(CK161=1,CK$4,""),IF(CL161=1,CL$4,""),IF(CM161=1,CM$4,""),IF(CN161=1,CN$4,""),IF(CO161=1,CO$4,""),IF(CP161=1,CP$4,""),IF(CQ161=1,CQ$4,""),IF(CR161=1,CR$4,""),IF(CS161=1,CS$4,""),IF(CT161=1,CT$4,""),IF(CU161=1,CU$4,""),IF(CV161=1,CV$4,""),IF(CW161=1,CW$4,""),IF(CX161=1,CX$4,""),IF(CY161=1,CY$4,""),IF(CZ161=1,CZ$4,""),IF(DA161=1,DA$4,""),IF(DB161=1,DB$4,""),IF(DC161=1,DC$4,""),IF(DG161=1,DG$4,""),IF(DH161=1,DH$4,""),IF(DI161=1,DI$4,""),IF(DJ161=1,DJ$4,""),IF(DK161=1,DK$4,""),IF(DL161=1,DL$4,""),IF(DM161=1,DM$4,""),IF(DN161=1,DN$4,""),IF(DO161=1,DO$4,""),IF(DP161=1,DP$4,""),IF(DQ161=1,DQ$4,""),IF(DR161=1,DR$4,""),IF(DS161=1,DS$4,""),IF(DT161=1,DT$7,""),IF(DU161=1,DU$4,""))</f>
        <v/>
      </c>
      <c r="BB161" s="498"/>
      <c r="BC161" s="426"/>
      <c r="BE161" s="368"/>
      <c r="BF161" s="368"/>
      <c r="BG161" s="368"/>
      <c r="BH161" s="368"/>
      <c r="BI161" s="368"/>
      <c r="BJ161" s="368"/>
      <c r="BK161" s="368"/>
      <c r="BL161" s="368"/>
      <c r="BM161" s="368"/>
      <c r="BN161" s="368"/>
      <c r="BO161" s="368"/>
      <c r="BP161" s="368"/>
      <c r="BQ161" s="368"/>
      <c r="BR161" s="368"/>
      <c r="BS161" s="368"/>
      <c r="BT161" s="368"/>
      <c r="BU161" s="368"/>
      <c r="BV161" s="368"/>
      <c r="BW161" s="368"/>
      <c r="BX161" s="368"/>
      <c r="BY161" s="368"/>
      <c r="BZ161" s="368"/>
      <c r="CA161" s="368"/>
      <c r="CB161" s="368"/>
      <c r="CC161" s="368"/>
      <c r="CD161" s="368"/>
      <c r="CE161" s="368"/>
      <c r="CF161" s="368"/>
      <c r="CG161" s="368"/>
      <c r="CH161" s="368"/>
      <c r="CI161" s="368"/>
      <c r="CJ161" s="368"/>
      <c r="CK161" s="368"/>
      <c r="CL161" s="368"/>
      <c r="CM161" s="368"/>
      <c r="CN161" s="368"/>
      <c r="CO161" s="368"/>
      <c r="CP161" s="368"/>
      <c r="CQ161" s="368"/>
      <c r="CR161" s="368"/>
      <c r="CS161" s="368"/>
      <c r="CT161" s="368"/>
      <c r="CU161" s="368"/>
      <c r="CV161" s="368"/>
      <c r="CW161" s="368"/>
      <c r="CX161" s="368"/>
      <c r="CY161" s="368"/>
      <c r="CZ161" s="368"/>
      <c r="DA161" s="368"/>
      <c r="DB161" s="368"/>
      <c r="DC161" s="368"/>
      <c r="DD161" s="368"/>
      <c r="DE161" s="368"/>
      <c r="DF161" s="368"/>
      <c r="DG161" s="368"/>
      <c r="DH161" s="368"/>
      <c r="DI161" s="368"/>
      <c r="DJ161" s="368"/>
      <c r="DK161" s="368"/>
      <c r="DL161" s="368"/>
      <c r="DM161" s="368"/>
      <c r="DN161" s="368"/>
      <c r="DO161" s="368"/>
      <c r="DP161" s="368"/>
      <c r="DQ161" s="368"/>
      <c r="DR161" s="368"/>
      <c r="DS161" s="368"/>
      <c r="DT161" s="368"/>
      <c r="DU161" s="368"/>
      <c r="DW161" s="336">
        <f t="shared" si="1286"/>
        <v>0</v>
      </c>
      <c r="DX161" s="336">
        <f t="shared" si="1287"/>
        <v>0</v>
      </c>
      <c r="DY161" s="336">
        <f t="shared" si="1288"/>
        <v>0</v>
      </c>
      <c r="DZ161" s="336">
        <f t="shared" si="1289"/>
        <v>0</v>
      </c>
      <c r="EA161" s="336">
        <f t="shared" si="1290"/>
        <v>0</v>
      </c>
      <c r="EB161" s="336">
        <f t="shared" si="1291"/>
        <v>0</v>
      </c>
      <c r="EC161" s="336">
        <f t="shared" si="1292"/>
        <v>0</v>
      </c>
      <c r="ED161" s="336">
        <f t="shared" si="1293"/>
        <v>0</v>
      </c>
      <c r="EE161" s="336">
        <f t="shared" si="1294"/>
        <v>0</v>
      </c>
      <c r="EF161" s="336">
        <f t="shared" si="1295"/>
        <v>0</v>
      </c>
      <c r="EG161" s="336">
        <f t="shared" si="1296"/>
        <v>0</v>
      </c>
      <c r="EH161" s="336">
        <f t="shared" si="1297"/>
        <v>0</v>
      </c>
      <c r="EI161" s="336">
        <f t="shared" si="1298"/>
        <v>0</v>
      </c>
      <c r="EJ161" s="336">
        <f t="shared" si="1299"/>
        <v>0</v>
      </c>
      <c r="EK161" s="336">
        <f t="shared" si="1300"/>
        <v>0</v>
      </c>
      <c r="EL161" s="336">
        <f t="shared" si="1301"/>
        <v>0</v>
      </c>
      <c r="EM161" s="336">
        <f t="shared" si="1302"/>
        <v>0</v>
      </c>
      <c r="EN161" s="336">
        <f t="shared" si="1303"/>
        <v>0</v>
      </c>
      <c r="EO161" s="336">
        <f t="shared" si="1304"/>
        <v>0</v>
      </c>
      <c r="EP161" s="336">
        <f t="shared" si="1305"/>
        <v>0</v>
      </c>
      <c r="EQ161" s="336">
        <f t="shared" si="1306"/>
        <v>0</v>
      </c>
      <c r="ER161" s="336">
        <f t="shared" si="1307"/>
        <v>0</v>
      </c>
      <c r="ES161" s="336">
        <f t="shared" si="1308"/>
        <v>0</v>
      </c>
      <c r="ET161" s="336">
        <f t="shared" si="1308"/>
        <v>0</v>
      </c>
      <c r="EU161" s="336">
        <f t="shared" si="1309"/>
        <v>0</v>
      </c>
      <c r="EV161" s="336">
        <f t="shared" si="1310"/>
        <v>0</v>
      </c>
      <c r="EW161" s="336">
        <f t="shared" si="1311"/>
        <v>0</v>
      </c>
      <c r="EX161" s="336">
        <f t="shared" si="1312"/>
        <v>0</v>
      </c>
      <c r="EY161" s="336">
        <f t="shared" si="1313"/>
        <v>0</v>
      </c>
      <c r="EZ161" s="336">
        <f t="shared" si="1314"/>
        <v>0</v>
      </c>
      <c r="FA161" s="336">
        <f t="shared" si="1315"/>
        <v>0</v>
      </c>
      <c r="FB161" s="336">
        <f t="shared" si="1316"/>
        <v>0</v>
      </c>
      <c r="FC161" s="336">
        <f t="shared" si="1317"/>
        <v>0</v>
      </c>
      <c r="FD161" s="336">
        <f t="shared" si="1318"/>
        <v>0</v>
      </c>
      <c r="FE161" s="336">
        <f t="shared" si="1319"/>
        <v>0</v>
      </c>
      <c r="FF161" s="336">
        <f t="shared" si="1320"/>
        <v>0</v>
      </c>
      <c r="FG161" s="336">
        <f t="shared" si="1321"/>
        <v>0</v>
      </c>
      <c r="FH161" s="336">
        <f t="shared" si="1322"/>
        <v>0</v>
      </c>
      <c r="FI161" s="336">
        <f t="shared" si="1323"/>
        <v>0</v>
      </c>
      <c r="FJ161" s="336">
        <f t="shared" si="1324"/>
        <v>0</v>
      </c>
      <c r="FK161" s="336">
        <f t="shared" si="1325"/>
        <v>0</v>
      </c>
      <c r="FL161" s="336">
        <f t="shared" si="1326"/>
        <v>0</v>
      </c>
      <c r="FM161" s="336">
        <f t="shared" si="1327"/>
        <v>0</v>
      </c>
      <c r="FN161" s="336">
        <f t="shared" si="1328"/>
        <v>0</v>
      </c>
      <c r="FO161" s="336">
        <f t="shared" si="1329"/>
        <v>0</v>
      </c>
      <c r="FP161" s="336">
        <f t="shared" si="1330"/>
        <v>0</v>
      </c>
      <c r="FQ161" s="336">
        <f t="shared" si="1331"/>
        <v>0</v>
      </c>
      <c r="FR161" s="336">
        <f t="shared" si="1332"/>
        <v>0</v>
      </c>
      <c r="FS161" s="336">
        <f t="shared" si="1333"/>
        <v>0</v>
      </c>
      <c r="FT161" s="336">
        <f t="shared" si="1334"/>
        <v>0</v>
      </c>
      <c r="FU161" s="336"/>
      <c r="FV161" s="336"/>
      <c r="FW161" s="336"/>
      <c r="FX161" s="336"/>
      <c r="FY161" s="336">
        <f t="shared" ref="FY161:FY197" si="1417">IF(DG161=1,($BC161*DG161),0)</f>
        <v>0</v>
      </c>
      <c r="FZ161" s="336">
        <f t="shared" ref="FZ161:FZ197" si="1418">IF(DH161=1,($BC161*DH161),0)</f>
        <v>0</v>
      </c>
      <c r="GA161" s="336">
        <f t="shared" ref="GA161:GA197" si="1419">IF(DI161=1,($BC161*DI161),0)</f>
        <v>0</v>
      </c>
      <c r="GB161" s="336">
        <f t="shared" ref="GB161:GB197" si="1420">IF(DJ161=1,($BC161*DJ161),0)</f>
        <v>0</v>
      </c>
      <c r="GC161" s="336">
        <f t="shared" ref="GC161:GC197" si="1421">IF(DK161=1,($BC161*DK161),0)</f>
        <v>0</v>
      </c>
      <c r="GD161" s="336">
        <f t="shared" ref="GD161:GD197" si="1422">IF(DL161=1,($BC161*DL161),0)</f>
        <v>0</v>
      </c>
      <c r="GE161" s="336">
        <f t="shared" ref="GE161:GE197" si="1423">IF(DM161=1,($BC161*DM161),0)</f>
        <v>0</v>
      </c>
      <c r="GF161" s="336">
        <f t="shared" ref="GF161:GF197" si="1424">IF(DN161=1,($BC161*DN161),0)</f>
        <v>0</v>
      </c>
      <c r="GG161" s="336">
        <f t="shared" ref="GG161:GG197" si="1425">IF(DO161=1,($BC161*DO161),0)</f>
        <v>0</v>
      </c>
      <c r="GH161" s="336">
        <f t="shared" ref="GH161:GH197" si="1426">IF(DP161=1,($BC161*DP161),0)</f>
        <v>0</v>
      </c>
      <c r="GI161" s="336">
        <f t="shared" ref="GI161:GI197" si="1427">IF(DQ161=1,($BC161*DQ161),0)</f>
        <v>0</v>
      </c>
      <c r="GJ161" s="336">
        <f t="shared" ref="GJ161:GJ197" si="1428">IF(DR161=1,($BC161*DR161),0)</f>
        <v>0</v>
      </c>
      <c r="GK161" s="336">
        <f t="shared" ref="GK161:GK197" si="1429">IF(DS161=1,($BC161*DS161),0)</f>
        <v>0</v>
      </c>
      <c r="GL161" s="336"/>
      <c r="GM161" s="336">
        <f t="shared" ref="GM161:GM197" si="1430">IF(DU161=1,($BC161*DU161),0)</f>
        <v>0</v>
      </c>
    </row>
    <row r="162" spans="1:195" s="83" customFormat="1" ht="25.5" hidden="1">
      <c r="A162" s="357" t="s">
        <v>334</v>
      </c>
      <c r="B162" s="565" t="s">
        <v>527</v>
      </c>
      <c r="C162" s="395" t="str">
        <f t="shared" ref="C162:C166" si="1431">$D$160</f>
        <v>COOLING TOWER SUBSTATION HVAC DB</v>
      </c>
      <c r="D162" s="565" t="s">
        <v>1309</v>
      </c>
      <c r="E162" s="778" t="s">
        <v>419</v>
      </c>
      <c r="F162" s="779"/>
      <c r="G162" s="360" t="s">
        <v>329</v>
      </c>
      <c r="H162" s="352">
        <v>3</v>
      </c>
      <c r="I162" s="357" t="s">
        <v>330</v>
      </c>
      <c r="J162" s="353" t="s">
        <v>357</v>
      </c>
      <c r="K162" s="353">
        <v>230</v>
      </c>
      <c r="L162" s="360">
        <v>0.85</v>
      </c>
      <c r="M162" s="352">
        <v>0.95</v>
      </c>
      <c r="N162" s="359">
        <f t="shared" si="1403"/>
        <v>16.152914254946829</v>
      </c>
      <c r="O162" s="359">
        <f t="shared" si="1404"/>
        <v>0</v>
      </c>
      <c r="P162" s="360" t="str">
        <f t="shared" si="1405"/>
        <v>0.00</v>
      </c>
      <c r="Q162" s="352">
        <v>65</v>
      </c>
      <c r="R162" s="352">
        <v>0</v>
      </c>
      <c r="S162" s="352">
        <f t="shared" si="1406"/>
        <v>0</v>
      </c>
      <c r="T162" s="360" t="s">
        <v>332</v>
      </c>
      <c r="U162" s="352" t="s">
        <v>333</v>
      </c>
      <c r="V162" s="360">
        <v>4</v>
      </c>
      <c r="W162" s="360" t="str">
        <f t="shared" si="1407"/>
        <v>3C X 4</v>
      </c>
      <c r="X162" s="360" t="str">
        <f t="shared" si="1408"/>
        <v>3C X 4</v>
      </c>
      <c r="Y162" s="360" t="s">
        <v>358</v>
      </c>
      <c r="Z162" s="361">
        <f>IF(T162="AIR",VLOOKUP(W162,'Catalogue Aluminium'!$B$9:$G$93,2,FALSE),IF(T162="GROUND",VLOOKUP(W162,'Catalogue Aluminium'!$B$9:$G$93,3,FALSE),IF(T162="DUCT",VLOOKUP(W162,'Catalogue Aluminium'!$B$9:$G$93,4,FALSE),IF(T162="TRENCH",VLOOKUP(W162,'Catalogue Aluminium'!$B$9:$G$93,2,FALSE)))))</f>
        <v>38</v>
      </c>
      <c r="AA162" s="362">
        <f>VLOOKUP(W162,'Catalogue Aluminium'!$B$9:$G$93,5,FALSE)</f>
        <v>5.9</v>
      </c>
      <c r="AB162" s="362">
        <f>VLOOKUP(W162,'Catalogue Aluminium'!$B$9:$G$93,6,FALSE)</f>
        <v>9.4700000000000006E-2</v>
      </c>
      <c r="AC162" s="360">
        <v>10</v>
      </c>
      <c r="AD162" s="564">
        <v>0</v>
      </c>
      <c r="AE162" s="360">
        <v>10</v>
      </c>
      <c r="AF162" s="360">
        <v>5</v>
      </c>
      <c r="AG162" s="360">
        <f t="shared" si="1177"/>
        <v>3</v>
      </c>
      <c r="AH162" s="363"/>
      <c r="AI162" s="361">
        <f>IF(T162="AIR",'Catalogue Aluminium'!$K$9,IF(T162="TRENCH",'Catalogue Aluminium'!$K$12,"NA"))</f>
        <v>0.89</v>
      </c>
      <c r="AJ162" s="359">
        <f>IF(T162="Air",(IF(U162="1C",'Catalogue Aluminium'!$L$9,'Catalogue Aluminium'!$M$9)),IF(T162="DUCT",(IF($U162="1C",'Catalogue Aluminium'!$L$10,'Catalogue Aluminium'!$M$10)),IF(T162="GROUND",(IF($U162="1C",'Catalogue Aluminium'!$L$11,'Catalogue Aluminium'!$M$11)),IF(T162="TRENCH",(IF($U162="1C",'Catalogue Aluminium'!$L$12,'Catalogue Aluminium'!$M$12))))))</f>
        <v>0.66</v>
      </c>
      <c r="AK162" s="361" t="str">
        <f>IF(T162="Air",'Catalogue Aluminium'!$N$9,IF(T162="GROUND",'Catalogue Aluminium'!$N$10,IF(T162="DUCT",'Catalogue Aluminium'!$N$11,IF(T162="TRENCH",'Catalogue Aluminium'!$N$12,"NA"))))</f>
        <v>NA</v>
      </c>
      <c r="AL162" s="361" t="str">
        <f>IF(T162="Air",(IF(U162="1C",'Catalogue Aluminium'!$O$9,'Catalogue Aluminium'!$P$9)),IF(T162="DUCT",(IF($U162="1C",'Catalogue Aluminium'!$O$10,'Catalogue Aluminium'!$P$10)),IF(T162="GROUND",(IF($U162="1C",'Catalogue Aluminium'!$O$11,'Catalogue Aluminium'!$P$11)),IF(T162="TRENCH",(IF($U162="1C",'Catalogue Aluminium'!$O$12,'Catalogue Aluminium'!$P$12))))))</f>
        <v>NA</v>
      </c>
      <c r="AM162" s="361" t="str">
        <f>IF(T162="AIR","NA",IF(T162="TRENCH","NA",IF(T162="DUCT",IF(U162="1C",VLOOKUP(V162,'Catalogue Aluminium'!$Q$9:$S$28,2,FALSE),VLOOKUP(V162,'Catalogue Aluminium'!$Q$9:$S$28,3)),IF(T162="GROUND",IF(U162="1C",VLOOKUP(V162,'Catalogue Aluminium'!$Q$9:$S$28,2,FALSE),VLOOKUP(V162,'Catalogue Aluminium'!$Q$9:$S$28,3))))))</f>
        <v>NA</v>
      </c>
      <c r="AN162" s="365">
        <f t="shared" si="1409"/>
        <v>0.58740000000000003</v>
      </c>
      <c r="AO162" s="352">
        <f t="shared" si="1410"/>
        <v>22.321200000000001</v>
      </c>
      <c r="AP162" s="353">
        <f t="shared" si="1411"/>
        <v>1</v>
      </c>
      <c r="AQ162" s="352" t="str">
        <f t="shared" si="1412"/>
        <v>YES</v>
      </c>
      <c r="AR162" s="365">
        <f t="shared" si="1178"/>
        <v>0</v>
      </c>
      <c r="AS162" s="360" t="str">
        <f t="shared" si="1179"/>
        <v>YES</v>
      </c>
      <c r="AT162" s="365" t="str">
        <f>IF(G162="MOTOR",(SQRT(3)*AH162*O162*((AA162*L162)+(AB162*SIN(ACOS(L162))))*100/(AP162*K162*1000)),"NA")</f>
        <v>NA</v>
      </c>
      <c r="AU162" s="360" t="str">
        <f t="shared" si="1413"/>
        <v>NA</v>
      </c>
      <c r="AV162" s="366" t="str">
        <f t="shared" si="1414"/>
        <v>1R x 0.6/1kV x 3C x 4 Sqmm</v>
      </c>
      <c r="AW162" s="366" t="str">
        <f t="shared" si="1415"/>
        <v>1R x 0.6/1kV x 3C x 4 Sqmm</v>
      </c>
      <c r="AX162" s="360"/>
      <c r="AY162" s="367"/>
      <c r="AZ162" s="367"/>
      <c r="BA162" s="356" t="str">
        <f t="shared" si="1416"/>
        <v/>
      </c>
      <c r="BB162" s="498"/>
      <c r="BC162" s="426"/>
      <c r="BE162" s="368"/>
      <c r="BF162" s="368"/>
      <c r="BG162" s="368"/>
      <c r="BH162" s="368"/>
      <c r="BI162" s="368"/>
      <c r="BJ162" s="368"/>
      <c r="BK162" s="368"/>
      <c r="BL162" s="368"/>
      <c r="BM162" s="368"/>
      <c r="BN162" s="368"/>
      <c r="BO162" s="368"/>
      <c r="BP162" s="368"/>
      <c r="BQ162" s="368"/>
      <c r="BR162" s="368"/>
      <c r="BS162" s="368"/>
      <c r="BT162" s="368"/>
      <c r="BU162" s="368"/>
      <c r="BV162" s="368"/>
      <c r="BW162" s="368"/>
      <c r="BX162" s="368"/>
      <c r="BY162" s="368"/>
      <c r="BZ162" s="368"/>
      <c r="CA162" s="368"/>
      <c r="CB162" s="368"/>
      <c r="CC162" s="368"/>
      <c r="CD162" s="368"/>
      <c r="CE162" s="368"/>
      <c r="CF162" s="368"/>
      <c r="CG162" s="368"/>
      <c r="CH162" s="368"/>
      <c r="CI162" s="368"/>
      <c r="CJ162" s="368"/>
      <c r="CK162" s="368"/>
      <c r="CL162" s="368"/>
      <c r="CM162" s="368"/>
      <c r="CN162" s="368"/>
      <c r="CO162" s="368"/>
      <c r="CP162" s="368"/>
      <c r="CQ162" s="368"/>
      <c r="CR162" s="368"/>
      <c r="CS162" s="368"/>
      <c r="CT162" s="368"/>
      <c r="CU162" s="368"/>
      <c r="CV162" s="368"/>
      <c r="CW162" s="368"/>
      <c r="CX162" s="368"/>
      <c r="CY162" s="368"/>
      <c r="CZ162" s="368"/>
      <c r="DA162" s="368"/>
      <c r="DB162" s="368"/>
      <c r="DC162" s="368"/>
      <c r="DD162" s="368"/>
      <c r="DE162" s="368"/>
      <c r="DF162" s="368"/>
      <c r="DG162" s="368"/>
      <c r="DH162" s="368"/>
      <c r="DI162" s="368"/>
      <c r="DJ162" s="368"/>
      <c r="DK162" s="368"/>
      <c r="DL162" s="368"/>
      <c r="DM162" s="368"/>
      <c r="DN162" s="368"/>
      <c r="DO162" s="368"/>
      <c r="DP162" s="368"/>
      <c r="DQ162" s="368"/>
      <c r="DR162" s="368"/>
      <c r="DS162" s="368"/>
      <c r="DT162" s="368"/>
      <c r="DU162" s="368"/>
      <c r="DW162" s="336">
        <f t="shared" si="1286"/>
        <v>0</v>
      </c>
      <c r="DX162" s="336">
        <f t="shared" si="1287"/>
        <v>0</v>
      </c>
      <c r="DY162" s="336">
        <f t="shared" si="1288"/>
        <v>0</v>
      </c>
      <c r="DZ162" s="336">
        <f t="shared" si="1289"/>
        <v>0</v>
      </c>
      <c r="EA162" s="336">
        <f t="shared" si="1290"/>
        <v>0</v>
      </c>
      <c r="EB162" s="336">
        <f t="shared" si="1291"/>
        <v>0</v>
      </c>
      <c r="EC162" s="336">
        <f t="shared" si="1292"/>
        <v>0</v>
      </c>
      <c r="ED162" s="336">
        <f t="shared" si="1293"/>
        <v>0</v>
      </c>
      <c r="EE162" s="336">
        <f t="shared" si="1294"/>
        <v>0</v>
      </c>
      <c r="EF162" s="336">
        <f t="shared" si="1295"/>
        <v>0</v>
      </c>
      <c r="EG162" s="336">
        <f t="shared" si="1296"/>
        <v>0</v>
      </c>
      <c r="EH162" s="336">
        <f t="shared" si="1297"/>
        <v>0</v>
      </c>
      <c r="EI162" s="336">
        <f t="shared" si="1298"/>
        <v>0</v>
      </c>
      <c r="EJ162" s="336">
        <f t="shared" si="1299"/>
        <v>0</v>
      </c>
      <c r="EK162" s="336">
        <f t="shared" si="1300"/>
        <v>0</v>
      </c>
      <c r="EL162" s="336">
        <f t="shared" si="1301"/>
        <v>0</v>
      </c>
      <c r="EM162" s="336">
        <f t="shared" si="1302"/>
        <v>0</v>
      </c>
      <c r="EN162" s="336">
        <f t="shared" si="1303"/>
        <v>0</v>
      </c>
      <c r="EO162" s="336">
        <f t="shared" si="1304"/>
        <v>0</v>
      </c>
      <c r="EP162" s="336">
        <f t="shared" si="1305"/>
        <v>0</v>
      </c>
      <c r="EQ162" s="336">
        <f t="shared" si="1306"/>
        <v>0</v>
      </c>
      <c r="ER162" s="336">
        <f t="shared" si="1307"/>
        <v>0</v>
      </c>
      <c r="ES162" s="336">
        <f t="shared" si="1308"/>
        <v>0</v>
      </c>
      <c r="ET162" s="336">
        <f t="shared" si="1308"/>
        <v>0</v>
      </c>
      <c r="EU162" s="336">
        <f t="shared" si="1309"/>
        <v>0</v>
      </c>
      <c r="EV162" s="336">
        <f t="shared" si="1310"/>
        <v>0</v>
      </c>
      <c r="EW162" s="336">
        <f t="shared" si="1311"/>
        <v>0</v>
      </c>
      <c r="EX162" s="336">
        <f t="shared" si="1312"/>
        <v>0</v>
      </c>
      <c r="EY162" s="336">
        <f t="shared" si="1313"/>
        <v>0</v>
      </c>
      <c r="EZ162" s="336">
        <f t="shared" si="1314"/>
        <v>0</v>
      </c>
      <c r="FA162" s="336">
        <f t="shared" si="1315"/>
        <v>0</v>
      </c>
      <c r="FB162" s="336">
        <f t="shared" si="1316"/>
        <v>0</v>
      </c>
      <c r="FC162" s="336">
        <f t="shared" si="1317"/>
        <v>0</v>
      </c>
      <c r="FD162" s="336">
        <f t="shared" si="1318"/>
        <v>0</v>
      </c>
      <c r="FE162" s="336">
        <f t="shared" si="1319"/>
        <v>0</v>
      </c>
      <c r="FF162" s="336">
        <f t="shared" si="1320"/>
        <v>0</v>
      </c>
      <c r="FG162" s="336">
        <f t="shared" si="1321"/>
        <v>0</v>
      </c>
      <c r="FH162" s="336">
        <f t="shared" si="1322"/>
        <v>0</v>
      </c>
      <c r="FI162" s="336">
        <f t="shared" si="1323"/>
        <v>0</v>
      </c>
      <c r="FJ162" s="336">
        <f t="shared" si="1324"/>
        <v>0</v>
      </c>
      <c r="FK162" s="336">
        <f t="shared" si="1325"/>
        <v>0</v>
      </c>
      <c r="FL162" s="336">
        <f t="shared" si="1326"/>
        <v>0</v>
      </c>
      <c r="FM162" s="336">
        <f t="shared" si="1327"/>
        <v>0</v>
      </c>
      <c r="FN162" s="336">
        <f t="shared" si="1328"/>
        <v>0</v>
      </c>
      <c r="FO162" s="336">
        <f t="shared" si="1329"/>
        <v>0</v>
      </c>
      <c r="FP162" s="336">
        <f t="shared" si="1330"/>
        <v>0</v>
      </c>
      <c r="FQ162" s="336">
        <f t="shared" si="1331"/>
        <v>0</v>
      </c>
      <c r="FR162" s="336">
        <f t="shared" si="1332"/>
        <v>0</v>
      </c>
      <c r="FS162" s="336">
        <f t="shared" si="1333"/>
        <v>0</v>
      </c>
      <c r="FT162" s="336">
        <f t="shared" si="1334"/>
        <v>0</v>
      </c>
      <c r="FU162" s="336"/>
      <c r="FV162" s="336"/>
      <c r="FW162" s="336"/>
      <c r="FX162" s="336"/>
      <c r="FY162" s="336">
        <f t="shared" si="1417"/>
        <v>0</v>
      </c>
      <c r="FZ162" s="336">
        <f t="shared" si="1418"/>
        <v>0</v>
      </c>
      <c r="GA162" s="336">
        <f t="shared" si="1419"/>
        <v>0</v>
      </c>
      <c r="GB162" s="336">
        <f t="shared" si="1420"/>
        <v>0</v>
      </c>
      <c r="GC162" s="336">
        <f t="shared" si="1421"/>
        <v>0</v>
      </c>
      <c r="GD162" s="336">
        <f t="shared" si="1422"/>
        <v>0</v>
      </c>
      <c r="GE162" s="336">
        <f t="shared" si="1423"/>
        <v>0</v>
      </c>
      <c r="GF162" s="336">
        <f t="shared" si="1424"/>
        <v>0</v>
      </c>
      <c r="GG162" s="336">
        <f t="shared" si="1425"/>
        <v>0</v>
      </c>
      <c r="GH162" s="336">
        <f t="shared" si="1426"/>
        <v>0</v>
      </c>
      <c r="GI162" s="336">
        <f t="shared" si="1427"/>
        <v>0</v>
      </c>
      <c r="GJ162" s="336">
        <f t="shared" si="1428"/>
        <v>0</v>
      </c>
      <c r="GK162" s="336">
        <f t="shared" si="1429"/>
        <v>0</v>
      </c>
      <c r="GL162" s="336"/>
      <c r="GM162" s="336">
        <f t="shared" si="1430"/>
        <v>0</v>
      </c>
    </row>
    <row r="163" spans="1:195" s="83" customFormat="1" ht="25.5" hidden="1">
      <c r="A163" s="357" t="s">
        <v>334</v>
      </c>
      <c r="B163" s="565" t="s">
        <v>527</v>
      </c>
      <c r="C163" s="395" t="str">
        <f t="shared" si="1431"/>
        <v>COOLING TOWER SUBSTATION HVAC DB</v>
      </c>
      <c r="D163" s="565" t="s">
        <v>1310</v>
      </c>
      <c r="E163" s="778" t="s">
        <v>419</v>
      </c>
      <c r="F163" s="779"/>
      <c r="G163" s="360" t="s">
        <v>329</v>
      </c>
      <c r="H163" s="352">
        <v>3</v>
      </c>
      <c r="I163" s="357" t="s">
        <v>330</v>
      </c>
      <c r="J163" s="353" t="s">
        <v>357</v>
      </c>
      <c r="K163" s="353">
        <v>230</v>
      </c>
      <c r="L163" s="360">
        <v>0.85</v>
      </c>
      <c r="M163" s="352">
        <v>0.95</v>
      </c>
      <c r="N163" s="359">
        <f t="shared" si="1403"/>
        <v>16.152914254946829</v>
      </c>
      <c r="O163" s="359">
        <f t="shared" si="1404"/>
        <v>0</v>
      </c>
      <c r="P163" s="360" t="str">
        <f t="shared" si="1405"/>
        <v>0.00</v>
      </c>
      <c r="Q163" s="352">
        <v>65</v>
      </c>
      <c r="R163" s="352">
        <v>0</v>
      </c>
      <c r="S163" s="352">
        <f t="shared" si="1406"/>
        <v>0</v>
      </c>
      <c r="T163" s="360" t="s">
        <v>332</v>
      </c>
      <c r="U163" s="352" t="s">
        <v>333</v>
      </c>
      <c r="V163" s="360">
        <v>4</v>
      </c>
      <c r="W163" s="360" t="str">
        <f t="shared" si="1407"/>
        <v>3C X 4</v>
      </c>
      <c r="X163" s="360" t="str">
        <f t="shared" si="1408"/>
        <v>3C X 4</v>
      </c>
      <c r="Y163" s="360" t="s">
        <v>358</v>
      </c>
      <c r="Z163" s="361">
        <f>IF(T163="AIR",VLOOKUP(W163,'Catalogue Aluminium'!$B$9:$G$93,2,FALSE),IF(T163="GROUND",VLOOKUP(W163,'Catalogue Aluminium'!$B$9:$G$93,3,FALSE),IF(T163="DUCT",VLOOKUP(W163,'Catalogue Aluminium'!$B$9:$G$93,4,FALSE),IF(T163="TRENCH",VLOOKUP(W163,'Catalogue Aluminium'!$B$9:$G$93,2,FALSE)))))</f>
        <v>38</v>
      </c>
      <c r="AA163" s="362">
        <f>VLOOKUP(W163,'Catalogue Aluminium'!$B$9:$G$93,5,FALSE)</f>
        <v>5.9</v>
      </c>
      <c r="AB163" s="362">
        <f>VLOOKUP(W163,'Catalogue Aluminium'!$B$9:$G$93,6,FALSE)</f>
        <v>9.4700000000000006E-2</v>
      </c>
      <c r="AC163" s="360">
        <v>10</v>
      </c>
      <c r="AD163" s="564">
        <v>0</v>
      </c>
      <c r="AE163" s="360">
        <v>10</v>
      </c>
      <c r="AF163" s="360">
        <v>5</v>
      </c>
      <c r="AG163" s="360">
        <f t="shared" si="1177"/>
        <v>3</v>
      </c>
      <c r="AH163" s="363"/>
      <c r="AI163" s="361">
        <f>IF(T163="AIR",'Catalogue Aluminium'!$K$9,IF(T163="TRENCH",'Catalogue Aluminium'!$K$12,"NA"))</f>
        <v>0.89</v>
      </c>
      <c r="AJ163" s="359">
        <f>IF(T163="Air",(IF(U163="1C",'Catalogue Aluminium'!$L$9,'Catalogue Aluminium'!$M$9)),IF(T163="DUCT",(IF($U163="1C",'Catalogue Aluminium'!$L$10,'Catalogue Aluminium'!$M$10)),IF(T163="GROUND",(IF($U163="1C",'Catalogue Aluminium'!$L$11,'Catalogue Aluminium'!$M$11)),IF(T163="TRENCH",(IF($U163="1C",'Catalogue Aluminium'!$L$12,'Catalogue Aluminium'!$M$12))))))</f>
        <v>0.66</v>
      </c>
      <c r="AK163" s="361" t="str">
        <f>IF(T163="Air",'Catalogue Aluminium'!$N$9,IF(T163="GROUND",'Catalogue Aluminium'!$N$10,IF(T163="DUCT",'Catalogue Aluminium'!$N$11,IF(T163="TRENCH",'Catalogue Aluminium'!$N$12,"NA"))))</f>
        <v>NA</v>
      </c>
      <c r="AL163" s="361" t="str">
        <f>IF(T163="Air",(IF(U163="1C",'Catalogue Aluminium'!$O$9,'Catalogue Aluminium'!$P$9)),IF(T163="DUCT",(IF($U163="1C",'Catalogue Aluminium'!$O$10,'Catalogue Aluminium'!$P$10)),IF(T163="GROUND",(IF($U163="1C",'Catalogue Aluminium'!$O$11,'Catalogue Aluminium'!$P$11)),IF(T163="TRENCH",(IF($U163="1C",'Catalogue Aluminium'!$O$12,'Catalogue Aluminium'!$P$12))))))</f>
        <v>NA</v>
      </c>
      <c r="AM163" s="361" t="str">
        <f>IF(T163="AIR","NA",IF(T163="TRENCH","NA",IF(T163="DUCT",IF(U163="1C",VLOOKUP(V163,'Catalogue Aluminium'!$Q$9:$S$28,2,FALSE),VLOOKUP(V163,'Catalogue Aluminium'!$Q$9:$S$28,3)),IF(T163="GROUND",IF(U163="1C",VLOOKUP(V163,'Catalogue Aluminium'!$Q$9:$S$28,2,FALSE),VLOOKUP(V163,'Catalogue Aluminium'!$Q$9:$S$28,3))))))</f>
        <v>NA</v>
      </c>
      <c r="AN163" s="365">
        <f t="shared" si="1409"/>
        <v>0.58740000000000003</v>
      </c>
      <c r="AO163" s="352">
        <f t="shared" si="1410"/>
        <v>22.321200000000001</v>
      </c>
      <c r="AP163" s="353">
        <f t="shared" si="1411"/>
        <v>1</v>
      </c>
      <c r="AQ163" s="352" t="str">
        <f t="shared" si="1412"/>
        <v>YES</v>
      </c>
      <c r="AR163" s="365">
        <f t="shared" si="1178"/>
        <v>0</v>
      </c>
      <c r="AS163" s="360" t="str">
        <f t="shared" si="1179"/>
        <v>YES</v>
      </c>
      <c r="AT163" s="365" t="str">
        <f>IF(G163="MOTOR",(SQRT(3)*AH163*O163*((AA163*L163)+(AB163*SIN(ACOS(L163))))*100/(AP163*K163*1000)),"NA")</f>
        <v>NA</v>
      </c>
      <c r="AU163" s="360" t="str">
        <f t="shared" si="1413"/>
        <v>NA</v>
      </c>
      <c r="AV163" s="366" t="str">
        <f t="shared" si="1414"/>
        <v>1R x 0.6/1kV x 3C x 4 Sqmm</v>
      </c>
      <c r="AW163" s="366" t="str">
        <f t="shared" si="1415"/>
        <v>1R x 0.6/1kV x 3C x 4 Sqmm</v>
      </c>
      <c r="AX163" s="360"/>
      <c r="AY163" s="367"/>
      <c r="AZ163" s="367"/>
      <c r="BA163" s="356" t="str">
        <f t="shared" si="1416"/>
        <v/>
      </c>
      <c r="BB163" s="498"/>
      <c r="BC163" s="426"/>
      <c r="BE163" s="368"/>
      <c r="BF163" s="368"/>
      <c r="BG163" s="368"/>
      <c r="BH163" s="368"/>
      <c r="BI163" s="368"/>
      <c r="BJ163" s="368"/>
      <c r="BK163" s="368"/>
      <c r="BL163" s="368"/>
      <c r="BM163" s="368"/>
      <c r="BN163" s="368"/>
      <c r="BO163" s="368"/>
      <c r="BP163" s="368"/>
      <c r="BQ163" s="368"/>
      <c r="BR163" s="368"/>
      <c r="BS163" s="368"/>
      <c r="BT163" s="368"/>
      <c r="BU163" s="368"/>
      <c r="BV163" s="368"/>
      <c r="BW163" s="368"/>
      <c r="BX163" s="368"/>
      <c r="BY163" s="368"/>
      <c r="BZ163" s="368"/>
      <c r="CA163" s="368"/>
      <c r="CB163" s="368"/>
      <c r="CC163" s="368"/>
      <c r="CD163" s="368"/>
      <c r="CE163" s="368"/>
      <c r="CF163" s="368"/>
      <c r="CG163" s="368"/>
      <c r="CH163" s="368"/>
      <c r="CI163" s="368"/>
      <c r="CJ163" s="368"/>
      <c r="CK163" s="368"/>
      <c r="CL163" s="368"/>
      <c r="CM163" s="368"/>
      <c r="CN163" s="368"/>
      <c r="CO163" s="368"/>
      <c r="CP163" s="368"/>
      <c r="CQ163" s="368"/>
      <c r="CR163" s="368"/>
      <c r="CS163" s="368"/>
      <c r="CT163" s="368"/>
      <c r="CU163" s="368"/>
      <c r="CV163" s="368"/>
      <c r="CW163" s="368"/>
      <c r="CX163" s="368"/>
      <c r="CY163" s="368"/>
      <c r="CZ163" s="368"/>
      <c r="DA163" s="368"/>
      <c r="DB163" s="368"/>
      <c r="DC163" s="368"/>
      <c r="DD163" s="368"/>
      <c r="DE163" s="368"/>
      <c r="DF163" s="368"/>
      <c r="DG163" s="368"/>
      <c r="DH163" s="368"/>
      <c r="DI163" s="368"/>
      <c r="DJ163" s="368"/>
      <c r="DK163" s="368"/>
      <c r="DL163" s="368"/>
      <c r="DM163" s="368"/>
      <c r="DN163" s="368"/>
      <c r="DO163" s="368"/>
      <c r="DP163" s="368"/>
      <c r="DQ163" s="368"/>
      <c r="DR163" s="368"/>
      <c r="DS163" s="368"/>
      <c r="DT163" s="368"/>
      <c r="DU163" s="368"/>
      <c r="DW163" s="336">
        <f t="shared" si="1286"/>
        <v>0</v>
      </c>
      <c r="DX163" s="336">
        <f t="shared" si="1287"/>
        <v>0</v>
      </c>
      <c r="DY163" s="336">
        <f t="shared" si="1288"/>
        <v>0</v>
      </c>
      <c r="DZ163" s="336">
        <f t="shared" si="1289"/>
        <v>0</v>
      </c>
      <c r="EA163" s="336">
        <f t="shared" si="1290"/>
        <v>0</v>
      </c>
      <c r="EB163" s="336">
        <f t="shared" si="1291"/>
        <v>0</v>
      </c>
      <c r="EC163" s="336">
        <f t="shared" si="1292"/>
        <v>0</v>
      </c>
      <c r="ED163" s="336">
        <f t="shared" si="1293"/>
        <v>0</v>
      </c>
      <c r="EE163" s="336">
        <f t="shared" si="1294"/>
        <v>0</v>
      </c>
      <c r="EF163" s="336">
        <f t="shared" si="1295"/>
        <v>0</v>
      </c>
      <c r="EG163" s="336">
        <f t="shared" si="1296"/>
        <v>0</v>
      </c>
      <c r="EH163" s="336">
        <f t="shared" si="1297"/>
        <v>0</v>
      </c>
      <c r="EI163" s="336">
        <f t="shared" si="1298"/>
        <v>0</v>
      </c>
      <c r="EJ163" s="336">
        <f t="shared" si="1299"/>
        <v>0</v>
      </c>
      <c r="EK163" s="336">
        <f t="shared" si="1300"/>
        <v>0</v>
      </c>
      <c r="EL163" s="336">
        <f t="shared" si="1301"/>
        <v>0</v>
      </c>
      <c r="EM163" s="336">
        <f t="shared" si="1302"/>
        <v>0</v>
      </c>
      <c r="EN163" s="336">
        <f t="shared" si="1303"/>
        <v>0</v>
      </c>
      <c r="EO163" s="336">
        <f t="shared" si="1304"/>
        <v>0</v>
      </c>
      <c r="EP163" s="336">
        <f t="shared" si="1305"/>
        <v>0</v>
      </c>
      <c r="EQ163" s="336">
        <f t="shared" si="1306"/>
        <v>0</v>
      </c>
      <c r="ER163" s="336">
        <f t="shared" si="1307"/>
        <v>0</v>
      </c>
      <c r="ES163" s="336">
        <f t="shared" si="1308"/>
        <v>0</v>
      </c>
      <c r="ET163" s="336">
        <f t="shared" si="1308"/>
        <v>0</v>
      </c>
      <c r="EU163" s="336">
        <f t="shared" si="1309"/>
        <v>0</v>
      </c>
      <c r="EV163" s="336">
        <f t="shared" si="1310"/>
        <v>0</v>
      </c>
      <c r="EW163" s="336">
        <f t="shared" si="1311"/>
        <v>0</v>
      </c>
      <c r="EX163" s="336">
        <f t="shared" si="1312"/>
        <v>0</v>
      </c>
      <c r="EY163" s="336">
        <f t="shared" si="1313"/>
        <v>0</v>
      </c>
      <c r="EZ163" s="336">
        <f t="shared" si="1314"/>
        <v>0</v>
      </c>
      <c r="FA163" s="336">
        <f t="shared" si="1315"/>
        <v>0</v>
      </c>
      <c r="FB163" s="336">
        <f t="shared" si="1316"/>
        <v>0</v>
      </c>
      <c r="FC163" s="336">
        <f t="shared" si="1317"/>
        <v>0</v>
      </c>
      <c r="FD163" s="336">
        <f t="shared" si="1318"/>
        <v>0</v>
      </c>
      <c r="FE163" s="336">
        <f t="shared" si="1319"/>
        <v>0</v>
      </c>
      <c r="FF163" s="336">
        <f t="shared" si="1320"/>
        <v>0</v>
      </c>
      <c r="FG163" s="336">
        <f t="shared" si="1321"/>
        <v>0</v>
      </c>
      <c r="FH163" s="336">
        <f t="shared" si="1322"/>
        <v>0</v>
      </c>
      <c r="FI163" s="336">
        <f t="shared" si="1323"/>
        <v>0</v>
      </c>
      <c r="FJ163" s="336">
        <f t="shared" si="1324"/>
        <v>0</v>
      </c>
      <c r="FK163" s="336">
        <f t="shared" si="1325"/>
        <v>0</v>
      </c>
      <c r="FL163" s="336">
        <f t="shared" si="1326"/>
        <v>0</v>
      </c>
      <c r="FM163" s="336">
        <f t="shared" si="1327"/>
        <v>0</v>
      </c>
      <c r="FN163" s="336">
        <f t="shared" si="1328"/>
        <v>0</v>
      </c>
      <c r="FO163" s="336">
        <f t="shared" si="1329"/>
        <v>0</v>
      </c>
      <c r="FP163" s="336">
        <f t="shared" si="1330"/>
        <v>0</v>
      </c>
      <c r="FQ163" s="336">
        <f t="shared" si="1331"/>
        <v>0</v>
      </c>
      <c r="FR163" s="336">
        <f t="shared" si="1332"/>
        <v>0</v>
      </c>
      <c r="FS163" s="336">
        <f t="shared" si="1333"/>
        <v>0</v>
      </c>
      <c r="FT163" s="336">
        <f t="shared" si="1334"/>
        <v>0</v>
      </c>
      <c r="FU163" s="336"/>
      <c r="FV163" s="336"/>
      <c r="FW163" s="336"/>
      <c r="FX163" s="336"/>
      <c r="FY163" s="336">
        <f t="shared" si="1417"/>
        <v>0</v>
      </c>
      <c r="FZ163" s="336">
        <f t="shared" si="1418"/>
        <v>0</v>
      </c>
      <c r="GA163" s="336">
        <f t="shared" si="1419"/>
        <v>0</v>
      </c>
      <c r="GB163" s="336">
        <f t="shared" si="1420"/>
        <v>0</v>
      </c>
      <c r="GC163" s="336">
        <f t="shared" si="1421"/>
        <v>0</v>
      </c>
      <c r="GD163" s="336">
        <f t="shared" si="1422"/>
        <v>0</v>
      </c>
      <c r="GE163" s="336">
        <f t="shared" si="1423"/>
        <v>0</v>
      </c>
      <c r="GF163" s="336">
        <f t="shared" si="1424"/>
        <v>0</v>
      </c>
      <c r="GG163" s="336">
        <f t="shared" si="1425"/>
        <v>0</v>
      </c>
      <c r="GH163" s="336">
        <f t="shared" si="1426"/>
        <v>0</v>
      </c>
      <c r="GI163" s="336">
        <f t="shared" si="1427"/>
        <v>0</v>
      </c>
      <c r="GJ163" s="336">
        <f t="shared" si="1428"/>
        <v>0</v>
      </c>
      <c r="GK163" s="336">
        <f t="shared" si="1429"/>
        <v>0</v>
      </c>
      <c r="GL163" s="336"/>
      <c r="GM163" s="336">
        <f t="shared" si="1430"/>
        <v>0</v>
      </c>
    </row>
    <row r="164" spans="1:195" ht="25.5">
      <c r="A164" s="337">
        <f>A159+1</f>
        <v>124</v>
      </c>
      <c r="B164" s="444" t="s">
        <v>527</v>
      </c>
      <c r="C164" s="372" t="str">
        <f t="shared" si="1431"/>
        <v>COOLING TOWER SUBSTATION HVAC DB</v>
      </c>
      <c r="D164" s="444" t="s">
        <v>1311</v>
      </c>
      <c r="E164" s="569" t="s">
        <v>419</v>
      </c>
      <c r="F164" s="500"/>
      <c r="G164" s="343" t="s">
        <v>329</v>
      </c>
      <c r="H164" s="583">
        <v>7.5</v>
      </c>
      <c r="I164" s="337" t="s">
        <v>330</v>
      </c>
      <c r="J164" s="349" t="s">
        <v>331</v>
      </c>
      <c r="K164" s="349">
        <v>400</v>
      </c>
      <c r="L164" s="343">
        <v>0.85</v>
      </c>
      <c r="M164" s="350">
        <v>0.95</v>
      </c>
      <c r="N164" s="342">
        <f t="shared" si="1403"/>
        <v>13.406359261827985</v>
      </c>
      <c r="O164" s="342">
        <f t="shared" si="1404"/>
        <v>0</v>
      </c>
      <c r="P164" s="343" t="str">
        <f t="shared" si="1405"/>
        <v>0.00</v>
      </c>
      <c r="Q164" s="350">
        <v>65</v>
      </c>
      <c r="R164" s="350">
        <v>0</v>
      </c>
      <c r="S164" s="350">
        <f t="shared" si="1406"/>
        <v>0</v>
      </c>
      <c r="T164" s="343" t="s">
        <v>332</v>
      </c>
      <c r="U164" s="350" t="s">
        <v>522</v>
      </c>
      <c r="V164" s="343">
        <v>4</v>
      </c>
      <c r="W164" s="343" t="str">
        <f t="shared" si="1407"/>
        <v>4C X 4</v>
      </c>
      <c r="X164" s="343" t="str">
        <f t="shared" si="1408"/>
        <v>4C X 4</v>
      </c>
      <c r="Y164" s="343" t="s">
        <v>358</v>
      </c>
      <c r="Z164" s="344">
        <f>IF(T164="AIR",VLOOKUP(W164,'Catalogue Aluminium'!$B$9:$G$93,2,FALSE),IF(T164="GROUND",VLOOKUP(W164,'Catalogue Aluminium'!$B$9:$G$93,3,FALSE),IF(T164="DUCT",VLOOKUP(W164,'Catalogue Aluminium'!$B$9:$G$93,4,FALSE),IF(T164="TRENCH",VLOOKUP(W164,'Catalogue Aluminium'!$B$9:$G$93,2,FALSE)))))</f>
        <v>38</v>
      </c>
      <c r="AA164" s="345">
        <f>VLOOKUP(W164,'Catalogue Aluminium'!$B$9:$G$93,5,FALSE)</f>
        <v>5.9</v>
      </c>
      <c r="AB164" s="345">
        <f>VLOOKUP(W164,'Catalogue Aluminium'!$B$9:$G$93,6,FALSE)</f>
        <v>9.4700000000000006E-2</v>
      </c>
      <c r="AC164" s="343">
        <v>10</v>
      </c>
      <c r="AD164" s="346">
        <v>0</v>
      </c>
      <c r="AE164" s="343">
        <v>10</v>
      </c>
      <c r="AF164" s="343">
        <v>5</v>
      </c>
      <c r="AG164" s="343">
        <f t="shared" si="1177"/>
        <v>3</v>
      </c>
      <c r="AH164" s="347">
        <f t="shared" ref="AH164:AH165" si="1432">SUM(AC164:AG164)</f>
        <v>28</v>
      </c>
      <c r="AI164" s="344">
        <f>IF(T164="AIR",'Catalogue Aluminium'!$K$9,IF(T164="TRENCH",'Catalogue Aluminium'!$K$12,"NA"))</f>
        <v>0.89</v>
      </c>
      <c r="AJ164" s="342">
        <f>IF(T164="Air",(IF(U164="1C",'Catalogue Aluminium'!$L$9,'Catalogue Aluminium'!$M$9)),IF(T164="DUCT",(IF($U164="1C",'Catalogue Aluminium'!$L$10,'Catalogue Aluminium'!$M$10)),IF(T164="GROUND",(IF($U164="1C",'Catalogue Aluminium'!$L$11,'Catalogue Aluminium'!$M$11)),IF(T164="TRENCH",(IF($U164="1C",'Catalogue Aluminium'!$L$12,'Catalogue Aluminium'!$M$12))))))</f>
        <v>0.66</v>
      </c>
      <c r="AK164" s="344" t="str">
        <f>IF(T164="Air",'Catalogue Aluminium'!$N$9,IF(T164="GROUND",'Catalogue Aluminium'!$N$10,IF(T164="DUCT",'Catalogue Aluminium'!$N$11,IF(T164="TRENCH",'Catalogue Aluminium'!$N$12,"NA"))))</f>
        <v>NA</v>
      </c>
      <c r="AL164" s="344" t="str">
        <f>IF(T164="Air",(IF(U164="1C",'Catalogue Aluminium'!$O$9,'Catalogue Aluminium'!$P$9)),IF(T164="DUCT",(IF($U164="1C",'Catalogue Aluminium'!$O$10,'Catalogue Aluminium'!$P$10)),IF(T164="GROUND",(IF($U164="1C",'Catalogue Aluminium'!$O$11,'Catalogue Aluminium'!$P$11)),IF(T164="TRENCH",(IF($U164="1C",'Catalogue Aluminium'!$O$12,'Catalogue Aluminium'!$P$12))))))</f>
        <v>NA</v>
      </c>
      <c r="AM164" s="344" t="str">
        <f>IF(T164="AIR","NA",IF(T164="TRENCH","NA",IF(T164="DUCT",IF(U164="1C",VLOOKUP(V164,'Catalogue Aluminium'!$Q$9:$S$28,2,FALSE),VLOOKUP(V164,'Catalogue Aluminium'!$Q$9:$S$28,3)),IF(T164="GROUND",IF(U164="1C",VLOOKUP(V164,'Catalogue Aluminium'!$Q$9:$S$28,2,FALSE),VLOOKUP(V164,'Catalogue Aluminium'!$Q$9:$S$28,3))))))</f>
        <v>NA</v>
      </c>
      <c r="AN164" s="351">
        <f t="shared" si="1409"/>
        <v>0.58740000000000003</v>
      </c>
      <c r="AO164" s="350">
        <f t="shared" si="1410"/>
        <v>22.321200000000001</v>
      </c>
      <c r="AP164" s="349">
        <f t="shared" si="1411"/>
        <v>1</v>
      </c>
      <c r="AQ164" s="350" t="str">
        <f t="shared" si="1412"/>
        <v>YES</v>
      </c>
      <c r="AR164" s="351">
        <f t="shared" si="1178"/>
        <v>0.82326418605397644</v>
      </c>
      <c r="AS164" s="343" t="str">
        <f t="shared" si="1179"/>
        <v>YES</v>
      </c>
      <c r="AT164" s="351" t="str">
        <f>IF(G164="MOTOR",(SQRT(3)*AH164*O164*((AA164*P164)+(AB164*SIN(ACOS(P164))))*100/(AP164*K164*1000)),"NA")</f>
        <v>NA</v>
      </c>
      <c r="AU164" s="343" t="str">
        <f t="shared" si="1413"/>
        <v>NA</v>
      </c>
      <c r="AV164" s="354" t="str">
        <f t="shared" si="1414"/>
        <v>1R x 0.6/1kV x 4C x 4 Sqmm</v>
      </c>
      <c r="AW164" s="354" t="str">
        <f t="shared" si="1415"/>
        <v>1R x 0.6/1kV x 4C x 4 Sqmm</v>
      </c>
      <c r="AX164" s="343">
        <f>(IF(K164=400,(IF(U164="1C",(4*AH164*AP164),(AH164*AP164))),IF(K164=230,(AH164*AP164))))</f>
        <v>28</v>
      </c>
      <c r="AY164" s="355"/>
      <c r="AZ164" s="355">
        <f>IF(U164="1C",(3*AP164*2),(AP164*2))</f>
        <v>2</v>
      </c>
      <c r="BA164" s="356" t="str">
        <f t="shared" ref="BA164:BA165" si="1433">CONCATENATE(IF(BE164=1,BE$4,""),IF(BF164=1,BF$4,""),IF(BG164=1,BG$4,""),IF(BH164=1,BH$4,""),IF(BI164=1,BI$4,""),IF(BJ164=1,BJ$4,""),IF(BK164=1,BK$4,""),IF(BL164=1,BL$4,""),IF(BM164=1,BM$4,""),IF(BN164=1,BN$4,""),IF(BO164=1,BO$4,""),IF(BP164=1,BP$4,""),IF(BQ164=1,BQ$4,""),IF(BR164=1,BR$4,""),IF(BS164=1,BS$4,""),IF(BT164=1,BT$4,""),IF(BU164=1,BU$4,""),IF(BV164=1,BV$4,""),IF(BW164=1,BW$4,""),IF(BX164=1,BX$4,""),IF(BY164=1,BY$4,""),IF(BZ164=1,BZ$4,""),IF(CA164=1,CA$4,""),IF(CB164=1,CB$4,""),IF(CC164=1,CC$4,""),IF(CD164=1,CD$4,""),IF(CE164=1,CE$4,""),IF(CF164=1,CF$4,""),IF(CG164=1,CG$4,""),IF(CH164=1,CH$4,""),IF(CI164=1,CI$4,""),IF(CJ164=1,CJ$4,""),IF(CK164=1,CK$4,""),IF(CL164=1,CL$4,""),IF(CM164=1,CM$4,""),IF(CN164=1,CN$4,""),IF(CO164=1,CO$4,""),IF(CP164=1,CP$4,""),IF(CQ164=1,CQ$4,""),IF(CR164=1,CR$4,""),IF(CS164=1,CS$4,""),IF(CT164=1,CT$4,""),IF(CU164=1,CU$4,""),IF(CV164=1,CV$4,""),IF(CW164=1,CW$4,""),IF(CX164=1,CX$4,""),IF(CY164=1,CY$4,""),IF(CZ164=1,CZ$4,""),IF(DA164=1,DA$4,""),IF(DB164=1,DB$4,""),IF(DC164=1,DC$4,""),IF(DD164=1,DD$4,""),IF(DE164=1,DE$4,""),IF(DF164=1,DF$4,""),IF(DG164=1,DG$4,""),IF(DH164=1,DH$4,""),IF(DI164=1,DI$4,""),IF(DJ164=1,DJ$4,""),IF(DK164=1,DK$4,""),IF(DL164=1,DL$4,""),IF(DM164=1,DM$4,""),IF(DN164=1,DN$4,""),IF(DO164=1,DO$4,""),IF(DP164=1,DP$4,""),IF(DQ164=1,DQ$4,""),IF(DR164=1,DR$4,""),IF(DS164=1,DS$4,""),IF(DT164=1,DT$4,""),IF(DU164=1,DU$4,""))</f>
        <v/>
      </c>
      <c r="BB164" s="501">
        <f>VLOOKUP(W164,'Catalogue Aluminium'!$B$9:$H$93,7,FALSE)</f>
        <v>16</v>
      </c>
      <c r="BC164" s="328">
        <f>AP164*BB164</f>
        <v>16</v>
      </c>
      <c r="BE164" s="336"/>
      <c r="BF164" s="336"/>
      <c r="BG164" s="336"/>
      <c r="BH164" s="336"/>
      <c r="BI164" s="336"/>
      <c r="BJ164" s="336"/>
      <c r="BK164" s="336"/>
      <c r="BL164" s="336"/>
      <c r="BM164" s="336"/>
      <c r="BN164" s="336"/>
      <c r="BO164" s="336"/>
      <c r="BP164" s="336"/>
      <c r="BQ164" s="336"/>
      <c r="BR164" s="336"/>
      <c r="BS164" s="336"/>
      <c r="BT164" s="336"/>
      <c r="BU164" s="336"/>
      <c r="BV164" s="336"/>
      <c r="BW164" s="336"/>
      <c r="BX164" s="336"/>
      <c r="BY164" s="336"/>
      <c r="BZ164" s="336"/>
      <c r="CA164" s="336"/>
      <c r="CB164" s="336"/>
      <c r="CC164" s="336"/>
      <c r="CD164" s="336"/>
      <c r="CE164" s="336"/>
      <c r="CF164" s="336"/>
      <c r="CG164" s="336"/>
      <c r="CH164" s="336"/>
      <c r="CI164" s="336"/>
      <c r="CJ164" s="336"/>
      <c r="CK164" s="336"/>
      <c r="CL164" s="336"/>
      <c r="CM164" s="336"/>
      <c r="CN164" s="336"/>
      <c r="CO164" s="336"/>
      <c r="CP164" s="336"/>
      <c r="CQ164" s="336"/>
      <c r="CR164" s="336"/>
      <c r="CS164" s="336"/>
      <c r="CT164" s="336"/>
      <c r="CU164" s="336"/>
      <c r="CV164" s="336"/>
      <c r="CW164" s="336"/>
      <c r="CX164" s="336"/>
      <c r="CY164" s="336"/>
      <c r="CZ164" s="336"/>
      <c r="DA164" s="336"/>
      <c r="DB164" s="336"/>
      <c r="DC164" s="336"/>
      <c r="DD164" s="336"/>
      <c r="DE164" s="336"/>
      <c r="DF164" s="336"/>
      <c r="DG164" s="336"/>
      <c r="DH164" s="336"/>
      <c r="DI164" s="336"/>
      <c r="DJ164" s="336"/>
      <c r="DK164" s="336"/>
      <c r="DL164" s="336"/>
      <c r="DM164" s="336"/>
      <c r="DN164" s="336"/>
      <c r="DO164" s="336"/>
      <c r="DP164" s="336"/>
      <c r="DQ164" s="336"/>
      <c r="DR164" s="336"/>
      <c r="DS164" s="336"/>
      <c r="DT164" s="336"/>
      <c r="DU164" s="336"/>
      <c r="DW164" s="336">
        <f t="shared" si="1286"/>
        <v>0</v>
      </c>
      <c r="DX164" s="336">
        <f t="shared" si="1287"/>
        <v>0</v>
      </c>
      <c r="DY164" s="336">
        <f t="shared" si="1288"/>
        <v>0</v>
      </c>
      <c r="DZ164" s="336">
        <f t="shared" si="1289"/>
        <v>0</v>
      </c>
      <c r="EA164" s="336">
        <f t="shared" si="1290"/>
        <v>0</v>
      </c>
      <c r="EB164" s="336">
        <f t="shared" si="1291"/>
        <v>0</v>
      </c>
      <c r="EC164" s="336">
        <f t="shared" si="1292"/>
        <v>0</v>
      </c>
      <c r="ED164" s="336">
        <f t="shared" si="1293"/>
        <v>0</v>
      </c>
      <c r="EE164" s="336">
        <f t="shared" si="1294"/>
        <v>0</v>
      </c>
      <c r="EF164" s="336">
        <f t="shared" si="1295"/>
        <v>0</v>
      </c>
      <c r="EG164" s="336">
        <f t="shared" si="1296"/>
        <v>0</v>
      </c>
      <c r="EH164" s="336">
        <f t="shared" si="1297"/>
        <v>0</v>
      </c>
      <c r="EI164" s="336">
        <f t="shared" si="1298"/>
        <v>0</v>
      </c>
      <c r="EJ164" s="336">
        <f t="shared" si="1299"/>
        <v>0</v>
      </c>
      <c r="EK164" s="336">
        <f t="shared" si="1300"/>
        <v>0</v>
      </c>
      <c r="EL164" s="336">
        <f t="shared" si="1301"/>
        <v>0</v>
      </c>
      <c r="EM164" s="336">
        <f t="shared" si="1302"/>
        <v>0</v>
      </c>
      <c r="EN164" s="336">
        <f t="shared" si="1303"/>
        <v>0</v>
      </c>
      <c r="EO164" s="336">
        <f t="shared" si="1304"/>
        <v>0</v>
      </c>
      <c r="EP164" s="336">
        <f t="shared" si="1305"/>
        <v>0</v>
      </c>
      <c r="EQ164" s="336">
        <f t="shared" si="1306"/>
        <v>0</v>
      </c>
      <c r="ER164" s="336">
        <f t="shared" si="1307"/>
        <v>0</v>
      </c>
      <c r="ES164" s="336">
        <f t="shared" si="1308"/>
        <v>0</v>
      </c>
      <c r="ET164" s="336">
        <f t="shared" si="1308"/>
        <v>0</v>
      </c>
      <c r="EU164" s="336">
        <f t="shared" si="1309"/>
        <v>0</v>
      </c>
      <c r="EV164" s="336">
        <f t="shared" si="1310"/>
        <v>0</v>
      </c>
      <c r="EW164" s="336">
        <f t="shared" si="1311"/>
        <v>0</v>
      </c>
      <c r="EX164" s="336">
        <f t="shared" si="1312"/>
        <v>0</v>
      </c>
      <c r="EY164" s="336">
        <f t="shared" si="1313"/>
        <v>0</v>
      </c>
      <c r="EZ164" s="336">
        <f t="shared" si="1314"/>
        <v>0</v>
      </c>
      <c r="FA164" s="336">
        <f t="shared" si="1315"/>
        <v>0</v>
      </c>
      <c r="FB164" s="336">
        <f t="shared" si="1316"/>
        <v>0</v>
      </c>
      <c r="FC164" s="336">
        <f t="shared" si="1317"/>
        <v>0</v>
      </c>
      <c r="FD164" s="336">
        <f t="shared" si="1318"/>
        <v>0</v>
      </c>
      <c r="FE164" s="336">
        <f t="shared" si="1319"/>
        <v>0</v>
      </c>
      <c r="FF164" s="336">
        <f t="shared" si="1320"/>
        <v>0</v>
      </c>
      <c r="FG164" s="336">
        <f t="shared" si="1321"/>
        <v>0</v>
      </c>
      <c r="FH164" s="336">
        <f t="shared" si="1322"/>
        <v>0</v>
      </c>
      <c r="FI164" s="336">
        <f t="shared" si="1323"/>
        <v>0</v>
      </c>
      <c r="FJ164" s="336">
        <f t="shared" si="1324"/>
        <v>0</v>
      </c>
      <c r="FK164" s="336">
        <f t="shared" si="1325"/>
        <v>0</v>
      </c>
      <c r="FL164" s="336">
        <f t="shared" si="1326"/>
        <v>0</v>
      </c>
      <c r="FM164" s="336">
        <f t="shared" si="1327"/>
        <v>0</v>
      </c>
      <c r="FN164" s="336">
        <f t="shared" si="1328"/>
        <v>0</v>
      </c>
      <c r="FO164" s="336">
        <f t="shared" si="1329"/>
        <v>0</v>
      </c>
      <c r="FP164" s="336">
        <f t="shared" si="1330"/>
        <v>0</v>
      </c>
      <c r="FQ164" s="336">
        <f t="shared" si="1331"/>
        <v>0</v>
      </c>
      <c r="FR164" s="336">
        <f t="shared" si="1332"/>
        <v>0</v>
      </c>
      <c r="FS164" s="336">
        <f t="shared" si="1333"/>
        <v>0</v>
      </c>
      <c r="FT164" s="336">
        <f t="shared" si="1334"/>
        <v>0</v>
      </c>
      <c r="FU164" s="336">
        <f t="shared" ref="FU164:FU165" si="1434">IF(DC164=1,($BC164*DC164),0)</f>
        <v>0</v>
      </c>
      <c r="FV164" s="336">
        <f t="shared" ref="FV164:FV165" si="1435">IF(DD164=1,($BC164*DD164),0)</f>
        <v>0</v>
      </c>
      <c r="FW164" s="336">
        <f t="shared" ref="FW164:FW165" si="1436">IF(DE164=1,($BC164*DE164),0)</f>
        <v>0</v>
      </c>
      <c r="FX164" s="336">
        <f t="shared" ref="FX164:FX165" si="1437">IF(DF164=1,($BC164*DF164),0)</f>
        <v>0</v>
      </c>
      <c r="FY164" s="336">
        <f t="shared" si="1417"/>
        <v>0</v>
      </c>
      <c r="FZ164" s="336">
        <f t="shared" si="1418"/>
        <v>0</v>
      </c>
      <c r="GA164" s="336">
        <f t="shared" si="1419"/>
        <v>0</v>
      </c>
      <c r="GB164" s="336">
        <f t="shared" si="1420"/>
        <v>0</v>
      </c>
      <c r="GC164" s="336">
        <f t="shared" si="1421"/>
        <v>0</v>
      </c>
      <c r="GD164" s="336">
        <f t="shared" si="1422"/>
        <v>0</v>
      </c>
      <c r="GE164" s="336">
        <f t="shared" si="1423"/>
        <v>0</v>
      </c>
      <c r="GF164" s="336">
        <f t="shared" si="1424"/>
        <v>0</v>
      </c>
      <c r="GG164" s="336">
        <f t="shared" si="1425"/>
        <v>0</v>
      </c>
      <c r="GH164" s="336">
        <f t="shared" si="1426"/>
        <v>0</v>
      </c>
      <c r="GI164" s="336">
        <f t="shared" si="1427"/>
        <v>0</v>
      </c>
      <c r="GJ164" s="336">
        <f t="shared" si="1428"/>
        <v>0</v>
      </c>
      <c r="GK164" s="336">
        <f t="shared" si="1429"/>
        <v>0</v>
      </c>
      <c r="GL164" s="336">
        <f t="shared" ref="GL164:GL165" si="1438">IF(DT164=1,($BC164*DT164),0)</f>
        <v>0</v>
      </c>
      <c r="GM164" s="336">
        <f t="shared" si="1430"/>
        <v>0</v>
      </c>
    </row>
    <row r="165" spans="1:195" ht="25.5">
      <c r="A165" s="337">
        <f>A164+1</f>
        <v>125</v>
      </c>
      <c r="B165" s="444" t="s">
        <v>527</v>
      </c>
      <c r="C165" s="372" t="str">
        <f t="shared" si="1431"/>
        <v>COOLING TOWER SUBSTATION HVAC DB</v>
      </c>
      <c r="D165" s="444" t="s">
        <v>1312</v>
      </c>
      <c r="E165" s="569" t="s">
        <v>419</v>
      </c>
      <c r="F165" s="500"/>
      <c r="G165" s="343" t="s">
        <v>329</v>
      </c>
      <c r="H165" s="583">
        <v>7.5</v>
      </c>
      <c r="I165" s="337" t="s">
        <v>330</v>
      </c>
      <c r="J165" s="349" t="s">
        <v>331</v>
      </c>
      <c r="K165" s="349">
        <v>400</v>
      </c>
      <c r="L165" s="343">
        <v>0.85</v>
      </c>
      <c r="M165" s="350">
        <v>0.95</v>
      </c>
      <c r="N165" s="342">
        <f t="shared" si="1403"/>
        <v>13.406359261827985</v>
      </c>
      <c r="O165" s="342">
        <f t="shared" si="1404"/>
        <v>0</v>
      </c>
      <c r="P165" s="343" t="str">
        <f t="shared" si="1405"/>
        <v>0.00</v>
      </c>
      <c r="Q165" s="350">
        <v>65</v>
      </c>
      <c r="R165" s="350">
        <v>0</v>
      </c>
      <c r="S165" s="350">
        <f t="shared" si="1406"/>
        <v>0</v>
      </c>
      <c r="T165" s="343" t="s">
        <v>332</v>
      </c>
      <c r="U165" s="350" t="s">
        <v>522</v>
      </c>
      <c r="V165" s="343">
        <v>4</v>
      </c>
      <c r="W165" s="343" t="str">
        <f t="shared" si="1407"/>
        <v>4C X 4</v>
      </c>
      <c r="X165" s="343" t="str">
        <f t="shared" si="1408"/>
        <v>4C X 4</v>
      </c>
      <c r="Y165" s="343" t="s">
        <v>358</v>
      </c>
      <c r="Z165" s="344">
        <f>IF(T165="AIR",VLOOKUP(W165,'Catalogue Aluminium'!$B$9:$G$93,2,FALSE),IF(T165="GROUND",VLOOKUP(W165,'Catalogue Aluminium'!$B$9:$G$93,3,FALSE),IF(T165="DUCT",VLOOKUP(W165,'Catalogue Aluminium'!$B$9:$G$93,4,FALSE),IF(T165="TRENCH",VLOOKUP(W165,'Catalogue Aluminium'!$B$9:$G$93,2,FALSE)))))</f>
        <v>38</v>
      </c>
      <c r="AA165" s="345">
        <f>VLOOKUP(W165,'Catalogue Aluminium'!$B$9:$G$93,5,FALSE)</f>
        <v>5.9</v>
      </c>
      <c r="AB165" s="345">
        <f>VLOOKUP(W165,'Catalogue Aluminium'!$B$9:$G$93,6,FALSE)</f>
        <v>9.4700000000000006E-2</v>
      </c>
      <c r="AC165" s="343">
        <v>10</v>
      </c>
      <c r="AD165" s="346">
        <v>0</v>
      </c>
      <c r="AE165" s="343">
        <v>10</v>
      </c>
      <c r="AF165" s="343">
        <v>5</v>
      </c>
      <c r="AG165" s="343">
        <f t="shared" si="1177"/>
        <v>3</v>
      </c>
      <c r="AH165" s="347">
        <f t="shared" si="1432"/>
        <v>28</v>
      </c>
      <c r="AI165" s="344">
        <f>IF(T165="AIR",'Catalogue Aluminium'!$K$9,IF(T165="TRENCH",'Catalogue Aluminium'!$K$12,"NA"))</f>
        <v>0.89</v>
      </c>
      <c r="AJ165" s="342">
        <f>IF(T165="Air",(IF(U165="1C",'Catalogue Aluminium'!$L$9,'Catalogue Aluminium'!$M$9)),IF(T165="DUCT",(IF($U165="1C",'Catalogue Aluminium'!$L$10,'Catalogue Aluminium'!$M$10)),IF(T165="GROUND",(IF($U165="1C",'Catalogue Aluminium'!$L$11,'Catalogue Aluminium'!$M$11)),IF(T165="TRENCH",(IF($U165="1C",'Catalogue Aluminium'!$L$12,'Catalogue Aluminium'!$M$12))))))</f>
        <v>0.66</v>
      </c>
      <c r="AK165" s="344" t="str">
        <f>IF(T165="Air",'Catalogue Aluminium'!$N$9,IF(T165="GROUND",'Catalogue Aluminium'!$N$10,IF(T165="DUCT",'Catalogue Aluminium'!$N$11,IF(T165="TRENCH",'Catalogue Aluminium'!$N$12,"NA"))))</f>
        <v>NA</v>
      </c>
      <c r="AL165" s="344" t="str">
        <f>IF(T165="Air",(IF(U165="1C",'Catalogue Aluminium'!$O$9,'Catalogue Aluminium'!$P$9)),IF(T165="DUCT",(IF($U165="1C",'Catalogue Aluminium'!$O$10,'Catalogue Aluminium'!$P$10)),IF(T165="GROUND",(IF($U165="1C",'Catalogue Aluminium'!$O$11,'Catalogue Aluminium'!$P$11)),IF(T165="TRENCH",(IF($U165="1C",'Catalogue Aluminium'!$O$12,'Catalogue Aluminium'!$P$12))))))</f>
        <v>NA</v>
      </c>
      <c r="AM165" s="344" t="str">
        <f>IF(T165="AIR","NA",IF(T165="TRENCH","NA",IF(T165="DUCT",IF(U165="1C",VLOOKUP(V165,'Catalogue Aluminium'!$Q$9:$S$28,2,FALSE),VLOOKUP(V165,'Catalogue Aluminium'!$Q$9:$S$28,3)),IF(T165="GROUND",IF(U165="1C",VLOOKUP(V165,'Catalogue Aluminium'!$Q$9:$S$28,2,FALSE),VLOOKUP(V165,'Catalogue Aluminium'!$Q$9:$S$28,3))))))</f>
        <v>NA</v>
      </c>
      <c r="AN165" s="351">
        <f t="shared" si="1409"/>
        <v>0.58740000000000003</v>
      </c>
      <c r="AO165" s="350">
        <f t="shared" si="1410"/>
        <v>22.321200000000001</v>
      </c>
      <c r="AP165" s="349">
        <f t="shared" si="1411"/>
        <v>1</v>
      </c>
      <c r="AQ165" s="350" t="str">
        <f t="shared" si="1412"/>
        <v>YES</v>
      </c>
      <c r="AR165" s="351">
        <f t="shared" si="1178"/>
        <v>0.82326418605397644</v>
      </c>
      <c r="AS165" s="343" t="str">
        <f t="shared" si="1179"/>
        <v>YES</v>
      </c>
      <c r="AT165" s="351" t="str">
        <f>IF(G165="MOTOR",(SQRT(3)*AH165*O165*((AA165*P165)+(AB165*SIN(ACOS(P165))))*100/(AP165*K165*1000)),"NA")</f>
        <v>NA</v>
      </c>
      <c r="AU165" s="343" t="str">
        <f t="shared" si="1413"/>
        <v>NA</v>
      </c>
      <c r="AV165" s="354" t="str">
        <f t="shared" si="1414"/>
        <v>1R x 0.6/1kV x 4C x 4 Sqmm</v>
      </c>
      <c r="AW165" s="354" t="str">
        <f t="shared" si="1415"/>
        <v>1R x 0.6/1kV x 4C x 4 Sqmm</v>
      </c>
      <c r="AX165" s="343">
        <f>(IF(K165=400,(IF(U165="1C",(4*AH165*AP165),(AH165*AP165))),IF(K165=230,(AH165*AP165))))</f>
        <v>28</v>
      </c>
      <c r="AY165" s="355"/>
      <c r="AZ165" s="355">
        <f>IF(U165="1C",(3*AP165*2),(AP165*2))</f>
        <v>2</v>
      </c>
      <c r="BA165" s="356" t="str">
        <f t="shared" si="1433"/>
        <v/>
      </c>
      <c r="BB165" s="501">
        <f>VLOOKUP(W165,'Catalogue Aluminium'!$B$9:$H$93,7,FALSE)</f>
        <v>16</v>
      </c>
      <c r="BC165" s="328">
        <f>AP165*BB165</f>
        <v>16</v>
      </c>
      <c r="BE165" s="336"/>
      <c r="BF165" s="336"/>
      <c r="BG165" s="336"/>
      <c r="BH165" s="336"/>
      <c r="BI165" s="336"/>
      <c r="BJ165" s="336"/>
      <c r="BK165" s="336"/>
      <c r="BL165" s="336"/>
      <c r="BM165" s="336"/>
      <c r="BN165" s="336"/>
      <c r="BO165" s="336"/>
      <c r="BP165" s="336"/>
      <c r="BQ165" s="336"/>
      <c r="BR165" s="336"/>
      <c r="BS165" s="336"/>
      <c r="BT165" s="336"/>
      <c r="BU165" s="336"/>
      <c r="BV165" s="336"/>
      <c r="BW165" s="336"/>
      <c r="BX165" s="336"/>
      <c r="BY165" s="336"/>
      <c r="BZ165" s="336"/>
      <c r="CA165" s="336"/>
      <c r="CB165" s="336"/>
      <c r="CC165" s="336"/>
      <c r="CD165" s="336"/>
      <c r="CE165" s="336"/>
      <c r="CF165" s="336"/>
      <c r="CG165" s="336"/>
      <c r="CH165" s="336"/>
      <c r="CI165" s="336"/>
      <c r="CJ165" s="336"/>
      <c r="CK165" s="336"/>
      <c r="CL165" s="336"/>
      <c r="CM165" s="336"/>
      <c r="CN165" s="336"/>
      <c r="CO165" s="336"/>
      <c r="CP165" s="336"/>
      <c r="CQ165" s="336"/>
      <c r="CR165" s="336"/>
      <c r="CS165" s="336"/>
      <c r="CT165" s="336"/>
      <c r="CU165" s="336"/>
      <c r="CV165" s="336"/>
      <c r="CW165" s="336"/>
      <c r="CX165" s="336"/>
      <c r="CY165" s="336"/>
      <c r="CZ165" s="336"/>
      <c r="DA165" s="336"/>
      <c r="DB165" s="336"/>
      <c r="DC165" s="336"/>
      <c r="DD165" s="336"/>
      <c r="DE165" s="336"/>
      <c r="DF165" s="336"/>
      <c r="DG165" s="336"/>
      <c r="DH165" s="336"/>
      <c r="DI165" s="336"/>
      <c r="DJ165" s="336"/>
      <c r="DK165" s="336"/>
      <c r="DL165" s="336"/>
      <c r="DM165" s="336"/>
      <c r="DN165" s="336"/>
      <c r="DO165" s="336"/>
      <c r="DP165" s="336"/>
      <c r="DQ165" s="336"/>
      <c r="DR165" s="336"/>
      <c r="DS165" s="336"/>
      <c r="DT165" s="336"/>
      <c r="DU165" s="336"/>
      <c r="DW165" s="336">
        <f t="shared" si="1286"/>
        <v>0</v>
      </c>
      <c r="DX165" s="336">
        <f t="shared" si="1287"/>
        <v>0</v>
      </c>
      <c r="DY165" s="336">
        <f t="shared" si="1288"/>
        <v>0</v>
      </c>
      <c r="DZ165" s="336">
        <f t="shared" si="1289"/>
        <v>0</v>
      </c>
      <c r="EA165" s="336">
        <f t="shared" si="1290"/>
        <v>0</v>
      </c>
      <c r="EB165" s="336">
        <f t="shared" si="1291"/>
        <v>0</v>
      </c>
      <c r="EC165" s="336">
        <f t="shared" si="1292"/>
        <v>0</v>
      </c>
      <c r="ED165" s="336">
        <f t="shared" si="1293"/>
        <v>0</v>
      </c>
      <c r="EE165" s="336">
        <f t="shared" si="1294"/>
        <v>0</v>
      </c>
      <c r="EF165" s="336">
        <f t="shared" si="1295"/>
        <v>0</v>
      </c>
      <c r="EG165" s="336">
        <f t="shared" si="1296"/>
        <v>0</v>
      </c>
      <c r="EH165" s="336">
        <f t="shared" si="1297"/>
        <v>0</v>
      </c>
      <c r="EI165" s="336">
        <f t="shared" si="1298"/>
        <v>0</v>
      </c>
      <c r="EJ165" s="336">
        <f t="shared" si="1299"/>
        <v>0</v>
      </c>
      <c r="EK165" s="336">
        <f t="shared" si="1300"/>
        <v>0</v>
      </c>
      <c r="EL165" s="336">
        <f t="shared" si="1301"/>
        <v>0</v>
      </c>
      <c r="EM165" s="336">
        <f t="shared" si="1302"/>
        <v>0</v>
      </c>
      <c r="EN165" s="336">
        <f t="shared" si="1303"/>
        <v>0</v>
      </c>
      <c r="EO165" s="336">
        <f t="shared" si="1304"/>
        <v>0</v>
      </c>
      <c r="EP165" s="336">
        <f t="shared" si="1305"/>
        <v>0</v>
      </c>
      <c r="EQ165" s="336">
        <f t="shared" si="1306"/>
        <v>0</v>
      </c>
      <c r="ER165" s="336">
        <f t="shared" si="1307"/>
        <v>0</v>
      </c>
      <c r="ES165" s="336">
        <f t="shared" si="1308"/>
        <v>0</v>
      </c>
      <c r="ET165" s="336">
        <f t="shared" si="1308"/>
        <v>0</v>
      </c>
      <c r="EU165" s="336">
        <f t="shared" si="1309"/>
        <v>0</v>
      </c>
      <c r="EV165" s="336">
        <f t="shared" si="1310"/>
        <v>0</v>
      </c>
      <c r="EW165" s="336">
        <f t="shared" si="1311"/>
        <v>0</v>
      </c>
      <c r="EX165" s="336">
        <f t="shared" si="1312"/>
        <v>0</v>
      </c>
      <c r="EY165" s="336">
        <f t="shared" si="1313"/>
        <v>0</v>
      </c>
      <c r="EZ165" s="336">
        <f t="shared" si="1314"/>
        <v>0</v>
      </c>
      <c r="FA165" s="336">
        <f t="shared" si="1315"/>
        <v>0</v>
      </c>
      <c r="FB165" s="336">
        <f t="shared" si="1316"/>
        <v>0</v>
      </c>
      <c r="FC165" s="336">
        <f t="shared" si="1317"/>
        <v>0</v>
      </c>
      <c r="FD165" s="336">
        <f t="shared" si="1318"/>
        <v>0</v>
      </c>
      <c r="FE165" s="336">
        <f t="shared" si="1319"/>
        <v>0</v>
      </c>
      <c r="FF165" s="336">
        <f t="shared" si="1320"/>
        <v>0</v>
      </c>
      <c r="FG165" s="336">
        <f t="shared" si="1321"/>
        <v>0</v>
      </c>
      <c r="FH165" s="336">
        <f t="shared" si="1322"/>
        <v>0</v>
      </c>
      <c r="FI165" s="336">
        <f t="shared" si="1323"/>
        <v>0</v>
      </c>
      <c r="FJ165" s="336">
        <f t="shared" si="1324"/>
        <v>0</v>
      </c>
      <c r="FK165" s="336">
        <f t="shared" si="1325"/>
        <v>0</v>
      </c>
      <c r="FL165" s="336">
        <f t="shared" si="1326"/>
        <v>0</v>
      </c>
      <c r="FM165" s="336">
        <f t="shared" si="1327"/>
        <v>0</v>
      </c>
      <c r="FN165" s="336">
        <f t="shared" si="1328"/>
        <v>0</v>
      </c>
      <c r="FO165" s="336">
        <f t="shared" si="1329"/>
        <v>0</v>
      </c>
      <c r="FP165" s="336">
        <f t="shared" si="1330"/>
        <v>0</v>
      </c>
      <c r="FQ165" s="336">
        <f t="shared" si="1331"/>
        <v>0</v>
      </c>
      <c r="FR165" s="336">
        <f t="shared" si="1332"/>
        <v>0</v>
      </c>
      <c r="FS165" s="336">
        <f t="shared" si="1333"/>
        <v>0</v>
      </c>
      <c r="FT165" s="336">
        <f t="shared" si="1334"/>
        <v>0</v>
      </c>
      <c r="FU165" s="336">
        <f t="shared" si="1434"/>
        <v>0</v>
      </c>
      <c r="FV165" s="336">
        <f t="shared" si="1435"/>
        <v>0</v>
      </c>
      <c r="FW165" s="336">
        <f t="shared" si="1436"/>
        <v>0</v>
      </c>
      <c r="FX165" s="336">
        <f t="shared" si="1437"/>
        <v>0</v>
      </c>
      <c r="FY165" s="336">
        <f t="shared" si="1417"/>
        <v>0</v>
      </c>
      <c r="FZ165" s="336">
        <f t="shared" si="1418"/>
        <v>0</v>
      </c>
      <c r="GA165" s="336">
        <f t="shared" si="1419"/>
        <v>0</v>
      </c>
      <c r="GB165" s="336">
        <f t="shared" si="1420"/>
        <v>0</v>
      </c>
      <c r="GC165" s="336">
        <f t="shared" si="1421"/>
        <v>0</v>
      </c>
      <c r="GD165" s="336">
        <f t="shared" si="1422"/>
        <v>0</v>
      </c>
      <c r="GE165" s="336">
        <f t="shared" si="1423"/>
        <v>0</v>
      </c>
      <c r="GF165" s="336">
        <f t="shared" si="1424"/>
        <v>0</v>
      </c>
      <c r="GG165" s="336">
        <f t="shared" si="1425"/>
        <v>0</v>
      </c>
      <c r="GH165" s="336">
        <f t="shared" si="1426"/>
        <v>0</v>
      </c>
      <c r="GI165" s="336">
        <f t="shared" si="1427"/>
        <v>0</v>
      </c>
      <c r="GJ165" s="336">
        <f t="shared" si="1428"/>
        <v>0</v>
      </c>
      <c r="GK165" s="336">
        <f t="shared" si="1429"/>
        <v>0</v>
      </c>
      <c r="GL165" s="336">
        <f t="shared" si="1438"/>
        <v>0</v>
      </c>
      <c r="GM165" s="336">
        <f t="shared" si="1430"/>
        <v>0</v>
      </c>
    </row>
    <row r="166" spans="1:195" s="83" customFormat="1" ht="25.5" hidden="1">
      <c r="A166" s="357" t="s">
        <v>334</v>
      </c>
      <c r="B166" s="565" t="s">
        <v>527</v>
      </c>
      <c r="C166" s="395" t="str">
        <f t="shared" si="1431"/>
        <v>COOLING TOWER SUBSTATION HVAC DB</v>
      </c>
      <c r="D166" s="565" t="s">
        <v>1313</v>
      </c>
      <c r="E166" s="778" t="s">
        <v>419</v>
      </c>
      <c r="F166" s="779"/>
      <c r="G166" s="360" t="s">
        <v>329</v>
      </c>
      <c r="H166" s="352">
        <v>1.1000000000000001</v>
      </c>
      <c r="I166" s="357" t="s">
        <v>330</v>
      </c>
      <c r="J166" s="353" t="s">
        <v>357</v>
      </c>
      <c r="K166" s="353">
        <v>230</v>
      </c>
      <c r="L166" s="360">
        <v>0.85</v>
      </c>
      <c r="M166" s="352">
        <v>0.95</v>
      </c>
      <c r="N166" s="359">
        <f t="shared" si="1403"/>
        <v>5.9227352268138382</v>
      </c>
      <c r="O166" s="359">
        <f t="shared" si="1404"/>
        <v>0</v>
      </c>
      <c r="P166" s="360" t="str">
        <f t="shared" si="1405"/>
        <v>0.00</v>
      </c>
      <c r="Q166" s="352">
        <v>65</v>
      </c>
      <c r="R166" s="352">
        <v>0</v>
      </c>
      <c r="S166" s="352">
        <f t="shared" si="1406"/>
        <v>0</v>
      </c>
      <c r="T166" s="360" t="s">
        <v>332</v>
      </c>
      <c r="U166" s="352" t="s">
        <v>333</v>
      </c>
      <c r="V166" s="360">
        <v>4</v>
      </c>
      <c r="W166" s="360" t="str">
        <f t="shared" si="1407"/>
        <v>3C X 4</v>
      </c>
      <c r="X166" s="360" t="str">
        <f t="shared" si="1408"/>
        <v>3C X 4</v>
      </c>
      <c r="Y166" s="360" t="s">
        <v>358</v>
      </c>
      <c r="Z166" s="361">
        <f>IF(T166="AIR",VLOOKUP(W166,'Catalogue Aluminium'!$B$9:$G$93,2,FALSE),IF(T166="GROUND",VLOOKUP(W166,'Catalogue Aluminium'!$B$9:$G$93,3,FALSE),IF(T166="DUCT",VLOOKUP(W166,'Catalogue Aluminium'!$B$9:$G$93,4,FALSE),IF(T166="TRENCH",VLOOKUP(W166,'Catalogue Aluminium'!$B$9:$G$93,2,FALSE)))))</f>
        <v>38</v>
      </c>
      <c r="AA166" s="362">
        <f>VLOOKUP(W166,'Catalogue Aluminium'!$B$9:$G$93,5,FALSE)</f>
        <v>5.9</v>
      </c>
      <c r="AB166" s="362">
        <f>VLOOKUP(W166,'Catalogue Aluminium'!$B$9:$G$93,6,FALSE)</f>
        <v>9.4700000000000006E-2</v>
      </c>
      <c r="AC166" s="360">
        <v>10</v>
      </c>
      <c r="AD166" s="564">
        <v>0</v>
      </c>
      <c r="AE166" s="360">
        <v>10</v>
      </c>
      <c r="AF166" s="360">
        <v>5</v>
      </c>
      <c r="AG166" s="360">
        <f t="shared" si="1177"/>
        <v>3</v>
      </c>
      <c r="AH166" s="363"/>
      <c r="AI166" s="361">
        <f>IF(T166="AIR",'Catalogue Aluminium'!$K$9,IF(T166="TRENCH",'Catalogue Aluminium'!$K$12,"NA"))</f>
        <v>0.89</v>
      </c>
      <c r="AJ166" s="359">
        <f>IF(T166="Air",(IF(U166="1C",'Catalogue Aluminium'!$L$9,'Catalogue Aluminium'!$M$9)),IF(T166="DUCT",(IF($U166="1C",'Catalogue Aluminium'!$L$10,'Catalogue Aluminium'!$M$10)),IF(T166="GROUND",(IF($U166="1C",'Catalogue Aluminium'!$L$11,'Catalogue Aluminium'!$M$11)),IF(T166="TRENCH",(IF($U166="1C",'Catalogue Aluminium'!$L$12,'Catalogue Aluminium'!$M$12))))))</f>
        <v>0.66</v>
      </c>
      <c r="AK166" s="361" t="str">
        <f>IF(T166="Air",'Catalogue Aluminium'!$N$9,IF(T166="GROUND",'Catalogue Aluminium'!$N$10,IF(T166="DUCT",'Catalogue Aluminium'!$N$11,IF(T166="TRENCH",'Catalogue Aluminium'!$N$12,"NA"))))</f>
        <v>NA</v>
      </c>
      <c r="AL166" s="361" t="str">
        <f>IF(T166="Air",(IF(U166="1C",'Catalogue Aluminium'!$O$9,'Catalogue Aluminium'!$P$9)),IF(T166="DUCT",(IF($U166="1C",'Catalogue Aluminium'!$O$10,'Catalogue Aluminium'!$P$10)),IF(T166="GROUND",(IF($U166="1C",'Catalogue Aluminium'!$O$11,'Catalogue Aluminium'!$P$11)),IF(T166="TRENCH",(IF($U166="1C",'Catalogue Aluminium'!$O$12,'Catalogue Aluminium'!$P$12))))))</f>
        <v>NA</v>
      </c>
      <c r="AM166" s="361" t="str">
        <f>IF(T166="AIR","NA",IF(T166="TRENCH","NA",IF(T166="DUCT",IF(U166="1C",VLOOKUP(V166,'Catalogue Aluminium'!$Q$9:$S$28,2,FALSE),VLOOKUP(V166,'Catalogue Aluminium'!$Q$9:$S$28,3)),IF(T166="GROUND",IF(U166="1C",VLOOKUP(V166,'Catalogue Aluminium'!$Q$9:$S$28,2,FALSE),VLOOKUP(V166,'Catalogue Aluminium'!$Q$9:$S$28,3))))))</f>
        <v>NA</v>
      </c>
      <c r="AN166" s="365">
        <f t="shared" si="1409"/>
        <v>0.58740000000000003</v>
      </c>
      <c r="AO166" s="352">
        <f t="shared" si="1410"/>
        <v>22.321200000000001</v>
      </c>
      <c r="AP166" s="353">
        <f t="shared" si="1411"/>
        <v>1</v>
      </c>
      <c r="AQ166" s="352" t="str">
        <f t="shared" si="1412"/>
        <v>YES</v>
      </c>
      <c r="AR166" s="365">
        <f t="shared" si="1178"/>
        <v>0</v>
      </c>
      <c r="AS166" s="360" t="str">
        <f t="shared" si="1179"/>
        <v>YES</v>
      </c>
      <c r="AT166" s="365" t="str">
        <f>IF(G166="MOTOR",(SQRT(3)*AH166*O166*((AA166*L166)+(AB166*SIN(ACOS(L166))))*100/(AP166*K166*1000)),"NA")</f>
        <v>NA</v>
      </c>
      <c r="AU166" s="360" t="str">
        <f t="shared" si="1413"/>
        <v>NA</v>
      </c>
      <c r="AV166" s="366" t="str">
        <f t="shared" si="1414"/>
        <v>1R x 0.6/1kV x 3C x 4 Sqmm</v>
      </c>
      <c r="AW166" s="366" t="str">
        <f t="shared" si="1415"/>
        <v>1R x 0.6/1kV x 3C x 4 Sqmm</v>
      </c>
      <c r="AX166" s="360"/>
      <c r="AY166" s="367"/>
      <c r="AZ166" s="367"/>
      <c r="BA166" s="356" t="str">
        <f t="shared" si="1416"/>
        <v/>
      </c>
      <c r="BB166" s="498"/>
      <c r="BC166" s="426"/>
      <c r="BE166" s="368"/>
      <c r="BF166" s="368"/>
      <c r="BG166" s="368"/>
      <c r="BH166" s="368"/>
      <c r="BI166" s="368"/>
      <c r="BJ166" s="368"/>
      <c r="BK166" s="368"/>
      <c r="BL166" s="368"/>
      <c r="BM166" s="368"/>
      <c r="BN166" s="368"/>
      <c r="BO166" s="368"/>
      <c r="BP166" s="368"/>
      <c r="BQ166" s="368"/>
      <c r="BR166" s="368"/>
      <c r="BS166" s="368"/>
      <c r="BT166" s="368"/>
      <c r="BU166" s="368"/>
      <c r="BV166" s="368"/>
      <c r="BW166" s="368"/>
      <c r="BX166" s="368"/>
      <c r="BY166" s="368"/>
      <c r="BZ166" s="368"/>
      <c r="CA166" s="368"/>
      <c r="CB166" s="368"/>
      <c r="CC166" s="368"/>
      <c r="CD166" s="368"/>
      <c r="CE166" s="368"/>
      <c r="CF166" s="368"/>
      <c r="CG166" s="368"/>
      <c r="CH166" s="368"/>
      <c r="CI166" s="368"/>
      <c r="CJ166" s="368"/>
      <c r="CK166" s="368"/>
      <c r="CL166" s="368"/>
      <c r="CM166" s="368"/>
      <c r="CN166" s="368"/>
      <c r="CO166" s="368"/>
      <c r="CP166" s="368"/>
      <c r="CQ166" s="368"/>
      <c r="CR166" s="368"/>
      <c r="CS166" s="368"/>
      <c r="CT166" s="368"/>
      <c r="CU166" s="368"/>
      <c r="CV166" s="368"/>
      <c r="CW166" s="368"/>
      <c r="CX166" s="368"/>
      <c r="CY166" s="368"/>
      <c r="CZ166" s="368"/>
      <c r="DA166" s="368"/>
      <c r="DB166" s="368"/>
      <c r="DC166" s="368"/>
      <c r="DD166" s="368"/>
      <c r="DE166" s="368"/>
      <c r="DF166" s="368"/>
      <c r="DG166" s="368"/>
      <c r="DH166" s="368"/>
      <c r="DI166" s="368"/>
      <c r="DJ166" s="368"/>
      <c r="DK166" s="368"/>
      <c r="DL166" s="368"/>
      <c r="DM166" s="368"/>
      <c r="DN166" s="368"/>
      <c r="DO166" s="368"/>
      <c r="DP166" s="368"/>
      <c r="DQ166" s="368"/>
      <c r="DR166" s="368"/>
      <c r="DS166" s="368"/>
      <c r="DT166" s="368"/>
      <c r="DU166" s="368"/>
      <c r="DW166" s="336">
        <f t="shared" si="1286"/>
        <v>0</v>
      </c>
      <c r="DX166" s="336">
        <f t="shared" si="1287"/>
        <v>0</v>
      </c>
      <c r="DY166" s="336">
        <f t="shared" si="1288"/>
        <v>0</v>
      </c>
      <c r="DZ166" s="336">
        <f t="shared" si="1289"/>
        <v>0</v>
      </c>
      <c r="EA166" s="336">
        <f t="shared" si="1290"/>
        <v>0</v>
      </c>
      <c r="EB166" s="336">
        <f t="shared" si="1291"/>
        <v>0</v>
      </c>
      <c r="EC166" s="336">
        <f t="shared" si="1292"/>
        <v>0</v>
      </c>
      <c r="ED166" s="336">
        <f t="shared" si="1293"/>
        <v>0</v>
      </c>
      <c r="EE166" s="336">
        <f t="shared" si="1294"/>
        <v>0</v>
      </c>
      <c r="EF166" s="336">
        <f t="shared" si="1295"/>
        <v>0</v>
      </c>
      <c r="EG166" s="336">
        <f t="shared" si="1296"/>
        <v>0</v>
      </c>
      <c r="EH166" s="336">
        <f t="shared" si="1297"/>
        <v>0</v>
      </c>
      <c r="EI166" s="336">
        <f t="shared" si="1298"/>
        <v>0</v>
      </c>
      <c r="EJ166" s="336">
        <f t="shared" si="1299"/>
        <v>0</v>
      </c>
      <c r="EK166" s="336">
        <f t="shared" si="1300"/>
        <v>0</v>
      </c>
      <c r="EL166" s="336">
        <f t="shared" si="1301"/>
        <v>0</v>
      </c>
      <c r="EM166" s="336">
        <f t="shared" si="1302"/>
        <v>0</v>
      </c>
      <c r="EN166" s="336">
        <f t="shared" si="1303"/>
        <v>0</v>
      </c>
      <c r="EO166" s="336">
        <f t="shared" si="1304"/>
        <v>0</v>
      </c>
      <c r="EP166" s="336">
        <f t="shared" si="1305"/>
        <v>0</v>
      </c>
      <c r="EQ166" s="336">
        <f t="shared" si="1306"/>
        <v>0</v>
      </c>
      <c r="ER166" s="336">
        <f t="shared" si="1307"/>
        <v>0</v>
      </c>
      <c r="ES166" s="336">
        <f t="shared" si="1308"/>
        <v>0</v>
      </c>
      <c r="ET166" s="336">
        <f t="shared" si="1308"/>
        <v>0</v>
      </c>
      <c r="EU166" s="336">
        <f t="shared" si="1309"/>
        <v>0</v>
      </c>
      <c r="EV166" s="336">
        <f t="shared" si="1310"/>
        <v>0</v>
      </c>
      <c r="EW166" s="336">
        <f t="shared" si="1311"/>
        <v>0</v>
      </c>
      <c r="EX166" s="336">
        <f t="shared" si="1312"/>
        <v>0</v>
      </c>
      <c r="EY166" s="336">
        <f t="shared" si="1313"/>
        <v>0</v>
      </c>
      <c r="EZ166" s="336">
        <f t="shared" si="1314"/>
        <v>0</v>
      </c>
      <c r="FA166" s="336">
        <f t="shared" si="1315"/>
        <v>0</v>
      </c>
      <c r="FB166" s="336">
        <f t="shared" si="1316"/>
        <v>0</v>
      </c>
      <c r="FC166" s="336">
        <f t="shared" si="1317"/>
        <v>0</v>
      </c>
      <c r="FD166" s="336">
        <f t="shared" si="1318"/>
        <v>0</v>
      </c>
      <c r="FE166" s="336">
        <f t="shared" si="1319"/>
        <v>0</v>
      </c>
      <c r="FF166" s="336">
        <f t="shared" si="1320"/>
        <v>0</v>
      </c>
      <c r="FG166" s="336">
        <f t="shared" si="1321"/>
        <v>0</v>
      </c>
      <c r="FH166" s="336">
        <f t="shared" si="1322"/>
        <v>0</v>
      </c>
      <c r="FI166" s="336">
        <f t="shared" si="1323"/>
        <v>0</v>
      </c>
      <c r="FJ166" s="336">
        <f t="shared" si="1324"/>
        <v>0</v>
      </c>
      <c r="FK166" s="336">
        <f t="shared" si="1325"/>
        <v>0</v>
      </c>
      <c r="FL166" s="336">
        <f t="shared" si="1326"/>
        <v>0</v>
      </c>
      <c r="FM166" s="336">
        <f t="shared" si="1327"/>
        <v>0</v>
      </c>
      <c r="FN166" s="336">
        <f t="shared" si="1328"/>
        <v>0</v>
      </c>
      <c r="FO166" s="336">
        <f t="shared" si="1329"/>
        <v>0</v>
      </c>
      <c r="FP166" s="336">
        <f t="shared" si="1330"/>
        <v>0</v>
      </c>
      <c r="FQ166" s="336">
        <f t="shared" si="1331"/>
        <v>0</v>
      </c>
      <c r="FR166" s="336">
        <f t="shared" si="1332"/>
        <v>0</v>
      </c>
      <c r="FS166" s="336">
        <f t="shared" si="1333"/>
        <v>0</v>
      </c>
      <c r="FT166" s="336">
        <f t="shared" si="1334"/>
        <v>0</v>
      </c>
      <c r="FU166" s="336"/>
      <c r="FV166" s="336"/>
      <c r="FW166" s="336"/>
      <c r="FX166" s="336"/>
      <c r="FY166" s="336">
        <f t="shared" si="1417"/>
        <v>0</v>
      </c>
      <c r="FZ166" s="336">
        <f t="shared" si="1418"/>
        <v>0</v>
      </c>
      <c r="GA166" s="336">
        <f t="shared" si="1419"/>
        <v>0</v>
      </c>
      <c r="GB166" s="336">
        <f t="shared" si="1420"/>
        <v>0</v>
      </c>
      <c r="GC166" s="336">
        <f t="shared" si="1421"/>
        <v>0</v>
      </c>
      <c r="GD166" s="336">
        <f t="shared" si="1422"/>
        <v>0</v>
      </c>
      <c r="GE166" s="336">
        <f t="shared" si="1423"/>
        <v>0</v>
      </c>
      <c r="GF166" s="336">
        <f t="shared" si="1424"/>
        <v>0</v>
      </c>
      <c r="GG166" s="336">
        <f t="shared" si="1425"/>
        <v>0</v>
      </c>
      <c r="GH166" s="336">
        <f t="shared" si="1426"/>
        <v>0</v>
      </c>
      <c r="GI166" s="336">
        <f t="shared" si="1427"/>
        <v>0</v>
      </c>
      <c r="GJ166" s="336">
        <f t="shared" si="1428"/>
        <v>0</v>
      </c>
      <c r="GK166" s="336">
        <f t="shared" si="1429"/>
        <v>0</v>
      </c>
      <c r="GL166" s="336"/>
      <c r="GM166" s="336">
        <f t="shared" si="1430"/>
        <v>0</v>
      </c>
    </row>
    <row r="167" spans="1:195" ht="15">
      <c r="A167" s="337">
        <f>A165+1</f>
        <v>126</v>
      </c>
      <c r="B167" s="453" t="s">
        <v>1174</v>
      </c>
      <c r="C167" s="372" t="str">
        <f>$C$85</f>
        <v>PDB-2</v>
      </c>
      <c r="D167" s="440" t="s">
        <v>1314</v>
      </c>
      <c r="E167" s="569" t="s">
        <v>419</v>
      </c>
      <c r="F167" s="500"/>
      <c r="G167" s="337" t="s">
        <v>337</v>
      </c>
      <c r="H167" s="350">
        <v>11.263157894736842</v>
      </c>
      <c r="I167" s="337" t="s">
        <v>414</v>
      </c>
      <c r="J167" s="349" t="s">
        <v>331</v>
      </c>
      <c r="K167" s="349">
        <v>400</v>
      </c>
      <c r="L167" s="343">
        <v>0.85</v>
      </c>
      <c r="M167" s="350">
        <v>0.95000000000000007</v>
      </c>
      <c r="N167" s="342">
        <f t="shared" si="1403"/>
        <v>17.11309999808077</v>
      </c>
      <c r="O167" s="926"/>
      <c r="P167" s="927"/>
      <c r="Q167" s="927"/>
      <c r="R167" s="927"/>
      <c r="S167" s="927"/>
      <c r="T167" s="927"/>
      <c r="U167" s="927"/>
      <c r="V167" s="927"/>
      <c r="W167" s="927"/>
      <c r="X167" s="927"/>
      <c r="Y167" s="927"/>
      <c r="Z167" s="927"/>
      <c r="AA167" s="927"/>
      <c r="AB167" s="927"/>
      <c r="AC167" s="927"/>
      <c r="AD167" s="927"/>
      <c r="AE167" s="927"/>
      <c r="AF167" s="927"/>
      <c r="AG167" s="927"/>
      <c r="AH167" s="927"/>
      <c r="AI167" s="927"/>
      <c r="AJ167" s="927"/>
      <c r="AK167" s="927"/>
      <c r="AL167" s="927"/>
      <c r="AM167" s="927"/>
      <c r="AN167" s="927"/>
      <c r="AO167" s="927"/>
      <c r="AP167" s="927"/>
      <c r="AQ167" s="927"/>
      <c r="AR167" s="927"/>
      <c r="AS167" s="927"/>
      <c r="AT167" s="927"/>
      <c r="AU167" s="927"/>
      <c r="AV167" s="927"/>
      <c r="AW167" s="927"/>
      <c r="AX167" s="927"/>
      <c r="AY167" s="927"/>
      <c r="AZ167" s="927"/>
      <c r="BA167" s="927"/>
      <c r="BB167" s="927"/>
      <c r="BC167" s="1020"/>
      <c r="BE167" s="336"/>
      <c r="BF167" s="336"/>
      <c r="BG167" s="336"/>
      <c r="BH167" s="336"/>
      <c r="BI167" s="336"/>
      <c r="BJ167" s="336"/>
      <c r="BK167" s="336"/>
      <c r="BL167" s="336"/>
      <c r="BM167" s="336"/>
      <c r="BN167" s="336"/>
      <c r="BO167" s="336"/>
      <c r="BP167" s="336"/>
      <c r="BQ167" s="336"/>
      <c r="BR167" s="336"/>
      <c r="BS167" s="336"/>
      <c r="BT167" s="336"/>
      <c r="BU167" s="336"/>
      <c r="BV167" s="336"/>
      <c r="BW167" s="336"/>
      <c r="BX167" s="336"/>
      <c r="BY167" s="336"/>
      <c r="BZ167" s="336"/>
      <c r="CA167" s="336"/>
      <c r="CB167" s="336"/>
      <c r="CC167" s="336"/>
      <c r="CD167" s="336"/>
      <c r="CE167" s="336"/>
      <c r="CF167" s="336"/>
      <c r="CG167" s="336"/>
      <c r="CH167" s="336"/>
      <c r="CI167" s="336"/>
      <c r="CJ167" s="336"/>
      <c r="CK167" s="336"/>
      <c r="CL167" s="336"/>
      <c r="CM167" s="336"/>
      <c r="CN167" s="336"/>
      <c r="CO167" s="336"/>
      <c r="CP167" s="336"/>
      <c r="CQ167" s="336"/>
      <c r="CR167" s="336"/>
      <c r="CS167" s="336"/>
      <c r="CT167" s="336"/>
      <c r="CU167" s="336"/>
      <c r="CV167" s="336"/>
      <c r="CW167" s="336"/>
      <c r="CX167" s="336"/>
      <c r="CY167" s="336"/>
      <c r="CZ167" s="760"/>
      <c r="DA167" s="760"/>
      <c r="DB167" s="760"/>
      <c r="DC167" s="760"/>
      <c r="DD167" s="760"/>
      <c r="DE167" s="760"/>
      <c r="DF167" s="760"/>
      <c r="DG167" s="760"/>
      <c r="DH167" s="760"/>
      <c r="DI167" s="760"/>
      <c r="DJ167" s="760"/>
      <c r="DK167" s="760"/>
      <c r="DL167" s="760"/>
      <c r="DM167" s="760"/>
      <c r="DN167" s="760"/>
      <c r="DO167" s="760"/>
      <c r="DP167" s="760"/>
      <c r="DQ167" s="760"/>
      <c r="DR167" s="760"/>
      <c r="DS167" s="760"/>
      <c r="DT167" s="760"/>
      <c r="DU167" s="760"/>
      <c r="DW167" s="336">
        <f t="shared" si="1286"/>
        <v>0</v>
      </c>
      <c r="DX167" s="336">
        <f t="shared" si="1287"/>
        <v>0</v>
      </c>
      <c r="DY167" s="336">
        <f t="shared" si="1288"/>
        <v>0</v>
      </c>
      <c r="DZ167" s="336">
        <f t="shared" si="1289"/>
        <v>0</v>
      </c>
      <c r="EA167" s="336">
        <f t="shared" si="1290"/>
        <v>0</v>
      </c>
      <c r="EB167" s="336">
        <f t="shared" si="1291"/>
        <v>0</v>
      </c>
      <c r="EC167" s="336">
        <f t="shared" si="1292"/>
        <v>0</v>
      </c>
      <c r="ED167" s="336">
        <f t="shared" si="1293"/>
        <v>0</v>
      </c>
      <c r="EE167" s="336">
        <f t="shared" si="1294"/>
        <v>0</v>
      </c>
      <c r="EF167" s="336">
        <f t="shared" si="1295"/>
        <v>0</v>
      </c>
      <c r="EG167" s="336">
        <f t="shared" si="1296"/>
        <v>0</v>
      </c>
      <c r="EH167" s="336">
        <f t="shared" si="1297"/>
        <v>0</v>
      </c>
      <c r="EI167" s="336">
        <f t="shared" si="1298"/>
        <v>0</v>
      </c>
      <c r="EJ167" s="336">
        <f t="shared" si="1299"/>
        <v>0</v>
      </c>
      <c r="EK167" s="336">
        <f t="shared" si="1300"/>
        <v>0</v>
      </c>
      <c r="EL167" s="336">
        <f t="shared" si="1301"/>
        <v>0</v>
      </c>
      <c r="EM167" s="336">
        <f t="shared" si="1302"/>
        <v>0</v>
      </c>
      <c r="EN167" s="336">
        <f t="shared" si="1303"/>
        <v>0</v>
      </c>
      <c r="EO167" s="336">
        <f t="shared" si="1304"/>
        <v>0</v>
      </c>
      <c r="EP167" s="336">
        <f t="shared" si="1305"/>
        <v>0</v>
      </c>
      <c r="EQ167" s="336">
        <f t="shared" si="1306"/>
        <v>0</v>
      </c>
      <c r="ER167" s="336">
        <f t="shared" si="1307"/>
        <v>0</v>
      </c>
      <c r="ES167" s="336">
        <f t="shared" si="1308"/>
        <v>0</v>
      </c>
      <c r="ET167" s="336">
        <f t="shared" si="1308"/>
        <v>0</v>
      </c>
      <c r="EU167" s="336">
        <f t="shared" si="1309"/>
        <v>0</v>
      </c>
      <c r="EV167" s="336">
        <f t="shared" si="1310"/>
        <v>0</v>
      </c>
      <c r="EW167" s="336">
        <f t="shared" si="1311"/>
        <v>0</v>
      </c>
      <c r="EX167" s="336">
        <f t="shared" si="1312"/>
        <v>0</v>
      </c>
      <c r="EY167" s="336">
        <f t="shared" si="1313"/>
        <v>0</v>
      </c>
      <c r="EZ167" s="336">
        <f t="shared" si="1314"/>
        <v>0</v>
      </c>
      <c r="FA167" s="336">
        <f t="shared" si="1315"/>
        <v>0</v>
      </c>
      <c r="FB167" s="336">
        <f t="shared" si="1316"/>
        <v>0</v>
      </c>
      <c r="FC167" s="336">
        <f t="shared" si="1317"/>
        <v>0</v>
      </c>
      <c r="FD167" s="336">
        <f t="shared" si="1318"/>
        <v>0</v>
      </c>
      <c r="FE167" s="336">
        <f t="shared" si="1319"/>
        <v>0</v>
      </c>
      <c r="FF167" s="336">
        <f t="shared" si="1320"/>
        <v>0</v>
      </c>
      <c r="FG167" s="336">
        <f t="shared" si="1321"/>
        <v>0</v>
      </c>
      <c r="FH167" s="336">
        <f t="shared" si="1322"/>
        <v>0</v>
      </c>
      <c r="FI167" s="336">
        <f t="shared" si="1323"/>
        <v>0</v>
      </c>
      <c r="FJ167" s="336">
        <f t="shared" si="1324"/>
        <v>0</v>
      </c>
      <c r="FK167" s="336">
        <f t="shared" si="1325"/>
        <v>0</v>
      </c>
      <c r="FL167" s="336">
        <f t="shared" si="1326"/>
        <v>0</v>
      </c>
      <c r="FM167" s="336">
        <f t="shared" si="1327"/>
        <v>0</v>
      </c>
      <c r="FN167" s="336">
        <f t="shared" si="1328"/>
        <v>0</v>
      </c>
      <c r="FO167" s="336">
        <f t="shared" si="1329"/>
        <v>0</v>
      </c>
      <c r="FP167" s="336">
        <f t="shared" si="1330"/>
        <v>0</v>
      </c>
      <c r="FQ167" s="336">
        <f t="shared" si="1331"/>
        <v>0</v>
      </c>
      <c r="FR167" s="336">
        <f t="shared" si="1332"/>
        <v>0</v>
      </c>
      <c r="FS167" s="336">
        <f t="shared" si="1333"/>
        <v>0</v>
      </c>
      <c r="FT167" s="336">
        <f t="shared" si="1334"/>
        <v>0</v>
      </c>
      <c r="FU167" s="336">
        <f t="shared" ref="FU167:FU173" si="1439">IF(DC167=1,($BC167*DC167),0)</f>
        <v>0</v>
      </c>
      <c r="FV167" s="336">
        <f t="shared" ref="FV167:FV173" si="1440">IF(DD167=1,($BC167*DD167),0)</f>
        <v>0</v>
      </c>
      <c r="FW167" s="336">
        <f t="shared" ref="FW167:FW173" si="1441">IF(DE167=1,($BC167*DE167),0)</f>
        <v>0</v>
      </c>
      <c r="FX167" s="336">
        <f t="shared" ref="FX167:FX173" si="1442">IF(DF167=1,($BC167*DF167),0)</f>
        <v>0</v>
      </c>
      <c r="FY167" s="336">
        <f t="shared" si="1417"/>
        <v>0</v>
      </c>
      <c r="FZ167" s="336">
        <f t="shared" si="1418"/>
        <v>0</v>
      </c>
      <c r="GA167" s="336">
        <f t="shared" si="1419"/>
        <v>0</v>
      </c>
      <c r="GB167" s="336">
        <f t="shared" si="1420"/>
        <v>0</v>
      </c>
      <c r="GC167" s="336">
        <f t="shared" si="1421"/>
        <v>0</v>
      </c>
      <c r="GD167" s="336">
        <f t="shared" si="1422"/>
        <v>0</v>
      </c>
      <c r="GE167" s="336">
        <f t="shared" si="1423"/>
        <v>0</v>
      </c>
      <c r="GF167" s="336">
        <f t="shared" si="1424"/>
        <v>0</v>
      </c>
      <c r="GG167" s="336">
        <f t="shared" si="1425"/>
        <v>0</v>
      </c>
      <c r="GH167" s="336">
        <f t="shared" si="1426"/>
        <v>0</v>
      </c>
      <c r="GI167" s="336">
        <f t="shared" si="1427"/>
        <v>0</v>
      </c>
      <c r="GJ167" s="336">
        <f t="shared" si="1428"/>
        <v>0</v>
      </c>
      <c r="GK167" s="336">
        <f t="shared" si="1429"/>
        <v>0</v>
      </c>
      <c r="GL167" s="336">
        <f t="shared" ref="GL167:GL173" si="1443">IF(DT167=1,($BC167*DT167),0)</f>
        <v>0</v>
      </c>
      <c r="GM167" s="336">
        <f t="shared" si="1430"/>
        <v>0</v>
      </c>
    </row>
    <row r="168" spans="1:195" s="60" customFormat="1" ht="33.75" customHeight="1">
      <c r="A168" s="710"/>
      <c r="B168" s="710"/>
      <c r="C168" s="711"/>
      <c r="D168" s="477" t="s">
        <v>1315</v>
      </c>
      <c r="E168" s="712"/>
      <c r="F168" s="710"/>
      <c r="G168" s="713"/>
      <c r="H168" s="714"/>
      <c r="I168" s="715"/>
      <c r="J168" s="715"/>
      <c r="K168" s="715"/>
      <c r="L168" s="714"/>
      <c r="M168" s="714"/>
      <c r="N168" s="716"/>
      <c r="O168" s="716"/>
      <c r="P168" s="717"/>
      <c r="Q168" s="714"/>
      <c r="R168" s="714"/>
      <c r="S168" s="714"/>
      <c r="T168" s="717"/>
      <c r="U168" s="714"/>
      <c r="V168" s="717"/>
      <c r="W168" s="717"/>
      <c r="X168" s="717"/>
      <c r="Y168" s="717"/>
      <c r="Z168" s="718"/>
      <c r="AA168" s="719"/>
      <c r="AB168" s="719"/>
      <c r="AC168" s="719"/>
      <c r="AD168" s="719"/>
      <c r="AE168" s="719"/>
      <c r="AF168" s="719"/>
      <c r="AG168" s="719"/>
      <c r="AH168" s="720"/>
      <c r="AI168" s="718"/>
      <c r="AJ168" s="716"/>
      <c r="AK168" s="718"/>
      <c r="AL168" s="718"/>
      <c r="AM168" s="718"/>
      <c r="AN168" s="721"/>
      <c r="AO168" s="714"/>
      <c r="AP168" s="722"/>
      <c r="AQ168" s="714"/>
      <c r="AR168" s="721"/>
      <c r="AS168" s="717"/>
      <c r="AT168" s="721"/>
      <c r="AU168" s="721"/>
      <c r="AV168" s="723"/>
      <c r="AW168" s="723"/>
      <c r="AX168" s="717"/>
      <c r="AY168" s="724"/>
      <c r="AZ168" s="724"/>
      <c r="BA168" s="724"/>
      <c r="BB168" s="753"/>
      <c r="BC168" s="754"/>
      <c r="BE168" s="336"/>
      <c r="BF168" s="336"/>
      <c r="BG168" s="336"/>
      <c r="BH168" s="336"/>
      <c r="BI168" s="336"/>
      <c r="BJ168" s="336"/>
      <c r="BK168" s="336"/>
      <c r="BL168" s="336"/>
      <c r="BM168" s="336"/>
      <c r="BN168" s="336"/>
      <c r="BO168" s="336"/>
      <c r="BP168" s="336"/>
      <c r="BQ168" s="336"/>
      <c r="BR168" s="336"/>
      <c r="BS168" s="336"/>
      <c r="BT168" s="336"/>
      <c r="BU168" s="336"/>
      <c r="BV168" s="336"/>
      <c r="BW168" s="336"/>
      <c r="BX168" s="336"/>
      <c r="BY168" s="336"/>
      <c r="BZ168" s="336"/>
      <c r="CA168" s="336"/>
      <c r="CB168" s="336"/>
      <c r="CC168" s="336"/>
      <c r="CD168" s="336"/>
      <c r="CE168" s="336"/>
      <c r="CF168" s="336"/>
      <c r="CG168" s="336"/>
      <c r="CH168" s="336"/>
      <c r="CI168" s="336"/>
      <c r="CJ168" s="336"/>
      <c r="CK168" s="336"/>
      <c r="CL168" s="336"/>
      <c r="CM168" s="336"/>
      <c r="CN168" s="336"/>
      <c r="CO168" s="336"/>
      <c r="CP168" s="336"/>
      <c r="CQ168" s="336"/>
      <c r="CR168" s="336"/>
      <c r="CS168" s="336"/>
      <c r="CT168" s="336"/>
      <c r="CU168" s="336"/>
      <c r="CV168" s="336"/>
      <c r="CW168" s="336"/>
      <c r="CX168" s="336"/>
      <c r="CY168" s="336"/>
      <c r="CZ168" s="760"/>
      <c r="DA168" s="760"/>
      <c r="DB168" s="760"/>
      <c r="DC168" s="760"/>
      <c r="DD168" s="760"/>
      <c r="DE168" s="760"/>
      <c r="DF168" s="760"/>
      <c r="DG168" s="760"/>
      <c r="DH168" s="760"/>
      <c r="DI168" s="760"/>
      <c r="DJ168" s="760"/>
      <c r="DK168" s="760"/>
      <c r="DL168" s="760"/>
      <c r="DM168" s="760"/>
      <c r="DN168" s="760"/>
      <c r="DO168" s="760"/>
      <c r="DP168" s="760"/>
      <c r="DQ168" s="760"/>
      <c r="DR168" s="760"/>
      <c r="DS168" s="760"/>
      <c r="DT168" s="760"/>
      <c r="DU168" s="760"/>
      <c r="DV168" s="61"/>
      <c r="DW168" s="336">
        <f t="shared" si="1286"/>
        <v>0</v>
      </c>
      <c r="DX168" s="336">
        <f t="shared" si="1287"/>
        <v>0</v>
      </c>
      <c r="DY168" s="336">
        <f t="shared" si="1288"/>
        <v>0</v>
      </c>
      <c r="DZ168" s="336">
        <f t="shared" si="1289"/>
        <v>0</v>
      </c>
      <c r="EA168" s="336">
        <f t="shared" si="1290"/>
        <v>0</v>
      </c>
      <c r="EB168" s="336">
        <f t="shared" si="1291"/>
        <v>0</v>
      </c>
      <c r="EC168" s="336">
        <f t="shared" si="1292"/>
        <v>0</v>
      </c>
      <c r="ED168" s="336">
        <f t="shared" si="1293"/>
        <v>0</v>
      </c>
      <c r="EE168" s="336">
        <f t="shared" si="1294"/>
        <v>0</v>
      </c>
      <c r="EF168" s="336">
        <f t="shared" si="1295"/>
        <v>0</v>
      </c>
      <c r="EG168" s="336">
        <f t="shared" si="1296"/>
        <v>0</v>
      </c>
      <c r="EH168" s="336">
        <f t="shared" si="1297"/>
        <v>0</v>
      </c>
      <c r="EI168" s="336">
        <f t="shared" si="1298"/>
        <v>0</v>
      </c>
      <c r="EJ168" s="336">
        <f t="shared" si="1299"/>
        <v>0</v>
      </c>
      <c r="EK168" s="336">
        <f t="shared" si="1300"/>
        <v>0</v>
      </c>
      <c r="EL168" s="336">
        <f t="shared" si="1301"/>
        <v>0</v>
      </c>
      <c r="EM168" s="336">
        <f t="shared" si="1302"/>
        <v>0</v>
      </c>
      <c r="EN168" s="336">
        <f t="shared" si="1303"/>
        <v>0</v>
      </c>
      <c r="EO168" s="336">
        <f t="shared" si="1304"/>
        <v>0</v>
      </c>
      <c r="EP168" s="336">
        <f t="shared" si="1305"/>
        <v>0</v>
      </c>
      <c r="EQ168" s="336">
        <f t="shared" si="1306"/>
        <v>0</v>
      </c>
      <c r="ER168" s="336">
        <f t="shared" si="1307"/>
        <v>0</v>
      </c>
      <c r="ES168" s="336">
        <f t="shared" si="1308"/>
        <v>0</v>
      </c>
      <c r="ET168" s="336">
        <f t="shared" si="1308"/>
        <v>0</v>
      </c>
      <c r="EU168" s="336">
        <f t="shared" si="1309"/>
        <v>0</v>
      </c>
      <c r="EV168" s="336">
        <f t="shared" si="1310"/>
        <v>0</v>
      </c>
      <c r="EW168" s="336">
        <f t="shared" si="1311"/>
        <v>0</v>
      </c>
      <c r="EX168" s="336">
        <f t="shared" si="1312"/>
        <v>0</v>
      </c>
      <c r="EY168" s="336">
        <f t="shared" si="1313"/>
        <v>0</v>
      </c>
      <c r="EZ168" s="336">
        <f t="shared" si="1314"/>
        <v>0</v>
      </c>
      <c r="FA168" s="336">
        <f t="shared" si="1315"/>
        <v>0</v>
      </c>
      <c r="FB168" s="336">
        <f t="shared" si="1316"/>
        <v>0</v>
      </c>
      <c r="FC168" s="336">
        <f t="shared" si="1317"/>
        <v>0</v>
      </c>
      <c r="FD168" s="336">
        <f t="shared" si="1318"/>
        <v>0</v>
      </c>
      <c r="FE168" s="336">
        <f t="shared" si="1319"/>
        <v>0</v>
      </c>
      <c r="FF168" s="336">
        <f t="shared" si="1320"/>
        <v>0</v>
      </c>
      <c r="FG168" s="336">
        <f t="shared" si="1321"/>
        <v>0</v>
      </c>
      <c r="FH168" s="336">
        <f t="shared" si="1322"/>
        <v>0</v>
      </c>
      <c r="FI168" s="336">
        <f t="shared" si="1323"/>
        <v>0</v>
      </c>
      <c r="FJ168" s="336">
        <f t="shared" si="1324"/>
        <v>0</v>
      </c>
      <c r="FK168" s="336">
        <f t="shared" si="1325"/>
        <v>0</v>
      </c>
      <c r="FL168" s="336">
        <f t="shared" si="1326"/>
        <v>0</v>
      </c>
      <c r="FM168" s="336">
        <f t="shared" si="1327"/>
        <v>0</v>
      </c>
      <c r="FN168" s="336">
        <f t="shared" si="1328"/>
        <v>0</v>
      </c>
      <c r="FO168" s="336">
        <f t="shared" si="1329"/>
        <v>0</v>
      </c>
      <c r="FP168" s="336">
        <f t="shared" si="1330"/>
        <v>0</v>
      </c>
      <c r="FQ168" s="336">
        <f t="shared" si="1331"/>
        <v>0</v>
      </c>
      <c r="FR168" s="336">
        <f t="shared" si="1332"/>
        <v>0</v>
      </c>
      <c r="FS168" s="336">
        <f t="shared" si="1333"/>
        <v>0</v>
      </c>
      <c r="FT168" s="336">
        <f t="shared" si="1334"/>
        <v>0</v>
      </c>
      <c r="FU168" s="336">
        <f t="shared" si="1439"/>
        <v>0</v>
      </c>
      <c r="FV168" s="336">
        <f t="shared" si="1440"/>
        <v>0</v>
      </c>
      <c r="FW168" s="336">
        <f t="shared" si="1441"/>
        <v>0</v>
      </c>
      <c r="FX168" s="336">
        <f t="shared" si="1442"/>
        <v>0</v>
      </c>
      <c r="FY168" s="336">
        <f t="shared" si="1417"/>
        <v>0</v>
      </c>
      <c r="FZ168" s="336">
        <f t="shared" si="1418"/>
        <v>0</v>
      </c>
      <c r="GA168" s="336">
        <f t="shared" si="1419"/>
        <v>0</v>
      </c>
      <c r="GB168" s="336">
        <f t="shared" si="1420"/>
        <v>0</v>
      </c>
      <c r="GC168" s="336">
        <f t="shared" si="1421"/>
        <v>0</v>
      </c>
      <c r="GD168" s="336">
        <f t="shared" si="1422"/>
        <v>0</v>
      </c>
      <c r="GE168" s="336">
        <f t="shared" si="1423"/>
        <v>0</v>
      </c>
      <c r="GF168" s="336">
        <f t="shared" si="1424"/>
        <v>0</v>
      </c>
      <c r="GG168" s="336">
        <f t="shared" si="1425"/>
        <v>0</v>
      </c>
      <c r="GH168" s="336">
        <f t="shared" si="1426"/>
        <v>0</v>
      </c>
      <c r="GI168" s="336">
        <f t="shared" si="1427"/>
        <v>0</v>
      </c>
      <c r="GJ168" s="336">
        <f t="shared" si="1428"/>
        <v>0</v>
      </c>
      <c r="GK168" s="336">
        <f t="shared" si="1429"/>
        <v>0</v>
      </c>
      <c r="GL168" s="336">
        <f t="shared" si="1443"/>
        <v>0</v>
      </c>
      <c r="GM168" s="336">
        <f t="shared" si="1430"/>
        <v>0</v>
      </c>
    </row>
    <row r="169" spans="1:195" ht="27.75" customHeight="1">
      <c r="A169" s="337">
        <f>A167+1</f>
        <v>127</v>
      </c>
      <c r="B169" s="453"/>
      <c r="C169" s="372" t="str">
        <f>$D$168</f>
        <v>WORKSHOP HVAC DB</v>
      </c>
      <c r="D169" s="444" t="s">
        <v>1316</v>
      </c>
      <c r="E169" s="569" t="s">
        <v>1178</v>
      </c>
      <c r="F169" s="500"/>
      <c r="G169" s="337" t="s">
        <v>329</v>
      </c>
      <c r="H169" s="583">
        <v>2.2000000000000002</v>
      </c>
      <c r="I169" s="337" t="s">
        <v>330</v>
      </c>
      <c r="J169" s="349" t="s">
        <v>331</v>
      </c>
      <c r="K169" s="349">
        <v>400</v>
      </c>
      <c r="L169" s="343">
        <v>0.95</v>
      </c>
      <c r="M169" s="350">
        <v>0.85</v>
      </c>
      <c r="N169" s="342">
        <f t="shared" ref="N169:N198" si="1444">IF(I169="kVA",IF(J169="3Ph",(H169*1000/(1.732*M169*K169)),(H169*1000/(M169*K169))),IF(I169="kW",IF(J169="3Ph",(H169*1000/(1.732*M169*K169*L169)),(H169*1000/(M169*K169*L169)))))</f>
        <v>3.9325320501362091</v>
      </c>
      <c r="O169" s="342">
        <f t="shared" ref="O169:O193" si="1445">IF(G169="MOTOR",(6*N169),IF(G169="VFD",(1*N169),0))</f>
        <v>0</v>
      </c>
      <c r="P169" s="343" t="str">
        <f t="shared" ref="P169:P198" si="1446">IF(G169="MOTOR",0.2,"0.00")</f>
        <v>0.00</v>
      </c>
      <c r="Q169" s="350">
        <v>65</v>
      </c>
      <c r="R169" s="350">
        <v>0</v>
      </c>
      <c r="S169" s="350">
        <f t="shared" ref="S169:S204" si="1447">(Q169*1000*SQRT(R169)/143)</f>
        <v>0</v>
      </c>
      <c r="T169" s="343" t="s">
        <v>131</v>
      </c>
      <c r="U169" s="350" t="s">
        <v>522</v>
      </c>
      <c r="V169" s="343">
        <v>4</v>
      </c>
      <c r="W169" s="343" t="str">
        <f t="shared" ref="W169:W204" si="1448">CONCATENATE(U169," X ",V169)</f>
        <v>4C X 4</v>
      </c>
      <c r="X169" s="343" t="str">
        <f t="shared" ref="X169:X193" si="1449">(IF(J169="1Ph",W169,IF(J169="3Ph",(IF(G169="MOTOR",(CONCATENATE(W169,"+PE")),W169)))))</f>
        <v>4C X 4</v>
      </c>
      <c r="Y169" s="343" t="s">
        <v>358</v>
      </c>
      <c r="Z169" s="344">
        <f>IF(T169="AIR",VLOOKUP(W169,'Catalogue Aluminium'!$B$9:$G$93,2,FALSE),IF(T169="GROUND",VLOOKUP(W169,'Catalogue Aluminium'!$B$9:$G$93,3,FALSE),IF(T169="DUCT",VLOOKUP(W169,'Catalogue Aluminium'!$B$9:$G$93,4,FALSE),IF(T169="TRENCH",VLOOKUP(W169,'Catalogue Aluminium'!$B$9:$G$93,2,FALSE)))))</f>
        <v>38</v>
      </c>
      <c r="AA169" s="345">
        <f>VLOOKUP(W169,'Catalogue Aluminium'!$B$9:$G$93,5,FALSE)</f>
        <v>5.9</v>
      </c>
      <c r="AB169" s="345">
        <f>VLOOKUP(W169,'Catalogue Aluminium'!$B$9:$G$93,6,FALSE)</f>
        <v>9.4700000000000006E-2</v>
      </c>
      <c r="AC169" s="343">
        <f>47+14</f>
        <v>61</v>
      </c>
      <c r="AD169" s="343">
        <v>0</v>
      </c>
      <c r="AE169" s="343">
        <v>10</v>
      </c>
      <c r="AF169" s="343">
        <v>5</v>
      </c>
      <c r="AG169" s="343">
        <f t="shared" si="1177"/>
        <v>8</v>
      </c>
      <c r="AH169" s="347">
        <f t="shared" ref="AH169:AH193" si="1450">SUM(AC169:AG169)</f>
        <v>84</v>
      </c>
      <c r="AI169" s="344">
        <f>IF(T169="AIR",'Catalogue Aluminium'!$K$9,IF(T169="TRENCH",'Catalogue Aluminium'!$K$12,"NA"))</f>
        <v>0.89</v>
      </c>
      <c r="AJ169" s="342">
        <f>IF(T169="Air",(IF(U169="1C",'Catalogue Aluminium'!$L$9,'Catalogue Aluminium'!$M$9)),IF(T169="DUCT",(IF($U169="1C",'Catalogue Aluminium'!$L$10,'Catalogue Aluminium'!$M$10)),IF(T169="GROUND",(IF($U169="1C",'Catalogue Aluminium'!$L$11,'Catalogue Aluminium'!$M$11)),IF(T169="TRENCH",(IF($U169="1C",'Catalogue Aluminium'!$L$12,'Catalogue Aluminium'!$M$12))))))</f>
        <v>0.66</v>
      </c>
      <c r="AK169" s="344" t="str">
        <f>IF(T169="Air",'Catalogue Aluminium'!$N$9,IF(T169="GROUND",'Catalogue Aluminium'!$N$10,IF(T169="DUCT",'Catalogue Aluminium'!$N$11,IF(T169="TRENCH",'Catalogue Aluminium'!$N$12,"NA"))))</f>
        <v>NA</v>
      </c>
      <c r="AL169" s="344" t="str">
        <f>IF(T169="Air",(IF(U169="1C",'Catalogue Aluminium'!$O$9,'Catalogue Aluminium'!$P$9)),IF(T169="DUCT",(IF($U169="1C",'Catalogue Aluminium'!$O$10,'Catalogue Aluminium'!$P$10)),IF(T169="GROUND",(IF($U169="1C",'Catalogue Aluminium'!$O$11,'Catalogue Aluminium'!$P$11)),IF(T169="TRENCH",(IF($U169="1C",'Catalogue Aluminium'!$O$12,'Catalogue Aluminium'!$P$12))))))</f>
        <v>NA</v>
      </c>
      <c r="AM169" s="344" t="str">
        <f>IF(T169="AIR","NA",IF(T169="TRENCH","NA",IF(T169="DUCT",IF(U169="1C",VLOOKUP(V169,'Catalogue Aluminium'!$Q$9:$S$28,2,FALSE),VLOOKUP(V169,'Catalogue Aluminium'!$Q$9:$S$28,3)),IF(T169="GROUND",IF(U169="1C",VLOOKUP(V169,'Catalogue Aluminium'!$Q$9:$S$28,2,FALSE),VLOOKUP(V169,'Catalogue Aluminium'!$Q$9:$S$28,3))))))</f>
        <v>NA</v>
      </c>
      <c r="AN169" s="351">
        <f t="shared" ref="AN169:AN193" si="1451">IF(T169="AIR",AI169*AJ169,IF(T169="TRENCH",AI169*AJ169,IF(T169="DUCT",AJ169*AK169*AL169*AM169,IF(T169="GROUND",AJ169*AK169*AL169*AM169))))</f>
        <v>0.58740000000000003</v>
      </c>
      <c r="AO169" s="350">
        <f t="shared" ref="AO169:AO193" si="1452">Z169*AN169</f>
        <v>22.321200000000001</v>
      </c>
      <c r="AP169" s="349">
        <f t="shared" ref="AP169:AP193" si="1453">CEILING(((N169)/AO169),1)</f>
        <v>1</v>
      </c>
      <c r="AQ169" s="350" t="str">
        <f t="shared" ref="AQ169:AQ193" si="1454">IF(AO169*AP169&gt;=N169,"YES","NO")</f>
        <v>YES</v>
      </c>
      <c r="AR169" s="351">
        <f t="shared" si="1178"/>
        <v>0.80595905056497708</v>
      </c>
      <c r="AS169" s="343" t="str">
        <f t="shared" si="1179"/>
        <v>YES</v>
      </c>
      <c r="AT169" s="351" t="str">
        <f>IF(G169="MOTOR",(SQRT(3)*AH169*O169*((AA169*P169)+(AB169*SIN(ACOS(P169))))*100/(AP169*K169*1000)),"NA")</f>
        <v>NA</v>
      </c>
      <c r="AU169" s="343" t="str">
        <f t="shared" ref="AU169:AU195" si="1455">IF(G169="MOTOR",IF(AT169&lt;=15,"YES","NO"),"NA")</f>
        <v>NA</v>
      </c>
      <c r="AV169" s="354" t="str">
        <f t="shared" ref="AV169:AV195" si="1456">IF(U169="1C",CONCATENATE(AP169,"R x ",Y169,"kV x ",U169," x ",V169," Sqmm/Phase"),CONCATENATE(AP169,"R x ",0.6,"/1kV x ",U169," x ",V169," Sqmm"))</f>
        <v>1R x 0.6/1kV x 4C x 4 Sqmm</v>
      </c>
      <c r="AW169" s="354" t="str">
        <f t="shared" ref="AW169:AW195" si="1457">IF(U169="1C",CONCATENATE(AP169,"R x ",Y169,"kV x ",U169," x ",V169," Sqmm/Phase"),CONCATENATE(AP169,"R x ",0.6,"/1kV x ",U169," x ",V169,(IF(G169="MOTOR","+PE",""))," Sqmm"))</f>
        <v>1R x 0.6/1kV x 4C x 4 Sqmm</v>
      </c>
      <c r="AX169" s="343">
        <f>(IF(K169=400,(IF(U169="1C",(4*AH169*AP169),(AH169*AP169))),IF(K169=230,(AH169*AP169))))</f>
        <v>84</v>
      </c>
      <c r="AY169" s="355"/>
      <c r="AZ169" s="355">
        <f>IF(U169="1C",(3*AP169*2),(AP169*2))</f>
        <v>2</v>
      </c>
      <c r="BA169" s="356" t="str">
        <f t="shared" ref="BA169:BA195" si="1458">CONCATENATE(IF(BE169=1,BE$4,""),IF(BF169=1,BF$4,""),IF(BG169=1,BG$4,""),IF(BH169=1,BH$4,""),IF(BI169=1,BI$4,""),IF(BJ169=1,BJ$4,""),IF(BK169=1,BK$4,""),IF(BL169=1,BL$4,""),IF(BM169=1,BM$4,""),IF(BN169=1,BN$4,""),IF(BO169=1,BO$4,""),IF(BP169=1,BP$4,""),IF(BQ169=1,BQ$4,""),IF(BR169=1,BR$4,""),IF(BS169=1,BS$4,""),IF(BT169=1,BT$4,""),IF(BU169=1,BU$4,""),IF(BV169=1,BV$4,""),IF(BW169=1,BW$4,""),IF(BX169=1,BX$4,""),IF(BY169=1,BY$4,""),IF(BZ169=1,BZ$4,""),IF(CA169=1,CA$4,""),IF(CB169=1,CB$4,""),IF(CC169=1,CC$4,""),IF(CD169=1,CD$4,""),IF(CE169=1,CE$4,""),IF(CF169=1,CF$4,""),IF(CG169=1,CG$4,""),IF(CH169=1,CH$4,""),IF(CI169=1,CI$4,""),IF(CJ169=1,CJ$4,""),IF(CK169=1,CK$4,""),IF(CL169=1,CL$4,""),IF(CM169=1,CM$4,""),IF(CN169=1,CN$4,""),IF(CO169=1,CO$4,""),IF(CP169=1,CP$4,""),IF(CQ169=1,CQ$4,""),IF(CR169=1,CR$4,""),IF(CS169=1,CS$4,""),IF(CT169=1,CT$4,""),IF(CU169=1,CU$4,""),IF(CV169=1,CV$4,""),IF(CW169=1,CW$4,""),IF(CX169=1,CX$4,""),IF(CY169=1,CY$4,""),IF(CZ169=1,CZ$4,""),IF(DA169=1,DA$4,""),IF(DB169=1,DB$4,""),IF(DC169=1,DC$4,""),IF(DD169=1,DD$4,""),IF(DE169=1,DE$4,""),IF(DF169=1,DF$4,""),IF(DG169=1,DG$4,""),IF(DH169=1,DH$4,""),IF(DI169=1,DI$4,""),IF(DJ169=1,DJ$4,""),IF(DK169=1,DK$4,""),IF(DL169=1,DL$4,""),IF(DM169=1,DM$4,""),IF(DN169=1,DN$4,""),IF(DO169=1,DO$4,""),IF(DP169=1,DP$4,""),IF(DQ169=1,DQ$4,""),IF(DR169=1,DR$4,""),IF(DS169=1,DS$4,""),IF(DT169=1,DT$4,""),IF(DU169=1,DU$4,""))</f>
        <v/>
      </c>
      <c r="BB169" s="501">
        <f>VLOOKUP(W169,'Catalogue Aluminium'!$B$9:$H$93,7,FALSE)</f>
        <v>16</v>
      </c>
      <c r="BC169" s="328">
        <f>AP169*BB169</f>
        <v>16</v>
      </c>
      <c r="BE169" s="336"/>
      <c r="BF169" s="336"/>
      <c r="BG169" s="336"/>
      <c r="BH169" s="336"/>
      <c r="BI169" s="336"/>
      <c r="BJ169" s="336"/>
      <c r="BK169" s="336"/>
      <c r="BL169" s="336"/>
      <c r="BM169" s="336"/>
      <c r="BN169" s="336"/>
      <c r="BO169" s="336"/>
      <c r="BP169" s="336"/>
      <c r="BQ169" s="336"/>
      <c r="BR169" s="336"/>
      <c r="BS169" s="336"/>
      <c r="BT169" s="336"/>
      <c r="BU169" s="336"/>
      <c r="BV169" s="336"/>
      <c r="BW169" s="336"/>
      <c r="BX169" s="336"/>
      <c r="BY169" s="336"/>
      <c r="BZ169" s="336"/>
      <c r="CA169" s="336"/>
      <c r="CB169" s="336"/>
      <c r="CC169" s="336"/>
      <c r="CD169" s="336"/>
      <c r="CE169" s="336"/>
      <c r="CF169" s="336"/>
      <c r="CG169" s="336"/>
      <c r="CH169" s="336"/>
      <c r="CI169" s="336"/>
      <c r="CJ169" s="336"/>
      <c r="CK169" s="336"/>
      <c r="CL169" s="336"/>
      <c r="CM169" s="336"/>
      <c r="CN169" s="336"/>
      <c r="CO169" s="336"/>
      <c r="CP169" s="336"/>
      <c r="CQ169" s="336"/>
      <c r="CR169" s="336"/>
      <c r="CS169" s="336"/>
      <c r="CT169" s="336"/>
      <c r="CU169" s="336"/>
      <c r="CV169" s="336"/>
      <c r="CW169" s="336"/>
      <c r="CX169" s="336"/>
      <c r="CY169" s="336"/>
      <c r="CZ169" s="336"/>
      <c r="DA169" s="336"/>
      <c r="DB169" s="336"/>
      <c r="DC169" s="336"/>
      <c r="DD169" s="336"/>
      <c r="DE169" s="336"/>
      <c r="DF169" s="336"/>
      <c r="DG169" s="336"/>
      <c r="DH169" s="336"/>
      <c r="DI169" s="336"/>
      <c r="DJ169" s="336"/>
      <c r="DK169" s="336"/>
      <c r="DL169" s="336"/>
      <c r="DM169" s="336"/>
      <c r="DN169" s="336"/>
      <c r="DO169" s="336"/>
      <c r="DP169" s="336"/>
      <c r="DQ169" s="336"/>
      <c r="DR169" s="336"/>
      <c r="DS169" s="336"/>
      <c r="DT169" s="336"/>
      <c r="DU169" s="336"/>
      <c r="DW169" s="336">
        <f t="shared" si="1286"/>
        <v>0</v>
      </c>
      <c r="DX169" s="336">
        <f t="shared" si="1287"/>
        <v>0</v>
      </c>
      <c r="DY169" s="336">
        <f t="shared" si="1288"/>
        <v>0</v>
      </c>
      <c r="DZ169" s="336">
        <f t="shared" si="1289"/>
        <v>0</v>
      </c>
      <c r="EA169" s="336">
        <f t="shared" si="1290"/>
        <v>0</v>
      </c>
      <c r="EB169" s="336">
        <f t="shared" si="1291"/>
        <v>0</v>
      </c>
      <c r="EC169" s="336">
        <f t="shared" si="1292"/>
        <v>0</v>
      </c>
      <c r="ED169" s="336">
        <f t="shared" si="1293"/>
        <v>0</v>
      </c>
      <c r="EE169" s="336">
        <f t="shared" si="1294"/>
        <v>0</v>
      </c>
      <c r="EF169" s="336">
        <f t="shared" si="1295"/>
        <v>0</v>
      </c>
      <c r="EG169" s="336">
        <f t="shared" si="1296"/>
        <v>0</v>
      </c>
      <c r="EH169" s="336">
        <f t="shared" si="1297"/>
        <v>0</v>
      </c>
      <c r="EI169" s="336">
        <f t="shared" si="1298"/>
        <v>0</v>
      </c>
      <c r="EJ169" s="336">
        <f t="shared" si="1299"/>
        <v>0</v>
      </c>
      <c r="EK169" s="336">
        <f t="shared" si="1300"/>
        <v>0</v>
      </c>
      <c r="EL169" s="336">
        <f t="shared" si="1301"/>
        <v>0</v>
      </c>
      <c r="EM169" s="336">
        <f t="shared" si="1302"/>
        <v>0</v>
      </c>
      <c r="EN169" s="336">
        <f t="shared" si="1303"/>
        <v>0</v>
      </c>
      <c r="EO169" s="336">
        <f t="shared" si="1304"/>
        <v>0</v>
      </c>
      <c r="EP169" s="336">
        <f t="shared" si="1305"/>
        <v>0</v>
      </c>
      <c r="EQ169" s="336">
        <f t="shared" si="1306"/>
        <v>0</v>
      </c>
      <c r="ER169" s="336">
        <f t="shared" si="1307"/>
        <v>0</v>
      </c>
      <c r="ES169" s="336">
        <f t="shared" si="1308"/>
        <v>0</v>
      </c>
      <c r="ET169" s="336">
        <f t="shared" si="1308"/>
        <v>0</v>
      </c>
      <c r="EU169" s="336">
        <f t="shared" si="1309"/>
        <v>0</v>
      </c>
      <c r="EV169" s="336">
        <f t="shared" si="1310"/>
        <v>0</v>
      </c>
      <c r="EW169" s="336">
        <f t="shared" si="1311"/>
        <v>0</v>
      </c>
      <c r="EX169" s="336">
        <f t="shared" si="1312"/>
        <v>0</v>
      </c>
      <c r="EY169" s="336">
        <f t="shared" si="1313"/>
        <v>0</v>
      </c>
      <c r="EZ169" s="336">
        <f t="shared" si="1314"/>
        <v>0</v>
      </c>
      <c r="FA169" s="336">
        <f t="shared" si="1315"/>
        <v>0</v>
      </c>
      <c r="FB169" s="336">
        <f t="shared" si="1316"/>
        <v>0</v>
      </c>
      <c r="FC169" s="336">
        <f t="shared" si="1317"/>
        <v>0</v>
      </c>
      <c r="FD169" s="336">
        <f t="shared" si="1318"/>
        <v>0</v>
      </c>
      <c r="FE169" s="336">
        <f t="shared" si="1319"/>
        <v>0</v>
      </c>
      <c r="FF169" s="336">
        <f t="shared" si="1320"/>
        <v>0</v>
      </c>
      <c r="FG169" s="336">
        <f t="shared" si="1321"/>
        <v>0</v>
      </c>
      <c r="FH169" s="336">
        <f t="shared" si="1322"/>
        <v>0</v>
      </c>
      <c r="FI169" s="336">
        <f t="shared" si="1323"/>
        <v>0</v>
      </c>
      <c r="FJ169" s="336">
        <f t="shared" si="1324"/>
        <v>0</v>
      </c>
      <c r="FK169" s="336">
        <f t="shared" si="1325"/>
        <v>0</v>
      </c>
      <c r="FL169" s="336">
        <f t="shared" si="1326"/>
        <v>0</v>
      </c>
      <c r="FM169" s="336">
        <f t="shared" si="1327"/>
        <v>0</v>
      </c>
      <c r="FN169" s="336">
        <f t="shared" si="1328"/>
        <v>0</v>
      </c>
      <c r="FO169" s="336">
        <f t="shared" si="1329"/>
        <v>0</v>
      </c>
      <c r="FP169" s="336">
        <f t="shared" si="1330"/>
        <v>0</v>
      </c>
      <c r="FQ169" s="336">
        <f t="shared" si="1331"/>
        <v>0</v>
      </c>
      <c r="FR169" s="336">
        <f t="shared" si="1332"/>
        <v>0</v>
      </c>
      <c r="FS169" s="336">
        <f t="shared" si="1333"/>
        <v>0</v>
      </c>
      <c r="FT169" s="336">
        <f t="shared" si="1334"/>
        <v>0</v>
      </c>
      <c r="FU169" s="336">
        <f t="shared" si="1439"/>
        <v>0</v>
      </c>
      <c r="FV169" s="336">
        <f t="shared" si="1440"/>
        <v>0</v>
      </c>
      <c r="FW169" s="336">
        <f t="shared" si="1441"/>
        <v>0</v>
      </c>
      <c r="FX169" s="336">
        <f t="shared" si="1442"/>
        <v>0</v>
      </c>
      <c r="FY169" s="336">
        <f t="shared" si="1417"/>
        <v>0</v>
      </c>
      <c r="FZ169" s="336">
        <f t="shared" si="1418"/>
        <v>0</v>
      </c>
      <c r="GA169" s="336">
        <f t="shared" si="1419"/>
        <v>0</v>
      </c>
      <c r="GB169" s="336">
        <f t="shared" si="1420"/>
        <v>0</v>
      </c>
      <c r="GC169" s="336">
        <f t="shared" si="1421"/>
        <v>0</v>
      </c>
      <c r="GD169" s="336">
        <f t="shared" si="1422"/>
        <v>0</v>
      </c>
      <c r="GE169" s="336">
        <f t="shared" si="1423"/>
        <v>0</v>
      </c>
      <c r="GF169" s="336">
        <f t="shared" si="1424"/>
        <v>0</v>
      </c>
      <c r="GG169" s="336">
        <f t="shared" si="1425"/>
        <v>0</v>
      </c>
      <c r="GH169" s="336">
        <f t="shared" si="1426"/>
        <v>0</v>
      </c>
      <c r="GI169" s="336">
        <f t="shared" si="1427"/>
        <v>0</v>
      </c>
      <c r="GJ169" s="336">
        <f t="shared" si="1428"/>
        <v>0</v>
      </c>
      <c r="GK169" s="336">
        <f t="shared" si="1429"/>
        <v>0</v>
      </c>
      <c r="GL169" s="336">
        <f t="shared" si="1443"/>
        <v>0</v>
      </c>
      <c r="GM169" s="336">
        <f t="shared" si="1430"/>
        <v>0</v>
      </c>
    </row>
    <row r="170" spans="1:195" ht="27.75" customHeight="1">
      <c r="A170" s="337">
        <f>A169+1</f>
        <v>128</v>
      </c>
      <c r="B170" s="453"/>
      <c r="C170" s="372" t="str">
        <f t="shared" ref="C170:C193" si="1459">$D$168</f>
        <v>WORKSHOP HVAC DB</v>
      </c>
      <c r="D170" s="444" t="s">
        <v>1317</v>
      </c>
      <c r="E170" s="569" t="s">
        <v>1178</v>
      </c>
      <c r="F170" s="500"/>
      <c r="G170" s="337" t="s">
        <v>329</v>
      </c>
      <c r="H170" s="583">
        <v>2.2000000000000002</v>
      </c>
      <c r="I170" s="337" t="s">
        <v>330</v>
      </c>
      <c r="J170" s="349" t="s">
        <v>331</v>
      </c>
      <c r="K170" s="349">
        <v>400</v>
      </c>
      <c r="L170" s="343">
        <v>0.95</v>
      </c>
      <c r="M170" s="350">
        <v>0.85</v>
      </c>
      <c r="N170" s="342">
        <f t="shared" si="1444"/>
        <v>3.9325320501362091</v>
      </c>
      <c r="O170" s="342">
        <f t="shared" si="1445"/>
        <v>0</v>
      </c>
      <c r="P170" s="343" t="str">
        <f t="shared" si="1446"/>
        <v>0.00</v>
      </c>
      <c r="Q170" s="350">
        <v>65</v>
      </c>
      <c r="R170" s="350">
        <v>0</v>
      </c>
      <c r="S170" s="350">
        <f t="shared" si="1447"/>
        <v>0</v>
      </c>
      <c r="T170" s="343" t="s">
        <v>131</v>
      </c>
      <c r="U170" s="350" t="s">
        <v>522</v>
      </c>
      <c r="V170" s="343">
        <v>4</v>
      </c>
      <c r="W170" s="343" t="str">
        <f t="shared" si="1448"/>
        <v>4C X 4</v>
      </c>
      <c r="X170" s="343" t="str">
        <f t="shared" si="1449"/>
        <v>4C X 4</v>
      </c>
      <c r="Y170" s="343" t="s">
        <v>358</v>
      </c>
      <c r="Z170" s="344">
        <f>IF(T170="AIR",VLOOKUP(W170,'Catalogue Aluminium'!$B$9:$G$93,2,FALSE),IF(T170="GROUND",VLOOKUP(W170,'Catalogue Aluminium'!$B$9:$G$93,3,FALSE),IF(T170="DUCT",VLOOKUP(W170,'Catalogue Aluminium'!$B$9:$G$93,4,FALSE),IF(T170="TRENCH",VLOOKUP(W170,'Catalogue Aluminium'!$B$9:$G$93,2,FALSE)))))</f>
        <v>38</v>
      </c>
      <c r="AA170" s="345">
        <f>VLOOKUP(W170,'Catalogue Aluminium'!$B$9:$G$93,5,FALSE)</f>
        <v>5.9</v>
      </c>
      <c r="AB170" s="345">
        <f>VLOOKUP(W170,'Catalogue Aluminium'!$B$9:$G$93,6,FALSE)</f>
        <v>9.4700000000000006E-2</v>
      </c>
      <c r="AC170" s="343">
        <f t="shared" ref="AC170:AC181" si="1460">47+14</f>
        <v>61</v>
      </c>
      <c r="AD170" s="343">
        <v>0</v>
      </c>
      <c r="AE170" s="343">
        <v>10</v>
      </c>
      <c r="AF170" s="343">
        <v>5</v>
      </c>
      <c r="AG170" s="343">
        <f t="shared" si="1177"/>
        <v>8</v>
      </c>
      <c r="AH170" s="347">
        <f t="shared" si="1450"/>
        <v>84</v>
      </c>
      <c r="AI170" s="344">
        <f>IF(T170="AIR",'Catalogue Aluminium'!$K$9,IF(T170="TRENCH",'Catalogue Aluminium'!$K$12,"NA"))</f>
        <v>0.89</v>
      </c>
      <c r="AJ170" s="342">
        <f>IF(T170="Air",(IF(U170="1C",'Catalogue Aluminium'!$L$9,'Catalogue Aluminium'!$M$9)),IF(T170="DUCT",(IF($U170="1C",'Catalogue Aluminium'!$L$10,'Catalogue Aluminium'!$M$10)),IF(T170="GROUND",(IF($U170="1C",'Catalogue Aluminium'!$L$11,'Catalogue Aluminium'!$M$11)),IF(T170="TRENCH",(IF($U170="1C",'Catalogue Aluminium'!$L$12,'Catalogue Aluminium'!$M$12))))))</f>
        <v>0.66</v>
      </c>
      <c r="AK170" s="344" t="str">
        <f>IF(T170="Air",'Catalogue Aluminium'!$N$9,IF(T170="GROUND",'Catalogue Aluminium'!$N$10,IF(T170="DUCT",'Catalogue Aluminium'!$N$11,IF(T170="TRENCH",'Catalogue Aluminium'!$N$12,"NA"))))</f>
        <v>NA</v>
      </c>
      <c r="AL170" s="344" t="str">
        <f>IF(T170="Air",(IF(U170="1C",'Catalogue Aluminium'!$O$9,'Catalogue Aluminium'!$P$9)),IF(T170="DUCT",(IF($U170="1C",'Catalogue Aluminium'!$O$10,'Catalogue Aluminium'!$P$10)),IF(T170="GROUND",(IF($U170="1C",'Catalogue Aluminium'!$O$11,'Catalogue Aluminium'!$P$11)),IF(T170="TRENCH",(IF($U170="1C",'Catalogue Aluminium'!$O$12,'Catalogue Aluminium'!$P$12))))))</f>
        <v>NA</v>
      </c>
      <c r="AM170" s="344" t="str">
        <f>IF(T170="AIR","NA",IF(T170="TRENCH","NA",IF(T170="DUCT",IF(U170="1C",VLOOKUP(V170,'Catalogue Aluminium'!$Q$9:$S$28,2,FALSE),VLOOKUP(V170,'Catalogue Aluminium'!$Q$9:$S$28,3)),IF(T170="GROUND",IF(U170="1C",VLOOKUP(V170,'Catalogue Aluminium'!$Q$9:$S$28,2,FALSE),VLOOKUP(V170,'Catalogue Aluminium'!$Q$9:$S$28,3))))))</f>
        <v>NA</v>
      </c>
      <c r="AN170" s="351">
        <f t="shared" si="1451"/>
        <v>0.58740000000000003</v>
      </c>
      <c r="AO170" s="350">
        <f t="shared" si="1452"/>
        <v>22.321200000000001</v>
      </c>
      <c r="AP170" s="349">
        <f t="shared" si="1453"/>
        <v>1</v>
      </c>
      <c r="AQ170" s="350" t="str">
        <f t="shared" si="1454"/>
        <v>YES</v>
      </c>
      <c r="AR170" s="351">
        <f t="shared" si="1178"/>
        <v>0.80595905056497708</v>
      </c>
      <c r="AS170" s="343" t="str">
        <f t="shared" si="1179"/>
        <v>YES</v>
      </c>
      <c r="AT170" s="351" t="str">
        <f>IF(G170="MOTOR",(SQRT(3)*AH170*O170*((AA170*P170)+(AB170*SIN(ACOS(P170))))*100/(AP170*K170*1000)),"NA")</f>
        <v>NA</v>
      </c>
      <c r="AU170" s="343" t="str">
        <f t="shared" si="1455"/>
        <v>NA</v>
      </c>
      <c r="AV170" s="354" t="str">
        <f t="shared" si="1456"/>
        <v>1R x 0.6/1kV x 4C x 4 Sqmm</v>
      </c>
      <c r="AW170" s="354" t="str">
        <f t="shared" si="1457"/>
        <v>1R x 0.6/1kV x 4C x 4 Sqmm</v>
      </c>
      <c r="AX170" s="343">
        <f>(IF(K170=400,(IF(U170="1C",(4*AH170*AP170),(AH170*AP170))),IF(K170=230,(AH170*AP170))))</f>
        <v>84</v>
      </c>
      <c r="AY170" s="355"/>
      <c r="AZ170" s="355">
        <f>IF(U170="1C",(3*AP170*2),(AP170*2))</f>
        <v>2</v>
      </c>
      <c r="BA170" s="356" t="str">
        <f t="shared" si="1458"/>
        <v/>
      </c>
      <c r="BB170" s="501">
        <f>VLOOKUP(W170,'Catalogue Aluminium'!$B$9:$H$93,7,FALSE)</f>
        <v>16</v>
      </c>
      <c r="BC170" s="328">
        <f>AP170*BB170</f>
        <v>16</v>
      </c>
      <c r="BE170" s="336"/>
      <c r="BF170" s="336"/>
      <c r="BG170" s="336"/>
      <c r="BH170" s="336"/>
      <c r="BI170" s="336"/>
      <c r="BJ170" s="336"/>
      <c r="BK170" s="336"/>
      <c r="BL170" s="336"/>
      <c r="BM170" s="336"/>
      <c r="BN170" s="336"/>
      <c r="BO170" s="336"/>
      <c r="BP170" s="336"/>
      <c r="BQ170" s="336"/>
      <c r="BR170" s="336"/>
      <c r="BS170" s="336"/>
      <c r="BT170" s="336"/>
      <c r="BU170" s="336"/>
      <c r="BV170" s="336"/>
      <c r="BW170" s="336"/>
      <c r="BX170" s="336"/>
      <c r="BY170" s="336"/>
      <c r="BZ170" s="336"/>
      <c r="CA170" s="336"/>
      <c r="CB170" s="336"/>
      <c r="CC170" s="336"/>
      <c r="CD170" s="336"/>
      <c r="CE170" s="336"/>
      <c r="CF170" s="336"/>
      <c r="CG170" s="336"/>
      <c r="CH170" s="336"/>
      <c r="CI170" s="336"/>
      <c r="CJ170" s="336"/>
      <c r="CK170" s="336"/>
      <c r="CL170" s="336"/>
      <c r="CM170" s="336"/>
      <c r="CN170" s="336"/>
      <c r="CO170" s="336"/>
      <c r="CP170" s="336"/>
      <c r="CQ170" s="336"/>
      <c r="CR170" s="336"/>
      <c r="CS170" s="336"/>
      <c r="CT170" s="336"/>
      <c r="CU170" s="336"/>
      <c r="CV170" s="336"/>
      <c r="CW170" s="336"/>
      <c r="CX170" s="336"/>
      <c r="CY170" s="336"/>
      <c r="CZ170" s="336"/>
      <c r="DA170" s="336"/>
      <c r="DB170" s="336"/>
      <c r="DC170" s="336"/>
      <c r="DD170" s="336"/>
      <c r="DE170" s="336"/>
      <c r="DF170" s="336"/>
      <c r="DG170" s="336"/>
      <c r="DH170" s="336"/>
      <c r="DI170" s="336"/>
      <c r="DJ170" s="336"/>
      <c r="DK170" s="336"/>
      <c r="DL170" s="336"/>
      <c r="DM170" s="336"/>
      <c r="DN170" s="336"/>
      <c r="DO170" s="336"/>
      <c r="DP170" s="336"/>
      <c r="DQ170" s="336"/>
      <c r="DR170" s="336"/>
      <c r="DS170" s="336"/>
      <c r="DT170" s="336"/>
      <c r="DU170" s="336"/>
      <c r="DW170" s="336">
        <f t="shared" si="1286"/>
        <v>0</v>
      </c>
      <c r="DX170" s="336">
        <f t="shared" si="1287"/>
        <v>0</v>
      </c>
      <c r="DY170" s="336">
        <f t="shared" si="1288"/>
        <v>0</v>
      </c>
      <c r="DZ170" s="336">
        <f t="shared" si="1289"/>
        <v>0</v>
      </c>
      <c r="EA170" s="336">
        <f t="shared" si="1290"/>
        <v>0</v>
      </c>
      <c r="EB170" s="336">
        <f t="shared" si="1291"/>
        <v>0</v>
      </c>
      <c r="EC170" s="336">
        <f t="shared" si="1292"/>
        <v>0</v>
      </c>
      <c r="ED170" s="336">
        <f t="shared" si="1293"/>
        <v>0</v>
      </c>
      <c r="EE170" s="336">
        <f t="shared" si="1294"/>
        <v>0</v>
      </c>
      <c r="EF170" s="336">
        <f t="shared" si="1295"/>
        <v>0</v>
      </c>
      <c r="EG170" s="336">
        <f t="shared" si="1296"/>
        <v>0</v>
      </c>
      <c r="EH170" s="336">
        <f t="shared" si="1297"/>
        <v>0</v>
      </c>
      <c r="EI170" s="336">
        <f t="shared" si="1298"/>
        <v>0</v>
      </c>
      <c r="EJ170" s="336">
        <f t="shared" si="1299"/>
        <v>0</v>
      </c>
      <c r="EK170" s="336">
        <f t="shared" si="1300"/>
        <v>0</v>
      </c>
      <c r="EL170" s="336">
        <f t="shared" si="1301"/>
        <v>0</v>
      </c>
      <c r="EM170" s="336">
        <f t="shared" si="1302"/>
        <v>0</v>
      </c>
      <c r="EN170" s="336">
        <f t="shared" si="1303"/>
        <v>0</v>
      </c>
      <c r="EO170" s="336">
        <f t="shared" si="1304"/>
        <v>0</v>
      </c>
      <c r="EP170" s="336">
        <f t="shared" si="1305"/>
        <v>0</v>
      </c>
      <c r="EQ170" s="336">
        <f t="shared" si="1306"/>
        <v>0</v>
      </c>
      <c r="ER170" s="336">
        <f t="shared" si="1307"/>
        <v>0</v>
      </c>
      <c r="ES170" s="336">
        <f t="shared" si="1308"/>
        <v>0</v>
      </c>
      <c r="ET170" s="336">
        <f t="shared" si="1308"/>
        <v>0</v>
      </c>
      <c r="EU170" s="336">
        <f t="shared" si="1309"/>
        <v>0</v>
      </c>
      <c r="EV170" s="336">
        <f t="shared" si="1310"/>
        <v>0</v>
      </c>
      <c r="EW170" s="336">
        <f t="shared" si="1311"/>
        <v>0</v>
      </c>
      <c r="EX170" s="336">
        <f t="shared" si="1312"/>
        <v>0</v>
      </c>
      <c r="EY170" s="336">
        <f t="shared" si="1313"/>
        <v>0</v>
      </c>
      <c r="EZ170" s="336">
        <f t="shared" si="1314"/>
        <v>0</v>
      </c>
      <c r="FA170" s="336">
        <f t="shared" si="1315"/>
        <v>0</v>
      </c>
      <c r="FB170" s="336">
        <f t="shared" si="1316"/>
        <v>0</v>
      </c>
      <c r="FC170" s="336">
        <f t="shared" si="1317"/>
        <v>0</v>
      </c>
      <c r="FD170" s="336">
        <f t="shared" si="1318"/>
        <v>0</v>
      </c>
      <c r="FE170" s="336">
        <f t="shared" si="1319"/>
        <v>0</v>
      </c>
      <c r="FF170" s="336">
        <f t="shared" si="1320"/>
        <v>0</v>
      </c>
      <c r="FG170" s="336">
        <f t="shared" si="1321"/>
        <v>0</v>
      </c>
      <c r="FH170" s="336">
        <f t="shared" si="1322"/>
        <v>0</v>
      </c>
      <c r="FI170" s="336">
        <f t="shared" si="1323"/>
        <v>0</v>
      </c>
      <c r="FJ170" s="336">
        <f t="shared" si="1324"/>
        <v>0</v>
      </c>
      <c r="FK170" s="336">
        <f t="shared" si="1325"/>
        <v>0</v>
      </c>
      <c r="FL170" s="336">
        <f t="shared" si="1326"/>
        <v>0</v>
      </c>
      <c r="FM170" s="336">
        <f t="shared" si="1327"/>
        <v>0</v>
      </c>
      <c r="FN170" s="336">
        <f t="shared" si="1328"/>
        <v>0</v>
      </c>
      <c r="FO170" s="336">
        <f t="shared" si="1329"/>
        <v>0</v>
      </c>
      <c r="FP170" s="336">
        <f t="shared" si="1330"/>
        <v>0</v>
      </c>
      <c r="FQ170" s="336">
        <f t="shared" si="1331"/>
        <v>0</v>
      </c>
      <c r="FR170" s="336">
        <f t="shared" si="1332"/>
        <v>0</v>
      </c>
      <c r="FS170" s="336">
        <f t="shared" si="1333"/>
        <v>0</v>
      </c>
      <c r="FT170" s="336">
        <f t="shared" si="1334"/>
        <v>0</v>
      </c>
      <c r="FU170" s="336">
        <f t="shared" si="1439"/>
        <v>0</v>
      </c>
      <c r="FV170" s="336">
        <f t="shared" si="1440"/>
        <v>0</v>
      </c>
      <c r="FW170" s="336">
        <f t="shared" si="1441"/>
        <v>0</v>
      </c>
      <c r="FX170" s="336">
        <f t="shared" si="1442"/>
        <v>0</v>
      </c>
      <c r="FY170" s="336">
        <f t="shared" si="1417"/>
        <v>0</v>
      </c>
      <c r="FZ170" s="336">
        <f t="shared" si="1418"/>
        <v>0</v>
      </c>
      <c r="GA170" s="336">
        <f t="shared" si="1419"/>
        <v>0</v>
      </c>
      <c r="GB170" s="336">
        <f t="shared" si="1420"/>
        <v>0</v>
      </c>
      <c r="GC170" s="336">
        <f t="shared" si="1421"/>
        <v>0</v>
      </c>
      <c r="GD170" s="336">
        <f t="shared" si="1422"/>
        <v>0</v>
      </c>
      <c r="GE170" s="336">
        <f t="shared" si="1423"/>
        <v>0</v>
      </c>
      <c r="GF170" s="336">
        <f t="shared" si="1424"/>
        <v>0</v>
      </c>
      <c r="GG170" s="336">
        <f t="shared" si="1425"/>
        <v>0</v>
      </c>
      <c r="GH170" s="336">
        <f t="shared" si="1426"/>
        <v>0</v>
      </c>
      <c r="GI170" s="336">
        <f t="shared" si="1427"/>
        <v>0</v>
      </c>
      <c r="GJ170" s="336">
        <f t="shared" si="1428"/>
        <v>0</v>
      </c>
      <c r="GK170" s="336">
        <f t="shared" si="1429"/>
        <v>0</v>
      </c>
      <c r="GL170" s="336">
        <f t="shared" si="1443"/>
        <v>0</v>
      </c>
      <c r="GM170" s="336">
        <f t="shared" si="1430"/>
        <v>0</v>
      </c>
    </row>
    <row r="171" spans="1:195" ht="27.75" customHeight="1">
      <c r="A171" s="337">
        <f t="shared" ref="A171:A173" si="1461">A170+1</f>
        <v>129</v>
      </c>
      <c r="B171" s="453"/>
      <c r="C171" s="372" t="str">
        <f t="shared" si="1459"/>
        <v>WORKSHOP HVAC DB</v>
      </c>
      <c r="D171" s="444" t="s">
        <v>1318</v>
      </c>
      <c r="E171" s="569" t="s">
        <v>1178</v>
      </c>
      <c r="F171" s="500"/>
      <c r="G171" s="337" t="s">
        <v>329</v>
      </c>
      <c r="H171" s="583">
        <v>2.2000000000000002</v>
      </c>
      <c r="I171" s="337" t="s">
        <v>330</v>
      </c>
      <c r="J171" s="349" t="s">
        <v>331</v>
      </c>
      <c r="K171" s="349">
        <v>400</v>
      </c>
      <c r="L171" s="343">
        <v>0.95</v>
      </c>
      <c r="M171" s="350">
        <v>0.85</v>
      </c>
      <c r="N171" s="342">
        <f t="shared" si="1444"/>
        <v>3.9325320501362091</v>
      </c>
      <c r="O171" s="342">
        <f t="shared" si="1445"/>
        <v>0</v>
      </c>
      <c r="P171" s="343" t="str">
        <f t="shared" si="1446"/>
        <v>0.00</v>
      </c>
      <c r="Q171" s="350">
        <v>65</v>
      </c>
      <c r="R171" s="350">
        <v>0</v>
      </c>
      <c r="S171" s="350">
        <f t="shared" si="1447"/>
        <v>0</v>
      </c>
      <c r="T171" s="343" t="s">
        <v>131</v>
      </c>
      <c r="U171" s="350" t="s">
        <v>522</v>
      </c>
      <c r="V171" s="343">
        <v>4</v>
      </c>
      <c r="W171" s="343" t="str">
        <f t="shared" si="1448"/>
        <v>4C X 4</v>
      </c>
      <c r="X171" s="343" t="str">
        <f t="shared" si="1449"/>
        <v>4C X 4</v>
      </c>
      <c r="Y171" s="343" t="s">
        <v>358</v>
      </c>
      <c r="Z171" s="344">
        <f>IF(T171="AIR",VLOOKUP(W171,'Catalogue Aluminium'!$B$9:$G$93,2,FALSE),IF(T171="GROUND",VLOOKUP(W171,'Catalogue Aluminium'!$B$9:$G$93,3,FALSE),IF(T171="DUCT",VLOOKUP(W171,'Catalogue Aluminium'!$B$9:$G$93,4,FALSE),IF(T171="TRENCH",VLOOKUP(W171,'Catalogue Aluminium'!$B$9:$G$93,2,FALSE)))))</f>
        <v>38</v>
      </c>
      <c r="AA171" s="345">
        <f>VLOOKUP(W171,'Catalogue Aluminium'!$B$9:$G$93,5,FALSE)</f>
        <v>5.9</v>
      </c>
      <c r="AB171" s="345">
        <f>VLOOKUP(W171,'Catalogue Aluminium'!$B$9:$G$93,6,FALSE)</f>
        <v>9.4700000000000006E-2</v>
      </c>
      <c r="AC171" s="343">
        <f t="shared" si="1460"/>
        <v>61</v>
      </c>
      <c r="AD171" s="343">
        <v>0</v>
      </c>
      <c r="AE171" s="343">
        <v>10</v>
      </c>
      <c r="AF171" s="343">
        <v>5</v>
      </c>
      <c r="AG171" s="343">
        <f t="shared" si="1177"/>
        <v>8</v>
      </c>
      <c r="AH171" s="347">
        <f t="shared" si="1450"/>
        <v>84</v>
      </c>
      <c r="AI171" s="344">
        <f>IF(T171="AIR",'Catalogue Aluminium'!$K$9,IF(T171="TRENCH",'Catalogue Aluminium'!$K$12,"NA"))</f>
        <v>0.89</v>
      </c>
      <c r="AJ171" s="342">
        <f>IF(T171="Air",(IF(U171="1C",'Catalogue Aluminium'!$L$9,'Catalogue Aluminium'!$M$9)),IF(T171="DUCT",(IF($U171="1C",'Catalogue Aluminium'!$L$10,'Catalogue Aluminium'!$M$10)),IF(T171="GROUND",(IF($U171="1C",'Catalogue Aluminium'!$L$11,'Catalogue Aluminium'!$M$11)),IF(T171="TRENCH",(IF($U171="1C",'Catalogue Aluminium'!$L$12,'Catalogue Aluminium'!$M$12))))))</f>
        <v>0.66</v>
      </c>
      <c r="AK171" s="344" t="str">
        <f>IF(T171="Air",'Catalogue Aluminium'!$N$9,IF(T171="GROUND",'Catalogue Aluminium'!$N$10,IF(T171="DUCT",'Catalogue Aluminium'!$N$11,IF(T171="TRENCH",'Catalogue Aluminium'!$N$12,"NA"))))</f>
        <v>NA</v>
      </c>
      <c r="AL171" s="344" t="str">
        <f>IF(T171="Air",(IF(U171="1C",'Catalogue Aluminium'!$O$9,'Catalogue Aluminium'!$P$9)),IF(T171="DUCT",(IF($U171="1C",'Catalogue Aluminium'!$O$10,'Catalogue Aluminium'!$P$10)),IF(T171="GROUND",(IF($U171="1C",'Catalogue Aluminium'!$O$11,'Catalogue Aluminium'!$P$11)),IF(T171="TRENCH",(IF($U171="1C",'Catalogue Aluminium'!$O$12,'Catalogue Aluminium'!$P$12))))))</f>
        <v>NA</v>
      </c>
      <c r="AM171" s="344" t="str">
        <f>IF(T171="AIR","NA",IF(T171="TRENCH","NA",IF(T171="DUCT",IF(U171="1C",VLOOKUP(V171,'Catalogue Aluminium'!$Q$9:$S$28,2,FALSE),VLOOKUP(V171,'Catalogue Aluminium'!$Q$9:$S$28,3)),IF(T171="GROUND",IF(U171="1C",VLOOKUP(V171,'Catalogue Aluminium'!$Q$9:$S$28,2,FALSE),VLOOKUP(V171,'Catalogue Aluminium'!$Q$9:$S$28,3))))))</f>
        <v>NA</v>
      </c>
      <c r="AN171" s="351">
        <f t="shared" si="1451"/>
        <v>0.58740000000000003</v>
      </c>
      <c r="AO171" s="350">
        <f t="shared" si="1452"/>
        <v>22.321200000000001</v>
      </c>
      <c r="AP171" s="349">
        <f t="shared" si="1453"/>
        <v>1</v>
      </c>
      <c r="AQ171" s="350" t="str">
        <f t="shared" si="1454"/>
        <v>YES</v>
      </c>
      <c r="AR171" s="351">
        <f t="shared" si="1178"/>
        <v>0.80595905056497708</v>
      </c>
      <c r="AS171" s="343" t="str">
        <f t="shared" si="1179"/>
        <v>YES</v>
      </c>
      <c r="AT171" s="351" t="str">
        <f>IF(G171="MOTOR",(SQRT(3)*AH171*O171*((AA171*P171)+(AB171*SIN(ACOS(P171))))*100/(AP171*K171*1000)),"NA")</f>
        <v>NA</v>
      </c>
      <c r="AU171" s="343" t="str">
        <f t="shared" si="1455"/>
        <v>NA</v>
      </c>
      <c r="AV171" s="354" t="str">
        <f t="shared" si="1456"/>
        <v>1R x 0.6/1kV x 4C x 4 Sqmm</v>
      </c>
      <c r="AW171" s="354" t="str">
        <f t="shared" si="1457"/>
        <v>1R x 0.6/1kV x 4C x 4 Sqmm</v>
      </c>
      <c r="AX171" s="343">
        <f>(IF(K171=400,(IF(U171="1C",(4*AH171*AP171),(AH171*AP171))),IF(K171=230,(AH171*AP171))))</f>
        <v>84</v>
      </c>
      <c r="AY171" s="355"/>
      <c r="AZ171" s="355">
        <f>IF(U171="1C",(3*AP171*2),(AP171*2))</f>
        <v>2</v>
      </c>
      <c r="BA171" s="356" t="str">
        <f t="shared" si="1458"/>
        <v/>
      </c>
      <c r="BB171" s="501">
        <f>VLOOKUP(W171,'Catalogue Aluminium'!$B$9:$H$93,7,FALSE)</f>
        <v>16</v>
      </c>
      <c r="BC171" s="328">
        <f>AP171*BB171</f>
        <v>16</v>
      </c>
      <c r="BE171" s="336"/>
      <c r="BF171" s="336"/>
      <c r="BG171" s="336"/>
      <c r="BH171" s="336"/>
      <c r="BI171" s="336"/>
      <c r="BJ171" s="336"/>
      <c r="BK171" s="336"/>
      <c r="BL171" s="336"/>
      <c r="BM171" s="336"/>
      <c r="BN171" s="336"/>
      <c r="BO171" s="336"/>
      <c r="BP171" s="336"/>
      <c r="BQ171" s="336"/>
      <c r="BR171" s="336"/>
      <c r="BS171" s="336"/>
      <c r="BT171" s="336"/>
      <c r="BU171" s="336"/>
      <c r="BV171" s="336"/>
      <c r="BW171" s="336"/>
      <c r="BX171" s="336"/>
      <c r="BY171" s="336"/>
      <c r="BZ171" s="336"/>
      <c r="CA171" s="336"/>
      <c r="CB171" s="336"/>
      <c r="CC171" s="336"/>
      <c r="CD171" s="336"/>
      <c r="CE171" s="336"/>
      <c r="CF171" s="336"/>
      <c r="CG171" s="336"/>
      <c r="CH171" s="336"/>
      <c r="CI171" s="336"/>
      <c r="CJ171" s="336"/>
      <c r="CK171" s="336"/>
      <c r="CL171" s="336"/>
      <c r="CM171" s="336"/>
      <c r="CN171" s="336"/>
      <c r="CO171" s="336"/>
      <c r="CP171" s="336"/>
      <c r="CQ171" s="336"/>
      <c r="CR171" s="336"/>
      <c r="CS171" s="336"/>
      <c r="CT171" s="336"/>
      <c r="CU171" s="336"/>
      <c r="CV171" s="336"/>
      <c r="CW171" s="336"/>
      <c r="CX171" s="336"/>
      <c r="CY171" s="336"/>
      <c r="CZ171" s="336"/>
      <c r="DA171" s="336"/>
      <c r="DB171" s="336"/>
      <c r="DC171" s="336"/>
      <c r="DD171" s="336"/>
      <c r="DE171" s="336"/>
      <c r="DF171" s="336"/>
      <c r="DG171" s="336"/>
      <c r="DH171" s="336"/>
      <c r="DI171" s="336"/>
      <c r="DJ171" s="336"/>
      <c r="DK171" s="336"/>
      <c r="DL171" s="336"/>
      <c r="DM171" s="336"/>
      <c r="DN171" s="336"/>
      <c r="DO171" s="336"/>
      <c r="DP171" s="336"/>
      <c r="DQ171" s="336"/>
      <c r="DR171" s="336"/>
      <c r="DS171" s="336"/>
      <c r="DT171" s="336"/>
      <c r="DU171" s="336"/>
      <c r="DW171" s="336">
        <f t="shared" si="1286"/>
        <v>0</v>
      </c>
      <c r="DX171" s="336">
        <f t="shared" si="1287"/>
        <v>0</v>
      </c>
      <c r="DY171" s="336">
        <f t="shared" si="1288"/>
        <v>0</v>
      </c>
      <c r="DZ171" s="336">
        <f t="shared" si="1289"/>
        <v>0</v>
      </c>
      <c r="EA171" s="336">
        <f t="shared" si="1290"/>
        <v>0</v>
      </c>
      <c r="EB171" s="336">
        <f t="shared" si="1291"/>
        <v>0</v>
      </c>
      <c r="EC171" s="336">
        <f t="shared" si="1292"/>
        <v>0</v>
      </c>
      <c r="ED171" s="336">
        <f t="shared" si="1293"/>
        <v>0</v>
      </c>
      <c r="EE171" s="336">
        <f t="shared" si="1294"/>
        <v>0</v>
      </c>
      <c r="EF171" s="336">
        <f t="shared" si="1295"/>
        <v>0</v>
      </c>
      <c r="EG171" s="336">
        <f t="shared" si="1296"/>
        <v>0</v>
      </c>
      <c r="EH171" s="336">
        <f t="shared" si="1297"/>
        <v>0</v>
      </c>
      <c r="EI171" s="336">
        <f t="shared" si="1298"/>
        <v>0</v>
      </c>
      <c r="EJ171" s="336">
        <f t="shared" si="1299"/>
        <v>0</v>
      </c>
      <c r="EK171" s="336">
        <f t="shared" si="1300"/>
        <v>0</v>
      </c>
      <c r="EL171" s="336">
        <f t="shared" si="1301"/>
        <v>0</v>
      </c>
      <c r="EM171" s="336">
        <f t="shared" si="1302"/>
        <v>0</v>
      </c>
      <c r="EN171" s="336">
        <f t="shared" si="1303"/>
        <v>0</v>
      </c>
      <c r="EO171" s="336">
        <f t="shared" si="1304"/>
        <v>0</v>
      </c>
      <c r="EP171" s="336">
        <f t="shared" si="1305"/>
        <v>0</v>
      </c>
      <c r="EQ171" s="336">
        <f t="shared" si="1306"/>
        <v>0</v>
      </c>
      <c r="ER171" s="336">
        <f t="shared" si="1307"/>
        <v>0</v>
      </c>
      <c r="ES171" s="336">
        <f t="shared" si="1308"/>
        <v>0</v>
      </c>
      <c r="ET171" s="336">
        <f t="shared" si="1308"/>
        <v>0</v>
      </c>
      <c r="EU171" s="336">
        <f t="shared" si="1309"/>
        <v>0</v>
      </c>
      <c r="EV171" s="336">
        <f t="shared" si="1310"/>
        <v>0</v>
      </c>
      <c r="EW171" s="336">
        <f t="shared" si="1311"/>
        <v>0</v>
      </c>
      <c r="EX171" s="336">
        <f t="shared" si="1312"/>
        <v>0</v>
      </c>
      <c r="EY171" s="336">
        <f t="shared" si="1313"/>
        <v>0</v>
      </c>
      <c r="EZ171" s="336">
        <f t="shared" si="1314"/>
        <v>0</v>
      </c>
      <c r="FA171" s="336">
        <f t="shared" si="1315"/>
        <v>0</v>
      </c>
      <c r="FB171" s="336">
        <f t="shared" si="1316"/>
        <v>0</v>
      </c>
      <c r="FC171" s="336">
        <f t="shared" si="1317"/>
        <v>0</v>
      </c>
      <c r="FD171" s="336">
        <f t="shared" si="1318"/>
        <v>0</v>
      </c>
      <c r="FE171" s="336">
        <f t="shared" si="1319"/>
        <v>0</v>
      </c>
      <c r="FF171" s="336">
        <f t="shared" si="1320"/>
        <v>0</v>
      </c>
      <c r="FG171" s="336">
        <f t="shared" si="1321"/>
        <v>0</v>
      </c>
      <c r="FH171" s="336">
        <f t="shared" si="1322"/>
        <v>0</v>
      </c>
      <c r="FI171" s="336">
        <f t="shared" si="1323"/>
        <v>0</v>
      </c>
      <c r="FJ171" s="336">
        <f t="shared" si="1324"/>
        <v>0</v>
      </c>
      <c r="FK171" s="336">
        <f t="shared" si="1325"/>
        <v>0</v>
      </c>
      <c r="FL171" s="336">
        <f t="shared" si="1326"/>
        <v>0</v>
      </c>
      <c r="FM171" s="336">
        <f t="shared" si="1327"/>
        <v>0</v>
      </c>
      <c r="FN171" s="336">
        <f t="shared" si="1328"/>
        <v>0</v>
      </c>
      <c r="FO171" s="336">
        <f t="shared" si="1329"/>
        <v>0</v>
      </c>
      <c r="FP171" s="336">
        <f t="shared" si="1330"/>
        <v>0</v>
      </c>
      <c r="FQ171" s="336">
        <f t="shared" si="1331"/>
        <v>0</v>
      </c>
      <c r="FR171" s="336">
        <f t="shared" si="1332"/>
        <v>0</v>
      </c>
      <c r="FS171" s="336">
        <f t="shared" si="1333"/>
        <v>0</v>
      </c>
      <c r="FT171" s="336">
        <f t="shared" si="1334"/>
        <v>0</v>
      </c>
      <c r="FU171" s="336">
        <f t="shared" si="1439"/>
        <v>0</v>
      </c>
      <c r="FV171" s="336">
        <f t="shared" si="1440"/>
        <v>0</v>
      </c>
      <c r="FW171" s="336">
        <f t="shared" si="1441"/>
        <v>0</v>
      </c>
      <c r="FX171" s="336">
        <f t="shared" si="1442"/>
        <v>0</v>
      </c>
      <c r="FY171" s="336">
        <f t="shared" si="1417"/>
        <v>0</v>
      </c>
      <c r="FZ171" s="336">
        <f t="shared" si="1418"/>
        <v>0</v>
      </c>
      <c r="GA171" s="336">
        <f t="shared" si="1419"/>
        <v>0</v>
      </c>
      <c r="GB171" s="336">
        <f t="shared" si="1420"/>
        <v>0</v>
      </c>
      <c r="GC171" s="336">
        <f t="shared" si="1421"/>
        <v>0</v>
      </c>
      <c r="GD171" s="336">
        <f t="shared" si="1422"/>
        <v>0</v>
      </c>
      <c r="GE171" s="336">
        <f t="shared" si="1423"/>
        <v>0</v>
      </c>
      <c r="GF171" s="336">
        <f t="shared" si="1424"/>
        <v>0</v>
      </c>
      <c r="GG171" s="336">
        <f t="shared" si="1425"/>
        <v>0</v>
      </c>
      <c r="GH171" s="336">
        <f t="shared" si="1426"/>
        <v>0</v>
      </c>
      <c r="GI171" s="336">
        <f t="shared" si="1427"/>
        <v>0</v>
      </c>
      <c r="GJ171" s="336">
        <f t="shared" si="1428"/>
        <v>0</v>
      </c>
      <c r="GK171" s="336">
        <f t="shared" si="1429"/>
        <v>0</v>
      </c>
      <c r="GL171" s="336">
        <f t="shared" si="1443"/>
        <v>0</v>
      </c>
      <c r="GM171" s="336">
        <f t="shared" si="1430"/>
        <v>0</v>
      </c>
    </row>
    <row r="172" spans="1:195" ht="27.75" customHeight="1">
      <c r="A172" s="337">
        <f t="shared" si="1461"/>
        <v>130</v>
      </c>
      <c r="B172" s="453"/>
      <c r="C172" s="372" t="str">
        <f t="shared" si="1459"/>
        <v>WORKSHOP HVAC DB</v>
      </c>
      <c r="D172" s="444" t="s">
        <v>1319</v>
      </c>
      <c r="E172" s="569" t="s">
        <v>1178</v>
      </c>
      <c r="F172" s="500"/>
      <c r="G172" s="337" t="s">
        <v>329</v>
      </c>
      <c r="H172" s="583">
        <v>2.2000000000000002</v>
      </c>
      <c r="I172" s="337" t="s">
        <v>330</v>
      </c>
      <c r="J172" s="349" t="s">
        <v>331</v>
      </c>
      <c r="K172" s="349">
        <v>400</v>
      </c>
      <c r="L172" s="343">
        <v>0.95</v>
      </c>
      <c r="M172" s="350">
        <v>0.85</v>
      </c>
      <c r="N172" s="342">
        <f t="shared" si="1444"/>
        <v>3.9325320501362091</v>
      </c>
      <c r="O172" s="342">
        <f t="shared" si="1445"/>
        <v>0</v>
      </c>
      <c r="P172" s="343" t="str">
        <f t="shared" si="1446"/>
        <v>0.00</v>
      </c>
      <c r="Q172" s="350">
        <v>65</v>
      </c>
      <c r="R172" s="350">
        <v>0</v>
      </c>
      <c r="S172" s="350">
        <f t="shared" si="1447"/>
        <v>0</v>
      </c>
      <c r="T172" s="343" t="s">
        <v>131</v>
      </c>
      <c r="U172" s="350" t="s">
        <v>522</v>
      </c>
      <c r="V172" s="343">
        <v>4</v>
      </c>
      <c r="W172" s="343" t="str">
        <f t="shared" si="1448"/>
        <v>4C X 4</v>
      </c>
      <c r="X172" s="343" t="str">
        <f t="shared" si="1449"/>
        <v>4C X 4</v>
      </c>
      <c r="Y172" s="343" t="s">
        <v>358</v>
      </c>
      <c r="Z172" s="344">
        <f>IF(T172="AIR",VLOOKUP(W172,'Catalogue Aluminium'!$B$9:$G$93,2,FALSE),IF(T172="GROUND",VLOOKUP(W172,'Catalogue Aluminium'!$B$9:$G$93,3,FALSE),IF(T172="DUCT",VLOOKUP(W172,'Catalogue Aluminium'!$B$9:$G$93,4,FALSE),IF(T172="TRENCH",VLOOKUP(W172,'Catalogue Aluminium'!$B$9:$G$93,2,FALSE)))))</f>
        <v>38</v>
      </c>
      <c r="AA172" s="345">
        <f>VLOOKUP(W172,'Catalogue Aluminium'!$B$9:$G$93,5,FALSE)</f>
        <v>5.9</v>
      </c>
      <c r="AB172" s="345">
        <f>VLOOKUP(W172,'Catalogue Aluminium'!$B$9:$G$93,6,FALSE)</f>
        <v>9.4700000000000006E-2</v>
      </c>
      <c r="AC172" s="343">
        <f t="shared" si="1460"/>
        <v>61</v>
      </c>
      <c r="AD172" s="343">
        <v>0</v>
      </c>
      <c r="AE172" s="343">
        <v>10</v>
      </c>
      <c r="AF172" s="343">
        <v>5</v>
      </c>
      <c r="AG172" s="343">
        <f t="shared" ref="AG172:AG243" si="1462">ROUNDUP((SUM(AC172:AF172)*0.1),0)</f>
        <v>8</v>
      </c>
      <c r="AH172" s="347">
        <f t="shared" si="1450"/>
        <v>84</v>
      </c>
      <c r="AI172" s="344">
        <f>IF(T172="AIR",'Catalogue Aluminium'!$K$9,IF(T172="TRENCH",'Catalogue Aluminium'!$K$12,"NA"))</f>
        <v>0.89</v>
      </c>
      <c r="AJ172" s="342">
        <f>IF(T172="Air",(IF(U172="1C",'Catalogue Aluminium'!$L$9,'Catalogue Aluminium'!$M$9)),IF(T172="DUCT",(IF($U172="1C",'Catalogue Aluminium'!$L$10,'Catalogue Aluminium'!$M$10)),IF(T172="GROUND",(IF($U172="1C",'Catalogue Aluminium'!$L$11,'Catalogue Aluminium'!$M$11)),IF(T172="TRENCH",(IF($U172="1C",'Catalogue Aluminium'!$L$12,'Catalogue Aluminium'!$M$12))))))</f>
        <v>0.66</v>
      </c>
      <c r="AK172" s="344" t="str">
        <f>IF(T172="Air",'Catalogue Aluminium'!$N$9,IF(T172="GROUND",'Catalogue Aluminium'!$N$10,IF(T172="DUCT",'Catalogue Aluminium'!$N$11,IF(T172="TRENCH",'Catalogue Aluminium'!$N$12,"NA"))))</f>
        <v>NA</v>
      </c>
      <c r="AL172" s="344" t="str">
        <f>IF(T172="Air",(IF(U172="1C",'Catalogue Aluminium'!$O$9,'Catalogue Aluminium'!$P$9)),IF(T172="DUCT",(IF($U172="1C",'Catalogue Aluminium'!$O$10,'Catalogue Aluminium'!$P$10)),IF(T172="GROUND",(IF($U172="1C",'Catalogue Aluminium'!$O$11,'Catalogue Aluminium'!$P$11)),IF(T172="TRENCH",(IF($U172="1C",'Catalogue Aluminium'!$O$12,'Catalogue Aluminium'!$P$12))))))</f>
        <v>NA</v>
      </c>
      <c r="AM172" s="344" t="str">
        <f>IF(T172="AIR","NA",IF(T172="TRENCH","NA",IF(T172="DUCT",IF(U172="1C",VLOOKUP(V172,'Catalogue Aluminium'!$Q$9:$S$28,2,FALSE),VLOOKUP(V172,'Catalogue Aluminium'!$Q$9:$S$28,3)),IF(T172="GROUND",IF(U172="1C",VLOOKUP(V172,'Catalogue Aluminium'!$Q$9:$S$28,2,FALSE),VLOOKUP(V172,'Catalogue Aluminium'!$Q$9:$S$28,3))))))</f>
        <v>NA</v>
      </c>
      <c r="AN172" s="351">
        <f t="shared" si="1451"/>
        <v>0.58740000000000003</v>
      </c>
      <c r="AO172" s="350">
        <f t="shared" si="1452"/>
        <v>22.321200000000001</v>
      </c>
      <c r="AP172" s="349">
        <f t="shared" si="1453"/>
        <v>1</v>
      </c>
      <c r="AQ172" s="350" t="str">
        <f t="shared" si="1454"/>
        <v>YES</v>
      </c>
      <c r="AR172" s="351">
        <f t="shared" ref="AR172:AR243" si="1463">SQRT(3)*AH172*N172*((AA172*L172)+(AB172*SIN(ACOS(L172))))*100/(AP172*K172*1000)</f>
        <v>0.80595905056497708</v>
      </c>
      <c r="AS172" s="343" t="str">
        <f t="shared" ref="AS172:AS243" si="1464">IF(G172="INCOMER",(IF(AR172&lt;=2,"YES","NO")),IF(G172="POWER",(IF(AR172&lt;=2.5,"YES","NO")),IF(G172="MOTOR",(IF(AR172&lt;=3,"YES","NO")))))</f>
        <v>YES</v>
      </c>
      <c r="AT172" s="351" t="str">
        <f>IF(G172="MOTOR",(SQRT(3)*AH172*O172*((AA172*P172)+(AB172*SIN(ACOS(P172))))*100/(AP172*K172*1000)),"NA")</f>
        <v>NA</v>
      </c>
      <c r="AU172" s="343" t="str">
        <f t="shared" si="1455"/>
        <v>NA</v>
      </c>
      <c r="AV172" s="354" t="str">
        <f t="shared" si="1456"/>
        <v>1R x 0.6/1kV x 4C x 4 Sqmm</v>
      </c>
      <c r="AW172" s="354" t="str">
        <f t="shared" si="1457"/>
        <v>1R x 0.6/1kV x 4C x 4 Sqmm</v>
      </c>
      <c r="AX172" s="343">
        <f>(IF(K172=400,(IF(U172="1C",(4*AH172*AP172),(AH172*AP172))),IF(K172=230,(AH172*AP172))))</f>
        <v>84</v>
      </c>
      <c r="AY172" s="355"/>
      <c r="AZ172" s="355">
        <f>IF(U172="1C",(3*AP172*2),(AP172*2))</f>
        <v>2</v>
      </c>
      <c r="BA172" s="356" t="str">
        <f t="shared" si="1458"/>
        <v/>
      </c>
      <c r="BB172" s="501">
        <f>VLOOKUP(W172,'Catalogue Aluminium'!$B$9:$H$93,7,FALSE)</f>
        <v>16</v>
      </c>
      <c r="BC172" s="328">
        <f>AP172*BB172</f>
        <v>16</v>
      </c>
      <c r="BE172" s="336"/>
      <c r="BF172" s="336"/>
      <c r="BG172" s="336"/>
      <c r="BH172" s="336"/>
      <c r="BI172" s="336"/>
      <c r="BJ172" s="336"/>
      <c r="BK172" s="336"/>
      <c r="BL172" s="336"/>
      <c r="BM172" s="336"/>
      <c r="BN172" s="336"/>
      <c r="BO172" s="336"/>
      <c r="BP172" s="336"/>
      <c r="BQ172" s="336"/>
      <c r="BR172" s="336"/>
      <c r="BS172" s="336"/>
      <c r="BT172" s="336"/>
      <c r="BU172" s="336"/>
      <c r="BV172" s="336"/>
      <c r="BW172" s="336"/>
      <c r="BX172" s="336"/>
      <c r="BY172" s="336"/>
      <c r="BZ172" s="336"/>
      <c r="CA172" s="336"/>
      <c r="CB172" s="336"/>
      <c r="CC172" s="336"/>
      <c r="CD172" s="336"/>
      <c r="CE172" s="336"/>
      <c r="CF172" s="336"/>
      <c r="CG172" s="336"/>
      <c r="CH172" s="336"/>
      <c r="CI172" s="336"/>
      <c r="CJ172" s="336"/>
      <c r="CK172" s="336"/>
      <c r="CL172" s="336"/>
      <c r="CM172" s="336"/>
      <c r="CN172" s="336"/>
      <c r="CO172" s="336"/>
      <c r="CP172" s="336"/>
      <c r="CQ172" s="336"/>
      <c r="CR172" s="336"/>
      <c r="CS172" s="336"/>
      <c r="CT172" s="336"/>
      <c r="CU172" s="336"/>
      <c r="CV172" s="336"/>
      <c r="CW172" s="336"/>
      <c r="CX172" s="336"/>
      <c r="CY172" s="336"/>
      <c r="CZ172" s="336"/>
      <c r="DA172" s="336"/>
      <c r="DB172" s="336"/>
      <c r="DC172" s="336"/>
      <c r="DD172" s="336"/>
      <c r="DE172" s="336"/>
      <c r="DF172" s="336"/>
      <c r="DG172" s="336"/>
      <c r="DH172" s="336"/>
      <c r="DI172" s="336"/>
      <c r="DJ172" s="336"/>
      <c r="DK172" s="336"/>
      <c r="DL172" s="336"/>
      <c r="DM172" s="336"/>
      <c r="DN172" s="336"/>
      <c r="DO172" s="336"/>
      <c r="DP172" s="336"/>
      <c r="DQ172" s="336"/>
      <c r="DR172" s="336"/>
      <c r="DS172" s="336"/>
      <c r="DT172" s="336"/>
      <c r="DU172" s="336"/>
      <c r="DW172" s="336">
        <f t="shared" si="1286"/>
        <v>0</v>
      </c>
      <c r="DX172" s="336">
        <f t="shared" si="1287"/>
        <v>0</v>
      </c>
      <c r="DY172" s="336">
        <f t="shared" si="1288"/>
        <v>0</v>
      </c>
      <c r="DZ172" s="336">
        <f t="shared" si="1289"/>
        <v>0</v>
      </c>
      <c r="EA172" s="336">
        <f t="shared" si="1290"/>
        <v>0</v>
      </c>
      <c r="EB172" s="336">
        <f t="shared" si="1291"/>
        <v>0</v>
      </c>
      <c r="EC172" s="336">
        <f t="shared" si="1292"/>
        <v>0</v>
      </c>
      <c r="ED172" s="336">
        <f t="shared" si="1293"/>
        <v>0</v>
      </c>
      <c r="EE172" s="336">
        <f t="shared" si="1294"/>
        <v>0</v>
      </c>
      <c r="EF172" s="336">
        <f t="shared" si="1295"/>
        <v>0</v>
      </c>
      <c r="EG172" s="336">
        <f t="shared" si="1296"/>
        <v>0</v>
      </c>
      <c r="EH172" s="336">
        <f t="shared" si="1297"/>
        <v>0</v>
      </c>
      <c r="EI172" s="336">
        <f t="shared" si="1298"/>
        <v>0</v>
      </c>
      <c r="EJ172" s="336">
        <f t="shared" si="1299"/>
        <v>0</v>
      </c>
      <c r="EK172" s="336">
        <f t="shared" si="1300"/>
        <v>0</v>
      </c>
      <c r="EL172" s="336">
        <f t="shared" si="1301"/>
        <v>0</v>
      </c>
      <c r="EM172" s="336">
        <f t="shared" si="1302"/>
        <v>0</v>
      </c>
      <c r="EN172" s="336">
        <f t="shared" si="1303"/>
        <v>0</v>
      </c>
      <c r="EO172" s="336">
        <f t="shared" si="1304"/>
        <v>0</v>
      </c>
      <c r="EP172" s="336">
        <f t="shared" si="1305"/>
        <v>0</v>
      </c>
      <c r="EQ172" s="336">
        <f t="shared" si="1306"/>
        <v>0</v>
      </c>
      <c r="ER172" s="336">
        <f t="shared" si="1307"/>
        <v>0</v>
      </c>
      <c r="ES172" s="336">
        <f t="shared" si="1308"/>
        <v>0</v>
      </c>
      <c r="ET172" s="336">
        <f t="shared" si="1308"/>
        <v>0</v>
      </c>
      <c r="EU172" s="336">
        <f t="shared" si="1309"/>
        <v>0</v>
      </c>
      <c r="EV172" s="336">
        <f t="shared" si="1310"/>
        <v>0</v>
      </c>
      <c r="EW172" s="336">
        <f t="shared" si="1311"/>
        <v>0</v>
      </c>
      <c r="EX172" s="336">
        <f t="shared" si="1312"/>
        <v>0</v>
      </c>
      <c r="EY172" s="336">
        <f t="shared" si="1313"/>
        <v>0</v>
      </c>
      <c r="EZ172" s="336">
        <f t="shared" si="1314"/>
        <v>0</v>
      </c>
      <c r="FA172" s="336">
        <f t="shared" si="1315"/>
        <v>0</v>
      </c>
      <c r="FB172" s="336">
        <f t="shared" si="1316"/>
        <v>0</v>
      </c>
      <c r="FC172" s="336">
        <f t="shared" si="1317"/>
        <v>0</v>
      </c>
      <c r="FD172" s="336">
        <f t="shared" si="1318"/>
        <v>0</v>
      </c>
      <c r="FE172" s="336">
        <f t="shared" si="1319"/>
        <v>0</v>
      </c>
      <c r="FF172" s="336">
        <f t="shared" si="1320"/>
        <v>0</v>
      </c>
      <c r="FG172" s="336">
        <f t="shared" si="1321"/>
        <v>0</v>
      </c>
      <c r="FH172" s="336">
        <f t="shared" si="1322"/>
        <v>0</v>
      </c>
      <c r="FI172" s="336">
        <f t="shared" si="1323"/>
        <v>0</v>
      </c>
      <c r="FJ172" s="336">
        <f t="shared" si="1324"/>
        <v>0</v>
      </c>
      <c r="FK172" s="336">
        <f t="shared" si="1325"/>
        <v>0</v>
      </c>
      <c r="FL172" s="336">
        <f t="shared" si="1326"/>
        <v>0</v>
      </c>
      <c r="FM172" s="336">
        <f t="shared" si="1327"/>
        <v>0</v>
      </c>
      <c r="FN172" s="336">
        <f t="shared" si="1328"/>
        <v>0</v>
      </c>
      <c r="FO172" s="336">
        <f t="shared" si="1329"/>
        <v>0</v>
      </c>
      <c r="FP172" s="336">
        <f t="shared" si="1330"/>
        <v>0</v>
      </c>
      <c r="FQ172" s="336">
        <f t="shared" si="1331"/>
        <v>0</v>
      </c>
      <c r="FR172" s="336">
        <f t="shared" si="1332"/>
        <v>0</v>
      </c>
      <c r="FS172" s="336">
        <f t="shared" si="1333"/>
        <v>0</v>
      </c>
      <c r="FT172" s="336">
        <f t="shared" si="1334"/>
        <v>0</v>
      </c>
      <c r="FU172" s="336">
        <f t="shared" si="1439"/>
        <v>0</v>
      </c>
      <c r="FV172" s="336">
        <f t="shared" si="1440"/>
        <v>0</v>
      </c>
      <c r="FW172" s="336">
        <f t="shared" si="1441"/>
        <v>0</v>
      </c>
      <c r="FX172" s="336">
        <f t="shared" si="1442"/>
        <v>0</v>
      </c>
      <c r="FY172" s="336">
        <f t="shared" si="1417"/>
        <v>0</v>
      </c>
      <c r="FZ172" s="336">
        <f t="shared" si="1418"/>
        <v>0</v>
      </c>
      <c r="GA172" s="336">
        <f t="shared" si="1419"/>
        <v>0</v>
      </c>
      <c r="GB172" s="336">
        <f t="shared" si="1420"/>
        <v>0</v>
      </c>
      <c r="GC172" s="336">
        <f t="shared" si="1421"/>
        <v>0</v>
      </c>
      <c r="GD172" s="336">
        <f t="shared" si="1422"/>
        <v>0</v>
      </c>
      <c r="GE172" s="336">
        <f t="shared" si="1423"/>
        <v>0</v>
      </c>
      <c r="GF172" s="336">
        <f t="shared" si="1424"/>
        <v>0</v>
      </c>
      <c r="GG172" s="336">
        <f t="shared" si="1425"/>
        <v>0</v>
      </c>
      <c r="GH172" s="336">
        <f t="shared" si="1426"/>
        <v>0</v>
      </c>
      <c r="GI172" s="336">
        <f t="shared" si="1427"/>
        <v>0</v>
      </c>
      <c r="GJ172" s="336">
        <f t="shared" si="1428"/>
        <v>0</v>
      </c>
      <c r="GK172" s="336">
        <f t="shared" si="1429"/>
        <v>0</v>
      </c>
      <c r="GL172" s="336">
        <f t="shared" si="1443"/>
        <v>0</v>
      </c>
      <c r="GM172" s="336">
        <f t="shared" si="1430"/>
        <v>0</v>
      </c>
    </row>
    <row r="173" spans="1:195" ht="27.75" customHeight="1">
      <c r="A173" s="337">
        <f t="shared" si="1461"/>
        <v>131</v>
      </c>
      <c r="B173" s="453"/>
      <c r="C173" s="372" t="str">
        <f t="shared" si="1459"/>
        <v>WORKSHOP HVAC DB</v>
      </c>
      <c r="D173" s="444" t="s">
        <v>1320</v>
      </c>
      <c r="E173" s="569" t="s">
        <v>1178</v>
      </c>
      <c r="F173" s="500"/>
      <c r="G173" s="337" t="s">
        <v>329</v>
      </c>
      <c r="H173" s="583">
        <v>2.2000000000000002</v>
      </c>
      <c r="I173" s="337" t="s">
        <v>330</v>
      </c>
      <c r="J173" s="349" t="s">
        <v>331</v>
      </c>
      <c r="K173" s="349">
        <v>400</v>
      </c>
      <c r="L173" s="343">
        <v>0.95</v>
      </c>
      <c r="M173" s="350">
        <v>0.85</v>
      </c>
      <c r="N173" s="342">
        <f t="shared" si="1444"/>
        <v>3.9325320501362091</v>
      </c>
      <c r="O173" s="342">
        <f t="shared" si="1445"/>
        <v>0</v>
      </c>
      <c r="P173" s="343" t="str">
        <f t="shared" si="1446"/>
        <v>0.00</v>
      </c>
      <c r="Q173" s="350">
        <v>65</v>
      </c>
      <c r="R173" s="350">
        <v>0</v>
      </c>
      <c r="S173" s="350">
        <f t="shared" si="1447"/>
        <v>0</v>
      </c>
      <c r="T173" s="343" t="s">
        <v>131</v>
      </c>
      <c r="U173" s="350" t="s">
        <v>522</v>
      </c>
      <c r="V173" s="343">
        <v>4</v>
      </c>
      <c r="W173" s="343" t="str">
        <f t="shared" si="1448"/>
        <v>4C X 4</v>
      </c>
      <c r="X173" s="343" t="str">
        <f t="shared" si="1449"/>
        <v>4C X 4</v>
      </c>
      <c r="Y173" s="343" t="s">
        <v>358</v>
      </c>
      <c r="Z173" s="344">
        <f>IF(T173="AIR",VLOOKUP(W173,'Catalogue Aluminium'!$B$9:$G$93,2,FALSE),IF(T173="GROUND",VLOOKUP(W173,'Catalogue Aluminium'!$B$9:$G$93,3,FALSE),IF(T173="DUCT",VLOOKUP(W173,'Catalogue Aluminium'!$B$9:$G$93,4,FALSE),IF(T173="TRENCH",VLOOKUP(W173,'Catalogue Aluminium'!$B$9:$G$93,2,FALSE)))))</f>
        <v>38</v>
      </c>
      <c r="AA173" s="345">
        <f>VLOOKUP(W173,'Catalogue Aluminium'!$B$9:$G$93,5,FALSE)</f>
        <v>5.9</v>
      </c>
      <c r="AB173" s="345">
        <f>VLOOKUP(W173,'Catalogue Aluminium'!$B$9:$G$93,6,FALSE)</f>
        <v>9.4700000000000006E-2</v>
      </c>
      <c r="AC173" s="343">
        <f t="shared" si="1460"/>
        <v>61</v>
      </c>
      <c r="AD173" s="343">
        <v>0</v>
      </c>
      <c r="AE173" s="343">
        <v>10</v>
      </c>
      <c r="AF173" s="343">
        <v>5</v>
      </c>
      <c r="AG173" s="343">
        <f t="shared" si="1462"/>
        <v>8</v>
      </c>
      <c r="AH173" s="347">
        <f t="shared" si="1450"/>
        <v>84</v>
      </c>
      <c r="AI173" s="344">
        <f>IF(T173="AIR",'Catalogue Aluminium'!$K$9,IF(T173="TRENCH",'Catalogue Aluminium'!$K$12,"NA"))</f>
        <v>0.89</v>
      </c>
      <c r="AJ173" s="342">
        <f>IF(T173="Air",(IF(U173="1C",'Catalogue Aluminium'!$L$9,'Catalogue Aluminium'!$M$9)),IF(T173="DUCT",(IF($U173="1C",'Catalogue Aluminium'!$L$10,'Catalogue Aluminium'!$M$10)),IF(T173="GROUND",(IF($U173="1C",'Catalogue Aluminium'!$L$11,'Catalogue Aluminium'!$M$11)),IF(T173="TRENCH",(IF($U173="1C",'Catalogue Aluminium'!$L$12,'Catalogue Aluminium'!$M$12))))))</f>
        <v>0.66</v>
      </c>
      <c r="AK173" s="344" t="str">
        <f>IF(T173="Air",'Catalogue Aluminium'!$N$9,IF(T173="GROUND",'Catalogue Aluminium'!$N$10,IF(T173="DUCT",'Catalogue Aluminium'!$N$11,IF(T173="TRENCH",'Catalogue Aluminium'!$N$12,"NA"))))</f>
        <v>NA</v>
      </c>
      <c r="AL173" s="344" t="str">
        <f>IF(T173="Air",(IF(U173="1C",'Catalogue Aluminium'!$O$9,'Catalogue Aluminium'!$P$9)),IF(T173="DUCT",(IF($U173="1C",'Catalogue Aluminium'!$O$10,'Catalogue Aluminium'!$P$10)),IF(T173="GROUND",(IF($U173="1C",'Catalogue Aluminium'!$O$11,'Catalogue Aluminium'!$P$11)),IF(T173="TRENCH",(IF($U173="1C",'Catalogue Aluminium'!$O$12,'Catalogue Aluminium'!$P$12))))))</f>
        <v>NA</v>
      </c>
      <c r="AM173" s="344" t="str">
        <f>IF(T173="AIR","NA",IF(T173="TRENCH","NA",IF(T173="DUCT",IF(U173="1C",VLOOKUP(V173,'Catalogue Aluminium'!$Q$9:$S$28,2,FALSE),VLOOKUP(V173,'Catalogue Aluminium'!$Q$9:$S$28,3)),IF(T173="GROUND",IF(U173="1C",VLOOKUP(V173,'Catalogue Aluminium'!$Q$9:$S$28,2,FALSE),VLOOKUP(V173,'Catalogue Aluminium'!$Q$9:$S$28,3))))))</f>
        <v>NA</v>
      </c>
      <c r="AN173" s="351">
        <f t="shared" si="1451"/>
        <v>0.58740000000000003</v>
      </c>
      <c r="AO173" s="350">
        <f t="shared" si="1452"/>
        <v>22.321200000000001</v>
      </c>
      <c r="AP173" s="349">
        <f t="shared" si="1453"/>
        <v>1</v>
      </c>
      <c r="AQ173" s="350" t="str">
        <f t="shared" si="1454"/>
        <v>YES</v>
      </c>
      <c r="AR173" s="351">
        <f t="shared" si="1463"/>
        <v>0.80595905056497708</v>
      </c>
      <c r="AS173" s="343" t="str">
        <f t="shared" si="1464"/>
        <v>YES</v>
      </c>
      <c r="AT173" s="351" t="str">
        <f>IF(G173="MOTOR",(SQRT(3)*AH173*O173*((AA173*P173)+(AB173*SIN(ACOS(P173))))*100/(AP173*K173*1000)),"NA")</f>
        <v>NA</v>
      </c>
      <c r="AU173" s="343" t="str">
        <f t="shared" si="1455"/>
        <v>NA</v>
      </c>
      <c r="AV173" s="354" t="str">
        <f t="shared" si="1456"/>
        <v>1R x 0.6/1kV x 4C x 4 Sqmm</v>
      </c>
      <c r="AW173" s="354" t="str">
        <f t="shared" si="1457"/>
        <v>1R x 0.6/1kV x 4C x 4 Sqmm</v>
      </c>
      <c r="AX173" s="343">
        <f>(IF(K173=400,(IF(U173="1C",(4*AH173*AP173),(AH173*AP173))),IF(K173=230,(AH173*AP173))))</f>
        <v>84</v>
      </c>
      <c r="AY173" s="355"/>
      <c r="AZ173" s="355">
        <f>IF(U173="1C",(3*AP173*2),(AP173*2))</f>
        <v>2</v>
      </c>
      <c r="BA173" s="356" t="str">
        <f t="shared" si="1458"/>
        <v/>
      </c>
      <c r="BB173" s="501">
        <f>VLOOKUP(W173,'Catalogue Aluminium'!$B$9:$H$93,7,FALSE)</f>
        <v>16</v>
      </c>
      <c r="BC173" s="328">
        <f>AP173*BB173</f>
        <v>16</v>
      </c>
      <c r="BE173" s="527"/>
      <c r="BF173" s="527"/>
      <c r="BG173" s="527"/>
      <c r="BH173" s="527"/>
      <c r="BI173" s="527"/>
      <c r="BJ173" s="527"/>
      <c r="BK173" s="527"/>
      <c r="BL173" s="527"/>
      <c r="BM173" s="527"/>
      <c r="BN173" s="527"/>
      <c r="BO173" s="527"/>
      <c r="BP173" s="527"/>
      <c r="BQ173" s="527"/>
      <c r="BR173" s="527"/>
      <c r="BS173" s="527"/>
      <c r="BT173" s="527"/>
      <c r="BU173" s="527"/>
      <c r="BV173" s="527"/>
      <c r="BW173" s="527"/>
      <c r="BX173" s="527"/>
      <c r="BY173" s="527"/>
      <c r="BZ173" s="527"/>
      <c r="CA173" s="527"/>
      <c r="CB173" s="527"/>
      <c r="CC173" s="527"/>
      <c r="CD173" s="527"/>
      <c r="CE173" s="527"/>
      <c r="CF173" s="527"/>
      <c r="CG173" s="527"/>
      <c r="CH173" s="527"/>
      <c r="CI173" s="527"/>
      <c r="CJ173" s="527"/>
      <c r="CK173" s="527"/>
      <c r="CL173" s="527"/>
      <c r="CM173" s="527"/>
      <c r="CN173" s="527"/>
      <c r="CO173" s="527"/>
      <c r="CP173" s="527"/>
      <c r="CQ173" s="527"/>
      <c r="CR173" s="527"/>
      <c r="CS173" s="527"/>
      <c r="CT173" s="527"/>
      <c r="CU173" s="527"/>
      <c r="CV173" s="527"/>
      <c r="CW173" s="527"/>
      <c r="CX173" s="527"/>
      <c r="CY173" s="527"/>
      <c r="CZ173" s="336"/>
      <c r="DA173" s="336"/>
      <c r="DB173" s="336"/>
      <c r="DC173" s="336"/>
      <c r="DD173" s="336"/>
      <c r="DE173" s="336"/>
      <c r="DF173" s="336"/>
      <c r="DG173" s="336"/>
      <c r="DH173" s="336"/>
      <c r="DI173" s="336"/>
      <c r="DJ173" s="336"/>
      <c r="DK173" s="336"/>
      <c r="DL173" s="336"/>
      <c r="DM173" s="336"/>
      <c r="DN173" s="336"/>
      <c r="DO173" s="336"/>
      <c r="DP173" s="336"/>
      <c r="DQ173" s="336"/>
      <c r="DR173" s="336"/>
      <c r="DS173" s="336"/>
      <c r="DT173" s="336"/>
      <c r="DU173" s="336"/>
      <c r="DW173" s="336">
        <f t="shared" si="1286"/>
        <v>0</v>
      </c>
      <c r="DX173" s="336">
        <f t="shared" si="1287"/>
        <v>0</v>
      </c>
      <c r="DY173" s="336">
        <f t="shared" si="1288"/>
        <v>0</v>
      </c>
      <c r="DZ173" s="336">
        <f t="shared" si="1289"/>
        <v>0</v>
      </c>
      <c r="EA173" s="336">
        <f t="shared" si="1290"/>
        <v>0</v>
      </c>
      <c r="EB173" s="336">
        <f t="shared" si="1291"/>
        <v>0</v>
      </c>
      <c r="EC173" s="336">
        <f t="shared" si="1292"/>
        <v>0</v>
      </c>
      <c r="ED173" s="336">
        <f t="shared" si="1293"/>
        <v>0</v>
      </c>
      <c r="EE173" s="336">
        <f t="shared" si="1294"/>
        <v>0</v>
      </c>
      <c r="EF173" s="336">
        <f t="shared" si="1295"/>
        <v>0</v>
      </c>
      <c r="EG173" s="336">
        <f t="shared" si="1296"/>
        <v>0</v>
      </c>
      <c r="EH173" s="336">
        <f t="shared" si="1297"/>
        <v>0</v>
      </c>
      <c r="EI173" s="336">
        <f t="shared" si="1298"/>
        <v>0</v>
      </c>
      <c r="EJ173" s="336">
        <f t="shared" si="1299"/>
        <v>0</v>
      </c>
      <c r="EK173" s="336">
        <f t="shared" si="1300"/>
        <v>0</v>
      </c>
      <c r="EL173" s="336">
        <f t="shared" si="1301"/>
        <v>0</v>
      </c>
      <c r="EM173" s="336">
        <f t="shared" si="1302"/>
        <v>0</v>
      </c>
      <c r="EN173" s="336">
        <f t="shared" si="1303"/>
        <v>0</v>
      </c>
      <c r="EO173" s="336">
        <f t="shared" si="1304"/>
        <v>0</v>
      </c>
      <c r="EP173" s="336">
        <f t="shared" si="1305"/>
        <v>0</v>
      </c>
      <c r="EQ173" s="336">
        <f t="shared" si="1306"/>
        <v>0</v>
      </c>
      <c r="ER173" s="336">
        <f t="shared" si="1307"/>
        <v>0</v>
      </c>
      <c r="ES173" s="336">
        <f t="shared" si="1308"/>
        <v>0</v>
      </c>
      <c r="ET173" s="336">
        <f t="shared" si="1308"/>
        <v>0</v>
      </c>
      <c r="EU173" s="336">
        <f t="shared" si="1309"/>
        <v>0</v>
      </c>
      <c r="EV173" s="336">
        <f t="shared" si="1310"/>
        <v>0</v>
      </c>
      <c r="EW173" s="336">
        <f t="shared" si="1311"/>
        <v>0</v>
      </c>
      <c r="EX173" s="336">
        <f t="shared" si="1312"/>
        <v>0</v>
      </c>
      <c r="EY173" s="336">
        <f t="shared" si="1313"/>
        <v>0</v>
      </c>
      <c r="EZ173" s="336">
        <f t="shared" si="1314"/>
        <v>0</v>
      </c>
      <c r="FA173" s="336">
        <f t="shared" si="1315"/>
        <v>0</v>
      </c>
      <c r="FB173" s="336">
        <f t="shared" si="1316"/>
        <v>0</v>
      </c>
      <c r="FC173" s="336">
        <f t="shared" si="1317"/>
        <v>0</v>
      </c>
      <c r="FD173" s="336">
        <f t="shared" si="1318"/>
        <v>0</v>
      </c>
      <c r="FE173" s="336">
        <f t="shared" si="1319"/>
        <v>0</v>
      </c>
      <c r="FF173" s="336">
        <f t="shared" si="1320"/>
        <v>0</v>
      </c>
      <c r="FG173" s="336">
        <f t="shared" si="1321"/>
        <v>0</v>
      </c>
      <c r="FH173" s="336">
        <f t="shared" si="1322"/>
        <v>0</v>
      </c>
      <c r="FI173" s="336">
        <f t="shared" si="1323"/>
        <v>0</v>
      </c>
      <c r="FJ173" s="336">
        <f t="shared" si="1324"/>
        <v>0</v>
      </c>
      <c r="FK173" s="336">
        <f t="shared" si="1325"/>
        <v>0</v>
      </c>
      <c r="FL173" s="336">
        <f t="shared" si="1326"/>
        <v>0</v>
      </c>
      <c r="FM173" s="336">
        <f t="shared" si="1327"/>
        <v>0</v>
      </c>
      <c r="FN173" s="336">
        <f t="shared" si="1328"/>
        <v>0</v>
      </c>
      <c r="FO173" s="336">
        <f t="shared" si="1329"/>
        <v>0</v>
      </c>
      <c r="FP173" s="336">
        <f t="shared" si="1330"/>
        <v>0</v>
      </c>
      <c r="FQ173" s="336">
        <f t="shared" si="1331"/>
        <v>0</v>
      </c>
      <c r="FR173" s="336">
        <f t="shared" si="1332"/>
        <v>0</v>
      </c>
      <c r="FS173" s="336">
        <f t="shared" si="1333"/>
        <v>0</v>
      </c>
      <c r="FT173" s="336">
        <f t="shared" si="1334"/>
        <v>0</v>
      </c>
      <c r="FU173" s="336">
        <f t="shared" si="1439"/>
        <v>0</v>
      </c>
      <c r="FV173" s="336">
        <f t="shared" si="1440"/>
        <v>0</v>
      </c>
      <c r="FW173" s="336">
        <f t="shared" si="1441"/>
        <v>0</v>
      </c>
      <c r="FX173" s="336">
        <f t="shared" si="1442"/>
        <v>0</v>
      </c>
      <c r="FY173" s="336">
        <f t="shared" si="1417"/>
        <v>0</v>
      </c>
      <c r="FZ173" s="336">
        <f t="shared" si="1418"/>
        <v>0</v>
      </c>
      <c r="GA173" s="336">
        <f t="shared" si="1419"/>
        <v>0</v>
      </c>
      <c r="GB173" s="336">
        <f t="shared" si="1420"/>
        <v>0</v>
      </c>
      <c r="GC173" s="336">
        <f t="shared" si="1421"/>
        <v>0</v>
      </c>
      <c r="GD173" s="336">
        <f t="shared" si="1422"/>
        <v>0</v>
      </c>
      <c r="GE173" s="336">
        <f t="shared" si="1423"/>
        <v>0</v>
      </c>
      <c r="GF173" s="336">
        <f t="shared" si="1424"/>
        <v>0</v>
      </c>
      <c r="GG173" s="336">
        <f t="shared" si="1425"/>
        <v>0</v>
      </c>
      <c r="GH173" s="336">
        <f t="shared" si="1426"/>
        <v>0</v>
      </c>
      <c r="GI173" s="336">
        <f t="shared" si="1427"/>
        <v>0</v>
      </c>
      <c r="GJ173" s="336">
        <f t="shared" si="1428"/>
        <v>0</v>
      </c>
      <c r="GK173" s="336">
        <f t="shared" si="1429"/>
        <v>0</v>
      </c>
      <c r="GL173" s="336">
        <f t="shared" si="1443"/>
        <v>0</v>
      </c>
      <c r="GM173" s="336">
        <f t="shared" si="1430"/>
        <v>0</v>
      </c>
    </row>
    <row r="174" spans="1:195" s="83" customFormat="1" ht="27.75" hidden="1" customHeight="1">
      <c r="A174" s="357" t="s">
        <v>334</v>
      </c>
      <c r="B174" s="421"/>
      <c r="C174" s="395" t="str">
        <f t="shared" si="1459"/>
        <v>WORKSHOP HVAC DB</v>
      </c>
      <c r="D174" s="565" t="s">
        <v>1321</v>
      </c>
      <c r="E174" s="780" t="s">
        <v>1178</v>
      </c>
      <c r="F174" s="493"/>
      <c r="G174" s="357" t="s">
        <v>329</v>
      </c>
      <c r="H174" s="352"/>
      <c r="I174" s="357" t="s">
        <v>330</v>
      </c>
      <c r="J174" s="353" t="s">
        <v>331</v>
      </c>
      <c r="K174" s="353">
        <v>400</v>
      </c>
      <c r="L174" s="360">
        <v>0.95</v>
      </c>
      <c r="M174" s="352">
        <v>0.85</v>
      </c>
      <c r="N174" s="359">
        <f t="shared" si="1444"/>
        <v>0</v>
      </c>
      <c r="O174" s="359">
        <f t="shared" si="1445"/>
        <v>0</v>
      </c>
      <c r="P174" s="360" t="str">
        <f t="shared" si="1446"/>
        <v>0.00</v>
      </c>
      <c r="Q174" s="352">
        <v>65</v>
      </c>
      <c r="R174" s="352">
        <v>0</v>
      </c>
      <c r="S174" s="352">
        <f t="shared" si="1447"/>
        <v>0</v>
      </c>
      <c r="T174" s="360" t="s">
        <v>131</v>
      </c>
      <c r="U174" s="352" t="s">
        <v>522</v>
      </c>
      <c r="V174" s="360">
        <v>4</v>
      </c>
      <c r="W174" s="360" t="str">
        <f t="shared" si="1448"/>
        <v>4C X 4</v>
      </c>
      <c r="X174" s="360" t="str">
        <f t="shared" si="1449"/>
        <v>4C X 4</v>
      </c>
      <c r="Y174" s="360" t="s">
        <v>358</v>
      </c>
      <c r="Z174" s="361">
        <f>IF(T174="AIR",VLOOKUP(W174,'Catalogue Aluminium'!$B$9:$G$93,2,FALSE),IF(T174="GROUND",VLOOKUP(W174,'Catalogue Aluminium'!$B$9:$G$93,3,FALSE),IF(T174="DUCT",VLOOKUP(W174,'Catalogue Aluminium'!$B$9:$G$93,4,FALSE),IF(T174="TRENCH",VLOOKUP(W174,'Catalogue Aluminium'!$B$9:$G$93,2,FALSE)))))</f>
        <v>38</v>
      </c>
      <c r="AA174" s="362">
        <f>VLOOKUP(W174,'Catalogue Aluminium'!$B$9:$G$93,5,FALSE)</f>
        <v>5.9</v>
      </c>
      <c r="AB174" s="362">
        <f>VLOOKUP(W174,'Catalogue Aluminium'!$B$9:$G$93,6,FALSE)</f>
        <v>9.4700000000000006E-2</v>
      </c>
      <c r="AC174" s="360">
        <f t="shared" si="1460"/>
        <v>61</v>
      </c>
      <c r="AD174" s="360">
        <v>0</v>
      </c>
      <c r="AE174" s="360">
        <v>10</v>
      </c>
      <c r="AF174" s="360">
        <v>5</v>
      </c>
      <c r="AG174" s="360">
        <f t="shared" si="1462"/>
        <v>8</v>
      </c>
      <c r="AH174" s="363"/>
      <c r="AI174" s="361">
        <f>IF(T174="AIR",'Catalogue Aluminium'!$K$9,IF(T174="TRENCH",'Catalogue Aluminium'!$K$12,"NA"))</f>
        <v>0.89</v>
      </c>
      <c r="AJ174" s="359">
        <f>IF(T174="Air",(IF(U174="1C",'Catalogue Aluminium'!$L$9,'Catalogue Aluminium'!$M$9)),IF(T174="DUCT",(IF($U174="1C",'Catalogue Aluminium'!$L$10,'Catalogue Aluminium'!$M$10)),IF(T174="GROUND",(IF($U174="1C",'Catalogue Aluminium'!$L$11,'Catalogue Aluminium'!$M$11)),IF(T174="TRENCH",(IF($U174="1C",'Catalogue Aluminium'!$L$12,'Catalogue Aluminium'!$M$12))))))</f>
        <v>0.66</v>
      </c>
      <c r="AK174" s="361" t="str">
        <f>IF(T174="Air",'Catalogue Aluminium'!$N$9,IF(T174="GROUND",'Catalogue Aluminium'!$N$10,IF(T174="DUCT",'Catalogue Aluminium'!$N$11,IF(T174="TRENCH",'Catalogue Aluminium'!$N$12,"NA"))))</f>
        <v>NA</v>
      </c>
      <c r="AL174" s="361" t="str">
        <f>IF(T174="Air",(IF(U174="1C",'Catalogue Aluminium'!$O$9,'Catalogue Aluminium'!$P$9)),IF(T174="DUCT",(IF($U174="1C",'Catalogue Aluminium'!$O$10,'Catalogue Aluminium'!$P$10)),IF(T174="GROUND",(IF($U174="1C",'Catalogue Aluminium'!$O$11,'Catalogue Aluminium'!$P$11)),IF(T174="TRENCH",(IF($U174="1C",'Catalogue Aluminium'!$O$12,'Catalogue Aluminium'!$P$12))))))</f>
        <v>NA</v>
      </c>
      <c r="AM174" s="361" t="str">
        <f>IF(T174="AIR","NA",IF(T174="TRENCH","NA",IF(T174="DUCT",IF(U174="1C",VLOOKUP(V174,'Catalogue Aluminium'!$Q$9:$S$28,2,FALSE),VLOOKUP(V174,'Catalogue Aluminium'!$Q$9:$S$28,3)),IF(T174="GROUND",IF(U174="1C",VLOOKUP(V174,'Catalogue Aluminium'!$Q$9:$S$28,2,FALSE),VLOOKUP(V174,'Catalogue Aluminium'!$Q$9:$S$28,3))))))</f>
        <v>NA</v>
      </c>
      <c r="AN174" s="365">
        <f t="shared" si="1451"/>
        <v>0.58740000000000003</v>
      </c>
      <c r="AO174" s="352">
        <f t="shared" si="1452"/>
        <v>22.321200000000001</v>
      </c>
      <c r="AP174" s="353">
        <f t="shared" si="1453"/>
        <v>0</v>
      </c>
      <c r="AQ174" s="352" t="str">
        <f t="shared" si="1454"/>
        <v>YES</v>
      </c>
      <c r="AR174" s="365" t="e">
        <f t="shared" si="1463"/>
        <v>#DIV/0!</v>
      </c>
      <c r="AS174" s="360" t="e">
        <f t="shared" si="1464"/>
        <v>#DIV/0!</v>
      </c>
      <c r="AT174" s="365" t="str">
        <f>IF(G174="MOTOR",(SQRT(3)*AH174*O174*((AA174*L174)+(AB174*SIN(ACOS(L174))))*100/(AP174*K174*1000)),"NA")</f>
        <v>NA</v>
      </c>
      <c r="AU174" s="360" t="str">
        <f t="shared" si="1455"/>
        <v>NA</v>
      </c>
      <c r="AV174" s="366" t="str">
        <f t="shared" si="1456"/>
        <v>0R x 0.6/1kV x 4C x 4 Sqmm</v>
      </c>
      <c r="AW174" s="366" t="str">
        <f t="shared" si="1457"/>
        <v>0R x 0.6/1kV x 4C x 4 Sqmm</v>
      </c>
      <c r="AX174" s="360"/>
      <c r="AY174" s="367"/>
      <c r="AZ174" s="367"/>
      <c r="BA174" s="356" t="str">
        <f t="shared" si="1458"/>
        <v/>
      </c>
      <c r="BB174" s="498"/>
      <c r="BC174" s="426"/>
      <c r="BE174" s="781"/>
      <c r="BF174" s="781"/>
      <c r="BG174" s="781"/>
      <c r="BH174" s="781"/>
      <c r="BI174" s="781"/>
      <c r="BJ174" s="781"/>
      <c r="BK174" s="781"/>
      <c r="BL174" s="781"/>
      <c r="BM174" s="781"/>
      <c r="BN174" s="781"/>
      <c r="BO174" s="781"/>
      <c r="BP174" s="781"/>
      <c r="BQ174" s="781"/>
      <c r="BR174" s="781"/>
      <c r="BS174" s="781"/>
      <c r="BT174" s="781"/>
      <c r="BU174" s="781"/>
      <c r="BV174" s="781"/>
      <c r="BW174" s="781"/>
      <c r="BX174" s="781"/>
      <c r="BY174" s="781"/>
      <c r="BZ174" s="781"/>
      <c r="CA174" s="781"/>
      <c r="CB174" s="781"/>
      <c r="CC174" s="781"/>
      <c r="CD174" s="781"/>
      <c r="CE174" s="781"/>
      <c r="CF174" s="781"/>
      <c r="CG174" s="781"/>
      <c r="CH174" s="781"/>
      <c r="CI174" s="781"/>
      <c r="CJ174" s="781"/>
      <c r="CK174" s="781"/>
      <c r="CL174" s="781"/>
      <c r="CM174" s="781"/>
      <c r="CN174" s="781"/>
      <c r="CO174" s="781"/>
      <c r="CP174" s="781"/>
      <c r="CQ174" s="781"/>
      <c r="CR174" s="781"/>
      <c r="CS174" s="781"/>
      <c r="CT174" s="781"/>
      <c r="CU174" s="781"/>
      <c r="CV174" s="781"/>
      <c r="CW174" s="781"/>
      <c r="CX174" s="781"/>
      <c r="CY174" s="781"/>
      <c r="CZ174" s="368"/>
      <c r="DA174" s="368"/>
      <c r="DB174" s="368"/>
      <c r="DC174" s="368"/>
      <c r="DD174" s="368"/>
      <c r="DE174" s="368"/>
      <c r="DF174" s="368"/>
      <c r="DG174" s="368"/>
      <c r="DH174" s="368"/>
      <c r="DI174" s="368"/>
      <c r="DJ174" s="368"/>
      <c r="DK174" s="368"/>
      <c r="DL174" s="368"/>
      <c r="DM174" s="368"/>
      <c r="DN174" s="368"/>
      <c r="DO174" s="368"/>
      <c r="DP174" s="368"/>
      <c r="DQ174" s="368"/>
      <c r="DR174" s="368"/>
      <c r="DS174" s="368"/>
      <c r="DT174" s="368"/>
      <c r="DU174" s="368"/>
      <c r="DW174" s="336">
        <f t="shared" si="1286"/>
        <v>0</v>
      </c>
      <c r="DX174" s="336">
        <f t="shared" si="1287"/>
        <v>0</v>
      </c>
      <c r="DY174" s="336">
        <f t="shared" si="1288"/>
        <v>0</v>
      </c>
      <c r="DZ174" s="336">
        <f t="shared" si="1289"/>
        <v>0</v>
      </c>
      <c r="EA174" s="336">
        <f t="shared" si="1290"/>
        <v>0</v>
      </c>
      <c r="EB174" s="336">
        <f t="shared" si="1291"/>
        <v>0</v>
      </c>
      <c r="EC174" s="336">
        <f t="shared" si="1292"/>
        <v>0</v>
      </c>
      <c r="ED174" s="336">
        <f t="shared" si="1293"/>
        <v>0</v>
      </c>
      <c r="EE174" s="336">
        <f t="shared" si="1294"/>
        <v>0</v>
      </c>
      <c r="EF174" s="336">
        <f t="shared" si="1295"/>
        <v>0</v>
      </c>
      <c r="EG174" s="336">
        <f t="shared" si="1296"/>
        <v>0</v>
      </c>
      <c r="EH174" s="336">
        <f t="shared" si="1297"/>
        <v>0</v>
      </c>
      <c r="EI174" s="336">
        <f t="shared" si="1298"/>
        <v>0</v>
      </c>
      <c r="EJ174" s="336">
        <f t="shared" si="1299"/>
        <v>0</v>
      </c>
      <c r="EK174" s="336">
        <f t="shared" si="1300"/>
        <v>0</v>
      </c>
      <c r="EL174" s="336">
        <f t="shared" si="1301"/>
        <v>0</v>
      </c>
      <c r="EM174" s="336">
        <f t="shared" si="1302"/>
        <v>0</v>
      </c>
      <c r="EN174" s="336">
        <f t="shared" si="1303"/>
        <v>0</v>
      </c>
      <c r="EO174" s="336">
        <f t="shared" si="1304"/>
        <v>0</v>
      </c>
      <c r="EP174" s="336">
        <f t="shared" si="1305"/>
        <v>0</v>
      </c>
      <c r="EQ174" s="336">
        <f t="shared" si="1306"/>
        <v>0</v>
      </c>
      <c r="ER174" s="336">
        <f t="shared" si="1307"/>
        <v>0</v>
      </c>
      <c r="ES174" s="336">
        <f t="shared" si="1308"/>
        <v>0</v>
      </c>
      <c r="ET174" s="336">
        <f t="shared" si="1308"/>
        <v>0</v>
      </c>
      <c r="EU174" s="336">
        <f t="shared" si="1309"/>
        <v>0</v>
      </c>
      <c r="EV174" s="336">
        <f t="shared" si="1310"/>
        <v>0</v>
      </c>
      <c r="EW174" s="336">
        <f t="shared" si="1311"/>
        <v>0</v>
      </c>
      <c r="EX174" s="336">
        <f t="shared" si="1312"/>
        <v>0</v>
      </c>
      <c r="EY174" s="336">
        <f t="shared" si="1313"/>
        <v>0</v>
      </c>
      <c r="EZ174" s="336">
        <f t="shared" si="1314"/>
        <v>0</v>
      </c>
      <c r="FA174" s="336">
        <f t="shared" si="1315"/>
        <v>0</v>
      </c>
      <c r="FB174" s="336">
        <f t="shared" si="1316"/>
        <v>0</v>
      </c>
      <c r="FC174" s="336">
        <f t="shared" si="1317"/>
        <v>0</v>
      </c>
      <c r="FD174" s="336">
        <f t="shared" si="1318"/>
        <v>0</v>
      </c>
      <c r="FE174" s="336">
        <f t="shared" si="1319"/>
        <v>0</v>
      </c>
      <c r="FF174" s="336">
        <f t="shared" si="1320"/>
        <v>0</v>
      </c>
      <c r="FG174" s="336">
        <f t="shared" si="1321"/>
        <v>0</v>
      </c>
      <c r="FH174" s="336">
        <f t="shared" si="1322"/>
        <v>0</v>
      </c>
      <c r="FI174" s="336">
        <f t="shared" si="1323"/>
        <v>0</v>
      </c>
      <c r="FJ174" s="336">
        <f t="shared" si="1324"/>
        <v>0</v>
      </c>
      <c r="FK174" s="336">
        <f t="shared" si="1325"/>
        <v>0</v>
      </c>
      <c r="FL174" s="336">
        <f t="shared" si="1326"/>
        <v>0</v>
      </c>
      <c r="FM174" s="336">
        <f t="shared" si="1327"/>
        <v>0</v>
      </c>
      <c r="FN174" s="336">
        <f t="shared" si="1328"/>
        <v>0</v>
      </c>
      <c r="FO174" s="336">
        <f t="shared" si="1329"/>
        <v>0</v>
      </c>
      <c r="FP174" s="336">
        <f t="shared" si="1330"/>
        <v>0</v>
      </c>
      <c r="FQ174" s="336">
        <f t="shared" si="1331"/>
        <v>0</v>
      </c>
      <c r="FR174" s="336">
        <f t="shared" si="1332"/>
        <v>0</v>
      </c>
      <c r="FS174" s="336">
        <f t="shared" si="1333"/>
        <v>0</v>
      </c>
      <c r="FT174" s="336">
        <f t="shared" si="1334"/>
        <v>0</v>
      </c>
      <c r="FU174" s="336"/>
      <c r="FV174" s="336"/>
      <c r="FW174" s="336"/>
      <c r="FX174" s="336"/>
      <c r="FY174" s="336">
        <f t="shared" si="1417"/>
        <v>0</v>
      </c>
      <c r="FZ174" s="336">
        <f t="shared" si="1418"/>
        <v>0</v>
      </c>
      <c r="GA174" s="336">
        <f t="shared" si="1419"/>
        <v>0</v>
      </c>
      <c r="GB174" s="336">
        <f t="shared" si="1420"/>
        <v>0</v>
      </c>
      <c r="GC174" s="336">
        <f t="shared" si="1421"/>
        <v>0</v>
      </c>
      <c r="GD174" s="336">
        <f t="shared" si="1422"/>
        <v>0</v>
      </c>
      <c r="GE174" s="336">
        <f t="shared" si="1423"/>
        <v>0</v>
      </c>
      <c r="GF174" s="336">
        <f t="shared" si="1424"/>
        <v>0</v>
      </c>
      <c r="GG174" s="336">
        <f t="shared" si="1425"/>
        <v>0</v>
      </c>
      <c r="GH174" s="336">
        <f t="shared" si="1426"/>
        <v>0</v>
      </c>
      <c r="GI174" s="336">
        <f t="shared" si="1427"/>
        <v>0</v>
      </c>
      <c r="GJ174" s="336">
        <f t="shared" si="1428"/>
        <v>0</v>
      </c>
      <c r="GK174" s="336">
        <f t="shared" si="1429"/>
        <v>0</v>
      </c>
      <c r="GL174" s="336"/>
      <c r="GM174" s="336">
        <f t="shared" si="1430"/>
        <v>0</v>
      </c>
    </row>
    <row r="175" spans="1:195" ht="27.75" customHeight="1">
      <c r="A175" s="337">
        <f>A173+1</f>
        <v>132</v>
      </c>
      <c r="B175" s="453"/>
      <c r="C175" s="372" t="str">
        <f t="shared" si="1459"/>
        <v>WORKSHOP HVAC DB</v>
      </c>
      <c r="D175" s="444" t="s">
        <v>1322</v>
      </c>
      <c r="E175" s="569" t="s">
        <v>1178</v>
      </c>
      <c r="F175" s="500"/>
      <c r="G175" s="337" t="s">
        <v>329</v>
      </c>
      <c r="H175" s="583">
        <v>0.25</v>
      </c>
      <c r="I175" s="337" t="s">
        <v>330</v>
      </c>
      <c r="J175" s="349" t="s">
        <v>331</v>
      </c>
      <c r="K175" s="349">
        <v>230</v>
      </c>
      <c r="L175" s="343">
        <v>0.95</v>
      </c>
      <c r="M175" s="350">
        <v>0.85</v>
      </c>
      <c r="N175" s="342">
        <f t="shared" si="1444"/>
        <v>0.77718024706249178</v>
      </c>
      <c r="O175" s="342">
        <f t="shared" si="1445"/>
        <v>0</v>
      </c>
      <c r="P175" s="343" t="str">
        <f t="shared" si="1446"/>
        <v>0.00</v>
      </c>
      <c r="Q175" s="350">
        <v>65</v>
      </c>
      <c r="R175" s="350">
        <v>0</v>
      </c>
      <c r="S175" s="350">
        <f t="shared" si="1447"/>
        <v>0</v>
      </c>
      <c r="T175" s="343" t="s">
        <v>131</v>
      </c>
      <c r="U175" s="350" t="s">
        <v>522</v>
      </c>
      <c r="V175" s="343">
        <v>4</v>
      </c>
      <c r="W175" s="343" t="str">
        <f t="shared" si="1448"/>
        <v>4C X 4</v>
      </c>
      <c r="X175" s="343" t="str">
        <f t="shared" si="1449"/>
        <v>4C X 4</v>
      </c>
      <c r="Y175" s="343" t="s">
        <v>358</v>
      </c>
      <c r="Z175" s="344">
        <f>IF(T175="AIR",VLOOKUP(W175,'Catalogue Aluminium'!$B$9:$G$93,2,FALSE),IF(T175="GROUND",VLOOKUP(W175,'Catalogue Aluminium'!$B$9:$G$93,3,FALSE),IF(T175="DUCT",VLOOKUP(W175,'Catalogue Aluminium'!$B$9:$G$93,4,FALSE),IF(T175="TRENCH",VLOOKUP(W175,'Catalogue Aluminium'!$B$9:$G$93,2,FALSE)))))</f>
        <v>38</v>
      </c>
      <c r="AA175" s="345">
        <f>VLOOKUP(W175,'Catalogue Aluminium'!$B$9:$G$93,5,FALSE)</f>
        <v>5.9</v>
      </c>
      <c r="AB175" s="345">
        <f>VLOOKUP(W175,'Catalogue Aluminium'!$B$9:$G$93,6,FALSE)</f>
        <v>9.4700000000000006E-2</v>
      </c>
      <c r="AC175" s="343">
        <f t="shared" si="1460"/>
        <v>61</v>
      </c>
      <c r="AD175" s="343">
        <v>0</v>
      </c>
      <c r="AE175" s="343">
        <v>10</v>
      </c>
      <c r="AF175" s="343">
        <v>5</v>
      </c>
      <c r="AG175" s="343">
        <f t="shared" si="1462"/>
        <v>8</v>
      </c>
      <c r="AH175" s="347">
        <f t="shared" si="1450"/>
        <v>84</v>
      </c>
      <c r="AI175" s="344">
        <f>IF(T175="AIR",'Catalogue Aluminium'!$K$9,IF(T175="TRENCH",'Catalogue Aluminium'!$K$12,"NA"))</f>
        <v>0.89</v>
      </c>
      <c r="AJ175" s="342">
        <f>IF(T175="Air",(IF(U175="1C",'Catalogue Aluminium'!$L$9,'Catalogue Aluminium'!$M$9)),IF(T175="DUCT",(IF($U175="1C",'Catalogue Aluminium'!$L$10,'Catalogue Aluminium'!$M$10)),IF(T175="GROUND",(IF($U175="1C",'Catalogue Aluminium'!$L$11,'Catalogue Aluminium'!$M$11)),IF(T175="TRENCH",(IF($U175="1C",'Catalogue Aluminium'!$L$12,'Catalogue Aluminium'!$M$12))))))</f>
        <v>0.66</v>
      </c>
      <c r="AK175" s="344" t="str">
        <f>IF(T175="Air",'Catalogue Aluminium'!$N$9,IF(T175="GROUND",'Catalogue Aluminium'!$N$10,IF(T175="DUCT",'Catalogue Aluminium'!$N$11,IF(T175="TRENCH",'Catalogue Aluminium'!$N$12,"NA"))))</f>
        <v>NA</v>
      </c>
      <c r="AL175" s="344" t="str">
        <f>IF(T175="Air",(IF(U175="1C",'Catalogue Aluminium'!$O$9,'Catalogue Aluminium'!$P$9)),IF(T175="DUCT",(IF($U175="1C",'Catalogue Aluminium'!$O$10,'Catalogue Aluminium'!$P$10)),IF(T175="GROUND",(IF($U175="1C",'Catalogue Aluminium'!$O$11,'Catalogue Aluminium'!$P$11)),IF(T175="TRENCH",(IF($U175="1C",'Catalogue Aluminium'!$O$12,'Catalogue Aluminium'!$P$12))))))</f>
        <v>NA</v>
      </c>
      <c r="AM175" s="344" t="str">
        <f>IF(T175="AIR","NA",IF(T175="TRENCH","NA",IF(T175="DUCT",IF(U175="1C",VLOOKUP(V175,'Catalogue Aluminium'!$Q$9:$S$28,2,FALSE),VLOOKUP(V175,'Catalogue Aluminium'!$Q$9:$S$28,3)),IF(T175="GROUND",IF(U175="1C",VLOOKUP(V175,'Catalogue Aluminium'!$Q$9:$S$28,2,FALSE),VLOOKUP(V175,'Catalogue Aluminium'!$Q$9:$S$28,3))))))</f>
        <v>NA</v>
      </c>
      <c r="AN175" s="351">
        <f t="shared" si="1451"/>
        <v>0.58740000000000003</v>
      </c>
      <c r="AO175" s="350">
        <f t="shared" si="1452"/>
        <v>22.321200000000001</v>
      </c>
      <c r="AP175" s="349">
        <f t="shared" si="1453"/>
        <v>1</v>
      </c>
      <c r="AQ175" s="350" t="str">
        <f t="shared" si="1454"/>
        <v>YES</v>
      </c>
      <c r="AR175" s="351">
        <f t="shared" si="1463"/>
        <v>0.27700946917510805</v>
      </c>
      <c r="AS175" s="343" t="str">
        <f t="shared" si="1464"/>
        <v>YES</v>
      </c>
      <c r="AT175" s="351" t="str">
        <f>IF(G175="MOTOR",(SQRT(3)*AH175*O175*((AA175*P175)+(AB175*SIN(ACOS(P175))))*100/(AP175*K175*1000)),"NA")</f>
        <v>NA</v>
      </c>
      <c r="AU175" s="343" t="str">
        <f t="shared" si="1455"/>
        <v>NA</v>
      </c>
      <c r="AV175" s="354" t="str">
        <f t="shared" si="1456"/>
        <v>1R x 0.6/1kV x 4C x 4 Sqmm</v>
      </c>
      <c r="AW175" s="354" t="str">
        <f t="shared" si="1457"/>
        <v>1R x 0.6/1kV x 4C x 4 Sqmm</v>
      </c>
      <c r="AX175" s="343">
        <f>(IF(K175=400,(IF(U175="1C",(4*AH175*AP175),(AH175*AP175))),IF(K175=230,(AH175*AP175))))</f>
        <v>84</v>
      </c>
      <c r="AY175" s="355"/>
      <c r="AZ175" s="355">
        <f>IF(U175="1C",(3*AP175*2),(AP175*2))</f>
        <v>2</v>
      </c>
      <c r="BA175" s="356" t="str">
        <f t="shared" si="1458"/>
        <v/>
      </c>
      <c r="BB175" s="501">
        <f>VLOOKUP(W175,'Catalogue Aluminium'!$B$9:$H$93,7,FALSE)</f>
        <v>16</v>
      </c>
      <c r="BC175" s="328">
        <f>AP175*BB175</f>
        <v>16</v>
      </c>
      <c r="BE175" s="336"/>
      <c r="BF175" s="336"/>
      <c r="BG175" s="336"/>
      <c r="BH175" s="336"/>
      <c r="BI175" s="336"/>
      <c r="BJ175" s="336"/>
      <c r="BK175" s="336"/>
      <c r="BL175" s="336"/>
      <c r="BM175" s="336"/>
      <c r="BN175" s="336"/>
      <c r="BO175" s="336"/>
      <c r="BP175" s="336"/>
      <c r="BQ175" s="336"/>
      <c r="BR175" s="336"/>
      <c r="BS175" s="336"/>
      <c r="BT175" s="336"/>
      <c r="BU175" s="336"/>
      <c r="BV175" s="336"/>
      <c r="BW175" s="336"/>
      <c r="BX175" s="336"/>
      <c r="BY175" s="336"/>
      <c r="BZ175" s="336"/>
      <c r="CA175" s="336"/>
      <c r="CB175" s="336"/>
      <c r="CC175" s="336"/>
      <c r="CD175" s="336"/>
      <c r="CE175" s="336"/>
      <c r="CF175" s="336"/>
      <c r="CG175" s="336"/>
      <c r="CH175" s="336"/>
      <c r="CI175" s="336"/>
      <c r="CJ175" s="336"/>
      <c r="CK175" s="336"/>
      <c r="CL175" s="336"/>
      <c r="CM175" s="336"/>
      <c r="CN175" s="336"/>
      <c r="CO175" s="336"/>
      <c r="CP175" s="336"/>
      <c r="CQ175" s="336"/>
      <c r="CR175" s="336"/>
      <c r="CS175" s="336"/>
      <c r="CT175" s="336"/>
      <c r="CU175" s="336"/>
      <c r="CV175" s="336"/>
      <c r="CW175" s="336"/>
      <c r="CX175" s="336"/>
      <c r="CY175" s="336"/>
      <c r="CZ175" s="336"/>
      <c r="DA175" s="336"/>
      <c r="DB175" s="336"/>
      <c r="DC175" s="336"/>
      <c r="DD175" s="336"/>
      <c r="DE175" s="336"/>
      <c r="DF175" s="336"/>
      <c r="DG175" s="336"/>
      <c r="DH175" s="336"/>
      <c r="DI175" s="336"/>
      <c r="DJ175" s="336"/>
      <c r="DK175" s="336"/>
      <c r="DL175" s="336"/>
      <c r="DM175" s="336"/>
      <c r="DN175" s="336"/>
      <c r="DO175" s="336"/>
      <c r="DP175" s="336"/>
      <c r="DQ175" s="336"/>
      <c r="DR175" s="336"/>
      <c r="DS175" s="336"/>
      <c r="DT175" s="336"/>
      <c r="DU175" s="336"/>
      <c r="DW175" s="336">
        <f t="shared" si="1286"/>
        <v>0</v>
      </c>
      <c r="DX175" s="336">
        <f t="shared" si="1287"/>
        <v>0</v>
      </c>
      <c r="DY175" s="336">
        <f t="shared" si="1288"/>
        <v>0</v>
      </c>
      <c r="DZ175" s="336">
        <f t="shared" si="1289"/>
        <v>0</v>
      </c>
      <c r="EA175" s="336">
        <f t="shared" si="1290"/>
        <v>0</v>
      </c>
      <c r="EB175" s="336">
        <f t="shared" si="1291"/>
        <v>0</v>
      </c>
      <c r="EC175" s="336">
        <f t="shared" si="1292"/>
        <v>0</v>
      </c>
      <c r="ED175" s="336">
        <f t="shared" si="1293"/>
        <v>0</v>
      </c>
      <c r="EE175" s="336">
        <f t="shared" si="1294"/>
        <v>0</v>
      </c>
      <c r="EF175" s="336">
        <f t="shared" si="1295"/>
        <v>0</v>
      </c>
      <c r="EG175" s="336">
        <f t="shared" si="1296"/>
        <v>0</v>
      </c>
      <c r="EH175" s="336">
        <f t="shared" si="1297"/>
        <v>0</v>
      </c>
      <c r="EI175" s="336">
        <f t="shared" si="1298"/>
        <v>0</v>
      </c>
      <c r="EJ175" s="336">
        <f t="shared" si="1299"/>
        <v>0</v>
      </c>
      <c r="EK175" s="336">
        <f t="shared" si="1300"/>
        <v>0</v>
      </c>
      <c r="EL175" s="336">
        <f t="shared" si="1301"/>
        <v>0</v>
      </c>
      <c r="EM175" s="336">
        <f t="shared" si="1302"/>
        <v>0</v>
      </c>
      <c r="EN175" s="336">
        <f t="shared" si="1303"/>
        <v>0</v>
      </c>
      <c r="EO175" s="336">
        <f t="shared" si="1304"/>
        <v>0</v>
      </c>
      <c r="EP175" s="336">
        <f t="shared" si="1305"/>
        <v>0</v>
      </c>
      <c r="EQ175" s="336">
        <f t="shared" si="1306"/>
        <v>0</v>
      </c>
      <c r="ER175" s="336">
        <f t="shared" si="1307"/>
        <v>0</v>
      </c>
      <c r="ES175" s="336">
        <f t="shared" si="1308"/>
        <v>0</v>
      </c>
      <c r="ET175" s="336">
        <f t="shared" si="1308"/>
        <v>0</v>
      </c>
      <c r="EU175" s="336">
        <f t="shared" si="1309"/>
        <v>0</v>
      </c>
      <c r="EV175" s="336">
        <f t="shared" si="1310"/>
        <v>0</v>
      </c>
      <c r="EW175" s="336">
        <f t="shared" si="1311"/>
        <v>0</v>
      </c>
      <c r="EX175" s="336">
        <f t="shared" si="1312"/>
        <v>0</v>
      </c>
      <c r="EY175" s="336">
        <f t="shared" si="1313"/>
        <v>0</v>
      </c>
      <c r="EZ175" s="336">
        <f t="shared" si="1314"/>
        <v>0</v>
      </c>
      <c r="FA175" s="336">
        <f t="shared" si="1315"/>
        <v>0</v>
      </c>
      <c r="FB175" s="336">
        <f t="shared" si="1316"/>
        <v>0</v>
      </c>
      <c r="FC175" s="336">
        <f t="shared" si="1317"/>
        <v>0</v>
      </c>
      <c r="FD175" s="336">
        <f t="shared" si="1318"/>
        <v>0</v>
      </c>
      <c r="FE175" s="336">
        <f t="shared" si="1319"/>
        <v>0</v>
      </c>
      <c r="FF175" s="336">
        <f t="shared" si="1320"/>
        <v>0</v>
      </c>
      <c r="FG175" s="336">
        <f t="shared" si="1321"/>
        <v>0</v>
      </c>
      <c r="FH175" s="336">
        <f t="shared" si="1322"/>
        <v>0</v>
      </c>
      <c r="FI175" s="336">
        <f t="shared" si="1323"/>
        <v>0</v>
      </c>
      <c r="FJ175" s="336">
        <f t="shared" si="1324"/>
        <v>0</v>
      </c>
      <c r="FK175" s="336">
        <f t="shared" si="1325"/>
        <v>0</v>
      </c>
      <c r="FL175" s="336">
        <f t="shared" si="1326"/>
        <v>0</v>
      </c>
      <c r="FM175" s="336">
        <f t="shared" si="1327"/>
        <v>0</v>
      </c>
      <c r="FN175" s="336">
        <f t="shared" si="1328"/>
        <v>0</v>
      </c>
      <c r="FO175" s="336">
        <f t="shared" si="1329"/>
        <v>0</v>
      </c>
      <c r="FP175" s="336">
        <f t="shared" si="1330"/>
        <v>0</v>
      </c>
      <c r="FQ175" s="336">
        <f t="shared" si="1331"/>
        <v>0</v>
      </c>
      <c r="FR175" s="336">
        <f t="shared" si="1332"/>
        <v>0</v>
      </c>
      <c r="FS175" s="336">
        <f t="shared" si="1333"/>
        <v>0</v>
      </c>
      <c r="FT175" s="336">
        <f t="shared" si="1334"/>
        <v>0</v>
      </c>
      <c r="FU175" s="336">
        <f t="shared" ref="FU175" si="1465">IF(DC175=1,($BC175*DC175),0)</f>
        <v>0</v>
      </c>
      <c r="FV175" s="336">
        <f t="shared" ref="FV175" si="1466">IF(DD175=1,($BC175*DD175),0)</f>
        <v>0</v>
      </c>
      <c r="FW175" s="336">
        <f t="shared" ref="FW175" si="1467">IF(DE175=1,($BC175*DE175),0)</f>
        <v>0</v>
      </c>
      <c r="FX175" s="336">
        <f t="shared" ref="FX175" si="1468">IF(DF175=1,($BC175*DF175),0)</f>
        <v>0</v>
      </c>
      <c r="FY175" s="336">
        <f t="shared" si="1417"/>
        <v>0</v>
      </c>
      <c r="FZ175" s="336">
        <f t="shared" si="1418"/>
        <v>0</v>
      </c>
      <c r="GA175" s="336">
        <f t="shared" si="1419"/>
        <v>0</v>
      </c>
      <c r="GB175" s="336">
        <f t="shared" si="1420"/>
        <v>0</v>
      </c>
      <c r="GC175" s="336">
        <f t="shared" si="1421"/>
        <v>0</v>
      </c>
      <c r="GD175" s="336">
        <f t="shared" si="1422"/>
        <v>0</v>
      </c>
      <c r="GE175" s="336">
        <f t="shared" si="1423"/>
        <v>0</v>
      </c>
      <c r="GF175" s="336">
        <f t="shared" si="1424"/>
        <v>0</v>
      </c>
      <c r="GG175" s="336">
        <f t="shared" si="1425"/>
        <v>0</v>
      </c>
      <c r="GH175" s="336">
        <f t="shared" si="1426"/>
        <v>0</v>
      </c>
      <c r="GI175" s="336">
        <f t="shared" si="1427"/>
        <v>0</v>
      </c>
      <c r="GJ175" s="336">
        <f t="shared" si="1428"/>
        <v>0</v>
      </c>
      <c r="GK175" s="336">
        <f t="shared" si="1429"/>
        <v>0</v>
      </c>
      <c r="GL175" s="336">
        <f t="shared" ref="GL175" si="1469">IF(DT175=1,($BC175*DT175),0)</f>
        <v>0</v>
      </c>
      <c r="GM175" s="336">
        <f t="shared" si="1430"/>
        <v>0</v>
      </c>
    </row>
    <row r="176" spans="1:195" s="83" customFormat="1" ht="27.75" hidden="1" customHeight="1">
      <c r="A176" s="357" t="s">
        <v>334</v>
      </c>
      <c r="B176" s="421"/>
      <c r="C176" s="395" t="str">
        <f t="shared" si="1459"/>
        <v>WORKSHOP HVAC DB</v>
      </c>
      <c r="D176" s="565" t="s">
        <v>1323</v>
      </c>
      <c r="E176" s="780" t="s">
        <v>1178</v>
      </c>
      <c r="F176" s="493"/>
      <c r="G176" s="357" t="s">
        <v>329</v>
      </c>
      <c r="H176" s="352"/>
      <c r="I176" s="357" t="s">
        <v>330</v>
      </c>
      <c r="J176" s="353" t="s">
        <v>357</v>
      </c>
      <c r="K176" s="353">
        <v>230</v>
      </c>
      <c r="L176" s="360">
        <v>0.95</v>
      </c>
      <c r="M176" s="352">
        <v>0.85</v>
      </c>
      <c r="N176" s="359">
        <f t="shared" si="1444"/>
        <v>0</v>
      </c>
      <c r="O176" s="359">
        <f t="shared" si="1445"/>
        <v>0</v>
      </c>
      <c r="P176" s="360" t="str">
        <f t="shared" si="1446"/>
        <v>0.00</v>
      </c>
      <c r="Q176" s="352">
        <v>65</v>
      </c>
      <c r="R176" s="352">
        <v>0</v>
      </c>
      <c r="S176" s="352">
        <f t="shared" si="1447"/>
        <v>0</v>
      </c>
      <c r="T176" s="360" t="s">
        <v>131</v>
      </c>
      <c r="U176" s="352" t="s">
        <v>333</v>
      </c>
      <c r="V176" s="360">
        <v>4</v>
      </c>
      <c r="W176" s="360" t="str">
        <f t="shared" si="1448"/>
        <v>3C X 4</v>
      </c>
      <c r="X176" s="360" t="str">
        <f t="shared" si="1449"/>
        <v>3C X 4</v>
      </c>
      <c r="Y176" s="360" t="s">
        <v>358</v>
      </c>
      <c r="Z176" s="361">
        <f>IF(T176="AIR",VLOOKUP(W176,'Catalogue Aluminium'!$B$9:$G$93,2,FALSE),IF(T176="GROUND",VLOOKUP(W176,'Catalogue Aluminium'!$B$9:$G$93,3,FALSE),IF(T176="DUCT",VLOOKUP(W176,'Catalogue Aluminium'!$B$9:$G$93,4,FALSE),IF(T176="TRENCH",VLOOKUP(W176,'Catalogue Aluminium'!$B$9:$G$93,2,FALSE)))))</f>
        <v>38</v>
      </c>
      <c r="AA176" s="362">
        <f>VLOOKUP(W176,'Catalogue Aluminium'!$B$9:$G$93,5,FALSE)</f>
        <v>5.9</v>
      </c>
      <c r="AB176" s="362">
        <f>VLOOKUP(W176,'Catalogue Aluminium'!$B$9:$G$93,6,FALSE)</f>
        <v>9.4700000000000006E-2</v>
      </c>
      <c r="AC176" s="360">
        <f t="shared" si="1460"/>
        <v>61</v>
      </c>
      <c r="AD176" s="360">
        <v>0</v>
      </c>
      <c r="AE176" s="360">
        <v>10</v>
      </c>
      <c r="AF176" s="360">
        <v>5</v>
      </c>
      <c r="AG176" s="360">
        <f t="shared" si="1462"/>
        <v>8</v>
      </c>
      <c r="AH176" s="363"/>
      <c r="AI176" s="361">
        <f>IF(T176="AIR",'Catalogue Aluminium'!$K$9,IF(T176="TRENCH",'Catalogue Aluminium'!$K$12,"NA"))</f>
        <v>0.89</v>
      </c>
      <c r="AJ176" s="359">
        <f>IF(T176="Air",(IF(U176="1C",'Catalogue Aluminium'!$L$9,'Catalogue Aluminium'!$M$9)),IF(T176="DUCT",(IF($U176="1C",'Catalogue Aluminium'!$L$10,'Catalogue Aluminium'!$M$10)),IF(T176="GROUND",(IF($U176="1C",'Catalogue Aluminium'!$L$11,'Catalogue Aluminium'!$M$11)),IF(T176="TRENCH",(IF($U176="1C",'Catalogue Aluminium'!$L$12,'Catalogue Aluminium'!$M$12))))))</f>
        <v>0.66</v>
      </c>
      <c r="AK176" s="361" t="str">
        <f>IF(T176="Air",'Catalogue Aluminium'!$N$9,IF(T176="GROUND",'Catalogue Aluminium'!$N$10,IF(T176="DUCT",'Catalogue Aluminium'!$N$11,IF(T176="TRENCH",'Catalogue Aluminium'!$N$12,"NA"))))</f>
        <v>NA</v>
      </c>
      <c r="AL176" s="361" t="str">
        <f>IF(T176="Air",(IF(U176="1C",'Catalogue Aluminium'!$O$9,'Catalogue Aluminium'!$P$9)),IF(T176="DUCT",(IF($U176="1C",'Catalogue Aluminium'!$O$10,'Catalogue Aluminium'!$P$10)),IF(T176="GROUND",(IF($U176="1C",'Catalogue Aluminium'!$O$11,'Catalogue Aluminium'!$P$11)),IF(T176="TRENCH",(IF($U176="1C",'Catalogue Aluminium'!$O$12,'Catalogue Aluminium'!$P$12))))))</f>
        <v>NA</v>
      </c>
      <c r="AM176" s="361" t="str">
        <f>IF(T176="AIR","NA",IF(T176="TRENCH","NA",IF(T176="DUCT",IF(U176="1C",VLOOKUP(V176,'Catalogue Aluminium'!$Q$9:$S$28,2,FALSE),VLOOKUP(V176,'Catalogue Aluminium'!$Q$9:$S$28,3)),IF(T176="GROUND",IF(U176="1C",VLOOKUP(V176,'Catalogue Aluminium'!$Q$9:$S$28,2,FALSE),VLOOKUP(V176,'Catalogue Aluminium'!$Q$9:$S$28,3))))))</f>
        <v>NA</v>
      </c>
      <c r="AN176" s="365">
        <f t="shared" si="1451"/>
        <v>0.58740000000000003</v>
      </c>
      <c r="AO176" s="352">
        <f t="shared" si="1452"/>
        <v>22.321200000000001</v>
      </c>
      <c r="AP176" s="353">
        <f t="shared" si="1453"/>
        <v>0</v>
      </c>
      <c r="AQ176" s="352" t="str">
        <f t="shared" si="1454"/>
        <v>YES</v>
      </c>
      <c r="AR176" s="365" t="e">
        <f t="shared" si="1463"/>
        <v>#DIV/0!</v>
      </c>
      <c r="AS176" s="360" t="e">
        <f t="shared" si="1464"/>
        <v>#DIV/0!</v>
      </c>
      <c r="AT176" s="365" t="str">
        <f>IF(G176="MOTOR",(SQRT(3)*AH176*O176*((AA176*L176)+(AB176*SIN(ACOS(L176))))*100/(AP176*K176*1000)),"NA")</f>
        <v>NA</v>
      </c>
      <c r="AU176" s="360" t="str">
        <f t="shared" si="1455"/>
        <v>NA</v>
      </c>
      <c r="AV176" s="366" t="str">
        <f t="shared" si="1456"/>
        <v>0R x 0.6/1kV x 3C x 4 Sqmm</v>
      </c>
      <c r="AW176" s="366" t="str">
        <f t="shared" si="1457"/>
        <v>0R x 0.6/1kV x 3C x 4 Sqmm</v>
      </c>
      <c r="AX176" s="360"/>
      <c r="AY176" s="367"/>
      <c r="AZ176" s="367"/>
      <c r="BA176" s="356" t="str">
        <f t="shared" si="1458"/>
        <v/>
      </c>
      <c r="BB176" s="498"/>
      <c r="BC176" s="426"/>
      <c r="BE176" s="782"/>
      <c r="BF176" s="782"/>
      <c r="BG176" s="782"/>
      <c r="BH176" s="782"/>
      <c r="BI176" s="782"/>
      <c r="BJ176" s="782"/>
      <c r="BK176" s="782"/>
      <c r="BL176" s="782"/>
      <c r="BM176" s="782"/>
      <c r="BN176" s="782"/>
      <c r="BO176" s="782"/>
      <c r="BP176" s="782"/>
      <c r="BQ176" s="782"/>
      <c r="BR176" s="782"/>
      <c r="BS176" s="782"/>
      <c r="BT176" s="782"/>
      <c r="BU176" s="782"/>
      <c r="BV176" s="782"/>
      <c r="BW176" s="782"/>
      <c r="BX176" s="782"/>
      <c r="BY176" s="782"/>
      <c r="BZ176" s="782"/>
      <c r="CA176" s="782"/>
      <c r="CB176" s="782"/>
      <c r="CC176" s="782"/>
      <c r="CD176" s="782"/>
      <c r="CE176" s="782"/>
      <c r="CF176" s="782"/>
      <c r="CG176" s="782"/>
      <c r="CH176" s="782"/>
      <c r="CI176" s="782"/>
      <c r="CJ176" s="782"/>
      <c r="CK176" s="782"/>
      <c r="CL176" s="782"/>
      <c r="CM176" s="782"/>
      <c r="CN176" s="782"/>
      <c r="CO176" s="782"/>
      <c r="CP176" s="782"/>
      <c r="CQ176" s="782"/>
      <c r="CR176" s="782"/>
      <c r="CS176" s="782"/>
      <c r="CT176" s="782"/>
      <c r="CU176" s="782"/>
      <c r="CV176" s="782"/>
      <c r="CW176" s="782"/>
      <c r="CX176" s="782"/>
      <c r="CY176" s="782"/>
      <c r="CZ176" s="368"/>
      <c r="DA176" s="368"/>
      <c r="DB176" s="368"/>
      <c r="DC176" s="368"/>
      <c r="DD176" s="368"/>
      <c r="DE176" s="368"/>
      <c r="DF176" s="368"/>
      <c r="DG176" s="368"/>
      <c r="DH176" s="368"/>
      <c r="DI176" s="368"/>
      <c r="DJ176" s="368"/>
      <c r="DK176" s="368"/>
      <c r="DL176" s="368"/>
      <c r="DM176" s="368"/>
      <c r="DN176" s="368"/>
      <c r="DO176" s="368"/>
      <c r="DP176" s="368"/>
      <c r="DQ176" s="368"/>
      <c r="DR176" s="368"/>
      <c r="DS176" s="368"/>
      <c r="DT176" s="368"/>
      <c r="DU176" s="368"/>
      <c r="DW176" s="336">
        <f t="shared" si="1286"/>
        <v>0</v>
      </c>
      <c r="DX176" s="336">
        <f t="shared" si="1287"/>
        <v>0</v>
      </c>
      <c r="DY176" s="336">
        <f t="shared" si="1288"/>
        <v>0</v>
      </c>
      <c r="DZ176" s="336">
        <f t="shared" si="1289"/>
        <v>0</v>
      </c>
      <c r="EA176" s="336">
        <f t="shared" si="1290"/>
        <v>0</v>
      </c>
      <c r="EB176" s="336">
        <f t="shared" si="1291"/>
        <v>0</v>
      </c>
      <c r="EC176" s="336">
        <f t="shared" si="1292"/>
        <v>0</v>
      </c>
      <c r="ED176" s="336">
        <f t="shared" si="1293"/>
        <v>0</v>
      </c>
      <c r="EE176" s="336">
        <f t="shared" si="1294"/>
        <v>0</v>
      </c>
      <c r="EF176" s="336">
        <f t="shared" si="1295"/>
        <v>0</v>
      </c>
      <c r="EG176" s="336">
        <f t="shared" si="1296"/>
        <v>0</v>
      </c>
      <c r="EH176" s="336">
        <f t="shared" si="1297"/>
        <v>0</v>
      </c>
      <c r="EI176" s="336">
        <f t="shared" si="1298"/>
        <v>0</v>
      </c>
      <c r="EJ176" s="336">
        <f t="shared" si="1299"/>
        <v>0</v>
      </c>
      <c r="EK176" s="336">
        <f t="shared" si="1300"/>
        <v>0</v>
      </c>
      <c r="EL176" s="336">
        <f t="shared" si="1301"/>
        <v>0</v>
      </c>
      <c r="EM176" s="336">
        <f t="shared" si="1302"/>
        <v>0</v>
      </c>
      <c r="EN176" s="336">
        <f t="shared" si="1303"/>
        <v>0</v>
      </c>
      <c r="EO176" s="336">
        <f t="shared" si="1304"/>
        <v>0</v>
      </c>
      <c r="EP176" s="336">
        <f t="shared" si="1305"/>
        <v>0</v>
      </c>
      <c r="EQ176" s="336">
        <f t="shared" si="1306"/>
        <v>0</v>
      </c>
      <c r="ER176" s="336">
        <f t="shared" si="1307"/>
        <v>0</v>
      </c>
      <c r="ES176" s="336">
        <f t="shared" si="1308"/>
        <v>0</v>
      </c>
      <c r="ET176" s="336">
        <f t="shared" si="1308"/>
        <v>0</v>
      </c>
      <c r="EU176" s="336">
        <f t="shared" si="1309"/>
        <v>0</v>
      </c>
      <c r="EV176" s="336">
        <f t="shared" si="1310"/>
        <v>0</v>
      </c>
      <c r="EW176" s="336">
        <f t="shared" si="1311"/>
        <v>0</v>
      </c>
      <c r="EX176" s="336">
        <f t="shared" si="1312"/>
        <v>0</v>
      </c>
      <c r="EY176" s="336">
        <f t="shared" si="1313"/>
        <v>0</v>
      </c>
      <c r="EZ176" s="336">
        <f t="shared" si="1314"/>
        <v>0</v>
      </c>
      <c r="FA176" s="336">
        <f t="shared" si="1315"/>
        <v>0</v>
      </c>
      <c r="FB176" s="336">
        <f t="shared" si="1316"/>
        <v>0</v>
      </c>
      <c r="FC176" s="336">
        <f t="shared" si="1317"/>
        <v>0</v>
      </c>
      <c r="FD176" s="336">
        <f t="shared" si="1318"/>
        <v>0</v>
      </c>
      <c r="FE176" s="336">
        <f t="shared" si="1319"/>
        <v>0</v>
      </c>
      <c r="FF176" s="336">
        <f t="shared" si="1320"/>
        <v>0</v>
      </c>
      <c r="FG176" s="336">
        <f t="shared" si="1321"/>
        <v>0</v>
      </c>
      <c r="FH176" s="336">
        <f t="shared" si="1322"/>
        <v>0</v>
      </c>
      <c r="FI176" s="336">
        <f t="shared" si="1323"/>
        <v>0</v>
      </c>
      <c r="FJ176" s="336">
        <f t="shared" si="1324"/>
        <v>0</v>
      </c>
      <c r="FK176" s="336">
        <f t="shared" si="1325"/>
        <v>0</v>
      </c>
      <c r="FL176" s="336">
        <f t="shared" si="1326"/>
        <v>0</v>
      </c>
      <c r="FM176" s="336">
        <f t="shared" si="1327"/>
        <v>0</v>
      </c>
      <c r="FN176" s="336">
        <f t="shared" si="1328"/>
        <v>0</v>
      </c>
      <c r="FO176" s="336">
        <f t="shared" si="1329"/>
        <v>0</v>
      </c>
      <c r="FP176" s="336">
        <f t="shared" si="1330"/>
        <v>0</v>
      </c>
      <c r="FQ176" s="336">
        <f t="shared" si="1331"/>
        <v>0</v>
      </c>
      <c r="FR176" s="336">
        <f t="shared" si="1332"/>
        <v>0</v>
      </c>
      <c r="FS176" s="336">
        <f t="shared" si="1333"/>
        <v>0</v>
      </c>
      <c r="FT176" s="336">
        <f t="shared" si="1334"/>
        <v>0</v>
      </c>
      <c r="FU176" s="336"/>
      <c r="FV176" s="336"/>
      <c r="FW176" s="336"/>
      <c r="FX176" s="336"/>
      <c r="FY176" s="336">
        <f t="shared" si="1417"/>
        <v>0</v>
      </c>
      <c r="FZ176" s="336">
        <f t="shared" si="1418"/>
        <v>0</v>
      </c>
      <c r="GA176" s="336">
        <f t="shared" si="1419"/>
        <v>0</v>
      </c>
      <c r="GB176" s="336">
        <f t="shared" si="1420"/>
        <v>0</v>
      </c>
      <c r="GC176" s="336">
        <f t="shared" si="1421"/>
        <v>0</v>
      </c>
      <c r="GD176" s="336">
        <f t="shared" si="1422"/>
        <v>0</v>
      </c>
      <c r="GE176" s="336">
        <f t="shared" si="1423"/>
        <v>0</v>
      </c>
      <c r="GF176" s="336">
        <f t="shared" si="1424"/>
        <v>0</v>
      </c>
      <c r="GG176" s="336">
        <f t="shared" si="1425"/>
        <v>0</v>
      </c>
      <c r="GH176" s="336">
        <f t="shared" si="1426"/>
        <v>0</v>
      </c>
      <c r="GI176" s="336">
        <f t="shared" si="1427"/>
        <v>0</v>
      </c>
      <c r="GJ176" s="336">
        <f t="shared" si="1428"/>
        <v>0</v>
      </c>
      <c r="GK176" s="336">
        <f t="shared" si="1429"/>
        <v>0</v>
      </c>
      <c r="GL176" s="336"/>
      <c r="GM176" s="336">
        <f t="shared" si="1430"/>
        <v>0</v>
      </c>
    </row>
    <row r="177" spans="1:195" s="83" customFormat="1" ht="27.75" hidden="1" customHeight="1">
      <c r="A177" s="357" t="s">
        <v>334</v>
      </c>
      <c r="B177" s="421"/>
      <c r="C177" s="395" t="str">
        <f t="shared" si="1459"/>
        <v>WORKSHOP HVAC DB</v>
      </c>
      <c r="D177" s="565" t="s">
        <v>1324</v>
      </c>
      <c r="E177" s="780" t="s">
        <v>1178</v>
      </c>
      <c r="F177" s="493"/>
      <c r="G177" s="357" t="s">
        <v>329</v>
      </c>
      <c r="H177" s="352"/>
      <c r="I177" s="357" t="s">
        <v>330</v>
      </c>
      <c r="J177" s="353" t="s">
        <v>357</v>
      </c>
      <c r="K177" s="353">
        <v>230</v>
      </c>
      <c r="L177" s="360">
        <v>0.95</v>
      </c>
      <c r="M177" s="352">
        <v>0.85</v>
      </c>
      <c r="N177" s="359">
        <f t="shared" si="1444"/>
        <v>0</v>
      </c>
      <c r="O177" s="359">
        <f t="shared" si="1445"/>
        <v>0</v>
      </c>
      <c r="P177" s="360" t="str">
        <f t="shared" si="1446"/>
        <v>0.00</v>
      </c>
      <c r="Q177" s="352">
        <v>65</v>
      </c>
      <c r="R177" s="352">
        <v>0</v>
      </c>
      <c r="S177" s="352">
        <f t="shared" si="1447"/>
        <v>0</v>
      </c>
      <c r="T177" s="360" t="s">
        <v>131</v>
      </c>
      <c r="U177" s="352" t="s">
        <v>333</v>
      </c>
      <c r="V177" s="360">
        <v>4</v>
      </c>
      <c r="W177" s="360" t="str">
        <f t="shared" si="1448"/>
        <v>3C X 4</v>
      </c>
      <c r="X177" s="360" t="str">
        <f t="shared" si="1449"/>
        <v>3C X 4</v>
      </c>
      <c r="Y177" s="360" t="s">
        <v>358</v>
      </c>
      <c r="Z177" s="361">
        <f>IF(T177="AIR",VLOOKUP(W177,'Catalogue Aluminium'!$B$9:$G$93,2,FALSE),IF(T177="GROUND",VLOOKUP(W177,'Catalogue Aluminium'!$B$9:$G$93,3,FALSE),IF(T177="DUCT",VLOOKUP(W177,'Catalogue Aluminium'!$B$9:$G$93,4,FALSE),IF(T177="TRENCH",VLOOKUP(W177,'Catalogue Aluminium'!$B$9:$G$93,2,FALSE)))))</f>
        <v>38</v>
      </c>
      <c r="AA177" s="362">
        <f>VLOOKUP(W177,'Catalogue Aluminium'!$B$9:$G$93,5,FALSE)</f>
        <v>5.9</v>
      </c>
      <c r="AB177" s="362">
        <f>VLOOKUP(W177,'Catalogue Aluminium'!$B$9:$G$93,6,FALSE)</f>
        <v>9.4700000000000006E-2</v>
      </c>
      <c r="AC177" s="360">
        <f t="shared" si="1460"/>
        <v>61</v>
      </c>
      <c r="AD177" s="360">
        <v>0</v>
      </c>
      <c r="AE177" s="360">
        <v>10</v>
      </c>
      <c r="AF177" s="360">
        <v>5</v>
      </c>
      <c r="AG177" s="360">
        <f t="shared" si="1462"/>
        <v>8</v>
      </c>
      <c r="AH177" s="363"/>
      <c r="AI177" s="361">
        <f>IF(T177="AIR",'Catalogue Aluminium'!$K$9,IF(T177="TRENCH",'Catalogue Aluminium'!$K$12,"NA"))</f>
        <v>0.89</v>
      </c>
      <c r="AJ177" s="359">
        <f>IF(T177="Air",(IF(U177="1C",'Catalogue Aluminium'!$L$9,'Catalogue Aluminium'!$M$9)),IF(T177="DUCT",(IF($U177="1C",'Catalogue Aluminium'!$L$10,'Catalogue Aluminium'!$M$10)),IF(T177="GROUND",(IF($U177="1C",'Catalogue Aluminium'!$L$11,'Catalogue Aluminium'!$M$11)),IF(T177="TRENCH",(IF($U177="1C",'Catalogue Aluminium'!$L$12,'Catalogue Aluminium'!$M$12))))))</f>
        <v>0.66</v>
      </c>
      <c r="AK177" s="361" t="str">
        <f>IF(T177="Air",'Catalogue Aluminium'!$N$9,IF(T177="GROUND",'Catalogue Aluminium'!$N$10,IF(T177="DUCT",'Catalogue Aluminium'!$N$11,IF(T177="TRENCH",'Catalogue Aluminium'!$N$12,"NA"))))</f>
        <v>NA</v>
      </c>
      <c r="AL177" s="361" t="str">
        <f>IF(T177="Air",(IF(U177="1C",'Catalogue Aluminium'!$O$9,'Catalogue Aluminium'!$P$9)),IF(T177="DUCT",(IF($U177="1C",'Catalogue Aluminium'!$O$10,'Catalogue Aluminium'!$P$10)),IF(T177="GROUND",(IF($U177="1C",'Catalogue Aluminium'!$O$11,'Catalogue Aluminium'!$P$11)),IF(T177="TRENCH",(IF($U177="1C",'Catalogue Aluminium'!$O$12,'Catalogue Aluminium'!$P$12))))))</f>
        <v>NA</v>
      </c>
      <c r="AM177" s="361" t="str">
        <f>IF(T177="AIR","NA",IF(T177="TRENCH","NA",IF(T177="DUCT",IF(U177="1C",VLOOKUP(V177,'Catalogue Aluminium'!$Q$9:$S$28,2,FALSE),VLOOKUP(V177,'Catalogue Aluminium'!$Q$9:$S$28,3)),IF(T177="GROUND",IF(U177="1C",VLOOKUP(V177,'Catalogue Aluminium'!$Q$9:$S$28,2,FALSE),VLOOKUP(V177,'Catalogue Aluminium'!$Q$9:$S$28,3))))))</f>
        <v>NA</v>
      </c>
      <c r="AN177" s="365">
        <f t="shared" si="1451"/>
        <v>0.58740000000000003</v>
      </c>
      <c r="AO177" s="352">
        <f t="shared" si="1452"/>
        <v>22.321200000000001</v>
      </c>
      <c r="AP177" s="353">
        <f t="shared" si="1453"/>
        <v>0</v>
      </c>
      <c r="AQ177" s="352" t="str">
        <f t="shared" si="1454"/>
        <v>YES</v>
      </c>
      <c r="AR177" s="365" t="e">
        <f t="shared" si="1463"/>
        <v>#DIV/0!</v>
      </c>
      <c r="AS177" s="360" t="e">
        <f t="shared" si="1464"/>
        <v>#DIV/0!</v>
      </c>
      <c r="AT177" s="365" t="str">
        <f>IF(G177="MOTOR",(SQRT(3)*AH177*O177*((AA177*L177)+(AB177*SIN(ACOS(L177))))*100/(AP177*K177*1000)),"NA")</f>
        <v>NA</v>
      </c>
      <c r="AU177" s="360" t="str">
        <f t="shared" si="1455"/>
        <v>NA</v>
      </c>
      <c r="AV177" s="366" t="str">
        <f t="shared" si="1456"/>
        <v>0R x 0.6/1kV x 3C x 4 Sqmm</v>
      </c>
      <c r="AW177" s="366" t="str">
        <f t="shared" si="1457"/>
        <v>0R x 0.6/1kV x 3C x 4 Sqmm</v>
      </c>
      <c r="AX177" s="360"/>
      <c r="AY177" s="367"/>
      <c r="AZ177" s="367"/>
      <c r="BA177" s="356" t="str">
        <f t="shared" si="1458"/>
        <v/>
      </c>
      <c r="BB177" s="498"/>
      <c r="BC177" s="426"/>
      <c r="BE177" s="368"/>
      <c r="BF177" s="368"/>
      <c r="BG177" s="368"/>
      <c r="BH177" s="368"/>
      <c r="BI177" s="368"/>
      <c r="BJ177" s="368"/>
      <c r="BK177" s="368"/>
      <c r="BL177" s="368"/>
      <c r="BM177" s="368"/>
      <c r="BN177" s="368"/>
      <c r="BO177" s="368"/>
      <c r="BP177" s="368"/>
      <c r="BQ177" s="368"/>
      <c r="BR177" s="368"/>
      <c r="BS177" s="368"/>
      <c r="BT177" s="368"/>
      <c r="BU177" s="368"/>
      <c r="BV177" s="368"/>
      <c r="BW177" s="368"/>
      <c r="BX177" s="368"/>
      <c r="BY177" s="368"/>
      <c r="BZ177" s="368"/>
      <c r="CA177" s="368"/>
      <c r="CB177" s="368"/>
      <c r="CC177" s="368"/>
      <c r="CD177" s="368"/>
      <c r="CE177" s="368"/>
      <c r="CF177" s="368"/>
      <c r="CG177" s="368"/>
      <c r="CH177" s="368"/>
      <c r="CI177" s="368"/>
      <c r="CJ177" s="368"/>
      <c r="CK177" s="368"/>
      <c r="CL177" s="368"/>
      <c r="CM177" s="368"/>
      <c r="CN177" s="368"/>
      <c r="CO177" s="368"/>
      <c r="CP177" s="368"/>
      <c r="CQ177" s="368"/>
      <c r="CR177" s="368"/>
      <c r="CS177" s="368"/>
      <c r="CT177" s="368"/>
      <c r="CU177" s="368"/>
      <c r="CV177" s="368"/>
      <c r="CW177" s="368"/>
      <c r="CX177" s="368"/>
      <c r="CY177" s="368"/>
      <c r="CZ177" s="368"/>
      <c r="DA177" s="368"/>
      <c r="DB177" s="368"/>
      <c r="DC177" s="368"/>
      <c r="DD177" s="368"/>
      <c r="DE177" s="368"/>
      <c r="DF177" s="368"/>
      <c r="DG177" s="368"/>
      <c r="DH177" s="368"/>
      <c r="DI177" s="368"/>
      <c r="DJ177" s="368"/>
      <c r="DK177" s="368"/>
      <c r="DL177" s="368"/>
      <c r="DM177" s="368"/>
      <c r="DN177" s="368"/>
      <c r="DO177" s="368"/>
      <c r="DP177" s="368"/>
      <c r="DQ177" s="368"/>
      <c r="DR177" s="368"/>
      <c r="DS177" s="368"/>
      <c r="DT177" s="368"/>
      <c r="DU177" s="368"/>
      <c r="DW177" s="336">
        <f t="shared" si="1286"/>
        <v>0</v>
      </c>
      <c r="DX177" s="336">
        <f t="shared" si="1287"/>
        <v>0</v>
      </c>
      <c r="DY177" s="336">
        <f t="shared" si="1288"/>
        <v>0</v>
      </c>
      <c r="DZ177" s="336">
        <f t="shared" si="1289"/>
        <v>0</v>
      </c>
      <c r="EA177" s="336">
        <f t="shared" si="1290"/>
        <v>0</v>
      </c>
      <c r="EB177" s="336">
        <f t="shared" si="1291"/>
        <v>0</v>
      </c>
      <c r="EC177" s="336">
        <f t="shared" si="1292"/>
        <v>0</v>
      </c>
      <c r="ED177" s="336">
        <f t="shared" si="1293"/>
        <v>0</v>
      </c>
      <c r="EE177" s="336">
        <f t="shared" si="1294"/>
        <v>0</v>
      </c>
      <c r="EF177" s="336">
        <f t="shared" si="1295"/>
        <v>0</v>
      </c>
      <c r="EG177" s="336">
        <f t="shared" si="1296"/>
        <v>0</v>
      </c>
      <c r="EH177" s="336">
        <f t="shared" si="1297"/>
        <v>0</v>
      </c>
      <c r="EI177" s="336">
        <f t="shared" si="1298"/>
        <v>0</v>
      </c>
      <c r="EJ177" s="336">
        <f t="shared" si="1299"/>
        <v>0</v>
      </c>
      <c r="EK177" s="336">
        <f t="shared" si="1300"/>
        <v>0</v>
      </c>
      <c r="EL177" s="336">
        <f t="shared" si="1301"/>
        <v>0</v>
      </c>
      <c r="EM177" s="336">
        <f t="shared" si="1302"/>
        <v>0</v>
      </c>
      <c r="EN177" s="336">
        <f t="shared" si="1303"/>
        <v>0</v>
      </c>
      <c r="EO177" s="336">
        <f t="shared" si="1304"/>
        <v>0</v>
      </c>
      <c r="EP177" s="336">
        <f t="shared" si="1305"/>
        <v>0</v>
      </c>
      <c r="EQ177" s="336">
        <f t="shared" si="1306"/>
        <v>0</v>
      </c>
      <c r="ER177" s="336">
        <f t="shared" si="1307"/>
        <v>0</v>
      </c>
      <c r="ES177" s="336">
        <f t="shared" si="1308"/>
        <v>0</v>
      </c>
      <c r="ET177" s="336">
        <f t="shared" si="1308"/>
        <v>0</v>
      </c>
      <c r="EU177" s="336">
        <f t="shared" si="1309"/>
        <v>0</v>
      </c>
      <c r="EV177" s="336">
        <f t="shared" si="1310"/>
        <v>0</v>
      </c>
      <c r="EW177" s="336">
        <f t="shared" si="1311"/>
        <v>0</v>
      </c>
      <c r="EX177" s="336">
        <f t="shared" si="1312"/>
        <v>0</v>
      </c>
      <c r="EY177" s="336">
        <f t="shared" si="1313"/>
        <v>0</v>
      </c>
      <c r="EZ177" s="336">
        <f t="shared" si="1314"/>
        <v>0</v>
      </c>
      <c r="FA177" s="336">
        <f t="shared" si="1315"/>
        <v>0</v>
      </c>
      <c r="FB177" s="336">
        <f t="shared" si="1316"/>
        <v>0</v>
      </c>
      <c r="FC177" s="336">
        <f t="shared" si="1317"/>
        <v>0</v>
      </c>
      <c r="FD177" s="336">
        <f t="shared" si="1318"/>
        <v>0</v>
      </c>
      <c r="FE177" s="336">
        <f t="shared" si="1319"/>
        <v>0</v>
      </c>
      <c r="FF177" s="336">
        <f t="shared" si="1320"/>
        <v>0</v>
      </c>
      <c r="FG177" s="336">
        <f t="shared" si="1321"/>
        <v>0</v>
      </c>
      <c r="FH177" s="336">
        <f t="shared" si="1322"/>
        <v>0</v>
      </c>
      <c r="FI177" s="336">
        <f t="shared" si="1323"/>
        <v>0</v>
      </c>
      <c r="FJ177" s="336">
        <f t="shared" si="1324"/>
        <v>0</v>
      </c>
      <c r="FK177" s="336">
        <f t="shared" si="1325"/>
        <v>0</v>
      </c>
      <c r="FL177" s="336">
        <f t="shared" si="1326"/>
        <v>0</v>
      </c>
      <c r="FM177" s="336">
        <f t="shared" si="1327"/>
        <v>0</v>
      </c>
      <c r="FN177" s="336">
        <f t="shared" si="1328"/>
        <v>0</v>
      </c>
      <c r="FO177" s="336">
        <f t="shared" si="1329"/>
        <v>0</v>
      </c>
      <c r="FP177" s="336">
        <f t="shared" si="1330"/>
        <v>0</v>
      </c>
      <c r="FQ177" s="336">
        <f t="shared" si="1331"/>
        <v>0</v>
      </c>
      <c r="FR177" s="336">
        <f t="shared" si="1332"/>
        <v>0</v>
      </c>
      <c r="FS177" s="336">
        <f t="shared" si="1333"/>
        <v>0</v>
      </c>
      <c r="FT177" s="336">
        <f t="shared" si="1334"/>
        <v>0</v>
      </c>
      <c r="FU177" s="336"/>
      <c r="FV177" s="336"/>
      <c r="FW177" s="336"/>
      <c r="FX177" s="336"/>
      <c r="FY177" s="336">
        <f t="shared" si="1417"/>
        <v>0</v>
      </c>
      <c r="FZ177" s="336">
        <f t="shared" si="1418"/>
        <v>0</v>
      </c>
      <c r="GA177" s="336">
        <f t="shared" si="1419"/>
        <v>0</v>
      </c>
      <c r="GB177" s="336">
        <f t="shared" si="1420"/>
        <v>0</v>
      </c>
      <c r="GC177" s="336">
        <f t="shared" si="1421"/>
        <v>0</v>
      </c>
      <c r="GD177" s="336">
        <f t="shared" si="1422"/>
        <v>0</v>
      </c>
      <c r="GE177" s="336">
        <f t="shared" si="1423"/>
        <v>0</v>
      </c>
      <c r="GF177" s="336">
        <f t="shared" si="1424"/>
        <v>0</v>
      </c>
      <c r="GG177" s="336">
        <f t="shared" si="1425"/>
        <v>0</v>
      </c>
      <c r="GH177" s="336">
        <f t="shared" si="1426"/>
        <v>0</v>
      </c>
      <c r="GI177" s="336">
        <f t="shared" si="1427"/>
        <v>0</v>
      </c>
      <c r="GJ177" s="336">
        <f t="shared" si="1428"/>
        <v>0</v>
      </c>
      <c r="GK177" s="336">
        <f t="shared" si="1429"/>
        <v>0</v>
      </c>
      <c r="GL177" s="336"/>
      <c r="GM177" s="336">
        <f t="shared" si="1430"/>
        <v>0</v>
      </c>
    </row>
    <row r="178" spans="1:195" ht="27.75" customHeight="1">
      <c r="A178" s="337">
        <f>A175+1</f>
        <v>133</v>
      </c>
      <c r="B178" s="453"/>
      <c r="C178" s="372" t="str">
        <f t="shared" si="1459"/>
        <v>WORKSHOP HVAC DB</v>
      </c>
      <c r="D178" s="444" t="s">
        <v>1325</v>
      </c>
      <c r="E178" s="569" t="s">
        <v>1178</v>
      </c>
      <c r="F178" s="500"/>
      <c r="G178" s="337" t="s">
        <v>329</v>
      </c>
      <c r="H178" s="583">
        <v>0.25</v>
      </c>
      <c r="I178" s="337" t="s">
        <v>330</v>
      </c>
      <c r="J178" s="349" t="s">
        <v>357</v>
      </c>
      <c r="K178" s="349">
        <v>230</v>
      </c>
      <c r="L178" s="343">
        <v>0.95</v>
      </c>
      <c r="M178" s="350">
        <v>0.85</v>
      </c>
      <c r="N178" s="342">
        <f t="shared" si="1444"/>
        <v>1.3460761879122358</v>
      </c>
      <c r="O178" s="342">
        <f t="shared" si="1445"/>
        <v>0</v>
      </c>
      <c r="P178" s="343" t="str">
        <f t="shared" si="1446"/>
        <v>0.00</v>
      </c>
      <c r="Q178" s="350">
        <v>65</v>
      </c>
      <c r="R178" s="350">
        <v>0</v>
      </c>
      <c r="S178" s="350">
        <f t="shared" si="1447"/>
        <v>0</v>
      </c>
      <c r="T178" s="343" t="s">
        <v>131</v>
      </c>
      <c r="U178" s="350" t="s">
        <v>333</v>
      </c>
      <c r="V178" s="343">
        <v>4</v>
      </c>
      <c r="W178" s="343" t="str">
        <f t="shared" si="1448"/>
        <v>3C X 4</v>
      </c>
      <c r="X178" s="343" t="str">
        <f t="shared" si="1449"/>
        <v>3C X 4</v>
      </c>
      <c r="Y178" s="343" t="s">
        <v>358</v>
      </c>
      <c r="Z178" s="344">
        <f>IF(T178="AIR",VLOOKUP(W178,'Catalogue Aluminium'!$B$9:$G$93,2,FALSE),IF(T178="GROUND",VLOOKUP(W178,'Catalogue Aluminium'!$B$9:$G$93,3,FALSE),IF(T178="DUCT",VLOOKUP(W178,'Catalogue Aluminium'!$B$9:$G$93,4,FALSE),IF(T178="TRENCH",VLOOKUP(W178,'Catalogue Aluminium'!$B$9:$G$93,2,FALSE)))))</f>
        <v>38</v>
      </c>
      <c r="AA178" s="345">
        <f>VLOOKUP(W178,'Catalogue Aluminium'!$B$9:$G$93,5,FALSE)</f>
        <v>5.9</v>
      </c>
      <c r="AB178" s="345">
        <f>VLOOKUP(W178,'Catalogue Aluminium'!$B$9:$G$93,6,FALSE)</f>
        <v>9.4700000000000006E-2</v>
      </c>
      <c r="AC178" s="343">
        <f t="shared" si="1460"/>
        <v>61</v>
      </c>
      <c r="AD178" s="343">
        <v>0</v>
      </c>
      <c r="AE178" s="343">
        <v>10</v>
      </c>
      <c r="AF178" s="343">
        <v>5</v>
      </c>
      <c r="AG178" s="343">
        <f t="shared" si="1462"/>
        <v>8</v>
      </c>
      <c r="AH178" s="347">
        <f t="shared" si="1450"/>
        <v>84</v>
      </c>
      <c r="AI178" s="344">
        <f>IF(T178="AIR",'Catalogue Aluminium'!$K$9,IF(T178="TRENCH",'Catalogue Aluminium'!$K$12,"NA"))</f>
        <v>0.89</v>
      </c>
      <c r="AJ178" s="342">
        <f>IF(T178="Air",(IF(U178="1C",'Catalogue Aluminium'!$L$9,'Catalogue Aluminium'!$M$9)),IF(T178="DUCT",(IF($U178="1C",'Catalogue Aluminium'!$L$10,'Catalogue Aluminium'!$M$10)),IF(T178="GROUND",(IF($U178="1C",'Catalogue Aluminium'!$L$11,'Catalogue Aluminium'!$M$11)),IF(T178="TRENCH",(IF($U178="1C",'Catalogue Aluminium'!$L$12,'Catalogue Aluminium'!$M$12))))))</f>
        <v>0.66</v>
      </c>
      <c r="AK178" s="344" t="str">
        <f>IF(T178="Air",'Catalogue Aluminium'!$N$9,IF(T178="GROUND",'Catalogue Aluminium'!$N$10,IF(T178="DUCT",'Catalogue Aluminium'!$N$11,IF(T178="TRENCH",'Catalogue Aluminium'!$N$12,"NA"))))</f>
        <v>NA</v>
      </c>
      <c r="AL178" s="344" t="str">
        <f>IF(T178="Air",(IF(U178="1C",'Catalogue Aluminium'!$O$9,'Catalogue Aluminium'!$P$9)),IF(T178="DUCT",(IF($U178="1C",'Catalogue Aluminium'!$O$10,'Catalogue Aluminium'!$P$10)),IF(T178="GROUND",(IF($U178="1C",'Catalogue Aluminium'!$O$11,'Catalogue Aluminium'!$P$11)),IF(T178="TRENCH",(IF($U178="1C",'Catalogue Aluminium'!$O$12,'Catalogue Aluminium'!$P$12))))))</f>
        <v>NA</v>
      </c>
      <c r="AM178" s="344" t="str">
        <f>IF(T178="AIR","NA",IF(T178="TRENCH","NA",IF(T178="DUCT",IF(U178="1C",VLOOKUP(V178,'Catalogue Aluminium'!$Q$9:$S$28,2,FALSE),VLOOKUP(V178,'Catalogue Aluminium'!$Q$9:$S$28,3)),IF(T178="GROUND",IF(U178="1C",VLOOKUP(V178,'Catalogue Aluminium'!$Q$9:$S$28,2,FALSE),VLOOKUP(V178,'Catalogue Aluminium'!$Q$9:$S$28,3))))))</f>
        <v>NA</v>
      </c>
      <c r="AN178" s="351">
        <f t="shared" si="1451"/>
        <v>0.58740000000000003</v>
      </c>
      <c r="AO178" s="350">
        <f t="shared" si="1452"/>
        <v>22.321200000000001</v>
      </c>
      <c r="AP178" s="349">
        <f t="shared" si="1453"/>
        <v>1</v>
      </c>
      <c r="AQ178" s="350" t="str">
        <f t="shared" si="1454"/>
        <v>YES</v>
      </c>
      <c r="AR178" s="351">
        <f t="shared" si="1463"/>
        <v>0.47978040061128718</v>
      </c>
      <c r="AS178" s="343" t="str">
        <f t="shared" si="1464"/>
        <v>YES</v>
      </c>
      <c r="AT178" s="351" t="str">
        <f t="shared" ref="AT178:AT195" si="1470">IF(G178="MOTOR",(SQRT(3)*AH178*O178*((AA178*P178)+(AB178*SIN(ACOS(P178))))*100/(AP178*K178*1000)),"NA")</f>
        <v>NA</v>
      </c>
      <c r="AU178" s="343" t="str">
        <f t="shared" si="1455"/>
        <v>NA</v>
      </c>
      <c r="AV178" s="354" t="str">
        <f t="shared" si="1456"/>
        <v>1R x 0.6/1kV x 3C x 4 Sqmm</v>
      </c>
      <c r="AW178" s="354" t="str">
        <f t="shared" si="1457"/>
        <v>1R x 0.6/1kV x 3C x 4 Sqmm</v>
      </c>
      <c r="AX178" s="343">
        <f t="shared" ref="AX178:AX195" si="1471">(IF(K178=400,(IF(U178="1C",(4*AH178*AP178),(AH178*AP178))),IF(K178=230,(AH178*AP178))))</f>
        <v>84</v>
      </c>
      <c r="AY178" s="355"/>
      <c r="AZ178" s="355">
        <f t="shared" ref="AZ178:AZ195" si="1472">IF(U178="1C",(3*AP178*2),(AP178*2))</f>
        <v>2</v>
      </c>
      <c r="BA178" s="356" t="str">
        <f t="shared" si="1458"/>
        <v/>
      </c>
      <c r="BB178" s="501">
        <f>VLOOKUP(W178,'Catalogue Aluminium'!$B$9:$H$93,7,FALSE)</f>
        <v>15</v>
      </c>
      <c r="BC178" s="328">
        <f t="shared" ref="BC178:BC195" si="1473">AP178*BB178</f>
        <v>15</v>
      </c>
      <c r="BE178" s="336"/>
      <c r="BF178" s="336"/>
      <c r="BG178" s="336"/>
      <c r="BH178" s="336"/>
      <c r="BI178" s="336"/>
      <c r="BJ178" s="336"/>
      <c r="BK178" s="336"/>
      <c r="BL178" s="336"/>
      <c r="BM178" s="336"/>
      <c r="BN178" s="336"/>
      <c r="BO178" s="336"/>
      <c r="BP178" s="336"/>
      <c r="BQ178" s="336"/>
      <c r="BR178" s="336"/>
      <c r="BS178" s="336"/>
      <c r="BT178" s="336"/>
      <c r="BU178" s="336"/>
      <c r="BV178" s="336"/>
      <c r="BW178" s="336"/>
      <c r="BX178" s="336"/>
      <c r="BY178" s="336"/>
      <c r="BZ178" s="336"/>
      <c r="CA178" s="336"/>
      <c r="CB178" s="336"/>
      <c r="CC178" s="336"/>
      <c r="CD178" s="336"/>
      <c r="CE178" s="336"/>
      <c r="CF178" s="336"/>
      <c r="CG178" s="336"/>
      <c r="CH178" s="336"/>
      <c r="CI178" s="336"/>
      <c r="CJ178" s="336"/>
      <c r="CK178" s="336"/>
      <c r="CL178" s="336"/>
      <c r="CM178" s="336"/>
      <c r="CN178" s="336"/>
      <c r="CO178" s="336"/>
      <c r="CP178" s="336"/>
      <c r="CQ178" s="336"/>
      <c r="CR178" s="336"/>
      <c r="CS178" s="336"/>
      <c r="CT178" s="336"/>
      <c r="CU178" s="336"/>
      <c r="CV178" s="336"/>
      <c r="CW178" s="336"/>
      <c r="CX178" s="336"/>
      <c r="CY178" s="336"/>
      <c r="CZ178" s="336"/>
      <c r="DA178" s="336"/>
      <c r="DB178" s="336"/>
      <c r="DC178" s="336"/>
      <c r="DD178" s="336"/>
      <c r="DE178" s="336"/>
      <c r="DF178" s="336"/>
      <c r="DG178" s="336"/>
      <c r="DH178" s="336"/>
      <c r="DI178" s="336"/>
      <c r="DJ178" s="336"/>
      <c r="DK178" s="336"/>
      <c r="DL178" s="336"/>
      <c r="DM178" s="336"/>
      <c r="DN178" s="336"/>
      <c r="DO178" s="336"/>
      <c r="DP178" s="336"/>
      <c r="DQ178" s="336"/>
      <c r="DR178" s="336"/>
      <c r="DS178" s="336"/>
      <c r="DT178" s="336"/>
      <c r="DU178" s="336"/>
      <c r="DW178" s="336">
        <f t="shared" si="1286"/>
        <v>0</v>
      </c>
      <c r="DX178" s="336">
        <f t="shared" si="1287"/>
        <v>0</v>
      </c>
      <c r="DY178" s="336">
        <f t="shared" si="1288"/>
        <v>0</v>
      </c>
      <c r="DZ178" s="336">
        <f t="shared" si="1289"/>
        <v>0</v>
      </c>
      <c r="EA178" s="336">
        <f t="shared" si="1290"/>
        <v>0</v>
      </c>
      <c r="EB178" s="336">
        <f t="shared" si="1291"/>
        <v>0</v>
      </c>
      <c r="EC178" s="336">
        <f t="shared" si="1292"/>
        <v>0</v>
      </c>
      <c r="ED178" s="336">
        <f t="shared" si="1293"/>
        <v>0</v>
      </c>
      <c r="EE178" s="336">
        <f t="shared" si="1294"/>
        <v>0</v>
      </c>
      <c r="EF178" s="336">
        <f t="shared" si="1295"/>
        <v>0</v>
      </c>
      <c r="EG178" s="336">
        <f t="shared" si="1296"/>
        <v>0</v>
      </c>
      <c r="EH178" s="336">
        <f t="shared" si="1297"/>
        <v>0</v>
      </c>
      <c r="EI178" s="336">
        <f t="shared" si="1298"/>
        <v>0</v>
      </c>
      <c r="EJ178" s="336">
        <f t="shared" si="1299"/>
        <v>0</v>
      </c>
      <c r="EK178" s="336">
        <f t="shared" si="1300"/>
        <v>0</v>
      </c>
      <c r="EL178" s="336">
        <f t="shared" si="1301"/>
        <v>0</v>
      </c>
      <c r="EM178" s="336">
        <f t="shared" si="1302"/>
        <v>0</v>
      </c>
      <c r="EN178" s="336">
        <f t="shared" si="1303"/>
        <v>0</v>
      </c>
      <c r="EO178" s="336">
        <f t="shared" si="1304"/>
        <v>0</v>
      </c>
      <c r="EP178" s="336">
        <f t="shared" si="1305"/>
        <v>0</v>
      </c>
      <c r="EQ178" s="336">
        <f t="shared" si="1306"/>
        <v>0</v>
      </c>
      <c r="ER178" s="336">
        <f t="shared" si="1307"/>
        <v>0</v>
      </c>
      <c r="ES178" s="336">
        <f t="shared" si="1308"/>
        <v>0</v>
      </c>
      <c r="ET178" s="336">
        <f t="shared" si="1308"/>
        <v>0</v>
      </c>
      <c r="EU178" s="336">
        <f t="shared" si="1309"/>
        <v>0</v>
      </c>
      <c r="EV178" s="336">
        <f t="shared" si="1310"/>
        <v>0</v>
      </c>
      <c r="EW178" s="336">
        <f t="shared" si="1311"/>
        <v>0</v>
      </c>
      <c r="EX178" s="336">
        <f t="shared" si="1312"/>
        <v>0</v>
      </c>
      <c r="EY178" s="336">
        <f t="shared" si="1313"/>
        <v>0</v>
      </c>
      <c r="EZ178" s="336">
        <f t="shared" si="1314"/>
        <v>0</v>
      </c>
      <c r="FA178" s="336">
        <f t="shared" si="1315"/>
        <v>0</v>
      </c>
      <c r="FB178" s="336">
        <f t="shared" si="1316"/>
        <v>0</v>
      </c>
      <c r="FC178" s="336">
        <f t="shared" si="1317"/>
        <v>0</v>
      </c>
      <c r="FD178" s="336">
        <f t="shared" si="1318"/>
        <v>0</v>
      </c>
      <c r="FE178" s="336">
        <f t="shared" si="1319"/>
        <v>0</v>
      </c>
      <c r="FF178" s="336">
        <f t="shared" si="1320"/>
        <v>0</v>
      </c>
      <c r="FG178" s="336">
        <f t="shared" si="1321"/>
        <v>0</v>
      </c>
      <c r="FH178" s="336">
        <f t="shared" si="1322"/>
        <v>0</v>
      </c>
      <c r="FI178" s="336">
        <f t="shared" si="1323"/>
        <v>0</v>
      </c>
      <c r="FJ178" s="336">
        <f t="shared" si="1324"/>
        <v>0</v>
      </c>
      <c r="FK178" s="336">
        <f t="shared" si="1325"/>
        <v>0</v>
      </c>
      <c r="FL178" s="336">
        <f t="shared" si="1326"/>
        <v>0</v>
      </c>
      <c r="FM178" s="336">
        <f t="shared" si="1327"/>
        <v>0</v>
      </c>
      <c r="FN178" s="336">
        <f t="shared" si="1328"/>
        <v>0</v>
      </c>
      <c r="FO178" s="336">
        <f t="shared" si="1329"/>
        <v>0</v>
      </c>
      <c r="FP178" s="336">
        <f t="shared" si="1330"/>
        <v>0</v>
      </c>
      <c r="FQ178" s="336">
        <f t="shared" si="1331"/>
        <v>0</v>
      </c>
      <c r="FR178" s="336">
        <f t="shared" si="1332"/>
        <v>0</v>
      </c>
      <c r="FS178" s="336">
        <f t="shared" si="1333"/>
        <v>0</v>
      </c>
      <c r="FT178" s="336">
        <f t="shared" si="1334"/>
        <v>0</v>
      </c>
      <c r="FU178" s="336">
        <f t="shared" ref="FU178:FU236" si="1474">IF(DC178=1,($BC178*DC178),0)</f>
        <v>0</v>
      </c>
      <c r="FV178" s="336">
        <f t="shared" ref="FV178:FV236" si="1475">IF(DD178=1,($BC178*DD178),0)</f>
        <v>0</v>
      </c>
      <c r="FW178" s="336">
        <f t="shared" ref="FW178:FW236" si="1476">IF(DE178=1,($BC178*DE178),0)</f>
        <v>0</v>
      </c>
      <c r="FX178" s="336">
        <f t="shared" ref="FX178:FX236" si="1477">IF(DF178=1,($BC178*DF178),0)</f>
        <v>0</v>
      </c>
      <c r="FY178" s="336">
        <f t="shared" si="1417"/>
        <v>0</v>
      </c>
      <c r="FZ178" s="336">
        <f t="shared" si="1418"/>
        <v>0</v>
      </c>
      <c r="GA178" s="336">
        <f t="shared" si="1419"/>
        <v>0</v>
      </c>
      <c r="GB178" s="336">
        <f t="shared" si="1420"/>
        <v>0</v>
      </c>
      <c r="GC178" s="336">
        <f t="shared" si="1421"/>
        <v>0</v>
      </c>
      <c r="GD178" s="336">
        <f t="shared" si="1422"/>
        <v>0</v>
      </c>
      <c r="GE178" s="336">
        <f t="shared" si="1423"/>
        <v>0</v>
      </c>
      <c r="GF178" s="336">
        <f t="shared" si="1424"/>
        <v>0</v>
      </c>
      <c r="GG178" s="336">
        <f t="shared" si="1425"/>
        <v>0</v>
      </c>
      <c r="GH178" s="336">
        <f t="shared" si="1426"/>
        <v>0</v>
      </c>
      <c r="GI178" s="336">
        <f t="shared" si="1427"/>
        <v>0</v>
      </c>
      <c r="GJ178" s="336">
        <f t="shared" si="1428"/>
        <v>0</v>
      </c>
      <c r="GK178" s="336">
        <f t="shared" si="1429"/>
        <v>0</v>
      </c>
      <c r="GL178" s="336">
        <f t="shared" ref="GL178:GL236" si="1478">IF(DT178=1,($BC178*DT178),0)</f>
        <v>0</v>
      </c>
      <c r="GM178" s="336">
        <f t="shared" si="1430"/>
        <v>0</v>
      </c>
    </row>
    <row r="179" spans="1:195" ht="27.75" customHeight="1">
      <c r="A179" s="337">
        <f>A178+1</f>
        <v>134</v>
      </c>
      <c r="B179" s="453"/>
      <c r="C179" s="372" t="str">
        <f t="shared" si="1459"/>
        <v>WORKSHOP HVAC DB</v>
      </c>
      <c r="D179" s="444" t="s">
        <v>1326</v>
      </c>
      <c r="E179" s="569" t="s">
        <v>1178</v>
      </c>
      <c r="F179" s="500"/>
      <c r="G179" s="337" t="s">
        <v>329</v>
      </c>
      <c r="H179" s="583">
        <v>0.25</v>
      </c>
      <c r="I179" s="337" t="s">
        <v>330</v>
      </c>
      <c r="J179" s="349" t="s">
        <v>357</v>
      </c>
      <c r="K179" s="349">
        <v>230</v>
      </c>
      <c r="L179" s="343">
        <v>0.95</v>
      </c>
      <c r="M179" s="350">
        <v>0.85</v>
      </c>
      <c r="N179" s="342">
        <f t="shared" si="1444"/>
        <v>1.3460761879122358</v>
      </c>
      <c r="O179" s="342">
        <f t="shared" si="1445"/>
        <v>0</v>
      </c>
      <c r="P179" s="343" t="str">
        <f t="shared" si="1446"/>
        <v>0.00</v>
      </c>
      <c r="Q179" s="350">
        <v>65</v>
      </c>
      <c r="R179" s="350">
        <v>0</v>
      </c>
      <c r="S179" s="350">
        <f t="shared" si="1447"/>
        <v>0</v>
      </c>
      <c r="T179" s="343" t="s">
        <v>131</v>
      </c>
      <c r="U179" s="350" t="s">
        <v>333</v>
      </c>
      <c r="V179" s="343">
        <v>4</v>
      </c>
      <c r="W179" s="343" t="str">
        <f t="shared" si="1448"/>
        <v>3C X 4</v>
      </c>
      <c r="X179" s="343" t="str">
        <f t="shared" si="1449"/>
        <v>3C X 4</v>
      </c>
      <c r="Y179" s="343" t="s">
        <v>358</v>
      </c>
      <c r="Z179" s="344">
        <f>IF(T179="AIR",VLOOKUP(W179,'Catalogue Aluminium'!$B$9:$G$93,2,FALSE),IF(T179="GROUND",VLOOKUP(W179,'Catalogue Aluminium'!$B$9:$G$93,3,FALSE),IF(T179="DUCT",VLOOKUP(W179,'Catalogue Aluminium'!$B$9:$G$93,4,FALSE),IF(T179="TRENCH",VLOOKUP(W179,'Catalogue Aluminium'!$B$9:$G$93,2,FALSE)))))</f>
        <v>38</v>
      </c>
      <c r="AA179" s="345">
        <f>VLOOKUP(W179,'Catalogue Aluminium'!$B$9:$G$93,5,FALSE)</f>
        <v>5.9</v>
      </c>
      <c r="AB179" s="345">
        <f>VLOOKUP(W179,'Catalogue Aluminium'!$B$9:$G$93,6,FALSE)</f>
        <v>9.4700000000000006E-2</v>
      </c>
      <c r="AC179" s="343">
        <f t="shared" si="1460"/>
        <v>61</v>
      </c>
      <c r="AD179" s="343">
        <v>0</v>
      </c>
      <c r="AE179" s="343">
        <v>10</v>
      </c>
      <c r="AF179" s="343">
        <v>5</v>
      </c>
      <c r="AG179" s="343">
        <f t="shared" si="1462"/>
        <v>8</v>
      </c>
      <c r="AH179" s="347">
        <f t="shared" si="1450"/>
        <v>84</v>
      </c>
      <c r="AI179" s="344">
        <f>IF(T179="AIR",'Catalogue Aluminium'!$K$9,IF(T179="TRENCH",'Catalogue Aluminium'!$K$12,"NA"))</f>
        <v>0.89</v>
      </c>
      <c r="AJ179" s="342">
        <f>IF(T179="Air",(IF(U179="1C",'Catalogue Aluminium'!$L$9,'Catalogue Aluminium'!$M$9)),IF(T179="DUCT",(IF($U179="1C",'Catalogue Aluminium'!$L$10,'Catalogue Aluminium'!$M$10)),IF(T179="GROUND",(IF($U179="1C",'Catalogue Aluminium'!$L$11,'Catalogue Aluminium'!$M$11)),IF(T179="TRENCH",(IF($U179="1C",'Catalogue Aluminium'!$L$12,'Catalogue Aluminium'!$M$12))))))</f>
        <v>0.66</v>
      </c>
      <c r="AK179" s="344" t="str">
        <f>IF(T179="Air",'Catalogue Aluminium'!$N$9,IF(T179="GROUND",'Catalogue Aluminium'!$N$10,IF(T179="DUCT",'Catalogue Aluminium'!$N$11,IF(T179="TRENCH",'Catalogue Aluminium'!$N$12,"NA"))))</f>
        <v>NA</v>
      </c>
      <c r="AL179" s="344" t="str">
        <f>IF(T179="Air",(IF(U179="1C",'Catalogue Aluminium'!$O$9,'Catalogue Aluminium'!$P$9)),IF(T179="DUCT",(IF($U179="1C",'Catalogue Aluminium'!$O$10,'Catalogue Aluminium'!$P$10)),IF(T179="GROUND",(IF($U179="1C",'Catalogue Aluminium'!$O$11,'Catalogue Aluminium'!$P$11)),IF(T179="TRENCH",(IF($U179="1C",'Catalogue Aluminium'!$O$12,'Catalogue Aluminium'!$P$12))))))</f>
        <v>NA</v>
      </c>
      <c r="AM179" s="344" t="str">
        <f>IF(T179="AIR","NA",IF(T179="TRENCH","NA",IF(T179="DUCT",IF(U179="1C",VLOOKUP(V179,'Catalogue Aluminium'!$Q$9:$S$28,2,FALSE),VLOOKUP(V179,'Catalogue Aluminium'!$Q$9:$S$28,3)),IF(T179="GROUND",IF(U179="1C",VLOOKUP(V179,'Catalogue Aluminium'!$Q$9:$S$28,2,FALSE),VLOOKUP(V179,'Catalogue Aluminium'!$Q$9:$S$28,3))))))</f>
        <v>NA</v>
      </c>
      <c r="AN179" s="351">
        <f t="shared" si="1451"/>
        <v>0.58740000000000003</v>
      </c>
      <c r="AO179" s="350">
        <f t="shared" si="1452"/>
        <v>22.321200000000001</v>
      </c>
      <c r="AP179" s="349">
        <f t="shared" si="1453"/>
        <v>1</v>
      </c>
      <c r="AQ179" s="350" t="str">
        <f t="shared" si="1454"/>
        <v>YES</v>
      </c>
      <c r="AR179" s="351">
        <f t="shared" si="1463"/>
        <v>0.47978040061128718</v>
      </c>
      <c r="AS179" s="343" t="str">
        <f t="shared" si="1464"/>
        <v>YES</v>
      </c>
      <c r="AT179" s="351" t="str">
        <f t="shared" si="1470"/>
        <v>NA</v>
      </c>
      <c r="AU179" s="343" t="str">
        <f t="shared" si="1455"/>
        <v>NA</v>
      </c>
      <c r="AV179" s="354" t="str">
        <f t="shared" si="1456"/>
        <v>1R x 0.6/1kV x 3C x 4 Sqmm</v>
      </c>
      <c r="AW179" s="354" t="str">
        <f t="shared" si="1457"/>
        <v>1R x 0.6/1kV x 3C x 4 Sqmm</v>
      </c>
      <c r="AX179" s="343">
        <f t="shared" si="1471"/>
        <v>84</v>
      </c>
      <c r="AY179" s="355"/>
      <c r="AZ179" s="355">
        <f t="shared" si="1472"/>
        <v>2</v>
      </c>
      <c r="BA179" s="356" t="str">
        <f t="shared" si="1458"/>
        <v/>
      </c>
      <c r="BB179" s="501">
        <f>VLOOKUP(W179,'Catalogue Aluminium'!$B$9:$H$93,7,FALSE)</f>
        <v>15</v>
      </c>
      <c r="BC179" s="328">
        <f t="shared" si="1473"/>
        <v>15</v>
      </c>
      <c r="BE179" s="336"/>
      <c r="BF179" s="336"/>
      <c r="BG179" s="336"/>
      <c r="BH179" s="336"/>
      <c r="BI179" s="336"/>
      <c r="BJ179" s="336"/>
      <c r="BK179" s="336"/>
      <c r="BL179" s="336"/>
      <c r="BM179" s="336"/>
      <c r="BN179" s="336"/>
      <c r="BO179" s="336"/>
      <c r="BP179" s="336"/>
      <c r="BQ179" s="336"/>
      <c r="BR179" s="336"/>
      <c r="BS179" s="336"/>
      <c r="BT179" s="336"/>
      <c r="BU179" s="336"/>
      <c r="BV179" s="336"/>
      <c r="BW179" s="336"/>
      <c r="BX179" s="336"/>
      <c r="BY179" s="336"/>
      <c r="BZ179" s="336"/>
      <c r="CA179" s="336"/>
      <c r="CB179" s="336"/>
      <c r="CC179" s="336"/>
      <c r="CD179" s="336"/>
      <c r="CE179" s="336"/>
      <c r="CF179" s="336"/>
      <c r="CG179" s="336"/>
      <c r="CH179" s="336"/>
      <c r="CI179" s="336"/>
      <c r="CJ179" s="336"/>
      <c r="CK179" s="336"/>
      <c r="CL179" s="336"/>
      <c r="CM179" s="336"/>
      <c r="CN179" s="336"/>
      <c r="CO179" s="336"/>
      <c r="CP179" s="336"/>
      <c r="CQ179" s="336"/>
      <c r="CR179" s="336"/>
      <c r="CS179" s="336"/>
      <c r="CT179" s="336"/>
      <c r="CU179" s="336"/>
      <c r="CV179" s="336"/>
      <c r="CW179" s="336"/>
      <c r="CX179" s="336"/>
      <c r="CY179" s="336"/>
      <c r="CZ179" s="336"/>
      <c r="DA179" s="336"/>
      <c r="DB179" s="336"/>
      <c r="DC179" s="336"/>
      <c r="DD179" s="336"/>
      <c r="DE179" s="336"/>
      <c r="DF179" s="336"/>
      <c r="DG179" s="336"/>
      <c r="DH179" s="336"/>
      <c r="DI179" s="336"/>
      <c r="DJ179" s="336"/>
      <c r="DK179" s="336"/>
      <c r="DL179" s="336"/>
      <c r="DM179" s="336"/>
      <c r="DN179" s="336"/>
      <c r="DO179" s="336"/>
      <c r="DP179" s="336"/>
      <c r="DQ179" s="336"/>
      <c r="DR179" s="336"/>
      <c r="DS179" s="336"/>
      <c r="DT179" s="336"/>
      <c r="DU179" s="336"/>
      <c r="DW179" s="336">
        <f t="shared" si="1286"/>
        <v>0</v>
      </c>
      <c r="DX179" s="336">
        <f t="shared" ref="DX179:DX241" si="1479">IF(BF179=1,($BC179*BF179),0)</f>
        <v>0</v>
      </c>
      <c r="DY179" s="336">
        <f t="shared" ref="DY179:DY241" si="1480">IF(BG179=1,($BC179*BG179),0)</f>
        <v>0</v>
      </c>
      <c r="DZ179" s="336">
        <f t="shared" ref="DZ179:DZ241" si="1481">IF(BH179=1,($BC179*BH179),0)</f>
        <v>0</v>
      </c>
      <c r="EA179" s="336">
        <f t="shared" ref="EA179:EA241" si="1482">IF(BI179=1,($BC179*BI179),0)</f>
        <v>0</v>
      </c>
      <c r="EB179" s="336">
        <f t="shared" ref="EB179:EB241" si="1483">IF(BJ179=1,($BC179*BJ179),0)</f>
        <v>0</v>
      </c>
      <c r="EC179" s="336">
        <f t="shared" ref="EC179:EC241" si="1484">IF(BK179=1,($BC179*BK179),0)</f>
        <v>0</v>
      </c>
      <c r="ED179" s="336">
        <f t="shared" ref="ED179:ED241" si="1485">IF(BL179=1,($BC179*BL179),0)</f>
        <v>0</v>
      </c>
      <c r="EE179" s="336">
        <f t="shared" ref="EE179:EE241" si="1486">IF(BM179=1,($BC179*BM179),0)</f>
        <v>0</v>
      </c>
      <c r="EF179" s="336">
        <f t="shared" ref="EF179:EF241" si="1487">IF(BN179=1,($BC179*BN179),0)</f>
        <v>0</v>
      </c>
      <c r="EG179" s="336">
        <f t="shared" ref="EG179:EG241" si="1488">IF(BO179=1,($BC179*BO179),0)</f>
        <v>0</v>
      </c>
      <c r="EH179" s="336">
        <f t="shared" ref="EH179:EH241" si="1489">IF(BP179=1,($BC179*BP179),0)</f>
        <v>0</v>
      </c>
      <c r="EI179" s="336">
        <f t="shared" ref="EI179:EI241" si="1490">IF(BQ179=1,($BC179*BQ179),0)</f>
        <v>0</v>
      </c>
      <c r="EJ179" s="336">
        <f t="shared" ref="EJ179:EJ241" si="1491">IF(BR179=1,($BC179*BR179),0)</f>
        <v>0</v>
      </c>
      <c r="EK179" s="336">
        <f t="shared" ref="EK179:EK241" si="1492">IF(BS179=1,($BC179*BS179),0)</f>
        <v>0</v>
      </c>
      <c r="EL179" s="336">
        <f t="shared" ref="EL179:EL241" si="1493">IF(BT179=1,($BC179*BT179),0)</f>
        <v>0</v>
      </c>
      <c r="EM179" s="336">
        <f t="shared" ref="EM179:EM241" si="1494">IF(BU179=1,($BC179*BU179),0)</f>
        <v>0</v>
      </c>
      <c r="EN179" s="336">
        <f t="shared" ref="EN179:EN241" si="1495">IF(BV179=1,($BC179*BV179),0)</f>
        <v>0</v>
      </c>
      <c r="EO179" s="336">
        <f t="shared" ref="EO179:EO241" si="1496">IF(BW179=1,($BC179*BW179),0)</f>
        <v>0</v>
      </c>
      <c r="EP179" s="336">
        <f t="shared" ref="EP179:EP241" si="1497">IF(BX179=1,($BC179*BX179),0)</f>
        <v>0</v>
      </c>
      <c r="EQ179" s="336">
        <f t="shared" ref="EQ179:EQ241" si="1498">IF(BY179=1,($BC179*BY179),0)</f>
        <v>0</v>
      </c>
      <c r="ER179" s="336">
        <f t="shared" ref="ER179:ER241" si="1499">IF(BZ179=1,($BC179*BZ179),0)</f>
        <v>0</v>
      </c>
      <c r="ES179" s="336">
        <f t="shared" ref="ES179:ET241" si="1500">IF(CA179=1,($BC179*CA179),0)</f>
        <v>0</v>
      </c>
      <c r="ET179" s="336">
        <f t="shared" si="1500"/>
        <v>0</v>
      </c>
      <c r="EU179" s="336">
        <f t="shared" ref="EU179:EU241" si="1501">IF(CC179=1,($BC179*CC179),0)</f>
        <v>0</v>
      </c>
      <c r="EV179" s="336">
        <f t="shared" ref="EV179:EV241" si="1502">IF(CD179=1,($BC179*CD179),0)</f>
        <v>0</v>
      </c>
      <c r="EW179" s="336">
        <f t="shared" ref="EW179:EW241" si="1503">IF(CE179=1,($BC179*CE179),0)</f>
        <v>0</v>
      </c>
      <c r="EX179" s="336">
        <f t="shared" ref="EX179:EX241" si="1504">IF(CF179=1,($BC179*CF179),0)</f>
        <v>0</v>
      </c>
      <c r="EY179" s="336">
        <f t="shared" ref="EY179:EY241" si="1505">IF(CG179=1,($BC179*CG179),0)</f>
        <v>0</v>
      </c>
      <c r="EZ179" s="336">
        <f t="shared" ref="EZ179:EZ241" si="1506">IF(CH179=1,($BC179*CH179),0)</f>
        <v>0</v>
      </c>
      <c r="FA179" s="336">
        <f t="shared" ref="FA179:FA241" si="1507">IF(CI179=1,($BC179*CI179),0)</f>
        <v>0</v>
      </c>
      <c r="FB179" s="336">
        <f t="shared" ref="FB179:FB241" si="1508">IF(CJ179=1,($BC179*CJ179),0)</f>
        <v>0</v>
      </c>
      <c r="FC179" s="336">
        <f t="shared" ref="FC179:FC241" si="1509">IF(CK179=1,($BC179*CK179),0)</f>
        <v>0</v>
      </c>
      <c r="FD179" s="336">
        <f t="shared" ref="FD179:FD241" si="1510">IF(CL179=1,($BC179*CL179),0)</f>
        <v>0</v>
      </c>
      <c r="FE179" s="336">
        <f t="shared" ref="FE179:FE241" si="1511">IF(CM179=1,($BC179*CM179),0)</f>
        <v>0</v>
      </c>
      <c r="FF179" s="336">
        <f t="shared" ref="FF179:FF241" si="1512">IF(CN179=1,($BC179*CN179),0)</f>
        <v>0</v>
      </c>
      <c r="FG179" s="336">
        <f t="shared" ref="FG179:FG241" si="1513">IF(CO179=1,($BC179*CO179),0)</f>
        <v>0</v>
      </c>
      <c r="FH179" s="336">
        <f t="shared" ref="FH179:FH241" si="1514">IF(CP179=1,($BC179*CP179),0)</f>
        <v>0</v>
      </c>
      <c r="FI179" s="336">
        <f t="shared" ref="FI179:FI241" si="1515">IF(CQ179=1,($BC179*CQ179),0)</f>
        <v>0</v>
      </c>
      <c r="FJ179" s="336">
        <f t="shared" ref="FJ179:FJ241" si="1516">IF(CR179=1,($BC179*CR179),0)</f>
        <v>0</v>
      </c>
      <c r="FK179" s="336">
        <f t="shared" ref="FK179:FK241" si="1517">IF(CS179=1,($BC179*CS179),0)</f>
        <v>0</v>
      </c>
      <c r="FL179" s="336">
        <f t="shared" ref="FL179:FL241" si="1518">IF(CT179=1,($BC179*CT179),0)</f>
        <v>0</v>
      </c>
      <c r="FM179" s="336">
        <f t="shared" ref="FM179:FM241" si="1519">IF(CU179=1,($BC179*CU179),0)</f>
        <v>0</v>
      </c>
      <c r="FN179" s="336">
        <f t="shared" ref="FN179:FN241" si="1520">IF(CV179=1,($BC179*CV179),0)</f>
        <v>0</v>
      </c>
      <c r="FO179" s="336">
        <f t="shared" ref="FO179:FO241" si="1521">IF(CW179=1,($BC179*CW179),0)</f>
        <v>0</v>
      </c>
      <c r="FP179" s="336">
        <f t="shared" ref="FP179:FP241" si="1522">IF(CX179=1,($BC179*CX179),0)</f>
        <v>0</v>
      </c>
      <c r="FQ179" s="336">
        <f t="shared" ref="FQ179:FQ241" si="1523">IF(CY179=1,($BC179*CY179),0)</f>
        <v>0</v>
      </c>
      <c r="FR179" s="336">
        <f t="shared" ref="FR179:FR241" si="1524">IF(CZ179=1,($BC179*CZ179),0)</f>
        <v>0</v>
      </c>
      <c r="FS179" s="336">
        <f t="shared" ref="FS179:FS241" si="1525">IF(DA179=1,($BC179*DA179),0)</f>
        <v>0</v>
      </c>
      <c r="FT179" s="336">
        <f t="shared" ref="FT179:FT241" si="1526">IF(DB179=1,($BC179*DB179),0)</f>
        <v>0</v>
      </c>
      <c r="FU179" s="336">
        <f t="shared" si="1474"/>
        <v>0</v>
      </c>
      <c r="FV179" s="336">
        <f t="shared" si="1475"/>
        <v>0</v>
      </c>
      <c r="FW179" s="336">
        <f t="shared" si="1476"/>
        <v>0</v>
      </c>
      <c r="FX179" s="336">
        <f t="shared" si="1477"/>
        <v>0</v>
      </c>
      <c r="FY179" s="336">
        <f t="shared" si="1417"/>
        <v>0</v>
      </c>
      <c r="FZ179" s="336">
        <f t="shared" si="1418"/>
        <v>0</v>
      </c>
      <c r="GA179" s="336">
        <f t="shared" si="1419"/>
        <v>0</v>
      </c>
      <c r="GB179" s="336">
        <f t="shared" si="1420"/>
        <v>0</v>
      </c>
      <c r="GC179" s="336">
        <f t="shared" si="1421"/>
        <v>0</v>
      </c>
      <c r="GD179" s="336">
        <f t="shared" si="1422"/>
        <v>0</v>
      </c>
      <c r="GE179" s="336">
        <f t="shared" si="1423"/>
        <v>0</v>
      </c>
      <c r="GF179" s="336">
        <f t="shared" si="1424"/>
        <v>0</v>
      </c>
      <c r="GG179" s="336">
        <f t="shared" si="1425"/>
        <v>0</v>
      </c>
      <c r="GH179" s="336">
        <f t="shared" si="1426"/>
        <v>0</v>
      </c>
      <c r="GI179" s="336">
        <f t="shared" si="1427"/>
        <v>0</v>
      </c>
      <c r="GJ179" s="336">
        <f t="shared" si="1428"/>
        <v>0</v>
      </c>
      <c r="GK179" s="336">
        <f t="shared" si="1429"/>
        <v>0</v>
      </c>
      <c r="GL179" s="336">
        <f t="shared" si="1478"/>
        <v>0</v>
      </c>
      <c r="GM179" s="336">
        <f t="shared" si="1430"/>
        <v>0</v>
      </c>
    </row>
    <row r="180" spans="1:195" ht="27.75" customHeight="1">
      <c r="A180" s="337">
        <f t="shared" ref="A180:A196" si="1527">A179+1</f>
        <v>135</v>
      </c>
      <c r="B180" s="453"/>
      <c r="C180" s="372" t="str">
        <f t="shared" si="1459"/>
        <v>WORKSHOP HVAC DB</v>
      </c>
      <c r="D180" s="444" t="s">
        <v>1327</v>
      </c>
      <c r="E180" s="569" t="s">
        <v>1178</v>
      </c>
      <c r="F180" s="500"/>
      <c r="G180" s="337" t="s">
        <v>329</v>
      </c>
      <c r="H180" s="583">
        <v>0.25</v>
      </c>
      <c r="I180" s="337" t="s">
        <v>330</v>
      </c>
      <c r="J180" s="585" t="s">
        <v>331</v>
      </c>
      <c r="K180" s="585">
        <v>400</v>
      </c>
      <c r="L180" s="343">
        <v>0.95</v>
      </c>
      <c r="M180" s="350">
        <v>0.85</v>
      </c>
      <c r="N180" s="342">
        <f t="shared" si="1444"/>
        <v>0.44687864206093286</v>
      </c>
      <c r="O180" s="342">
        <f t="shared" si="1445"/>
        <v>0</v>
      </c>
      <c r="P180" s="343" t="str">
        <f t="shared" si="1446"/>
        <v>0.00</v>
      </c>
      <c r="Q180" s="350">
        <v>65</v>
      </c>
      <c r="R180" s="350">
        <v>0</v>
      </c>
      <c r="S180" s="350">
        <f t="shared" si="1447"/>
        <v>0</v>
      </c>
      <c r="T180" s="343" t="s">
        <v>131</v>
      </c>
      <c r="U180" s="350" t="s">
        <v>522</v>
      </c>
      <c r="V180" s="343">
        <v>4</v>
      </c>
      <c r="W180" s="343" t="str">
        <f t="shared" si="1448"/>
        <v>4C X 4</v>
      </c>
      <c r="X180" s="343" t="str">
        <f t="shared" si="1449"/>
        <v>4C X 4</v>
      </c>
      <c r="Y180" s="343" t="s">
        <v>358</v>
      </c>
      <c r="Z180" s="344">
        <f>IF(T180="AIR",VLOOKUP(W180,'Catalogue Aluminium'!$B$9:$G$93,2,FALSE),IF(T180="GROUND",VLOOKUP(W180,'Catalogue Aluminium'!$B$9:$G$93,3,FALSE),IF(T180="DUCT",VLOOKUP(W180,'Catalogue Aluminium'!$B$9:$G$93,4,FALSE),IF(T180="TRENCH",VLOOKUP(W180,'Catalogue Aluminium'!$B$9:$G$93,2,FALSE)))))</f>
        <v>38</v>
      </c>
      <c r="AA180" s="345">
        <f>VLOOKUP(W180,'Catalogue Aluminium'!$B$9:$G$93,5,FALSE)</f>
        <v>5.9</v>
      </c>
      <c r="AB180" s="345">
        <f>VLOOKUP(W180,'Catalogue Aluminium'!$B$9:$G$93,6,FALSE)</f>
        <v>9.4700000000000006E-2</v>
      </c>
      <c r="AC180" s="343">
        <f t="shared" si="1460"/>
        <v>61</v>
      </c>
      <c r="AD180" s="343">
        <v>0</v>
      </c>
      <c r="AE180" s="343">
        <v>10</v>
      </c>
      <c r="AF180" s="343">
        <v>5</v>
      </c>
      <c r="AG180" s="343">
        <f t="shared" si="1462"/>
        <v>8</v>
      </c>
      <c r="AH180" s="347">
        <f t="shared" si="1450"/>
        <v>84</v>
      </c>
      <c r="AI180" s="344">
        <f>IF(T180="AIR",'Catalogue Aluminium'!$K$9,IF(T180="TRENCH",'Catalogue Aluminium'!$K$12,"NA"))</f>
        <v>0.89</v>
      </c>
      <c r="AJ180" s="342">
        <f>IF(T180="Air",(IF(U180="1C",'Catalogue Aluminium'!$L$9,'Catalogue Aluminium'!$M$9)),IF(T180="DUCT",(IF($U180="1C",'Catalogue Aluminium'!$L$10,'Catalogue Aluminium'!$M$10)),IF(T180="GROUND",(IF($U180="1C",'Catalogue Aluminium'!$L$11,'Catalogue Aluminium'!$M$11)),IF(T180="TRENCH",(IF($U180="1C",'Catalogue Aluminium'!$L$12,'Catalogue Aluminium'!$M$12))))))</f>
        <v>0.66</v>
      </c>
      <c r="AK180" s="344" t="str">
        <f>IF(T180="Air",'Catalogue Aluminium'!$N$9,IF(T180="GROUND",'Catalogue Aluminium'!$N$10,IF(T180="DUCT",'Catalogue Aluminium'!$N$11,IF(T180="TRENCH",'Catalogue Aluminium'!$N$12,"NA"))))</f>
        <v>NA</v>
      </c>
      <c r="AL180" s="344" t="str">
        <f>IF(T180="Air",(IF(U180="1C",'Catalogue Aluminium'!$O$9,'Catalogue Aluminium'!$P$9)),IF(T180="DUCT",(IF($U180="1C",'Catalogue Aluminium'!$O$10,'Catalogue Aluminium'!$P$10)),IF(T180="GROUND",(IF($U180="1C",'Catalogue Aluminium'!$O$11,'Catalogue Aluminium'!$P$11)),IF(T180="TRENCH",(IF($U180="1C",'Catalogue Aluminium'!$O$12,'Catalogue Aluminium'!$P$12))))))</f>
        <v>NA</v>
      </c>
      <c r="AM180" s="344" t="str">
        <f>IF(T180="AIR","NA",IF(T180="TRENCH","NA",IF(T180="DUCT",IF(U180="1C",VLOOKUP(V180,'Catalogue Aluminium'!$Q$9:$S$28,2,FALSE),VLOOKUP(V180,'Catalogue Aluminium'!$Q$9:$S$28,3)),IF(T180="GROUND",IF(U180="1C",VLOOKUP(V180,'Catalogue Aluminium'!$Q$9:$S$28,2,FALSE),VLOOKUP(V180,'Catalogue Aluminium'!$Q$9:$S$28,3))))))</f>
        <v>NA</v>
      </c>
      <c r="AN180" s="351">
        <f t="shared" si="1451"/>
        <v>0.58740000000000003</v>
      </c>
      <c r="AO180" s="350">
        <f t="shared" si="1452"/>
        <v>22.321200000000001</v>
      </c>
      <c r="AP180" s="349">
        <f t="shared" si="1453"/>
        <v>1</v>
      </c>
      <c r="AQ180" s="350" t="str">
        <f t="shared" si="1454"/>
        <v>YES</v>
      </c>
      <c r="AR180" s="351">
        <f t="shared" si="1463"/>
        <v>9.1586255746020112E-2</v>
      </c>
      <c r="AS180" s="343" t="str">
        <f t="shared" si="1464"/>
        <v>YES</v>
      </c>
      <c r="AT180" s="351" t="str">
        <f t="shared" si="1470"/>
        <v>NA</v>
      </c>
      <c r="AU180" s="343" t="str">
        <f t="shared" si="1455"/>
        <v>NA</v>
      </c>
      <c r="AV180" s="354" t="str">
        <f t="shared" si="1456"/>
        <v>1R x 0.6/1kV x 4C x 4 Sqmm</v>
      </c>
      <c r="AW180" s="354" t="str">
        <f t="shared" si="1457"/>
        <v>1R x 0.6/1kV x 4C x 4 Sqmm</v>
      </c>
      <c r="AX180" s="343">
        <f t="shared" si="1471"/>
        <v>84</v>
      </c>
      <c r="AY180" s="355"/>
      <c r="AZ180" s="355">
        <f t="shared" si="1472"/>
        <v>2</v>
      </c>
      <c r="BA180" s="356" t="str">
        <f t="shared" si="1458"/>
        <v/>
      </c>
      <c r="BB180" s="501">
        <f>VLOOKUP(W180,'Catalogue Aluminium'!$B$9:$H$93,7,FALSE)</f>
        <v>16</v>
      </c>
      <c r="BC180" s="328">
        <f t="shared" si="1473"/>
        <v>16</v>
      </c>
      <c r="BE180" s="336"/>
      <c r="BF180" s="336"/>
      <c r="BG180" s="336"/>
      <c r="BH180" s="336"/>
      <c r="BI180" s="336"/>
      <c r="BJ180" s="336"/>
      <c r="BK180" s="336"/>
      <c r="BL180" s="336"/>
      <c r="BM180" s="336"/>
      <c r="BN180" s="336"/>
      <c r="BO180" s="336"/>
      <c r="BP180" s="336"/>
      <c r="BQ180" s="336"/>
      <c r="BR180" s="336"/>
      <c r="BS180" s="336"/>
      <c r="BT180" s="336"/>
      <c r="BU180" s="336"/>
      <c r="BV180" s="336"/>
      <c r="BW180" s="336"/>
      <c r="BX180" s="336"/>
      <c r="BY180" s="336"/>
      <c r="BZ180" s="336"/>
      <c r="CA180" s="336"/>
      <c r="CB180" s="336"/>
      <c r="CC180" s="336"/>
      <c r="CD180" s="336"/>
      <c r="CE180" s="336"/>
      <c r="CF180" s="336"/>
      <c r="CG180" s="336"/>
      <c r="CH180" s="336"/>
      <c r="CI180" s="336"/>
      <c r="CJ180" s="336"/>
      <c r="CK180" s="336"/>
      <c r="CL180" s="336"/>
      <c r="CM180" s="336"/>
      <c r="CN180" s="336"/>
      <c r="CO180" s="336"/>
      <c r="CP180" s="336"/>
      <c r="CQ180" s="336"/>
      <c r="CR180" s="336"/>
      <c r="CS180" s="336"/>
      <c r="CT180" s="336"/>
      <c r="CU180" s="336"/>
      <c r="CV180" s="336"/>
      <c r="CW180" s="336"/>
      <c r="CX180" s="336"/>
      <c r="CY180" s="336"/>
      <c r="CZ180" s="336"/>
      <c r="DA180" s="336"/>
      <c r="DB180" s="336"/>
      <c r="DC180" s="336"/>
      <c r="DD180" s="336"/>
      <c r="DE180" s="336"/>
      <c r="DF180" s="336"/>
      <c r="DG180" s="336"/>
      <c r="DH180" s="336"/>
      <c r="DI180" s="336"/>
      <c r="DJ180" s="336"/>
      <c r="DK180" s="336"/>
      <c r="DL180" s="336"/>
      <c r="DM180" s="336"/>
      <c r="DN180" s="336"/>
      <c r="DO180" s="336"/>
      <c r="DP180" s="336"/>
      <c r="DQ180" s="336"/>
      <c r="DR180" s="336"/>
      <c r="DS180" s="336"/>
      <c r="DT180" s="336"/>
      <c r="DU180" s="336"/>
      <c r="DW180" s="336">
        <f t="shared" si="1286"/>
        <v>0</v>
      </c>
      <c r="DX180" s="336">
        <f t="shared" si="1479"/>
        <v>0</v>
      </c>
      <c r="DY180" s="336">
        <f t="shared" si="1480"/>
        <v>0</v>
      </c>
      <c r="DZ180" s="336">
        <f t="shared" si="1481"/>
        <v>0</v>
      </c>
      <c r="EA180" s="336">
        <f t="shared" si="1482"/>
        <v>0</v>
      </c>
      <c r="EB180" s="336">
        <f t="shared" si="1483"/>
        <v>0</v>
      </c>
      <c r="EC180" s="336">
        <f t="shared" si="1484"/>
        <v>0</v>
      </c>
      <c r="ED180" s="336">
        <f t="shared" si="1485"/>
        <v>0</v>
      </c>
      <c r="EE180" s="336">
        <f t="shared" si="1486"/>
        <v>0</v>
      </c>
      <c r="EF180" s="336">
        <f t="shared" si="1487"/>
        <v>0</v>
      </c>
      <c r="EG180" s="336">
        <f t="shared" si="1488"/>
        <v>0</v>
      </c>
      <c r="EH180" s="336">
        <f t="shared" si="1489"/>
        <v>0</v>
      </c>
      <c r="EI180" s="336">
        <f t="shared" si="1490"/>
        <v>0</v>
      </c>
      <c r="EJ180" s="336">
        <f t="shared" si="1491"/>
        <v>0</v>
      </c>
      <c r="EK180" s="336">
        <f t="shared" si="1492"/>
        <v>0</v>
      </c>
      <c r="EL180" s="336">
        <f t="shared" si="1493"/>
        <v>0</v>
      </c>
      <c r="EM180" s="336">
        <f t="shared" si="1494"/>
        <v>0</v>
      </c>
      <c r="EN180" s="336">
        <f t="shared" si="1495"/>
        <v>0</v>
      </c>
      <c r="EO180" s="336">
        <f t="shared" si="1496"/>
        <v>0</v>
      </c>
      <c r="EP180" s="336">
        <f t="shared" si="1497"/>
        <v>0</v>
      </c>
      <c r="EQ180" s="336">
        <f t="shared" si="1498"/>
        <v>0</v>
      </c>
      <c r="ER180" s="336">
        <f t="shared" si="1499"/>
        <v>0</v>
      </c>
      <c r="ES180" s="336">
        <f t="shared" si="1500"/>
        <v>0</v>
      </c>
      <c r="ET180" s="336">
        <f t="shared" si="1500"/>
        <v>0</v>
      </c>
      <c r="EU180" s="336">
        <f t="shared" si="1501"/>
        <v>0</v>
      </c>
      <c r="EV180" s="336">
        <f t="shared" si="1502"/>
        <v>0</v>
      </c>
      <c r="EW180" s="336">
        <f t="shared" si="1503"/>
        <v>0</v>
      </c>
      <c r="EX180" s="336">
        <f t="shared" si="1504"/>
        <v>0</v>
      </c>
      <c r="EY180" s="336">
        <f t="shared" si="1505"/>
        <v>0</v>
      </c>
      <c r="EZ180" s="336">
        <f t="shared" si="1506"/>
        <v>0</v>
      </c>
      <c r="FA180" s="336">
        <f t="shared" si="1507"/>
        <v>0</v>
      </c>
      <c r="FB180" s="336">
        <f t="shared" si="1508"/>
        <v>0</v>
      </c>
      <c r="FC180" s="336">
        <f t="shared" si="1509"/>
        <v>0</v>
      </c>
      <c r="FD180" s="336">
        <f t="shared" si="1510"/>
        <v>0</v>
      </c>
      <c r="FE180" s="336">
        <f t="shared" si="1511"/>
        <v>0</v>
      </c>
      <c r="FF180" s="336">
        <f t="shared" si="1512"/>
        <v>0</v>
      </c>
      <c r="FG180" s="336">
        <f t="shared" si="1513"/>
        <v>0</v>
      </c>
      <c r="FH180" s="336">
        <f t="shared" si="1514"/>
        <v>0</v>
      </c>
      <c r="FI180" s="336">
        <f t="shared" si="1515"/>
        <v>0</v>
      </c>
      <c r="FJ180" s="336">
        <f t="shared" si="1516"/>
        <v>0</v>
      </c>
      <c r="FK180" s="336">
        <f t="shared" si="1517"/>
        <v>0</v>
      </c>
      <c r="FL180" s="336">
        <f t="shared" si="1518"/>
        <v>0</v>
      </c>
      <c r="FM180" s="336">
        <f t="shared" si="1519"/>
        <v>0</v>
      </c>
      <c r="FN180" s="336">
        <f t="shared" si="1520"/>
        <v>0</v>
      </c>
      <c r="FO180" s="336">
        <f t="shared" si="1521"/>
        <v>0</v>
      </c>
      <c r="FP180" s="336">
        <f t="shared" si="1522"/>
        <v>0</v>
      </c>
      <c r="FQ180" s="336">
        <f t="shared" si="1523"/>
        <v>0</v>
      </c>
      <c r="FR180" s="336">
        <f t="shared" si="1524"/>
        <v>0</v>
      </c>
      <c r="FS180" s="336">
        <f t="shared" si="1525"/>
        <v>0</v>
      </c>
      <c r="FT180" s="336">
        <f t="shared" si="1526"/>
        <v>0</v>
      </c>
      <c r="FU180" s="336">
        <f t="shared" si="1474"/>
        <v>0</v>
      </c>
      <c r="FV180" s="336">
        <f t="shared" si="1475"/>
        <v>0</v>
      </c>
      <c r="FW180" s="336">
        <f t="shared" si="1476"/>
        <v>0</v>
      </c>
      <c r="FX180" s="336">
        <f t="shared" si="1477"/>
        <v>0</v>
      </c>
      <c r="FY180" s="336">
        <f t="shared" si="1417"/>
        <v>0</v>
      </c>
      <c r="FZ180" s="336">
        <f t="shared" si="1418"/>
        <v>0</v>
      </c>
      <c r="GA180" s="336">
        <f t="shared" si="1419"/>
        <v>0</v>
      </c>
      <c r="GB180" s="336">
        <f t="shared" si="1420"/>
        <v>0</v>
      </c>
      <c r="GC180" s="336">
        <f t="shared" si="1421"/>
        <v>0</v>
      </c>
      <c r="GD180" s="336">
        <f t="shared" si="1422"/>
        <v>0</v>
      </c>
      <c r="GE180" s="336">
        <f t="shared" si="1423"/>
        <v>0</v>
      </c>
      <c r="GF180" s="336">
        <f t="shared" si="1424"/>
        <v>0</v>
      </c>
      <c r="GG180" s="336">
        <f t="shared" si="1425"/>
        <v>0</v>
      </c>
      <c r="GH180" s="336">
        <f t="shared" si="1426"/>
        <v>0</v>
      </c>
      <c r="GI180" s="336">
        <f t="shared" si="1427"/>
        <v>0</v>
      </c>
      <c r="GJ180" s="336">
        <f t="shared" si="1428"/>
        <v>0</v>
      </c>
      <c r="GK180" s="336">
        <f t="shared" si="1429"/>
        <v>0</v>
      </c>
      <c r="GL180" s="336">
        <f t="shared" si="1478"/>
        <v>0</v>
      </c>
      <c r="GM180" s="336">
        <f t="shared" si="1430"/>
        <v>0</v>
      </c>
    </row>
    <row r="181" spans="1:195" ht="27.75" customHeight="1">
      <c r="A181" s="337">
        <f t="shared" si="1527"/>
        <v>136</v>
      </c>
      <c r="B181" s="453"/>
      <c r="C181" s="372" t="str">
        <f t="shared" si="1459"/>
        <v>WORKSHOP HVAC DB</v>
      </c>
      <c r="D181" s="444" t="s">
        <v>1328</v>
      </c>
      <c r="E181" s="569" t="s">
        <v>1178</v>
      </c>
      <c r="F181" s="500"/>
      <c r="G181" s="337" t="s">
        <v>329</v>
      </c>
      <c r="H181" s="583">
        <v>0.25</v>
      </c>
      <c r="I181" s="337" t="s">
        <v>330</v>
      </c>
      <c r="J181" s="349" t="s">
        <v>357</v>
      </c>
      <c r="K181" s="349">
        <v>230</v>
      </c>
      <c r="L181" s="343">
        <v>0.95</v>
      </c>
      <c r="M181" s="350">
        <v>0.85</v>
      </c>
      <c r="N181" s="342">
        <f t="shared" si="1444"/>
        <v>1.3460761879122358</v>
      </c>
      <c r="O181" s="342">
        <f t="shared" si="1445"/>
        <v>0</v>
      </c>
      <c r="P181" s="343" t="str">
        <f t="shared" si="1446"/>
        <v>0.00</v>
      </c>
      <c r="Q181" s="350">
        <v>65</v>
      </c>
      <c r="R181" s="350">
        <v>0</v>
      </c>
      <c r="S181" s="350">
        <f t="shared" si="1447"/>
        <v>0</v>
      </c>
      <c r="T181" s="343" t="s">
        <v>131</v>
      </c>
      <c r="U181" s="350" t="s">
        <v>333</v>
      </c>
      <c r="V181" s="343">
        <v>4</v>
      </c>
      <c r="W181" s="343" t="str">
        <f t="shared" si="1448"/>
        <v>3C X 4</v>
      </c>
      <c r="X181" s="343" t="str">
        <f t="shared" si="1449"/>
        <v>3C X 4</v>
      </c>
      <c r="Y181" s="343" t="s">
        <v>358</v>
      </c>
      <c r="Z181" s="344">
        <f>IF(T181="AIR",VLOOKUP(W181,'Catalogue Aluminium'!$B$9:$G$93,2,FALSE),IF(T181="GROUND",VLOOKUP(W181,'Catalogue Aluminium'!$B$9:$G$93,3,FALSE),IF(T181="DUCT",VLOOKUP(W181,'Catalogue Aluminium'!$B$9:$G$93,4,FALSE),IF(T181="TRENCH",VLOOKUP(W181,'Catalogue Aluminium'!$B$9:$G$93,2,FALSE)))))</f>
        <v>38</v>
      </c>
      <c r="AA181" s="345">
        <f>VLOOKUP(W181,'Catalogue Aluminium'!$B$9:$G$93,5,FALSE)</f>
        <v>5.9</v>
      </c>
      <c r="AB181" s="345">
        <f>VLOOKUP(W181,'Catalogue Aluminium'!$B$9:$G$93,6,FALSE)</f>
        <v>9.4700000000000006E-2</v>
      </c>
      <c r="AC181" s="343">
        <f t="shared" si="1460"/>
        <v>61</v>
      </c>
      <c r="AD181" s="343">
        <v>0</v>
      </c>
      <c r="AE181" s="343">
        <v>10</v>
      </c>
      <c r="AF181" s="343">
        <v>5</v>
      </c>
      <c r="AG181" s="343">
        <f t="shared" si="1462"/>
        <v>8</v>
      </c>
      <c r="AH181" s="347">
        <f t="shared" si="1450"/>
        <v>84</v>
      </c>
      <c r="AI181" s="344">
        <f>IF(T181="AIR",'Catalogue Aluminium'!$K$9,IF(T181="TRENCH",'Catalogue Aluminium'!$K$12,"NA"))</f>
        <v>0.89</v>
      </c>
      <c r="AJ181" s="342">
        <f>IF(T181="Air",(IF(U181="1C",'Catalogue Aluminium'!$L$9,'Catalogue Aluminium'!$M$9)),IF(T181="DUCT",(IF($U181="1C",'Catalogue Aluminium'!$L$10,'Catalogue Aluminium'!$M$10)),IF(T181="GROUND",(IF($U181="1C",'Catalogue Aluminium'!$L$11,'Catalogue Aluminium'!$M$11)),IF(T181="TRENCH",(IF($U181="1C",'Catalogue Aluminium'!$L$12,'Catalogue Aluminium'!$M$12))))))</f>
        <v>0.66</v>
      </c>
      <c r="AK181" s="344" t="str">
        <f>IF(T181="Air",'Catalogue Aluminium'!$N$9,IF(T181="GROUND",'Catalogue Aluminium'!$N$10,IF(T181="DUCT",'Catalogue Aluminium'!$N$11,IF(T181="TRENCH",'Catalogue Aluminium'!$N$12,"NA"))))</f>
        <v>NA</v>
      </c>
      <c r="AL181" s="344" t="str">
        <f>IF(T181="Air",(IF(U181="1C",'Catalogue Aluminium'!$O$9,'Catalogue Aluminium'!$P$9)),IF(T181="DUCT",(IF($U181="1C",'Catalogue Aluminium'!$O$10,'Catalogue Aluminium'!$P$10)),IF(T181="GROUND",(IF($U181="1C",'Catalogue Aluminium'!$O$11,'Catalogue Aluminium'!$P$11)),IF(T181="TRENCH",(IF($U181="1C",'Catalogue Aluminium'!$O$12,'Catalogue Aluminium'!$P$12))))))</f>
        <v>NA</v>
      </c>
      <c r="AM181" s="344" t="str">
        <f>IF(T181="AIR","NA",IF(T181="TRENCH","NA",IF(T181="DUCT",IF(U181="1C",VLOOKUP(V181,'Catalogue Aluminium'!$Q$9:$S$28,2,FALSE),VLOOKUP(V181,'Catalogue Aluminium'!$Q$9:$S$28,3)),IF(T181="GROUND",IF(U181="1C",VLOOKUP(V181,'Catalogue Aluminium'!$Q$9:$S$28,2,FALSE),VLOOKUP(V181,'Catalogue Aluminium'!$Q$9:$S$28,3))))))</f>
        <v>NA</v>
      </c>
      <c r="AN181" s="351">
        <f t="shared" si="1451"/>
        <v>0.58740000000000003</v>
      </c>
      <c r="AO181" s="350">
        <f t="shared" si="1452"/>
        <v>22.321200000000001</v>
      </c>
      <c r="AP181" s="349">
        <f t="shared" si="1453"/>
        <v>1</v>
      </c>
      <c r="AQ181" s="350" t="str">
        <f t="shared" si="1454"/>
        <v>YES</v>
      </c>
      <c r="AR181" s="351">
        <f t="shared" si="1463"/>
        <v>0.47978040061128718</v>
      </c>
      <c r="AS181" s="343" t="str">
        <f t="shared" si="1464"/>
        <v>YES</v>
      </c>
      <c r="AT181" s="351" t="str">
        <f t="shared" si="1470"/>
        <v>NA</v>
      </c>
      <c r="AU181" s="343" t="str">
        <f t="shared" si="1455"/>
        <v>NA</v>
      </c>
      <c r="AV181" s="354" t="str">
        <f t="shared" si="1456"/>
        <v>1R x 0.6/1kV x 3C x 4 Sqmm</v>
      </c>
      <c r="AW181" s="354" t="str">
        <f t="shared" si="1457"/>
        <v>1R x 0.6/1kV x 3C x 4 Sqmm</v>
      </c>
      <c r="AX181" s="343">
        <f t="shared" si="1471"/>
        <v>84</v>
      </c>
      <c r="AY181" s="355"/>
      <c r="AZ181" s="355">
        <f t="shared" si="1472"/>
        <v>2</v>
      </c>
      <c r="BA181" s="356" t="str">
        <f t="shared" si="1458"/>
        <v/>
      </c>
      <c r="BB181" s="501">
        <f>VLOOKUP(W181,'Catalogue Aluminium'!$B$9:$H$93,7,FALSE)</f>
        <v>15</v>
      </c>
      <c r="BC181" s="328">
        <f t="shared" si="1473"/>
        <v>15</v>
      </c>
      <c r="BE181" s="336"/>
      <c r="BF181" s="336"/>
      <c r="BG181" s="336"/>
      <c r="BH181" s="336"/>
      <c r="BI181" s="336"/>
      <c r="BJ181" s="336"/>
      <c r="BK181" s="336"/>
      <c r="BL181" s="336"/>
      <c r="BM181" s="336"/>
      <c r="BN181" s="336"/>
      <c r="BO181" s="336"/>
      <c r="BP181" s="336"/>
      <c r="BQ181" s="336"/>
      <c r="BR181" s="336"/>
      <c r="BS181" s="336"/>
      <c r="BT181" s="336"/>
      <c r="BU181" s="336"/>
      <c r="BV181" s="336"/>
      <c r="BW181" s="336"/>
      <c r="BX181" s="336"/>
      <c r="BY181" s="336"/>
      <c r="BZ181" s="336"/>
      <c r="CA181" s="336"/>
      <c r="CB181" s="336"/>
      <c r="CC181" s="336"/>
      <c r="CD181" s="336"/>
      <c r="CE181" s="336"/>
      <c r="CF181" s="336"/>
      <c r="CG181" s="336"/>
      <c r="CH181" s="336"/>
      <c r="CI181" s="336"/>
      <c r="CJ181" s="336"/>
      <c r="CK181" s="336"/>
      <c r="CL181" s="336"/>
      <c r="CM181" s="336"/>
      <c r="CN181" s="336"/>
      <c r="CO181" s="336"/>
      <c r="CP181" s="336"/>
      <c r="CQ181" s="336"/>
      <c r="CR181" s="336"/>
      <c r="CS181" s="336"/>
      <c r="CT181" s="336"/>
      <c r="CU181" s="336"/>
      <c r="CV181" s="336"/>
      <c r="CW181" s="336"/>
      <c r="CX181" s="336"/>
      <c r="CY181" s="336"/>
      <c r="CZ181" s="336"/>
      <c r="DA181" s="336"/>
      <c r="DB181" s="336"/>
      <c r="DC181" s="336"/>
      <c r="DD181" s="336"/>
      <c r="DE181" s="336"/>
      <c r="DF181" s="336"/>
      <c r="DG181" s="336"/>
      <c r="DH181" s="336"/>
      <c r="DI181" s="336"/>
      <c r="DJ181" s="336"/>
      <c r="DK181" s="336"/>
      <c r="DL181" s="336"/>
      <c r="DM181" s="336"/>
      <c r="DN181" s="336"/>
      <c r="DO181" s="336"/>
      <c r="DP181" s="336"/>
      <c r="DQ181" s="336"/>
      <c r="DR181" s="336"/>
      <c r="DS181" s="336"/>
      <c r="DT181" s="336"/>
      <c r="DU181" s="336"/>
      <c r="DW181" s="336">
        <f t="shared" si="1286"/>
        <v>0</v>
      </c>
      <c r="DX181" s="336">
        <f t="shared" si="1479"/>
        <v>0</v>
      </c>
      <c r="DY181" s="336">
        <f t="shared" si="1480"/>
        <v>0</v>
      </c>
      <c r="DZ181" s="336">
        <f t="shared" si="1481"/>
        <v>0</v>
      </c>
      <c r="EA181" s="336">
        <f t="shared" si="1482"/>
        <v>0</v>
      </c>
      <c r="EB181" s="336">
        <f t="shared" si="1483"/>
        <v>0</v>
      </c>
      <c r="EC181" s="336">
        <f t="shared" si="1484"/>
        <v>0</v>
      </c>
      <c r="ED181" s="336">
        <f t="shared" si="1485"/>
        <v>0</v>
      </c>
      <c r="EE181" s="336">
        <f t="shared" si="1486"/>
        <v>0</v>
      </c>
      <c r="EF181" s="336">
        <f t="shared" si="1487"/>
        <v>0</v>
      </c>
      <c r="EG181" s="336">
        <f t="shared" si="1488"/>
        <v>0</v>
      </c>
      <c r="EH181" s="336">
        <f t="shared" si="1489"/>
        <v>0</v>
      </c>
      <c r="EI181" s="336">
        <f t="shared" si="1490"/>
        <v>0</v>
      </c>
      <c r="EJ181" s="336">
        <f t="shared" si="1491"/>
        <v>0</v>
      </c>
      <c r="EK181" s="336">
        <f t="shared" si="1492"/>
        <v>0</v>
      </c>
      <c r="EL181" s="336">
        <f t="shared" si="1493"/>
        <v>0</v>
      </c>
      <c r="EM181" s="336">
        <f t="shared" si="1494"/>
        <v>0</v>
      </c>
      <c r="EN181" s="336">
        <f t="shared" si="1495"/>
        <v>0</v>
      </c>
      <c r="EO181" s="336">
        <f t="shared" si="1496"/>
        <v>0</v>
      </c>
      <c r="EP181" s="336">
        <f t="shared" si="1497"/>
        <v>0</v>
      </c>
      <c r="EQ181" s="336">
        <f t="shared" si="1498"/>
        <v>0</v>
      </c>
      <c r="ER181" s="336">
        <f t="shared" si="1499"/>
        <v>0</v>
      </c>
      <c r="ES181" s="336">
        <f t="shared" si="1500"/>
        <v>0</v>
      </c>
      <c r="ET181" s="336">
        <f t="shared" si="1500"/>
        <v>0</v>
      </c>
      <c r="EU181" s="336">
        <f t="shared" si="1501"/>
        <v>0</v>
      </c>
      <c r="EV181" s="336">
        <f t="shared" si="1502"/>
        <v>0</v>
      </c>
      <c r="EW181" s="336">
        <f t="shared" si="1503"/>
        <v>0</v>
      </c>
      <c r="EX181" s="336">
        <f t="shared" si="1504"/>
        <v>0</v>
      </c>
      <c r="EY181" s="336">
        <f t="shared" si="1505"/>
        <v>0</v>
      </c>
      <c r="EZ181" s="336">
        <f t="shared" si="1506"/>
        <v>0</v>
      </c>
      <c r="FA181" s="336">
        <f t="shared" si="1507"/>
        <v>0</v>
      </c>
      <c r="FB181" s="336">
        <f t="shared" si="1508"/>
        <v>0</v>
      </c>
      <c r="FC181" s="336">
        <f t="shared" si="1509"/>
        <v>0</v>
      </c>
      <c r="FD181" s="336">
        <f t="shared" si="1510"/>
        <v>0</v>
      </c>
      <c r="FE181" s="336">
        <f t="shared" si="1511"/>
        <v>0</v>
      </c>
      <c r="FF181" s="336">
        <f t="shared" si="1512"/>
        <v>0</v>
      </c>
      <c r="FG181" s="336">
        <f t="shared" si="1513"/>
        <v>0</v>
      </c>
      <c r="FH181" s="336">
        <f t="shared" si="1514"/>
        <v>0</v>
      </c>
      <c r="FI181" s="336">
        <f t="shared" si="1515"/>
        <v>0</v>
      </c>
      <c r="FJ181" s="336">
        <f t="shared" si="1516"/>
        <v>0</v>
      </c>
      <c r="FK181" s="336">
        <f t="shared" si="1517"/>
        <v>0</v>
      </c>
      <c r="FL181" s="336">
        <f t="shared" si="1518"/>
        <v>0</v>
      </c>
      <c r="FM181" s="336">
        <f t="shared" si="1519"/>
        <v>0</v>
      </c>
      <c r="FN181" s="336">
        <f t="shared" si="1520"/>
        <v>0</v>
      </c>
      <c r="FO181" s="336">
        <f t="shared" si="1521"/>
        <v>0</v>
      </c>
      <c r="FP181" s="336">
        <f t="shared" si="1522"/>
        <v>0</v>
      </c>
      <c r="FQ181" s="336">
        <f t="shared" si="1523"/>
        <v>0</v>
      </c>
      <c r="FR181" s="336">
        <f t="shared" si="1524"/>
        <v>0</v>
      </c>
      <c r="FS181" s="336">
        <f t="shared" si="1525"/>
        <v>0</v>
      </c>
      <c r="FT181" s="336">
        <f t="shared" si="1526"/>
        <v>0</v>
      </c>
      <c r="FU181" s="336">
        <f t="shared" si="1474"/>
        <v>0</v>
      </c>
      <c r="FV181" s="336">
        <f t="shared" si="1475"/>
        <v>0</v>
      </c>
      <c r="FW181" s="336">
        <f t="shared" si="1476"/>
        <v>0</v>
      </c>
      <c r="FX181" s="336">
        <f t="shared" si="1477"/>
        <v>0</v>
      </c>
      <c r="FY181" s="336">
        <f t="shared" si="1417"/>
        <v>0</v>
      </c>
      <c r="FZ181" s="336">
        <f t="shared" si="1418"/>
        <v>0</v>
      </c>
      <c r="GA181" s="336">
        <f t="shared" si="1419"/>
        <v>0</v>
      </c>
      <c r="GB181" s="336">
        <f t="shared" si="1420"/>
        <v>0</v>
      </c>
      <c r="GC181" s="336">
        <f t="shared" si="1421"/>
        <v>0</v>
      </c>
      <c r="GD181" s="336">
        <f t="shared" si="1422"/>
        <v>0</v>
      </c>
      <c r="GE181" s="336">
        <f t="shared" si="1423"/>
        <v>0</v>
      </c>
      <c r="GF181" s="336">
        <f t="shared" si="1424"/>
        <v>0</v>
      </c>
      <c r="GG181" s="336">
        <f t="shared" si="1425"/>
        <v>0</v>
      </c>
      <c r="GH181" s="336">
        <f t="shared" si="1426"/>
        <v>0</v>
      </c>
      <c r="GI181" s="336">
        <f t="shared" si="1427"/>
        <v>0</v>
      </c>
      <c r="GJ181" s="336">
        <f t="shared" si="1428"/>
        <v>0</v>
      </c>
      <c r="GK181" s="336">
        <f t="shared" si="1429"/>
        <v>0</v>
      </c>
      <c r="GL181" s="336">
        <f t="shared" si="1478"/>
        <v>0</v>
      </c>
      <c r="GM181" s="336">
        <f t="shared" si="1430"/>
        <v>0</v>
      </c>
    </row>
    <row r="182" spans="1:195" ht="27.75" customHeight="1">
      <c r="A182" s="337">
        <f t="shared" si="1527"/>
        <v>137</v>
      </c>
      <c r="B182" s="453"/>
      <c r="C182" s="372" t="str">
        <f t="shared" si="1459"/>
        <v>WORKSHOP HVAC DB</v>
      </c>
      <c r="D182" s="444" t="s">
        <v>1329</v>
      </c>
      <c r="E182" s="569" t="s">
        <v>1178</v>
      </c>
      <c r="F182" s="500"/>
      <c r="G182" s="337" t="s">
        <v>329</v>
      </c>
      <c r="H182" s="583">
        <v>3.5</v>
      </c>
      <c r="I182" s="337" t="s">
        <v>330</v>
      </c>
      <c r="J182" s="349" t="s">
        <v>357</v>
      </c>
      <c r="K182" s="349">
        <v>230</v>
      </c>
      <c r="L182" s="343">
        <v>0.95</v>
      </c>
      <c r="M182" s="350">
        <v>0.85</v>
      </c>
      <c r="N182" s="342">
        <f t="shared" si="1444"/>
        <v>18.845066630771303</v>
      </c>
      <c r="O182" s="342">
        <f t="shared" si="1445"/>
        <v>0</v>
      </c>
      <c r="P182" s="343" t="str">
        <f t="shared" si="1446"/>
        <v>0.00</v>
      </c>
      <c r="Q182" s="350">
        <v>65</v>
      </c>
      <c r="R182" s="350">
        <v>0</v>
      </c>
      <c r="S182" s="350">
        <f t="shared" si="1447"/>
        <v>0</v>
      </c>
      <c r="T182" s="343" t="s">
        <v>131</v>
      </c>
      <c r="U182" s="350" t="s">
        <v>333</v>
      </c>
      <c r="V182" s="343">
        <v>16</v>
      </c>
      <c r="W182" s="343" t="str">
        <f t="shared" si="1448"/>
        <v>3C X 16</v>
      </c>
      <c r="X182" s="343" t="str">
        <f t="shared" si="1449"/>
        <v>3C X 16</v>
      </c>
      <c r="Y182" s="343" t="s">
        <v>358</v>
      </c>
      <c r="Z182" s="344">
        <f>IF(T182="AIR",VLOOKUP(W182,'Catalogue Aluminium'!$B$9:$G$93,2,FALSE),IF(T182="GROUND",VLOOKUP(W182,'Catalogue Aluminium'!$B$9:$G$93,3,FALSE),IF(T182="DUCT",VLOOKUP(W182,'Catalogue Aluminium'!$B$9:$G$93,4,FALSE),IF(T182="TRENCH",VLOOKUP(W182,'Catalogue Aluminium'!$B$9:$G$93,2,FALSE)))))</f>
        <v>70</v>
      </c>
      <c r="AA182" s="345">
        <f>VLOOKUP(W182,'Catalogue Aluminium'!$B$9:$G$93,5,FALSE)</f>
        <v>2.44</v>
      </c>
      <c r="AB182" s="345">
        <f>VLOOKUP(W182,'Catalogue Aluminium'!$B$9:$G$93,6,FALSE)</f>
        <v>8.1500000000000003E-2</v>
      </c>
      <c r="AC182" s="343">
        <f t="shared" ref="AC182:AC195" si="1528">28+19</f>
        <v>47</v>
      </c>
      <c r="AD182" s="343">
        <v>0</v>
      </c>
      <c r="AE182" s="343">
        <v>10</v>
      </c>
      <c r="AF182" s="343">
        <v>5</v>
      </c>
      <c r="AG182" s="343">
        <f t="shared" si="1462"/>
        <v>7</v>
      </c>
      <c r="AH182" s="347">
        <f t="shared" si="1450"/>
        <v>69</v>
      </c>
      <c r="AI182" s="344">
        <f>IF(T182="AIR",'Catalogue Aluminium'!$K$9,IF(T182="TRENCH",'Catalogue Aluminium'!$K$12,"NA"))</f>
        <v>0.89</v>
      </c>
      <c r="AJ182" s="342">
        <f>IF(T182="Air",(IF(U182="1C",'Catalogue Aluminium'!$L$9,'Catalogue Aluminium'!$M$9)),IF(T182="DUCT",(IF($U182="1C",'Catalogue Aluminium'!$L$10,'Catalogue Aluminium'!$M$10)),IF(T182="GROUND",(IF($U182="1C",'Catalogue Aluminium'!$L$11,'Catalogue Aluminium'!$M$11)),IF(T182="TRENCH",(IF($U182="1C",'Catalogue Aluminium'!$L$12,'Catalogue Aluminium'!$M$12))))))</f>
        <v>0.66</v>
      </c>
      <c r="AK182" s="344" t="str">
        <f>IF(T182="Air",'Catalogue Aluminium'!$N$9,IF(T182="GROUND",'Catalogue Aluminium'!$N$10,IF(T182="DUCT",'Catalogue Aluminium'!$N$11,IF(T182="TRENCH",'Catalogue Aluminium'!$N$12,"NA"))))</f>
        <v>NA</v>
      </c>
      <c r="AL182" s="344" t="str">
        <f>IF(T182="Air",(IF(U182="1C",'Catalogue Aluminium'!$O$9,'Catalogue Aluminium'!$P$9)),IF(T182="DUCT",(IF($U182="1C",'Catalogue Aluminium'!$O$10,'Catalogue Aluminium'!$P$10)),IF(T182="GROUND",(IF($U182="1C",'Catalogue Aluminium'!$O$11,'Catalogue Aluminium'!$P$11)),IF(T182="TRENCH",(IF($U182="1C",'Catalogue Aluminium'!$O$12,'Catalogue Aluminium'!$P$12))))))</f>
        <v>NA</v>
      </c>
      <c r="AM182" s="344" t="str">
        <f>IF(T182="AIR","NA",IF(T182="TRENCH","NA",IF(T182="DUCT",IF(U182="1C",VLOOKUP(V182,'Catalogue Aluminium'!$Q$9:$S$28,2,FALSE),VLOOKUP(V182,'Catalogue Aluminium'!$Q$9:$S$28,3)),IF(T182="GROUND",IF(U182="1C",VLOOKUP(V182,'Catalogue Aluminium'!$Q$9:$S$28,2,FALSE),VLOOKUP(V182,'Catalogue Aluminium'!$Q$9:$S$28,3))))))</f>
        <v>NA</v>
      </c>
      <c r="AN182" s="351">
        <f t="shared" si="1451"/>
        <v>0.58740000000000003</v>
      </c>
      <c r="AO182" s="350">
        <f t="shared" si="1452"/>
        <v>41.118000000000002</v>
      </c>
      <c r="AP182" s="349">
        <f t="shared" si="1453"/>
        <v>1</v>
      </c>
      <c r="AQ182" s="350" t="str">
        <f t="shared" si="1454"/>
        <v>YES</v>
      </c>
      <c r="AR182" s="351">
        <f t="shared" si="1463"/>
        <v>2.2947477281472954</v>
      </c>
      <c r="AS182" s="343" t="str">
        <f t="shared" si="1464"/>
        <v>YES</v>
      </c>
      <c r="AT182" s="351" t="str">
        <f t="shared" si="1470"/>
        <v>NA</v>
      </c>
      <c r="AU182" s="343" t="str">
        <f t="shared" si="1455"/>
        <v>NA</v>
      </c>
      <c r="AV182" s="354" t="str">
        <f t="shared" si="1456"/>
        <v>1R x 0.6/1kV x 3C x 16 Sqmm</v>
      </c>
      <c r="AW182" s="354" t="str">
        <f t="shared" si="1457"/>
        <v>1R x 0.6/1kV x 3C x 16 Sqmm</v>
      </c>
      <c r="AX182" s="343">
        <f t="shared" si="1471"/>
        <v>69</v>
      </c>
      <c r="AY182" s="355"/>
      <c r="AZ182" s="355">
        <f t="shared" si="1472"/>
        <v>2</v>
      </c>
      <c r="BA182" s="356" t="str">
        <f t="shared" si="1458"/>
        <v/>
      </c>
      <c r="BB182" s="501">
        <f>VLOOKUP(W182,'Catalogue Aluminium'!$B$9:$H$93,7,FALSE)</f>
        <v>19</v>
      </c>
      <c r="BC182" s="328">
        <f t="shared" si="1473"/>
        <v>19</v>
      </c>
      <c r="BE182" s="336"/>
      <c r="BF182" s="336"/>
      <c r="BG182" s="336"/>
      <c r="BH182" s="336"/>
      <c r="BI182" s="336"/>
      <c r="BJ182" s="336"/>
      <c r="BK182" s="336"/>
      <c r="BL182" s="336"/>
      <c r="BM182" s="336"/>
      <c r="BN182" s="336"/>
      <c r="BO182" s="336"/>
      <c r="BP182" s="336"/>
      <c r="BQ182" s="336"/>
      <c r="BR182" s="336"/>
      <c r="BS182" s="336"/>
      <c r="BT182" s="336"/>
      <c r="BU182" s="336"/>
      <c r="BV182" s="336"/>
      <c r="BW182" s="336"/>
      <c r="BX182" s="336"/>
      <c r="BY182" s="336"/>
      <c r="BZ182" s="336"/>
      <c r="CA182" s="336"/>
      <c r="CB182" s="336"/>
      <c r="CC182" s="336"/>
      <c r="CD182" s="336"/>
      <c r="CE182" s="336"/>
      <c r="CF182" s="336"/>
      <c r="CG182" s="336"/>
      <c r="CH182" s="336"/>
      <c r="CI182" s="336"/>
      <c r="CJ182" s="336"/>
      <c r="CK182" s="336"/>
      <c r="CL182" s="336"/>
      <c r="CM182" s="336"/>
      <c r="CN182" s="336"/>
      <c r="CO182" s="336"/>
      <c r="CP182" s="336"/>
      <c r="CQ182" s="336"/>
      <c r="CR182" s="336"/>
      <c r="CS182" s="336"/>
      <c r="CT182" s="336"/>
      <c r="CU182" s="336"/>
      <c r="CV182" s="336"/>
      <c r="CW182" s="336"/>
      <c r="CX182" s="336"/>
      <c r="CY182" s="336"/>
      <c r="CZ182" s="336"/>
      <c r="DA182" s="336"/>
      <c r="DB182" s="336"/>
      <c r="DC182" s="336"/>
      <c r="DD182" s="336"/>
      <c r="DE182" s="336"/>
      <c r="DF182" s="336"/>
      <c r="DG182" s="336"/>
      <c r="DH182" s="336"/>
      <c r="DI182" s="336"/>
      <c r="DJ182" s="336"/>
      <c r="DK182" s="336"/>
      <c r="DL182" s="336"/>
      <c r="DM182" s="336"/>
      <c r="DN182" s="336"/>
      <c r="DO182" s="336"/>
      <c r="DP182" s="336"/>
      <c r="DQ182" s="336"/>
      <c r="DR182" s="336"/>
      <c r="DS182" s="336"/>
      <c r="DT182" s="336"/>
      <c r="DU182" s="336"/>
      <c r="DW182" s="336">
        <f t="shared" ref="DW182:DW244" si="1529">IF(BE182=1,($BC182*BE182),0)</f>
        <v>0</v>
      </c>
      <c r="DX182" s="336">
        <f t="shared" si="1479"/>
        <v>0</v>
      </c>
      <c r="DY182" s="336">
        <f t="shared" si="1480"/>
        <v>0</v>
      </c>
      <c r="DZ182" s="336">
        <f t="shared" si="1481"/>
        <v>0</v>
      </c>
      <c r="EA182" s="336">
        <f t="shared" si="1482"/>
        <v>0</v>
      </c>
      <c r="EB182" s="336">
        <f t="shared" si="1483"/>
        <v>0</v>
      </c>
      <c r="EC182" s="336">
        <f t="shared" si="1484"/>
        <v>0</v>
      </c>
      <c r="ED182" s="336">
        <f t="shared" si="1485"/>
        <v>0</v>
      </c>
      <c r="EE182" s="336">
        <f t="shared" si="1486"/>
        <v>0</v>
      </c>
      <c r="EF182" s="336">
        <f t="shared" si="1487"/>
        <v>0</v>
      </c>
      <c r="EG182" s="336">
        <f t="shared" si="1488"/>
        <v>0</v>
      </c>
      <c r="EH182" s="336">
        <f t="shared" si="1489"/>
        <v>0</v>
      </c>
      <c r="EI182" s="336">
        <f t="shared" si="1490"/>
        <v>0</v>
      </c>
      <c r="EJ182" s="336">
        <f t="shared" si="1491"/>
        <v>0</v>
      </c>
      <c r="EK182" s="336">
        <f t="shared" si="1492"/>
        <v>0</v>
      </c>
      <c r="EL182" s="336">
        <f t="shared" si="1493"/>
        <v>0</v>
      </c>
      <c r="EM182" s="336">
        <f t="shared" si="1494"/>
        <v>0</v>
      </c>
      <c r="EN182" s="336">
        <f t="shared" si="1495"/>
        <v>0</v>
      </c>
      <c r="EO182" s="336">
        <f t="shared" si="1496"/>
        <v>0</v>
      </c>
      <c r="EP182" s="336">
        <f t="shared" si="1497"/>
        <v>0</v>
      </c>
      <c r="EQ182" s="336">
        <f t="shared" si="1498"/>
        <v>0</v>
      </c>
      <c r="ER182" s="336">
        <f t="shared" si="1499"/>
        <v>0</v>
      </c>
      <c r="ES182" s="336">
        <f t="shared" si="1500"/>
        <v>0</v>
      </c>
      <c r="ET182" s="336">
        <f t="shared" si="1500"/>
        <v>0</v>
      </c>
      <c r="EU182" s="336">
        <f t="shared" si="1501"/>
        <v>0</v>
      </c>
      <c r="EV182" s="336">
        <f t="shared" si="1502"/>
        <v>0</v>
      </c>
      <c r="EW182" s="336">
        <f t="shared" si="1503"/>
        <v>0</v>
      </c>
      <c r="EX182" s="336">
        <f t="shared" si="1504"/>
        <v>0</v>
      </c>
      <c r="EY182" s="336">
        <f t="shared" si="1505"/>
        <v>0</v>
      </c>
      <c r="EZ182" s="336">
        <f t="shared" si="1506"/>
        <v>0</v>
      </c>
      <c r="FA182" s="336">
        <f t="shared" si="1507"/>
        <v>0</v>
      </c>
      <c r="FB182" s="336">
        <f t="shared" si="1508"/>
        <v>0</v>
      </c>
      <c r="FC182" s="336">
        <f t="shared" si="1509"/>
        <v>0</v>
      </c>
      <c r="FD182" s="336">
        <f t="shared" si="1510"/>
        <v>0</v>
      </c>
      <c r="FE182" s="336">
        <f t="shared" si="1511"/>
        <v>0</v>
      </c>
      <c r="FF182" s="336">
        <f t="shared" si="1512"/>
        <v>0</v>
      </c>
      <c r="FG182" s="336">
        <f t="shared" si="1513"/>
        <v>0</v>
      </c>
      <c r="FH182" s="336">
        <f t="shared" si="1514"/>
        <v>0</v>
      </c>
      <c r="FI182" s="336">
        <f t="shared" si="1515"/>
        <v>0</v>
      </c>
      <c r="FJ182" s="336">
        <f t="shared" si="1516"/>
        <v>0</v>
      </c>
      <c r="FK182" s="336">
        <f t="shared" si="1517"/>
        <v>0</v>
      </c>
      <c r="FL182" s="336">
        <f t="shared" si="1518"/>
        <v>0</v>
      </c>
      <c r="FM182" s="336">
        <f t="shared" si="1519"/>
        <v>0</v>
      </c>
      <c r="FN182" s="336">
        <f t="shared" si="1520"/>
        <v>0</v>
      </c>
      <c r="FO182" s="336">
        <f t="shared" si="1521"/>
        <v>0</v>
      </c>
      <c r="FP182" s="336">
        <f t="shared" si="1522"/>
        <v>0</v>
      </c>
      <c r="FQ182" s="336">
        <f t="shared" si="1523"/>
        <v>0</v>
      </c>
      <c r="FR182" s="336">
        <f t="shared" si="1524"/>
        <v>0</v>
      </c>
      <c r="FS182" s="336">
        <f t="shared" si="1525"/>
        <v>0</v>
      </c>
      <c r="FT182" s="336">
        <f t="shared" si="1526"/>
        <v>0</v>
      </c>
      <c r="FU182" s="336">
        <f t="shared" si="1474"/>
        <v>0</v>
      </c>
      <c r="FV182" s="336">
        <f t="shared" si="1475"/>
        <v>0</v>
      </c>
      <c r="FW182" s="336">
        <f t="shared" si="1476"/>
        <v>0</v>
      </c>
      <c r="FX182" s="336">
        <f t="shared" si="1477"/>
        <v>0</v>
      </c>
      <c r="FY182" s="336">
        <f t="shared" si="1417"/>
        <v>0</v>
      </c>
      <c r="FZ182" s="336">
        <f t="shared" si="1418"/>
        <v>0</v>
      </c>
      <c r="GA182" s="336">
        <f t="shared" si="1419"/>
        <v>0</v>
      </c>
      <c r="GB182" s="336">
        <f t="shared" si="1420"/>
        <v>0</v>
      </c>
      <c r="GC182" s="336">
        <f t="shared" si="1421"/>
        <v>0</v>
      </c>
      <c r="GD182" s="336">
        <f t="shared" si="1422"/>
        <v>0</v>
      </c>
      <c r="GE182" s="336">
        <f t="shared" si="1423"/>
        <v>0</v>
      </c>
      <c r="GF182" s="336">
        <f t="shared" si="1424"/>
        <v>0</v>
      </c>
      <c r="GG182" s="336">
        <f t="shared" si="1425"/>
        <v>0</v>
      </c>
      <c r="GH182" s="336">
        <f t="shared" si="1426"/>
        <v>0</v>
      </c>
      <c r="GI182" s="336">
        <f t="shared" si="1427"/>
        <v>0</v>
      </c>
      <c r="GJ182" s="336">
        <f t="shared" si="1428"/>
        <v>0</v>
      </c>
      <c r="GK182" s="336">
        <f t="shared" si="1429"/>
        <v>0</v>
      </c>
      <c r="GL182" s="336">
        <f t="shared" si="1478"/>
        <v>0</v>
      </c>
      <c r="GM182" s="336">
        <f t="shared" si="1430"/>
        <v>0</v>
      </c>
    </row>
    <row r="183" spans="1:195" ht="27.75" customHeight="1">
      <c r="A183" s="337">
        <f t="shared" si="1527"/>
        <v>138</v>
      </c>
      <c r="B183" s="453"/>
      <c r="C183" s="372" t="str">
        <f t="shared" si="1459"/>
        <v>WORKSHOP HVAC DB</v>
      </c>
      <c r="D183" s="444" t="s">
        <v>1330</v>
      </c>
      <c r="E183" s="569" t="s">
        <v>1178</v>
      </c>
      <c r="F183" s="500"/>
      <c r="G183" s="337" t="s">
        <v>329</v>
      </c>
      <c r="H183" s="583">
        <v>3.5</v>
      </c>
      <c r="I183" s="337" t="s">
        <v>330</v>
      </c>
      <c r="J183" s="349" t="s">
        <v>357</v>
      </c>
      <c r="K183" s="349">
        <v>230</v>
      </c>
      <c r="L183" s="343">
        <v>0.95</v>
      </c>
      <c r="M183" s="350">
        <v>0.85</v>
      </c>
      <c r="N183" s="342">
        <f t="shared" si="1444"/>
        <v>18.845066630771303</v>
      </c>
      <c r="O183" s="342">
        <f t="shared" si="1445"/>
        <v>0</v>
      </c>
      <c r="P183" s="343" t="str">
        <f t="shared" si="1446"/>
        <v>0.00</v>
      </c>
      <c r="Q183" s="350">
        <v>65</v>
      </c>
      <c r="R183" s="350">
        <v>0</v>
      </c>
      <c r="S183" s="350">
        <f t="shared" si="1447"/>
        <v>0</v>
      </c>
      <c r="T183" s="343" t="s">
        <v>131</v>
      </c>
      <c r="U183" s="350" t="s">
        <v>333</v>
      </c>
      <c r="V183" s="343">
        <v>16</v>
      </c>
      <c r="W183" s="343" t="str">
        <f t="shared" si="1448"/>
        <v>3C X 16</v>
      </c>
      <c r="X183" s="343" t="str">
        <f t="shared" si="1449"/>
        <v>3C X 16</v>
      </c>
      <c r="Y183" s="343" t="s">
        <v>358</v>
      </c>
      <c r="Z183" s="344">
        <f>IF(T183="AIR",VLOOKUP(W183,'Catalogue Aluminium'!$B$9:$G$93,2,FALSE),IF(T183="GROUND",VLOOKUP(W183,'Catalogue Aluminium'!$B$9:$G$93,3,FALSE),IF(T183="DUCT",VLOOKUP(W183,'Catalogue Aluminium'!$B$9:$G$93,4,FALSE),IF(T183="TRENCH",VLOOKUP(W183,'Catalogue Aluminium'!$B$9:$G$93,2,FALSE)))))</f>
        <v>70</v>
      </c>
      <c r="AA183" s="345">
        <f>VLOOKUP(W183,'Catalogue Aluminium'!$B$9:$G$93,5,FALSE)</f>
        <v>2.44</v>
      </c>
      <c r="AB183" s="345">
        <f>VLOOKUP(W183,'Catalogue Aluminium'!$B$9:$G$93,6,FALSE)</f>
        <v>8.1500000000000003E-2</v>
      </c>
      <c r="AC183" s="343">
        <f t="shared" si="1528"/>
        <v>47</v>
      </c>
      <c r="AD183" s="343">
        <v>0</v>
      </c>
      <c r="AE183" s="343">
        <v>10</v>
      </c>
      <c r="AF183" s="343">
        <v>5</v>
      </c>
      <c r="AG183" s="343">
        <f t="shared" si="1462"/>
        <v>7</v>
      </c>
      <c r="AH183" s="347">
        <f t="shared" si="1450"/>
        <v>69</v>
      </c>
      <c r="AI183" s="344">
        <f>IF(T183="AIR",'Catalogue Aluminium'!$K$9,IF(T183="TRENCH",'Catalogue Aluminium'!$K$12,"NA"))</f>
        <v>0.89</v>
      </c>
      <c r="AJ183" s="342">
        <f>IF(T183="Air",(IF(U183="1C",'Catalogue Aluminium'!$L$9,'Catalogue Aluminium'!$M$9)),IF(T183="DUCT",(IF($U183="1C",'Catalogue Aluminium'!$L$10,'Catalogue Aluminium'!$M$10)),IF(T183="GROUND",(IF($U183="1C",'Catalogue Aluminium'!$L$11,'Catalogue Aluminium'!$M$11)),IF(T183="TRENCH",(IF($U183="1C",'Catalogue Aluminium'!$L$12,'Catalogue Aluminium'!$M$12))))))</f>
        <v>0.66</v>
      </c>
      <c r="AK183" s="344" t="str">
        <f>IF(T183="Air",'Catalogue Aluminium'!$N$9,IF(T183="GROUND",'Catalogue Aluminium'!$N$10,IF(T183="DUCT",'Catalogue Aluminium'!$N$11,IF(T183="TRENCH",'Catalogue Aluminium'!$N$12,"NA"))))</f>
        <v>NA</v>
      </c>
      <c r="AL183" s="344" t="str">
        <f>IF(T183="Air",(IF(U183="1C",'Catalogue Aluminium'!$O$9,'Catalogue Aluminium'!$P$9)),IF(T183="DUCT",(IF($U183="1C",'Catalogue Aluminium'!$O$10,'Catalogue Aluminium'!$P$10)),IF(T183="GROUND",(IF($U183="1C",'Catalogue Aluminium'!$O$11,'Catalogue Aluminium'!$P$11)),IF(T183="TRENCH",(IF($U183="1C",'Catalogue Aluminium'!$O$12,'Catalogue Aluminium'!$P$12))))))</f>
        <v>NA</v>
      </c>
      <c r="AM183" s="344" t="str">
        <f>IF(T183="AIR","NA",IF(T183="TRENCH","NA",IF(T183="DUCT",IF(U183="1C",VLOOKUP(V183,'Catalogue Aluminium'!$Q$9:$S$28,2,FALSE),VLOOKUP(V183,'Catalogue Aluminium'!$Q$9:$S$28,3)),IF(T183="GROUND",IF(U183="1C",VLOOKUP(V183,'Catalogue Aluminium'!$Q$9:$S$28,2,FALSE),VLOOKUP(V183,'Catalogue Aluminium'!$Q$9:$S$28,3))))))</f>
        <v>NA</v>
      </c>
      <c r="AN183" s="351">
        <f t="shared" si="1451"/>
        <v>0.58740000000000003</v>
      </c>
      <c r="AO183" s="350">
        <f t="shared" si="1452"/>
        <v>41.118000000000002</v>
      </c>
      <c r="AP183" s="349">
        <f t="shared" si="1453"/>
        <v>1</v>
      </c>
      <c r="AQ183" s="350" t="str">
        <f t="shared" si="1454"/>
        <v>YES</v>
      </c>
      <c r="AR183" s="351">
        <f t="shared" si="1463"/>
        <v>2.2947477281472954</v>
      </c>
      <c r="AS183" s="343" t="str">
        <f t="shared" si="1464"/>
        <v>YES</v>
      </c>
      <c r="AT183" s="351" t="str">
        <f t="shared" si="1470"/>
        <v>NA</v>
      </c>
      <c r="AU183" s="343" t="str">
        <f t="shared" si="1455"/>
        <v>NA</v>
      </c>
      <c r="AV183" s="354" t="str">
        <f t="shared" si="1456"/>
        <v>1R x 0.6/1kV x 3C x 16 Sqmm</v>
      </c>
      <c r="AW183" s="354" t="str">
        <f t="shared" si="1457"/>
        <v>1R x 0.6/1kV x 3C x 16 Sqmm</v>
      </c>
      <c r="AX183" s="343">
        <f t="shared" si="1471"/>
        <v>69</v>
      </c>
      <c r="AY183" s="355"/>
      <c r="AZ183" s="355">
        <f t="shared" si="1472"/>
        <v>2</v>
      </c>
      <c r="BA183" s="356" t="str">
        <f t="shared" si="1458"/>
        <v/>
      </c>
      <c r="BB183" s="501">
        <f>VLOOKUP(W183,'Catalogue Aluminium'!$B$9:$H$93,7,FALSE)</f>
        <v>19</v>
      </c>
      <c r="BC183" s="328">
        <f t="shared" si="1473"/>
        <v>19</v>
      </c>
      <c r="BE183" s="336"/>
      <c r="BF183" s="336"/>
      <c r="BG183" s="336"/>
      <c r="BH183" s="336"/>
      <c r="BI183" s="336"/>
      <c r="BJ183" s="336"/>
      <c r="BK183" s="336"/>
      <c r="BL183" s="336"/>
      <c r="BM183" s="336"/>
      <c r="BN183" s="336"/>
      <c r="BO183" s="336"/>
      <c r="BP183" s="336"/>
      <c r="BQ183" s="336"/>
      <c r="BR183" s="336"/>
      <c r="BS183" s="336"/>
      <c r="BT183" s="336"/>
      <c r="BU183" s="336"/>
      <c r="BV183" s="336"/>
      <c r="BW183" s="336"/>
      <c r="BX183" s="336"/>
      <c r="BY183" s="336"/>
      <c r="BZ183" s="336"/>
      <c r="CA183" s="336"/>
      <c r="CB183" s="336"/>
      <c r="CC183" s="336"/>
      <c r="CD183" s="336"/>
      <c r="CE183" s="336"/>
      <c r="CF183" s="336"/>
      <c r="CG183" s="336"/>
      <c r="CH183" s="336"/>
      <c r="CI183" s="336"/>
      <c r="CJ183" s="336"/>
      <c r="CK183" s="336"/>
      <c r="CL183" s="336"/>
      <c r="CM183" s="336"/>
      <c r="CN183" s="336"/>
      <c r="CO183" s="336"/>
      <c r="CP183" s="336"/>
      <c r="CQ183" s="336"/>
      <c r="CR183" s="336"/>
      <c r="CS183" s="336"/>
      <c r="CT183" s="336"/>
      <c r="CU183" s="336"/>
      <c r="CV183" s="336"/>
      <c r="CW183" s="336"/>
      <c r="CX183" s="336"/>
      <c r="CY183" s="336"/>
      <c r="CZ183" s="336"/>
      <c r="DA183" s="336"/>
      <c r="DB183" s="336"/>
      <c r="DC183" s="336"/>
      <c r="DD183" s="336"/>
      <c r="DE183" s="336"/>
      <c r="DF183" s="336"/>
      <c r="DG183" s="336"/>
      <c r="DH183" s="336"/>
      <c r="DI183" s="336"/>
      <c r="DJ183" s="336"/>
      <c r="DK183" s="336"/>
      <c r="DL183" s="336"/>
      <c r="DM183" s="336"/>
      <c r="DN183" s="336"/>
      <c r="DO183" s="336"/>
      <c r="DP183" s="336"/>
      <c r="DQ183" s="336"/>
      <c r="DR183" s="336"/>
      <c r="DS183" s="336"/>
      <c r="DT183" s="336"/>
      <c r="DU183" s="336"/>
      <c r="DW183" s="336">
        <f t="shared" si="1529"/>
        <v>0</v>
      </c>
      <c r="DX183" s="336">
        <f t="shared" si="1479"/>
        <v>0</v>
      </c>
      <c r="DY183" s="336">
        <f t="shared" si="1480"/>
        <v>0</v>
      </c>
      <c r="DZ183" s="336">
        <f t="shared" si="1481"/>
        <v>0</v>
      </c>
      <c r="EA183" s="336">
        <f t="shared" si="1482"/>
        <v>0</v>
      </c>
      <c r="EB183" s="336">
        <f t="shared" si="1483"/>
        <v>0</v>
      </c>
      <c r="EC183" s="336">
        <f t="shared" si="1484"/>
        <v>0</v>
      </c>
      <c r="ED183" s="336">
        <f t="shared" si="1485"/>
        <v>0</v>
      </c>
      <c r="EE183" s="336">
        <f t="shared" si="1486"/>
        <v>0</v>
      </c>
      <c r="EF183" s="336">
        <f t="shared" si="1487"/>
        <v>0</v>
      </c>
      <c r="EG183" s="336">
        <f t="shared" si="1488"/>
        <v>0</v>
      </c>
      <c r="EH183" s="336">
        <f t="shared" si="1489"/>
        <v>0</v>
      </c>
      <c r="EI183" s="336">
        <f t="shared" si="1490"/>
        <v>0</v>
      </c>
      <c r="EJ183" s="336">
        <f t="shared" si="1491"/>
        <v>0</v>
      </c>
      <c r="EK183" s="336">
        <f t="shared" si="1492"/>
        <v>0</v>
      </c>
      <c r="EL183" s="336">
        <f t="shared" si="1493"/>
        <v>0</v>
      </c>
      <c r="EM183" s="336">
        <f t="shared" si="1494"/>
        <v>0</v>
      </c>
      <c r="EN183" s="336">
        <f t="shared" si="1495"/>
        <v>0</v>
      </c>
      <c r="EO183" s="336">
        <f t="shared" si="1496"/>
        <v>0</v>
      </c>
      <c r="EP183" s="336">
        <f t="shared" si="1497"/>
        <v>0</v>
      </c>
      <c r="EQ183" s="336">
        <f t="shared" si="1498"/>
        <v>0</v>
      </c>
      <c r="ER183" s="336">
        <f t="shared" si="1499"/>
        <v>0</v>
      </c>
      <c r="ES183" s="336">
        <f t="shared" si="1500"/>
        <v>0</v>
      </c>
      <c r="ET183" s="336">
        <f t="shared" si="1500"/>
        <v>0</v>
      </c>
      <c r="EU183" s="336">
        <f t="shared" si="1501"/>
        <v>0</v>
      </c>
      <c r="EV183" s="336">
        <f t="shared" si="1502"/>
        <v>0</v>
      </c>
      <c r="EW183" s="336">
        <f t="shared" si="1503"/>
        <v>0</v>
      </c>
      <c r="EX183" s="336">
        <f t="shared" si="1504"/>
        <v>0</v>
      </c>
      <c r="EY183" s="336">
        <f t="shared" si="1505"/>
        <v>0</v>
      </c>
      <c r="EZ183" s="336">
        <f t="shared" si="1506"/>
        <v>0</v>
      </c>
      <c r="FA183" s="336">
        <f t="shared" si="1507"/>
        <v>0</v>
      </c>
      <c r="FB183" s="336">
        <f t="shared" si="1508"/>
        <v>0</v>
      </c>
      <c r="FC183" s="336">
        <f t="shared" si="1509"/>
        <v>0</v>
      </c>
      <c r="FD183" s="336">
        <f t="shared" si="1510"/>
        <v>0</v>
      </c>
      <c r="FE183" s="336">
        <f t="shared" si="1511"/>
        <v>0</v>
      </c>
      <c r="FF183" s="336">
        <f t="shared" si="1512"/>
        <v>0</v>
      </c>
      <c r="FG183" s="336">
        <f t="shared" si="1513"/>
        <v>0</v>
      </c>
      <c r="FH183" s="336">
        <f t="shared" si="1514"/>
        <v>0</v>
      </c>
      <c r="FI183" s="336">
        <f t="shared" si="1515"/>
        <v>0</v>
      </c>
      <c r="FJ183" s="336">
        <f t="shared" si="1516"/>
        <v>0</v>
      </c>
      <c r="FK183" s="336">
        <f t="shared" si="1517"/>
        <v>0</v>
      </c>
      <c r="FL183" s="336">
        <f t="shared" si="1518"/>
        <v>0</v>
      </c>
      <c r="FM183" s="336">
        <f t="shared" si="1519"/>
        <v>0</v>
      </c>
      <c r="FN183" s="336">
        <f t="shared" si="1520"/>
        <v>0</v>
      </c>
      <c r="FO183" s="336">
        <f t="shared" si="1521"/>
        <v>0</v>
      </c>
      <c r="FP183" s="336">
        <f t="shared" si="1522"/>
        <v>0</v>
      </c>
      <c r="FQ183" s="336">
        <f t="shared" si="1523"/>
        <v>0</v>
      </c>
      <c r="FR183" s="336">
        <f t="shared" si="1524"/>
        <v>0</v>
      </c>
      <c r="FS183" s="336">
        <f t="shared" si="1525"/>
        <v>0</v>
      </c>
      <c r="FT183" s="336">
        <f t="shared" si="1526"/>
        <v>0</v>
      </c>
      <c r="FU183" s="336">
        <f t="shared" si="1474"/>
        <v>0</v>
      </c>
      <c r="FV183" s="336">
        <f t="shared" si="1475"/>
        <v>0</v>
      </c>
      <c r="FW183" s="336">
        <f t="shared" si="1476"/>
        <v>0</v>
      </c>
      <c r="FX183" s="336">
        <f t="shared" si="1477"/>
        <v>0</v>
      </c>
      <c r="FY183" s="336">
        <f t="shared" si="1417"/>
        <v>0</v>
      </c>
      <c r="FZ183" s="336">
        <f t="shared" si="1418"/>
        <v>0</v>
      </c>
      <c r="GA183" s="336">
        <f t="shared" si="1419"/>
        <v>0</v>
      </c>
      <c r="GB183" s="336">
        <f t="shared" si="1420"/>
        <v>0</v>
      </c>
      <c r="GC183" s="336">
        <f t="shared" si="1421"/>
        <v>0</v>
      </c>
      <c r="GD183" s="336">
        <f t="shared" si="1422"/>
        <v>0</v>
      </c>
      <c r="GE183" s="336">
        <f t="shared" si="1423"/>
        <v>0</v>
      </c>
      <c r="GF183" s="336">
        <f t="shared" si="1424"/>
        <v>0</v>
      </c>
      <c r="GG183" s="336">
        <f t="shared" si="1425"/>
        <v>0</v>
      </c>
      <c r="GH183" s="336">
        <f t="shared" si="1426"/>
        <v>0</v>
      </c>
      <c r="GI183" s="336">
        <f t="shared" si="1427"/>
        <v>0</v>
      </c>
      <c r="GJ183" s="336">
        <f t="shared" si="1428"/>
        <v>0</v>
      </c>
      <c r="GK183" s="336">
        <f t="shared" si="1429"/>
        <v>0</v>
      </c>
      <c r="GL183" s="336">
        <f t="shared" si="1478"/>
        <v>0</v>
      </c>
      <c r="GM183" s="336">
        <f t="shared" si="1430"/>
        <v>0</v>
      </c>
    </row>
    <row r="184" spans="1:195" ht="27.75" customHeight="1">
      <c r="A184" s="337">
        <f t="shared" si="1527"/>
        <v>139</v>
      </c>
      <c r="B184" s="453"/>
      <c r="C184" s="372" t="str">
        <f t="shared" si="1459"/>
        <v>WORKSHOP HVAC DB</v>
      </c>
      <c r="D184" s="444" t="s">
        <v>1331</v>
      </c>
      <c r="E184" s="569" t="s">
        <v>1178</v>
      </c>
      <c r="F184" s="500"/>
      <c r="G184" s="337" t="s">
        <v>329</v>
      </c>
      <c r="H184" s="583">
        <v>3.5</v>
      </c>
      <c r="I184" s="337" t="s">
        <v>330</v>
      </c>
      <c r="J184" s="349" t="s">
        <v>357</v>
      </c>
      <c r="K184" s="349">
        <v>230</v>
      </c>
      <c r="L184" s="343">
        <v>0.95</v>
      </c>
      <c r="M184" s="350">
        <v>0.85</v>
      </c>
      <c r="N184" s="342">
        <f t="shared" si="1444"/>
        <v>18.845066630771303</v>
      </c>
      <c r="O184" s="342">
        <f t="shared" si="1445"/>
        <v>0</v>
      </c>
      <c r="P184" s="343" t="str">
        <f t="shared" si="1446"/>
        <v>0.00</v>
      </c>
      <c r="Q184" s="350">
        <v>65</v>
      </c>
      <c r="R184" s="350">
        <v>0</v>
      </c>
      <c r="S184" s="350">
        <f t="shared" si="1447"/>
        <v>0</v>
      </c>
      <c r="T184" s="343" t="s">
        <v>131</v>
      </c>
      <c r="U184" s="350" t="s">
        <v>333</v>
      </c>
      <c r="V184" s="343">
        <v>16</v>
      </c>
      <c r="W184" s="343" t="str">
        <f t="shared" si="1448"/>
        <v>3C X 16</v>
      </c>
      <c r="X184" s="343" t="str">
        <f t="shared" si="1449"/>
        <v>3C X 16</v>
      </c>
      <c r="Y184" s="343" t="s">
        <v>358</v>
      </c>
      <c r="Z184" s="344">
        <f>IF(T184="AIR",VLOOKUP(W184,'Catalogue Aluminium'!$B$9:$G$93,2,FALSE),IF(T184="GROUND",VLOOKUP(W184,'Catalogue Aluminium'!$B$9:$G$93,3,FALSE),IF(T184="DUCT",VLOOKUP(W184,'Catalogue Aluminium'!$B$9:$G$93,4,FALSE),IF(T184="TRENCH",VLOOKUP(W184,'Catalogue Aluminium'!$B$9:$G$93,2,FALSE)))))</f>
        <v>70</v>
      </c>
      <c r="AA184" s="345">
        <f>VLOOKUP(W184,'Catalogue Aluminium'!$B$9:$G$93,5,FALSE)</f>
        <v>2.44</v>
      </c>
      <c r="AB184" s="345">
        <f>VLOOKUP(W184,'Catalogue Aluminium'!$B$9:$G$93,6,FALSE)</f>
        <v>8.1500000000000003E-2</v>
      </c>
      <c r="AC184" s="343">
        <f t="shared" si="1528"/>
        <v>47</v>
      </c>
      <c r="AD184" s="343">
        <v>0</v>
      </c>
      <c r="AE184" s="343">
        <v>10</v>
      </c>
      <c r="AF184" s="343">
        <v>5</v>
      </c>
      <c r="AG184" s="343">
        <f t="shared" si="1462"/>
        <v>7</v>
      </c>
      <c r="AH184" s="347">
        <f t="shared" si="1450"/>
        <v>69</v>
      </c>
      <c r="AI184" s="344">
        <f>IF(T184="AIR",'Catalogue Aluminium'!$K$9,IF(T184="TRENCH",'Catalogue Aluminium'!$K$12,"NA"))</f>
        <v>0.89</v>
      </c>
      <c r="AJ184" s="342">
        <f>IF(T184="Air",(IF(U184="1C",'Catalogue Aluminium'!$L$9,'Catalogue Aluminium'!$M$9)),IF(T184="DUCT",(IF($U184="1C",'Catalogue Aluminium'!$L$10,'Catalogue Aluminium'!$M$10)),IF(T184="GROUND",(IF($U184="1C",'Catalogue Aluminium'!$L$11,'Catalogue Aluminium'!$M$11)),IF(T184="TRENCH",(IF($U184="1C",'Catalogue Aluminium'!$L$12,'Catalogue Aluminium'!$M$12))))))</f>
        <v>0.66</v>
      </c>
      <c r="AK184" s="344" t="str">
        <f>IF(T184="Air",'Catalogue Aluminium'!$N$9,IF(T184="GROUND",'Catalogue Aluminium'!$N$10,IF(T184="DUCT",'Catalogue Aluminium'!$N$11,IF(T184="TRENCH",'Catalogue Aluminium'!$N$12,"NA"))))</f>
        <v>NA</v>
      </c>
      <c r="AL184" s="344" t="str">
        <f>IF(T184="Air",(IF(U184="1C",'Catalogue Aluminium'!$O$9,'Catalogue Aluminium'!$P$9)),IF(T184="DUCT",(IF($U184="1C",'Catalogue Aluminium'!$O$10,'Catalogue Aluminium'!$P$10)),IF(T184="GROUND",(IF($U184="1C",'Catalogue Aluminium'!$O$11,'Catalogue Aluminium'!$P$11)),IF(T184="TRENCH",(IF($U184="1C",'Catalogue Aluminium'!$O$12,'Catalogue Aluminium'!$P$12))))))</f>
        <v>NA</v>
      </c>
      <c r="AM184" s="344" t="str">
        <f>IF(T184="AIR","NA",IF(T184="TRENCH","NA",IF(T184="DUCT",IF(U184="1C",VLOOKUP(V184,'Catalogue Aluminium'!$Q$9:$S$28,2,FALSE),VLOOKUP(V184,'Catalogue Aluminium'!$Q$9:$S$28,3)),IF(T184="GROUND",IF(U184="1C",VLOOKUP(V184,'Catalogue Aluminium'!$Q$9:$S$28,2,FALSE),VLOOKUP(V184,'Catalogue Aluminium'!$Q$9:$S$28,3))))))</f>
        <v>NA</v>
      </c>
      <c r="AN184" s="351">
        <f t="shared" si="1451"/>
        <v>0.58740000000000003</v>
      </c>
      <c r="AO184" s="350">
        <f t="shared" si="1452"/>
        <v>41.118000000000002</v>
      </c>
      <c r="AP184" s="349">
        <f t="shared" si="1453"/>
        <v>1</v>
      </c>
      <c r="AQ184" s="350" t="str">
        <f t="shared" si="1454"/>
        <v>YES</v>
      </c>
      <c r="AR184" s="351">
        <f t="shared" si="1463"/>
        <v>2.2947477281472954</v>
      </c>
      <c r="AS184" s="343" t="str">
        <f t="shared" si="1464"/>
        <v>YES</v>
      </c>
      <c r="AT184" s="351" t="str">
        <f t="shared" si="1470"/>
        <v>NA</v>
      </c>
      <c r="AU184" s="343" t="str">
        <f t="shared" si="1455"/>
        <v>NA</v>
      </c>
      <c r="AV184" s="354" t="str">
        <f t="shared" si="1456"/>
        <v>1R x 0.6/1kV x 3C x 16 Sqmm</v>
      </c>
      <c r="AW184" s="354" t="str">
        <f t="shared" si="1457"/>
        <v>1R x 0.6/1kV x 3C x 16 Sqmm</v>
      </c>
      <c r="AX184" s="343">
        <f t="shared" si="1471"/>
        <v>69</v>
      </c>
      <c r="AY184" s="355"/>
      <c r="AZ184" s="355">
        <f t="shared" si="1472"/>
        <v>2</v>
      </c>
      <c r="BA184" s="356" t="str">
        <f t="shared" si="1458"/>
        <v/>
      </c>
      <c r="BB184" s="501">
        <f>VLOOKUP(W184,'Catalogue Aluminium'!$B$9:$H$93,7,FALSE)</f>
        <v>19</v>
      </c>
      <c r="BC184" s="328">
        <f t="shared" si="1473"/>
        <v>19</v>
      </c>
      <c r="BE184" s="336"/>
      <c r="BF184" s="336"/>
      <c r="BG184" s="336"/>
      <c r="BH184" s="336"/>
      <c r="BI184" s="336"/>
      <c r="BJ184" s="336"/>
      <c r="BK184" s="336"/>
      <c r="BL184" s="336"/>
      <c r="BM184" s="336"/>
      <c r="BN184" s="336"/>
      <c r="BO184" s="336"/>
      <c r="BP184" s="336"/>
      <c r="BQ184" s="336"/>
      <c r="BR184" s="336"/>
      <c r="BS184" s="336"/>
      <c r="BT184" s="336"/>
      <c r="BU184" s="336"/>
      <c r="BV184" s="336"/>
      <c r="BW184" s="336"/>
      <c r="BX184" s="336"/>
      <c r="BY184" s="336"/>
      <c r="BZ184" s="336"/>
      <c r="CA184" s="336"/>
      <c r="CB184" s="336"/>
      <c r="CC184" s="336"/>
      <c r="CD184" s="336"/>
      <c r="CE184" s="336"/>
      <c r="CF184" s="336"/>
      <c r="CG184" s="336"/>
      <c r="CH184" s="336"/>
      <c r="CI184" s="336"/>
      <c r="CJ184" s="336"/>
      <c r="CK184" s="336"/>
      <c r="CL184" s="336"/>
      <c r="CM184" s="336"/>
      <c r="CN184" s="336"/>
      <c r="CO184" s="336"/>
      <c r="CP184" s="336"/>
      <c r="CQ184" s="336"/>
      <c r="CR184" s="336"/>
      <c r="CS184" s="336"/>
      <c r="CT184" s="336"/>
      <c r="CU184" s="336"/>
      <c r="CV184" s="336"/>
      <c r="CW184" s="336"/>
      <c r="CX184" s="336"/>
      <c r="CY184" s="336"/>
      <c r="CZ184" s="336"/>
      <c r="DA184" s="336"/>
      <c r="DB184" s="336"/>
      <c r="DC184" s="336"/>
      <c r="DD184" s="336"/>
      <c r="DE184" s="336"/>
      <c r="DF184" s="336"/>
      <c r="DG184" s="336"/>
      <c r="DH184" s="336"/>
      <c r="DI184" s="336"/>
      <c r="DJ184" s="336"/>
      <c r="DK184" s="336"/>
      <c r="DL184" s="336"/>
      <c r="DM184" s="336"/>
      <c r="DN184" s="336"/>
      <c r="DO184" s="336"/>
      <c r="DP184" s="336"/>
      <c r="DQ184" s="336"/>
      <c r="DR184" s="336"/>
      <c r="DS184" s="336"/>
      <c r="DT184" s="336"/>
      <c r="DU184" s="336"/>
      <c r="DW184" s="336">
        <f t="shared" si="1529"/>
        <v>0</v>
      </c>
      <c r="DX184" s="336">
        <f t="shared" si="1479"/>
        <v>0</v>
      </c>
      <c r="DY184" s="336">
        <f t="shared" si="1480"/>
        <v>0</v>
      </c>
      <c r="DZ184" s="336">
        <f t="shared" si="1481"/>
        <v>0</v>
      </c>
      <c r="EA184" s="336">
        <f t="shared" si="1482"/>
        <v>0</v>
      </c>
      <c r="EB184" s="336">
        <f t="shared" si="1483"/>
        <v>0</v>
      </c>
      <c r="EC184" s="336">
        <f t="shared" si="1484"/>
        <v>0</v>
      </c>
      <c r="ED184" s="336">
        <f t="shared" si="1485"/>
        <v>0</v>
      </c>
      <c r="EE184" s="336">
        <f t="shared" si="1486"/>
        <v>0</v>
      </c>
      <c r="EF184" s="336">
        <f t="shared" si="1487"/>
        <v>0</v>
      </c>
      <c r="EG184" s="336">
        <f t="shared" si="1488"/>
        <v>0</v>
      </c>
      <c r="EH184" s="336">
        <f t="shared" si="1489"/>
        <v>0</v>
      </c>
      <c r="EI184" s="336">
        <f t="shared" si="1490"/>
        <v>0</v>
      </c>
      <c r="EJ184" s="336">
        <f t="shared" si="1491"/>
        <v>0</v>
      </c>
      <c r="EK184" s="336">
        <f t="shared" si="1492"/>
        <v>0</v>
      </c>
      <c r="EL184" s="336">
        <f t="shared" si="1493"/>
        <v>0</v>
      </c>
      <c r="EM184" s="336">
        <f t="shared" si="1494"/>
        <v>0</v>
      </c>
      <c r="EN184" s="336">
        <f t="shared" si="1495"/>
        <v>0</v>
      </c>
      <c r="EO184" s="336">
        <f t="shared" si="1496"/>
        <v>0</v>
      </c>
      <c r="EP184" s="336">
        <f t="shared" si="1497"/>
        <v>0</v>
      </c>
      <c r="EQ184" s="336">
        <f t="shared" si="1498"/>
        <v>0</v>
      </c>
      <c r="ER184" s="336">
        <f t="shared" si="1499"/>
        <v>0</v>
      </c>
      <c r="ES184" s="336">
        <f t="shared" si="1500"/>
        <v>0</v>
      </c>
      <c r="ET184" s="336">
        <f t="shared" si="1500"/>
        <v>0</v>
      </c>
      <c r="EU184" s="336">
        <f t="shared" si="1501"/>
        <v>0</v>
      </c>
      <c r="EV184" s="336">
        <f t="shared" si="1502"/>
        <v>0</v>
      </c>
      <c r="EW184" s="336">
        <f t="shared" si="1503"/>
        <v>0</v>
      </c>
      <c r="EX184" s="336">
        <f t="shared" si="1504"/>
        <v>0</v>
      </c>
      <c r="EY184" s="336">
        <f t="shared" si="1505"/>
        <v>0</v>
      </c>
      <c r="EZ184" s="336">
        <f t="shared" si="1506"/>
        <v>0</v>
      </c>
      <c r="FA184" s="336">
        <f t="shared" si="1507"/>
        <v>0</v>
      </c>
      <c r="FB184" s="336">
        <f t="shared" si="1508"/>
        <v>0</v>
      </c>
      <c r="FC184" s="336">
        <f t="shared" si="1509"/>
        <v>0</v>
      </c>
      <c r="FD184" s="336">
        <f t="shared" si="1510"/>
        <v>0</v>
      </c>
      <c r="FE184" s="336">
        <f t="shared" si="1511"/>
        <v>0</v>
      </c>
      <c r="FF184" s="336">
        <f t="shared" si="1512"/>
        <v>0</v>
      </c>
      <c r="FG184" s="336">
        <f t="shared" si="1513"/>
        <v>0</v>
      </c>
      <c r="FH184" s="336">
        <f t="shared" si="1514"/>
        <v>0</v>
      </c>
      <c r="FI184" s="336">
        <f t="shared" si="1515"/>
        <v>0</v>
      </c>
      <c r="FJ184" s="336">
        <f t="shared" si="1516"/>
        <v>0</v>
      </c>
      <c r="FK184" s="336">
        <f t="shared" si="1517"/>
        <v>0</v>
      </c>
      <c r="FL184" s="336">
        <f t="shared" si="1518"/>
        <v>0</v>
      </c>
      <c r="FM184" s="336">
        <f t="shared" si="1519"/>
        <v>0</v>
      </c>
      <c r="FN184" s="336">
        <f t="shared" si="1520"/>
        <v>0</v>
      </c>
      <c r="FO184" s="336">
        <f t="shared" si="1521"/>
        <v>0</v>
      </c>
      <c r="FP184" s="336">
        <f t="shared" si="1522"/>
        <v>0</v>
      </c>
      <c r="FQ184" s="336">
        <f t="shared" si="1523"/>
        <v>0</v>
      </c>
      <c r="FR184" s="336">
        <f t="shared" si="1524"/>
        <v>0</v>
      </c>
      <c r="FS184" s="336">
        <f t="shared" si="1525"/>
        <v>0</v>
      </c>
      <c r="FT184" s="336">
        <f t="shared" si="1526"/>
        <v>0</v>
      </c>
      <c r="FU184" s="336">
        <f t="shared" si="1474"/>
        <v>0</v>
      </c>
      <c r="FV184" s="336">
        <f t="shared" si="1475"/>
        <v>0</v>
      </c>
      <c r="FW184" s="336">
        <f t="shared" si="1476"/>
        <v>0</v>
      </c>
      <c r="FX184" s="336">
        <f t="shared" si="1477"/>
        <v>0</v>
      </c>
      <c r="FY184" s="336">
        <f t="shared" si="1417"/>
        <v>0</v>
      </c>
      <c r="FZ184" s="336">
        <f t="shared" si="1418"/>
        <v>0</v>
      </c>
      <c r="GA184" s="336">
        <f t="shared" si="1419"/>
        <v>0</v>
      </c>
      <c r="GB184" s="336">
        <f t="shared" si="1420"/>
        <v>0</v>
      </c>
      <c r="GC184" s="336">
        <f t="shared" si="1421"/>
        <v>0</v>
      </c>
      <c r="GD184" s="336">
        <f t="shared" si="1422"/>
        <v>0</v>
      </c>
      <c r="GE184" s="336">
        <f t="shared" si="1423"/>
        <v>0</v>
      </c>
      <c r="GF184" s="336">
        <f t="shared" si="1424"/>
        <v>0</v>
      </c>
      <c r="GG184" s="336">
        <f t="shared" si="1425"/>
        <v>0</v>
      </c>
      <c r="GH184" s="336">
        <f t="shared" si="1426"/>
        <v>0</v>
      </c>
      <c r="GI184" s="336">
        <f t="shared" si="1427"/>
        <v>0</v>
      </c>
      <c r="GJ184" s="336">
        <f t="shared" si="1428"/>
        <v>0</v>
      </c>
      <c r="GK184" s="336">
        <f t="shared" si="1429"/>
        <v>0</v>
      </c>
      <c r="GL184" s="336">
        <f t="shared" si="1478"/>
        <v>0</v>
      </c>
      <c r="GM184" s="336">
        <f t="shared" si="1430"/>
        <v>0</v>
      </c>
    </row>
    <row r="185" spans="1:195" ht="27.75" customHeight="1">
      <c r="A185" s="337">
        <f t="shared" si="1527"/>
        <v>140</v>
      </c>
      <c r="B185" s="453"/>
      <c r="C185" s="372" t="str">
        <f t="shared" si="1459"/>
        <v>WORKSHOP HVAC DB</v>
      </c>
      <c r="D185" s="444" t="s">
        <v>1332</v>
      </c>
      <c r="E185" s="569" t="s">
        <v>1178</v>
      </c>
      <c r="F185" s="500"/>
      <c r="G185" s="337" t="s">
        <v>329</v>
      </c>
      <c r="H185" s="583">
        <v>3.5</v>
      </c>
      <c r="I185" s="337" t="s">
        <v>330</v>
      </c>
      <c r="J185" s="349" t="s">
        <v>357</v>
      </c>
      <c r="K185" s="349">
        <v>230</v>
      </c>
      <c r="L185" s="343">
        <v>0.95</v>
      </c>
      <c r="M185" s="350">
        <v>0.85</v>
      </c>
      <c r="N185" s="342">
        <f t="shared" si="1444"/>
        <v>18.845066630771303</v>
      </c>
      <c r="O185" s="342">
        <f t="shared" si="1445"/>
        <v>0</v>
      </c>
      <c r="P185" s="343" t="str">
        <f t="shared" si="1446"/>
        <v>0.00</v>
      </c>
      <c r="Q185" s="350">
        <v>65</v>
      </c>
      <c r="R185" s="350">
        <v>0</v>
      </c>
      <c r="S185" s="350">
        <f t="shared" si="1447"/>
        <v>0</v>
      </c>
      <c r="T185" s="343" t="s">
        <v>131</v>
      </c>
      <c r="U185" s="350" t="s">
        <v>333</v>
      </c>
      <c r="V185" s="343">
        <v>16</v>
      </c>
      <c r="W185" s="343" t="str">
        <f t="shared" si="1448"/>
        <v>3C X 16</v>
      </c>
      <c r="X185" s="343" t="str">
        <f t="shared" si="1449"/>
        <v>3C X 16</v>
      </c>
      <c r="Y185" s="343" t="s">
        <v>358</v>
      </c>
      <c r="Z185" s="344">
        <f>IF(T185="AIR",VLOOKUP(W185,'Catalogue Aluminium'!$B$9:$G$93,2,FALSE),IF(T185="GROUND",VLOOKUP(W185,'Catalogue Aluminium'!$B$9:$G$93,3,FALSE),IF(T185="DUCT",VLOOKUP(W185,'Catalogue Aluminium'!$B$9:$G$93,4,FALSE),IF(T185="TRENCH",VLOOKUP(W185,'Catalogue Aluminium'!$B$9:$G$93,2,FALSE)))))</f>
        <v>70</v>
      </c>
      <c r="AA185" s="345">
        <f>VLOOKUP(W185,'Catalogue Aluminium'!$B$9:$G$93,5,FALSE)</f>
        <v>2.44</v>
      </c>
      <c r="AB185" s="345">
        <f>VLOOKUP(W185,'Catalogue Aluminium'!$B$9:$G$93,6,FALSE)</f>
        <v>8.1500000000000003E-2</v>
      </c>
      <c r="AC185" s="343">
        <f t="shared" si="1528"/>
        <v>47</v>
      </c>
      <c r="AD185" s="343">
        <v>0</v>
      </c>
      <c r="AE185" s="343">
        <v>10</v>
      </c>
      <c r="AF185" s="343">
        <v>5</v>
      </c>
      <c r="AG185" s="343">
        <f t="shared" si="1462"/>
        <v>7</v>
      </c>
      <c r="AH185" s="347">
        <f t="shared" si="1450"/>
        <v>69</v>
      </c>
      <c r="AI185" s="344">
        <f>IF(T185="AIR",'Catalogue Aluminium'!$K$9,IF(T185="TRENCH",'Catalogue Aluminium'!$K$12,"NA"))</f>
        <v>0.89</v>
      </c>
      <c r="AJ185" s="342">
        <f>IF(T185="Air",(IF(U185="1C",'Catalogue Aluminium'!$L$9,'Catalogue Aluminium'!$M$9)),IF(T185="DUCT",(IF($U185="1C",'Catalogue Aluminium'!$L$10,'Catalogue Aluminium'!$M$10)),IF(T185="GROUND",(IF($U185="1C",'Catalogue Aluminium'!$L$11,'Catalogue Aluminium'!$M$11)),IF(T185="TRENCH",(IF($U185="1C",'Catalogue Aluminium'!$L$12,'Catalogue Aluminium'!$M$12))))))</f>
        <v>0.66</v>
      </c>
      <c r="AK185" s="344" t="str">
        <f>IF(T185="Air",'Catalogue Aluminium'!$N$9,IF(T185="GROUND",'Catalogue Aluminium'!$N$10,IF(T185="DUCT",'Catalogue Aluminium'!$N$11,IF(T185="TRENCH",'Catalogue Aluminium'!$N$12,"NA"))))</f>
        <v>NA</v>
      </c>
      <c r="AL185" s="344" t="str">
        <f>IF(T185="Air",(IF(U185="1C",'Catalogue Aluminium'!$O$9,'Catalogue Aluminium'!$P$9)),IF(T185="DUCT",(IF($U185="1C",'Catalogue Aluminium'!$O$10,'Catalogue Aluminium'!$P$10)),IF(T185="GROUND",(IF($U185="1C",'Catalogue Aluminium'!$O$11,'Catalogue Aluminium'!$P$11)),IF(T185="TRENCH",(IF($U185="1C",'Catalogue Aluminium'!$O$12,'Catalogue Aluminium'!$P$12))))))</f>
        <v>NA</v>
      </c>
      <c r="AM185" s="344" t="str">
        <f>IF(T185="AIR","NA",IF(T185="TRENCH","NA",IF(T185="DUCT",IF(U185="1C",VLOOKUP(V185,'Catalogue Aluminium'!$Q$9:$S$28,2,FALSE),VLOOKUP(V185,'Catalogue Aluminium'!$Q$9:$S$28,3)),IF(T185="GROUND",IF(U185="1C",VLOOKUP(V185,'Catalogue Aluminium'!$Q$9:$S$28,2,FALSE),VLOOKUP(V185,'Catalogue Aluminium'!$Q$9:$S$28,3))))))</f>
        <v>NA</v>
      </c>
      <c r="AN185" s="351">
        <f t="shared" si="1451"/>
        <v>0.58740000000000003</v>
      </c>
      <c r="AO185" s="350">
        <f t="shared" si="1452"/>
        <v>41.118000000000002</v>
      </c>
      <c r="AP185" s="349">
        <f t="shared" si="1453"/>
        <v>1</v>
      </c>
      <c r="AQ185" s="350" t="str">
        <f t="shared" si="1454"/>
        <v>YES</v>
      </c>
      <c r="AR185" s="351">
        <f t="shared" si="1463"/>
        <v>2.2947477281472954</v>
      </c>
      <c r="AS185" s="343" t="str">
        <f t="shared" si="1464"/>
        <v>YES</v>
      </c>
      <c r="AT185" s="351" t="str">
        <f t="shared" si="1470"/>
        <v>NA</v>
      </c>
      <c r="AU185" s="343" t="str">
        <f t="shared" si="1455"/>
        <v>NA</v>
      </c>
      <c r="AV185" s="354" t="str">
        <f t="shared" si="1456"/>
        <v>1R x 0.6/1kV x 3C x 16 Sqmm</v>
      </c>
      <c r="AW185" s="354" t="str">
        <f t="shared" si="1457"/>
        <v>1R x 0.6/1kV x 3C x 16 Sqmm</v>
      </c>
      <c r="AX185" s="343">
        <f t="shared" si="1471"/>
        <v>69</v>
      </c>
      <c r="AY185" s="355"/>
      <c r="AZ185" s="355">
        <f t="shared" si="1472"/>
        <v>2</v>
      </c>
      <c r="BA185" s="356" t="str">
        <f t="shared" si="1458"/>
        <v/>
      </c>
      <c r="BB185" s="501">
        <f>VLOOKUP(W185,'Catalogue Aluminium'!$B$9:$H$93,7,FALSE)</f>
        <v>19</v>
      </c>
      <c r="BC185" s="328">
        <f t="shared" si="1473"/>
        <v>19</v>
      </c>
      <c r="BE185" s="336"/>
      <c r="BF185" s="336"/>
      <c r="BG185" s="336"/>
      <c r="BH185" s="336"/>
      <c r="BI185" s="336"/>
      <c r="BJ185" s="336"/>
      <c r="BK185" s="336"/>
      <c r="BL185" s="336"/>
      <c r="BM185" s="336"/>
      <c r="BN185" s="336"/>
      <c r="BO185" s="336"/>
      <c r="BP185" s="336"/>
      <c r="BQ185" s="336"/>
      <c r="BR185" s="336"/>
      <c r="BS185" s="336"/>
      <c r="BT185" s="336"/>
      <c r="BU185" s="336"/>
      <c r="BV185" s="336"/>
      <c r="BW185" s="336"/>
      <c r="BX185" s="336"/>
      <c r="BY185" s="336"/>
      <c r="BZ185" s="336"/>
      <c r="CA185" s="336"/>
      <c r="CB185" s="336"/>
      <c r="CC185" s="336"/>
      <c r="CD185" s="336"/>
      <c r="CE185" s="336"/>
      <c r="CF185" s="336"/>
      <c r="CG185" s="336"/>
      <c r="CH185" s="336"/>
      <c r="CI185" s="336"/>
      <c r="CJ185" s="336"/>
      <c r="CK185" s="336"/>
      <c r="CL185" s="336"/>
      <c r="CM185" s="336"/>
      <c r="CN185" s="336"/>
      <c r="CO185" s="336"/>
      <c r="CP185" s="336"/>
      <c r="CQ185" s="336"/>
      <c r="CR185" s="336"/>
      <c r="CS185" s="336"/>
      <c r="CT185" s="336"/>
      <c r="CU185" s="336"/>
      <c r="CV185" s="336"/>
      <c r="CW185" s="336"/>
      <c r="CX185" s="336"/>
      <c r="CY185" s="336"/>
      <c r="CZ185" s="336"/>
      <c r="DA185" s="336"/>
      <c r="DB185" s="336"/>
      <c r="DC185" s="336"/>
      <c r="DD185" s="336"/>
      <c r="DE185" s="336"/>
      <c r="DF185" s="336"/>
      <c r="DG185" s="336"/>
      <c r="DH185" s="336"/>
      <c r="DI185" s="336"/>
      <c r="DJ185" s="336"/>
      <c r="DK185" s="336"/>
      <c r="DL185" s="336"/>
      <c r="DM185" s="336"/>
      <c r="DN185" s="336"/>
      <c r="DO185" s="336"/>
      <c r="DP185" s="336"/>
      <c r="DQ185" s="336"/>
      <c r="DR185" s="336"/>
      <c r="DS185" s="336"/>
      <c r="DT185" s="336"/>
      <c r="DU185" s="336"/>
      <c r="DW185" s="336">
        <f t="shared" si="1529"/>
        <v>0</v>
      </c>
      <c r="DX185" s="336">
        <f t="shared" si="1479"/>
        <v>0</v>
      </c>
      <c r="DY185" s="336">
        <f t="shared" si="1480"/>
        <v>0</v>
      </c>
      <c r="DZ185" s="336">
        <f t="shared" si="1481"/>
        <v>0</v>
      </c>
      <c r="EA185" s="336">
        <f t="shared" si="1482"/>
        <v>0</v>
      </c>
      <c r="EB185" s="336">
        <f t="shared" si="1483"/>
        <v>0</v>
      </c>
      <c r="EC185" s="336">
        <f t="shared" si="1484"/>
        <v>0</v>
      </c>
      <c r="ED185" s="336">
        <f t="shared" si="1485"/>
        <v>0</v>
      </c>
      <c r="EE185" s="336">
        <f t="shared" si="1486"/>
        <v>0</v>
      </c>
      <c r="EF185" s="336">
        <f t="shared" si="1487"/>
        <v>0</v>
      </c>
      <c r="EG185" s="336">
        <f t="shared" si="1488"/>
        <v>0</v>
      </c>
      <c r="EH185" s="336">
        <f t="shared" si="1489"/>
        <v>0</v>
      </c>
      <c r="EI185" s="336">
        <f t="shared" si="1490"/>
        <v>0</v>
      </c>
      <c r="EJ185" s="336">
        <f t="shared" si="1491"/>
        <v>0</v>
      </c>
      <c r="EK185" s="336">
        <f t="shared" si="1492"/>
        <v>0</v>
      </c>
      <c r="EL185" s="336">
        <f t="shared" si="1493"/>
        <v>0</v>
      </c>
      <c r="EM185" s="336">
        <f t="shared" si="1494"/>
        <v>0</v>
      </c>
      <c r="EN185" s="336">
        <f t="shared" si="1495"/>
        <v>0</v>
      </c>
      <c r="EO185" s="336">
        <f t="shared" si="1496"/>
        <v>0</v>
      </c>
      <c r="EP185" s="336">
        <f t="shared" si="1497"/>
        <v>0</v>
      </c>
      <c r="EQ185" s="336">
        <f t="shared" si="1498"/>
        <v>0</v>
      </c>
      <c r="ER185" s="336">
        <f t="shared" si="1499"/>
        <v>0</v>
      </c>
      <c r="ES185" s="336">
        <f t="shared" si="1500"/>
        <v>0</v>
      </c>
      <c r="ET185" s="336">
        <f t="shared" si="1500"/>
        <v>0</v>
      </c>
      <c r="EU185" s="336">
        <f t="shared" si="1501"/>
        <v>0</v>
      </c>
      <c r="EV185" s="336">
        <f t="shared" si="1502"/>
        <v>0</v>
      </c>
      <c r="EW185" s="336">
        <f t="shared" si="1503"/>
        <v>0</v>
      </c>
      <c r="EX185" s="336">
        <f t="shared" si="1504"/>
        <v>0</v>
      </c>
      <c r="EY185" s="336">
        <f t="shared" si="1505"/>
        <v>0</v>
      </c>
      <c r="EZ185" s="336">
        <f t="shared" si="1506"/>
        <v>0</v>
      </c>
      <c r="FA185" s="336">
        <f t="shared" si="1507"/>
        <v>0</v>
      </c>
      <c r="FB185" s="336">
        <f t="shared" si="1508"/>
        <v>0</v>
      </c>
      <c r="FC185" s="336">
        <f t="shared" si="1509"/>
        <v>0</v>
      </c>
      <c r="FD185" s="336">
        <f t="shared" si="1510"/>
        <v>0</v>
      </c>
      <c r="FE185" s="336">
        <f t="shared" si="1511"/>
        <v>0</v>
      </c>
      <c r="FF185" s="336">
        <f t="shared" si="1512"/>
        <v>0</v>
      </c>
      <c r="FG185" s="336">
        <f t="shared" si="1513"/>
        <v>0</v>
      </c>
      <c r="FH185" s="336">
        <f t="shared" si="1514"/>
        <v>0</v>
      </c>
      <c r="FI185" s="336">
        <f t="shared" si="1515"/>
        <v>0</v>
      </c>
      <c r="FJ185" s="336">
        <f t="shared" si="1516"/>
        <v>0</v>
      </c>
      <c r="FK185" s="336">
        <f t="shared" si="1517"/>
        <v>0</v>
      </c>
      <c r="FL185" s="336">
        <f t="shared" si="1518"/>
        <v>0</v>
      </c>
      <c r="FM185" s="336">
        <f t="shared" si="1519"/>
        <v>0</v>
      </c>
      <c r="FN185" s="336">
        <f t="shared" si="1520"/>
        <v>0</v>
      </c>
      <c r="FO185" s="336">
        <f t="shared" si="1521"/>
        <v>0</v>
      </c>
      <c r="FP185" s="336">
        <f t="shared" si="1522"/>
        <v>0</v>
      </c>
      <c r="FQ185" s="336">
        <f t="shared" si="1523"/>
        <v>0</v>
      </c>
      <c r="FR185" s="336">
        <f t="shared" si="1524"/>
        <v>0</v>
      </c>
      <c r="FS185" s="336">
        <f t="shared" si="1525"/>
        <v>0</v>
      </c>
      <c r="FT185" s="336">
        <f t="shared" si="1526"/>
        <v>0</v>
      </c>
      <c r="FU185" s="336">
        <f t="shared" si="1474"/>
        <v>0</v>
      </c>
      <c r="FV185" s="336">
        <f t="shared" si="1475"/>
        <v>0</v>
      </c>
      <c r="FW185" s="336">
        <f t="shared" si="1476"/>
        <v>0</v>
      </c>
      <c r="FX185" s="336">
        <f t="shared" si="1477"/>
        <v>0</v>
      </c>
      <c r="FY185" s="336">
        <f t="shared" si="1417"/>
        <v>0</v>
      </c>
      <c r="FZ185" s="336">
        <f t="shared" si="1418"/>
        <v>0</v>
      </c>
      <c r="GA185" s="336">
        <f t="shared" si="1419"/>
        <v>0</v>
      </c>
      <c r="GB185" s="336">
        <f t="shared" si="1420"/>
        <v>0</v>
      </c>
      <c r="GC185" s="336">
        <f t="shared" si="1421"/>
        <v>0</v>
      </c>
      <c r="GD185" s="336">
        <f t="shared" si="1422"/>
        <v>0</v>
      </c>
      <c r="GE185" s="336">
        <f t="shared" si="1423"/>
        <v>0</v>
      </c>
      <c r="GF185" s="336">
        <f t="shared" si="1424"/>
        <v>0</v>
      </c>
      <c r="GG185" s="336">
        <f t="shared" si="1425"/>
        <v>0</v>
      </c>
      <c r="GH185" s="336">
        <f t="shared" si="1426"/>
        <v>0</v>
      </c>
      <c r="GI185" s="336">
        <f t="shared" si="1427"/>
        <v>0</v>
      </c>
      <c r="GJ185" s="336">
        <f t="shared" si="1428"/>
        <v>0</v>
      </c>
      <c r="GK185" s="336">
        <f t="shared" si="1429"/>
        <v>0</v>
      </c>
      <c r="GL185" s="336">
        <f t="shared" si="1478"/>
        <v>0</v>
      </c>
      <c r="GM185" s="336">
        <f t="shared" si="1430"/>
        <v>0</v>
      </c>
    </row>
    <row r="186" spans="1:195" ht="27.75" customHeight="1">
      <c r="A186" s="337">
        <f t="shared" si="1527"/>
        <v>141</v>
      </c>
      <c r="B186" s="453"/>
      <c r="C186" s="372" t="str">
        <f t="shared" si="1459"/>
        <v>WORKSHOP HVAC DB</v>
      </c>
      <c r="D186" s="444" t="s">
        <v>1333</v>
      </c>
      <c r="E186" s="569" t="s">
        <v>1178</v>
      </c>
      <c r="F186" s="500"/>
      <c r="G186" s="337" t="s">
        <v>329</v>
      </c>
      <c r="H186" s="583">
        <v>3.5</v>
      </c>
      <c r="I186" s="337" t="s">
        <v>330</v>
      </c>
      <c r="J186" s="349" t="s">
        <v>357</v>
      </c>
      <c r="K186" s="349">
        <v>230</v>
      </c>
      <c r="L186" s="343">
        <v>0.95</v>
      </c>
      <c r="M186" s="350">
        <v>0.85</v>
      </c>
      <c r="N186" s="342">
        <f t="shared" si="1444"/>
        <v>18.845066630771303</v>
      </c>
      <c r="O186" s="342">
        <f t="shared" si="1445"/>
        <v>0</v>
      </c>
      <c r="P186" s="343" t="str">
        <f t="shared" si="1446"/>
        <v>0.00</v>
      </c>
      <c r="Q186" s="350">
        <v>65</v>
      </c>
      <c r="R186" s="350">
        <v>0</v>
      </c>
      <c r="S186" s="350">
        <f t="shared" si="1447"/>
        <v>0</v>
      </c>
      <c r="T186" s="343" t="s">
        <v>131</v>
      </c>
      <c r="U186" s="350" t="s">
        <v>333</v>
      </c>
      <c r="V186" s="343">
        <v>16</v>
      </c>
      <c r="W186" s="343" t="str">
        <f t="shared" si="1448"/>
        <v>3C X 16</v>
      </c>
      <c r="X186" s="343" t="str">
        <f t="shared" si="1449"/>
        <v>3C X 16</v>
      </c>
      <c r="Y186" s="343" t="s">
        <v>358</v>
      </c>
      <c r="Z186" s="344">
        <f>IF(T186="AIR",VLOOKUP(W186,'Catalogue Aluminium'!$B$9:$G$93,2,FALSE),IF(T186="GROUND",VLOOKUP(W186,'Catalogue Aluminium'!$B$9:$G$93,3,FALSE),IF(T186="DUCT",VLOOKUP(W186,'Catalogue Aluminium'!$B$9:$G$93,4,FALSE),IF(T186="TRENCH",VLOOKUP(W186,'Catalogue Aluminium'!$B$9:$G$93,2,FALSE)))))</f>
        <v>70</v>
      </c>
      <c r="AA186" s="345">
        <f>VLOOKUP(W186,'Catalogue Aluminium'!$B$9:$G$93,5,FALSE)</f>
        <v>2.44</v>
      </c>
      <c r="AB186" s="345">
        <f>VLOOKUP(W186,'Catalogue Aluminium'!$B$9:$G$93,6,FALSE)</f>
        <v>8.1500000000000003E-2</v>
      </c>
      <c r="AC186" s="343">
        <f t="shared" si="1528"/>
        <v>47</v>
      </c>
      <c r="AD186" s="343">
        <v>0</v>
      </c>
      <c r="AE186" s="343">
        <v>10</v>
      </c>
      <c r="AF186" s="343">
        <v>5</v>
      </c>
      <c r="AG186" s="343">
        <f t="shared" si="1462"/>
        <v>7</v>
      </c>
      <c r="AH186" s="347">
        <f t="shared" si="1450"/>
        <v>69</v>
      </c>
      <c r="AI186" s="344">
        <f>IF(T186="AIR",'Catalogue Aluminium'!$K$9,IF(T186="TRENCH",'Catalogue Aluminium'!$K$12,"NA"))</f>
        <v>0.89</v>
      </c>
      <c r="AJ186" s="342">
        <f>IF(T186="Air",(IF(U186="1C",'Catalogue Aluminium'!$L$9,'Catalogue Aluminium'!$M$9)),IF(T186="DUCT",(IF($U186="1C",'Catalogue Aluminium'!$L$10,'Catalogue Aluminium'!$M$10)),IF(T186="GROUND",(IF($U186="1C",'Catalogue Aluminium'!$L$11,'Catalogue Aluminium'!$M$11)),IF(T186="TRENCH",(IF($U186="1C",'Catalogue Aluminium'!$L$12,'Catalogue Aluminium'!$M$12))))))</f>
        <v>0.66</v>
      </c>
      <c r="AK186" s="344" t="str">
        <f>IF(T186="Air",'Catalogue Aluminium'!$N$9,IF(T186="GROUND",'Catalogue Aluminium'!$N$10,IF(T186="DUCT",'Catalogue Aluminium'!$N$11,IF(T186="TRENCH",'Catalogue Aluminium'!$N$12,"NA"))))</f>
        <v>NA</v>
      </c>
      <c r="AL186" s="344" t="str">
        <f>IF(T186="Air",(IF(U186="1C",'Catalogue Aluminium'!$O$9,'Catalogue Aluminium'!$P$9)),IF(T186="DUCT",(IF($U186="1C",'Catalogue Aluminium'!$O$10,'Catalogue Aluminium'!$P$10)),IF(T186="GROUND",(IF($U186="1C",'Catalogue Aluminium'!$O$11,'Catalogue Aluminium'!$P$11)),IF(T186="TRENCH",(IF($U186="1C",'Catalogue Aluminium'!$O$12,'Catalogue Aluminium'!$P$12))))))</f>
        <v>NA</v>
      </c>
      <c r="AM186" s="344" t="str">
        <f>IF(T186="AIR","NA",IF(T186="TRENCH","NA",IF(T186="DUCT",IF(U186="1C",VLOOKUP(V186,'Catalogue Aluminium'!$Q$9:$S$28,2,FALSE),VLOOKUP(V186,'Catalogue Aluminium'!$Q$9:$S$28,3)),IF(T186="GROUND",IF(U186="1C",VLOOKUP(V186,'Catalogue Aluminium'!$Q$9:$S$28,2,FALSE),VLOOKUP(V186,'Catalogue Aluminium'!$Q$9:$S$28,3))))))</f>
        <v>NA</v>
      </c>
      <c r="AN186" s="351">
        <f t="shared" si="1451"/>
        <v>0.58740000000000003</v>
      </c>
      <c r="AO186" s="350">
        <f t="shared" si="1452"/>
        <v>41.118000000000002</v>
      </c>
      <c r="AP186" s="349">
        <f t="shared" si="1453"/>
        <v>1</v>
      </c>
      <c r="AQ186" s="350" t="str">
        <f t="shared" si="1454"/>
        <v>YES</v>
      </c>
      <c r="AR186" s="351">
        <f t="shared" si="1463"/>
        <v>2.2947477281472954</v>
      </c>
      <c r="AS186" s="343" t="str">
        <f t="shared" si="1464"/>
        <v>YES</v>
      </c>
      <c r="AT186" s="351" t="str">
        <f t="shared" si="1470"/>
        <v>NA</v>
      </c>
      <c r="AU186" s="343" t="str">
        <f t="shared" si="1455"/>
        <v>NA</v>
      </c>
      <c r="AV186" s="354" t="str">
        <f t="shared" si="1456"/>
        <v>1R x 0.6/1kV x 3C x 16 Sqmm</v>
      </c>
      <c r="AW186" s="354" t="str">
        <f t="shared" si="1457"/>
        <v>1R x 0.6/1kV x 3C x 16 Sqmm</v>
      </c>
      <c r="AX186" s="343">
        <f t="shared" si="1471"/>
        <v>69</v>
      </c>
      <c r="AY186" s="355"/>
      <c r="AZ186" s="355">
        <f t="shared" si="1472"/>
        <v>2</v>
      </c>
      <c r="BA186" s="356" t="str">
        <f t="shared" si="1458"/>
        <v/>
      </c>
      <c r="BB186" s="501">
        <f>VLOOKUP(W186,'Catalogue Aluminium'!$B$9:$H$93,7,FALSE)</f>
        <v>19</v>
      </c>
      <c r="BC186" s="328">
        <f t="shared" si="1473"/>
        <v>19</v>
      </c>
      <c r="BE186" s="336"/>
      <c r="BF186" s="336"/>
      <c r="BG186" s="336"/>
      <c r="BH186" s="336"/>
      <c r="BI186" s="336"/>
      <c r="BJ186" s="336"/>
      <c r="BK186" s="336"/>
      <c r="BL186" s="336"/>
      <c r="BM186" s="336"/>
      <c r="BN186" s="336"/>
      <c r="BO186" s="336"/>
      <c r="BP186" s="336"/>
      <c r="BQ186" s="336"/>
      <c r="BR186" s="336"/>
      <c r="BS186" s="336"/>
      <c r="BT186" s="336"/>
      <c r="BU186" s="336"/>
      <c r="BV186" s="336"/>
      <c r="BW186" s="336"/>
      <c r="BX186" s="336"/>
      <c r="BY186" s="336"/>
      <c r="BZ186" s="336"/>
      <c r="CA186" s="336"/>
      <c r="CB186" s="336"/>
      <c r="CC186" s="336"/>
      <c r="CD186" s="336"/>
      <c r="CE186" s="336"/>
      <c r="CF186" s="336"/>
      <c r="CG186" s="336"/>
      <c r="CH186" s="336"/>
      <c r="CI186" s="336"/>
      <c r="CJ186" s="336"/>
      <c r="CK186" s="336"/>
      <c r="CL186" s="336"/>
      <c r="CM186" s="336"/>
      <c r="CN186" s="336"/>
      <c r="CO186" s="336"/>
      <c r="CP186" s="336"/>
      <c r="CQ186" s="336"/>
      <c r="CR186" s="336"/>
      <c r="CS186" s="336"/>
      <c r="CT186" s="336"/>
      <c r="CU186" s="336"/>
      <c r="CV186" s="336"/>
      <c r="CW186" s="336"/>
      <c r="CX186" s="336"/>
      <c r="CY186" s="336"/>
      <c r="CZ186" s="336"/>
      <c r="DA186" s="336"/>
      <c r="DB186" s="336"/>
      <c r="DC186" s="336"/>
      <c r="DD186" s="336"/>
      <c r="DE186" s="336"/>
      <c r="DF186" s="336"/>
      <c r="DG186" s="336"/>
      <c r="DH186" s="336"/>
      <c r="DI186" s="336"/>
      <c r="DJ186" s="336"/>
      <c r="DK186" s="336"/>
      <c r="DL186" s="336"/>
      <c r="DM186" s="336"/>
      <c r="DN186" s="336"/>
      <c r="DO186" s="336"/>
      <c r="DP186" s="336"/>
      <c r="DQ186" s="336"/>
      <c r="DR186" s="336"/>
      <c r="DS186" s="336"/>
      <c r="DT186" s="336"/>
      <c r="DU186" s="336"/>
      <c r="DW186" s="336">
        <f t="shared" si="1529"/>
        <v>0</v>
      </c>
      <c r="DX186" s="336">
        <f t="shared" si="1479"/>
        <v>0</v>
      </c>
      <c r="DY186" s="336">
        <f t="shared" si="1480"/>
        <v>0</v>
      </c>
      <c r="DZ186" s="336">
        <f t="shared" si="1481"/>
        <v>0</v>
      </c>
      <c r="EA186" s="336">
        <f t="shared" si="1482"/>
        <v>0</v>
      </c>
      <c r="EB186" s="336">
        <f t="shared" si="1483"/>
        <v>0</v>
      </c>
      <c r="EC186" s="336">
        <f t="shared" si="1484"/>
        <v>0</v>
      </c>
      <c r="ED186" s="336">
        <f t="shared" si="1485"/>
        <v>0</v>
      </c>
      <c r="EE186" s="336">
        <f t="shared" si="1486"/>
        <v>0</v>
      </c>
      <c r="EF186" s="336">
        <f t="shared" si="1487"/>
        <v>0</v>
      </c>
      <c r="EG186" s="336">
        <f t="shared" si="1488"/>
        <v>0</v>
      </c>
      <c r="EH186" s="336">
        <f t="shared" si="1489"/>
        <v>0</v>
      </c>
      <c r="EI186" s="336">
        <f t="shared" si="1490"/>
        <v>0</v>
      </c>
      <c r="EJ186" s="336">
        <f t="shared" si="1491"/>
        <v>0</v>
      </c>
      <c r="EK186" s="336">
        <f t="shared" si="1492"/>
        <v>0</v>
      </c>
      <c r="EL186" s="336">
        <f t="shared" si="1493"/>
        <v>0</v>
      </c>
      <c r="EM186" s="336">
        <f t="shared" si="1494"/>
        <v>0</v>
      </c>
      <c r="EN186" s="336">
        <f t="shared" si="1495"/>
        <v>0</v>
      </c>
      <c r="EO186" s="336">
        <f t="shared" si="1496"/>
        <v>0</v>
      </c>
      <c r="EP186" s="336">
        <f t="shared" si="1497"/>
        <v>0</v>
      </c>
      <c r="EQ186" s="336">
        <f t="shared" si="1498"/>
        <v>0</v>
      </c>
      <c r="ER186" s="336">
        <f t="shared" si="1499"/>
        <v>0</v>
      </c>
      <c r="ES186" s="336">
        <f t="shared" si="1500"/>
        <v>0</v>
      </c>
      <c r="ET186" s="336">
        <f t="shared" si="1500"/>
        <v>0</v>
      </c>
      <c r="EU186" s="336">
        <f t="shared" si="1501"/>
        <v>0</v>
      </c>
      <c r="EV186" s="336">
        <f t="shared" si="1502"/>
        <v>0</v>
      </c>
      <c r="EW186" s="336">
        <f t="shared" si="1503"/>
        <v>0</v>
      </c>
      <c r="EX186" s="336">
        <f t="shared" si="1504"/>
        <v>0</v>
      </c>
      <c r="EY186" s="336">
        <f t="shared" si="1505"/>
        <v>0</v>
      </c>
      <c r="EZ186" s="336">
        <f t="shared" si="1506"/>
        <v>0</v>
      </c>
      <c r="FA186" s="336">
        <f t="shared" si="1507"/>
        <v>0</v>
      </c>
      <c r="FB186" s="336">
        <f t="shared" si="1508"/>
        <v>0</v>
      </c>
      <c r="FC186" s="336">
        <f t="shared" si="1509"/>
        <v>0</v>
      </c>
      <c r="FD186" s="336">
        <f t="shared" si="1510"/>
        <v>0</v>
      </c>
      <c r="FE186" s="336">
        <f t="shared" si="1511"/>
        <v>0</v>
      </c>
      <c r="FF186" s="336">
        <f t="shared" si="1512"/>
        <v>0</v>
      </c>
      <c r="FG186" s="336">
        <f t="shared" si="1513"/>
        <v>0</v>
      </c>
      <c r="FH186" s="336">
        <f t="shared" si="1514"/>
        <v>0</v>
      </c>
      <c r="FI186" s="336">
        <f t="shared" si="1515"/>
        <v>0</v>
      </c>
      <c r="FJ186" s="336">
        <f t="shared" si="1516"/>
        <v>0</v>
      </c>
      <c r="FK186" s="336">
        <f t="shared" si="1517"/>
        <v>0</v>
      </c>
      <c r="FL186" s="336">
        <f t="shared" si="1518"/>
        <v>0</v>
      </c>
      <c r="FM186" s="336">
        <f t="shared" si="1519"/>
        <v>0</v>
      </c>
      <c r="FN186" s="336">
        <f t="shared" si="1520"/>
        <v>0</v>
      </c>
      <c r="FO186" s="336">
        <f t="shared" si="1521"/>
        <v>0</v>
      </c>
      <c r="FP186" s="336">
        <f t="shared" si="1522"/>
        <v>0</v>
      </c>
      <c r="FQ186" s="336">
        <f t="shared" si="1523"/>
        <v>0</v>
      </c>
      <c r="FR186" s="336">
        <f t="shared" si="1524"/>
        <v>0</v>
      </c>
      <c r="FS186" s="336">
        <f t="shared" si="1525"/>
        <v>0</v>
      </c>
      <c r="FT186" s="336">
        <f t="shared" si="1526"/>
        <v>0</v>
      </c>
      <c r="FU186" s="336">
        <f t="shared" si="1474"/>
        <v>0</v>
      </c>
      <c r="FV186" s="336">
        <f t="shared" si="1475"/>
        <v>0</v>
      </c>
      <c r="FW186" s="336">
        <f t="shared" si="1476"/>
        <v>0</v>
      </c>
      <c r="FX186" s="336">
        <f t="shared" si="1477"/>
        <v>0</v>
      </c>
      <c r="FY186" s="336">
        <f t="shared" si="1417"/>
        <v>0</v>
      </c>
      <c r="FZ186" s="336">
        <f t="shared" si="1418"/>
        <v>0</v>
      </c>
      <c r="GA186" s="336">
        <f t="shared" si="1419"/>
        <v>0</v>
      </c>
      <c r="GB186" s="336">
        <f t="shared" si="1420"/>
        <v>0</v>
      </c>
      <c r="GC186" s="336">
        <f t="shared" si="1421"/>
        <v>0</v>
      </c>
      <c r="GD186" s="336">
        <f t="shared" si="1422"/>
        <v>0</v>
      </c>
      <c r="GE186" s="336">
        <f t="shared" si="1423"/>
        <v>0</v>
      </c>
      <c r="GF186" s="336">
        <f t="shared" si="1424"/>
        <v>0</v>
      </c>
      <c r="GG186" s="336">
        <f t="shared" si="1425"/>
        <v>0</v>
      </c>
      <c r="GH186" s="336">
        <f t="shared" si="1426"/>
        <v>0</v>
      </c>
      <c r="GI186" s="336">
        <f t="shared" si="1427"/>
        <v>0</v>
      </c>
      <c r="GJ186" s="336">
        <f t="shared" si="1428"/>
        <v>0</v>
      </c>
      <c r="GK186" s="336">
        <f t="shared" si="1429"/>
        <v>0</v>
      </c>
      <c r="GL186" s="336">
        <f t="shared" si="1478"/>
        <v>0</v>
      </c>
      <c r="GM186" s="336">
        <f t="shared" si="1430"/>
        <v>0</v>
      </c>
    </row>
    <row r="187" spans="1:195" ht="27.75" customHeight="1">
      <c r="A187" s="337">
        <f t="shared" si="1527"/>
        <v>142</v>
      </c>
      <c r="B187" s="453"/>
      <c r="C187" s="372" t="str">
        <f t="shared" si="1459"/>
        <v>WORKSHOP HVAC DB</v>
      </c>
      <c r="D187" s="444" t="s">
        <v>1334</v>
      </c>
      <c r="E187" s="569" t="s">
        <v>1178</v>
      </c>
      <c r="F187" s="500"/>
      <c r="G187" s="337" t="s">
        <v>329</v>
      </c>
      <c r="H187" s="583">
        <v>3.5</v>
      </c>
      <c r="I187" s="337" t="s">
        <v>330</v>
      </c>
      <c r="J187" s="349" t="s">
        <v>357</v>
      </c>
      <c r="K187" s="349">
        <v>230</v>
      </c>
      <c r="L187" s="343">
        <v>0.95</v>
      </c>
      <c r="M187" s="350">
        <v>0.85</v>
      </c>
      <c r="N187" s="342">
        <f t="shared" si="1444"/>
        <v>18.845066630771303</v>
      </c>
      <c r="O187" s="342">
        <f t="shared" si="1445"/>
        <v>0</v>
      </c>
      <c r="P187" s="343" t="str">
        <f t="shared" si="1446"/>
        <v>0.00</v>
      </c>
      <c r="Q187" s="350">
        <v>65</v>
      </c>
      <c r="R187" s="350">
        <v>0</v>
      </c>
      <c r="S187" s="350">
        <f t="shared" si="1447"/>
        <v>0</v>
      </c>
      <c r="T187" s="343" t="s">
        <v>131</v>
      </c>
      <c r="U187" s="350" t="s">
        <v>333</v>
      </c>
      <c r="V187" s="343">
        <v>16</v>
      </c>
      <c r="W187" s="343" t="str">
        <f t="shared" si="1448"/>
        <v>3C X 16</v>
      </c>
      <c r="X187" s="343" t="str">
        <f t="shared" si="1449"/>
        <v>3C X 16</v>
      </c>
      <c r="Y187" s="343" t="s">
        <v>358</v>
      </c>
      <c r="Z187" s="344">
        <f>IF(T187="AIR",VLOOKUP(W187,'Catalogue Aluminium'!$B$9:$G$93,2,FALSE),IF(T187="GROUND",VLOOKUP(W187,'Catalogue Aluminium'!$B$9:$G$93,3,FALSE),IF(T187="DUCT",VLOOKUP(W187,'Catalogue Aluminium'!$B$9:$G$93,4,FALSE),IF(T187="TRENCH",VLOOKUP(W187,'Catalogue Aluminium'!$B$9:$G$93,2,FALSE)))))</f>
        <v>70</v>
      </c>
      <c r="AA187" s="345">
        <f>VLOOKUP(W187,'Catalogue Aluminium'!$B$9:$G$93,5,FALSE)</f>
        <v>2.44</v>
      </c>
      <c r="AB187" s="345">
        <f>VLOOKUP(W187,'Catalogue Aluminium'!$B$9:$G$93,6,FALSE)</f>
        <v>8.1500000000000003E-2</v>
      </c>
      <c r="AC187" s="343">
        <f t="shared" si="1528"/>
        <v>47</v>
      </c>
      <c r="AD187" s="343">
        <v>0</v>
      </c>
      <c r="AE187" s="343">
        <v>10</v>
      </c>
      <c r="AF187" s="343">
        <v>5</v>
      </c>
      <c r="AG187" s="343">
        <f t="shared" si="1462"/>
        <v>7</v>
      </c>
      <c r="AH187" s="347">
        <f t="shared" si="1450"/>
        <v>69</v>
      </c>
      <c r="AI187" s="344">
        <f>IF(T187="AIR",'Catalogue Aluminium'!$K$9,IF(T187="TRENCH",'Catalogue Aluminium'!$K$12,"NA"))</f>
        <v>0.89</v>
      </c>
      <c r="AJ187" s="342">
        <f>IF(T187="Air",(IF(U187="1C",'Catalogue Aluminium'!$L$9,'Catalogue Aluminium'!$M$9)),IF(T187="DUCT",(IF($U187="1C",'Catalogue Aluminium'!$L$10,'Catalogue Aluminium'!$M$10)),IF(T187="GROUND",(IF($U187="1C",'Catalogue Aluminium'!$L$11,'Catalogue Aluminium'!$M$11)),IF(T187="TRENCH",(IF($U187="1C",'Catalogue Aluminium'!$L$12,'Catalogue Aluminium'!$M$12))))))</f>
        <v>0.66</v>
      </c>
      <c r="AK187" s="344" t="str">
        <f>IF(T187="Air",'Catalogue Aluminium'!$N$9,IF(T187="GROUND",'Catalogue Aluminium'!$N$10,IF(T187="DUCT",'Catalogue Aluminium'!$N$11,IF(T187="TRENCH",'Catalogue Aluminium'!$N$12,"NA"))))</f>
        <v>NA</v>
      </c>
      <c r="AL187" s="344" t="str">
        <f>IF(T187="Air",(IF(U187="1C",'Catalogue Aluminium'!$O$9,'Catalogue Aluminium'!$P$9)),IF(T187="DUCT",(IF($U187="1C",'Catalogue Aluminium'!$O$10,'Catalogue Aluminium'!$P$10)),IF(T187="GROUND",(IF($U187="1C",'Catalogue Aluminium'!$O$11,'Catalogue Aluminium'!$P$11)),IF(T187="TRENCH",(IF($U187="1C",'Catalogue Aluminium'!$O$12,'Catalogue Aluminium'!$P$12))))))</f>
        <v>NA</v>
      </c>
      <c r="AM187" s="344" t="str">
        <f>IF(T187="AIR","NA",IF(T187="TRENCH","NA",IF(T187="DUCT",IF(U187="1C",VLOOKUP(V187,'Catalogue Aluminium'!$Q$9:$S$28,2,FALSE),VLOOKUP(V187,'Catalogue Aluminium'!$Q$9:$S$28,3)),IF(T187="GROUND",IF(U187="1C",VLOOKUP(V187,'Catalogue Aluminium'!$Q$9:$S$28,2,FALSE),VLOOKUP(V187,'Catalogue Aluminium'!$Q$9:$S$28,3))))))</f>
        <v>NA</v>
      </c>
      <c r="AN187" s="351">
        <f t="shared" si="1451"/>
        <v>0.58740000000000003</v>
      </c>
      <c r="AO187" s="350">
        <f t="shared" si="1452"/>
        <v>41.118000000000002</v>
      </c>
      <c r="AP187" s="349">
        <f t="shared" si="1453"/>
        <v>1</v>
      </c>
      <c r="AQ187" s="350" t="str">
        <f t="shared" si="1454"/>
        <v>YES</v>
      </c>
      <c r="AR187" s="351">
        <f t="shared" si="1463"/>
        <v>2.2947477281472954</v>
      </c>
      <c r="AS187" s="343" t="str">
        <f t="shared" si="1464"/>
        <v>YES</v>
      </c>
      <c r="AT187" s="351" t="str">
        <f t="shared" si="1470"/>
        <v>NA</v>
      </c>
      <c r="AU187" s="343" t="str">
        <f t="shared" si="1455"/>
        <v>NA</v>
      </c>
      <c r="AV187" s="354" t="str">
        <f t="shared" si="1456"/>
        <v>1R x 0.6/1kV x 3C x 16 Sqmm</v>
      </c>
      <c r="AW187" s="354" t="str">
        <f t="shared" si="1457"/>
        <v>1R x 0.6/1kV x 3C x 16 Sqmm</v>
      </c>
      <c r="AX187" s="343">
        <f t="shared" si="1471"/>
        <v>69</v>
      </c>
      <c r="AY187" s="355"/>
      <c r="AZ187" s="355">
        <f t="shared" si="1472"/>
        <v>2</v>
      </c>
      <c r="BA187" s="356" t="str">
        <f t="shared" si="1458"/>
        <v/>
      </c>
      <c r="BB187" s="501">
        <f>VLOOKUP(W187,'Catalogue Aluminium'!$B$9:$H$93,7,FALSE)</f>
        <v>19</v>
      </c>
      <c r="BC187" s="328">
        <f t="shared" si="1473"/>
        <v>19</v>
      </c>
      <c r="BE187" s="336"/>
      <c r="BF187" s="336"/>
      <c r="BG187" s="336"/>
      <c r="BH187" s="336"/>
      <c r="BI187" s="336"/>
      <c r="BJ187" s="336"/>
      <c r="BK187" s="336"/>
      <c r="BL187" s="336"/>
      <c r="BM187" s="336"/>
      <c r="BN187" s="336"/>
      <c r="BO187" s="336"/>
      <c r="BP187" s="336"/>
      <c r="BQ187" s="336"/>
      <c r="BR187" s="336"/>
      <c r="BS187" s="336"/>
      <c r="BT187" s="336"/>
      <c r="BU187" s="336"/>
      <c r="BV187" s="336"/>
      <c r="BW187" s="336"/>
      <c r="BX187" s="336"/>
      <c r="BY187" s="336"/>
      <c r="BZ187" s="336"/>
      <c r="CA187" s="336"/>
      <c r="CB187" s="336"/>
      <c r="CC187" s="336"/>
      <c r="CD187" s="336"/>
      <c r="CE187" s="336"/>
      <c r="CF187" s="336"/>
      <c r="CG187" s="336"/>
      <c r="CH187" s="336"/>
      <c r="CI187" s="336"/>
      <c r="CJ187" s="336"/>
      <c r="CK187" s="336"/>
      <c r="CL187" s="336"/>
      <c r="CM187" s="336"/>
      <c r="CN187" s="336"/>
      <c r="CO187" s="336"/>
      <c r="CP187" s="336"/>
      <c r="CQ187" s="336"/>
      <c r="CR187" s="336"/>
      <c r="CS187" s="336"/>
      <c r="CT187" s="336"/>
      <c r="CU187" s="336"/>
      <c r="CV187" s="336"/>
      <c r="CW187" s="336"/>
      <c r="CX187" s="336"/>
      <c r="CY187" s="336"/>
      <c r="CZ187" s="336"/>
      <c r="DA187" s="336"/>
      <c r="DB187" s="336"/>
      <c r="DC187" s="336"/>
      <c r="DD187" s="336"/>
      <c r="DE187" s="336"/>
      <c r="DF187" s="336"/>
      <c r="DG187" s="336"/>
      <c r="DH187" s="336"/>
      <c r="DI187" s="336"/>
      <c r="DJ187" s="336"/>
      <c r="DK187" s="336"/>
      <c r="DL187" s="336"/>
      <c r="DM187" s="336"/>
      <c r="DN187" s="336"/>
      <c r="DO187" s="336"/>
      <c r="DP187" s="336"/>
      <c r="DQ187" s="336"/>
      <c r="DR187" s="336"/>
      <c r="DS187" s="336"/>
      <c r="DT187" s="336"/>
      <c r="DU187" s="336"/>
      <c r="DW187" s="336">
        <f t="shared" si="1529"/>
        <v>0</v>
      </c>
      <c r="DX187" s="336">
        <f t="shared" si="1479"/>
        <v>0</v>
      </c>
      <c r="DY187" s="336">
        <f t="shared" si="1480"/>
        <v>0</v>
      </c>
      <c r="DZ187" s="336">
        <f t="shared" si="1481"/>
        <v>0</v>
      </c>
      <c r="EA187" s="336">
        <f t="shared" si="1482"/>
        <v>0</v>
      </c>
      <c r="EB187" s="336">
        <f t="shared" si="1483"/>
        <v>0</v>
      </c>
      <c r="EC187" s="336">
        <f t="shared" si="1484"/>
        <v>0</v>
      </c>
      <c r="ED187" s="336">
        <f t="shared" si="1485"/>
        <v>0</v>
      </c>
      <c r="EE187" s="336">
        <f t="shared" si="1486"/>
        <v>0</v>
      </c>
      <c r="EF187" s="336">
        <f t="shared" si="1487"/>
        <v>0</v>
      </c>
      <c r="EG187" s="336">
        <f t="shared" si="1488"/>
        <v>0</v>
      </c>
      <c r="EH187" s="336">
        <f t="shared" si="1489"/>
        <v>0</v>
      </c>
      <c r="EI187" s="336">
        <f t="shared" si="1490"/>
        <v>0</v>
      </c>
      <c r="EJ187" s="336">
        <f t="shared" si="1491"/>
        <v>0</v>
      </c>
      <c r="EK187" s="336">
        <f t="shared" si="1492"/>
        <v>0</v>
      </c>
      <c r="EL187" s="336">
        <f t="shared" si="1493"/>
        <v>0</v>
      </c>
      <c r="EM187" s="336">
        <f t="shared" si="1494"/>
        <v>0</v>
      </c>
      <c r="EN187" s="336">
        <f t="shared" si="1495"/>
        <v>0</v>
      </c>
      <c r="EO187" s="336">
        <f t="shared" si="1496"/>
        <v>0</v>
      </c>
      <c r="EP187" s="336">
        <f t="shared" si="1497"/>
        <v>0</v>
      </c>
      <c r="EQ187" s="336">
        <f t="shared" si="1498"/>
        <v>0</v>
      </c>
      <c r="ER187" s="336">
        <f t="shared" si="1499"/>
        <v>0</v>
      </c>
      <c r="ES187" s="336">
        <f t="shared" si="1500"/>
        <v>0</v>
      </c>
      <c r="ET187" s="336">
        <f t="shared" si="1500"/>
        <v>0</v>
      </c>
      <c r="EU187" s="336">
        <f t="shared" si="1501"/>
        <v>0</v>
      </c>
      <c r="EV187" s="336">
        <f t="shared" si="1502"/>
        <v>0</v>
      </c>
      <c r="EW187" s="336">
        <f t="shared" si="1503"/>
        <v>0</v>
      </c>
      <c r="EX187" s="336">
        <f t="shared" si="1504"/>
        <v>0</v>
      </c>
      <c r="EY187" s="336">
        <f t="shared" si="1505"/>
        <v>0</v>
      </c>
      <c r="EZ187" s="336">
        <f t="shared" si="1506"/>
        <v>0</v>
      </c>
      <c r="FA187" s="336">
        <f t="shared" si="1507"/>
        <v>0</v>
      </c>
      <c r="FB187" s="336">
        <f t="shared" si="1508"/>
        <v>0</v>
      </c>
      <c r="FC187" s="336">
        <f t="shared" si="1509"/>
        <v>0</v>
      </c>
      <c r="FD187" s="336">
        <f t="shared" si="1510"/>
        <v>0</v>
      </c>
      <c r="FE187" s="336">
        <f t="shared" si="1511"/>
        <v>0</v>
      </c>
      <c r="FF187" s="336">
        <f t="shared" si="1512"/>
        <v>0</v>
      </c>
      <c r="FG187" s="336">
        <f t="shared" si="1513"/>
        <v>0</v>
      </c>
      <c r="FH187" s="336">
        <f t="shared" si="1514"/>
        <v>0</v>
      </c>
      <c r="FI187" s="336">
        <f t="shared" si="1515"/>
        <v>0</v>
      </c>
      <c r="FJ187" s="336">
        <f t="shared" si="1516"/>
        <v>0</v>
      </c>
      <c r="FK187" s="336">
        <f t="shared" si="1517"/>
        <v>0</v>
      </c>
      <c r="FL187" s="336">
        <f t="shared" si="1518"/>
        <v>0</v>
      </c>
      <c r="FM187" s="336">
        <f t="shared" si="1519"/>
        <v>0</v>
      </c>
      <c r="FN187" s="336">
        <f t="shared" si="1520"/>
        <v>0</v>
      </c>
      <c r="FO187" s="336">
        <f t="shared" si="1521"/>
        <v>0</v>
      </c>
      <c r="FP187" s="336">
        <f t="shared" si="1522"/>
        <v>0</v>
      </c>
      <c r="FQ187" s="336">
        <f t="shared" si="1523"/>
        <v>0</v>
      </c>
      <c r="FR187" s="336">
        <f t="shared" si="1524"/>
        <v>0</v>
      </c>
      <c r="FS187" s="336">
        <f t="shared" si="1525"/>
        <v>0</v>
      </c>
      <c r="FT187" s="336">
        <f t="shared" si="1526"/>
        <v>0</v>
      </c>
      <c r="FU187" s="336">
        <f t="shared" si="1474"/>
        <v>0</v>
      </c>
      <c r="FV187" s="336">
        <f t="shared" si="1475"/>
        <v>0</v>
      </c>
      <c r="FW187" s="336">
        <f t="shared" si="1476"/>
        <v>0</v>
      </c>
      <c r="FX187" s="336">
        <f t="shared" si="1477"/>
        <v>0</v>
      </c>
      <c r="FY187" s="336">
        <f t="shared" si="1417"/>
        <v>0</v>
      </c>
      <c r="FZ187" s="336">
        <f t="shared" si="1418"/>
        <v>0</v>
      </c>
      <c r="GA187" s="336">
        <f t="shared" si="1419"/>
        <v>0</v>
      </c>
      <c r="GB187" s="336">
        <f t="shared" si="1420"/>
        <v>0</v>
      </c>
      <c r="GC187" s="336">
        <f t="shared" si="1421"/>
        <v>0</v>
      </c>
      <c r="GD187" s="336">
        <f t="shared" si="1422"/>
        <v>0</v>
      </c>
      <c r="GE187" s="336">
        <f t="shared" si="1423"/>
        <v>0</v>
      </c>
      <c r="GF187" s="336">
        <f t="shared" si="1424"/>
        <v>0</v>
      </c>
      <c r="GG187" s="336">
        <f t="shared" si="1425"/>
        <v>0</v>
      </c>
      <c r="GH187" s="336">
        <f t="shared" si="1426"/>
        <v>0</v>
      </c>
      <c r="GI187" s="336">
        <f t="shared" si="1427"/>
        <v>0</v>
      </c>
      <c r="GJ187" s="336">
        <f t="shared" si="1428"/>
        <v>0</v>
      </c>
      <c r="GK187" s="336">
        <f t="shared" si="1429"/>
        <v>0</v>
      </c>
      <c r="GL187" s="336">
        <f t="shared" si="1478"/>
        <v>0</v>
      </c>
      <c r="GM187" s="336">
        <f t="shared" si="1430"/>
        <v>0</v>
      </c>
    </row>
    <row r="188" spans="1:195" ht="27.75" customHeight="1">
      <c r="A188" s="337">
        <f t="shared" si="1527"/>
        <v>143</v>
      </c>
      <c r="B188" s="453"/>
      <c r="C188" s="372" t="str">
        <f t="shared" si="1459"/>
        <v>WORKSHOP HVAC DB</v>
      </c>
      <c r="D188" s="444" t="s">
        <v>1335</v>
      </c>
      <c r="E188" s="569" t="s">
        <v>1178</v>
      </c>
      <c r="F188" s="500"/>
      <c r="G188" s="337" t="s">
        <v>329</v>
      </c>
      <c r="H188" s="583">
        <v>1.5</v>
      </c>
      <c r="I188" s="337" t="s">
        <v>330</v>
      </c>
      <c r="J188" s="349" t="s">
        <v>357</v>
      </c>
      <c r="K188" s="349">
        <v>230</v>
      </c>
      <c r="L188" s="343">
        <v>0.95</v>
      </c>
      <c r="M188" s="350">
        <v>0.85</v>
      </c>
      <c r="N188" s="342">
        <f t="shared" si="1444"/>
        <v>8.0764571274734145</v>
      </c>
      <c r="O188" s="342">
        <f t="shared" si="1445"/>
        <v>0</v>
      </c>
      <c r="P188" s="343" t="str">
        <f t="shared" si="1446"/>
        <v>0.00</v>
      </c>
      <c r="Q188" s="350">
        <v>65</v>
      </c>
      <c r="R188" s="350">
        <v>0</v>
      </c>
      <c r="S188" s="350">
        <f t="shared" si="1447"/>
        <v>0</v>
      </c>
      <c r="T188" s="343" t="s">
        <v>131</v>
      </c>
      <c r="U188" s="350" t="s">
        <v>333</v>
      </c>
      <c r="V188" s="343">
        <v>6</v>
      </c>
      <c r="W188" s="343" t="str">
        <f t="shared" si="1448"/>
        <v>3C X 6</v>
      </c>
      <c r="X188" s="343" t="str">
        <f t="shared" si="1449"/>
        <v>3C X 6</v>
      </c>
      <c r="Y188" s="343" t="s">
        <v>358</v>
      </c>
      <c r="Z188" s="344">
        <f>IF(T188="AIR",VLOOKUP(W188,'Catalogue Aluminium'!$B$9:$G$93,2,FALSE),IF(T188="GROUND",VLOOKUP(W188,'Catalogue Aluminium'!$B$9:$G$93,3,FALSE),IF(T188="DUCT",VLOOKUP(W188,'Catalogue Aluminium'!$B$9:$G$93,4,FALSE),IF(T188="TRENCH",VLOOKUP(W188,'Catalogue Aluminium'!$B$9:$G$93,2,FALSE)))))</f>
        <v>51</v>
      </c>
      <c r="AA188" s="345">
        <f>VLOOKUP(W188,'Catalogue Aluminium'!$B$9:$G$93,5,FALSE)</f>
        <v>3.94</v>
      </c>
      <c r="AB188" s="345">
        <f>VLOOKUP(W188,'Catalogue Aluminium'!$B$9:$G$93,6,FALSE)</f>
        <v>9.0200000000000002E-2</v>
      </c>
      <c r="AC188" s="343">
        <f t="shared" si="1528"/>
        <v>47</v>
      </c>
      <c r="AD188" s="343">
        <v>0</v>
      </c>
      <c r="AE188" s="343">
        <v>10</v>
      </c>
      <c r="AF188" s="343">
        <v>5</v>
      </c>
      <c r="AG188" s="343">
        <f t="shared" si="1462"/>
        <v>7</v>
      </c>
      <c r="AH188" s="347">
        <f t="shared" si="1450"/>
        <v>69</v>
      </c>
      <c r="AI188" s="344">
        <f>IF(T188="AIR",'Catalogue Aluminium'!$K$9,IF(T188="TRENCH",'Catalogue Aluminium'!$K$12,"NA"))</f>
        <v>0.89</v>
      </c>
      <c r="AJ188" s="342">
        <f>IF(T188="Air",(IF(U188="1C",'Catalogue Aluminium'!$L$9,'Catalogue Aluminium'!$M$9)),IF(T188="DUCT",(IF($U188="1C",'Catalogue Aluminium'!$L$10,'Catalogue Aluminium'!$M$10)),IF(T188="GROUND",(IF($U188="1C",'Catalogue Aluminium'!$L$11,'Catalogue Aluminium'!$M$11)),IF(T188="TRENCH",(IF($U188="1C",'Catalogue Aluminium'!$L$12,'Catalogue Aluminium'!$M$12))))))</f>
        <v>0.66</v>
      </c>
      <c r="AK188" s="344" t="str">
        <f>IF(T188="Air",'Catalogue Aluminium'!$N$9,IF(T188="GROUND",'Catalogue Aluminium'!$N$10,IF(T188="DUCT",'Catalogue Aluminium'!$N$11,IF(T188="TRENCH",'Catalogue Aluminium'!$N$12,"NA"))))</f>
        <v>NA</v>
      </c>
      <c r="AL188" s="344" t="str">
        <f>IF(T188="Air",(IF(U188="1C",'Catalogue Aluminium'!$O$9,'Catalogue Aluminium'!$P$9)),IF(T188="DUCT",(IF($U188="1C",'Catalogue Aluminium'!$O$10,'Catalogue Aluminium'!$P$10)),IF(T188="GROUND",(IF($U188="1C",'Catalogue Aluminium'!$O$11,'Catalogue Aluminium'!$P$11)),IF(T188="TRENCH",(IF($U188="1C",'Catalogue Aluminium'!$O$12,'Catalogue Aluminium'!$P$12))))))</f>
        <v>NA</v>
      </c>
      <c r="AM188" s="344" t="str">
        <f>IF(T188="AIR","NA",IF(T188="TRENCH","NA",IF(T188="DUCT",IF(U188="1C",VLOOKUP(V188,'Catalogue Aluminium'!$Q$9:$S$28,2,FALSE),VLOOKUP(V188,'Catalogue Aluminium'!$Q$9:$S$28,3)),IF(T188="GROUND",IF(U188="1C",VLOOKUP(V188,'Catalogue Aluminium'!$Q$9:$S$28,2,FALSE),VLOOKUP(V188,'Catalogue Aluminium'!$Q$9:$S$28,3))))))</f>
        <v>NA</v>
      </c>
      <c r="AN188" s="351">
        <f t="shared" si="1451"/>
        <v>0.58740000000000003</v>
      </c>
      <c r="AO188" s="350">
        <f t="shared" si="1452"/>
        <v>29.957400000000003</v>
      </c>
      <c r="AP188" s="349">
        <f t="shared" si="1453"/>
        <v>1</v>
      </c>
      <c r="AQ188" s="350" t="str">
        <f t="shared" si="1454"/>
        <v>YES</v>
      </c>
      <c r="AR188" s="351">
        <f t="shared" si="1463"/>
        <v>1.5826260205515146</v>
      </c>
      <c r="AS188" s="343" t="str">
        <f t="shared" si="1464"/>
        <v>YES</v>
      </c>
      <c r="AT188" s="351" t="str">
        <f t="shared" si="1470"/>
        <v>NA</v>
      </c>
      <c r="AU188" s="343" t="str">
        <f t="shared" si="1455"/>
        <v>NA</v>
      </c>
      <c r="AV188" s="354" t="str">
        <f t="shared" si="1456"/>
        <v>1R x 0.6/1kV x 3C x 6 Sqmm</v>
      </c>
      <c r="AW188" s="354" t="str">
        <f t="shared" si="1457"/>
        <v>1R x 0.6/1kV x 3C x 6 Sqmm</v>
      </c>
      <c r="AX188" s="343">
        <f t="shared" si="1471"/>
        <v>69</v>
      </c>
      <c r="AY188" s="355"/>
      <c r="AZ188" s="355">
        <f t="shared" si="1472"/>
        <v>2</v>
      </c>
      <c r="BA188" s="356" t="str">
        <f t="shared" si="1458"/>
        <v/>
      </c>
      <c r="BB188" s="501">
        <f>VLOOKUP(W188,'Catalogue Aluminium'!$B$9:$H$93,7,FALSE)</f>
        <v>16</v>
      </c>
      <c r="BC188" s="328">
        <f t="shared" si="1473"/>
        <v>16</v>
      </c>
      <c r="BE188" s="336"/>
      <c r="BF188" s="336"/>
      <c r="BG188" s="336"/>
      <c r="BH188" s="336"/>
      <c r="BI188" s="336"/>
      <c r="BJ188" s="336"/>
      <c r="BK188" s="336"/>
      <c r="BL188" s="336"/>
      <c r="BM188" s="336"/>
      <c r="BN188" s="336"/>
      <c r="BO188" s="336"/>
      <c r="BP188" s="336"/>
      <c r="BQ188" s="336"/>
      <c r="BR188" s="336"/>
      <c r="BS188" s="336"/>
      <c r="BT188" s="336"/>
      <c r="BU188" s="336"/>
      <c r="BV188" s="336"/>
      <c r="BW188" s="336"/>
      <c r="BX188" s="336"/>
      <c r="BY188" s="336"/>
      <c r="BZ188" s="336"/>
      <c r="CA188" s="336"/>
      <c r="CB188" s="336"/>
      <c r="CC188" s="336"/>
      <c r="CD188" s="336"/>
      <c r="CE188" s="336"/>
      <c r="CF188" s="336"/>
      <c r="CG188" s="336"/>
      <c r="CH188" s="336"/>
      <c r="CI188" s="336"/>
      <c r="CJ188" s="336"/>
      <c r="CK188" s="336"/>
      <c r="CL188" s="336"/>
      <c r="CM188" s="336"/>
      <c r="CN188" s="336"/>
      <c r="CO188" s="336"/>
      <c r="CP188" s="336"/>
      <c r="CQ188" s="336"/>
      <c r="CR188" s="336"/>
      <c r="CS188" s="336"/>
      <c r="CT188" s="336"/>
      <c r="CU188" s="336"/>
      <c r="CV188" s="336"/>
      <c r="CW188" s="336"/>
      <c r="CX188" s="336"/>
      <c r="CY188" s="336"/>
      <c r="CZ188" s="336"/>
      <c r="DA188" s="336"/>
      <c r="DB188" s="336"/>
      <c r="DC188" s="336"/>
      <c r="DD188" s="336"/>
      <c r="DE188" s="336"/>
      <c r="DF188" s="336"/>
      <c r="DG188" s="336"/>
      <c r="DH188" s="336"/>
      <c r="DI188" s="336"/>
      <c r="DJ188" s="336"/>
      <c r="DK188" s="336"/>
      <c r="DL188" s="336"/>
      <c r="DM188" s="336"/>
      <c r="DN188" s="336"/>
      <c r="DO188" s="336"/>
      <c r="DP188" s="336"/>
      <c r="DQ188" s="336"/>
      <c r="DR188" s="336"/>
      <c r="DS188" s="336"/>
      <c r="DT188" s="336"/>
      <c r="DU188" s="336"/>
      <c r="DW188" s="336">
        <f t="shared" si="1529"/>
        <v>0</v>
      </c>
      <c r="DX188" s="336">
        <f t="shared" si="1479"/>
        <v>0</v>
      </c>
      <c r="DY188" s="336">
        <f t="shared" si="1480"/>
        <v>0</v>
      </c>
      <c r="DZ188" s="336">
        <f t="shared" si="1481"/>
        <v>0</v>
      </c>
      <c r="EA188" s="336">
        <f t="shared" si="1482"/>
        <v>0</v>
      </c>
      <c r="EB188" s="336">
        <f t="shared" si="1483"/>
        <v>0</v>
      </c>
      <c r="EC188" s="336">
        <f t="shared" si="1484"/>
        <v>0</v>
      </c>
      <c r="ED188" s="336">
        <f t="shared" si="1485"/>
        <v>0</v>
      </c>
      <c r="EE188" s="336">
        <f t="shared" si="1486"/>
        <v>0</v>
      </c>
      <c r="EF188" s="336">
        <f t="shared" si="1487"/>
        <v>0</v>
      </c>
      <c r="EG188" s="336">
        <f t="shared" si="1488"/>
        <v>0</v>
      </c>
      <c r="EH188" s="336">
        <f t="shared" si="1489"/>
        <v>0</v>
      </c>
      <c r="EI188" s="336">
        <f t="shared" si="1490"/>
        <v>0</v>
      </c>
      <c r="EJ188" s="336">
        <f t="shared" si="1491"/>
        <v>0</v>
      </c>
      <c r="EK188" s="336">
        <f t="shared" si="1492"/>
        <v>0</v>
      </c>
      <c r="EL188" s="336">
        <f t="shared" si="1493"/>
        <v>0</v>
      </c>
      <c r="EM188" s="336">
        <f t="shared" si="1494"/>
        <v>0</v>
      </c>
      <c r="EN188" s="336">
        <f t="shared" si="1495"/>
        <v>0</v>
      </c>
      <c r="EO188" s="336">
        <f t="shared" si="1496"/>
        <v>0</v>
      </c>
      <c r="EP188" s="336">
        <f t="shared" si="1497"/>
        <v>0</v>
      </c>
      <c r="EQ188" s="336">
        <f t="shared" si="1498"/>
        <v>0</v>
      </c>
      <c r="ER188" s="336">
        <f t="shared" si="1499"/>
        <v>0</v>
      </c>
      <c r="ES188" s="336">
        <f t="shared" si="1500"/>
        <v>0</v>
      </c>
      <c r="ET188" s="336">
        <f t="shared" si="1500"/>
        <v>0</v>
      </c>
      <c r="EU188" s="336">
        <f t="shared" si="1501"/>
        <v>0</v>
      </c>
      <c r="EV188" s="336">
        <f t="shared" si="1502"/>
        <v>0</v>
      </c>
      <c r="EW188" s="336">
        <f t="shared" si="1503"/>
        <v>0</v>
      </c>
      <c r="EX188" s="336">
        <f t="shared" si="1504"/>
        <v>0</v>
      </c>
      <c r="EY188" s="336">
        <f t="shared" si="1505"/>
        <v>0</v>
      </c>
      <c r="EZ188" s="336">
        <f t="shared" si="1506"/>
        <v>0</v>
      </c>
      <c r="FA188" s="336">
        <f t="shared" si="1507"/>
        <v>0</v>
      </c>
      <c r="FB188" s="336">
        <f t="shared" si="1508"/>
        <v>0</v>
      </c>
      <c r="FC188" s="336">
        <f t="shared" si="1509"/>
        <v>0</v>
      </c>
      <c r="FD188" s="336">
        <f t="shared" si="1510"/>
        <v>0</v>
      </c>
      <c r="FE188" s="336">
        <f t="shared" si="1511"/>
        <v>0</v>
      </c>
      <c r="FF188" s="336">
        <f t="shared" si="1512"/>
        <v>0</v>
      </c>
      <c r="FG188" s="336">
        <f t="shared" si="1513"/>
        <v>0</v>
      </c>
      <c r="FH188" s="336">
        <f t="shared" si="1514"/>
        <v>0</v>
      </c>
      <c r="FI188" s="336">
        <f t="shared" si="1515"/>
        <v>0</v>
      </c>
      <c r="FJ188" s="336">
        <f t="shared" si="1516"/>
        <v>0</v>
      </c>
      <c r="FK188" s="336">
        <f t="shared" si="1517"/>
        <v>0</v>
      </c>
      <c r="FL188" s="336">
        <f t="shared" si="1518"/>
        <v>0</v>
      </c>
      <c r="FM188" s="336">
        <f t="shared" si="1519"/>
        <v>0</v>
      </c>
      <c r="FN188" s="336">
        <f t="shared" si="1520"/>
        <v>0</v>
      </c>
      <c r="FO188" s="336">
        <f t="shared" si="1521"/>
        <v>0</v>
      </c>
      <c r="FP188" s="336">
        <f t="shared" si="1522"/>
        <v>0</v>
      </c>
      <c r="FQ188" s="336">
        <f t="shared" si="1523"/>
        <v>0</v>
      </c>
      <c r="FR188" s="336">
        <f t="shared" si="1524"/>
        <v>0</v>
      </c>
      <c r="FS188" s="336">
        <f t="shared" si="1525"/>
        <v>0</v>
      </c>
      <c r="FT188" s="336">
        <f t="shared" si="1526"/>
        <v>0</v>
      </c>
      <c r="FU188" s="336">
        <f t="shared" si="1474"/>
        <v>0</v>
      </c>
      <c r="FV188" s="336">
        <f t="shared" si="1475"/>
        <v>0</v>
      </c>
      <c r="FW188" s="336">
        <f t="shared" si="1476"/>
        <v>0</v>
      </c>
      <c r="FX188" s="336">
        <f t="shared" si="1477"/>
        <v>0</v>
      </c>
      <c r="FY188" s="336">
        <f t="shared" si="1417"/>
        <v>0</v>
      </c>
      <c r="FZ188" s="336">
        <f t="shared" si="1418"/>
        <v>0</v>
      </c>
      <c r="GA188" s="336">
        <f t="shared" si="1419"/>
        <v>0</v>
      </c>
      <c r="GB188" s="336">
        <f t="shared" si="1420"/>
        <v>0</v>
      </c>
      <c r="GC188" s="336">
        <f t="shared" si="1421"/>
        <v>0</v>
      </c>
      <c r="GD188" s="336">
        <f t="shared" si="1422"/>
        <v>0</v>
      </c>
      <c r="GE188" s="336">
        <f t="shared" si="1423"/>
        <v>0</v>
      </c>
      <c r="GF188" s="336">
        <f t="shared" si="1424"/>
        <v>0</v>
      </c>
      <c r="GG188" s="336">
        <f t="shared" si="1425"/>
        <v>0</v>
      </c>
      <c r="GH188" s="336">
        <f t="shared" si="1426"/>
        <v>0</v>
      </c>
      <c r="GI188" s="336">
        <f t="shared" si="1427"/>
        <v>0</v>
      </c>
      <c r="GJ188" s="336">
        <f t="shared" si="1428"/>
        <v>0</v>
      </c>
      <c r="GK188" s="336">
        <f t="shared" si="1429"/>
        <v>0</v>
      </c>
      <c r="GL188" s="336">
        <f t="shared" si="1478"/>
        <v>0</v>
      </c>
      <c r="GM188" s="336">
        <f t="shared" si="1430"/>
        <v>0</v>
      </c>
    </row>
    <row r="189" spans="1:195" ht="27.75" customHeight="1">
      <c r="A189" s="337">
        <f t="shared" si="1527"/>
        <v>144</v>
      </c>
      <c r="B189" s="453"/>
      <c r="C189" s="372" t="str">
        <f t="shared" si="1459"/>
        <v>WORKSHOP HVAC DB</v>
      </c>
      <c r="D189" s="444" t="s">
        <v>1336</v>
      </c>
      <c r="E189" s="569" t="s">
        <v>1178</v>
      </c>
      <c r="F189" s="500"/>
      <c r="G189" s="337" t="s">
        <v>329</v>
      </c>
      <c r="H189" s="583">
        <v>3.5</v>
      </c>
      <c r="I189" s="337" t="s">
        <v>330</v>
      </c>
      <c r="J189" s="349" t="s">
        <v>357</v>
      </c>
      <c r="K189" s="349">
        <v>230</v>
      </c>
      <c r="L189" s="343">
        <v>0.95</v>
      </c>
      <c r="M189" s="350">
        <v>0.85</v>
      </c>
      <c r="N189" s="342">
        <f t="shared" si="1444"/>
        <v>18.845066630771303</v>
      </c>
      <c r="O189" s="342">
        <f t="shared" si="1445"/>
        <v>0</v>
      </c>
      <c r="P189" s="343" t="str">
        <f t="shared" si="1446"/>
        <v>0.00</v>
      </c>
      <c r="Q189" s="350">
        <v>65</v>
      </c>
      <c r="R189" s="350">
        <v>0</v>
      </c>
      <c r="S189" s="350">
        <f t="shared" si="1447"/>
        <v>0</v>
      </c>
      <c r="T189" s="343" t="s">
        <v>131</v>
      </c>
      <c r="U189" s="350" t="s">
        <v>333</v>
      </c>
      <c r="V189" s="343">
        <v>16</v>
      </c>
      <c r="W189" s="343" t="str">
        <f t="shared" si="1448"/>
        <v>3C X 16</v>
      </c>
      <c r="X189" s="343" t="str">
        <f t="shared" si="1449"/>
        <v>3C X 16</v>
      </c>
      <c r="Y189" s="343" t="s">
        <v>358</v>
      </c>
      <c r="Z189" s="344">
        <f>IF(T189="AIR",VLOOKUP(W189,'Catalogue Aluminium'!$B$9:$G$93,2,FALSE),IF(T189="GROUND",VLOOKUP(W189,'Catalogue Aluminium'!$B$9:$G$93,3,FALSE),IF(T189="DUCT",VLOOKUP(W189,'Catalogue Aluminium'!$B$9:$G$93,4,FALSE),IF(T189="TRENCH",VLOOKUP(W189,'Catalogue Aluminium'!$B$9:$G$93,2,FALSE)))))</f>
        <v>70</v>
      </c>
      <c r="AA189" s="345">
        <f>VLOOKUP(W189,'Catalogue Aluminium'!$B$9:$G$93,5,FALSE)</f>
        <v>2.44</v>
      </c>
      <c r="AB189" s="345">
        <f>VLOOKUP(W189,'Catalogue Aluminium'!$B$9:$G$93,6,FALSE)</f>
        <v>8.1500000000000003E-2</v>
      </c>
      <c r="AC189" s="343">
        <f t="shared" si="1528"/>
        <v>47</v>
      </c>
      <c r="AD189" s="343">
        <v>0</v>
      </c>
      <c r="AE189" s="343">
        <v>10</v>
      </c>
      <c r="AF189" s="343">
        <v>5</v>
      </c>
      <c r="AG189" s="343">
        <f t="shared" si="1462"/>
        <v>7</v>
      </c>
      <c r="AH189" s="347">
        <f t="shared" si="1450"/>
        <v>69</v>
      </c>
      <c r="AI189" s="344">
        <f>IF(T189="AIR",'Catalogue Aluminium'!$K$9,IF(T189="TRENCH",'Catalogue Aluminium'!$K$12,"NA"))</f>
        <v>0.89</v>
      </c>
      <c r="AJ189" s="342">
        <f>IF(T189="Air",(IF(U189="1C",'Catalogue Aluminium'!$L$9,'Catalogue Aluminium'!$M$9)),IF(T189="DUCT",(IF($U189="1C",'Catalogue Aluminium'!$L$10,'Catalogue Aluminium'!$M$10)),IF(T189="GROUND",(IF($U189="1C",'Catalogue Aluminium'!$L$11,'Catalogue Aluminium'!$M$11)),IF(T189="TRENCH",(IF($U189="1C",'Catalogue Aluminium'!$L$12,'Catalogue Aluminium'!$M$12))))))</f>
        <v>0.66</v>
      </c>
      <c r="AK189" s="344" t="str">
        <f>IF(T189="Air",'Catalogue Aluminium'!$N$9,IF(T189="GROUND",'Catalogue Aluminium'!$N$10,IF(T189="DUCT",'Catalogue Aluminium'!$N$11,IF(T189="TRENCH",'Catalogue Aluminium'!$N$12,"NA"))))</f>
        <v>NA</v>
      </c>
      <c r="AL189" s="344" t="str">
        <f>IF(T189="Air",(IF(U189="1C",'Catalogue Aluminium'!$O$9,'Catalogue Aluminium'!$P$9)),IF(T189="DUCT",(IF($U189="1C",'Catalogue Aluminium'!$O$10,'Catalogue Aluminium'!$P$10)),IF(T189="GROUND",(IF($U189="1C",'Catalogue Aluminium'!$O$11,'Catalogue Aluminium'!$P$11)),IF(T189="TRENCH",(IF($U189="1C",'Catalogue Aluminium'!$O$12,'Catalogue Aluminium'!$P$12))))))</f>
        <v>NA</v>
      </c>
      <c r="AM189" s="344" t="str">
        <f>IF(T189="AIR","NA",IF(T189="TRENCH","NA",IF(T189="DUCT",IF(U189="1C",VLOOKUP(V189,'Catalogue Aluminium'!$Q$9:$S$28,2,FALSE),VLOOKUP(V189,'Catalogue Aluminium'!$Q$9:$S$28,3)),IF(T189="GROUND",IF(U189="1C",VLOOKUP(V189,'Catalogue Aluminium'!$Q$9:$S$28,2,FALSE),VLOOKUP(V189,'Catalogue Aluminium'!$Q$9:$S$28,3))))))</f>
        <v>NA</v>
      </c>
      <c r="AN189" s="351">
        <f t="shared" si="1451"/>
        <v>0.58740000000000003</v>
      </c>
      <c r="AO189" s="350">
        <f t="shared" si="1452"/>
        <v>41.118000000000002</v>
      </c>
      <c r="AP189" s="349">
        <f t="shared" si="1453"/>
        <v>1</v>
      </c>
      <c r="AQ189" s="350" t="str">
        <f t="shared" si="1454"/>
        <v>YES</v>
      </c>
      <c r="AR189" s="351">
        <f t="shared" si="1463"/>
        <v>2.2947477281472954</v>
      </c>
      <c r="AS189" s="343" t="str">
        <f t="shared" si="1464"/>
        <v>YES</v>
      </c>
      <c r="AT189" s="351" t="str">
        <f t="shared" si="1470"/>
        <v>NA</v>
      </c>
      <c r="AU189" s="343" t="str">
        <f t="shared" si="1455"/>
        <v>NA</v>
      </c>
      <c r="AV189" s="354" t="str">
        <f t="shared" si="1456"/>
        <v>1R x 0.6/1kV x 3C x 16 Sqmm</v>
      </c>
      <c r="AW189" s="354" t="str">
        <f t="shared" si="1457"/>
        <v>1R x 0.6/1kV x 3C x 16 Sqmm</v>
      </c>
      <c r="AX189" s="343">
        <f t="shared" si="1471"/>
        <v>69</v>
      </c>
      <c r="AY189" s="355"/>
      <c r="AZ189" s="355">
        <f t="shared" si="1472"/>
        <v>2</v>
      </c>
      <c r="BA189" s="356" t="str">
        <f t="shared" si="1458"/>
        <v/>
      </c>
      <c r="BB189" s="501">
        <f>VLOOKUP(W189,'Catalogue Aluminium'!$B$9:$H$93,7,FALSE)</f>
        <v>19</v>
      </c>
      <c r="BC189" s="328">
        <f t="shared" si="1473"/>
        <v>19</v>
      </c>
      <c r="BE189" s="336"/>
      <c r="BF189" s="336"/>
      <c r="BG189" s="336"/>
      <c r="BH189" s="336"/>
      <c r="BI189" s="336"/>
      <c r="BJ189" s="336"/>
      <c r="BK189" s="336"/>
      <c r="BL189" s="336"/>
      <c r="BM189" s="336"/>
      <c r="BN189" s="336"/>
      <c r="BO189" s="336"/>
      <c r="BP189" s="336"/>
      <c r="BQ189" s="336"/>
      <c r="BR189" s="336"/>
      <c r="BS189" s="336"/>
      <c r="BT189" s="336"/>
      <c r="BU189" s="336"/>
      <c r="BV189" s="336"/>
      <c r="BW189" s="336"/>
      <c r="BX189" s="336"/>
      <c r="BY189" s="336"/>
      <c r="BZ189" s="336"/>
      <c r="CA189" s="336"/>
      <c r="CB189" s="336"/>
      <c r="CC189" s="336"/>
      <c r="CD189" s="336"/>
      <c r="CE189" s="336"/>
      <c r="CF189" s="336"/>
      <c r="CG189" s="336"/>
      <c r="CH189" s="336"/>
      <c r="CI189" s="336"/>
      <c r="CJ189" s="336"/>
      <c r="CK189" s="336"/>
      <c r="CL189" s="336"/>
      <c r="CM189" s="336"/>
      <c r="CN189" s="336"/>
      <c r="CO189" s="336"/>
      <c r="CP189" s="336"/>
      <c r="CQ189" s="336"/>
      <c r="CR189" s="336"/>
      <c r="CS189" s="336"/>
      <c r="CT189" s="336"/>
      <c r="CU189" s="336"/>
      <c r="CV189" s="336"/>
      <c r="CW189" s="336"/>
      <c r="CX189" s="336"/>
      <c r="CY189" s="336"/>
      <c r="CZ189" s="336"/>
      <c r="DA189" s="336"/>
      <c r="DB189" s="336"/>
      <c r="DC189" s="336"/>
      <c r="DD189" s="336"/>
      <c r="DE189" s="336"/>
      <c r="DF189" s="336"/>
      <c r="DG189" s="336"/>
      <c r="DH189" s="336"/>
      <c r="DI189" s="336"/>
      <c r="DJ189" s="336"/>
      <c r="DK189" s="336"/>
      <c r="DL189" s="336"/>
      <c r="DM189" s="336"/>
      <c r="DN189" s="336"/>
      <c r="DO189" s="336"/>
      <c r="DP189" s="336"/>
      <c r="DQ189" s="336"/>
      <c r="DR189" s="336"/>
      <c r="DS189" s="336"/>
      <c r="DT189" s="336"/>
      <c r="DU189" s="336"/>
      <c r="DW189" s="336">
        <f t="shared" si="1529"/>
        <v>0</v>
      </c>
      <c r="DX189" s="336">
        <f t="shared" si="1479"/>
        <v>0</v>
      </c>
      <c r="DY189" s="336">
        <f t="shared" si="1480"/>
        <v>0</v>
      </c>
      <c r="DZ189" s="336">
        <f t="shared" si="1481"/>
        <v>0</v>
      </c>
      <c r="EA189" s="336">
        <f t="shared" si="1482"/>
        <v>0</v>
      </c>
      <c r="EB189" s="336">
        <f t="shared" si="1483"/>
        <v>0</v>
      </c>
      <c r="EC189" s="336">
        <f t="shared" si="1484"/>
        <v>0</v>
      </c>
      <c r="ED189" s="336">
        <f t="shared" si="1485"/>
        <v>0</v>
      </c>
      <c r="EE189" s="336">
        <f t="shared" si="1486"/>
        <v>0</v>
      </c>
      <c r="EF189" s="336">
        <f t="shared" si="1487"/>
        <v>0</v>
      </c>
      <c r="EG189" s="336">
        <f t="shared" si="1488"/>
        <v>0</v>
      </c>
      <c r="EH189" s="336">
        <f t="shared" si="1489"/>
        <v>0</v>
      </c>
      <c r="EI189" s="336">
        <f t="shared" si="1490"/>
        <v>0</v>
      </c>
      <c r="EJ189" s="336">
        <f t="shared" si="1491"/>
        <v>0</v>
      </c>
      <c r="EK189" s="336">
        <f t="shared" si="1492"/>
        <v>0</v>
      </c>
      <c r="EL189" s="336">
        <f t="shared" si="1493"/>
        <v>0</v>
      </c>
      <c r="EM189" s="336">
        <f t="shared" si="1494"/>
        <v>0</v>
      </c>
      <c r="EN189" s="336">
        <f t="shared" si="1495"/>
        <v>0</v>
      </c>
      <c r="EO189" s="336">
        <f t="shared" si="1496"/>
        <v>0</v>
      </c>
      <c r="EP189" s="336">
        <f t="shared" si="1497"/>
        <v>0</v>
      </c>
      <c r="EQ189" s="336">
        <f t="shared" si="1498"/>
        <v>0</v>
      </c>
      <c r="ER189" s="336">
        <f t="shared" si="1499"/>
        <v>0</v>
      </c>
      <c r="ES189" s="336">
        <f t="shared" si="1500"/>
        <v>0</v>
      </c>
      <c r="ET189" s="336">
        <f t="shared" si="1500"/>
        <v>0</v>
      </c>
      <c r="EU189" s="336">
        <f t="shared" si="1501"/>
        <v>0</v>
      </c>
      <c r="EV189" s="336">
        <f t="shared" si="1502"/>
        <v>0</v>
      </c>
      <c r="EW189" s="336">
        <f t="shared" si="1503"/>
        <v>0</v>
      </c>
      <c r="EX189" s="336">
        <f t="shared" si="1504"/>
        <v>0</v>
      </c>
      <c r="EY189" s="336">
        <f t="shared" si="1505"/>
        <v>0</v>
      </c>
      <c r="EZ189" s="336">
        <f t="shared" si="1506"/>
        <v>0</v>
      </c>
      <c r="FA189" s="336">
        <f t="shared" si="1507"/>
        <v>0</v>
      </c>
      <c r="FB189" s="336">
        <f t="shared" si="1508"/>
        <v>0</v>
      </c>
      <c r="FC189" s="336">
        <f t="shared" si="1509"/>
        <v>0</v>
      </c>
      <c r="FD189" s="336">
        <f t="shared" si="1510"/>
        <v>0</v>
      </c>
      <c r="FE189" s="336">
        <f t="shared" si="1511"/>
        <v>0</v>
      </c>
      <c r="FF189" s="336">
        <f t="shared" si="1512"/>
        <v>0</v>
      </c>
      <c r="FG189" s="336">
        <f t="shared" si="1513"/>
        <v>0</v>
      </c>
      <c r="FH189" s="336">
        <f t="shared" si="1514"/>
        <v>0</v>
      </c>
      <c r="FI189" s="336">
        <f t="shared" si="1515"/>
        <v>0</v>
      </c>
      <c r="FJ189" s="336">
        <f t="shared" si="1516"/>
        <v>0</v>
      </c>
      <c r="FK189" s="336">
        <f t="shared" si="1517"/>
        <v>0</v>
      </c>
      <c r="FL189" s="336">
        <f t="shared" si="1518"/>
        <v>0</v>
      </c>
      <c r="FM189" s="336">
        <f t="shared" si="1519"/>
        <v>0</v>
      </c>
      <c r="FN189" s="336">
        <f t="shared" si="1520"/>
        <v>0</v>
      </c>
      <c r="FO189" s="336">
        <f t="shared" si="1521"/>
        <v>0</v>
      </c>
      <c r="FP189" s="336">
        <f t="shared" si="1522"/>
        <v>0</v>
      </c>
      <c r="FQ189" s="336">
        <f t="shared" si="1523"/>
        <v>0</v>
      </c>
      <c r="FR189" s="336">
        <f t="shared" si="1524"/>
        <v>0</v>
      </c>
      <c r="FS189" s="336">
        <f t="shared" si="1525"/>
        <v>0</v>
      </c>
      <c r="FT189" s="336">
        <f t="shared" si="1526"/>
        <v>0</v>
      </c>
      <c r="FU189" s="336">
        <f t="shared" si="1474"/>
        <v>0</v>
      </c>
      <c r="FV189" s="336">
        <f t="shared" si="1475"/>
        <v>0</v>
      </c>
      <c r="FW189" s="336">
        <f t="shared" si="1476"/>
        <v>0</v>
      </c>
      <c r="FX189" s="336">
        <f t="shared" si="1477"/>
        <v>0</v>
      </c>
      <c r="FY189" s="336">
        <f t="shared" si="1417"/>
        <v>0</v>
      </c>
      <c r="FZ189" s="336">
        <f t="shared" si="1418"/>
        <v>0</v>
      </c>
      <c r="GA189" s="336">
        <f t="shared" si="1419"/>
        <v>0</v>
      </c>
      <c r="GB189" s="336">
        <f t="shared" si="1420"/>
        <v>0</v>
      </c>
      <c r="GC189" s="336">
        <f t="shared" si="1421"/>
        <v>0</v>
      </c>
      <c r="GD189" s="336">
        <f t="shared" si="1422"/>
        <v>0</v>
      </c>
      <c r="GE189" s="336">
        <f t="shared" si="1423"/>
        <v>0</v>
      </c>
      <c r="GF189" s="336">
        <f t="shared" si="1424"/>
        <v>0</v>
      </c>
      <c r="GG189" s="336">
        <f t="shared" si="1425"/>
        <v>0</v>
      </c>
      <c r="GH189" s="336">
        <f t="shared" si="1426"/>
        <v>0</v>
      </c>
      <c r="GI189" s="336">
        <f t="shared" si="1427"/>
        <v>0</v>
      </c>
      <c r="GJ189" s="336">
        <f t="shared" si="1428"/>
        <v>0</v>
      </c>
      <c r="GK189" s="336">
        <f t="shared" si="1429"/>
        <v>0</v>
      </c>
      <c r="GL189" s="336">
        <f t="shared" si="1478"/>
        <v>0</v>
      </c>
      <c r="GM189" s="336">
        <f t="shared" si="1430"/>
        <v>0</v>
      </c>
    </row>
    <row r="190" spans="1:195" ht="27.75" customHeight="1">
      <c r="A190" s="337">
        <f t="shared" si="1527"/>
        <v>145</v>
      </c>
      <c r="B190" s="453"/>
      <c r="C190" s="372" t="str">
        <f t="shared" si="1459"/>
        <v>WORKSHOP HVAC DB</v>
      </c>
      <c r="D190" s="444" t="s">
        <v>1337</v>
      </c>
      <c r="E190" s="569" t="s">
        <v>1178</v>
      </c>
      <c r="F190" s="500"/>
      <c r="G190" s="337" t="s">
        <v>329</v>
      </c>
      <c r="H190" s="583">
        <v>3.5</v>
      </c>
      <c r="I190" s="337" t="s">
        <v>330</v>
      </c>
      <c r="J190" s="349" t="s">
        <v>357</v>
      </c>
      <c r="K190" s="349">
        <v>230</v>
      </c>
      <c r="L190" s="343">
        <v>0.95</v>
      </c>
      <c r="M190" s="350">
        <v>0.85</v>
      </c>
      <c r="N190" s="342">
        <f t="shared" si="1444"/>
        <v>18.845066630771303</v>
      </c>
      <c r="O190" s="342">
        <f t="shared" si="1445"/>
        <v>0</v>
      </c>
      <c r="P190" s="343" t="str">
        <f t="shared" si="1446"/>
        <v>0.00</v>
      </c>
      <c r="Q190" s="350">
        <v>65</v>
      </c>
      <c r="R190" s="350">
        <v>0</v>
      </c>
      <c r="S190" s="350">
        <f t="shared" si="1447"/>
        <v>0</v>
      </c>
      <c r="T190" s="343" t="s">
        <v>131</v>
      </c>
      <c r="U190" s="350" t="s">
        <v>333</v>
      </c>
      <c r="V190" s="343">
        <v>16</v>
      </c>
      <c r="W190" s="343" t="str">
        <f t="shared" si="1448"/>
        <v>3C X 16</v>
      </c>
      <c r="X190" s="343" t="str">
        <f t="shared" si="1449"/>
        <v>3C X 16</v>
      </c>
      <c r="Y190" s="343" t="s">
        <v>358</v>
      </c>
      <c r="Z190" s="344">
        <f>IF(T190="AIR",VLOOKUP(W190,'Catalogue Aluminium'!$B$9:$G$93,2,FALSE),IF(T190="GROUND",VLOOKUP(W190,'Catalogue Aluminium'!$B$9:$G$93,3,FALSE),IF(T190="DUCT",VLOOKUP(W190,'Catalogue Aluminium'!$B$9:$G$93,4,FALSE),IF(T190="TRENCH",VLOOKUP(W190,'Catalogue Aluminium'!$B$9:$G$93,2,FALSE)))))</f>
        <v>70</v>
      </c>
      <c r="AA190" s="345">
        <f>VLOOKUP(W190,'Catalogue Aluminium'!$B$9:$G$93,5,FALSE)</f>
        <v>2.44</v>
      </c>
      <c r="AB190" s="345">
        <f>VLOOKUP(W190,'Catalogue Aluminium'!$B$9:$G$93,6,FALSE)</f>
        <v>8.1500000000000003E-2</v>
      </c>
      <c r="AC190" s="343">
        <f t="shared" si="1528"/>
        <v>47</v>
      </c>
      <c r="AD190" s="343">
        <v>0</v>
      </c>
      <c r="AE190" s="343">
        <v>10</v>
      </c>
      <c r="AF190" s="343">
        <v>5</v>
      </c>
      <c r="AG190" s="343">
        <f t="shared" si="1462"/>
        <v>7</v>
      </c>
      <c r="AH190" s="347">
        <f t="shared" si="1450"/>
        <v>69</v>
      </c>
      <c r="AI190" s="344">
        <f>IF(T190="AIR",'Catalogue Aluminium'!$K$9,IF(T190="TRENCH",'Catalogue Aluminium'!$K$12,"NA"))</f>
        <v>0.89</v>
      </c>
      <c r="AJ190" s="342">
        <f>IF(T190="Air",(IF(U190="1C",'Catalogue Aluminium'!$L$9,'Catalogue Aluminium'!$M$9)),IF(T190="DUCT",(IF($U190="1C",'Catalogue Aluminium'!$L$10,'Catalogue Aluminium'!$M$10)),IF(T190="GROUND",(IF($U190="1C",'Catalogue Aluminium'!$L$11,'Catalogue Aluminium'!$M$11)),IF(T190="TRENCH",(IF($U190="1C",'Catalogue Aluminium'!$L$12,'Catalogue Aluminium'!$M$12))))))</f>
        <v>0.66</v>
      </c>
      <c r="AK190" s="344" t="str">
        <f>IF(T190="Air",'Catalogue Aluminium'!$N$9,IF(T190="GROUND",'Catalogue Aluminium'!$N$10,IF(T190="DUCT",'Catalogue Aluminium'!$N$11,IF(T190="TRENCH",'Catalogue Aluminium'!$N$12,"NA"))))</f>
        <v>NA</v>
      </c>
      <c r="AL190" s="344" t="str">
        <f>IF(T190="Air",(IF(U190="1C",'Catalogue Aluminium'!$O$9,'Catalogue Aluminium'!$P$9)),IF(T190="DUCT",(IF($U190="1C",'Catalogue Aluminium'!$O$10,'Catalogue Aluminium'!$P$10)),IF(T190="GROUND",(IF($U190="1C",'Catalogue Aluminium'!$O$11,'Catalogue Aluminium'!$P$11)),IF(T190="TRENCH",(IF($U190="1C",'Catalogue Aluminium'!$O$12,'Catalogue Aluminium'!$P$12))))))</f>
        <v>NA</v>
      </c>
      <c r="AM190" s="344" t="str">
        <f>IF(T190="AIR","NA",IF(T190="TRENCH","NA",IF(T190="DUCT",IF(U190="1C",VLOOKUP(V190,'Catalogue Aluminium'!$Q$9:$S$28,2,FALSE),VLOOKUP(V190,'Catalogue Aluminium'!$Q$9:$S$28,3)),IF(T190="GROUND",IF(U190="1C",VLOOKUP(V190,'Catalogue Aluminium'!$Q$9:$S$28,2,FALSE),VLOOKUP(V190,'Catalogue Aluminium'!$Q$9:$S$28,3))))))</f>
        <v>NA</v>
      </c>
      <c r="AN190" s="351">
        <f t="shared" si="1451"/>
        <v>0.58740000000000003</v>
      </c>
      <c r="AO190" s="350">
        <f t="shared" si="1452"/>
        <v>41.118000000000002</v>
      </c>
      <c r="AP190" s="349">
        <f t="shared" si="1453"/>
        <v>1</v>
      </c>
      <c r="AQ190" s="350" t="str">
        <f t="shared" si="1454"/>
        <v>YES</v>
      </c>
      <c r="AR190" s="351">
        <f t="shared" si="1463"/>
        <v>2.2947477281472954</v>
      </c>
      <c r="AS190" s="343" t="str">
        <f t="shared" si="1464"/>
        <v>YES</v>
      </c>
      <c r="AT190" s="351" t="str">
        <f t="shared" si="1470"/>
        <v>NA</v>
      </c>
      <c r="AU190" s="343" t="str">
        <f t="shared" si="1455"/>
        <v>NA</v>
      </c>
      <c r="AV190" s="354" t="str">
        <f t="shared" si="1456"/>
        <v>1R x 0.6/1kV x 3C x 16 Sqmm</v>
      </c>
      <c r="AW190" s="354" t="str">
        <f t="shared" si="1457"/>
        <v>1R x 0.6/1kV x 3C x 16 Sqmm</v>
      </c>
      <c r="AX190" s="343">
        <f t="shared" si="1471"/>
        <v>69</v>
      </c>
      <c r="AY190" s="355"/>
      <c r="AZ190" s="355">
        <f t="shared" si="1472"/>
        <v>2</v>
      </c>
      <c r="BA190" s="356" t="str">
        <f t="shared" si="1458"/>
        <v/>
      </c>
      <c r="BB190" s="501">
        <f>VLOOKUP(W190,'Catalogue Aluminium'!$B$9:$H$93,7,FALSE)</f>
        <v>19</v>
      </c>
      <c r="BC190" s="328">
        <f t="shared" si="1473"/>
        <v>19</v>
      </c>
      <c r="BE190" s="336"/>
      <c r="BF190" s="336"/>
      <c r="BG190" s="336"/>
      <c r="BH190" s="336"/>
      <c r="BI190" s="336"/>
      <c r="BJ190" s="336"/>
      <c r="BK190" s="336"/>
      <c r="BL190" s="336"/>
      <c r="BM190" s="336"/>
      <c r="BN190" s="336"/>
      <c r="BO190" s="336"/>
      <c r="BP190" s="336"/>
      <c r="BQ190" s="336"/>
      <c r="BR190" s="336"/>
      <c r="BS190" s="336"/>
      <c r="BT190" s="336"/>
      <c r="BU190" s="336"/>
      <c r="BV190" s="336"/>
      <c r="BW190" s="336"/>
      <c r="BX190" s="336"/>
      <c r="BY190" s="336"/>
      <c r="BZ190" s="336"/>
      <c r="CA190" s="336"/>
      <c r="CB190" s="336"/>
      <c r="CC190" s="336"/>
      <c r="CD190" s="336"/>
      <c r="CE190" s="336"/>
      <c r="CF190" s="336"/>
      <c r="CG190" s="336"/>
      <c r="CH190" s="336"/>
      <c r="CI190" s="336"/>
      <c r="CJ190" s="336"/>
      <c r="CK190" s="336"/>
      <c r="CL190" s="336"/>
      <c r="CM190" s="336"/>
      <c r="CN190" s="336"/>
      <c r="CO190" s="336"/>
      <c r="CP190" s="336"/>
      <c r="CQ190" s="336"/>
      <c r="CR190" s="336"/>
      <c r="CS190" s="336"/>
      <c r="CT190" s="336"/>
      <c r="CU190" s="336"/>
      <c r="CV190" s="336"/>
      <c r="CW190" s="336"/>
      <c r="CX190" s="336"/>
      <c r="CY190" s="336"/>
      <c r="CZ190" s="336"/>
      <c r="DA190" s="336"/>
      <c r="DB190" s="336"/>
      <c r="DC190" s="336"/>
      <c r="DD190" s="336"/>
      <c r="DE190" s="336"/>
      <c r="DF190" s="336"/>
      <c r="DG190" s="336"/>
      <c r="DH190" s="336"/>
      <c r="DI190" s="336"/>
      <c r="DJ190" s="336"/>
      <c r="DK190" s="336"/>
      <c r="DL190" s="336"/>
      <c r="DM190" s="336"/>
      <c r="DN190" s="336"/>
      <c r="DO190" s="336"/>
      <c r="DP190" s="336"/>
      <c r="DQ190" s="336"/>
      <c r="DR190" s="336"/>
      <c r="DS190" s="336"/>
      <c r="DT190" s="336"/>
      <c r="DU190" s="336"/>
      <c r="DW190" s="336">
        <f t="shared" si="1529"/>
        <v>0</v>
      </c>
      <c r="DX190" s="336">
        <f t="shared" si="1479"/>
        <v>0</v>
      </c>
      <c r="DY190" s="336">
        <f t="shared" si="1480"/>
        <v>0</v>
      </c>
      <c r="DZ190" s="336">
        <f t="shared" si="1481"/>
        <v>0</v>
      </c>
      <c r="EA190" s="336">
        <f t="shared" si="1482"/>
        <v>0</v>
      </c>
      <c r="EB190" s="336">
        <f t="shared" si="1483"/>
        <v>0</v>
      </c>
      <c r="EC190" s="336">
        <f t="shared" si="1484"/>
        <v>0</v>
      </c>
      <c r="ED190" s="336">
        <f t="shared" si="1485"/>
        <v>0</v>
      </c>
      <c r="EE190" s="336">
        <f t="shared" si="1486"/>
        <v>0</v>
      </c>
      <c r="EF190" s="336">
        <f t="shared" si="1487"/>
        <v>0</v>
      </c>
      <c r="EG190" s="336">
        <f t="shared" si="1488"/>
        <v>0</v>
      </c>
      <c r="EH190" s="336">
        <f t="shared" si="1489"/>
        <v>0</v>
      </c>
      <c r="EI190" s="336">
        <f t="shared" si="1490"/>
        <v>0</v>
      </c>
      <c r="EJ190" s="336">
        <f t="shared" si="1491"/>
        <v>0</v>
      </c>
      <c r="EK190" s="336">
        <f t="shared" si="1492"/>
        <v>0</v>
      </c>
      <c r="EL190" s="336">
        <f t="shared" si="1493"/>
        <v>0</v>
      </c>
      <c r="EM190" s="336">
        <f t="shared" si="1494"/>
        <v>0</v>
      </c>
      <c r="EN190" s="336">
        <f t="shared" si="1495"/>
        <v>0</v>
      </c>
      <c r="EO190" s="336">
        <f t="shared" si="1496"/>
        <v>0</v>
      </c>
      <c r="EP190" s="336">
        <f t="shared" si="1497"/>
        <v>0</v>
      </c>
      <c r="EQ190" s="336">
        <f t="shared" si="1498"/>
        <v>0</v>
      </c>
      <c r="ER190" s="336">
        <f t="shared" si="1499"/>
        <v>0</v>
      </c>
      <c r="ES190" s="336">
        <f t="shared" si="1500"/>
        <v>0</v>
      </c>
      <c r="ET190" s="336">
        <f t="shared" si="1500"/>
        <v>0</v>
      </c>
      <c r="EU190" s="336">
        <f t="shared" si="1501"/>
        <v>0</v>
      </c>
      <c r="EV190" s="336">
        <f t="shared" si="1502"/>
        <v>0</v>
      </c>
      <c r="EW190" s="336">
        <f t="shared" si="1503"/>
        <v>0</v>
      </c>
      <c r="EX190" s="336">
        <f t="shared" si="1504"/>
        <v>0</v>
      </c>
      <c r="EY190" s="336">
        <f t="shared" si="1505"/>
        <v>0</v>
      </c>
      <c r="EZ190" s="336">
        <f t="shared" si="1506"/>
        <v>0</v>
      </c>
      <c r="FA190" s="336">
        <f t="shared" si="1507"/>
        <v>0</v>
      </c>
      <c r="FB190" s="336">
        <f t="shared" si="1508"/>
        <v>0</v>
      </c>
      <c r="FC190" s="336">
        <f t="shared" si="1509"/>
        <v>0</v>
      </c>
      <c r="FD190" s="336">
        <f t="shared" si="1510"/>
        <v>0</v>
      </c>
      <c r="FE190" s="336">
        <f t="shared" si="1511"/>
        <v>0</v>
      </c>
      <c r="FF190" s="336">
        <f t="shared" si="1512"/>
        <v>0</v>
      </c>
      <c r="FG190" s="336">
        <f t="shared" si="1513"/>
        <v>0</v>
      </c>
      <c r="FH190" s="336">
        <f t="shared" si="1514"/>
        <v>0</v>
      </c>
      <c r="FI190" s="336">
        <f t="shared" si="1515"/>
        <v>0</v>
      </c>
      <c r="FJ190" s="336">
        <f t="shared" si="1516"/>
        <v>0</v>
      </c>
      <c r="FK190" s="336">
        <f t="shared" si="1517"/>
        <v>0</v>
      </c>
      <c r="FL190" s="336">
        <f t="shared" si="1518"/>
        <v>0</v>
      </c>
      <c r="FM190" s="336">
        <f t="shared" si="1519"/>
        <v>0</v>
      </c>
      <c r="FN190" s="336">
        <f t="shared" si="1520"/>
        <v>0</v>
      </c>
      <c r="FO190" s="336">
        <f t="shared" si="1521"/>
        <v>0</v>
      </c>
      <c r="FP190" s="336">
        <f t="shared" si="1522"/>
        <v>0</v>
      </c>
      <c r="FQ190" s="336">
        <f t="shared" si="1523"/>
        <v>0</v>
      </c>
      <c r="FR190" s="336">
        <f t="shared" si="1524"/>
        <v>0</v>
      </c>
      <c r="FS190" s="336">
        <f t="shared" si="1525"/>
        <v>0</v>
      </c>
      <c r="FT190" s="336">
        <f t="shared" si="1526"/>
        <v>0</v>
      </c>
      <c r="FU190" s="336">
        <f t="shared" si="1474"/>
        <v>0</v>
      </c>
      <c r="FV190" s="336">
        <f t="shared" si="1475"/>
        <v>0</v>
      </c>
      <c r="FW190" s="336">
        <f t="shared" si="1476"/>
        <v>0</v>
      </c>
      <c r="FX190" s="336">
        <f t="shared" si="1477"/>
        <v>0</v>
      </c>
      <c r="FY190" s="336">
        <f t="shared" si="1417"/>
        <v>0</v>
      </c>
      <c r="FZ190" s="336">
        <f t="shared" si="1418"/>
        <v>0</v>
      </c>
      <c r="GA190" s="336">
        <f t="shared" si="1419"/>
        <v>0</v>
      </c>
      <c r="GB190" s="336">
        <f t="shared" si="1420"/>
        <v>0</v>
      </c>
      <c r="GC190" s="336">
        <f t="shared" si="1421"/>
        <v>0</v>
      </c>
      <c r="GD190" s="336">
        <f t="shared" si="1422"/>
        <v>0</v>
      </c>
      <c r="GE190" s="336">
        <f t="shared" si="1423"/>
        <v>0</v>
      </c>
      <c r="GF190" s="336">
        <f t="shared" si="1424"/>
        <v>0</v>
      </c>
      <c r="GG190" s="336">
        <f t="shared" si="1425"/>
        <v>0</v>
      </c>
      <c r="GH190" s="336">
        <f t="shared" si="1426"/>
        <v>0</v>
      </c>
      <c r="GI190" s="336">
        <f t="shared" si="1427"/>
        <v>0</v>
      </c>
      <c r="GJ190" s="336">
        <f t="shared" si="1428"/>
        <v>0</v>
      </c>
      <c r="GK190" s="336">
        <f t="shared" si="1429"/>
        <v>0</v>
      </c>
      <c r="GL190" s="336">
        <f t="shared" si="1478"/>
        <v>0</v>
      </c>
      <c r="GM190" s="336">
        <f t="shared" si="1430"/>
        <v>0</v>
      </c>
    </row>
    <row r="191" spans="1:195" ht="27.75" customHeight="1">
      <c r="A191" s="337">
        <f t="shared" si="1527"/>
        <v>146</v>
      </c>
      <c r="B191" s="453"/>
      <c r="C191" s="372" t="str">
        <f t="shared" si="1459"/>
        <v>WORKSHOP HVAC DB</v>
      </c>
      <c r="D191" s="444" t="s">
        <v>1338</v>
      </c>
      <c r="E191" s="569" t="s">
        <v>1178</v>
      </c>
      <c r="F191" s="500"/>
      <c r="G191" s="337" t="s">
        <v>329</v>
      </c>
      <c r="H191" s="350">
        <v>3.5</v>
      </c>
      <c r="I191" s="337" t="s">
        <v>330</v>
      </c>
      <c r="J191" s="349" t="s">
        <v>357</v>
      </c>
      <c r="K191" s="349">
        <v>230</v>
      </c>
      <c r="L191" s="343">
        <v>0.95</v>
      </c>
      <c r="M191" s="350">
        <v>0.85</v>
      </c>
      <c r="N191" s="342">
        <f t="shared" si="1444"/>
        <v>18.845066630771303</v>
      </c>
      <c r="O191" s="342">
        <f t="shared" si="1445"/>
        <v>0</v>
      </c>
      <c r="P191" s="343" t="str">
        <f t="shared" si="1446"/>
        <v>0.00</v>
      </c>
      <c r="Q191" s="350">
        <v>65</v>
      </c>
      <c r="R191" s="350">
        <v>0</v>
      </c>
      <c r="S191" s="350">
        <f t="shared" si="1447"/>
        <v>0</v>
      </c>
      <c r="T191" s="343" t="s">
        <v>131</v>
      </c>
      <c r="U191" s="350" t="s">
        <v>333</v>
      </c>
      <c r="V191" s="343">
        <v>16</v>
      </c>
      <c r="W191" s="343" t="str">
        <f t="shared" si="1448"/>
        <v>3C X 16</v>
      </c>
      <c r="X191" s="343" t="str">
        <f t="shared" si="1449"/>
        <v>3C X 16</v>
      </c>
      <c r="Y191" s="343" t="s">
        <v>358</v>
      </c>
      <c r="Z191" s="344">
        <f>IF(T191="AIR",VLOOKUP(W191,'Catalogue Aluminium'!$B$9:$G$93,2,FALSE),IF(T191="GROUND",VLOOKUP(W191,'Catalogue Aluminium'!$B$9:$G$93,3,FALSE),IF(T191="DUCT",VLOOKUP(W191,'Catalogue Aluminium'!$B$9:$G$93,4,FALSE),IF(T191="TRENCH",VLOOKUP(W191,'Catalogue Aluminium'!$B$9:$G$93,2,FALSE)))))</f>
        <v>70</v>
      </c>
      <c r="AA191" s="345">
        <f>VLOOKUP(W191,'Catalogue Aluminium'!$B$9:$G$93,5,FALSE)</f>
        <v>2.44</v>
      </c>
      <c r="AB191" s="345">
        <f>VLOOKUP(W191,'Catalogue Aluminium'!$B$9:$G$93,6,FALSE)</f>
        <v>8.1500000000000003E-2</v>
      </c>
      <c r="AC191" s="343">
        <f t="shared" si="1528"/>
        <v>47</v>
      </c>
      <c r="AD191" s="343">
        <v>0</v>
      </c>
      <c r="AE191" s="343">
        <v>10</v>
      </c>
      <c r="AF191" s="343">
        <v>5</v>
      </c>
      <c r="AG191" s="343">
        <f t="shared" si="1462"/>
        <v>7</v>
      </c>
      <c r="AH191" s="347">
        <f t="shared" si="1450"/>
        <v>69</v>
      </c>
      <c r="AI191" s="344">
        <f>IF(T191="AIR",'Catalogue Aluminium'!$K$9,IF(T191="TRENCH",'Catalogue Aluminium'!$K$12,"NA"))</f>
        <v>0.89</v>
      </c>
      <c r="AJ191" s="342">
        <f>IF(T191="Air",(IF(U191="1C",'Catalogue Aluminium'!$L$9,'Catalogue Aluminium'!$M$9)),IF(T191="DUCT",(IF($U191="1C",'Catalogue Aluminium'!$L$10,'Catalogue Aluminium'!$M$10)),IF(T191="GROUND",(IF($U191="1C",'Catalogue Aluminium'!$L$11,'Catalogue Aluminium'!$M$11)),IF(T191="TRENCH",(IF($U191="1C",'Catalogue Aluminium'!$L$12,'Catalogue Aluminium'!$M$12))))))</f>
        <v>0.66</v>
      </c>
      <c r="AK191" s="344" t="str">
        <f>IF(T191="Air",'Catalogue Aluminium'!$N$9,IF(T191="GROUND",'Catalogue Aluminium'!$N$10,IF(T191="DUCT",'Catalogue Aluminium'!$N$11,IF(T191="TRENCH",'Catalogue Aluminium'!$N$12,"NA"))))</f>
        <v>NA</v>
      </c>
      <c r="AL191" s="344" t="str">
        <f>IF(T191="Air",(IF(U191="1C",'Catalogue Aluminium'!$O$9,'Catalogue Aluminium'!$P$9)),IF(T191="DUCT",(IF($U191="1C",'Catalogue Aluminium'!$O$10,'Catalogue Aluminium'!$P$10)),IF(T191="GROUND",(IF($U191="1C",'Catalogue Aluminium'!$O$11,'Catalogue Aluminium'!$P$11)),IF(T191="TRENCH",(IF($U191="1C",'Catalogue Aluminium'!$O$12,'Catalogue Aluminium'!$P$12))))))</f>
        <v>NA</v>
      </c>
      <c r="AM191" s="344" t="str">
        <f>IF(T191="AIR","NA",IF(T191="TRENCH","NA",IF(T191="DUCT",IF(U191="1C",VLOOKUP(V191,'Catalogue Aluminium'!$Q$9:$S$28,2,FALSE),VLOOKUP(V191,'Catalogue Aluminium'!$Q$9:$S$28,3)),IF(T191="GROUND",IF(U191="1C",VLOOKUP(V191,'Catalogue Aluminium'!$Q$9:$S$28,2,FALSE),VLOOKUP(V191,'Catalogue Aluminium'!$Q$9:$S$28,3))))))</f>
        <v>NA</v>
      </c>
      <c r="AN191" s="351">
        <f t="shared" si="1451"/>
        <v>0.58740000000000003</v>
      </c>
      <c r="AO191" s="350">
        <f t="shared" si="1452"/>
        <v>41.118000000000002</v>
      </c>
      <c r="AP191" s="349">
        <f t="shared" si="1453"/>
        <v>1</v>
      </c>
      <c r="AQ191" s="350" t="str">
        <f t="shared" si="1454"/>
        <v>YES</v>
      </c>
      <c r="AR191" s="351">
        <f t="shared" si="1463"/>
        <v>2.2947477281472954</v>
      </c>
      <c r="AS191" s="343" t="str">
        <f t="shared" si="1464"/>
        <v>YES</v>
      </c>
      <c r="AT191" s="351" t="str">
        <f t="shared" si="1470"/>
        <v>NA</v>
      </c>
      <c r="AU191" s="343" t="str">
        <f t="shared" si="1455"/>
        <v>NA</v>
      </c>
      <c r="AV191" s="354" t="str">
        <f t="shared" si="1456"/>
        <v>1R x 0.6/1kV x 3C x 16 Sqmm</v>
      </c>
      <c r="AW191" s="354" t="str">
        <f t="shared" si="1457"/>
        <v>1R x 0.6/1kV x 3C x 16 Sqmm</v>
      </c>
      <c r="AX191" s="343">
        <f t="shared" si="1471"/>
        <v>69</v>
      </c>
      <c r="AY191" s="355"/>
      <c r="AZ191" s="355">
        <f t="shared" si="1472"/>
        <v>2</v>
      </c>
      <c r="BA191" s="356" t="str">
        <f t="shared" si="1458"/>
        <v/>
      </c>
      <c r="BB191" s="501">
        <f>VLOOKUP(W191,'Catalogue Aluminium'!$B$9:$H$93,7,FALSE)</f>
        <v>19</v>
      </c>
      <c r="BC191" s="328">
        <f t="shared" si="1473"/>
        <v>19</v>
      </c>
      <c r="BE191" s="336"/>
      <c r="BF191" s="336"/>
      <c r="BG191" s="336"/>
      <c r="BH191" s="336"/>
      <c r="BI191" s="336"/>
      <c r="BJ191" s="336"/>
      <c r="BK191" s="336"/>
      <c r="BL191" s="336"/>
      <c r="BM191" s="336"/>
      <c r="BN191" s="336"/>
      <c r="BO191" s="336"/>
      <c r="BP191" s="336"/>
      <c r="BQ191" s="336"/>
      <c r="BR191" s="336"/>
      <c r="BS191" s="336"/>
      <c r="BT191" s="336"/>
      <c r="BU191" s="336"/>
      <c r="BV191" s="336"/>
      <c r="BW191" s="336"/>
      <c r="BX191" s="336"/>
      <c r="BY191" s="336"/>
      <c r="BZ191" s="336"/>
      <c r="CA191" s="336"/>
      <c r="CB191" s="336"/>
      <c r="CC191" s="336"/>
      <c r="CD191" s="336"/>
      <c r="CE191" s="336"/>
      <c r="CF191" s="336"/>
      <c r="CG191" s="336"/>
      <c r="CH191" s="336"/>
      <c r="CI191" s="336"/>
      <c r="CJ191" s="336"/>
      <c r="CK191" s="336"/>
      <c r="CL191" s="336"/>
      <c r="CM191" s="336"/>
      <c r="CN191" s="336"/>
      <c r="CO191" s="336"/>
      <c r="CP191" s="336"/>
      <c r="CQ191" s="336"/>
      <c r="CR191" s="336"/>
      <c r="CS191" s="336"/>
      <c r="CT191" s="336"/>
      <c r="CU191" s="336"/>
      <c r="CV191" s="336"/>
      <c r="CW191" s="336"/>
      <c r="CX191" s="336"/>
      <c r="CY191" s="336"/>
      <c r="CZ191" s="336"/>
      <c r="DA191" s="336"/>
      <c r="DB191" s="336"/>
      <c r="DC191" s="336"/>
      <c r="DD191" s="336"/>
      <c r="DE191" s="336"/>
      <c r="DF191" s="336"/>
      <c r="DG191" s="336"/>
      <c r="DH191" s="336"/>
      <c r="DI191" s="336"/>
      <c r="DJ191" s="336"/>
      <c r="DK191" s="336"/>
      <c r="DL191" s="336"/>
      <c r="DM191" s="336"/>
      <c r="DN191" s="336"/>
      <c r="DO191" s="336"/>
      <c r="DP191" s="336"/>
      <c r="DQ191" s="336"/>
      <c r="DR191" s="336"/>
      <c r="DS191" s="336"/>
      <c r="DT191" s="336"/>
      <c r="DU191" s="336"/>
      <c r="DW191" s="336">
        <f t="shared" si="1529"/>
        <v>0</v>
      </c>
      <c r="DX191" s="336">
        <f t="shared" si="1479"/>
        <v>0</v>
      </c>
      <c r="DY191" s="336">
        <f t="shared" si="1480"/>
        <v>0</v>
      </c>
      <c r="DZ191" s="336">
        <f t="shared" si="1481"/>
        <v>0</v>
      </c>
      <c r="EA191" s="336">
        <f t="shared" si="1482"/>
        <v>0</v>
      </c>
      <c r="EB191" s="336">
        <f t="shared" si="1483"/>
        <v>0</v>
      </c>
      <c r="EC191" s="336">
        <f t="shared" si="1484"/>
        <v>0</v>
      </c>
      <c r="ED191" s="336">
        <f t="shared" si="1485"/>
        <v>0</v>
      </c>
      <c r="EE191" s="336">
        <f t="shared" si="1486"/>
        <v>0</v>
      </c>
      <c r="EF191" s="336">
        <f t="shared" si="1487"/>
        <v>0</v>
      </c>
      <c r="EG191" s="336">
        <f t="shared" si="1488"/>
        <v>0</v>
      </c>
      <c r="EH191" s="336">
        <f t="shared" si="1489"/>
        <v>0</v>
      </c>
      <c r="EI191" s="336">
        <f t="shared" si="1490"/>
        <v>0</v>
      </c>
      <c r="EJ191" s="336">
        <f t="shared" si="1491"/>
        <v>0</v>
      </c>
      <c r="EK191" s="336">
        <f t="shared" si="1492"/>
        <v>0</v>
      </c>
      <c r="EL191" s="336">
        <f t="shared" si="1493"/>
        <v>0</v>
      </c>
      <c r="EM191" s="336">
        <f t="shared" si="1494"/>
        <v>0</v>
      </c>
      <c r="EN191" s="336">
        <f t="shared" si="1495"/>
        <v>0</v>
      </c>
      <c r="EO191" s="336">
        <f t="shared" si="1496"/>
        <v>0</v>
      </c>
      <c r="EP191" s="336">
        <f t="shared" si="1497"/>
        <v>0</v>
      </c>
      <c r="EQ191" s="336">
        <f t="shared" si="1498"/>
        <v>0</v>
      </c>
      <c r="ER191" s="336">
        <f t="shared" si="1499"/>
        <v>0</v>
      </c>
      <c r="ES191" s="336">
        <f t="shared" si="1500"/>
        <v>0</v>
      </c>
      <c r="ET191" s="336">
        <f t="shared" si="1500"/>
        <v>0</v>
      </c>
      <c r="EU191" s="336">
        <f t="shared" si="1501"/>
        <v>0</v>
      </c>
      <c r="EV191" s="336">
        <f t="shared" si="1502"/>
        <v>0</v>
      </c>
      <c r="EW191" s="336">
        <f t="shared" si="1503"/>
        <v>0</v>
      </c>
      <c r="EX191" s="336">
        <f t="shared" si="1504"/>
        <v>0</v>
      </c>
      <c r="EY191" s="336">
        <f t="shared" si="1505"/>
        <v>0</v>
      </c>
      <c r="EZ191" s="336">
        <f t="shared" si="1506"/>
        <v>0</v>
      </c>
      <c r="FA191" s="336">
        <f t="shared" si="1507"/>
        <v>0</v>
      </c>
      <c r="FB191" s="336">
        <f t="shared" si="1508"/>
        <v>0</v>
      </c>
      <c r="FC191" s="336">
        <f t="shared" si="1509"/>
        <v>0</v>
      </c>
      <c r="FD191" s="336">
        <f t="shared" si="1510"/>
        <v>0</v>
      </c>
      <c r="FE191" s="336">
        <f t="shared" si="1511"/>
        <v>0</v>
      </c>
      <c r="FF191" s="336">
        <f t="shared" si="1512"/>
        <v>0</v>
      </c>
      <c r="FG191" s="336">
        <f t="shared" si="1513"/>
        <v>0</v>
      </c>
      <c r="FH191" s="336">
        <f t="shared" si="1514"/>
        <v>0</v>
      </c>
      <c r="FI191" s="336">
        <f t="shared" si="1515"/>
        <v>0</v>
      </c>
      <c r="FJ191" s="336">
        <f t="shared" si="1516"/>
        <v>0</v>
      </c>
      <c r="FK191" s="336">
        <f t="shared" si="1517"/>
        <v>0</v>
      </c>
      <c r="FL191" s="336">
        <f t="shared" si="1518"/>
        <v>0</v>
      </c>
      <c r="FM191" s="336">
        <f t="shared" si="1519"/>
        <v>0</v>
      </c>
      <c r="FN191" s="336">
        <f t="shared" si="1520"/>
        <v>0</v>
      </c>
      <c r="FO191" s="336">
        <f t="shared" si="1521"/>
        <v>0</v>
      </c>
      <c r="FP191" s="336">
        <f t="shared" si="1522"/>
        <v>0</v>
      </c>
      <c r="FQ191" s="336">
        <f t="shared" si="1523"/>
        <v>0</v>
      </c>
      <c r="FR191" s="336">
        <f t="shared" si="1524"/>
        <v>0</v>
      </c>
      <c r="FS191" s="336">
        <f t="shared" si="1525"/>
        <v>0</v>
      </c>
      <c r="FT191" s="336">
        <f t="shared" si="1526"/>
        <v>0</v>
      </c>
      <c r="FU191" s="336">
        <f t="shared" si="1474"/>
        <v>0</v>
      </c>
      <c r="FV191" s="336">
        <f t="shared" si="1475"/>
        <v>0</v>
      </c>
      <c r="FW191" s="336">
        <f t="shared" si="1476"/>
        <v>0</v>
      </c>
      <c r="FX191" s="336">
        <f t="shared" si="1477"/>
        <v>0</v>
      </c>
      <c r="FY191" s="336">
        <f t="shared" si="1417"/>
        <v>0</v>
      </c>
      <c r="FZ191" s="336">
        <f t="shared" si="1418"/>
        <v>0</v>
      </c>
      <c r="GA191" s="336">
        <f t="shared" si="1419"/>
        <v>0</v>
      </c>
      <c r="GB191" s="336">
        <f t="shared" si="1420"/>
        <v>0</v>
      </c>
      <c r="GC191" s="336">
        <f t="shared" si="1421"/>
        <v>0</v>
      </c>
      <c r="GD191" s="336">
        <f t="shared" si="1422"/>
        <v>0</v>
      </c>
      <c r="GE191" s="336">
        <f t="shared" si="1423"/>
        <v>0</v>
      </c>
      <c r="GF191" s="336">
        <f t="shared" si="1424"/>
        <v>0</v>
      </c>
      <c r="GG191" s="336">
        <f t="shared" si="1425"/>
        <v>0</v>
      </c>
      <c r="GH191" s="336">
        <f t="shared" si="1426"/>
        <v>0</v>
      </c>
      <c r="GI191" s="336">
        <f t="shared" si="1427"/>
        <v>0</v>
      </c>
      <c r="GJ191" s="336">
        <f t="shared" si="1428"/>
        <v>0</v>
      </c>
      <c r="GK191" s="336">
        <f t="shared" si="1429"/>
        <v>0</v>
      </c>
      <c r="GL191" s="336">
        <f t="shared" si="1478"/>
        <v>0</v>
      </c>
      <c r="GM191" s="336">
        <f t="shared" si="1430"/>
        <v>0</v>
      </c>
    </row>
    <row r="192" spans="1:195" ht="27.75" customHeight="1">
      <c r="A192" s="337">
        <f t="shared" si="1527"/>
        <v>147</v>
      </c>
      <c r="B192" s="453"/>
      <c r="C192" s="372" t="str">
        <f t="shared" si="1459"/>
        <v>WORKSHOP HVAC DB</v>
      </c>
      <c r="D192" s="444" t="s">
        <v>1339</v>
      </c>
      <c r="E192" s="569" t="s">
        <v>1178</v>
      </c>
      <c r="F192" s="500"/>
      <c r="G192" s="337" t="s">
        <v>329</v>
      </c>
      <c r="H192" s="350">
        <v>3.5</v>
      </c>
      <c r="I192" s="337" t="s">
        <v>330</v>
      </c>
      <c r="J192" s="349" t="s">
        <v>357</v>
      </c>
      <c r="K192" s="349">
        <v>230</v>
      </c>
      <c r="L192" s="343">
        <v>0.95</v>
      </c>
      <c r="M192" s="350">
        <v>0.85</v>
      </c>
      <c r="N192" s="342">
        <f t="shared" si="1444"/>
        <v>18.845066630771303</v>
      </c>
      <c r="O192" s="342">
        <f t="shared" si="1445"/>
        <v>0</v>
      </c>
      <c r="P192" s="343" t="str">
        <f t="shared" si="1446"/>
        <v>0.00</v>
      </c>
      <c r="Q192" s="350">
        <v>65</v>
      </c>
      <c r="R192" s="350">
        <v>0</v>
      </c>
      <c r="S192" s="350">
        <f t="shared" si="1447"/>
        <v>0</v>
      </c>
      <c r="T192" s="343" t="s">
        <v>131</v>
      </c>
      <c r="U192" s="350" t="s">
        <v>333</v>
      </c>
      <c r="V192" s="343">
        <v>16</v>
      </c>
      <c r="W192" s="343" t="str">
        <f t="shared" si="1448"/>
        <v>3C X 16</v>
      </c>
      <c r="X192" s="343" t="str">
        <f t="shared" si="1449"/>
        <v>3C X 16</v>
      </c>
      <c r="Y192" s="343" t="s">
        <v>358</v>
      </c>
      <c r="Z192" s="344">
        <f>IF(T192="AIR",VLOOKUP(W192,'Catalogue Aluminium'!$B$9:$G$93,2,FALSE),IF(T192="GROUND",VLOOKUP(W192,'Catalogue Aluminium'!$B$9:$G$93,3,FALSE),IF(T192="DUCT",VLOOKUP(W192,'Catalogue Aluminium'!$B$9:$G$93,4,FALSE),IF(T192="TRENCH",VLOOKUP(W192,'Catalogue Aluminium'!$B$9:$G$93,2,FALSE)))))</f>
        <v>70</v>
      </c>
      <c r="AA192" s="345">
        <f>VLOOKUP(W192,'Catalogue Aluminium'!$B$9:$G$93,5,FALSE)</f>
        <v>2.44</v>
      </c>
      <c r="AB192" s="345">
        <f>VLOOKUP(W192,'Catalogue Aluminium'!$B$9:$G$93,6,FALSE)</f>
        <v>8.1500000000000003E-2</v>
      </c>
      <c r="AC192" s="343">
        <f t="shared" si="1528"/>
        <v>47</v>
      </c>
      <c r="AD192" s="343">
        <v>0</v>
      </c>
      <c r="AE192" s="343">
        <v>10</v>
      </c>
      <c r="AF192" s="343">
        <v>5</v>
      </c>
      <c r="AG192" s="343">
        <f t="shared" si="1462"/>
        <v>7</v>
      </c>
      <c r="AH192" s="347">
        <f t="shared" si="1450"/>
        <v>69</v>
      </c>
      <c r="AI192" s="344">
        <f>IF(T192="AIR",'Catalogue Aluminium'!$K$9,IF(T192="TRENCH",'Catalogue Aluminium'!$K$12,"NA"))</f>
        <v>0.89</v>
      </c>
      <c r="AJ192" s="342">
        <f>IF(T192="Air",(IF(U192="1C",'Catalogue Aluminium'!$L$9,'Catalogue Aluminium'!$M$9)),IF(T192="DUCT",(IF($U192="1C",'Catalogue Aluminium'!$L$10,'Catalogue Aluminium'!$M$10)),IF(T192="GROUND",(IF($U192="1C",'Catalogue Aluminium'!$L$11,'Catalogue Aluminium'!$M$11)),IF(T192="TRENCH",(IF($U192="1C",'Catalogue Aluminium'!$L$12,'Catalogue Aluminium'!$M$12))))))</f>
        <v>0.66</v>
      </c>
      <c r="AK192" s="344" t="str">
        <f>IF(T192="Air",'Catalogue Aluminium'!$N$9,IF(T192="GROUND",'Catalogue Aluminium'!$N$10,IF(T192="DUCT",'Catalogue Aluminium'!$N$11,IF(T192="TRENCH",'Catalogue Aluminium'!$N$12,"NA"))))</f>
        <v>NA</v>
      </c>
      <c r="AL192" s="344" t="str">
        <f>IF(T192="Air",(IF(U192="1C",'Catalogue Aluminium'!$O$9,'Catalogue Aluminium'!$P$9)),IF(T192="DUCT",(IF($U192="1C",'Catalogue Aluminium'!$O$10,'Catalogue Aluminium'!$P$10)),IF(T192="GROUND",(IF($U192="1C",'Catalogue Aluminium'!$O$11,'Catalogue Aluminium'!$P$11)),IF(T192="TRENCH",(IF($U192="1C",'Catalogue Aluminium'!$O$12,'Catalogue Aluminium'!$P$12))))))</f>
        <v>NA</v>
      </c>
      <c r="AM192" s="344" t="str">
        <f>IF(T192="AIR","NA",IF(T192="TRENCH","NA",IF(T192="DUCT",IF(U192="1C",VLOOKUP(V192,'Catalogue Aluminium'!$Q$9:$S$28,2,FALSE),VLOOKUP(V192,'Catalogue Aluminium'!$Q$9:$S$28,3)),IF(T192="GROUND",IF(U192="1C",VLOOKUP(V192,'Catalogue Aluminium'!$Q$9:$S$28,2,FALSE),VLOOKUP(V192,'Catalogue Aluminium'!$Q$9:$S$28,3))))))</f>
        <v>NA</v>
      </c>
      <c r="AN192" s="351">
        <f t="shared" si="1451"/>
        <v>0.58740000000000003</v>
      </c>
      <c r="AO192" s="350">
        <f t="shared" si="1452"/>
        <v>41.118000000000002</v>
      </c>
      <c r="AP192" s="349">
        <f t="shared" si="1453"/>
        <v>1</v>
      </c>
      <c r="AQ192" s="350" t="str">
        <f t="shared" si="1454"/>
        <v>YES</v>
      </c>
      <c r="AR192" s="351">
        <f t="shared" si="1463"/>
        <v>2.2947477281472954</v>
      </c>
      <c r="AS192" s="343" t="str">
        <f t="shared" si="1464"/>
        <v>YES</v>
      </c>
      <c r="AT192" s="351" t="str">
        <f t="shared" si="1470"/>
        <v>NA</v>
      </c>
      <c r="AU192" s="343" t="str">
        <f t="shared" si="1455"/>
        <v>NA</v>
      </c>
      <c r="AV192" s="354" t="str">
        <f t="shared" si="1456"/>
        <v>1R x 0.6/1kV x 3C x 16 Sqmm</v>
      </c>
      <c r="AW192" s="354" t="str">
        <f t="shared" si="1457"/>
        <v>1R x 0.6/1kV x 3C x 16 Sqmm</v>
      </c>
      <c r="AX192" s="343">
        <f t="shared" si="1471"/>
        <v>69</v>
      </c>
      <c r="AY192" s="355"/>
      <c r="AZ192" s="355">
        <f t="shared" si="1472"/>
        <v>2</v>
      </c>
      <c r="BA192" s="356" t="str">
        <f t="shared" si="1458"/>
        <v/>
      </c>
      <c r="BB192" s="501">
        <f>VLOOKUP(W192,'Catalogue Aluminium'!$B$9:$H$93,7,FALSE)</f>
        <v>19</v>
      </c>
      <c r="BC192" s="328">
        <f t="shared" si="1473"/>
        <v>19</v>
      </c>
      <c r="BE192" s="336"/>
      <c r="BF192" s="336"/>
      <c r="BG192" s="336"/>
      <c r="BH192" s="336"/>
      <c r="BI192" s="336"/>
      <c r="BJ192" s="336"/>
      <c r="BK192" s="336"/>
      <c r="BL192" s="336"/>
      <c r="BM192" s="336"/>
      <c r="BN192" s="336"/>
      <c r="BO192" s="336"/>
      <c r="BP192" s="336"/>
      <c r="BQ192" s="336"/>
      <c r="BR192" s="336"/>
      <c r="BS192" s="336"/>
      <c r="BT192" s="336"/>
      <c r="BU192" s="336"/>
      <c r="BV192" s="336"/>
      <c r="BW192" s="336"/>
      <c r="BX192" s="336"/>
      <c r="BY192" s="336"/>
      <c r="BZ192" s="336"/>
      <c r="CA192" s="336"/>
      <c r="CB192" s="336"/>
      <c r="CC192" s="336"/>
      <c r="CD192" s="336"/>
      <c r="CE192" s="336"/>
      <c r="CF192" s="336"/>
      <c r="CG192" s="336"/>
      <c r="CH192" s="336"/>
      <c r="CI192" s="336"/>
      <c r="CJ192" s="336"/>
      <c r="CK192" s="336"/>
      <c r="CL192" s="336"/>
      <c r="CM192" s="336"/>
      <c r="CN192" s="336"/>
      <c r="CO192" s="336"/>
      <c r="CP192" s="336"/>
      <c r="CQ192" s="336"/>
      <c r="CR192" s="336"/>
      <c r="CS192" s="336"/>
      <c r="CT192" s="336"/>
      <c r="CU192" s="336"/>
      <c r="CV192" s="336"/>
      <c r="CW192" s="336"/>
      <c r="CX192" s="336"/>
      <c r="CY192" s="336"/>
      <c r="CZ192" s="336"/>
      <c r="DA192" s="336"/>
      <c r="DB192" s="336"/>
      <c r="DC192" s="336"/>
      <c r="DD192" s="336"/>
      <c r="DE192" s="336"/>
      <c r="DF192" s="336"/>
      <c r="DG192" s="336"/>
      <c r="DH192" s="336"/>
      <c r="DI192" s="336"/>
      <c r="DJ192" s="336"/>
      <c r="DK192" s="336"/>
      <c r="DL192" s="336"/>
      <c r="DM192" s="336"/>
      <c r="DN192" s="336"/>
      <c r="DO192" s="336"/>
      <c r="DP192" s="336"/>
      <c r="DQ192" s="336"/>
      <c r="DR192" s="336"/>
      <c r="DS192" s="336"/>
      <c r="DT192" s="336"/>
      <c r="DU192" s="336"/>
      <c r="DW192" s="336">
        <f t="shared" si="1529"/>
        <v>0</v>
      </c>
      <c r="DX192" s="336">
        <f t="shared" si="1479"/>
        <v>0</v>
      </c>
      <c r="DY192" s="336">
        <f t="shared" si="1480"/>
        <v>0</v>
      </c>
      <c r="DZ192" s="336">
        <f t="shared" si="1481"/>
        <v>0</v>
      </c>
      <c r="EA192" s="336">
        <f t="shared" si="1482"/>
        <v>0</v>
      </c>
      <c r="EB192" s="336">
        <f t="shared" si="1483"/>
        <v>0</v>
      </c>
      <c r="EC192" s="336">
        <f t="shared" si="1484"/>
        <v>0</v>
      </c>
      <c r="ED192" s="336">
        <f t="shared" si="1485"/>
        <v>0</v>
      </c>
      <c r="EE192" s="336">
        <f t="shared" si="1486"/>
        <v>0</v>
      </c>
      <c r="EF192" s="336">
        <f t="shared" si="1487"/>
        <v>0</v>
      </c>
      <c r="EG192" s="336">
        <f t="shared" si="1488"/>
        <v>0</v>
      </c>
      <c r="EH192" s="336">
        <f t="shared" si="1489"/>
        <v>0</v>
      </c>
      <c r="EI192" s="336">
        <f t="shared" si="1490"/>
        <v>0</v>
      </c>
      <c r="EJ192" s="336">
        <f t="shared" si="1491"/>
        <v>0</v>
      </c>
      <c r="EK192" s="336">
        <f t="shared" si="1492"/>
        <v>0</v>
      </c>
      <c r="EL192" s="336">
        <f t="shared" si="1493"/>
        <v>0</v>
      </c>
      <c r="EM192" s="336">
        <f t="shared" si="1494"/>
        <v>0</v>
      </c>
      <c r="EN192" s="336">
        <f t="shared" si="1495"/>
        <v>0</v>
      </c>
      <c r="EO192" s="336">
        <f t="shared" si="1496"/>
        <v>0</v>
      </c>
      <c r="EP192" s="336">
        <f t="shared" si="1497"/>
        <v>0</v>
      </c>
      <c r="EQ192" s="336">
        <f t="shared" si="1498"/>
        <v>0</v>
      </c>
      <c r="ER192" s="336">
        <f t="shared" si="1499"/>
        <v>0</v>
      </c>
      <c r="ES192" s="336">
        <f t="shared" si="1500"/>
        <v>0</v>
      </c>
      <c r="ET192" s="336">
        <f t="shared" si="1500"/>
        <v>0</v>
      </c>
      <c r="EU192" s="336">
        <f t="shared" si="1501"/>
        <v>0</v>
      </c>
      <c r="EV192" s="336">
        <f t="shared" si="1502"/>
        <v>0</v>
      </c>
      <c r="EW192" s="336">
        <f t="shared" si="1503"/>
        <v>0</v>
      </c>
      <c r="EX192" s="336">
        <f t="shared" si="1504"/>
        <v>0</v>
      </c>
      <c r="EY192" s="336">
        <f t="shared" si="1505"/>
        <v>0</v>
      </c>
      <c r="EZ192" s="336">
        <f t="shared" si="1506"/>
        <v>0</v>
      </c>
      <c r="FA192" s="336">
        <f t="shared" si="1507"/>
        <v>0</v>
      </c>
      <c r="FB192" s="336">
        <f t="shared" si="1508"/>
        <v>0</v>
      </c>
      <c r="FC192" s="336">
        <f t="shared" si="1509"/>
        <v>0</v>
      </c>
      <c r="FD192" s="336">
        <f t="shared" si="1510"/>
        <v>0</v>
      </c>
      <c r="FE192" s="336">
        <f t="shared" si="1511"/>
        <v>0</v>
      </c>
      <c r="FF192" s="336">
        <f t="shared" si="1512"/>
        <v>0</v>
      </c>
      <c r="FG192" s="336">
        <f t="shared" si="1513"/>
        <v>0</v>
      </c>
      <c r="FH192" s="336">
        <f t="shared" si="1514"/>
        <v>0</v>
      </c>
      <c r="FI192" s="336">
        <f t="shared" si="1515"/>
        <v>0</v>
      </c>
      <c r="FJ192" s="336">
        <f t="shared" si="1516"/>
        <v>0</v>
      </c>
      <c r="FK192" s="336">
        <f t="shared" si="1517"/>
        <v>0</v>
      </c>
      <c r="FL192" s="336">
        <f t="shared" si="1518"/>
        <v>0</v>
      </c>
      <c r="FM192" s="336">
        <f t="shared" si="1519"/>
        <v>0</v>
      </c>
      <c r="FN192" s="336">
        <f t="shared" si="1520"/>
        <v>0</v>
      </c>
      <c r="FO192" s="336">
        <f t="shared" si="1521"/>
        <v>0</v>
      </c>
      <c r="FP192" s="336">
        <f t="shared" si="1522"/>
        <v>0</v>
      </c>
      <c r="FQ192" s="336">
        <f t="shared" si="1523"/>
        <v>0</v>
      </c>
      <c r="FR192" s="336">
        <f t="shared" si="1524"/>
        <v>0</v>
      </c>
      <c r="FS192" s="336">
        <f t="shared" si="1525"/>
        <v>0</v>
      </c>
      <c r="FT192" s="336">
        <f t="shared" si="1526"/>
        <v>0</v>
      </c>
      <c r="FU192" s="336">
        <f t="shared" si="1474"/>
        <v>0</v>
      </c>
      <c r="FV192" s="336">
        <f t="shared" si="1475"/>
        <v>0</v>
      </c>
      <c r="FW192" s="336">
        <f t="shared" si="1476"/>
        <v>0</v>
      </c>
      <c r="FX192" s="336">
        <f t="shared" si="1477"/>
        <v>0</v>
      </c>
      <c r="FY192" s="336">
        <f t="shared" si="1417"/>
        <v>0</v>
      </c>
      <c r="FZ192" s="336">
        <f t="shared" si="1418"/>
        <v>0</v>
      </c>
      <c r="GA192" s="336">
        <f t="shared" si="1419"/>
        <v>0</v>
      </c>
      <c r="GB192" s="336">
        <f t="shared" si="1420"/>
        <v>0</v>
      </c>
      <c r="GC192" s="336">
        <f t="shared" si="1421"/>
        <v>0</v>
      </c>
      <c r="GD192" s="336">
        <f t="shared" si="1422"/>
        <v>0</v>
      </c>
      <c r="GE192" s="336">
        <f t="shared" si="1423"/>
        <v>0</v>
      </c>
      <c r="GF192" s="336">
        <f t="shared" si="1424"/>
        <v>0</v>
      </c>
      <c r="GG192" s="336">
        <f t="shared" si="1425"/>
        <v>0</v>
      </c>
      <c r="GH192" s="336">
        <f t="shared" si="1426"/>
        <v>0</v>
      </c>
      <c r="GI192" s="336">
        <f t="shared" si="1427"/>
        <v>0</v>
      </c>
      <c r="GJ192" s="336">
        <f t="shared" si="1428"/>
        <v>0</v>
      </c>
      <c r="GK192" s="336">
        <f t="shared" si="1429"/>
        <v>0</v>
      </c>
      <c r="GL192" s="336">
        <f t="shared" si="1478"/>
        <v>0</v>
      </c>
      <c r="GM192" s="336">
        <f t="shared" si="1430"/>
        <v>0</v>
      </c>
    </row>
    <row r="193" spans="1:195" ht="27.75" customHeight="1">
      <c r="A193" s="337">
        <f t="shared" si="1527"/>
        <v>148</v>
      </c>
      <c r="B193" s="453"/>
      <c r="C193" s="372" t="str">
        <f t="shared" si="1459"/>
        <v>WORKSHOP HVAC DB</v>
      </c>
      <c r="D193" s="444" t="s">
        <v>1340</v>
      </c>
      <c r="E193" s="569" t="s">
        <v>1178</v>
      </c>
      <c r="F193" s="500"/>
      <c r="G193" s="337" t="s">
        <v>329</v>
      </c>
      <c r="H193" s="350">
        <v>3.5</v>
      </c>
      <c r="I193" s="337" t="s">
        <v>330</v>
      </c>
      <c r="J193" s="349" t="s">
        <v>357</v>
      </c>
      <c r="K193" s="349">
        <v>230</v>
      </c>
      <c r="L193" s="343">
        <v>0.95</v>
      </c>
      <c r="M193" s="350">
        <v>0.85</v>
      </c>
      <c r="N193" s="342">
        <f t="shared" si="1444"/>
        <v>18.845066630771303</v>
      </c>
      <c r="O193" s="342">
        <f t="shared" si="1445"/>
        <v>0</v>
      </c>
      <c r="P193" s="343" t="str">
        <f t="shared" si="1446"/>
        <v>0.00</v>
      </c>
      <c r="Q193" s="350">
        <v>65</v>
      </c>
      <c r="R193" s="350">
        <v>0</v>
      </c>
      <c r="S193" s="350">
        <f t="shared" si="1447"/>
        <v>0</v>
      </c>
      <c r="T193" s="343" t="s">
        <v>131</v>
      </c>
      <c r="U193" s="350" t="s">
        <v>333</v>
      </c>
      <c r="V193" s="343">
        <v>16</v>
      </c>
      <c r="W193" s="343" t="str">
        <f t="shared" si="1448"/>
        <v>3C X 16</v>
      </c>
      <c r="X193" s="343" t="str">
        <f t="shared" si="1449"/>
        <v>3C X 16</v>
      </c>
      <c r="Y193" s="343" t="s">
        <v>358</v>
      </c>
      <c r="Z193" s="344">
        <f>IF(T193="AIR",VLOOKUP(W193,'Catalogue Aluminium'!$B$9:$G$93,2,FALSE),IF(T193="GROUND",VLOOKUP(W193,'Catalogue Aluminium'!$B$9:$G$93,3,FALSE),IF(T193="DUCT",VLOOKUP(W193,'Catalogue Aluminium'!$B$9:$G$93,4,FALSE),IF(T193="TRENCH",VLOOKUP(W193,'Catalogue Aluminium'!$B$9:$G$93,2,FALSE)))))</f>
        <v>70</v>
      </c>
      <c r="AA193" s="345">
        <f>VLOOKUP(W193,'Catalogue Aluminium'!$B$9:$G$93,5,FALSE)</f>
        <v>2.44</v>
      </c>
      <c r="AB193" s="345">
        <f>VLOOKUP(W193,'Catalogue Aluminium'!$B$9:$G$93,6,FALSE)</f>
        <v>8.1500000000000003E-2</v>
      </c>
      <c r="AC193" s="343">
        <f t="shared" si="1528"/>
        <v>47</v>
      </c>
      <c r="AD193" s="343">
        <v>0</v>
      </c>
      <c r="AE193" s="343">
        <v>10</v>
      </c>
      <c r="AF193" s="343">
        <v>5</v>
      </c>
      <c r="AG193" s="343">
        <f t="shared" si="1462"/>
        <v>7</v>
      </c>
      <c r="AH193" s="347">
        <f t="shared" si="1450"/>
        <v>69</v>
      </c>
      <c r="AI193" s="344">
        <f>IF(T193="AIR",'Catalogue Aluminium'!$K$9,IF(T193="TRENCH",'Catalogue Aluminium'!$K$12,"NA"))</f>
        <v>0.89</v>
      </c>
      <c r="AJ193" s="342">
        <f>IF(T193="Air",(IF(U193="1C",'Catalogue Aluminium'!$L$9,'Catalogue Aluminium'!$M$9)),IF(T193="DUCT",(IF($U193="1C",'Catalogue Aluminium'!$L$10,'Catalogue Aluminium'!$M$10)),IF(T193="GROUND",(IF($U193="1C",'Catalogue Aluminium'!$L$11,'Catalogue Aluminium'!$M$11)),IF(T193="TRENCH",(IF($U193="1C",'Catalogue Aluminium'!$L$12,'Catalogue Aluminium'!$M$12))))))</f>
        <v>0.66</v>
      </c>
      <c r="AK193" s="344" t="str">
        <f>IF(T193="Air",'Catalogue Aluminium'!$N$9,IF(T193="GROUND",'Catalogue Aluminium'!$N$10,IF(T193="DUCT",'Catalogue Aluminium'!$N$11,IF(T193="TRENCH",'Catalogue Aluminium'!$N$12,"NA"))))</f>
        <v>NA</v>
      </c>
      <c r="AL193" s="344" t="str">
        <f>IF(T193="Air",(IF(U193="1C",'Catalogue Aluminium'!$O$9,'Catalogue Aluminium'!$P$9)),IF(T193="DUCT",(IF($U193="1C",'Catalogue Aluminium'!$O$10,'Catalogue Aluminium'!$P$10)),IF(T193="GROUND",(IF($U193="1C",'Catalogue Aluminium'!$O$11,'Catalogue Aluminium'!$P$11)),IF(T193="TRENCH",(IF($U193="1C",'Catalogue Aluminium'!$O$12,'Catalogue Aluminium'!$P$12))))))</f>
        <v>NA</v>
      </c>
      <c r="AM193" s="344" t="str">
        <f>IF(T193="AIR","NA",IF(T193="TRENCH","NA",IF(T193="DUCT",IF(U193="1C",VLOOKUP(V193,'Catalogue Aluminium'!$Q$9:$S$28,2,FALSE),VLOOKUP(V193,'Catalogue Aluminium'!$Q$9:$S$28,3)),IF(T193="GROUND",IF(U193="1C",VLOOKUP(V193,'Catalogue Aluminium'!$Q$9:$S$28,2,FALSE),VLOOKUP(V193,'Catalogue Aluminium'!$Q$9:$S$28,3))))))</f>
        <v>NA</v>
      </c>
      <c r="AN193" s="351">
        <f t="shared" si="1451"/>
        <v>0.58740000000000003</v>
      </c>
      <c r="AO193" s="350">
        <f t="shared" si="1452"/>
        <v>41.118000000000002</v>
      </c>
      <c r="AP193" s="349">
        <f t="shared" si="1453"/>
        <v>1</v>
      </c>
      <c r="AQ193" s="350" t="str">
        <f t="shared" si="1454"/>
        <v>YES</v>
      </c>
      <c r="AR193" s="351">
        <f t="shared" si="1463"/>
        <v>2.2947477281472954</v>
      </c>
      <c r="AS193" s="343" t="str">
        <f t="shared" si="1464"/>
        <v>YES</v>
      </c>
      <c r="AT193" s="351" t="str">
        <f t="shared" si="1470"/>
        <v>NA</v>
      </c>
      <c r="AU193" s="343" t="str">
        <f t="shared" si="1455"/>
        <v>NA</v>
      </c>
      <c r="AV193" s="354" t="str">
        <f t="shared" si="1456"/>
        <v>1R x 0.6/1kV x 3C x 16 Sqmm</v>
      </c>
      <c r="AW193" s="354" t="str">
        <f t="shared" si="1457"/>
        <v>1R x 0.6/1kV x 3C x 16 Sqmm</v>
      </c>
      <c r="AX193" s="343">
        <f t="shared" si="1471"/>
        <v>69</v>
      </c>
      <c r="AY193" s="355"/>
      <c r="AZ193" s="355">
        <f t="shared" si="1472"/>
        <v>2</v>
      </c>
      <c r="BA193" s="356" t="str">
        <f t="shared" si="1458"/>
        <v/>
      </c>
      <c r="BB193" s="501">
        <f>VLOOKUP(W193,'Catalogue Aluminium'!$B$9:$H$93,7,FALSE)</f>
        <v>19</v>
      </c>
      <c r="BC193" s="328">
        <f t="shared" si="1473"/>
        <v>19</v>
      </c>
      <c r="BE193" s="336"/>
      <c r="BF193" s="336"/>
      <c r="BG193" s="336"/>
      <c r="BH193" s="336"/>
      <c r="BI193" s="336"/>
      <c r="BJ193" s="336"/>
      <c r="BK193" s="336"/>
      <c r="BL193" s="336"/>
      <c r="BM193" s="336"/>
      <c r="BN193" s="336"/>
      <c r="BO193" s="336"/>
      <c r="BP193" s="336"/>
      <c r="BQ193" s="336"/>
      <c r="BR193" s="336"/>
      <c r="BS193" s="336"/>
      <c r="BT193" s="336"/>
      <c r="BU193" s="336"/>
      <c r="BV193" s="336"/>
      <c r="BW193" s="336"/>
      <c r="BX193" s="336"/>
      <c r="BY193" s="336"/>
      <c r="BZ193" s="336"/>
      <c r="CA193" s="336"/>
      <c r="CB193" s="336"/>
      <c r="CC193" s="336"/>
      <c r="CD193" s="336"/>
      <c r="CE193" s="336"/>
      <c r="CF193" s="336"/>
      <c r="CG193" s="336"/>
      <c r="CH193" s="336"/>
      <c r="CI193" s="336"/>
      <c r="CJ193" s="336"/>
      <c r="CK193" s="336"/>
      <c r="CL193" s="336"/>
      <c r="CM193" s="336"/>
      <c r="CN193" s="336"/>
      <c r="CO193" s="336"/>
      <c r="CP193" s="336"/>
      <c r="CQ193" s="336"/>
      <c r="CR193" s="336"/>
      <c r="CS193" s="336"/>
      <c r="CT193" s="336"/>
      <c r="CU193" s="336"/>
      <c r="CV193" s="336"/>
      <c r="CW193" s="336"/>
      <c r="CX193" s="336"/>
      <c r="CY193" s="336"/>
      <c r="CZ193" s="336"/>
      <c r="DA193" s="336"/>
      <c r="DB193" s="336"/>
      <c r="DC193" s="336"/>
      <c r="DD193" s="336"/>
      <c r="DE193" s="336"/>
      <c r="DF193" s="336"/>
      <c r="DG193" s="336"/>
      <c r="DH193" s="336"/>
      <c r="DI193" s="336"/>
      <c r="DJ193" s="336"/>
      <c r="DK193" s="336"/>
      <c r="DL193" s="336"/>
      <c r="DM193" s="336"/>
      <c r="DN193" s="336"/>
      <c r="DO193" s="336"/>
      <c r="DP193" s="336"/>
      <c r="DQ193" s="336"/>
      <c r="DR193" s="336"/>
      <c r="DS193" s="336"/>
      <c r="DT193" s="336"/>
      <c r="DU193" s="336"/>
      <c r="DW193" s="336">
        <f t="shared" si="1529"/>
        <v>0</v>
      </c>
      <c r="DX193" s="336">
        <f t="shared" si="1479"/>
        <v>0</v>
      </c>
      <c r="DY193" s="336">
        <f t="shared" si="1480"/>
        <v>0</v>
      </c>
      <c r="DZ193" s="336">
        <f t="shared" si="1481"/>
        <v>0</v>
      </c>
      <c r="EA193" s="336">
        <f t="shared" si="1482"/>
        <v>0</v>
      </c>
      <c r="EB193" s="336">
        <f t="shared" si="1483"/>
        <v>0</v>
      </c>
      <c r="EC193" s="336">
        <f t="shared" si="1484"/>
        <v>0</v>
      </c>
      <c r="ED193" s="336">
        <f t="shared" si="1485"/>
        <v>0</v>
      </c>
      <c r="EE193" s="336">
        <f t="shared" si="1486"/>
        <v>0</v>
      </c>
      <c r="EF193" s="336">
        <f t="shared" si="1487"/>
        <v>0</v>
      </c>
      <c r="EG193" s="336">
        <f t="shared" si="1488"/>
        <v>0</v>
      </c>
      <c r="EH193" s="336">
        <f t="shared" si="1489"/>
        <v>0</v>
      </c>
      <c r="EI193" s="336">
        <f t="shared" si="1490"/>
        <v>0</v>
      </c>
      <c r="EJ193" s="336">
        <f t="shared" si="1491"/>
        <v>0</v>
      </c>
      <c r="EK193" s="336">
        <f t="shared" si="1492"/>
        <v>0</v>
      </c>
      <c r="EL193" s="336">
        <f t="shared" si="1493"/>
        <v>0</v>
      </c>
      <c r="EM193" s="336">
        <f t="shared" si="1494"/>
        <v>0</v>
      </c>
      <c r="EN193" s="336">
        <f t="shared" si="1495"/>
        <v>0</v>
      </c>
      <c r="EO193" s="336">
        <f t="shared" si="1496"/>
        <v>0</v>
      </c>
      <c r="EP193" s="336">
        <f t="shared" si="1497"/>
        <v>0</v>
      </c>
      <c r="EQ193" s="336">
        <f t="shared" si="1498"/>
        <v>0</v>
      </c>
      <c r="ER193" s="336">
        <f t="shared" si="1499"/>
        <v>0</v>
      </c>
      <c r="ES193" s="336">
        <f t="shared" si="1500"/>
        <v>0</v>
      </c>
      <c r="ET193" s="336">
        <f t="shared" si="1500"/>
        <v>0</v>
      </c>
      <c r="EU193" s="336">
        <f t="shared" si="1501"/>
        <v>0</v>
      </c>
      <c r="EV193" s="336">
        <f t="shared" si="1502"/>
        <v>0</v>
      </c>
      <c r="EW193" s="336">
        <f t="shared" si="1503"/>
        <v>0</v>
      </c>
      <c r="EX193" s="336">
        <f t="shared" si="1504"/>
        <v>0</v>
      </c>
      <c r="EY193" s="336">
        <f t="shared" si="1505"/>
        <v>0</v>
      </c>
      <c r="EZ193" s="336">
        <f t="shared" si="1506"/>
        <v>0</v>
      </c>
      <c r="FA193" s="336">
        <f t="shared" si="1507"/>
        <v>0</v>
      </c>
      <c r="FB193" s="336">
        <f t="shared" si="1508"/>
        <v>0</v>
      </c>
      <c r="FC193" s="336">
        <f t="shared" si="1509"/>
        <v>0</v>
      </c>
      <c r="FD193" s="336">
        <f t="shared" si="1510"/>
        <v>0</v>
      </c>
      <c r="FE193" s="336">
        <f t="shared" si="1511"/>
        <v>0</v>
      </c>
      <c r="FF193" s="336">
        <f t="shared" si="1512"/>
        <v>0</v>
      </c>
      <c r="FG193" s="336">
        <f t="shared" si="1513"/>
        <v>0</v>
      </c>
      <c r="FH193" s="336">
        <f t="shared" si="1514"/>
        <v>0</v>
      </c>
      <c r="FI193" s="336">
        <f t="shared" si="1515"/>
        <v>0</v>
      </c>
      <c r="FJ193" s="336">
        <f t="shared" si="1516"/>
        <v>0</v>
      </c>
      <c r="FK193" s="336">
        <f t="shared" si="1517"/>
        <v>0</v>
      </c>
      <c r="FL193" s="336">
        <f t="shared" si="1518"/>
        <v>0</v>
      </c>
      <c r="FM193" s="336">
        <f t="shared" si="1519"/>
        <v>0</v>
      </c>
      <c r="FN193" s="336">
        <f t="shared" si="1520"/>
        <v>0</v>
      </c>
      <c r="FO193" s="336">
        <f t="shared" si="1521"/>
        <v>0</v>
      </c>
      <c r="FP193" s="336">
        <f t="shared" si="1522"/>
        <v>0</v>
      </c>
      <c r="FQ193" s="336">
        <f t="shared" si="1523"/>
        <v>0</v>
      </c>
      <c r="FR193" s="336">
        <f t="shared" si="1524"/>
        <v>0</v>
      </c>
      <c r="FS193" s="336">
        <f t="shared" si="1525"/>
        <v>0</v>
      </c>
      <c r="FT193" s="336">
        <f t="shared" si="1526"/>
        <v>0</v>
      </c>
      <c r="FU193" s="336">
        <f t="shared" si="1474"/>
        <v>0</v>
      </c>
      <c r="FV193" s="336">
        <f t="shared" si="1475"/>
        <v>0</v>
      </c>
      <c r="FW193" s="336">
        <f t="shared" si="1476"/>
        <v>0</v>
      </c>
      <c r="FX193" s="336">
        <f t="shared" si="1477"/>
        <v>0</v>
      </c>
      <c r="FY193" s="336">
        <f t="shared" si="1417"/>
        <v>0</v>
      </c>
      <c r="FZ193" s="336">
        <f t="shared" si="1418"/>
        <v>0</v>
      </c>
      <c r="GA193" s="336">
        <f t="shared" si="1419"/>
        <v>0</v>
      </c>
      <c r="GB193" s="336">
        <f t="shared" si="1420"/>
        <v>0</v>
      </c>
      <c r="GC193" s="336">
        <f t="shared" si="1421"/>
        <v>0</v>
      </c>
      <c r="GD193" s="336">
        <f t="shared" si="1422"/>
        <v>0</v>
      </c>
      <c r="GE193" s="336">
        <f t="shared" si="1423"/>
        <v>0</v>
      </c>
      <c r="GF193" s="336">
        <f t="shared" si="1424"/>
        <v>0</v>
      </c>
      <c r="GG193" s="336">
        <f t="shared" si="1425"/>
        <v>0</v>
      </c>
      <c r="GH193" s="336">
        <f t="shared" si="1426"/>
        <v>0</v>
      </c>
      <c r="GI193" s="336">
        <f t="shared" si="1427"/>
        <v>0</v>
      </c>
      <c r="GJ193" s="336">
        <f t="shared" si="1428"/>
        <v>0</v>
      </c>
      <c r="GK193" s="336">
        <f t="shared" si="1429"/>
        <v>0</v>
      </c>
      <c r="GL193" s="336">
        <f t="shared" si="1478"/>
        <v>0</v>
      </c>
      <c r="GM193" s="336">
        <f t="shared" si="1430"/>
        <v>0</v>
      </c>
    </row>
    <row r="194" spans="1:195" ht="27.75" customHeight="1">
      <c r="A194" s="337">
        <f t="shared" si="1527"/>
        <v>149</v>
      </c>
      <c r="B194" s="453"/>
      <c r="C194" s="372" t="s">
        <v>1315</v>
      </c>
      <c r="D194" s="444" t="s">
        <v>1341</v>
      </c>
      <c r="E194" s="569" t="s">
        <v>1342</v>
      </c>
      <c r="F194" s="500"/>
      <c r="G194" s="337" t="s">
        <v>329</v>
      </c>
      <c r="H194" s="583">
        <v>3.5</v>
      </c>
      <c r="I194" s="337" t="s">
        <v>330</v>
      </c>
      <c r="J194" s="349" t="s">
        <v>357</v>
      </c>
      <c r="K194" s="349">
        <v>230</v>
      </c>
      <c r="L194" s="343">
        <v>0.95</v>
      </c>
      <c r="M194" s="350">
        <v>0.85</v>
      </c>
      <c r="N194" s="342">
        <f t="shared" ref="N194:N195" si="1530">IF(I194="kVA",IF(J194="3Ph",(H194*1000/(1.732*M194*K194)),(H194*1000/(M194*K194))),IF(I194="kW",IF(J194="3Ph",(H194*1000/(1.732*M194*K194*L194)),(H194*1000/(M194*K194*L194)))))</f>
        <v>18.845066630771303</v>
      </c>
      <c r="O194" s="342">
        <f t="shared" ref="O194:O195" si="1531">IF(G194="MOTOR",(6*N194),IF(G194="VFD",(1*N194),0))</f>
        <v>0</v>
      </c>
      <c r="P194" s="343" t="str">
        <f t="shared" ref="P194:P195" si="1532">IF(G194="MOTOR",0.2,"0.00")</f>
        <v>0.00</v>
      </c>
      <c r="Q194" s="350">
        <v>65</v>
      </c>
      <c r="R194" s="350">
        <v>0</v>
      </c>
      <c r="S194" s="350">
        <f t="shared" ref="S194:S195" si="1533">(Q194*1000*SQRT(R194)/143)</f>
        <v>0</v>
      </c>
      <c r="T194" s="343" t="s">
        <v>131</v>
      </c>
      <c r="U194" s="350" t="s">
        <v>333</v>
      </c>
      <c r="V194" s="343">
        <v>16</v>
      </c>
      <c r="W194" s="343" t="str">
        <f t="shared" ref="W194:W195" si="1534">CONCATENATE(U194," X ",V194)</f>
        <v>3C X 16</v>
      </c>
      <c r="X194" s="343" t="str">
        <f t="shared" ref="X194:X195" si="1535">(IF(J194="1Ph",W194,IF(J194="3Ph",(IF(G194="MOTOR",(CONCATENATE(W194,"+PE")),W194)))))</f>
        <v>3C X 16</v>
      </c>
      <c r="Y194" s="343" t="s">
        <v>358</v>
      </c>
      <c r="Z194" s="344">
        <f>IF(T194="AIR",VLOOKUP(W194,'Catalogue Aluminium'!$B$9:$G$93,2,FALSE),IF(T194="GROUND",VLOOKUP(W194,'Catalogue Aluminium'!$B$9:$G$93,3,FALSE),IF(T194="DUCT",VLOOKUP(W194,'Catalogue Aluminium'!$B$9:$G$93,4,FALSE),IF(T194="TRENCH",VLOOKUP(W194,'Catalogue Aluminium'!$B$9:$G$93,2,FALSE)))))</f>
        <v>70</v>
      </c>
      <c r="AA194" s="345">
        <f>VLOOKUP(W194,'Catalogue Aluminium'!$B$9:$G$93,5,FALSE)</f>
        <v>2.44</v>
      </c>
      <c r="AB194" s="345">
        <f>VLOOKUP(W194,'Catalogue Aluminium'!$B$9:$G$93,6,FALSE)</f>
        <v>8.1500000000000003E-2</v>
      </c>
      <c r="AC194" s="343">
        <f t="shared" si="1528"/>
        <v>47</v>
      </c>
      <c r="AD194" s="343">
        <v>0</v>
      </c>
      <c r="AE194" s="343">
        <v>10</v>
      </c>
      <c r="AF194" s="343">
        <v>5</v>
      </c>
      <c r="AG194" s="343">
        <f t="shared" ref="AG194:AG195" si="1536">ROUNDUP((SUM(AC194:AF194)*0.1),0)</f>
        <v>7</v>
      </c>
      <c r="AH194" s="347">
        <f t="shared" ref="AH194:AH195" si="1537">SUM(AC194:AG194)</f>
        <v>69</v>
      </c>
      <c r="AI194" s="344">
        <f>IF(T194="AIR",'Catalogue Aluminium'!$K$9,IF(T194="TRENCH",'Catalogue Aluminium'!$K$12,"NA"))</f>
        <v>0.89</v>
      </c>
      <c r="AJ194" s="342">
        <f>IF(T194="Air",(IF(U194="1C",'Catalogue Aluminium'!$L$9,'Catalogue Aluminium'!$M$9)),IF(T194="DUCT",(IF($U194="1C",'Catalogue Aluminium'!$L$10,'Catalogue Aluminium'!$M$10)),IF(T194="GROUND",(IF($U194="1C",'Catalogue Aluminium'!$L$11,'Catalogue Aluminium'!$M$11)),IF(T194="TRENCH",(IF($U194="1C",'Catalogue Aluminium'!$L$12,'Catalogue Aluminium'!$M$12))))))</f>
        <v>0.66</v>
      </c>
      <c r="AK194" s="344" t="str">
        <f>IF(T194="Air",'Catalogue Aluminium'!$N$9,IF(T194="GROUND",'Catalogue Aluminium'!$N$10,IF(T194="DUCT",'Catalogue Aluminium'!$N$11,IF(T194="TRENCH",'Catalogue Aluminium'!$N$12,"NA"))))</f>
        <v>NA</v>
      </c>
      <c r="AL194" s="344" t="str">
        <f>IF(T194="Air",(IF(U194="1C",'Catalogue Aluminium'!$O$9,'Catalogue Aluminium'!$P$9)),IF(T194="DUCT",(IF($U194="1C",'Catalogue Aluminium'!$O$10,'Catalogue Aluminium'!$P$10)),IF(T194="GROUND",(IF($U194="1C",'Catalogue Aluminium'!$O$11,'Catalogue Aluminium'!$P$11)),IF(T194="TRENCH",(IF($U194="1C",'Catalogue Aluminium'!$O$12,'Catalogue Aluminium'!$P$12))))))</f>
        <v>NA</v>
      </c>
      <c r="AM194" s="344" t="str">
        <f>IF(T194="AIR","NA",IF(T194="TRENCH","NA",IF(T194="DUCT",IF(U194="1C",VLOOKUP(V194,'Catalogue Aluminium'!$Q$9:$S$28,2,FALSE),VLOOKUP(V194,'Catalogue Aluminium'!$Q$9:$S$28,3)),IF(T194="GROUND",IF(U194="1C",VLOOKUP(V194,'Catalogue Aluminium'!$Q$9:$S$28,2,FALSE),VLOOKUP(V194,'Catalogue Aluminium'!$Q$9:$S$28,3))))))</f>
        <v>NA</v>
      </c>
      <c r="AN194" s="351">
        <f t="shared" ref="AN194:AN195" si="1538">IF(T194="AIR",AI194*AJ194,IF(T194="TRENCH",AI194*AJ194,IF(T194="DUCT",AJ194*AK194*AL194*AM194,IF(T194="GROUND",AJ194*AK194*AL194*AM194))))</f>
        <v>0.58740000000000003</v>
      </c>
      <c r="AO194" s="350">
        <f t="shared" ref="AO194:AO195" si="1539">Z194*AN194</f>
        <v>41.118000000000002</v>
      </c>
      <c r="AP194" s="349">
        <f t="shared" ref="AP194:AP195" si="1540">CEILING(((N194)/AO194),1)</f>
        <v>1</v>
      </c>
      <c r="AQ194" s="350" t="str">
        <f t="shared" ref="AQ194:AQ195" si="1541">IF(AO194*AP194&gt;=N194,"YES","NO")</f>
        <v>YES</v>
      </c>
      <c r="AR194" s="351">
        <f t="shared" ref="AR194:AR195" si="1542">SQRT(3)*AH194*N194*((AA194*L194)+(AB194*SIN(ACOS(L194))))*100/(AP194*K194*1000)</f>
        <v>2.2947477281472954</v>
      </c>
      <c r="AS194" s="343" t="str">
        <f t="shared" ref="AS194:AS195" si="1543">IF(G194="INCOMER",(IF(AR194&lt;=2,"YES","NO")),IF(G194="POWER",(IF(AR194&lt;=2.5,"YES","NO")),IF(G194="MOTOR",(IF(AR194&lt;=3,"YES","NO")))))</f>
        <v>YES</v>
      </c>
      <c r="AT194" s="351" t="str">
        <f t="shared" si="1470"/>
        <v>NA</v>
      </c>
      <c r="AU194" s="343" t="str">
        <f t="shared" si="1455"/>
        <v>NA</v>
      </c>
      <c r="AV194" s="354" t="str">
        <f t="shared" si="1456"/>
        <v>1R x 0.6/1kV x 3C x 16 Sqmm</v>
      </c>
      <c r="AW194" s="354" t="str">
        <f t="shared" si="1457"/>
        <v>1R x 0.6/1kV x 3C x 16 Sqmm</v>
      </c>
      <c r="AX194" s="343">
        <f t="shared" si="1471"/>
        <v>69</v>
      </c>
      <c r="AY194" s="355"/>
      <c r="AZ194" s="355">
        <f t="shared" si="1472"/>
        <v>2</v>
      </c>
      <c r="BA194" s="356" t="str">
        <f t="shared" si="1458"/>
        <v/>
      </c>
      <c r="BB194" s="501">
        <f>VLOOKUP(W194,'Catalogue Aluminium'!$B$9:$H$93,7,FALSE)</f>
        <v>19</v>
      </c>
      <c r="BC194" s="328">
        <f t="shared" si="1473"/>
        <v>19</v>
      </c>
      <c r="BE194" s="336"/>
      <c r="BF194" s="336"/>
      <c r="BG194" s="336"/>
      <c r="BH194" s="336"/>
      <c r="BI194" s="336"/>
      <c r="BJ194" s="336"/>
      <c r="BK194" s="336"/>
      <c r="BL194" s="336"/>
      <c r="BM194" s="336"/>
      <c r="BN194" s="336"/>
      <c r="BO194" s="336"/>
      <c r="BP194" s="336"/>
      <c r="BQ194" s="336"/>
      <c r="BR194" s="336"/>
      <c r="BS194" s="336"/>
      <c r="BT194" s="336"/>
      <c r="BU194" s="336"/>
      <c r="BV194" s="336"/>
      <c r="BW194" s="336"/>
      <c r="BX194" s="336"/>
      <c r="BY194" s="336"/>
      <c r="BZ194" s="336"/>
      <c r="CA194" s="336"/>
      <c r="CB194" s="336"/>
      <c r="CC194" s="336"/>
      <c r="CD194" s="336"/>
      <c r="CE194" s="336"/>
      <c r="CF194" s="336"/>
      <c r="CG194" s="336"/>
      <c r="CH194" s="336"/>
      <c r="CI194" s="336"/>
      <c r="CJ194" s="336"/>
      <c r="CK194" s="336"/>
      <c r="CL194" s="336"/>
      <c r="CM194" s="336"/>
      <c r="CN194" s="336"/>
      <c r="CO194" s="336"/>
      <c r="CP194" s="336"/>
      <c r="CQ194" s="336"/>
      <c r="CR194" s="336"/>
      <c r="CS194" s="336"/>
      <c r="CT194" s="336"/>
      <c r="CU194" s="336"/>
      <c r="CV194" s="336"/>
      <c r="CW194" s="336"/>
      <c r="CX194" s="336"/>
      <c r="CY194" s="336"/>
      <c r="CZ194" s="336"/>
      <c r="DA194" s="336"/>
      <c r="DB194" s="336"/>
      <c r="DC194" s="336"/>
      <c r="DD194" s="336"/>
      <c r="DE194" s="336"/>
      <c r="DF194" s="336"/>
      <c r="DG194" s="336"/>
      <c r="DH194" s="336"/>
      <c r="DI194" s="336"/>
      <c r="DJ194" s="336"/>
      <c r="DK194" s="336"/>
      <c r="DL194" s="336"/>
      <c r="DM194" s="336"/>
      <c r="DN194" s="336"/>
      <c r="DO194" s="336"/>
      <c r="DP194" s="336"/>
      <c r="DQ194" s="336"/>
      <c r="DR194" s="336"/>
      <c r="DS194" s="336"/>
      <c r="DT194" s="336"/>
      <c r="DU194" s="336"/>
      <c r="DW194" s="336">
        <f t="shared" si="1529"/>
        <v>0</v>
      </c>
      <c r="DX194" s="336">
        <f t="shared" si="1479"/>
        <v>0</v>
      </c>
      <c r="DY194" s="336">
        <f t="shared" si="1480"/>
        <v>0</v>
      </c>
      <c r="DZ194" s="336">
        <f t="shared" si="1481"/>
        <v>0</v>
      </c>
      <c r="EA194" s="336">
        <f t="shared" si="1482"/>
        <v>0</v>
      </c>
      <c r="EB194" s="336">
        <f t="shared" si="1483"/>
        <v>0</v>
      </c>
      <c r="EC194" s="336">
        <f t="shared" si="1484"/>
        <v>0</v>
      </c>
      <c r="ED194" s="336">
        <f t="shared" si="1485"/>
        <v>0</v>
      </c>
      <c r="EE194" s="336">
        <f t="shared" si="1486"/>
        <v>0</v>
      </c>
      <c r="EF194" s="336">
        <f t="shared" si="1487"/>
        <v>0</v>
      </c>
      <c r="EG194" s="336">
        <f t="shared" si="1488"/>
        <v>0</v>
      </c>
      <c r="EH194" s="336">
        <f t="shared" si="1489"/>
        <v>0</v>
      </c>
      <c r="EI194" s="336">
        <f t="shared" si="1490"/>
        <v>0</v>
      </c>
      <c r="EJ194" s="336">
        <f t="shared" si="1491"/>
        <v>0</v>
      </c>
      <c r="EK194" s="336">
        <f t="shared" si="1492"/>
        <v>0</v>
      </c>
      <c r="EL194" s="336">
        <f t="shared" si="1493"/>
        <v>0</v>
      </c>
      <c r="EM194" s="336">
        <f t="shared" si="1494"/>
        <v>0</v>
      </c>
      <c r="EN194" s="336">
        <f t="shared" si="1495"/>
        <v>0</v>
      </c>
      <c r="EO194" s="336">
        <f t="shared" si="1496"/>
        <v>0</v>
      </c>
      <c r="EP194" s="336">
        <f t="shared" si="1497"/>
        <v>0</v>
      </c>
      <c r="EQ194" s="336">
        <f t="shared" si="1498"/>
        <v>0</v>
      </c>
      <c r="ER194" s="336">
        <f t="shared" si="1499"/>
        <v>0</v>
      </c>
      <c r="ES194" s="336">
        <f t="shared" si="1500"/>
        <v>0</v>
      </c>
      <c r="ET194" s="336">
        <f t="shared" si="1500"/>
        <v>0</v>
      </c>
      <c r="EU194" s="336">
        <f t="shared" si="1501"/>
        <v>0</v>
      </c>
      <c r="EV194" s="336">
        <f t="shared" si="1502"/>
        <v>0</v>
      </c>
      <c r="EW194" s="336">
        <f t="shared" si="1503"/>
        <v>0</v>
      </c>
      <c r="EX194" s="336">
        <f t="shared" si="1504"/>
        <v>0</v>
      </c>
      <c r="EY194" s="336">
        <f t="shared" si="1505"/>
        <v>0</v>
      </c>
      <c r="EZ194" s="336">
        <f t="shared" si="1506"/>
        <v>0</v>
      </c>
      <c r="FA194" s="336">
        <f t="shared" si="1507"/>
        <v>0</v>
      </c>
      <c r="FB194" s="336">
        <f t="shared" si="1508"/>
        <v>0</v>
      </c>
      <c r="FC194" s="336">
        <f t="shared" si="1509"/>
        <v>0</v>
      </c>
      <c r="FD194" s="336">
        <f t="shared" si="1510"/>
        <v>0</v>
      </c>
      <c r="FE194" s="336">
        <f t="shared" si="1511"/>
        <v>0</v>
      </c>
      <c r="FF194" s="336">
        <f t="shared" si="1512"/>
        <v>0</v>
      </c>
      <c r="FG194" s="336">
        <f t="shared" si="1513"/>
        <v>0</v>
      </c>
      <c r="FH194" s="336">
        <f t="shared" si="1514"/>
        <v>0</v>
      </c>
      <c r="FI194" s="336">
        <f t="shared" si="1515"/>
        <v>0</v>
      </c>
      <c r="FJ194" s="336">
        <f t="shared" si="1516"/>
        <v>0</v>
      </c>
      <c r="FK194" s="336">
        <f t="shared" si="1517"/>
        <v>0</v>
      </c>
      <c r="FL194" s="336">
        <f t="shared" si="1518"/>
        <v>0</v>
      </c>
      <c r="FM194" s="336">
        <f t="shared" si="1519"/>
        <v>0</v>
      </c>
      <c r="FN194" s="336">
        <f t="shared" si="1520"/>
        <v>0</v>
      </c>
      <c r="FO194" s="336">
        <f t="shared" si="1521"/>
        <v>0</v>
      </c>
      <c r="FP194" s="336">
        <f t="shared" si="1522"/>
        <v>0</v>
      </c>
      <c r="FQ194" s="336">
        <f t="shared" si="1523"/>
        <v>0</v>
      </c>
      <c r="FR194" s="336">
        <f t="shared" si="1524"/>
        <v>0</v>
      </c>
      <c r="FS194" s="336">
        <f t="shared" si="1525"/>
        <v>0</v>
      </c>
      <c r="FT194" s="336">
        <f t="shared" si="1526"/>
        <v>0</v>
      </c>
      <c r="FU194" s="336">
        <f t="shared" si="1474"/>
        <v>0</v>
      </c>
      <c r="FV194" s="336">
        <f t="shared" si="1475"/>
        <v>0</v>
      </c>
      <c r="FW194" s="336">
        <f t="shared" si="1476"/>
        <v>0</v>
      </c>
      <c r="FX194" s="336">
        <f t="shared" si="1477"/>
        <v>0</v>
      </c>
      <c r="FY194" s="336">
        <f t="shared" si="1417"/>
        <v>0</v>
      </c>
      <c r="FZ194" s="336">
        <f t="shared" si="1418"/>
        <v>0</v>
      </c>
      <c r="GA194" s="336">
        <f t="shared" si="1419"/>
        <v>0</v>
      </c>
      <c r="GB194" s="336">
        <f t="shared" si="1420"/>
        <v>0</v>
      </c>
      <c r="GC194" s="336">
        <f t="shared" si="1421"/>
        <v>0</v>
      </c>
      <c r="GD194" s="336">
        <f t="shared" si="1422"/>
        <v>0</v>
      </c>
      <c r="GE194" s="336">
        <f t="shared" si="1423"/>
        <v>0</v>
      </c>
      <c r="GF194" s="336">
        <f t="shared" si="1424"/>
        <v>0</v>
      </c>
      <c r="GG194" s="336">
        <f t="shared" si="1425"/>
        <v>0</v>
      </c>
      <c r="GH194" s="336">
        <f t="shared" si="1426"/>
        <v>0</v>
      </c>
      <c r="GI194" s="336">
        <f t="shared" si="1427"/>
        <v>0</v>
      </c>
      <c r="GJ194" s="336">
        <f t="shared" si="1428"/>
        <v>0</v>
      </c>
      <c r="GK194" s="336">
        <f t="shared" si="1429"/>
        <v>0</v>
      </c>
      <c r="GL194" s="336">
        <f t="shared" si="1478"/>
        <v>0</v>
      </c>
      <c r="GM194" s="336">
        <f t="shared" si="1430"/>
        <v>0</v>
      </c>
    </row>
    <row r="195" spans="1:195" ht="27.75" customHeight="1">
      <c r="A195" s="337">
        <f t="shared" si="1527"/>
        <v>150</v>
      </c>
      <c r="B195" s="453"/>
      <c r="C195" s="372" t="s">
        <v>1315</v>
      </c>
      <c r="D195" s="444" t="s">
        <v>1343</v>
      </c>
      <c r="E195" s="569" t="s">
        <v>1342</v>
      </c>
      <c r="F195" s="500"/>
      <c r="G195" s="337" t="s">
        <v>329</v>
      </c>
      <c r="H195" s="583">
        <v>3.5</v>
      </c>
      <c r="I195" s="337" t="s">
        <v>330</v>
      </c>
      <c r="J195" s="349" t="s">
        <v>357</v>
      </c>
      <c r="K195" s="349">
        <v>230</v>
      </c>
      <c r="L195" s="343">
        <v>0.95</v>
      </c>
      <c r="M195" s="350">
        <v>0.85</v>
      </c>
      <c r="N195" s="342">
        <f t="shared" si="1530"/>
        <v>18.845066630771303</v>
      </c>
      <c r="O195" s="342">
        <f t="shared" si="1531"/>
        <v>0</v>
      </c>
      <c r="P195" s="343" t="str">
        <f t="shared" si="1532"/>
        <v>0.00</v>
      </c>
      <c r="Q195" s="350">
        <v>65</v>
      </c>
      <c r="R195" s="350">
        <v>0</v>
      </c>
      <c r="S195" s="350">
        <f t="shared" si="1533"/>
        <v>0</v>
      </c>
      <c r="T195" s="343" t="s">
        <v>131</v>
      </c>
      <c r="U195" s="350" t="s">
        <v>333</v>
      </c>
      <c r="V195" s="343">
        <v>16</v>
      </c>
      <c r="W195" s="343" t="str">
        <f t="shared" si="1534"/>
        <v>3C X 16</v>
      </c>
      <c r="X195" s="343" t="str">
        <f t="shared" si="1535"/>
        <v>3C X 16</v>
      </c>
      <c r="Y195" s="343" t="s">
        <v>358</v>
      </c>
      <c r="Z195" s="344">
        <f>IF(T195="AIR",VLOOKUP(W195,'Catalogue Aluminium'!$B$9:$G$93,2,FALSE),IF(T195="GROUND",VLOOKUP(W195,'Catalogue Aluminium'!$B$9:$G$93,3,FALSE),IF(T195="DUCT",VLOOKUP(W195,'Catalogue Aluminium'!$B$9:$G$93,4,FALSE),IF(T195="TRENCH",VLOOKUP(W195,'Catalogue Aluminium'!$B$9:$G$93,2,FALSE)))))</f>
        <v>70</v>
      </c>
      <c r="AA195" s="345">
        <f>VLOOKUP(W195,'Catalogue Aluminium'!$B$9:$G$93,5,FALSE)</f>
        <v>2.44</v>
      </c>
      <c r="AB195" s="345">
        <f>VLOOKUP(W195,'Catalogue Aluminium'!$B$9:$G$93,6,FALSE)</f>
        <v>8.1500000000000003E-2</v>
      </c>
      <c r="AC195" s="343">
        <f t="shared" si="1528"/>
        <v>47</v>
      </c>
      <c r="AD195" s="343">
        <v>0</v>
      </c>
      <c r="AE195" s="343">
        <v>10</v>
      </c>
      <c r="AF195" s="343">
        <v>5</v>
      </c>
      <c r="AG195" s="343">
        <f t="shared" si="1536"/>
        <v>7</v>
      </c>
      <c r="AH195" s="347">
        <f t="shared" si="1537"/>
        <v>69</v>
      </c>
      <c r="AI195" s="344">
        <f>IF(T195="AIR",'Catalogue Aluminium'!$K$9,IF(T195="TRENCH",'Catalogue Aluminium'!$K$12,"NA"))</f>
        <v>0.89</v>
      </c>
      <c r="AJ195" s="342">
        <f>IF(T195="Air",(IF(U195="1C",'Catalogue Aluminium'!$L$9,'Catalogue Aluminium'!$M$9)),IF(T195="DUCT",(IF($U195="1C",'Catalogue Aluminium'!$L$10,'Catalogue Aluminium'!$M$10)),IF(T195="GROUND",(IF($U195="1C",'Catalogue Aluminium'!$L$11,'Catalogue Aluminium'!$M$11)),IF(T195="TRENCH",(IF($U195="1C",'Catalogue Aluminium'!$L$12,'Catalogue Aluminium'!$M$12))))))</f>
        <v>0.66</v>
      </c>
      <c r="AK195" s="344" t="str">
        <f>IF(T195="Air",'Catalogue Aluminium'!$N$9,IF(T195="GROUND",'Catalogue Aluminium'!$N$10,IF(T195="DUCT",'Catalogue Aluminium'!$N$11,IF(T195="TRENCH",'Catalogue Aluminium'!$N$12,"NA"))))</f>
        <v>NA</v>
      </c>
      <c r="AL195" s="344" t="str">
        <f>IF(T195="Air",(IF(U195="1C",'Catalogue Aluminium'!$O$9,'Catalogue Aluminium'!$P$9)),IF(T195="DUCT",(IF($U195="1C",'Catalogue Aluminium'!$O$10,'Catalogue Aluminium'!$P$10)),IF(T195="GROUND",(IF($U195="1C",'Catalogue Aluminium'!$O$11,'Catalogue Aluminium'!$P$11)),IF(T195="TRENCH",(IF($U195="1C",'Catalogue Aluminium'!$O$12,'Catalogue Aluminium'!$P$12))))))</f>
        <v>NA</v>
      </c>
      <c r="AM195" s="344" t="str">
        <f>IF(T195="AIR","NA",IF(T195="TRENCH","NA",IF(T195="DUCT",IF(U195="1C",VLOOKUP(V195,'Catalogue Aluminium'!$Q$9:$S$28,2,FALSE),VLOOKUP(V195,'Catalogue Aluminium'!$Q$9:$S$28,3)),IF(T195="GROUND",IF(U195="1C",VLOOKUP(V195,'Catalogue Aluminium'!$Q$9:$S$28,2,FALSE),VLOOKUP(V195,'Catalogue Aluminium'!$Q$9:$S$28,3))))))</f>
        <v>NA</v>
      </c>
      <c r="AN195" s="351">
        <f t="shared" si="1538"/>
        <v>0.58740000000000003</v>
      </c>
      <c r="AO195" s="350">
        <f t="shared" si="1539"/>
        <v>41.118000000000002</v>
      </c>
      <c r="AP195" s="349">
        <f t="shared" si="1540"/>
        <v>1</v>
      </c>
      <c r="AQ195" s="350" t="str">
        <f t="shared" si="1541"/>
        <v>YES</v>
      </c>
      <c r="AR195" s="351">
        <f t="shared" si="1542"/>
        <v>2.2947477281472954</v>
      </c>
      <c r="AS195" s="343" t="str">
        <f t="shared" si="1543"/>
        <v>YES</v>
      </c>
      <c r="AT195" s="351" t="str">
        <f t="shared" si="1470"/>
        <v>NA</v>
      </c>
      <c r="AU195" s="343" t="str">
        <f t="shared" si="1455"/>
        <v>NA</v>
      </c>
      <c r="AV195" s="354" t="str">
        <f t="shared" si="1456"/>
        <v>1R x 0.6/1kV x 3C x 16 Sqmm</v>
      </c>
      <c r="AW195" s="354" t="str">
        <f t="shared" si="1457"/>
        <v>1R x 0.6/1kV x 3C x 16 Sqmm</v>
      </c>
      <c r="AX195" s="343">
        <f t="shared" si="1471"/>
        <v>69</v>
      </c>
      <c r="AY195" s="355"/>
      <c r="AZ195" s="355">
        <f t="shared" si="1472"/>
        <v>2</v>
      </c>
      <c r="BA195" s="356" t="str">
        <f t="shared" si="1458"/>
        <v/>
      </c>
      <c r="BB195" s="501">
        <f>VLOOKUP(W195,'Catalogue Aluminium'!$B$9:$H$93,7,FALSE)</f>
        <v>19</v>
      </c>
      <c r="BC195" s="328">
        <f t="shared" si="1473"/>
        <v>19</v>
      </c>
      <c r="BE195" s="336"/>
      <c r="BF195" s="336"/>
      <c r="BG195" s="336"/>
      <c r="BH195" s="336"/>
      <c r="BI195" s="336"/>
      <c r="BJ195" s="336"/>
      <c r="BK195" s="336"/>
      <c r="BL195" s="336"/>
      <c r="BM195" s="336"/>
      <c r="BN195" s="336"/>
      <c r="BO195" s="336"/>
      <c r="BP195" s="336"/>
      <c r="BQ195" s="336"/>
      <c r="BR195" s="336"/>
      <c r="BS195" s="336"/>
      <c r="BT195" s="336"/>
      <c r="BU195" s="336"/>
      <c r="BV195" s="336"/>
      <c r="BW195" s="336"/>
      <c r="BX195" s="336"/>
      <c r="BY195" s="336"/>
      <c r="BZ195" s="336"/>
      <c r="CA195" s="336"/>
      <c r="CB195" s="336"/>
      <c r="CC195" s="336"/>
      <c r="CD195" s="336"/>
      <c r="CE195" s="336"/>
      <c r="CF195" s="336"/>
      <c r="CG195" s="336"/>
      <c r="CH195" s="336"/>
      <c r="CI195" s="336"/>
      <c r="CJ195" s="336"/>
      <c r="CK195" s="336"/>
      <c r="CL195" s="336"/>
      <c r="CM195" s="336"/>
      <c r="CN195" s="336"/>
      <c r="CO195" s="336"/>
      <c r="CP195" s="336"/>
      <c r="CQ195" s="336"/>
      <c r="CR195" s="336"/>
      <c r="CS195" s="336"/>
      <c r="CT195" s="336"/>
      <c r="CU195" s="336"/>
      <c r="CV195" s="336"/>
      <c r="CW195" s="336"/>
      <c r="CX195" s="336"/>
      <c r="CY195" s="336"/>
      <c r="CZ195" s="336"/>
      <c r="DA195" s="336"/>
      <c r="DB195" s="336"/>
      <c r="DC195" s="336"/>
      <c r="DD195" s="336"/>
      <c r="DE195" s="336"/>
      <c r="DF195" s="336"/>
      <c r="DG195" s="336"/>
      <c r="DH195" s="336"/>
      <c r="DI195" s="336"/>
      <c r="DJ195" s="336"/>
      <c r="DK195" s="336"/>
      <c r="DL195" s="336"/>
      <c r="DM195" s="336"/>
      <c r="DN195" s="336"/>
      <c r="DO195" s="336"/>
      <c r="DP195" s="336"/>
      <c r="DQ195" s="336"/>
      <c r="DR195" s="336"/>
      <c r="DS195" s="336"/>
      <c r="DT195" s="336"/>
      <c r="DU195" s="336"/>
      <c r="DW195" s="336">
        <f t="shared" si="1529"/>
        <v>0</v>
      </c>
      <c r="DX195" s="336">
        <f t="shared" si="1479"/>
        <v>0</v>
      </c>
      <c r="DY195" s="336">
        <f t="shared" si="1480"/>
        <v>0</v>
      </c>
      <c r="DZ195" s="336">
        <f t="shared" si="1481"/>
        <v>0</v>
      </c>
      <c r="EA195" s="336">
        <f t="shared" si="1482"/>
        <v>0</v>
      </c>
      <c r="EB195" s="336">
        <f t="shared" si="1483"/>
        <v>0</v>
      </c>
      <c r="EC195" s="336">
        <f t="shared" si="1484"/>
        <v>0</v>
      </c>
      <c r="ED195" s="336">
        <f t="shared" si="1485"/>
        <v>0</v>
      </c>
      <c r="EE195" s="336">
        <f t="shared" si="1486"/>
        <v>0</v>
      </c>
      <c r="EF195" s="336">
        <f t="shared" si="1487"/>
        <v>0</v>
      </c>
      <c r="EG195" s="336">
        <f t="shared" si="1488"/>
        <v>0</v>
      </c>
      <c r="EH195" s="336">
        <f t="shared" si="1489"/>
        <v>0</v>
      </c>
      <c r="EI195" s="336">
        <f t="shared" si="1490"/>
        <v>0</v>
      </c>
      <c r="EJ195" s="336">
        <f t="shared" si="1491"/>
        <v>0</v>
      </c>
      <c r="EK195" s="336">
        <f t="shared" si="1492"/>
        <v>0</v>
      </c>
      <c r="EL195" s="336">
        <f t="shared" si="1493"/>
        <v>0</v>
      </c>
      <c r="EM195" s="336">
        <f t="shared" si="1494"/>
        <v>0</v>
      </c>
      <c r="EN195" s="336">
        <f t="shared" si="1495"/>
        <v>0</v>
      </c>
      <c r="EO195" s="336">
        <f t="shared" si="1496"/>
        <v>0</v>
      </c>
      <c r="EP195" s="336">
        <f t="shared" si="1497"/>
        <v>0</v>
      </c>
      <c r="EQ195" s="336">
        <f t="shared" si="1498"/>
        <v>0</v>
      </c>
      <c r="ER195" s="336">
        <f t="shared" si="1499"/>
        <v>0</v>
      </c>
      <c r="ES195" s="336">
        <f t="shared" si="1500"/>
        <v>0</v>
      </c>
      <c r="ET195" s="336">
        <f t="shared" si="1500"/>
        <v>0</v>
      </c>
      <c r="EU195" s="336">
        <f t="shared" si="1501"/>
        <v>0</v>
      </c>
      <c r="EV195" s="336">
        <f t="shared" si="1502"/>
        <v>0</v>
      </c>
      <c r="EW195" s="336">
        <f t="shared" si="1503"/>
        <v>0</v>
      </c>
      <c r="EX195" s="336">
        <f t="shared" si="1504"/>
        <v>0</v>
      </c>
      <c r="EY195" s="336">
        <f t="shared" si="1505"/>
        <v>0</v>
      </c>
      <c r="EZ195" s="336">
        <f t="shared" si="1506"/>
        <v>0</v>
      </c>
      <c r="FA195" s="336">
        <f t="shared" si="1507"/>
        <v>0</v>
      </c>
      <c r="FB195" s="336">
        <f t="shared" si="1508"/>
        <v>0</v>
      </c>
      <c r="FC195" s="336">
        <f t="shared" si="1509"/>
        <v>0</v>
      </c>
      <c r="FD195" s="336">
        <f t="shared" si="1510"/>
        <v>0</v>
      </c>
      <c r="FE195" s="336">
        <f t="shared" si="1511"/>
        <v>0</v>
      </c>
      <c r="FF195" s="336">
        <f t="shared" si="1512"/>
        <v>0</v>
      </c>
      <c r="FG195" s="336">
        <f t="shared" si="1513"/>
        <v>0</v>
      </c>
      <c r="FH195" s="336">
        <f t="shared" si="1514"/>
        <v>0</v>
      </c>
      <c r="FI195" s="336">
        <f t="shared" si="1515"/>
        <v>0</v>
      </c>
      <c r="FJ195" s="336">
        <f t="shared" si="1516"/>
        <v>0</v>
      </c>
      <c r="FK195" s="336">
        <f t="shared" si="1517"/>
        <v>0</v>
      </c>
      <c r="FL195" s="336">
        <f t="shared" si="1518"/>
        <v>0</v>
      </c>
      <c r="FM195" s="336">
        <f t="shared" si="1519"/>
        <v>0</v>
      </c>
      <c r="FN195" s="336">
        <f t="shared" si="1520"/>
        <v>0</v>
      </c>
      <c r="FO195" s="336">
        <f t="shared" si="1521"/>
        <v>0</v>
      </c>
      <c r="FP195" s="336">
        <f t="shared" si="1522"/>
        <v>0</v>
      </c>
      <c r="FQ195" s="336">
        <f t="shared" si="1523"/>
        <v>0</v>
      </c>
      <c r="FR195" s="336">
        <f t="shared" si="1524"/>
        <v>0</v>
      </c>
      <c r="FS195" s="336">
        <f t="shared" si="1525"/>
        <v>0</v>
      </c>
      <c r="FT195" s="336">
        <f t="shared" si="1526"/>
        <v>0</v>
      </c>
      <c r="FU195" s="336">
        <f t="shared" si="1474"/>
        <v>0</v>
      </c>
      <c r="FV195" s="336">
        <f t="shared" si="1475"/>
        <v>0</v>
      </c>
      <c r="FW195" s="336">
        <f t="shared" si="1476"/>
        <v>0</v>
      </c>
      <c r="FX195" s="336">
        <f t="shared" si="1477"/>
        <v>0</v>
      </c>
      <c r="FY195" s="336">
        <f t="shared" si="1417"/>
        <v>0</v>
      </c>
      <c r="FZ195" s="336">
        <f t="shared" si="1418"/>
        <v>0</v>
      </c>
      <c r="GA195" s="336">
        <f t="shared" si="1419"/>
        <v>0</v>
      </c>
      <c r="GB195" s="336">
        <f t="shared" si="1420"/>
        <v>0</v>
      </c>
      <c r="GC195" s="336">
        <f t="shared" si="1421"/>
        <v>0</v>
      </c>
      <c r="GD195" s="336">
        <f t="shared" si="1422"/>
        <v>0</v>
      </c>
      <c r="GE195" s="336">
        <f t="shared" si="1423"/>
        <v>0</v>
      </c>
      <c r="GF195" s="336">
        <f t="shared" si="1424"/>
        <v>0</v>
      </c>
      <c r="GG195" s="336">
        <f t="shared" si="1425"/>
        <v>0</v>
      </c>
      <c r="GH195" s="336">
        <f t="shared" si="1426"/>
        <v>0</v>
      </c>
      <c r="GI195" s="336">
        <f t="shared" si="1427"/>
        <v>0</v>
      </c>
      <c r="GJ195" s="336">
        <f t="shared" si="1428"/>
        <v>0</v>
      </c>
      <c r="GK195" s="336">
        <f t="shared" si="1429"/>
        <v>0</v>
      </c>
      <c r="GL195" s="336">
        <f t="shared" si="1478"/>
        <v>0</v>
      </c>
      <c r="GM195" s="336">
        <f t="shared" si="1430"/>
        <v>0</v>
      </c>
    </row>
    <row r="196" spans="1:195" ht="27.75" customHeight="1">
      <c r="A196" s="337">
        <f t="shared" si="1527"/>
        <v>151</v>
      </c>
      <c r="B196" s="453" t="s">
        <v>1176</v>
      </c>
      <c r="C196" s="372" t="str">
        <f>$C$85</f>
        <v>PDB-2</v>
      </c>
      <c r="D196" s="440" t="s">
        <v>1344</v>
      </c>
      <c r="E196" s="569" t="s">
        <v>1178</v>
      </c>
      <c r="F196" s="500"/>
      <c r="G196" s="337" t="s">
        <v>337</v>
      </c>
      <c r="H196" s="350">
        <v>54.673684210526325</v>
      </c>
      <c r="I196" s="337" t="s">
        <v>330</v>
      </c>
      <c r="J196" s="349" t="s">
        <v>331</v>
      </c>
      <c r="K196" s="349">
        <v>400</v>
      </c>
      <c r="L196" s="343">
        <v>0.95</v>
      </c>
      <c r="M196" s="350">
        <v>0.85</v>
      </c>
      <c r="N196" s="342">
        <f t="shared" si="1444"/>
        <v>97.730007025873078</v>
      </c>
      <c r="O196" s="926"/>
      <c r="P196" s="927"/>
      <c r="Q196" s="927"/>
      <c r="R196" s="927"/>
      <c r="S196" s="927"/>
      <c r="T196" s="927"/>
      <c r="U196" s="927"/>
      <c r="V196" s="927"/>
      <c r="W196" s="927"/>
      <c r="X196" s="927"/>
      <c r="Y196" s="927"/>
      <c r="Z196" s="927"/>
      <c r="AA196" s="927"/>
      <c r="AB196" s="927"/>
      <c r="AC196" s="927"/>
      <c r="AD196" s="927"/>
      <c r="AE196" s="927"/>
      <c r="AF196" s="927"/>
      <c r="AG196" s="927"/>
      <c r="AH196" s="927"/>
      <c r="AI196" s="927"/>
      <c r="AJ196" s="927"/>
      <c r="AK196" s="927"/>
      <c r="AL196" s="927"/>
      <c r="AM196" s="927"/>
      <c r="AN196" s="927"/>
      <c r="AO196" s="927"/>
      <c r="AP196" s="927"/>
      <c r="AQ196" s="927"/>
      <c r="AR196" s="927"/>
      <c r="AS196" s="927"/>
      <c r="AT196" s="927"/>
      <c r="AU196" s="927"/>
      <c r="AV196" s="927"/>
      <c r="AW196" s="927"/>
      <c r="AX196" s="927"/>
      <c r="AY196" s="927"/>
      <c r="AZ196" s="927"/>
      <c r="BA196" s="927"/>
      <c r="BB196" s="927"/>
      <c r="BC196" s="1020"/>
      <c r="BE196" s="336"/>
      <c r="BF196" s="336"/>
      <c r="BG196" s="336"/>
      <c r="BH196" s="336"/>
      <c r="BI196" s="336"/>
      <c r="BJ196" s="336"/>
      <c r="BK196" s="336"/>
      <c r="BL196" s="336"/>
      <c r="BM196" s="336"/>
      <c r="BN196" s="336"/>
      <c r="BO196" s="336"/>
      <c r="BP196" s="336"/>
      <c r="BQ196" s="336"/>
      <c r="BR196" s="336"/>
      <c r="BS196" s="336"/>
      <c r="BT196" s="336"/>
      <c r="BU196" s="336"/>
      <c r="BV196" s="336"/>
      <c r="BW196" s="336"/>
      <c r="BX196" s="336"/>
      <c r="BY196" s="336"/>
      <c r="BZ196" s="336"/>
      <c r="CA196" s="336"/>
      <c r="CB196" s="336"/>
      <c r="CC196" s="336"/>
      <c r="CD196" s="336"/>
      <c r="CE196" s="336"/>
      <c r="CF196" s="336"/>
      <c r="CG196" s="336"/>
      <c r="CH196" s="336"/>
      <c r="CI196" s="336"/>
      <c r="CJ196" s="336"/>
      <c r="CK196" s="336"/>
      <c r="CL196" s="336"/>
      <c r="CM196" s="336"/>
      <c r="CN196" s="336"/>
      <c r="CO196" s="336"/>
      <c r="CP196" s="336"/>
      <c r="CQ196" s="336"/>
      <c r="CR196" s="336"/>
      <c r="CS196" s="336"/>
      <c r="CT196" s="336"/>
      <c r="CU196" s="336"/>
      <c r="CV196" s="336"/>
      <c r="CW196" s="336"/>
      <c r="CX196" s="336"/>
      <c r="CY196" s="336"/>
      <c r="CZ196" s="760"/>
      <c r="DA196" s="760"/>
      <c r="DB196" s="760"/>
      <c r="DC196" s="760"/>
      <c r="DD196" s="760"/>
      <c r="DE196" s="760"/>
      <c r="DF196" s="760"/>
      <c r="DG196" s="760"/>
      <c r="DH196" s="760"/>
      <c r="DI196" s="760"/>
      <c r="DJ196" s="760"/>
      <c r="DK196" s="760"/>
      <c r="DL196" s="760"/>
      <c r="DM196" s="760"/>
      <c r="DN196" s="760"/>
      <c r="DO196" s="760"/>
      <c r="DP196" s="760"/>
      <c r="DQ196" s="760"/>
      <c r="DR196" s="760"/>
      <c r="DS196" s="760"/>
      <c r="DT196" s="760"/>
      <c r="DU196" s="760"/>
      <c r="DW196" s="336">
        <f t="shared" si="1529"/>
        <v>0</v>
      </c>
      <c r="DX196" s="336">
        <f t="shared" si="1479"/>
        <v>0</v>
      </c>
      <c r="DY196" s="336">
        <f t="shared" si="1480"/>
        <v>0</v>
      </c>
      <c r="DZ196" s="336">
        <f t="shared" si="1481"/>
        <v>0</v>
      </c>
      <c r="EA196" s="336">
        <f t="shared" si="1482"/>
        <v>0</v>
      </c>
      <c r="EB196" s="336">
        <f t="shared" si="1483"/>
        <v>0</v>
      </c>
      <c r="EC196" s="336">
        <f t="shared" si="1484"/>
        <v>0</v>
      </c>
      <c r="ED196" s="336">
        <f t="shared" si="1485"/>
        <v>0</v>
      </c>
      <c r="EE196" s="336">
        <f t="shared" si="1486"/>
        <v>0</v>
      </c>
      <c r="EF196" s="336">
        <f t="shared" si="1487"/>
        <v>0</v>
      </c>
      <c r="EG196" s="336">
        <f t="shared" si="1488"/>
        <v>0</v>
      </c>
      <c r="EH196" s="336">
        <f t="shared" si="1489"/>
        <v>0</v>
      </c>
      <c r="EI196" s="336">
        <f t="shared" si="1490"/>
        <v>0</v>
      </c>
      <c r="EJ196" s="336">
        <f t="shared" si="1491"/>
        <v>0</v>
      </c>
      <c r="EK196" s="336">
        <f t="shared" si="1492"/>
        <v>0</v>
      </c>
      <c r="EL196" s="336">
        <f t="shared" si="1493"/>
        <v>0</v>
      </c>
      <c r="EM196" s="336">
        <f t="shared" si="1494"/>
        <v>0</v>
      </c>
      <c r="EN196" s="336">
        <f t="shared" si="1495"/>
        <v>0</v>
      </c>
      <c r="EO196" s="336">
        <f t="shared" si="1496"/>
        <v>0</v>
      </c>
      <c r="EP196" s="336">
        <f t="shared" si="1497"/>
        <v>0</v>
      </c>
      <c r="EQ196" s="336">
        <f t="shared" si="1498"/>
        <v>0</v>
      </c>
      <c r="ER196" s="336">
        <f t="shared" si="1499"/>
        <v>0</v>
      </c>
      <c r="ES196" s="336">
        <f t="shared" si="1500"/>
        <v>0</v>
      </c>
      <c r="ET196" s="336">
        <f t="shared" si="1500"/>
        <v>0</v>
      </c>
      <c r="EU196" s="336">
        <f t="shared" si="1501"/>
        <v>0</v>
      </c>
      <c r="EV196" s="336">
        <f t="shared" si="1502"/>
        <v>0</v>
      </c>
      <c r="EW196" s="336">
        <f t="shared" si="1503"/>
        <v>0</v>
      </c>
      <c r="EX196" s="336">
        <f t="shared" si="1504"/>
        <v>0</v>
      </c>
      <c r="EY196" s="336">
        <f t="shared" si="1505"/>
        <v>0</v>
      </c>
      <c r="EZ196" s="336">
        <f t="shared" si="1506"/>
        <v>0</v>
      </c>
      <c r="FA196" s="336">
        <f t="shared" si="1507"/>
        <v>0</v>
      </c>
      <c r="FB196" s="336">
        <f t="shared" si="1508"/>
        <v>0</v>
      </c>
      <c r="FC196" s="336">
        <f t="shared" si="1509"/>
        <v>0</v>
      </c>
      <c r="FD196" s="336">
        <f t="shared" si="1510"/>
        <v>0</v>
      </c>
      <c r="FE196" s="336">
        <f t="shared" si="1511"/>
        <v>0</v>
      </c>
      <c r="FF196" s="336">
        <f t="shared" si="1512"/>
        <v>0</v>
      </c>
      <c r="FG196" s="336">
        <f t="shared" si="1513"/>
        <v>0</v>
      </c>
      <c r="FH196" s="336">
        <f t="shared" si="1514"/>
        <v>0</v>
      </c>
      <c r="FI196" s="336">
        <f t="shared" si="1515"/>
        <v>0</v>
      </c>
      <c r="FJ196" s="336">
        <f t="shared" si="1516"/>
        <v>0</v>
      </c>
      <c r="FK196" s="336">
        <f t="shared" si="1517"/>
        <v>0</v>
      </c>
      <c r="FL196" s="336">
        <f t="shared" si="1518"/>
        <v>0</v>
      </c>
      <c r="FM196" s="336">
        <f t="shared" si="1519"/>
        <v>0</v>
      </c>
      <c r="FN196" s="336">
        <f t="shared" si="1520"/>
        <v>0</v>
      </c>
      <c r="FO196" s="336">
        <f t="shared" si="1521"/>
        <v>0</v>
      </c>
      <c r="FP196" s="336">
        <f t="shared" si="1522"/>
        <v>0</v>
      </c>
      <c r="FQ196" s="336">
        <f t="shared" si="1523"/>
        <v>0</v>
      </c>
      <c r="FR196" s="336">
        <f t="shared" si="1524"/>
        <v>0</v>
      </c>
      <c r="FS196" s="336">
        <f t="shared" si="1525"/>
        <v>0</v>
      </c>
      <c r="FT196" s="336">
        <f t="shared" si="1526"/>
        <v>0</v>
      </c>
      <c r="FU196" s="336">
        <f t="shared" si="1474"/>
        <v>0</v>
      </c>
      <c r="FV196" s="336">
        <f t="shared" si="1475"/>
        <v>0</v>
      </c>
      <c r="FW196" s="336">
        <f t="shared" si="1476"/>
        <v>0</v>
      </c>
      <c r="FX196" s="336">
        <f t="shared" si="1477"/>
        <v>0</v>
      </c>
      <c r="FY196" s="336">
        <f t="shared" si="1417"/>
        <v>0</v>
      </c>
      <c r="FZ196" s="336">
        <f t="shared" si="1418"/>
        <v>0</v>
      </c>
      <c r="GA196" s="336">
        <f t="shared" si="1419"/>
        <v>0</v>
      </c>
      <c r="GB196" s="336">
        <f t="shared" si="1420"/>
        <v>0</v>
      </c>
      <c r="GC196" s="336">
        <f t="shared" si="1421"/>
        <v>0</v>
      </c>
      <c r="GD196" s="336">
        <f t="shared" si="1422"/>
        <v>0</v>
      </c>
      <c r="GE196" s="336">
        <f t="shared" si="1423"/>
        <v>0</v>
      </c>
      <c r="GF196" s="336">
        <f t="shared" si="1424"/>
        <v>0</v>
      </c>
      <c r="GG196" s="336">
        <f t="shared" si="1425"/>
        <v>0</v>
      </c>
      <c r="GH196" s="336">
        <f t="shared" si="1426"/>
        <v>0</v>
      </c>
      <c r="GI196" s="336">
        <f t="shared" si="1427"/>
        <v>0</v>
      </c>
      <c r="GJ196" s="336">
        <f t="shared" si="1428"/>
        <v>0</v>
      </c>
      <c r="GK196" s="336">
        <f t="shared" si="1429"/>
        <v>0</v>
      </c>
      <c r="GL196" s="336">
        <f t="shared" si="1478"/>
        <v>0</v>
      </c>
      <c r="GM196" s="336">
        <f t="shared" si="1430"/>
        <v>0</v>
      </c>
    </row>
    <row r="197" spans="1:195" s="60" customFormat="1" ht="33.75" customHeight="1">
      <c r="A197" s="710"/>
      <c r="B197" s="710"/>
      <c r="C197" s="711"/>
      <c r="D197" s="477" t="s">
        <v>1345</v>
      </c>
      <c r="E197" s="712"/>
      <c r="F197" s="710"/>
      <c r="G197" s="713"/>
      <c r="H197" s="714"/>
      <c r="I197" s="715"/>
      <c r="J197" s="715"/>
      <c r="K197" s="715"/>
      <c r="L197" s="714"/>
      <c r="M197" s="714"/>
      <c r="N197" s="716"/>
      <c r="O197" s="716"/>
      <c r="P197" s="717"/>
      <c r="Q197" s="714"/>
      <c r="R197" s="714"/>
      <c r="S197" s="714"/>
      <c r="T197" s="717"/>
      <c r="U197" s="714"/>
      <c r="V197" s="717"/>
      <c r="W197" s="717"/>
      <c r="X197" s="717"/>
      <c r="Y197" s="717"/>
      <c r="Z197" s="718"/>
      <c r="AA197" s="719"/>
      <c r="AB197" s="719"/>
      <c r="AC197" s="719"/>
      <c r="AD197" s="719"/>
      <c r="AE197" s="719"/>
      <c r="AF197" s="719"/>
      <c r="AG197" s="719"/>
      <c r="AH197" s="719"/>
      <c r="AI197" s="718"/>
      <c r="AJ197" s="716"/>
      <c r="AK197" s="718"/>
      <c r="AL197" s="718"/>
      <c r="AM197" s="718"/>
      <c r="AN197" s="721"/>
      <c r="AO197" s="714"/>
      <c r="AP197" s="722"/>
      <c r="AQ197" s="714"/>
      <c r="AR197" s="721"/>
      <c r="AS197" s="717"/>
      <c r="AT197" s="721"/>
      <c r="AU197" s="721"/>
      <c r="AV197" s="723"/>
      <c r="AW197" s="723"/>
      <c r="AX197" s="717"/>
      <c r="AY197" s="724"/>
      <c r="AZ197" s="724"/>
      <c r="BA197" s="724"/>
      <c r="BB197" s="753"/>
      <c r="BC197" s="754"/>
      <c r="BE197" s="527"/>
      <c r="BF197" s="527"/>
      <c r="BG197" s="527"/>
      <c r="BH197" s="527"/>
      <c r="BI197" s="527"/>
      <c r="BJ197" s="527"/>
      <c r="BK197" s="527"/>
      <c r="BL197" s="527"/>
      <c r="BM197" s="527"/>
      <c r="BN197" s="527"/>
      <c r="BO197" s="527"/>
      <c r="BP197" s="527"/>
      <c r="BQ197" s="527"/>
      <c r="BR197" s="527"/>
      <c r="BS197" s="527"/>
      <c r="BT197" s="527"/>
      <c r="BU197" s="527"/>
      <c r="BV197" s="527"/>
      <c r="BW197" s="527"/>
      <c r="BX197" s="527"/>
      <c r="BY197" s="527"/>
      <c r="BZ197" s="527"/>
      <c r="CA197" s="527"/>
      <c r="CB197" s="527"/>
      <c r="CC197" s="527"/>
      <c r="CD197" s="527"/>
      <c r="CE197" s="527"/>
      <c r="CF197" s="527"/>
      <c r="CG197" s="527"/>
      <c r="CH197" s="527"/>
      <c r="CI197" s="527"/>
      <c r="CJ197" s="527"/>
      <c r="CK197" s="527"/>
      <c r="CL197" s="527"/>
      <c r="CM197" s="527"/>
      <c r="CN197" s="527"/>
      <c r="CO197" s="527"/>
      <c r="CP197" s="527"/>
      <c r="CQ197" s="527"/>
      <c r="CR197" s="527"/>
      <c r="CS197" s="527"/>
      <c r="CT197" s="527"/>
      <c r="CU197" s="527"/>
      <c r="CV197" s="527"/>
      <c r="CW197" s="527"/>
      <c r="CX197" s="527"/>
      <c r="CY197" s="527"/>
      <c r="CZ197" s="760"/>
      <c r="DA197" s="760"/>
      <c r="DB197" s="760"/>
      <c r="DC197" s="760"/>
      <c r="DD197" s="760"/>
      <c r="DE197" s="760"/>
      <c r="DF197" s="760"/>
      <c r="DG197" s="760"/>
      <c r="DH197" s="760"/>
      <c r="DI197" s="760"/>
      <c r="DJ197" s="760"/>
      <c r="DK197" s="760"/>
      <c r="DL197" s="760"/>
      <c r="DM197" s="760"/>
      <c r="DN197" s="760"/>
      <c r="DO197" s="760"/>
      <c r="DP197" s="760"/>
      <c r="DQ197" s="760"/>
      <c r="DR197" s="760"/>
      <c r="DS197" s="760"/>
      <c r="DT197" s="760"/>
      <c r="DU197" s="760"/>
      <c r="DV197" s="61"/>
      <c r="DW197" s="336">
        <f t="shared" si="1529"/>
        <v>0</v>
      </c>
      <c r="DX197" s="336">
        <f t="shared" si="1479"/>
        <v>0</v>
      </c>
      <c r="DY197" s="336">
        <f t="shared" si="1480"/>
        <v>0</v>
      </c>
      <c r="DZ197" s="336">
        <f t="shared" si="1481"/>
        <v>0</v>
      </c>
      <c r="EA197" s="336">
        <f t="shared" si="1482"/>
        <v>0</v>
      </c>
      <c r="EB197" s="336">
        <f t="shared" si="1483"/>
        <v>0</v>
      </c>
      <c r="EC197" s="336">
        <f t="shared" si="1484"/>
        <v>0</v>
      </c>
      <c r="ED197" s="336">
        <f t="shared" si="1485"/>
        <v>0</v>
      </c>
      <c r="EE197" s="336">
        <f t="shared" si="1486"/>
        <v>0</v>
      </c>
      <c r="EF197" s="336">
        <f t="shared" si="1487"/>
        <v>0</v>
      </c>
      <c r="EG197" s="336">
        <f t="shared" si="1488"/>
        <v>0</v>
      </c>
      <c r="EH197" s="336">
        <f t="shared" si="1489"/>
        <v>0</v>
      </c>
      <c r="EI197" s="336">
        <f t="shared" si="1490"/>
        <v>0</v>
      </c>
      <c r="EJ197" s="336">
        <f t="shared" si="1491"/>
        <v>0</v>
      </c>
      <c r="EK197" s="336">
        <f t="shared" si="1492"/>
        <v>0</v>
      </c>
      <c r="EL197" s="336">
        <f t="shared" si="1493"/>
        <v>0</v>
      </c>
      <c r="EM197" s="336">
        <f t="shared" si="1494"/>
        <v>0</v>
      </c>
      <c r="EN197" s="336">
        <f t="shared" si="1495"/>
        <v>0</v>
      </c>
      <c r="EO197" s="336">
        <f t="shared" si="1496"/>
        <v>0</v>
      </c>
      <c r="EP197" s="336">
        <f t="shared" si="1497"/>
        <v>0</v>
      </c>
      <c r="EQ197" s="336">
        <f t="shared" si="1498"/>
        <v>0</v>
      </c>
      <c r="ER197" s="336">
        <f t="shared" si="1499"/>
        <v>0</v>
      </c>
      <c r="ES197" s="336">
        <f t="shared" si="1500"/>
        <v>0</v>
      </c>
      <c r="ET197" s="336">
        <f t="shared" si="1500"/>
        <v>0</v>
      </c>
      <c r="EU197" s="336">
        <f t="shared" si="1501"/>
        <v>0</v>
      </c>
      <c r="EV197" s="336">
        <f t="shared" si="1502"/>
        <v>0</v>
      </c>
      <c r="EW197" s="336">
        <f t="shared" si="1503"/>
        <v>0</v>
      </c>
      <c r="EX197" s="336">
        <f t="shared" si="1504"/>
        <v>0</v>
      </c>
      <c r="EY197" s="336">
        <f t="shared" si="1505"/>
        <v>0</v>
      </c>
      <c r="EZ197" s="336">
        <f t="shared" si="1506"/>
        <v>0</v>
      </c>
      <c r="FA197" s="336">
        <f t="shared" si="1507"/>
        <v>0</v>
      </c>
      <c r="FB197" s="336">
        <f t="shared" si="1508"/>
        <v>0</v>
      </c>
      <c r="FC197" s="336">
        <f t="shared" si="1509"/>
        <v>0</v>
      </c>
      <c r="FD197" s="336">
        <f t="shared" si="1510"/>
        <v>0</v>
      </c>
      <c r="FE197" s="336">
        <f t="shared" si="1511"/>
        <v>0</v>
      </c>
      <c r="FF197" s="336">
        <f t="shared" si="1512"/>
        <v>0</v>
      </c>
      <c r="FG197" s="336">
        <f t="shared" si="1513"/>
        <v>0</v>
      </c>
      <c r="FH197" s="336">
        <f t="shared" si="1514"/>
        <v>0</v>
      </c>
      <c r="FI197" s="336">
        <f t="shared" si="1515"/>
        <v>0</v>
      </c>
      <c r="FJ197" s="336">
        <f t="shared" si="1516"/>
        <v>0</v>
      </c>
      <c r="FK197" s="336">
        <f t="shared" si="1517"/>
        <v>0</v>
      </c>
      <c r="FL197" s="336">
        <f t="shared" si="1518"/>
        <v>0</v>
      </c>
      <c r="FM197" s="336">
        <f t="shared" si="1519"/>
        <v>0</v>
      </c>
      <c r="FN197" s="336">
        <f t="shared" si="1520"/>
        <v>0</v>
      </c>
      <c r="FO197" s="336">
        <f t="shared" si="1521"/>
        <v>0</v>
      </c>
      <c r="FP197" s="336">
        <f t="shared" si="1522"/>
        <v>0</v>
      </c>
      <c r="FQ197" s="336">
        <f t="shared" si="1523"/>
        <v>0</v>
      </c>
      <c r="FR197" s="336">
        <f t="shared" si="1524"/>
        <v>0</v>
      </c>
      <c r="FS197" s="336">
        <f t="shared" si="1525"/>
        <v>0</v>
      </c>
      <c r="FT197" s="336">
        <f t="shared" si="1526"/>
        <v>0</v>
      </c>
      <c r="FU197" s="336">
        <f t="shared" si="1474"/>
        <v>0</v>
      </c>
      <c r="FV197" s="336">
        <f t="shared" si="1475"/>
        <v>0</v>
      </c>
      <c r="FW197" s="336">
        <f t="shared" si="1476"/>
        <v>0</v>
      </c>
      <c r="FX197" s="336">
        <f t="shared" si="1477"/>
        <v>0</v>
      </c>
      <c r="FY197" s="336">
        <f t="shared" si="1417"/>
        <v>0</v>
      </c>
      <c r="FZ197" s="336">
        <f t="shared" si="1418"/>
        <v>0</v>
      </c>
      <c r="GA197" s="336">
        <f t="shared" si="1419"/>
        <v>0</v>
      </c>
      <c r="GB197" s="336">
        <f t="shared" si="1420"/>
        <v>0</v>
      </c>
      <c r="GC197" s="336">
        <f t="shared" si="1421"/>
        <v>0</v>
      </c>
      <c r="GD197" s="336">
        <f t="shared" si="1422"/>
        <v>0</v>
      </c>
      <c r="GE197" s="336">
        <f t="shared" si="1423"/>
        <v>0</v>
      </c>
      <c r="GF197" s="336">
        <f t="shared" si="1424"/>
        <v>0</v>
      </c>
      <c r="GG197" s="336">
        <f t="shared" si="1425"/>
        <v>0</v>
      </c>
      <c r="GH197" s="336">
        <f t="shared" si="1426"/>
        <v>0</v>
      </c>
      <c r="GI197" s="336">
        <f t="shared" si="1427"/>
        <v>0</v>
      </c>
      <c r="GJ197" s="336">
        <f t="shared" si="1428"/>
        <v>0</v>
      </c>
      <c r="GK197" s="336">
        <f t="shared" si="1429"/>
        <v>0</v>
      </c>
      <c r="GL197" s="336">
        <f t="shared" si="1478"/>
        <v>0</v>
      </c>
      <c r="GM197" s="336">
        <f t="shared" si="1430"/>
        <v>0</v>
      </c>
    </row>
    <row r="198" spans="1:195" ht="27.75" customHeight="1">
      <c r="A198" s="337">
        <f>A196+1</f>
        <v>152</v>
      </c>
      <c r="B198" s="453"/>
      <c r="C198" s="372" t="str">
        <f>$D$197</f>
        <v>ADMIN BUILDING HVAC DB</v>
      </c>
      <c r="D198" s="444" t="s">
        <v>1346</v>
      </c>
      <c r="E198" s="567" t="s">
        <v>1342</v>
      </c>
      <c r="F198" s="444"/>
      <c r="G198" s="337" t="s">
        <v>329</v>
      </c>
      <c r="H198" s="350">
        <v>1.5</v>
      </c>
      <c r="I198" s="337" t="s">
        <v>330</v>
      </c>
      <c r="J198" s="337" t="s">
        <v>331</v>
      </c>
      <c r="K198" s="526">
        <v>400</v>
      </c>
      <c r="L198" s="343">
        <v>0.95</v>
      </c>
      <c r="M198" s="350">
        <v>0.85</v>
      </c>
      <c r="N198" s="342">
        <f t="shared" si="1444"/>
        <v>2.681271852365597</v>
      </c>
      <c r="O198" s="342">
        <f t="shared" ref="O198" si="1544">IF(G198="MOTOR",(6*N198),IF(G198="VFD",(1*N198),0))</f>
        <v>0</v>
      </c>
      <c r="P198" s="343" t="str">
        <f t="shared" si="1446"/>
        <v>0.00</v>
      </c>
      <c r="Q198" s="350">
        <v>65</v>
      </c>
      <c r="R198" s="350">
        <v>0</v>
      </c>
      <c r="S198" s="350">
        <f t="shared" si="1447"/>
        <v>0</v>
      </c>
      <c r="T198" s="343" t="s">
        <v>131</v>
      </c>
      <c r="U198" s="350" t="s">
        <v>522</v>
      </c>
      <c r="V198" s="343">
        <v>4</v>
      </c>
      <c r="W198" s="343" t="str">
        <f t="shared" si="1448"/>
        <v>4C X 4</v>
      </c>
      <c r="X198" s="343" t="str">
        <f t="shared" ref="X198:X211" si="1545">(IF(J198="1Ph",W198,IF(J198="3Ph",(IF(G198="MOTOR",(CONCATENATE(W198,"+PE")),W198)))))</f>
        <v>4C X 4</v>
      </c>
      <c r="Y198" s="343" t="s">
        <v>358</v>
      </c>
      <c r="Z198" s="344">
        <f>IF(T198="AIR",VLOOKUP(W198,'Catalogue Aluminium'!$B$9:$G$93,2,FALSE),IF(T198="GROUND",VLOOKUP(W198,'Catalogue Aluminium'!$B$9:$G$93,3,FALSE),IF(T198="DUCT",VLOOKUP(W198,'Catalogue Aluminium'!$B$9:$G$93,4,FALSE),IF(T198="TRENCH",VLOOKUP(W198,'Catalogue Aluminium'!$B$9:$G$93,2,FALSE)))))</f>
        <v>38</v>
      </c>
      <c r="AA198" s="345">
        <f>VLOOKUP(W198,'Catalogue Aluminium'!$B$9:$G$93,5,FALSE)</f>
        <v>5.9</v>
      </c>
      <c r="AB198" s="345">
        <f>VLOOKUP(W198,'Catalogue Aluminium'!$B$9:$G$93,6,FALSE)</f>
        <v>9.4700000000000006E-2</v>
      </c>
      <c r="AC198" s="343">
        <f>12+20</f>
        <v>32</v>
      </c>
      <c r="AD198" s="343">
        <v>0</v>
      </c>
      <c r="AE198" s="343">
        <v>10</v>
      </c>
      <c r="AF198" s="343">
        <v>5</v>
      </c>
      <c r="AG198" s="343">
        <f t="shared" si="1462"/>
        <v>5</v>
      </c>
      <c r="AH198" s="347">
        <f t="shared" ref="AH198:AH211" si="1546">SUM(AC198:AG198)</f>
        <v>52</v>
      </c>
      <c r="AI198" s="344">
        <f>IF(T198="AIR",'Catalogue Aluminium'!$K$9,IF(T198="TRENCH",'Catalogue Aluminium'!$K$12,"NA"))</f>
        <v>0.89</v>
      </c>
      <c r="AJ198" s="342">
        <f>IF(T198="Air",(IF(U198="1C",'Catalogue Aluminium'!$L$9,'Catalogue Aluminium'!$M$9)),IF(T198="DUCT",(IF($U198="1C",'Catalogue Aluminium'!$L$10,'Catalogue Aluminium'!$M$10)),IF(T198="GROUND",(IF($U198="1C",'Catalogue Aluminium'!$L$11,'Catalogue Aluminium'!$M$11)),IF(T198="TRENCH",(IF($U198="1C",'Catalogue Aluminium'!$L$12,'Catalogue Aluminium'!$M$12))))))</f>
        <v>0.66</v>
      </c>
      <c r="AK198" s="344" t="str">
        <f>IF(T198="Air",'Catalogue Aluminium'!$N$9,IF(T198="GROUND",'Catalogue Aluminium'!$N$10,IF(T198="DUCT",'Catalogue Aluminium'!$N$11,IF(T198="TRENCH",'Catalogue Aluminium'!$N$12,"NA"))))</f>
        <v>NA</v>
      </c>
      <c r="AL198" s="344" t="str">
        <f>IF(T198="Air",(IF(U198="1C",'Catalogue Aluminium'!$O$9,'Catalogue Aluminium'!$P$9)),IF(T198="DUCT",(IF($U198="1C",'Catalogue Aluminium'!$O$10,'Catalogue Aluminium'!$P$10)),IF(T198="GROUND",(IF($U198="1C",'Catalogue Aluminium'!$O$11,'Catalogue Aluminium'!$P$11)),IF(T198="TRENCH",(IF($U198="1C",'Catalogue Aluminium'!$O$12,'Catalogue Aluminium'!$P$12))))))</f>
        <v>NA</v>
      </c>
      <c r="AM198" s="344" t="str">
        <f>IF(T198="AIR","NA",IF(T198="TRENCH","NA",IF(T198="DUCT",IF(U198="1C",VLOOKUP(V198,'Catalogue Aluminium'!$Q$9:$S$28,2,FALSE),VLOOKUP(V198,'Catalogue Aluminium'!$Q$9:$S$28,3)),IF(T198="GROUND",IF(U198="1C",VLOOKUP(V198,'Catalogue Aluminium'!$Q$9:$S$28,2,FALSE),VLOOKUP(V198,'Catalogue Aluminium'!$Q$9:$S$28,3))))))</f>
        <v>NA</v>
      </c>
      <c r="AN198" s="351">
        <f t="shared" ref="AN198:AN211" si="1547">IF(T198="AIR",AI198*AJ198,IF(T198="TRENCH",AI198*AJ198,IF(T198="DUCT",AJ198*AK198*AL198*AM198,IF(T198="GROUND",AJ198*AK198*AL198*AM198))))</f>
        <v>0.58740000000000003</v>
      </c>
      <c r="AO198" s="350">
        <f t="shared" ref="AO198:AO211" si="1548">Z198*AN198</f>
        <v>22.321200000000001</v>
      </c>
      <c r="AP198" s="349">
        <f t="shared" ref="AP198:AP211" si="1549">CEILING(((N198)/AO198),1)</f>
        <v>1</v>
      </c>
      <c r="AQ198" s="350" t="str">
        <f t="shared" ref="AQ198:AQ211" si="1550">IF(AO198*AP198&gt;=N198,"YES","NO")</f>
        <v>YES</v>
      </c>
      <c r="AR198" s="351">
        <f t="shared" si="1463"/>
        <v>0.34017752134236035</v>
      </c>
      <c r="AS198" s="343" t="str">
        <f t="shared" si="1464"/>
        <v>YES</v>
      </c>
      <c r="AT198" s="351" t="str">
        <f t="shared" ref="AT198:AT212" si="1551">IF(G198="MOTOR",(SQRT(3)*AH198*O198*((AA198*P198)+(AB198*SIN(ACOS(P198))))*100/(AP198*K198*1000)),"NA")</f>
        <v>NA</v>
      </c>
      <c r="AU198" s="343" t="str">
        <f t="shared" ref="AU198:AU212" si="1552">IF(G198="MOTOR",IF(AT198&lt;=15,"YES","NO"),"NA")</f>
        <v>NA</v>
      </c>
      <c r="AV198" s="354" t="str">
        <f t="shared" ref="AV198:AV212" si="1553">IF(U198="1C",CONCATENATE(AP198,"R x ",Y198,"kV x ",U198," x ",V198," Sqmm/Phase"),CONCATENATE(AP198,"R x ",0.6,"/1kV x ",U198," x ",V198," Sqmm"))</f>
        <v>1R x 0.6/1kV x 4C x 4 Sqmm</v>
      </c>
      <c r="AW198" s="354" t="str">
        <f t="shared" ref="AW198:AW212" si="1554">IF(U198="1C",CONCATENATE(AP198,"R x ",Y198,"kV x ",U198," x ",V198," Sqmm/Phase"),CONCATENATE(AP198,"R x ",0.6,"/1kV x ",U198," x ",V198,(IF(G198="MOTOR","+PE",""))," Sqmm"))</f>
        <v>1R x 0.6/1kV x 4C x 4 Sqmm</v>
      </c>
      <c r="AX198" s="343">
        <f t="shared" ref="AX198:AX212" si="1555">(IF(K198=400,(IF(U198="1C",(4*AH198*AP198),(AH198*AP198))),IF(K198=230,(AH198*AP198))))</f>
        <v>52</v>
      </c>
      <c r="AY198" s="355"/>
      <c r="AZ198" s="355">
        <f t="shared" ref="AZ198:AZ212" si="1556">IF(U198="1C",(3*AP198*2),(AP198*2))</f>
        <v>2</v>
      </c>
      <c r="BA198" s="356" t="str">
        <f t="shared" ref="BA198:BA212" si="1557">CONCATENATE(IF(BE198=1,BE$4,""),IF(BF198=1,BF$4,""),IF(BG198=1,BG$4,""),IF(BH198=1,BH$4,""),IF(BI198=1,BI$4,""),IF(BJ198=1,BJ$4,""),IF(BK198=1,BK$4,""),IF(BL198=1,BL$4,""),IF(BM198=1,BM$4,""),IF(BN198=1,BN$4,""),IF(BO198=1,BO$4,""),IF(BP198=1,BP$4,""),IF(BQ198=1,BQ$4,""),IF(BR198=1,BR$4,""),IF(BS198=1,BS$4,""),IF(BT198=1,BT$4,""),IF(BU198=1,BU$4,""),IF(BV198=1,BV$4,""),IF(BW198=1,BW$4,""),IF(BX198=1,BX$4,""),IF(BY198=1,BY$4,""),IF(BZ198=1,BZ$4,""),IF(CA198=1,CA$4,""),IF(CB198=1,CB$4,""),IF(CC198=1,CC$4,""),IF(CD198=1,CD$4,""),IF(CE198=1,CE$4,""),IF(CF198=1,CF$4,""),IF(CG198=1,CG$4,""),IF(CH198=1,CH$4,""),IF(CI198=1,CI$4,""),IF(CJ198=1,CJ$4,""),IF(CK198=1,CK$4,""),IF(CL198=1,CL$4,""),IF(CM198=1,CM$4,""),IF(CN198=1,CN$4,""),IF(CO198=1,CO$4,""),IF(CP198=1,CP$4,""),IF(CQ198=1,CQ$4,""),IF(CR198=1,CR$4,""),IF(CS198=1,CS$4,""),IF(CT198=1,CT$4,""),IF(CU198=1,CU$4,""),IF(CV198=1,CV$4,""),IF(CW198=1,CW$4,""),IF(CX198=1,CX$4,""),IF(CY198=1,CY$4,""),IF(CZ198=1,CZ$4,""),IF(DA198=1,DA$4,""),IF(DB198=1,DB$4,""),IF(DC198=1,DC$4,""),IF(DD198=1,DD$4,""),IF(DE198=1,DE$4,""),IF(DF198=1,DF$4,""),IF(DG198=1,DG$4,""),IF(DH198=1,DH$4,""),IF(DI198=1,DI$4,""),IF(DJ198=1,DJ$4,""),IF(DK198=1,DK$4,""),IF(DL198=1,DL$4,""),IF(DM198=1,DM$4,""),IF(DN198=1,DN$4,""),IF(DO198=1,DO$4,""),IF(DP198=1,DP$4,""),IF(DQ198=1,DQ$4,""),IF(DR198=1,DR$4,""),IF(DS198=1,DS$4,""),IF(DT198=1,DT$4,""),IF(DU198=1,DU$4,""))</f>
        <v/>
      </c>
      <c r="BB198" s="501">
        <f>VLOOKUP(W198,'Catalogue Aluminium'!$B$9:$H$93,7,FALSE)</f>
        <v>16</v>
      </c>
      <c r="BC198" s="328">
        <f t="shared" ref="BC198:BC212" si="1558">AP198*BB198</f>
        <v>16</v>
      </c>
      <c r="BE198" s="527"/>
      <c r="BF198" s="527"/>
      <c r="BG198" s="527"/>
      <c r="BH198" s="527"/>
      <c r="BI198" s="527"/>
      <c r="BJ198" s="527"/>
      <c r="BK198" s="527"/>
      <c r="BL198" s="527"/>
      <c r="BM198" s="527"/>
      <c r="BN198" s="527"/>
      <c r="BO198" s="527"/>
      <c r="BP198" s="527"/>
      <c r="BQ198" s="527"/>
      <c r="BR198" s="527"/>
      <c r="BS198" s="527"/>
      <c r="BT198" s="527"/>
      <c r="BU198" s="527"/>
      <c r="BV198" s="527"/>
      <c r="BW198" s="527"/>
      <c r="BX198" s="527"/>
      <c r="BY198" s="527"/>
      <c r="BZ198" s="527"/>
      <c r="CA198" s="527"/>
      <c r="CB198" s="527"/>
      <c r="CC198" s="527"/>
      <c r="CD198" s="527"/>
      <c r="CE198" s="527"/>
      <c r="CF198" s="527"/>
      <c r="CG198" s="527"/>
      <c r="CH198" s="527"/>
      <c r="CI198" s="527"/>
      <c r="CJ198" s="527"/>
      <c r="CK198" s="527"/>
      <c r="CL198" s="527"/>
      <c r="CM198" s="527"/>
      <c r="CN198" s="527"/>
      <c r="CO198" s="527"/>
      <c r="CP198" s="527"/>
      <c r="CQ198" s="527"/>
      <c r="CR198" s="527"/>
      <c r="CS198" s="527"/>
      <c r="CT198" s="527"/>
      <c r="CU198" s="527"/>
      <c r="CV198" s="527"/>
      <c r="CW198" s="527"/>
      <c r="CX198" s="527"/>
      <c r="CY198" s="527"/>
      <c r="CZ198" s="336"/>
      <c r="DA198" s="336"/>
      <c r="DB198" s="336"/>
      <c r="DC198" s="336"/>
      <c r="DD198" s="336"/>
      <c r="DE198" s="336"/>
      <c r="DF198" s="336"/>
      <c r="DG198" s="336"/>
      <c r="DH198" s="336"/>
      <c r="DI198" s="336"/>
      <c r="DJ198" s="336"/>
      <c r="DK198" s="336"/>
      <c r="DL198" s="336"/>
      <c r="DM198" s="336"/>
      <c r="DN198" s="336"/>
      <c r="DO198" s="336"/>
      <c r="DP198" s="336"/>
      <c r="DQ198" s="336"/>
      <c r="DR198" s="336"/>
      <c r="DS198" s="336"/>
      <c r="DT198" s="336"/>
      <c r="DU198" s="336"/>
      <c r="DW198" s="336">
        <f t="shared" si="1529"/>
        <v>0</v>
      </c>
      <c r="DX198" s="336">
        <f t="shared" si="1479"/>
        <v>0</v>
      </c>
      <c r="DY198" s="336">
        <f t="shared" si="1480"/>
        <v>0</v>
      </c>
      <c r="DZ198" s="336">
        <f t="shared" si="1481"/>
        <v>0</v>
      </c>
      <c r="EA198" s="336">
        <f t="shared" si="1482"/>
        <v>0</v>
      </c>
      <c r="EB198" s="336">
        <f t="shared" si="1483"/>
        <v>0</v>
      </c>
      <c r="EC198" s="336">
        <f t="shared" si="1484"/>
        <v>0</v>
      </c>
      <c r="ED198" s="336">
        <f t="shared" si="1485"/>
        <v>0</v>
      </c>
      <c r="EE198" s="336">
        <f t="shared" si="1486"/>
        <v>0</v>
      </c>
      <c r="EF198" s="336">
        <f t="shared" si="1487"/>
        <v>0</v>
      </c>
      <c r="EG198" s="336">
        <f t="shared" si="1488"/>
        <v>0</v>
      </c>
      <c r="EH198" s="336">
        <f t="shared" si="1489"/>
        <v>0</v>
      </c>
      <c r="EI198" s="336">
        <f t="shared" si="1490"/>
        <v>0</v>
      </c>
      <c r="EJ198" s="336">
        <f t="shared" si="1491"/>
        <v>0</v>
      </c>
      <c r="EK198" s="336">
        <f t="shared" si="1492"/>
        <v>0</v>
      </c>
      <c r="EL198" s="336">
        <f t="shared" si="1493"/>
        <v>0</v>
      </c>
      <c r="EM198" s="336">
        <f t="shared" si="1494"/>
        <v>0</v>
      </c>
      <c r="EN198" s="336">
        <f t="shared" si="1495"/>
        <v>0</v>
      </c>
      <c r="EO198" s="336">
        <f t="shared" si="1496"/>
        <v>0</v>
      </c>
      <c r="EP198" s="336">
        <f t="shared" si="1497"/>
        <v>0</v>
      </c>
      <c r="EQ198" s="336">
        <f t="shared" si="1498"/>
        <v>0</v>
      </c>
      <c r="ER198" s="336">
        <f t="shared" si="1499"/>
        <v>0</v>
      </c>
      <c r="ES198" s="336">
        <f t="shared" si="1500"/>
        <v>0</v>
      </c>
      <c r="ET198" s="336">
        <f t="shared" si="1500"/>
        <v>0</v>
      </c>
      <c r="EU198" s="336">
        <f t="shared" si="1501"/>
        <v>0</v>
      </c>
      <c r="EV198" s="336">
        <f t="shared" si="1502"/>
        <v>0</v>
      </c>
      <c r="EW198" s="336">
        <f t="shared" si="1503"/>
        <v>0</v>
      </c>
      <c r="EX198" s="336">
        <f t="shared" si="1504"/>
        <v>0</v>
      </c>
      <c r="EY198" s="336">
        <f t="shared" si="1505"/>
        <v>0</v>
      </c>
      <c r="EZ198" s="336">
        <f t="shared" si="1506"/>
        <v>0</v>
      </c>
      <c r="FA198" s="336">
        <f t="shared" si="1507"/>
        <v>0</v>
      </c>
      <c r="FB198" s="336">
        <f t="shared" si="1508"/>
        <v>0</v>
      </c>
      <c r="FC198" s="336">
        <f t="shared" si="1509"/>
        <v>0</v>
      </c>
      <c r="FD198" s="336">
        <f t="shared" si="1510"/>
        <v>0</v>
      </c>
      <c r="FE198" s="336">
        <f t="shared" si="1511"/>
        <v>0</v>
      </c>
      <c r="FF198" s="336">
        <f t="shared" si="1512"/>
        <v>0</v>
      </c>
      <c r="FG198" s="336">
        <f t="shared" si="1513"/>
        <v>0</v>
      </c>
      <c r="FH198" s="336">
        <f t="shared" si="1514"/>
        <v>0</v>
      </c>
      <c r="FI198" s="336">
        <f t="shared" si="1515"/>
        <v>0</v>
      </c>
      <c r="FJ198" s="336">
        <f t="shared" si="1516"/>
        <v>0</v>
      </c>
      <c r="FK198" s="336">
        <f t="shared" si="1517"/>
        <v>0</v>
      </c>
      <c r="FL198" s="336">
        <f t="shared" si="1518"/>
        <v>0</v>
      </c>
      <c r="FM198" s="336">
        <f t="shared" si="1519"/>
        <v>0</v>
      </c>
      <c r="FN198" s="336">
        <f t="shared" si="1520"/>
        <v>0</v>
      </c>
      <c r="FO198" s="336">
        <f t="shared" si="1521"/>
        <v>0</v>
      </c>
      <c r="FP198" s="336">
        <f t="shared" si="1522"/>
        <v>0</v>
      </c>
      <c r="FQ198" s="336">
        <f t="shared" si="1523"/>
        <v>0</v>
      </c>
      <c r="FR198" s="336">
        <f t="shared" si="1524"/>
        <v>0</v>
      </c>
      <c r="FS198" s="336">
        <f t="shared" si="1525"/>
        <v>0</v>
      </c>
      <c r="FT198" s="336">
        <f t="shared" si="1526"/>
        <v>0</v>
      </c>
      <c r="FU198" s="336">
        <f t="shared" si="1474"/>
        <v>0</v>
      </c>
      <c r="FV198" s="336">
        <f t="shared" si="1475"/>
        <v>0</v>
      </c>
      <c r="FW198" s="336">
        <f t="shared" si="1476"/>
        <v>0</v>
      </c>
      <c r="FX198" s="336">
        <f t="shared" si="1477"/>
        <v>0</v>
      </c>
      <c r="FY198" s="336">
        <f t="shared" ref="FY198:FY236" si="1559">IF(DG198=1,($BC198*DG198),0)</f>
        <v>0</v>
      </c>
      <c r="FZ198" s="336">
        <f t="shared" ref="FZ198:FZ236" si="1560">IF(DH198=1,($BC198*DH198),0)</f>
        <v>0</v>
      </c>
      <c r="GA198" s="336">
        <f t="shared" ref="GA198:GA236" si="1561">IF(DI198=1,($BC198*DI198),0)</f>
        <v>0</v>
      </c>
      <c r="GB198" s="336">
        <f t="shared" ref="GB198:GB236" si="1562">IF(DJ198=1,($BC198*DJ198),0)</f>
        <v>0</v>
      </c>
      <c r="GC198" s="336">
        <f t="shared" ref="GC198:GC236" si="1563">IF(DK198=1,($BC198*DK198),0)</f>
        <v>0</v>
      </c>
      <c r="GD198" s="336">
        <f t="shared" ref="GD198:GD236" si="1564">IF(DL198=1,($BC198*DL198),0)</f>
        <v>0</v>
      </c>
      <c r="GE198" s="336">
        <f t="shared" ref="GE198:GE236" si="1565">IF(DM198=1,($BC198*DM198),0)</f>
        <v>0</v>
      </c>
      <c r="GF198" s="336">
        <f t="shared" ref="GF198:GF236" si="1566">IF(DN198=1,($BC198*DN198),0)</f>
        <v>0</v>
      </c>
      <c r="GG198" s="336">
        <f t="shared" ref="GG198:GG236" si="1567">IF(DO198=1,($BC198*DO198),0)</f>
        <v>0</v>
      </c>
      <c r="GH198" s="336">
        <f t="shared" ref="GH198:GH236" si="1568">IF(DP198=1,($BC198*DP198),0)</f>
        <v>0</v>
      </c>
      <c r="GI198" s="336">
        <f t="shared" ref="GI198:GI236" si="1569">IF(DQ198=1,($BC198*DQ198),0)</f>
        <v>0</v>
      </c>
      <c r="GJ198" s="336">
        <f t="shared" ref="GJ198:GJ236" si="1570">IF(DR198=1,($BC198*DR198),0)</f>
        <v>0</v>
      </c>
      <c r="GK198" s="336">
        <f t="shared" ref="GK198:GK236" si="1571">IF(DS198=1,($BC198*DS198),0)</f>
        <v>0</v>
      </c>
      <c r="GL198" s="336">
        <f t="shared" si="1478"/>
        <v>0</v>
      </c>
      <c r="GM198" s="336">
        <f t="shared" ref="GM198:GM236" si="1572">IF(DU198=1,($BC198*DU198),0)</f>
        <v>0</v>
      </c>
    </row>
    <row r="199" spans="1:195" ht="27.75" customHeight="1">
      <c r="A199" s="337">
        <f>A198+1</f>
        <v>153</v>
      </c>
      <c r="B199" s="453"/>
      <c r="C199" s="372" t="str">
        <f t="shared" ref="C199:C211" si="1573">$D$197</f>
        <v>ADMIN BUILDING HVAC DB</v>
      </c>
      <c r="D199" s="444" t="s">
        <v>907</v>
      </c>
      <c r="E199" s="440" t="s">
        <v>1342</v>
      </c>
      <c r="F199" s="444"/>
      <c r="G199" s="337" t="s">
        <v>329</v>
      </c>
      <c r="H199" s="350">
        <v>3.5</v>
      </c>
      <c r="I199" s="337" t="s">
        <v>330</v>
      </c>
      <c r="J199" s="337" t="s">
        <v>331</v>
      </c>
      <c r="K199" s="526">
        <v>400</v>
      </c>
      <c r="L199" s="343">
        <v>0.95</v>
      </c>
      <c r="M199" s="350">
        <v>0.85</v>
      </c>
      <c r="N199" s="342">
        <f t="shared" ref="N199:N204" si="1574">IF(I199="kVA",IF(J199="3Ph",(H199*1000/(1.732*M199*K199)),(H199*1000/(M199*K199))),IF(I199="kW",IF(J199="3Ph",(H199*1000/(1.732*M199*K199*L199)),(H199*1000/(M199*K199*L199)))))</f>
        <v>6.2563009888530603</v>
      </c>
      <c r="O199" s="342">
        <f t="shared" ref="O199:O204" si="1575">IF(G199="MOTOR",(6*N199),IF(G199="VFD",(1*N199),0))</f>
        <v>0</v>
      </c>
      <c r="P199" s="343" t="str">
        <f t="shared" ref="P199:P204" si="1576">IF(G199="MOTOR",0.2,"0.00")</f>
        <v>0.00</v>
      </c>
      <c r="Q199" s="350">
        <v>65</v>
      </c>
      <c r="R199" s="350">
        <v>0</v>
      </c>
      <c r="S199" s="350">
        <f t="shared" si="1447"/>
        <v>0</v>
      </c>
      <c r="T199" s="343" t="s">
        <v>131</v>
      </c>
      <c r="U199" s="350" t="s">
        <v>522</v>
      </c>
      <c r="V199" s="343">
        <v>4</v>
      </c>
      <c r="W199" s="343" t="str">
        <f t="shared" si="1448"/>
        <v>4C X 4</v>
      </c>
      <c r="X199" s="343" t="str">
        <f t="shared" si="1545"/>
        <v>4C X 4</v>
      </c>
      <c r="Y199" s="343" t="s">
        <v>358</v>
      </c>
      <c r="Z199" s="344">
        <f>IF(T199="AIR",VLOOKUP(W199,'Catalogue Aluminium'!$B$9:$G$93,2,FALSE),IF(T199="GROUND",VLOOKUP(W199,'Catalogue Aluminium'!$B$9:$G$93,3,FALSE),IF(T199="DUCT",VLOOKUP(W199,'Catalogue Aluminium'!$B$9:$G$93,4,FALSE),IF(T199="TRENCH",VLOOKUP(W199,'Catalogue Aluminium'!$B$9:$G$93,2,FALSE)))))</f>
        <v>38</v>
      </c>
      <c r="AA199" s="345">
        <f>VLOOKUP(W199,'Catalogue Aluminium'!$B$9:$G$93,5,FALSE)</f>
        <v>5.9</v>
      </c>
      <c r="AB199" s="345">
        <f>VLOOKUP(W199,'Catalogue Aluminium'!$B$9:$G$93,6,FALSE)</f>
        <v>9.4700000000000006E-2</v>
      </c>
      <c r="AC199" s="343">
        <f t="shared" ref="AC199:AC212" si="1577">12+20</f>
        <v>32</v>
      </c>
      <c r="AD199" s="343">
        <v>0</v>
      </c>
      <c r="AE199" s="343">
        <v>10</v>
      </c>
      <c r="AF199" s="343">
        <v>5</v>
      </c>
      <c r="AG199" s="343">
        <f t="shared" si="1462"/>
        <v>5</v>
      </c>
      <c r="AH199" s="347">
        <f t="shared" si="1546"/>
        <v>52</v>
      </c>
      <c r="AI199" s="344">
        <f>IF(T199="AIR",'Catalogue Aluminium'!$K$9,IF(T199="TRENCH",'Catalogue Aluminium'!$K$12,"NA"))</f>
        <v>0.89</v>
      </c>
      <c r="AJ199" s="342">
        <f>IF(T199="Air",(IF(U199="1C",'Catalogue Aluminium'!$L$9,'Catalogue Aluminium'!$M$9)),IF(T199="DUCT",(IF($U199="1C",'Catalogue Aluminium'!$L$10,'Catalogue Aluminium'!$M$10)),IF(T199="GROUND",(IF($U199="1C",'Catalogue Aluminium'!$L$11,'Catalogue Aluminium'!$M$11)),IF(T199="TRENCH",(IF($U199="1C",'Catalogue Aluminium'!$L$12,'Catalogue Aluminium'!$M$12))))))</f>
        <v>0.66</v>
      </c>
      <c r="AK199" s="344" t="str">
        <f>IF(T199="Air",'Catalogue Aluminium'!$N$9,IF(T199="GROUND",'Catalogue Aluminium'!$N$10,IF(T199="DUCT",'Catalogue Aluminium'!$N$11,IF(T199="TRENCH",'Catalogue Aluminium'!$N$12,"NA"))))</f>
        <v>NA</v>
      </c>
      <c r="AL199" s="344" t="str">
        <f>IF(T199="Air",(IF(U199="1C",'Catalogue Aluminium'!$O$9,'Catalogue Aluminium'!$P$9)),IF(T199="DUCT",(IF($U199="1C",'Catalogue Aluminium'!$O$10,'Catalogue Aluminium'!$P$10)),IF(T199="GROUND",(IF($U199="1C",'Catalogue Aluminium'!$O$11,'Catalogue Aluminium'!$P$11)),IF(T199="TRENCH",(IF($U199="1C",'Catalogue Aluminium'!$O$12,'Catalogue Aluminium'!$P$12))))))</f>
        <v>NA</v>
      </c>
      <c r="AM199" s="344" t="str">
        <f>IF(T199="AIR","NA",IF(T199="TRENCH","NA",IF(T199="DUCT",IF(U199="1C",VLOOKUP(V199,'Catalogue Aluminium'!$Q$9:$S$28,2,FALSE),VLOOKUP(V199,'Catalogue Aluminium'!$Q$9:$S$28,3)),IF(T199="GROUND",IF(U199="1C",VLOOKUP(V199,'Catalogue Aluminium'!$Q$9:$S$28,2,FALSE),VLOOKUP(V199,'Catalogue Aluminium'!$Q$9:$S$28,3))))))</f>
        <v>NA</v>
      </c>
      <c r="AN199" s="351">
        <f t="shared" si="1547"/>
        <v>0.58740000000000003</v>
      </c>
      <c r="AO199" s="350">
        <f t="shared" si="1548"/>
        <v>22.321200000000001</v>
      </c>
      <c r="AP199" s="349">
        <f t="shared" si="1549"/>
        <v>1</v>
      </c>
      <c r="AQ199" s="350" t="str">
        <f t="shared" si="1550"/>
        <v>YES</v>
      </c>
      <c r="AR199" s="351">
        <f t="shared" si="1463"/>
        <v>0.79374754979884088</v>
      </c>
      <c r="AS199" s="343" t="str">
        <f t="shared" si="1464"/>
        <v>YES</v>
      </c>
      <c r="AT199" s="351" t="str">
        <f t="shared" si="1551"/>
        <v>NA</v>
      </c>
      <c r="AU199" s="343" t="str">
        <f t="shared" si="1552"/>
        <v>NA</v>
      </c>
      <c r="AV199" s="354" t="str">
        <f t="shared" si="1553"/>
        <v>1R x 0.6/1kV x 4C x 4 Sqmm</v>
      </c>
      <c r="AW199" s="354" t="str">
        <f t="shared" si="1554"/>
        <v>1R x 0.6/1kV x 4C x 4 Sqmm</v>
      </c>
      <c r="AX199" s="343">
        <f t="shared" si="1555"/>
        <v>52</v>
      </c>
      <c r="AY199" s="355"/>
      <c r="AZ199" s="355">
        <f t="shared" si="1556"/>
        <v>2</v>
      </c>
      <c r="BA199" s="356" t="str">
        <f t="shared" si="1557"/>
        <v/>
      </c>
      <c r="BB199" s="501">
        <f>VLOOKUP(W199,'Catalogue Aluminium'!$B$9:$H$93,7,FALSE)</f>
        <v>16</v>
      </c>
      <c r="BC199" s="328">
        <f t="shared" si="1558"/>
        <v>16</v>
      </c>
      <c r="BE199" s="336"/>
      <c r="BF199" s="336"/>
      <c r="BG199" s="336"/>
      <c r="BH199" s="336"/>
      <c r="BI199" s="336"/>
      <c r="BJ199" s="336"/>
      <c r="BK199" s="336"/>
      <c r="BL199" s="336"/>
      <c r="BM199" s="336"/>
      <c r="BN199" s="336"/>
      <c r="BO199" s="336"/>
      <c r="BP199" s="336"/>
      <c r="BQ199" s="336"/>
      <c r="BR199" s="336"/>
      <c r="BS199" s="336"/>
      <c r="BT199" s="336"/>
      <c r="BU199" s="336"/>
      <c r="BV199" s="336"/>
      <c r="BW199" s="336"/>
      <c r="BX199" s="336"/>
      <c r="BY199" s="336"/>
      <c r="BZ199" s="336"/>
      <c r="CA199" s="336"/>
      <c r="CB199" s="336"/>
      <c r="CC199" s="336"/>
      <c r="CD199" s="336"/>
      <c r="CE199" s="336"/>
      <c r="CF199" s="336"/>
      <c r="CG199" s="336"/>
      <c r="CH199" s="336"/>
      <c r="CI199" s="336"/>
      <c r="CJ199" s="336"/>
      <c r="CK199" s="336"/>
      <c r="CL199" s="336"/>
      <c r="CM199" s="336"/>
      <c r="CN199" s="336"/>
      <c r="CO199" s="336"/>
      <c r="CP199" s="336"/>
      <c r="CQ199" s="336"/>
      <c r="CR199" s="336"/>
      <c r="CS199" s="336"/>
      <c r="CT199" s="336"/>
      <c r="CU199" s="336"/>
      <c r="CV199" s="336"/>
      <c r="CW199" s="336"/>
      <c r="CX199" s="336"/>
      <c r="CY199" s="336"/>
      <c r="CZ199" s="336"/>
      <c r="DA199" s="336"/>
      <c r="DB199" s="336"/>
      <c r="DC199" s="336"/>
      <c r="DD199" s="336"/>
      <c r="DE199" s="336"/>
      <c r="DF199" s="336"/>
      <c r="DG199" s="336"/>
      <c r="DH199" s="336"/>
      <c r="DI199" s="336"/>
      <c r="DJ199" s="336"/>
      <c r="DK199" s="336"/>
      <c r="DL199" s="336"/>
      <c r="DM199" s="336"/>
      <c r="DN199" s="336"/>
      <c r="DO199" s="336"/>
      <c r="DP199" s="336"/>
      <c r="DQ199" s="336"/>
      <c r="DR199" s="336"/>
      <c r="DS199" s="336"/>
      <c r="DT199" s="336"/>
      <c r="DU199" s="336"/>
      <c r="DW199" s="336">
        <f t="shared" si="1529"/>
        <v>0</v>
      </c>
      <c r="DX199" s="336">
        <f t="shared" si="1479"/>
        <v>0</v>
      </c>
      <c r="DY199" s="336">
        <f t="shared" si="1480"/>
        <v>0</v>
      </c>
      <c r="DZ199" s="336">
        <f t="shared" si="1481"/>
        <v>0</v>
      </c>
      <c r="EA199" s="336">
        <f t="shared" si="1482"/>
        <v>0</v>
      </c>
      <c r="EB199" s="336">
        <f t="shared" si="1483"/>
        <v>0</v>
      </c>
      <c r="EC199" s="336">
        <f t="shared" si="1484"/>
        <v>0</v>
      </c>
      <c r="ED199" s="336">
        <f t="shared" si="1485"/>
        <v>0</v>
      </c>
      <c r="EE199" s="336">
        <f t="shared" si="1486"/>
        <v>0</v>
      </c>
      <c r="EF199" s="336">
        <f t="shared" si="1487"/>
        <v>0</v>
      </c>
      <c r="EG199" s="336">
        <f t="shared" si="1488"/>
        <v>0</v>
      </c>
      <c r="EH199" s="336">
        <f t="shared" si="1489"/>
        <v>0</v>
      </c>
      <c r="EI199" s="336">
        <f t="shared" si="1490"/>
        <v>0</v>
      </c>
      <c r="EJ199" s="336">
        <f t="shared" si="1491"/>
        <v>0</v>
      </c>
      <c r="EK199" s="336">
        <f t="shared" si="1492"/>
        <v>0</v>
      </c>
      <c r="EL199" s="336">
        <f t="shared" si="1493"/>
        <v>0</v>
      </c>
      <c r="EM199" s="336">
        <f t="shared" si="1494"/>
        <v>0</v>
      </c>
      <c r="EN199" s="336">
        <f t="shared" si="1495"/>
        <v>0</v>
      </c>
      <c r="EO199" s="336">
        <f t="shared" si="1496"/>
        <v>0</v>
      </c>
      <c r="EP199" s="336">
        <f t="shared" si="1497"/>
        <v>0</v>
      </c>
      <c r="EQ199" s="336">
        <f t="shared" si="1498"/>
        <v>0</v>
      </c>
      <c r="ER199" s="336">
        <f t="shared" si="1499"/>
        <v>0</v>
      </c>
      <c r="ES199" s="336">
        <f t="shared" si="1500"/>
        <v>0</v>
      </c>
      <c r="ET199" s="336">
        <f t="shared" si="1500"/>
        <v>0</v>
      </c>
      <c r="EU199" s="336">
        <f t="shared" si="1501"/>
        <v>0</v>
      </c>
      <c r="EV199" s="336">
        <f t="shared" si="1502"/>
        <v>0</v>
      </c>
      <c r="EW199" s="336">
        <f t="shared" si="1503"/>
        <v>0</v>
      </c>
      <c r="EX199" s="336">
        <f t="shared" si="1504"/>
        <v>0</v>
      </c>
      <c r="EY199" s="336">
        <f t="shared" si="1505"/>
        <v>0</v>
      </c>
      <c r="EZ199" s="336">
        <f t="shared" si="1506"/>
        <v>0</v>
      </c>
      <c r="FA199" s="336">
        <f t="shared" si="1507"/>
        <v>0</v>
      </c>
      <c r="FB199" s="336">
        <f t="shared" si="1508"/>
        <v>0</v>
      </c>
      <c r="FC199" s="336">
        <f t="shared" si="1509"/>
        <v>0</v>
      </c>
      <c r="FD199" s="336">
        <f t="shared" si="1510"/>
        <v>0</v>
      </c>
      <c r="FE199" s="336">
        <f t="shared" si="1511"/>
        <v>0</v>
      </c>
      <c r="FF199" s="336">
        <f t="shared" si="1512"/>
        <v>0</v>
      </c>
      <c r="FG199" s="336">
        <f t="shared" si="1513"/>
        <v>0</v>
      </c>
      <c r="FH199" s="336">
        <f t="shared" si="1514"/>
        <v>0</v>
      </c>
      <c r="FI199" s="336">
        <f t="shared" si="1515"/>
        <v>0</v>
      </c>
      <c r="FJ199" s="336">
        <f t="shared" si="1516"/>
        <v>0</v>
      </c>
      <c r="FK199" s="336">
        <f t="shared" si="1517"/>
        <v>0</v>
      </c>
      <c r="FL199" s="336">
        <f t="shared" si="1518"/>
        <v>0</v>
      </c>
      <c r="FM199" s="336">
        <f t="shared" si="1519"/>
        <v>0</v>
      </c>
      <c r="FN199" s="336">
        <f t="shared" si="1520"/>
        <v>0</v>
      </c>
      <c r="FO199" s="336">
        <f t="shared" si="1521"/>
        <v>0</v>
      </c>
      <c r="FP199" s="336">
        <f t="shared" si="1522"/>
        <v>0</v>
      </c>
      <c r="FQ199" s="336">
        <f t="shared" si="1523"/>
        <v>0</v>
      </c>
      <c r="FR199" s="336">
        <f t="shared" si="1524"/>
        <v>0</v>
      </c>
      <c r="FS199" s="336">
        <f t="shared" si="1525"/>
        <v>0</v>
      </c>
      <c r="FT199" s="336">
        <f t="shared" si="1526"/>
        <v>0</v>
      </c>
      <c r="FU199" s="336">
        <f t="shared" si="1474"/>
        <v>0</v>
      </c>
      <c r="FV199" s="336">
        <f t="shared" si="1475"/>
        <v>0</v>
      </c>
      <c r="FW199" s="336">
        <f t="shared" si="1476"/>
        <v>0</v>
      </c>
      <c r="FX199" s="336">
        <f t="shared" si="1477"/>
        <v>0</v>
      </c>
      <c r="FY199" s="336">
        <f t="shared" si="1559"/>
        <v>0</v>
      </c>
      <c r="FZ199" s="336">
        <f t="shared" si="1560"/>
        <v>0</v>
      </c>
      <c r="GA199" s="336">
        <f t="shared" si="1561"/>
        <v>0</v>
      </c>
      <c r="GB199" s="336">
        <f t="shared" si="1562"/>
        <v>0</v>
      </c>
      <c r="GC199" s="336">
        <f t="shared" si="1563"/>
        <v>0</v>
      </c>
      <c r="GD199" s="336">
        <f t="shared" si="1564"/>
        <v>0</v>
      </c>
      <c r="GE199" s="336">
        <f t="shared" si="1565"/>
        <v>0</v>
      </c>
      <c r="GF199" s="336">
        <f t="shared" si="1566"/>
        <v>0</v>
      </c>
      <c r="GG199" s="336">
        <f t="shared" si="1567"/>
        <v>0</v>
      </c>
      <c r="GH199" s="336">
        <f t="shared" si="1568"/>
        <v>0</v>
      </c>
      <c r="GI199" s="336">
        <f t="shared" si="1569"/>
        <v>0</v>
      </c>
      <c r="GJ199" s="336">
        <f t="shared" si="1570"/>
        <v>0</v>
      </c>
      <c r="GK199" s="336">
        <f t="shared" si="1571"/>
        <v>0</v>
      </c>
      <c r="GL199" s="336">
        <f t="shared" si="1478"/>
        <v>0</v>
      </c>
      <c r="GM199" s="336">
        <f t="shared" si="1572"/>
        <v>0</v>
      </c>
    </row>
    <row r="200" spans="1:195" ht="27.75" customHeight="1">
      <c r="A200" s="337">
        <f t="shared" ref="A200:A213" si="1578">A199+1</f>
        <v>154</v>
      </c>
      <c r="B200" s="453"/>
      <c r="C200" s="372" t="str">
        <f t="shared" si="1573"/>
        <v>ADMIN BUILDING HVAC DB</v>
      </c>
      <c r="D200" s="444" t="s">
        <v>1347</v>
      </c>
      <c r="E200" s="567" t="s">
        <v>1342</v>
      </c>
      <c r="F200" s="444"/>
      <c r="G200" s="337" t="s">
        <v>329</v>
      </c>
      <c r="H200" s="583">
        <v>3.5</v>
      </c>
      <c r="I200" s="337" t="s">
        <v>330</v>
      </c>
      <c r="J200" s="337" t="s">
        <v>331</v>
      </c>
      <c r="K200" s="526">
        <v>400</v>
      </c>
      <c r="L200" s="343">
        <v>0.95</v>
      </c>
      <c r="M200" s="350">
        <v>0.85</v>
      </c>
      <c r="N200" s="342">
        <f t="shared" si="1574"/>
        <v>6.2563009888530603</v>
      </c>
      <c r="O200" s="342">
        <f t="shared" si="1575"/>
        <v>0</v>
      </c>
      <c r="P200" s="343" t="str">
        <f t="shared" si="1576"/>
        <v>0.00</v>
      </c>
      <c r="Q200" s="350">
        <v>65</v>
      </c>
      <c r="R200" s="350">
        <v>0</v>
      </c>
      <c r="S200" s="350">
        <f t="shared" si="1447"/>
        <v>0</v>
      </c>
      <c r="T200" s="343" t="s">
        <v>131</v>
      </c>
      <c r="U200" s="350" t="s">
        <v>522</v>
      </c>
      <c r="V200" s="343">
        <v>4</v>
      </c>
      <c r="W200" s="343" t="str">
        <f t="shared" si="1448"/>
        <v>4C X 4</v>
      </c>
      <c r="X200" s="343" t="str">
        <f t="shared" si="1545"/>
        <v>4C X 4</v>
      </c>
      <c r="Y200" s="343" t="s">
        <v>358</v>
      </c>
      <c r="Z200" s="344">
        <f>IF(T200="AIR",VLOOKUP(W200,'Catalogue Aluminium'!$B$9:$G$93,2,FALSE),IF(T200="GROUND",VLOOKUP(W200,'Catalogue Aluminium'!$B$9:$G$93,3,FALSE),IF(T200="DUCT",VLOOKUP(W200,'Catalogue Aluminium'!$B$9:$G$93,4,FALSE),IF(T200="TRENCH",VLOOKUP(W200,'Catalogue Aluminium'!$B$9:$G$93,2,FALSE)))))</f>
        <v>38</v>
      </c>
      <c r="AA200" s="345">
        <f>VLOOKUP(W200,'Catalogue Aluminium'!$B$9:$G$93,5,FALSE)</f>
        <v>5.9</v>
      </c>
      <c r="AB200" s="345">
        <f>VLOOKUP(W200,'Catalogue Aluminium'!$B$9:$G$93,6,FALSE)</f>
        <v>9.4700000000000006E-2</v>
      </c>
      <c r="AC200" s="343">
        <f t="shared" si="1577"/>
        <v>32</v>
      </c>
      <c r="AD200" s="343">
        <v>0</v>
      </c>
      <c r="AE200" s="343">
        <v>10</v>
      </c>
      <c r="AF200" s="343">
        <v>5</v>
      </c>
      <c r="AG200" s="343">
        <f t="shared" si="1462"/>
        <v>5</v>
      </c>
      <c r="AH200" s="347">
        <f t="shared" si="1546"/>
        <v>52</v>
      </c>
      <c r="AI200" s="344">
        <f>IF(T200="AIR",'Catalogue Aluminium'!$K$9,IF(T200="TRENCH",'Catalogue Aluminium'!$K$12,"NA"))</f>
        <v>0.89</v>
      </c>
      <c r="AJ200" s="342">
        <f>IF(T200="Air",(IF(U200="1C",'Catalogue Aluminium'!$L$9,'Catalogue Aluminium'!$M$9)),IF(T200="DUCT",(IF($U200="1C",'Catalogue Aluminium'!$L$10,'Catalogue Aluminium'!$M$10)),IF(T200="GROUND",(IF($U200="1C",'Catalogue Aluminium'!$L$11,'Catalogue Aluminium'!$M$11)),IF(T200="TRENCH",(IF($U200="1C",'Catalogue Aluminium'!$L$12,'Catalogue Aluminium'!$M$12))))))</f>
        <v>0.66</v>
      </c>
      <c r="AK200" s="344" t="str">
        <f>IF(T200="Air",'Catalogue Aluminium'!$N$9,IF(T200="GROUND",'Catalogue Aluminium'!$N$10,IF(T200="DUCT",'Catalogue Aluminium'!$N$11,IF(T200="TRENCH",'Catalogue Aluminium'!$N$12,"NA"))))</f>
        <v>NA</v>
      </c>
      <c r="AL200" s="344" t="str">
        <f>IF(T200="Air",(IF(U200="1C",'Catalogue Aluminium'!$O$9,'Catalogue Aluminium'!$P$9)),IF(T200="DUCT",(IF($U200="1C",'Catalogue Aluminium'!$O$10,'Catalogue Aluminium'!$P$10)),IF(T200="GROUND",(IF($U200="1C",'Catalogue Aluminium'!$O$11,'Catalogue Aluminium'!$P$11)),IF(T200="TRENCH",(IF($U200="1C",'Catalogue Aluminium'!$O$12,'Catalogue Aluminium'!$P$12))))))</f>
        <v>NA</v>
      </c>
      <c r="AM200" s="344" t="str">
        <f>IF(T200="AIR","NA",IF(T200="TRENCH","NA",IF(T200="DUCT",IF(U200="1C",VLOOKUP(V200,'Catalogue Aluminium'!$Q$9:$S$28,2,FALSE),VLOOKUP(V200,'Catalogue Aluminium'!$Q$9:$S$28,3)),IF(T200="GROUND",IF(U200="1C",VLOOKUP(V200,'Catalogue Aluminium'!$Q$9:$S$28,2,FALSE),VLOOKUP(V200,'Catalogue Aluminium'!$Q$9:$S$28,3))))))</f>
        <v>NA</v>
      </c>
      <c r="AN200" s="351">
        <f t="shared" si="1547"/>
        <v>0.58740000000000003</v>
      </c>
      <c r="AO200" s="350">
        <f t="shared" si="1548"/>
        <v>22.321200000000001</v>
      </c>
      <c r="AP200" s="349">
        <f t="shared" si="1549"/>
        <v>1</v>
      </c>
      <c r="AQ200" s="350" t="str">
        <f t="shared" si="1550"/>
        <v>YES</v>
      </c>
      <c r="AR200" s="351">
        <f t="shared" si="1463"/>
        <v>0.79374754979884088</v>
      </c>
      <c r="AS200" s="343" t="str">
        <f t="shared" si="1464"/>
        <v>YES</v>
      </c>
      <c r="AT200" s="351" t="str">
        <f t="shared" si="1551"/>
        <v>NA</v>
      </c>
      <c r="AU200" s="343" t="str">
        <f t="shared" si="1552"/>
        <v>NA</v>
      </c>
      <c r="AV200" s="354" t="str">
        <f t="shared" si="1553"/>
        <v>1R x 0.6/1kV x 4C x 4 Sqmm</v>
      </c>
      <c r="AW200" s="354" t="str">
        <f t="shared" si="1554"/>
        <v>1R x 0.6/1kV x 4C x 4 Sqmm</v>
      </c>
      <c r="AX200" s="343">
        <f t="shared" si="1555"/>
        <v>52</v>
      </c>
      <c r="AY200" s="355"/>
      <c r="AZ200" s="355">
        <f t="shared" si="1556"/>
        <v>2</v>
      </c>
      <c r="BA200" s="356" t="str">
        <f t="shared" si="1557"/>
        <v/>
      </c>
      <c r="BB200" s="501">
        <f>VLOOKUP(W200,'Catalogue Aluminium'!$B$9:$H$93,7,FALSE)</f>
        <v>16</v>
      </c>
      <c r="BC200" s="328">
        <f t="shared" si="1558"/>
        <v>16</v>
      </c>
      <c r="BE200" s="336"/>
      <c r="BF200" s="336"/>
      <c r="BG200" s="336"/>
      <c r="BH200" s="336"/>
      <c r="BI200" s="336"/>
      <c r="BJ200" s="336"/>
      <c r="BK200" s="336"/>
      <c r="BL200" s="336"/>
      <c r="BM200" s="336"/>
      <c r="BN200" s="336"/>
      <c r="BO200" s="336"/>
      <c r="BP200" s="336"/>
      <c r="BQ200" s="336"/>
      <c r="BR200" s="336"/>
      <c r="BS200" s="336"/>
      <c r="BT200" s="336"/>
      <c r="BU200" s="336"/>
      <c r="BV200" s="336"/>
      <c r="BW200" s="336"/>
      <c r="BX200" s="336"/>
      <c r="BY200" s="336"/>
      <c r="BZ200" s="336"/>
      <c r="CA200" s="336"/>
      <c r="CB200" s="336"/>
      <c r="CC200" s="336"/>
      <c r="CD200" s="336"/>
      <c r="CE200" s="336"/>
      <c r="CF200" s="336"/>
      <c r="CG200" s="336"/>
      <c r="CH200" s="336"/>
      <c r="CI200" s="336"/>
      <c r="CJ200" s="336"/>
      <c r="CK200" s="336"/>
      <c r="CL200" s="336"/>
      <c r="CM200" s="336"/>
      <c r="CN200" s="336"/>
      <c r="CO200" s="336"/>
      <c r="CP200" s="336"/>
      <c r="CQ200" s="336"/>
      <c r="CR200" s="336"/>
      <c r="CS200" s="336"/>
      <c r="CT200" s="336"/>
      <c r="CU200" s="336"/>
      <c r="CV200" s="336"/>
      <c r="CW200" s="336"/>
      <c r="CX200" s="336"/>
      <c r="CY200" s="336"/>
      <c r="CZ200" s="336"/>
      <c r="DA200" s="336"/>
      <c r="DB200" s="336"/>
      <c r="DC200" s="336"/>
      <c r="DD200" s="336"/>
      <c r="DE200" s="336"/>
      <c r="DF200" s="336"/>
      <c r="DG200" s="336"/>
      <c r="DH200" s="336"/>
      <c r="DI200" s="336"/>
      <c r="DJ200" s="336"/>
      <c r="DK200" s="336"/>
      <c r="DL200" s="336"/>
      <c r="DM200" s="336"/>
      <c r="DN200" s="336"/>
      <c r="DO200" s="336"/>
      <c r="DP200" s="336"/>
      <c r="DQ200" s="336"/>
      <c r="DR200" s="336"/>
      <c r="DS200" s="336"/>
      <c r="DT200" s="336"/>
      <c r="DU200" s="336"/>
      <c r="DW200" s="336">
        <f t="shared" si="1529"/>
        <v>0</v>
      </c>
      <c r="DX200" s="336">
        <f t="shared" si="1479"/>
        <v>0</v>
      </c>
      <c r="DY200" s="336">
        <f t="shared" si="1480"/>
        <v>0</v>
      </c>
      <c r="DZ200" s="336">
        <f t="shared" si="1481"/>
        <v>0</v>
      </c>
      <c r="EA200" s="336">
        <f t="shared" si="1482"/>
        <v>0</v>
      </c>
      <c r="EB200" s="336">
        <f t="shared" si="1483"/>
        <v>0</v>
      </c>
      <c r="EC200" s="336">
        <f t="shared" si="1484"/>
        <v>0</v>
      </c>
      <c r="ED200" s="336">
        <f t="shared" si="1485"/>
        <v>0</v>
      </c>
      <c r="EE200" s="336">
        <f t="shared" si="1486"/>
        <v>0</v>
      </c>
      <c r="EF200" s="336">
        <f t="shared" si="1487"/>
        <v>0</v>
      </c>
      <c r="EG200" s="336">
        <f t="shared" si="1488"/>
        <v>0</v>
      </c>
      <c r="EH200" s="336">
        <f t="shared" si="1489"/>
        <v>0</v>
      </c>
      <c r="EI200" s="336">
        <f t="shared" si="1490"/>
        <v>0</v>
      </c>
      <c r="EJ200" s="336">
        <f t="shared" si="1491"/>
        <v>0</v>
      </c>
      <c r="EK200" s="336">
        <f t="shared" si="1492"/>
        <v>0</v>
      </c>
      <c r="EL200" s="336">
        <f t="shared" si="1493"/>
        <v>0</v>
      </c>
      <c r="EM200" s="336">
        <f t="shared" si="1494"/>
        <v>0</v>
      </c>
      <c r="EN200" s="336">
        <f t="shared" si="1495"/>
        <v>0</v>
      </c>
      <c r="EO200" s="336">
        <f t="shared" si="1496"/>
        <v>0</v>
      </c>
      <c r="EP200" s="336">
        <f t="shared" si="1497"/>
        <v>0</v>
      </c>
      <c r="EQ200" s="336">
        <f t="shared" si="1498"/>
        <v>0</v>
      </c>
      <c r="ER200" s="336">
        <f t="shared" si="1499"/>
        <v>0</v>
      </c>
      <c r="ES200" s="336">
        <f t="shared" si="1500"/>
        <v>0</v>
      </c>
      <c r="ET200" s="336">
        <f t="shared" si="1500"/>
        <v>0</v>
      </c>
      <c r="EU200" s="336">
        <f t="shared" si="1501"/>
        <v>0</v>
      </c>
      <c r="EV200" s="336">
        <f t="shared" si="1502"/>
        <v>0</v>
      </c>
      <c r="EW200" s="336">
        <f t="shared" si="1503"/>
        <v>0</v>
      </c>
      <c r="EX200" s="336">
        <f t="shared" si="1504"/>
        <v>0</v>
      </c>
      <c r="EY200" s="336">
        <f t="shared" si="1505"/>
        <v>0</v>
      </c>
      <c r="EZ200" s="336">
        <f t="shared" si="1506"/>
        <v>0</v>
      </c>
      <c r="FA200" s="336">
        <f t="shared" si="1507"/>
        <v>0</v>
      </c>
      <c r="FB200" s="336">
        <f t="shared" si="1508"/>
        <v>0</v>
      </c>
      <c r="FC200" s="336">
        <f t="shared" si="1509"/>
        <v>0</v>
      </c>
      <c r="FD200" s="336">
        <f t="shared" si="1510"/>
        <v>0</v>
      </c>
      <c r="FE200" s="336">
        <f t="shared" si="1511"/>
        <v>0</v>
      </c>
      <c r="FF200" s="336">
        <f t="shared" si="1512"/>
        <v>0</v>
      </c>
      <c r="FG200" s="336">
        <f t="shared" si="1513"/>
        <v>0</v>
      </c>
      <c r="FH200" s="336">
        <f t="shared" si="1514"/>
        <v>0</v>
      </c>
      <c r="FI200" s="336">
        <f t="shared" si="1515"/>
        <v>0</v>
      </c>
      <c r="FJ200" s="336">
        <f t="shared" si="1516"/>
        <v>0</v>
      </c>
      <c r="FK200" s="336">
        <f t="shared" si="1517"/>
        <v>0</v>
      </c>
      <c r="FL200" s="336">
        <f t="shared" si="1518"/>
        <v>0</v>
      </c>
      <c r="FM200" s="336">
        <f t="shared" si="1519"/>
        <v>0</v>
      </c>
      <c r="FN200" s="336">
        <f t="shared" si="1520"/>
        <v>0</v>
      </c>
      <c r="FO200" s="336">
        <f t="shared" si="1521"/>
        <v>0</v>
      </c>
      <c r="FP200" s="336">
        <f t="shared" si="1522"/>
        <v>0</v>
      </c>
      <c r="FQ200" s="336">
        <f t="shared" si="1523"/>
        <v>0</v>
      </c>
      <c r="FR200" s="336">
        <f t="shared" si="1524"/>
        <v>0</v>
      </c>
      <c r="FS200" s="336">
        <f t="shared" si="1525"/>
        <v>0</v>
      </c>
      <c r="FT200" s="336">
        <f t="shared" si="1526"/>
        <v>0</v>
      </c>
      <c r="FU200" s="336">
        <f t="shared" si="1474"/>
        <v>0</v>
      </c>
      <c r="FV200" s="336">
        <f t="shared" si="1475"/>
        <v>0</v>
      </c>
      <c r="FW200" s="336">
        <f t="shared" si="1476"/>
        <v>0</v>
      </c>
      <c r="FX200" s="336">
        <f t="shared" si="1477"/>
        <v>0</v>
      </c>
      <c r="FY200" s="336">
        <f t="shared" si="1559"/>
        <v>0</v>
      </c>
      <c r="FZ200" s="336">
        <f t="shared" si="1560"/>
        <v>0</v>
      </c>
      <c r="GA200" s="336">
        <f t="shared" si="1561"/>
        <v>0</v>
      </c>
      <c r="GB200" s="336">
        <f t="shared" si="1562"/>
        <v>0</v>
      </c>
      <c r="GC200" s="336">
        <f t="shared" si="1563"/>
        <v>0</v>
      </c>
      <c r="GD200" s="336">
        <f t="shared" si="1564"/>
        <v>0</v>
      </c>
      <c r="GE200" s="336">
        <f t="shared" si="1565"/>
        <v>0</v>
      </c>
      <c r="GF200" s="336">
        <f t="shared" si="1566"/>
        <v>0</v>
      </c>
      <c r="GG200" s="336">
        <f t="shared" si="1567"/>
        <v>0</v>
      </c>
      <c r="GH200" s="336">
        <f t="shared" si="1568"/>
        <v>0</v>
      </c>
      <c r="GI200" s="336">
        <f t="shared" si="1569"/>
        <v>0</v>
      </c>
      <c r="GJ200" s="336">
        <f t="shared" si="1570"/>
        <v>0</v>
      </c>
      <c r="GK200" s="336">
        <f t="shared" si="1571"/>
        <v>0</v>
      </c>
      <c r="GL200" s="336">
        <f t="shared" si="1478"/>
        <v>0</v>
      </c>
      <c r="GM200" s="336">
        <f t="shared" si="1572"/>
        <v>0</v>
      </c>
    </row>
    <row r="201" spans="1:195" ht="27.75" customHeight="1">
      <c r="A201" s="337">
        <f t="shared" si="1578"/>
        <v>155</v>
      </c>
      <c r="B201" s="453"/>
      <c r="C201" s="372" t="str">
        <f t="shared" si="1573"/>
        <v>ADMIN BUILDING HVAC DB</v>
      </c>
      <c r="D201" s="444" t="s">
        <v>1348</v>
      </c>
      <c r="E201" s="567" t="s">
        <v>1342</v>
      </c>
      <c r="F201" s="444"/>
      <c r="G201" s="337" t="s">
        <v>329</v>
      </c>
      <c r="H201" s="583">
        <v>3.5</v>
      </c>
      <c r="I201" s="337" t="s">
        <v>330</v>
      </c>
      <c r="J201" s="337" t="s">
        <v>331</v>
      </c>
      <c r="K201" s="526">
        <v>400</v>
      </c>
      <c r="L201" s="343">
        <v>0.95</v>
      </c>
      <c r="M201" s="350">
        <v>0.85</v>
      </c>
      <c r="N201" s="342">
        <f t="shared" si="1574"/>
        <v>6.2563009888530603</v>
      </c>
      <c r="O201" s="342">
        <f t="shared" si="1575"/>
        <v>0</v>
      </c>
      <c r="P201" s="343" t="str">
        <f t="shared" si="1576"/>
        <v>0.00</v>
      </c>
      <c r="Q201" s="350">
        <v>65</v>
      </c>
      <c r="R201" s="350">
        <v>0</v>
      </c>
      <c r="S201" s="350">
        <f t="shared" si="1447"/>
        <v>0</v>
      </c>
      <c r="T201" s="343" t="s">
        <v>131</v>
      </c>
      <c r="U201" s="350" t="s">
        <v>522</v>
      </c>
      <c r="V201" s="343">
        <v>4</v>
      </c>
      <c r="W201" s="343" t="str">
        <f t="shared" si="1448"/>
        <v>4C X 4</v>
      </c>
      <c r="X201" s="343" t="str">
        <f t="shared" si="1545"/>
        <v>4C X 4</v>
      </c>
      <c r="Y201" s="343" t="s">
        <v>358</v>
      </c>
      <c r="Z201" s="344">
        <f>IF(T201="AIR",VLOOKUP(W201,'Catalogue Aluminium'!$B$9:$G$93,2,FALSE),IF(T201="GROUND",VLOOKUP(W201,'Catalogue Aluminium'!$B$9:$G$93,3,FALSE),IF(T201="DUCT",VLOOKUP(W201,'Catalogue Aluminium'!$B$9:$G$93,4,FALSE),IF(T201="TRENCH",VLOOKUP(W201,'Catalogue Aluminium'!$B$9:$G$93,2,FALSE)))))</f>
        <v>38</v>
      </c>
      <c r="AA201" s="345">
        <f>VLOOKUP(W201,'Catalogue Aluminium'!$B$9:$G$93,5,FALSE)</f>
        <v>5.9</v>
      </c>
      <c r="AB201" s="345">
        <f>VLOOKUP(W201,'Catalogue Aluminium'!$B$9:$G$93,6,FALSE)</f>
        <v>9.4700000000000006E-2</v>
      </c>
      <c r="AC201" s="343">
        <f t="shared" si="1577"/>
        <v>32</v>
      </c>
      <c r="AD201" s="343">
        <v>0</v>
      </c>
      <c r="AE201" s="343">
        <v>10</v>
      </c>
      <c r="AF201" s="343">
        <v>5</v>
      </c>
      <c r="AG201" s="343">
        <f t="shared" si="1462"/>
        <v>5</v>
      </c>
      <c r="AH201" s="347">
        <f t="shared" si="1546"/>
        <v>52</v>
      </c>
      <c r="AI201" s="344">
        <f>IF(T201="AIR",'Catalogue Aluminium'!$K$9,IF(T201="TRENCH",'Catalogue Aluminium'!$K$12,"NA"))</f>
        <v>0.89</v>
      </c>
      <c r="AJ201" s="342">
        <f>IF(T201="Air",(IF(U201="1C",'Catalogue Aluminium'!$L$9,'Catalogue Aluminium'!$M$9)),IF(T201="DUCT",(IF($U201="1C",'Catalogue Aluminium'!$L$10,'Catalogue Aluminium'!$M$10)),IF(T201="GROUND",(IF($U201="1C",'Catalogue Aluminium'!$L$11,'Catalogue Aluminium'!$M$11)),IF(T201="TRENCH",(IF($U201="1C",'Catalogue Aluminium'!$L$12,'Catalogue Aluminium'!$M$12))))))</f>
        <v>0.66</v>
      </c>
      <c r="AK201" s="344" t="str">
        <f>IF(T201="Air",'Catalogue Aluminium'!$N$9,IF(T201="GROUND",'Catalogue Aluminium'!$N$10,IF(T201="DUCT",'Catalogue Aluminium'!$N$11,IF(T201="TRENCH",'Catalogue Aluminium'!$N$12,"NA"))))</f>
        <v>NA</v>
      </c>
      <c r="AL201" s="344" t="str">
        <f>IF(T201="Air",(IF(U201="1C",'Catalogue Aluminium'!$O$9,'Catalogue Aluminium'!$P$9)),IF(T201="DUCT",(IF($U201="1C",'Catalogue Aluminium'!$O$10,'Catalogue Aluminium'!$P$10)),IF(T201="GROUND",(IF($U201="1C",'Catalogue Aluminium'!$O$11,'Catalogue Aluminium'!$P$11)),IF(T201="TRENCH",(IF($U201="1C",'Catalogue Aluminium'!$O$12,'Catalogue Aluminium'!$P$12))))))</f>
        <v>NA</v>
      </c>
      <c r="AM201" s="344" t="str">
        <f>IF(T201="AIR","NA",IF(T201="TRENCH","NA",IF(T201="DUCT",IF(U201="1C",VLOOKUP(V201,'Catalogue Aluminium'!$Q$9:$S$28,2,FALSE),VLOOKUP(V201,'Catalogue Aluminium'!$Q$9:$S$28,3)),IF(T201="GROUND",IF(U201="1C",VLOOKUP(V201,'Catalogue Aluminium'!$Q$9:$S$28,2,FALSE),VLOOKUP(V201,'Catalogue Aluminium'!$Q$9:$S$28,3))))))</f>
        <v>NA</v>
      </c>
      <c r="AN201" s="351">
        <f t="shared" si="1547"/>
        <v>0.58740000000000003</v>
      </c>
      <c r="AO201" s="350">
        <f t="shared" si="1548"/>
        <v>22.321200000000001</v>
      </c>
      <c r="AP201" s="349">
        <f t="shared" si="1549"/>
        <v>1</v>
      </c>
      <c r="AQ201" s="350" t="str">
        <f t="shared" si="1550"/>
        <v>YES</v>
      </c>
      <c r="AR201" s="351">
        <f t="shared" si="1463"/>
        <v>0.79374754979884088</v>
      </c>
      <c r="AS201" s="343" t="str">
        <f t="shared" si="1464"/>
        <v>YES</v>
      </c>
      <c r="AT201" s="351" t="str">
        <f t="shared" si="1551"/>
        <v>NA</v>
      </c>
      <c r="AU201" s="343" t="str">
        <f t="shared" si="1552"/>
        <v>NA</v>
      </c>
      <c r="AV201" s="354" t="str">
        <f t="shared" si="1553"/>
        <v>1R x 0.6/1kV x 4C x 4 Sqmm</v>
      </c>
      <c r="AW201" s="354" t="str">
        <f t="shared" si="1554"/>
        <v>1R x 0.6/1kV x 4C x 4 Sqmm</v>
      </c>
      <c r="AX201" s="343">
        <f t="shared" si="1555"/>
        <v>52</v>
      </c>
      <c r="AY201" s="355"/>
      <c r="AZ201" s="355">
        <f t="shared" si="1556"/>
        <v>2</v>
      </c>
      <c r="BA201" s="356" t="str">
        <f t="shared" si="1557"/>
        <v/>
      </c>
      <c r="BB201" s="501">
        <f>VLOOKUP(W201,'Catalogue Aluminium'!$B$9:$H$93,7,FALSE)</f>
        <v>16</v>
      </c>
      <c r="BC201" s="328">
        <f t="shared" si="1558"/>
        <v>16</v>
      </c>
      <c r="BE201" s="336"/>
      <c r="BF201" s="336"/>
      <c r="BG201" s="336"/>
      <c r="BH201" s="336"/>
      <c r="BI201" s="336"/>
      <c r="BJ201" s="336"/>
      <c r="BK201" s="336"/>
      <c r="BL201" s="336"/>
      <c r="BM201" s="336"/>
      <c r="BN201" s="336"/>
      <c r="BO201" s="336"/>
      <c r="BP201" s="336"/>
      <c r="BQ201" s="336"/>
      <c r="BR201" s="336"/>
      <c r="BS201" s="336"/>
      <c r="BT201" s="336"/>
      <c r="BU201" s="336"/>
      <c r="BV201" s="336"/>
      <c r="BW201" s="336"/>
      <c r="BX201" s="336"/>
      <c r="BY201" s="336"/>
      <c r="BZ201" s="336"/>
      <c r="CA201" s="336"/>
      <c r="CB201" s="336"/>
      <c r="CC201" s="336"/>
      <c r="CD201" s="336"/>
      <c r="CE201" s="336"/>
      <c r="CF201" s="336"/>
      <c r="CG201" s="336"/>
      <c r="CH201" s="336"/>
      <c r="CI201" s="336"/>
      <c r="CJ201" s="336"/>
      <c r="CK201" s="336"/>
      <c r="CL201" s="336"/>
      <c r="CM201" s="336"/>
      <c r="CN201" s="336"/>
      <c r="CO201" s="336"/>
      <c r="CP201" s="336"/>
      <c r="CQ201" s="336"/>
      <c r="CR201" s="336"/>
      <c r="CS201" s="336"/>
      <c r="CT201" s="336"/>
      <c r="CU201" s="336"/>
      <c r="CV201" s="336"/>
      <c r="CW201" s="336"/>
      <c r="CX201" s="336"/>
      <c r="CY201" s="336"/>
      <c r="CZ201" s="336"/>
      <c r="DA201" s="336"/>
      <c r="DB201" s="336"/>
      <c r="DC201" s="336"/>
      <c r="DD201" s="336"/>
      <c r="DE201" s="336"/>
      <c r="DF201" s="336"/>
      <c r="DG201" s="336"/>
      <c r="DH201" s="336"/>
      <c r="DI201" s="336"/>
      <c r="DJ201" s="336"/>
      <c r="DK201" s="336"/>
      <c r="DL201" s="336"/>
      <c r="DM201" s="336"/>
      <c r="DN201" s="336"/>
      <c r="DO201" s="336"/>
      <c r="DP201" s="336"/>
      <c r="DQ201" s="336"/>
      <c r="DR201" s="336"/>
      <c r="DS201" s="336"/>
      <c r="DT201" s="336"/>
      <c r="DU201" s="336"/>
      <c r="DW201" s="336">
        <f t="shared" si="1529"/>
        <v>0</v>
      </c>
      <c r="DX201" s="336">
        <f t="shared" si="1479"/>
        <v>0</v>
      </c>
      <c r="DY201" s="336">
        <f t="shared" si="1480"/>
        <v>0</v>
      </c>
      <c r="DZ201" s="336">
        <f t="shared" si="1481"/>
        <v>0</v>
      </c>
      <c r="EA201" s="336">
        <f t="shared" si="1482"/>
        <v>0</v>
      </c>
      <c r="EB201" s="336">
        <f t="shared" si="1483"/>
        <v>0</v>
      </c>
      <c r="EC201" s="336">
        <f t="shared" si="1484"/>
        <v>0</v>
      </c>
      <c r="ED201" s="336">
        <f t="shared" si="1485"/>
        <v>0</v>
      </c>
      <c r="EE201" s="336">
        <f t="shared" si="1486"/>
        <v>0</v>
      </c>
      <c r="EF201" s="336">
        <f t="shared" si="1487"/>
        <v>0</v>
      </c>
      <c r="EG201" s="336">
        <f t="shared" si="1488"/>
        <v>0</v>
      </c>
      <c r="EH201" s="336">
        <f t="shared" si="1489"/>
        <v>0</v>
      </c>
      <c r="EI201" s="336">
        <f t="shared" si="1490"/>
        <v>0</v>
      </c>
      <c r="EJ201" s="336">
        <f t="shared" si="1491"/>
        <v>0</v>
      </c>
      <c r="EK201" s="336">
        <f t="shared" si="1492"/>
        <v>0</v>
      </c>
      <c r="EL201" s="336">
        <f t="shared" si="1493"/>
        <v>0</v>
      </c>
      <c r="EM201" s="336">
        <f t="shared" si="1494"/>
        <v>0</v>
      </c>
      <c r="EN201" s="336">
        <f t="shared" si="1495"/>
        <v>0</v>
      </c>
      <c r="EO201" s="336">
        <f t="shared" si="1496"/>
        <v>0</v>
      </c>
      <c r="EP201" s="336">
        <f t="shared" si="1497"/>
        <v>0</v>
      </c>
      <c r="EQ201" s="336">
        <f t="shared" si="1498"/>
        <v>0</v>
      </c>
      <c r="ER201" s="336">
        <f t="shared" si="1499"/>
        <v>0</v>
      </c>
      <c r="ES201" s="336">
        <f t="shared" si="1500"/>
        <v>0</v>
      </c>
      <c r="ET201" s="336">
        <f t="shared" si="1500"/>
        <v>0</v>
      </c>
      <c r="EU201" s="336">
        <f t="shared" si="1501"/>
        <v>0</v>
      </c>
      <c r="EV201" s="336">
        <f t="shared" si="1502"/>
        <v>0</v>
      </c>
      <c r="EW201" s="336">
        <f t="shared" si="1503"/>
        <v>0</v>
      </c>
      <c r="EX201" s="336">
        <f t="shared" si="1504"/>
        <v>0</v>
      </c>
      <c r="EY201" s="336">
        <f t="shared" si="1505"/>
        <v>0</v>
      </c>
      <c r="EZ201" s="336">
        <f t="shared" si="1506"/>
        <v>0</v>
      </c>
      <c r="FA201" s="336">
        <f t="shared" si="1507"/>
        <v>0</v>
      </c>
      <c r="FB201" s="336">
        <f t="shared" si="1508"/>
        <v>0</v>
      </c>
      <c r="FC201" s="336">
        <f t="shared" si="1509"/>
        <v>0</v>
      </c>
      <c r="FD201" s="336">
        <f t="shared" si="1510"/>
        <v>0</v>
      </c>
      <c r="FE201" s="336">
        <f t="shared" si="1511"/>
        <v>0</v>
      </c>
      <c r="FF201" s="336">
        <f t="shared" si="1512"/>
        <v>0</v>
      </c>
      <c r="FG201" s="336">
        <f t="shared" si="1513"/>
        <v>0</v>
      </c>
      <c r="FH201" s="336">
        <f t="shared" si="1514"/>
        <v>0</v>
      </c>
      <c r="FI201" s="336">
        <f t="shared" si="1515"/>
        <v>0</v>
      </c>
      <c r="FJ201" s="336">
        <f t="shared" si="1516"/>
        <v>0</v>
      </c>
      <c r="FK201" s="336">
        <f t="shared" si="1517"/>
        <v>0</v>
      </c>
      <c r="FL201" s="336">
        <f t="shared" si="1518"/>
        <v>0</v>
      </c>
      <c r="FM201" s="336">
        <f t="shared" si="1519"/>
        <v>0</v>
      </c>
      <c r="FN201" s="336">
        <f t="shared" si="1520"/>
        <v>0</v>
      </c>
      <c r="FO201" s="336">
        <f t="shared" si="1521"/>
        <v>0</v>
      </c>
      <c r="FP201" s="336">
        <f t="shared" si="1522"/>
        <v>0</v>
      </c>
      <c r="FQ201" s="336">
        <f t="shared" si="1523"/>
        <v>0</v>
      </c>
      <c r="FR201" s="336">
        <f t="shared" si="1524"/>
        <v>0</v>
      </c>
      <c r="FS201" s="336">
        <f t="shared" si="1525"/>
        <v>0</v>
      </c>
      <c r="FT201" s="336">
        <f t="shared" si="1526"/>
        <v>0</v>
      </c>
      <c r="FU201" s="336">
        <f t="shared" si="1474"/>
        <v>0</v>
      </c>
      <c r="FV201" s="336">
        <f t="shared" si="1475"/>
        <v>0</v>
      </c>
      <c r="FW201" s="336">
        <f t="shared" si="1476"/>
        <v>0</v>
      </c>
      <c r="FX201" s="336">
        <f t="shared" si="1477"/>
        <v>0</v>
      </c>
      <c r="FY201" s="336">
        <f t="shared" si="1559"/>
        <v>0</v>
      </c>
      <c r="FZ201" s="336">
        <f t="shared" si="1560"/>
        <v>0</v>
      </c>
      <c r="GA201" s="336">
        <f t="shared" si="1561"/>
        <v>0</v>
      </c>
      <c r="GB201" s="336">
        <f t="shared" si="1562"/>
        <v>0</v>
      </c>
      <c r="GC201" s="336">
        <f t="shared" si="1563"/>
        <v>0</v>
      </c>
      <c r="GD201" s="336">
        <f t="shared" si="1564"/>
        <v>0</v>
      </c>
      <c r="GE201" s="336">
        <f t="shared" si="1565"/>
        <v>0</v>
      </c>
      <c r="GF201" s="336">
        <f t="shared" si="1566"/>
        <v>0</v>
      </c>
      <c r="GG201" s="336">
        <f t="shared" si="1567"/>
        <v>0</v>
      </c>
      <c r="GH201" s="336">
        <f t="shared" si="1568"/>
        <v>0</v>
      </c>
      <c r="GI201" s="336">
        <f t="shared" si="1569"/>
        <v>0</v>
      </c>
      <c r="GJ201" s="336">
        <f t="shared" si="1570"/>
        <v>0</v>
      </c>
      <c r="GK201" s="336">
        <f t="shared" si="1571"/>
        <v>0</v>
      </c>
      <c r="GL201" s="336">
        <f t="shared" si="1478"/>
        <v>0</v>
      </c>
      <c r="GM201" s="336">
        <f t="shared" si="1572"/>
        <v>0</v>
      </c>
    </row>
    <row r="202" spans="1:195" ht="27.75" customHeight="1">
      <c r="A202" s="337">
        <f t="shared" si="1578"/>
        <v>156</v>
      </c>
      <c r="B202" s="453"/>
      <c r="C202" s="372" t="str">
        <f t="shared" si="1573"/>
        <v>ADMIN BUILDING HVAC DB</v>
      </c>
      <c r="D202" s="444" t="s">
        <v>1349</v>
      </c>
      <c r="E202" s="567" t="s">
        <v>1342</v>
      </c>
      <c r="F202" s="444"/>
      <c r="G202" s="337" t="s">
        <v>329</v>
      </c>
      <c r="H202" s="583">
        <v>0.25</v>
      </c>
      <c r="I202" s="337" t="s">
        <v>330</v>
      </c>
      <c r="J202" s="343" t="s">
        <v>357</v>
      </c>
      <c r="K202" s="526">
        <v>230</v>
      </c>
      <c r="L202" s="343">
        <v>0.95</v>
      </c>
      <c r="M202" s="350">
        <v>0.85</v>
      </c>
      <c r="N202" s="342">
        <f t="shared" si="1574"/>
        <v>1.3460761879122358</v>
      </c>
      <c r="O202" s="342">
        <f t="shared" si="1575"/>
        <v>0</v>
      </c>
      <c r="P202" s="343" t="str">
        <f t="shared" si="1576"/>
        <v>0.00</v>
      </c>
      <c r="Q202" s="350">
        <v>65</v>
      </c>
      <c r="R202" s="350">
        <v>0</v>
      </c>
      <c r="S202" s="350">
        <f t="shared" si="1447"/>
        <v>0</v>
      </c>
      <c r="T202" s="343" t="s">
        <v>131</v>
      </c>
      <c r="U202" s="350" t="s">
        <v>333</v>
      </c>
      <c r="V202" s="343">
        <v>4</v>
      </c>
      <c r="W202" s="343" t="str">
        <f t="shared" si="1448"/>
        <v>3C X 4</v>
      </c>
      <c r="X202" s="343" t="str">
        <f t="shared" si="1545"/>
        <v>3C X 4</v>
      </c>
      <c r="Y202" s="343" t="s">
        <v>358</v>
      </c>
      <c r="Z202" s="344">
        <f>IF(T202="AIR",VLOOKUP(W202,'Catalogue Aluminium'!$B$9:$G$93,2,FALSE),IF(T202="GROUND",VLOOKUP(W202,'Catalogue Aluminium'!$B$9:$G$93,3,FALSE),IF(T202="DUCT",VLOOKUP(W202,'Catalogue Aluminium'!$B$9:$G$93,4,FALSE),IF(T202="TRENCH",VLOOKUP(W202,'Catalogue Aluminium'!$B$9:$G$93,2,FALSE)))))</f>
        <v>38</v>
      </c>
      <c r="AA202" s="345">
        <f>VLOOKUP(W202,'Catalogue Aluminium'!$B$9:$G$93,5,FALSE)</f>
        <v>5.9</v>
      </c>
      <c r="AB202" s="345">
        <f>VLOOKUP(W202,'Catalogue Aluminium'!$B$9:$G$93,6,FALSE)</f>
        <v>9.4700000000000006E-2</v>
      </c>
      <c r="AC202" s="343">
        <f t="shared" si="1577"/>
        <v>32</v>
      </c>
      <c r="AD202" s="343">
        <v>0</v>
      </c>
      <c r="AE202" s="343">
        <v>10</v>
      </c>
      <c r="AF202" s="343">
        <v>5</v>
      </c>
      <c r="AG202" s="343">
        <f t="shared" si="1462"/>
        <v>5</v>
      </c>
      <c r="AH202" s="347">
        <f t="shared" si="1546"/>
        <v>52</v>
      </c>
      <c r="AI202" s="344">
        <f>IF(T202="AIR",'Catalogue Aluminium'!$K$9,IF(T202="TRENCH",'Catalogue Aluminium'!$K$12,"NA"))</f>
        <v>0.89</v>
      </c>
      <c r="AJ202" s="342">
        <f>IF(T202="Air",(IF(U202="1C",'Catalogue Aluminium'!$L$9,'Catalogue Aluminium'!$M$9)),IF(T202="DUCT",(IF($U202="1C",'Catalogue Aluminium'!$L$10,'Catalogue Aluminium'!$M$10)),IF(T202="GROUND",(IF($U202="1C",'Catalogue Aluminium'!$L$11,'Catalogue Aluminium'!$M$11)),IF(T202="TRENCH",(IF($U202="1C",'Catalogue Aluminium'!$L$12,'Catalogue Aluminium'!$M$12))))))</f>
        <v>0.66</v>
      </c>
      <c r="AK202" s="344" t="str">
        <f>IF(T202="Air",'Catalogue Aluminium'!$N$9,IF(T202="GROUND",'Catalogue Aluminium'!$N$10,IF(T202="DUCT",'Catalogue Aluminium'!$N$11,IF(T202="TRENCH",'Catalogue Aluminium'!$N$12,"NA"))))</f>
        <v>NA</v>
      </c>
      <c r="AL202" s="344" t="str">
        <f>IF(T202="Air",(IF(U202="1C",'Catalogue Aluminium'!$O$9,'Catalogue Aluminium'!$P$9)),IF(T202="DUCT",(IF($U202="1C",'Catalogue Aluminium'!$O$10,'Catalogue Aluminium'!$P$10)),IF(T202="GROUND",(IF($U202="1C",'Catalogue Aluminium'!$O$11,'Catalogue Aluminium'!$P$11)),IF(T202="TRENCH",(IF($U202="1C",'Catalogue Aluminium'!$O$12,'Catalogue Aluminium'!$P$12))))))</f>
        <v>NA</v>
      </c>
      <c r="AM202" s="344" t="str">
        <f>IF(T202="AIR","NA",IF(T202="TRENCH","NA",IF(T202="DUCT",IF(U202="1C",VLOOKUP(V202,'Catalogue Aluminium'!$Q$9:$S$28,2,FALSE),VLOOKUP(V202,'Catalogue Aluminium'!$Q$9:$S$28,3)),IF(T202="GROUND",IF(U202="1C",VLOOKUP(V202,'Catalogue Aluminium'!$Q$9:$S$28,2,FALSE),VLOOKUP(V202,'Catalogue Aluminium'!$Q$9:$S$28,3))))))</f>
        <v>NA</v>
      </c>
      <c r="AN202" s="351">
        <f t="shared" si="1547"/>
        <v>0.58740000000000003</v>
      </c>
      <c r="AO202" s="350">
        <f t="shared" si="1548"/>
        <v>22.321200000000001</v>
      </c>
      <c r="AP202" s="349">
        <f t="shared" si="1549"/>
        <v>1</v>
      </c>
      <c r="AQ202" s="350" t="str">
        <f t="shared" si="1550"/>
        <v>YES</v>
      </c>
      <c r="AR202" s="351">
        <f t="shared" si="1463"/>
        <v>0.2970069146641301</v>
      </c>
      <c r="AS202" s="343" t="str">
        <f t="shared" si="1464"/>
        <v>YES</v>
      </c>
      <c r="AT202" s="351" t="str">
        <f t="shared" si="1551"/>
        <v>NA</v>
      </c>
      <c r="AU202" s="343" t="str">
        <f t="shared" si="1552"/>
        <v>NA</v>
      </c>
      <c r="AV202" s="354" t="str">
        <f t="shared" si="1553"/>
        <v>1R x 0.6/1kV x 3C x 4 Sqmm</v>
      </c>
      <c r="AW202" s="354" t="str">
        <f t="shared" si="1554"/>
        <v>1R x 0.6/1kV x 3C x 4 Sqmm</v>
      </c>
      <c r="AX202" s="343">
        <f t="shared" si="1555"/>
        <v>52</v>
      </c>
      <c r="AY202" s="355"/>
      <c r="AZ202" s="355">
        <f t="shared" si="1556"/>
        <v>2</v>
      </c>
      <c r="BA202" s="356" t="str">
        <f t="shared" si="1557"/>
        <v/>
      </c>
      <c r="BB202" s="501">
        <f>VLOOKUP(W202,'Catalogue Aluminium'!$B$9:$H$93,7,FALSE)</f>
        <v>15</v>
      </c>
      <c r="BC202" s="328">
        <f t="shared" si="1558"/>
        <v>15</v>
      </c>
      <c r="BE202" s="336"/>
      <c r="BF202" s="336"/>
      <c r="BG202" s="336"/>
      <c r="BH202" s="336"/>
      <c r="BI202" s="336"/>
      <c r="BJ202" s="336"/>
      <c r="BK202" s="336"/>
      <c r="BL202" s="336"/>
      <c r="BM202" s="336"/>
      <c r="BN202" s="336"/>
      <c r="BO202" s="336"/>
      <c r="BP202" s="336"/>
      <c r="BQ202" s="336"/>
      <c r="BR202" s="336"/>
      <c r="BS202" s="336"/>
      <c r="BT202" s="336"/>
      <c r="BU202" s="336"/>
      <c r="BV202" s="336"/>
      <c r="BW202" s="336"/>
      <c r="BX202" s="336"/>
      <c r="BY202" s="336"/>
      <c r="BZ202" s="336"/>
      <c r="CA202" s="336"/>
      <c r="CB202" s="336"/>
      <c r="CC202" s="336"/>
      <c r="CD202" s="336"/>
      <c r="CE202" s="336"/>
      <c r="CF202" s="336"/>
      <c r="CG202" s="336"/>
      <c r="CH202" s="336"/>
      <c r="CI202" s="336"/>
      <c r="CJ202" s="336"/>
      <c r="CK202" s="336"/>
      <c r="CL202" s="336"/>
      <c r="CM202" s="336"/>
      <c r="CN202" s="336"/>
      <c r="CO202" s="336"/>
      <c r="CP202" s="336"/>
      <c r="CQ202" s="336"/>
      <c r="CR202" s="336"/>
      <c r="CS202" s="336"/>
      <c r="CT202" s="336"/>
      <c r="CU202" s="336"/>
      <c r="CV202" s="336"/>
      <c r="CW202" s="336"/>
      <c r="CX202" s="336"/>
      <c r="CY202" s="336"/>
      <c r="CZ202" s="336"/>
      <c r="DA202" s="336"/>
      <c r="DB202" s="336"/>
      <c r="DC202" s="336"/>
      <c r="DD202" s="336"/>
      <c r="DE202" s="336"/>
      <c r="DF202" s="336"/>
      <c r="DG202" s="336"/>
      <c r="DH202" s="336"/>
      <c r="DI202" s="336"/>
      <c r="DJ202" s="336"/>
      <c r="DK202" s="336"/>
      <c r="DL202" s="336"/>
      <c r="DM202" s="336"/>
      <c r="DN202" s="336"/>
      <c r="DO202" s="336"/>
      <c r="DP202" s="336"/>
      <c r="DQ202" s="336"/>
      <c r="DR202" s="336"/>
      <c r="DS202" s="336"/>
      <c r="DT202" s="336"/>
      <c r="DU202" s="336"/>
      <c r="DW202" s="336">
        <f t="shared" si="1529"/>
        <v>0</v>
      </c>
      <c r="DX202" s="336">
        <f t="shared" si="1479"/>
        <v>0</v>
      </c>
      <c r="DY202" s="336">
        <f t="shared" si="1480"/>
        <v>0</v>
      </c>
      <c r="DZ202" s="336">
        <f t="shared" si="1481"/>
        <v>0</v>
      </c>
      <c r="EA202" s="336">
        <f t="shared" si="1482"/>
        <v>0</v>
      </c>
      <c r="EB202" s="336">
        <f t="shared" si="1483"/>
        <v>0</v>
      </c>
      <c r="EC202" s="336">
        <f t="shared" si="1484"/>
        <v>0</v>
      </c>
      <c r="ED202" s="336">
        <f t="shared" si="1485"/>
        <v>0</v>
      </c>
      <c r="EE202" s="336">
        <f t="shared" si="1486"/>
        <v>0</v>
      </c>
      <c r="EF202" s="336">
        <f t="shared" si="1487"/>
        <v>0</v>
      </c>
      <c r="EG202" s="336">
        <f t="shared" si="1488"/>
        <v>0</v>
      </c>
      <c r="EH202" s="336">
        <f t="shared" si="1489"/>
        <v>0</v>
      </c>
      <c r="EI202" s="336">
        <f t="shared" si="1490"/>
        <v>0</v>
      </c>
      <c r="EJ202" s="336">
        <f t="shared" si="1491"/>
        <v>0</v>
      </c>
      <c r="EK202" s="336">
        <f t="shared" si="1492"/>
        <v>0</v>
      </c>
      <c r="EL202" s="336">
        <f t="shared" si="1493"/>
        <v>0</v>
      </c>
      <c r="EM202" s="336">
        <f t="shared" si="1494"/>
        <v>0</v>
      </c>
      <c r="EN202" s="336">
        <f t="shared" si="1495"/>
        <v>0</v>
      </c>
      <c r="EO202" s="336">
        <f t="shared" si="1496"/>
        <v>0</v>
      </c>
      <c r="EP202" s="336">
        <f t="shared" si="1497"/>
        <v>0</v>
      </c>
      <c r="EQ202" s="336">
        <f t="shared" si="1498"/>
        <v>0</v>
      </c>
      <c r="ER202" s="336">
        <f t="shared" si="1499"/>
        <v>0</v>
      </c>
      <c r="ES202" s="336">
        <f t="shared" si="1500"/>
        <v>0</v>
      </c>
      <c r="ET202" s="336">
        <f t="shared" si="1500"/>
        <v>0</v>
      </c>
      <c r="EU202" s="336">
        <f t="shared" si="1501"/>
        <v>0</v>
      </c>
      <c r="EV202" s="336">
        <f t="shared" si="1502"/>
        <v>0</v>
      </c>
      <c r="EW202" s="336">
        <f t="shared" si="1503"/>
        <v>0</v>
      </c>
      <c r="EX202" s="336">
        <f t="shared" si="1504"/>
        <v>0</v>
      </c>
      <c r="EY202" s="336">
        <f t="shared" si="1505"/>
        <v>0</v>
      </c>
      <c r="EZ202" s="336">
        <f t="shared" si="1506"/>
        <v>0</v>
      </c>
      <c r="FA202" s="336">
        <f t="shared" si="1507"/>
        <v>0</v>
      </c>
      <c r="FB202" s="336">
        <f t="shared" si="1508"/>
        <v>0</v>
      </c>
      <c r="FC202" s="336">
        <f t="shared" si="1509"/>
        <v>0</v>
      </c>
      <c r="FD202" s="336">
        <f t="shared" si="1510"/>
        <v>0</v>
      </c>
      <c r="FE202" s="336">
        <f t="shared" si="1511"/>
        <v>0</v>
      </c>
      <c r="FF202" s="336">
        <f t="shared" si="1512"/>
        <v>0</v>
      </c>
      <c r="FG202" s="336">
        <f t="shared" si="1513"/>
        <v>0</v>
      </c>
      <c r="FH202" s="336">
        <f t="shared" si="1514"/>
        <v>0</v>
      </c>
      <c r="FI202" s="336">
        <f t="shared" si="1515"/>
        <v>0</v>
      </c>
      <c r="FJ202" s="336">
        <f t="shared" si="1516"/>
        <v>0</v>
      </c>
      <c r="FK202" s="336">
        <f t="shared" si="1517"/>
        <v>0</v>
      </c>
      <c r="FL202" s="336">
        <f t="shared" si="1518"/>
        <v>0</v>
      </c>
      <c r="FM202" s="336">
        <f t="shared" si="1519"/>
        <v>0</v>
      </c>
      <c r="FN202" s="336">
        <f t="shared" si="1520"/>
        <v>0</v>
      </c>
      <c r="FO202" s="336">
        <f t="shared" si="1521"/>
        <v>0</v>
      </c>
      <c r="FP202" s="336">
        <f t="shared" si="1522"/>
        <v>0</v>
      </c>
      <c r="FQ202" s="336">
        <f t="shared" si="1523"/>
        <v>0</v>
      </c>
      <c r="FR202" s="336">
        <f t="shared" si="1524"/>
        <v>0</v>
      </c>
      <c r="FS202" s="336">
        <f t="shared" si="1525"/>
        <v>0</v>
      </c>
      <c r="FT202" s="336">
        <f t="shared" si="1526"/>
        <v>0</v>
      </c>
      <c r="FU202" s="336">
        <f t="shared" si="1474"/>
        <v>0</v>
      </c>
      <c r="FV202" s="336">
        <f t="shared" si="1475"/>
        <v>0</v>
      </c>
      <c r="FW202" s="336">
        <f t="shared" si="1476"/>
        <v>0</v>
      </c>
      <c r="FX202" s="336">
        <f t="shared" si="1477"/>
        <v>0</v>
      </c>
      <c r="FY202" s="336">
        <f t="shared" si="1559"/>
        <v>0</v>
      </c>
      <c r="FZ202" s="336">
        <f t="shared" si="1560"/>
        <v>0</v>
      </c>
      <c r="GA202" s="336">
        <f t="shared" si="1561"/>
        <v>0</v>
      </c>
      <c r="GB202" s="336">
        <f t="shared" si="1562"/>
        <v>0</v>
      </c>
      <c r="GC202" s="336">
        <f t="shared" si="1563"/>
        <v>0</v>
      </c>
      <c r="GD202" s="336">
        <f t="shared" si="1564"/>
        <v>0</v>
      </c>
      <c r="GE202" s="336">
        <f t="shared" si="1565"/>
        <v>0</v>
      </c>
      <c r="GF202" s="336">
        <f t="shared" si="1566"/>
        <v>0</v>
      </c>
      <c r="GG202" s="336">
        <f t="shared" si="1567"/>
        <v>0</v>
      </c>
      <c r="GH202" s="336">
        <f t="shared" si="1568"/>
        <v>0</v>
      </c>
      <c r="GI202" s="336">
        <f t="shared" si="1569"/>
        <v>0</v>
      </c>
      <c r="GJ202" s="336">
        <f t="shared" si="1570"/>
        <v>0</v>
      </c>
      <c r="GK202" s="336">
        <f t="shared" si="1571"/>
        <v>0</v>
      </c>
      <c r="GL202" s="336">
        <f t="shared" si="1478"/>
        <v>0</v>
      </c>
      <c r="GM202" s="336">
        <f t="shared" si="1572"/>
        <v>0</v>
      </c>
    </row>
    <row r="203" spans="1:195" ht="27.75" customHeight="1">
      <c r="A203" s="337">
        <f t="shared" si="1578"/>
        <v>157</v>
      </c>
      <c r="B203" s="453"/>
      <c r="C203" s="372" t="str">
        <f t="shared" si="1573"/>
        <v>ADMIN BUILDING HVAC DB</v>
      </c>
      <c r="D203" s="444" t="s">
        <v>1323</v>
      </c>
      <c r="E203" s="567" t="s">
        <v>1342</v>
      </c>
      <c r="F203" s="444"/>
      <c r="G203" s="337" t="s">
        <v>329</v>
      </c>
      <c r="H203" s="583">
        <v>0.55000000000000004</v>
      </c>
      <c r="I203" s="337" t="s">
        <v>330</v>
      </c>
      <c r="J203" s="343" t="s">
        <v>357</v>
      </c>
      <c r="K203" s="526">
        <v>230</v>
      </c>
      <c r="L203" s="343">
        <v>0.95</v>
      </c>
      <c r="M203" s="350">
        <v>0.85</v>
      </c>
      <c r="N203" s="342">
        <f t="shared" si="1574"/>
        <v>2.9613676134069191</v>
      </c>
      <c r="O203" s="342">
        <f t="shared" si="1575"/>
        <v>0</v>
      </c>
      <c r="P203" s="343" t="str">
        <f t="shared" si="1576"/>
        <v>0.00</v>
      </c>
      <c r="Q203" s="350">
        <v>65</v>
      </c>
      <c r="R203" s="350">
        <v>0</v>
      </c>
      <c r="S203" s="350">
        <f t="shared" si="1447"/>
        <v>0</v>
      </c>
      <c r="T203" s="343" t="s">
        <v>131</v>
      </c>
      <c r="U203" s="350" t="s">
        <v>333</v>
      </c>
      <c r="V203" s="343">
        <v>4</v>
      </c>
      <c r="W203" s="343" t="str">
        <f t="shared" si="1448"/>
        <v>3C X 4</v>
      </c>
      <c r="X203" s="343" t="str">
        <f t="shared" si="1545"/>
        <v>3C X 4</v>
      </c>
      <c r="Y203" s="343" t="s">
        <v>358</v>
      </c>
      <c r="Z203" s="344">
        <f>IF(T203="AIR",VLOOKUP(W203,'Catalogue Aluminium'!$B$9:$G$93,2,FALSE),IF(T203="GROUND",VLOOKUP(W203,'Catalogue Aluminium'!$B$9:$G$93,3,FALSE),IF(T203="DUCT",VLOOKUP(W203,'Catalogue Aluminium'!$B$9:$G$93,4,FALSE),IF(T203="TRENCH",VLOOKUP(W203,'Catalogue Aluminium'!$B$9:$G$93,2,FALSE)))))</f>
        <v>38</v>
      </c>
      <c r="AA203" s="345">
        <f>VLOOKUP(W203,'Catalogue Aluminium'!$B$9:$G$93,5,FALSE)</f>
        <v>5.9</v>
      </c>
      <c r="AB203" s="345">
        <f>VLOOKUP(W203,'Catalogue Aluminium'!$B$9:$G$93,6,FALSE)</f>
        <v>9.4700000000000006E-2</v>
      </c>
      <c r="AC203" s="343">
        <f t="shared" si="1577"/>
        <v>32</v>
      </c>
      <c r="AD203" s="343">
        <v>0</v>
      </c>
      <c r="AE203" s="343">
        <v>10</v>
      </c>
      <c r="AF203" s="343">
        <v>5</v>
      </c>
      <c r="AG203" s="343">
        <f t="shared" si="1462"/>
        <v>5</v>
      </c>
      <c r="AH203" s="347">
        <f t="shared" si="1546"/>
        <v>52</v>
      </c>
      <c r="AI203" s="344">
        <f>IF(T203="AIR",'Catalogue Aluminium'!$K$9,IF(T203="TRENCH",'Catalogue Aluminium'!$K$12,"NA"))</f>
        <v>0.89</v>
      </c>
      <c r="AJ203" s="342">
        <f>IF(T203="Air",(IF(U203="1C",'Catalogue Aluminium'!$L$9,'Catalogue Aluminium'!$M$9)),IF(T203="DUCT",(IF($U203="1C",'Catalogue Aluminium'!$L$10,'Catalogue Aluminium'!$M$10)),IF(T203="GROUND",(IF($U203="1C",'Catalogue Aluminium'!$L$11,'Catalogue Aluminium'!$M$11)),IF(T203="TRENCH",(IF($U203="1C",'Catalogue Aluminium'!$L$12,'Catalogue Aluminium'!$M$12))))))</f>
        <v>0.66</v>
      </c>
      <c r="AK203" s="344" t="str">
        <f>IF(T203="Air",'Catalogue Aluminium'!$N$9,IF(T203="GROUND",'Catalogue Aluminium'!$N$10,IF(T203="DUCT",'Catalogue Aluminium'!$N$11,IF(T203="TRENCH",'Catalogue Aluminium'!$N$12,"NA"))))</f>
        <v>NA</v>
      </c>
      <c r="AL203" s="344" t="str">
        <f>IF(T203="Air",(IF(U203="1C",'Catalogue Aluminium'!$O$9,'Catalogue Aluminium'!$P$9)),IF(T203="DUCT",(IF($U203="1C",'Catalogue Aluminium'!$O$10,'Catalogue Aluminium'!$P$10)),IF(T203="GROUND",(IF($U203="1C",'Catalogue Aluminium'!$O$11,'Catalogue Aluminium'!$P$11)),IF(T203="TRENCH",(IF($U203="1C",'Catalogue Aluminium'!$O$12,'Catalogue Aluminium'!$P$12))))))</f>
        <v>NA</v>
      </c>
      <c r="AM203" s="344" t="str">
        <f>IF(T203="AIR","NA",IF(T203="TRENCH","NA",IF(T203="DUCT",IF(U203="1C",VLOOKUP(V203,'Catalogue Aluminium'!$Q$9:$S$28,2,FALSE),VLOOKUP(V203,'Catalogue Aluminium'!$Q$9:$S$28,3)),IF(T203="GROUND",IF(U203="1C",VLOOKUP(V203,'Catalogue Aluminium'!$Q$9:$S$28,2,FALSE),VLOOKUP(V203,'Catalogue Aluminium'!$Q$9:$S$28,3))))))</f>
        <v>NA</v>
      </c>
      <c r="AN203" s="351">
        <f t="shared" si="1547"/>
        <v>0.58740000000000003</v>
      </c>
      <c r="AO203" s="350">
        <f t="shared" si="1548"/>
        <v>22.321200000000001</v>
      </c>
      <c r="AP203" s="349">
        <f t="shared" si="1549"/>
        <v>1</v>
      </c>
      <c r="AQ203" s="350" t="str">
        <f t="shared" si="1550"/>
        <v>YES</v>
      </c>
      <c r="AR203" s="351">
        <f t="shared" si="1463"/>
        <v>0.65341521226108634</v>
      </c>
      <c r="AS203" s="343" t="str">
        <f t="shared" si="1464"/>
        <v>YES</v>
      </c>
      <c r="AT203" s="351" t="str">
        <f t="shared" si="1551"/>
        <v>NA</v>
      </c>
      <c r="AU203" s="343" t="str">
        <f t="shared" si="1552"/>
        <v>NA</v>
      </c>
      <c r="AV203" s="354" t="str">
        <f t="shared" si="1553"/>
        <v>1R x 0.6/1kV x 3C x 4 Sqmm</v>
      </c>
      <c r="AW203" s="354" t="str">
        <f t="shared" si="1554"/>
        <v>1R x 0.6/1kV x 3C x 4 Sqmm</v>
      </c>
      <c r="AX203" s="343">
        <f t="shared" si="1555"/>
        <v>52</v>
      </c>
      <c r="AY203" s="355"/>
      <c r="AZ203" s="355">
        <f t="shared" si="1556"/>
        <v>2</v>
      </c>
      <c r="BA203" s="356" t="str">
        <f t="shared" si="1557"/>
        <v/>
      </c>
      <c r="BB203" s="501">
        <f>VLOOKUP(W203,'Catalogue Aluminium'!$B$9:$H$93,7,FALSE)</f>
        <v>15</v>
      </c>
      <c r="BC203" s="328">
        <f t="shared" si="1558"/>
        <v>15</v>
      </c>
      <c r="BE203" s="336"/>
      <c r="BF203" s="336"/>
      <c r="BG203" s="336"/>
      <c r="BH203" s="336"/>
      <c r="BI203" s="336"/>
      <c r="BJ203" s="336"/>
      <c r="BK203" s="336"/>
      <c r="BL203" s="336"/>
      <c r="BM203" s="336"/>
      <c r="BN203" s="336"/>
      <c r="BO203" s="336"/>
      <c r="BP203" s="336"/>
      <c r="BQ203" s="336"/>
      <c r="BR203" s="336"/>
      <c r="BS203" s="336"/>
      <c r="BT203" s="336"/>
      <c r="BU203" s="336"/>
      <c r="BV203" s="336"/>
      <c r="BW203" s="336"/>
      <c r="BX203" s="336"/>
      <c r="BY203" s="336"/>
      <c r="BZ203" s="336"/>
      <c r="CA203" s="336"/>
      <c r="CB203" s="336"/>
      <c r="CC203" s="336"/>
      <c r="CD203" s="336"/>
      <c r="CE203" s="336"/>
      <c r="CF203" s="336"/>
      <c r="CG203" s="336"/>
      <c r="CH203" s="336"/>
      <c r="CI203" s="336"/>
      <c r="CJ203" s="336"/>
      <c r="CK203" s="336"/>
      <c r="CL203" s="336"/>
      <c r="CM203" s="336"/>
      <c r="CN203" s="336"/>
      <c r="CO203" s="336"/>
      <c r="CP203" s="336"/>
      <c r="CQ203" s="336"/>
      <c r="CR203" s="336"/>
      <c r="CS203" s="336"/>
      <c r="CT203" s="336"/>
      <c r="CU203" s="336"/>
      <c r="CV203" s="336"/>
      <c r="CW203" s="336"/>
      <c r="CX203" s="336"/>
      <c r="CY203" s="336"/>
      <c r="CZ203" s="336"/>
      <c r="DA203" s="336"/>
      <c r="DB203" s="336"/>
      <c r="DC203" s="336"/>
      <c r="DD203" s="336"/>
      <c r="DE203" s="336"/>
      <c r="DF203" s="336"/>
      <c r="DG203" s="336"/>
      <c r="DH203" s="336"/>
      <c r="DI203" s="336"/>
      <c r="DJ203" s="336"/>
      <c r="DK203" s="336"/>
      <c r="DL203" s="336"/>
      <c r="DM203" s="336"/>
      <c r="DN203" s="336"/>
      <c r="DO203" s="336"/>
      <c r="DP203" s="336"/>
      <c r="DQ203" s="336"/>
      <c r="DR203" s="336"/>
      <c r="DS203" s="336"/>
      <c r="DT203" s="336"/>
      <c r="DU203" s="336"/>
      <c r="DW203" s="336">
        <f t="shared" si="1529"/>
        <v>0</v>
      </c>
      <c r="DX203" s="336">
        <f t="shared" si="1479"/>
        <v>0</v>
      </c>
      <c r="DY203" s="336">
        <f t="shared" si="1480"/>
        <v>0</v>
      </c>
      <c r="DZ203" s="336">
        <f t="shared" si="1481"/>
        <v>0</v>
      </c>
      <c r="EA203" s="336">
        <f t="shared" si="1482"/>
        <v>0</v>
      </c>
      <c r="EB203" s="336">
        <f t="shared" si="1483"/>
        <v>0</v>
      </c>
      <c r="EC203" s="336">
        <f t="shared" si="1484"/>
        <v>0</v>
      </c>
      <c r="ED203" s="336">
        <f t="shared" si="1485"/>
        <v>0</v>
      </c>
      <c r="EE203" s="336">
        <f t="shared" si="1486"/>
        <v>0</v>
      </c>
      <c r="EF203" s="336">
        <f t="shared" si="1487"/>
        <v>0</v>
      </c>
      <c r="EG203" s="336">
        <f t="shared" si="1488"/>
        <v>0</v>
      </c>
      <c r="EH203" s="336">
        <f t="shared" si="1489"/>
        <v>0</v>
      </c>
      <c r="EI203" s="336">
        <f t="shared" si="1490"/>
        <v>0</v>
      </c>
      <c r="EJ203" s="336">
        <f t="shared" si="1491"/>
        <v>0</v>
      </c>
      <c r="EK203" s="336">
        <f t="shared" si="1492"/>
        <v>0</v>
      </c>
      <c r="EL203" s="336">
        <f t="shared" si="1493"/>
        <v>0</v>
      </c>
      <c r="EM203" s="336">
        <f t="shared" si="1494"/>
        <v>0</v>
      </c>
      <c r="EN203" s="336">
        <f t="shared" si="1495"/>
        <v>0</v>
      </c>
      <c r="EO203" s="336">
        <f t="shared" si="1496"/>
        <v>0</v>
      </c>
      <c r="EP203" s="336">
        <f t="shared" si="1497"/>
        <v>0</v>
      </c>
      <c r="EQ203" s="336">
        <f t="shared" si="1498"/>
        <v>0</v>
      </c>
      <c r="ER203" s="336">
        <f t="shared" si="1499"/>
        <v>0</v>
      </c>
      <c r="ES203" s="336">
        <f t="shared" si="1500"/>
        <v>0</v>
      </c>
      <c r="ET203" s="336">
        <f t="shared" si="1500"/>
        <v>0</v>
      </c>
      <c r="EU203" s="336">
        <f t="shared" si="1501"/>
        <v>0</v>
      </c>
      <c r="EV203" s="336">
        <f t="shared" si="1502"/>
        <v>0</v>
      </c>
      <c r="EW203" s="336">
        <f t="shared" si="1503"/>
        <v>0</v>
      </c>
      <c r="EX203" s="336">
        <f t="shared" si="1504"/>
        <v>0</v>
      </c>
      <c r="EY203" s="336">
        <f t="shared" si="1505"/>
        <v>0</v>
      </c>
      <c r="EZ203" s="336">
        <f t="shared" si="1506"/>
        <v>0</v>
      </c>
      <c r="FA203" s="336">
        <f t="shared" si="1507"/>
        <v>0</v>
      </c>
      <c r="FB203" s="336">
        <f t="shared" si="1508"/>
        <v>0</v>
      </c>
      <c r="FC203" s="336">
        <f t="shared" si="1509"/>
        <v>0</v>
      </c>
      <c r="FD203" s="336">
        <f t="shared" si="1510"/>
        <v>0</v>
      </c>
      <c r="FE203" s="336">
        <f t="shared" si="1511"/>
        <v>0</v>
      </c>
      <c r="FF203" s="336">
        <f t="shared" si="1512"/>
        <v>0</v>
      </c>
      <c r="FG203" s="336">
        <f t="shared" si="1513"/>
        <v>0</v>
      </c>
      <c r="FH203" s="336">
        <f t="shared" si="1514"/>
        <v>0</v>
      </c>
      <c r="FI203" s="336">
        <f t="shared" si="1515"/>
        <v>0</v>
      </c>
      <c r="FJ203" s="336">
        <f t="shared" si="1516"/>
        <v>0</v>
      </c>
      <c r="FK203" s="336">
        <f t="shared" si="1517"/>
        <v>0</v>
      </c>
      <c r="FL203" s="336">
        <f t="shared" si="1518"/>
        <v>0</v>
      </c>
      <c r="FM203" s="336">
        <f t="shared" si="1519"/>
        <v>0</v>
      </c>
      <c r="FN203" s="336">
        <f t="shared" si="1520"/>
        <v>0</v>
      </c>
      <c r="FO203" s="336">
        <f t="shared" si="1521"/>
        <v>0</v>
      </c>
      <c r="FP203" s="336">
        <f t="shared" si="1522"/>
        <v>0</v>
      </c>
      <c r="FQ203" s="336">
        <f t="shared" si="1523"/>
        <v>0</v>
      </c>
      <c r="FR203" s="336">
        <f t="shared" si="1524"/>
        <v>0</v>
      </c>
      <c r="FS203" s="336">
        <f t="shared" si="1525"/>
        <v>0</v>
      </c>
      <c r="FT203" s="336">
        <f t="shared" si="1526"/>
        <v>0</v>
      </c>
      <c r="FU203" s="336">
        <f t="shared" si="1474"/>
        <v>0</v>
      </c>
      <c r="FV203" s="336">
        <f t="shared" si="1475"/>
        <v>0</v>
      </c>
      <c r="FW203" s="336">
        <f t="shared" si="1476"/>
        <v>0</v>
      </c>
      <c r="FX203" s="336">
        <f t="shared" si="1477"/>
        <v>0</v>
      </c>
      <c r="FY203" s="336">
        <f t="shared" si="1559"/>
        <v>0</v>
      </c>
      <c r="FZ203" s="336">
        <f t="shared" si="1560"/>
        <v>0</v>
      </c>
      <c r="GA203" s="336">
        <f t="shared" si="1561"/>
        <v>0</v>
      </c>
      <c r="GB203" s="336">
        <f t="shared" si="1562"/>
        <v>0</v>
      </c>
      <c r="GC203" s="336">
        <f t="shared" si="1563"/>
        <v>0</v>
      </c>
      <c r="GD203" s="336">
        <f t="shared" si="1564"/>
        <v>0</v>
      </c>
      <c r="GE203" s="336">
        <f t="shared" si="1565"/>
        <v>0</v>
      </c>
      <c r="GF203" s="336">
        <f t="shared" si="1566"/>
        <v>0</v>
      </c>
      <c r="GG203" s="336">
        <f t="shared" si="1567"/>
        <v>0</v>
      </c>
      <c r="GH203" s="336">
        <f t="shared" si="1568"/>
        <v>0</v>
      </c>
      <c r="GI203" s="336">
        <f t="shared" si="1569"/>
        <v>0</v>
      </c>
      <c r="GJ203" s="336">
        <f t="shared" si="1570"/>
        <v>0</v>
      </c>
      <c r="GK203" s="336">
        <f t="shared" si="1571"/>
        <v>0</v>
      </c>
      <c r="GL203" s="336">
        <f t="shared" si="1478"/>
        <v>0</v>
      </c>
      <c r="GM203" s="336">
        <f t="shared" si="1572"/>
        <v>0</v>
      </c>
    </row>
    <row r="204" spans="1:195" ht="27.75" customHeight="1">
      <c r="A204" s="337">
        <f t="shared" si="1578"/>
        <v>158</v>
      </c>
      <c r="B204" s="453"/>
      <c r="C204" s="372" t="str">
        <f t="shared" si="1573"/>
        <v>ADMIN BUILDING HVAC DB</v>
      </c>
      <c r="D204" s="444" t="s">
        <v>1350</v>
      </c>
      <c r="E204" s="567" t="s">
        <v>1342</v>
      </c>
      <c r="F204" s="444"/>
      <c r="G204" s="337" t="s">
        <v>329</v>
      </c>
      <c r="H204" s="583">
        <v>0.55000000000000004</v>
      </c>
      <c r="I204" s="337" t="s">
        <v>330</v>
      </c>
      <c r="J204" s="343" t="s">
        <v>357</v>
      </c>
      <c r="K204" s="526">
        <v>230</v>
      </c>
      <c r="L204" s="343">
        <v>0.95</v>
      </c>
      <c r="M204" s="350">
        <v>0.85</v>
      </c>
      <c r="N204" s="342">
        <f t="shared" si="1574"/>
        <v>2.9613676134069191</v>
      </c>
      <c r="O204" s="342">
        <f t="shared" si="1575"/>
        <v>0</v>
      </c>
      <c r="P204" s="343" t="str">
        <f t="shared" si="1576"/>
        <v>0.00</v>
      </c>
      <c r="Q204" s="350">
        <v>65</v>
      </c>
      <c r="R204" s="350">
        <v>0</v>
      </c>
      <c r="S204" s="350">
        <f t="shared" si="1447"/>
        <v>0</v>
      </c>
      <c r="T204" s="343" t="s">
        <v>131</v>
      </c>
      <c r="U204" s="350" t="s">
        <v>333</v>
      </c>
      <c r="V204" s="343">
        <v>4</v>
      </c>
      <c r="W204" s="343" t="str">
        <f t="shared" si="1448"/>
        <v>3C X 4</v>
      </c>
      <c r="X204" s="343" t="str">
        <f t="shared" si="1545"/>
        <v>3C X 4</v>
      </c>
      <c r="Y204" s="343" t="s">
        <v>358</v>
      </c>
      <c r="Z204" s="344">
        <f>IF(T204="AIR",VLOOKUP(W204,'Catalogue Aluminium'!$B$9:$G$93,2,FALSE),IF(T204="GROUND",VLOOKUP(W204,'Catalogue Aluminium'!$B$9:$G$93,3,FALSE),IF(T204="DUCT",VLOOKUP(W204,'Catalogue Aluminium'!$B$9:$G$93,4,FALSE),IF(T204="TRENCH",VLOOKUP(W204,'Catalogue Aluminium'!$B$9:$G$93,2,FALSE)))))</f>
        <v>38</v>
      </c>
      <c r="AA204" s="345">
        <f>VLOOKUP(W204,'Catalogue Aluminium'!$B$9:$G$93,5,FALSE)</f>
        <v>5.9</v>
      </c>
      <c r="AB204" s="345">
        <f>VLOOKUP(W204,'Catalogue Aluminium'!$B$9:$G$93,6,FALSE)</f>
        <v>9.4700000000000006E-2</v>
      </c>
      <c r="AC204" s="343">
        <f t="shared" si="1577"/>
        <v>32</v>
      </c>
      <c r="AD204" s="343">
        <v>0</v>
      </c>
      <c r="AE204" s="343">
        <v>10</v>
      </c>
      <c r="AF204" s="343">
        <v>5</v>
      </c>
      <c r="AG204" s="343">
        <f t="shared" si="1462"/>
        <v>5</v>
      </c>
      <c r="AH204" s="347">
        <f t="shared" si="1546"/>
        <v>52</v>
      </c>
      <c r="AI204" s="344">
        <f>IF(T204="AIR",'Catalogue Aluminium'!$K$9,IF(T204="TRENCH",'Catalogue Aluminium'!$K$12,"NA"))</f>
        <v>0.89</v>
      </c>
      <c r="AJ204" s="342">
        <f>IF(T204="Air",(IF(U204="1C",'Catalogue Aluminium'!$L$9,'Catalogue Aluminium'!$M$9)),IF(T204="DUCT",(IF($U204="1C",'Catalogue Aluminium'!$L$10,'Catalogue Aluminium'!$M$10)),IF(T204="GROUND",(IF($U204="1C",'Catalogue Aluminium'!$L$11,'Catalogue Aluminium'!$M$11)),IF(T204="TRENCH",(IF($U204="1C",'Catalogue Aluminium'!$L$12,'Catalogue Aluminium'!$M$12))))))</f>
        <v>0.66</v>
      </c>
      <c r="AK204" s="344" t="str">
        <f>IF(T204="Air",'Catalogue Aluminium'!$N$9,IF(T204="GROUND",'Catalogue Aluminium'!$N$10,IF(T204="DUCT",'Catalogue Aluminium'!$N$11,IF(T204="TRENCH",'Catalogue Aluminium'!$N$12,"NA"))))</f>
        <v>NA</v>
      </c>
      <c r="AL204" s="344" t="str">
        <f>IF(T204="Air",(IF(U204="1C",'Catalogue Aluminium'!$O$9,'Catalogue Aluminium'!$P$9)),IF(T204="DUCT",(IF($U204="1C",'Catalogue Aluminium'!$O$10,'Catalogue Aluminium'!$P$10)),IF(T204="GROUND",(IF($U204="1C",'Catalogue Aluminium'!$O$11,'Catalogue Aluminium'!$P$11)),IF(T204="TRENCH",(IF($U204="1C",'Catalogue Aluminium'!$O$12,'Catalogue Aluminium'!$P$12))))))</f>
        <v>NA</v>
      </c>
      <c r="AM204" s="344" t="str">
        <f>IF(T204="AIR","NA",IF(T204="TRENCH","NA",IF(T204="DUCT",IF(U204="1C",VLOOKUP(V204,'Catalogue Aluminium'!$Q$9:$S$28,2,FALSE),VLOOKUP(V204,'Catalogue Aluminium'!$Q$9:$S$28,3)),IF(T204="GROUND",IF(U204="1C",VLOOKUP(V204,'Catalogue Aluminium'!$Q$9:$S$28,2,FALSE),VLOOKUP(V204,'Catalogue Aluminium'!$Q$9:$S$28,3))))))</f>
        <v>NA</v>
      </c>
      <c r="AN204" s="351">
        <f t="shared" si="1547"/>
        <v>0.58740000000000003</v>
      </c>
      <c r="AO204" s="350">
        <f t="shared" si="1548"/>
        <v>22.321200000000001</v>
      </c>
      <c r="AP204" s="349">
        <f t="shared" si="1549"/>
        <v>1</v>
      </c>
      <c r="AQ204" s="350" t="str">
        <f t="shared" si="1550"/>
        <v>YES</v>
      </c>
      <c r="AR204" s="351">
        <f t="shared" si="1463"/>
        <v>0.65341521226108634</v>
      </c>
      <c r="AS204" s="343" t="str">
        <f t="shared" si="1464"/>
        <v>YES</v>
      </c>
      <c r="AT204" s="351" t="str">
        <f t="shared" si="1551"/>
        <v>NA</v>
      </c>
      <c r="AU204" s="343" t="str">
        <f t="shared" si="1552"/>
        <v>NA</v>
      </c>
      <c r="AV204" s="354" t="str">
        <f t="shared" si="1553"/>
        <v>1R x 0.6/1kV x 3C x 4 Sqmm</v>
      </c>
      <c r="AW204" s="354" t="str">
        <f t="shared" si="1554"/>
        <v>1R x 0.6/1kV x 3C x 4 Sqmm</v>
      </c>
      <c r="AX204" s="343">
        <f t="shared" si="1555"/>
        <v>52</v>
      </c>
      <c r="AY204" s="355"/>
      <c r="AZ204" s="355">
        <f t="shared" si="1556"/>
        <v>2</v>
      </c>
      <c r="BA204" s="356" t="str">
        <f t="shared" si="1557"/>
        <v/>
      </c>
      <c r="BB204" s="501">
        <f>VLOOKUP(W204,'Catalogue Aluminium'!$B$9:$H$93,7,FALSE)</f>
        <v>15</v>
      </c>
      <c r="BC204" s="328">
        <f t="shared" si="1558"/>
        <v>15</v>
      </c>
      <c r="BE204" s="336"/>
      <c r="BF204" s="336"/>
      <c r="BG204" s="336"/>
      <c r="BH204" s="336"/>
      <c r="BI204" s="336"/>
      <c r="BJ204" s="336"/>
      <c r="BK204" s="336"/>
      <c r="BL204" s="336"/>
      <c r="BM204" s="336"/>
      <c r="BN204" s="336"/>
      <c r="BO204" s="336"/>
      <c r="BP204" s="336"/>
      <c r="BQ204" s="336"/>
      <c r="BR204" s="336"/>
      <c r="BS204" s="336"/>
      <c r="BT204" s="336"/>
      <c r="BU204" s="336"/>
      <c r="BV204" s="336"/>
      <c r="BW204" s="336"/>
      <c r="BX204" s="336"/>
      <c r="BY204" s="336"/>
      <c r="BZ204" s="336"/>
      <c r="CA204" s="336"/>
      <c r="CB204" s="336"/>
      <c r="CC204" s="336"/>
      <c r="CD204" s="336"/>
      <c r="CE204" s="336"/>
      <c r="CF204" s="336"/>
      <c r="CG204" s="336"/>
      <c r="CH204" s="336"/>
      <c r="CI204" s="336"/>
      <c r="CJ204" s="336"/>
      <c r="CK204" s="336"/>
      <c r="CL204" s="336"/>
      <c r="CM204" s="336"/>
      <c r="CN204" s="336"/>
      <c r="CO204" s="336"/>
      <c r="CP204" s="336"/>
      <c r="CQ204" s="336"/>
      <c r="CR204" s="336"/>
      <c r="CS204" s="336"/>
      <c r="CT204" s="336"/>
      <c r="CU204" s="336"/>
      <c r="CV204" s="336"/>
      <c r="CW204" s="336"/>
      <c r="CX204" s="336"/>
      <c r="CY204" s="336"/>
      <c r="CZ204" s="336"/>
      <c r="DA204" s="336"/>
      <c r="DB204" s="336"/>
      <c r="DC204" s="336"/>
      <c r="DD204" s="336"/>
      <c r="DE204" s="336"/>
      <c r="DF204" s="336"/>
      <c r="DG204" s="336"/>
      <c r="DH204" s="336"/>
      <c r="DI204" s="336"/>
      <c r="DJ204" s="336"/>
      <c r="DK204" s="336"/>
      <c r="DL204" s="336"/>
      <c r="DM204" s="336"/>
      <c r="DN204" s="336"/>
      <c r="DO204" s="336"/>
      <c r="DP204" s="336"/>
      <c r="DQ204" s="336"/>
      <c r="DR204" s="336"/>
      <c r="DS204" s="336"/>
      <c r="DT204" s="336"/>
      <c r="DU204" s="336"/>
      <c r="DW204" s="336">
        <f t="shared" si="1529"/>
        <v>0</v>
      </c>
      <c r="DX204" s="336">
        <f t="shared" si="1479"/>
        <v>0</v>
      </c>
      <c r="DY204" s="336">
        <f t="shared" si="1480"/>
        <v>0</v>
      </c>
      <c r="DZ204" s="336">
        <f t="shared" si="1481"/>
        <v>0</v>
      </c>
      <c r="EA204" s="336">
        <f t="shared" si="1482"/>
        <v>0</v>
      </c>
      <c r="EB204" s="336">
        <f t="shared" si="1483"/>
        <v>0</v>
      </c>
      <c r="EC204" s="336">
        <f t="shared" si="1484"/>
        <v>0</v>
      </c>
      <c r="ED204" s="336">
        <f t="shared" si="1485"/>
        <v>0</v>
      </c>
      <c r="EE204" s="336">
        <f t="shared" si="1486"/>
        <v>0</v>
      </c>
      <c r="EF204" s="336">
        <f t="shared" si="1487"/>
        <v>0</v>
      </c>
      <c r="EG204" s="336">
        <f t="shared" si="1488"/>
        <v>0</v>
      </c>
      <c r="EH204" s="336">
        <f t="shared" si="1489"/>
        <v>0</v>
      </c>
      <c r="EI204" s="336">
        <f t="shared" si="1490"/>
        <v>0</v>
      </c>
      <c r="EJ204" s="336">
        <f t="shared" si="1491"/>
        <v>0</v>
      </c>
      <c r="EK204" s="336">
        <f t="shared" si="1492"/>
        <v>0</v>
      </c>
      <c r="EL204" s="336">
        <f t="shared" si="1493"/>
        <v>0</v>
      </c>
      <c r="EM204" s="336">
        <f t="shared" si="1494"/>
        <v>0</v>
      </c>
      <c r="EN204" s="336">
        <f t="shared" si="1495"/>
        <v>0</v>
      </c>
      <c r="EO204" s="336">
        <f t="shared" si="1496"/>
        <v>0</v>
      </c>
      <c r="EP204" s="336">
        <f t="shared" si="1497"/>
        <v>0</v>
      </c>
      <c r="EQ204" s="336">
        <f t="shared" si="1498"/>
        <v>0</v>
      </c>
      <c r="ER204" s="336">
        <f t="shared" si="1499"/>
        <v>0</v>
      </c>
      <c r="ES204" s="336">
        <f t="shared" si="1500"/>
        <v>0</v>
      </c>
      <c r="ET204" s="336">
        <f t="shared" si="1500"/>
        <v>0</v>
      </c>
      <c r="EU204" s="336">
        <f t="shared" si="1501"/>
        <v>0</v>
      </c>
      <c r="EV204" s="336">
        <f t="shared" si="1502"/>
        <v>0</v>
      </c>
      <c r="EW204" s="336">
        <f t="shared" si="1503"/>
        <v>0</v>
      </c>
      <c r="EX204" s="336">
        <f t="shared" si="1504"/>
        <v>0</v>
      </c>
      <c r="EY204" s="336">
        <f t="shared" si="1505"/>
        <v>0</v>
      </c>
      <c r="EZ204" s="336">
        <f t="shared" si="1506"/>
        <v>0</v>
      </c>
      <c r="FA204" s="336">
        <f t="shared" si="1507"/>
        <v>0</v>
      </c>
      <c r="FB204" s="336">
        <f t="shared" si="1508"/>
        <v>0</v>
      </c>
      <c r="FC204" s="336">
        <f t="shared" si="1509"/>
        <v>0</v>
      </c>
      <c r="FD204" s="336">
        <f t="shared" si="1510"/>
        <v>0</v>
      </c>
      <c r="FE204" s="336">
        <f t="shared" si="1511"/>
        <v>0</v>
      </c>
      <c r="FF204" s="336">
        <f t="shared" si="1512"/>
        <v>0</v>
      </c>
      <c r="FG204" s="336">
        <f t="shared" si="1513"/>
        <v>0</v>
      </c>
      <c r="FH204" s="336">
        <f t="shared" si="1514"/>
        <v>0</v>
      </c>
      <c r="FI204" s="336">
        <f t="shared" si="1515"/>
        <v>0</v>
      </c>
      <c r="FJ204" s="336">
        <f t="shared" si="1516"/>
        <v>0</v>
      </c>
      <c r="FK204" s="336">
        <f t="shared" si="1517"/>
        <v>0</v>
      </c>
      <c r="FL204" s="336">
        <f t="shared" si="1518"/>
        <v>0</v>
      </c>
      <c r="FM204" s="336">
        <f t="shared" si="1519"/>
        <v>0</v>
      </c>
      <c r="FN204" s="336">
        <f t="shared" si="1520"/>
        <v>0</v>
      </c>
      <c r="FO204" s="336">
        <f t="shared" si="1521"/>
        <v>0</v>
      </c>
      <c r="FP204" s="336">
        <f t="shared" si="1522"/>
        <v>0</v>
      </c>
      <c r="FQ204" s="336">
        <f t="shared" si="1523"/>
        <v>0</v>
      </c>
      <c r="FR204" s="336">
        <f t="shared" si="1524"/>
        <v>0</v>
      </c>
      <c r="FS204" s="336">
        <f t="shared" si="1525"/>
        <v>0</v>
      </c>
      <c r="FT204" s="336">
        <f t="shared" si="1526"/>
        <v>0</v>
      </c>
      <c r="FU204" s="336">
        <f t="shared" si="1474"/>
        <v>0</v>
      </c>
      <c r="FV204" s="336">
        <f t="shared" si="1475"/>
        <v>0</v>
      </c>
      <c r="FW204" s="336">
        <f t="shared" si="1476"/>
        <v>0</v>
      </c>
      <c r="FX204" s="336">
        <f t="shared" si="1477"/>
        <v>0</v>
      </c>
      <c r="FY204" s="336">
        <f t="shared" si="1559"/>
        <v>0</v>
      </c>
      <c r="FZ204" s="336">
        <f t="shared" si="1560"/>
        <v>0</v>
      </c>
      <c r="GA204" s="336">
        <f t="shared" si="1561"/>
        <v>0</v>
      </c>
      <c r="GB204" s="336">
        <f t="shared" si="1562"/>
        <v>0</v>
      </c>
      <c r="GC204" s="336">
        <f t="shared" si="1563"/>
        <v>0</v>
      </c>
      <c r="GD204" s="336">
        <f t="shared" si="1564"/>
        <v>0</v>
      </c>
      <c r="GE204" s="336">
        <f t="shared" si="1565"/>
        <v>0</v>
      </c>
      <c r="GF204" s="336">
        <f t="shared" si="1566"/>
        <v>0</v>
      </c>
      <c r="GG204" s="336">
        <f t="shared" si="1567"/>
        <v>0</v>
      </c>
      <c r="GH204" s="336">
        <f t="shared" si="1568"/>
        <v>0</v>
      </c>
      <c r="GI204" s="336">
        <f t="shared" si="1569"/>
        <v>0</v>
      </c>
      <c r="GJ204" s="336">
        <f t="shared" si="1570"/>
        <v>0</v>
      </c>
      <c r="GK204" s="336">
        <f t="shared" si="1571"/>
        <v>0</v>
      </c>
      <c r="GL204" s="336">
        <f t="shared" si="1478"/>
        <v>0</v>
      </c>
      <c r="GM204" s="336">
        <f t="shared" si="1572"/>
        <v>0</v>
      </c>
    </row>
    <row r="205" spans="1:195" ht="27.75" customHeight="1">
      <c r="A205" s="337">
        <f t="shared" si="1578"/>
        <v>159</v>
      </c>
      <c r="B205" s="453"/>
      <c r="C205" s="372" t="str">
        <f t="shared" si="1573"/>
        <v>ADMIN BUILDING HVAC DB</v>
      </c>
      <c r="D205" s="444" t="s">
        <v>1351</v>
      </c>
      <c r="E205" s="567" t="s">
        <v>1342</v>
      </c>
      <c r="F205" s="444"/>
      <c r="G205" s="337" t="s">
        <v>329</v>
      </c>
      <c r="H205" s="583">
        <v>0.37</v>
      </c>
      <c r="I205" s="337" t="s">
        <v>330</v>
      </c>
      <c r="J205" s="337" t="s">
        <v>331</v>
      </c>
      <c r="K205" s="897">
        <v>400</v>
      </c>
      <c r="L205" s="343">
        <v>0.95</v>
      </c>
      <c r="M205" s="350">
        <v>0.85</v>
      </c>
      <c r="N205" s="342">
        <f t="shared" ref="N205:N212" si="1579">IF(I205="kVA",IF(J205="3Ph",(H205*1000/(1.732*M205*K205)),(H205*1000/(M205*K205))),IF(I205="kW",IF(J205="3Ph",(H205*1000/(1.732*M205*K205*L205)),(H205*1000/(M205*K205*L205)))))</f>
        <v>0.66138039025018058</v>
      </c>
      <c r="O205" s="342">
        <f t="shared" ref="O205:O212" si="1580">IF(G205="MOTOR",(6*N205),IF(G205="VFD",(1*N205),0))</f>
        <v>0</v>
      </c>
      <c r="P205" s="343" t="str">
        <f t="shared" ref="P205:P212" si="1581">IF(G205="MOTOR",0.2,"0.00")</f>
        <v>0.00</v>
      </c>
      <c r="Q205" s="350">
        <v>65</v>
      </c>
      <c r="R205" s="350">
        <v>0</v>
      </c>
      <c r="S205" s="350">
        <f t="shared" ref="S205:S260" si="1582">(Q205*1000*SQRT(R205)/143)</f>
        <v>0</v>
      </c>
      <c r="T205" s="343" t="s">
        <v>131</v>
      </c>
      <c r="U205" s="350" t="s">
        <v>522</v>
      </c>
      <c r="V205" s="343">
        <v>4</v>
      </c>
      <c r="W205" s="343" t="str">
        <f t="shared" ref="W205:W260" si="1583">CONCATENATE(U205," X ",V205)</f>
        <v>4C X 4</v>
      </c>
      <c r="X205" s="343" t="str">
        <f t="shared" si="1545"/>
        <v>4C X 4</v>
      </c>
      <c r="Y205" s="343" t="s">
        <v>358</v>
      </c>
      <c r="Z205" s="344">
        <f>IF(T205="AIR",VLOOKUP(W205,'Catalogue Aluminium'!$B$9:$G$93,2,FALSE),IF(T205="GROUND",VLOOKUP(W205,'Catalogue Aluminium'!$B$9:$G$93,3,FALSE),IF(T205="DUCT",VLOOKUP(W205,'Catalogue Aluminium'!$B$9:$G$93,4,FALSE),IF(T205="TRENCH",VLOOKUP(W205,'Catalogue Aluminium'!$B$9:$G$93,2,FALSE)))))</f>
        <v>38</v>
      </c>
      <c r="AA205" s="345">
        <f>VLOOKUP(W205,'Catalogue Aluminium'!$B$9:$G$93,5,FALSE)</f>
        <v>5.9</v>
      </c>
      <c r="AB205" s="345">
        <f>VLOOKUP(W205,'Catalogue Aluminium'!$B$9:$G$93,6,FALSE)</f>
        <v>9.4700000000000006E-2</v>
      </c>
      <c r="AC205" s="343">
        <f t="shared" si="1577"/>
        <v>32</v>
      </c>
      <c r="AD205" s="343">
        <v>0</v>
      </c>
      <c r="AE205" s="343">
        <v>10</v>
      </c>
      <c r="AF205" s="343">
        <v>5</v>
      </c>
      <c r="AG205" s="343">
        <f t="shared" si="1462"/>
        <v>5</v>
      </c>
      <c r="AH205" s="347">
        <f t="shared" si="1546"/>
        <v>52</v>
      </c>
      <c r="AI205" s="344">
        <f>IF(T205="AIR",'Catalogue Aluminium'!$K$9,IF(T205="TRENCH",'Catalogue Aluminium'!$K$12,"NA"))</f>
        <v>0.89</v>
      </c>
      <c r="AJ205" s="342">
        <f>IF(T205="Air",(IF(U205="1C",'Catalogue Aluminium'!$L$9,'Catalogue Aluminium'!$M$9)),IF(T205="DUCT",(IF($U205="1C",'Catalogue Aluminium'!$L$10,'Catalogue Aluminium'!$M$10)),IF(T205="GROUND",(IF($U205="1C",'Catalogue Aluminium'!$L$11,'Catalogue Aluminium'!$M$11)),IF(T205="TRENCH",(IF($U205="1C",'Catalogue Aluminium'!$L$12,'Catalogue Aluminium'!$M$12))))))</f>
        <v>0.66</v>
      </c>
      <c r="AK205" s="344" t="str">
        <f>IF(T205="Air",'Catalogue Aluminium'!$N$9,IF(T205="GROUND",'Catalogue Aluminium'!$N$10,IF(T205="DUCT",'Catalogue Aluminium'!$N$11,IF(T205="TRENCH",'Catalogue Aluminium'!$N$12,"NA"))))</f>
        <v>NA</v>
      </c>
      <c r="AL205" s="344" t="str">
        <f>IF(T205="Air",(IF(U205="1C",'Catalogue Aluminium'!$O$9,'Catalogue Aluminium'!$P$9)),IF(T205="DUCT",(IF($U205="1C",'Catalogue Aluminium'!$O$10,'Catalogue Aluminium'!$P$10)),IF(T205="GROUND",(IF($U205="1C",'Catalogue Aluminium'!$O$11,'Catalogue Aluminium'!$P$11)),IF(T205="TRENCH",(IF($U205="1C",'Catalogue Aluminium'!$O$12,'Catalogue Aluminium'!$P$12))))))</f>
        <v>NA</v>
      </c>
      <c r="AM205" s="344" t="str">
        <f>IF(T205="AIR","NA",IF(T205="TRENCH","NA",IF(T205="DUCT",IF(U205="1C",VLOOKUP(V205,'Catalogue Aluminium'!$Q$9:$S$28,2,FALSE),VLOOKUP(V205,'Catalogue Aluminium'!$Q$9:$S$28,3)),IF(T205="GROUND",IF(U205="1C",VLOOKUP(V205,'Catalogue Aluminium'!$Q$9:$S$28,2,FALSE),VLOOKUP(V205,'Catalogue Aluminium'!$Q$9:$S$28,3))))))</f>
        <v>NA</v>
      </c>
      <c r="AN205" s="351">
        <f t="shared" si="1547"/>
        <v>0.58740000000000003</v>
      </c>
      <c r="AO205" s="350">
        <f t="shared" si="1548"/>
        <v>22.321200000000001</v>
      </c>
      <c r="AP205" s="349">
        <f t="shared" si="1549"/>
        <v>1</v>
      </c>
      <c r="AQ205" s="350" t="str">
        <f t="shared" si="1550"/>
        <v>YES</v>
      </c>
      <c r="AR205" s="351">
        <f t="shared" si="1463"/>
        <v>8.3910455264448902E-2</v>
      </c>
      <c r="AS205" s="343" t="str">
        <f t="shared" si="1464"/>
        <v>YES</v>
      </c>
      <c r="AT205" s="351" t="str">
        <f t="shared" si="1551"/>
        <v>NA</v>
      </c>
      <c r="AU205" s="343" t="str">
        <f t="shared" si="1552"/>
        <v>NA</v>
      </c>
      <c r="AV205" s="354" t="str">
        <f t="shared" si="1553"/>
        <v>1R x 0.6/1kV x 4C x 4 Sqmm</v>
      </c>
      <c r="AW205" s="354" t="str">
        <f t="shared" si="1554"/>
        <v>1R x 0.6/1kV x 4C x 4 Sqmm</v>
      </c>
      <c r="AX205" s="343">
        <f t="shared" si="1555"/>
        <v>52</v>
      </c>
      <c r="AY205" s="355"/>
      <c r="AZ205" s="355">
        <f t="shared" si="1556"/>
        <v>2</v>
      </c>
      <c r="BA205" s="356" t="str">
        <f t="shared" si="1557"/>
        <v/>
      </c>
      <c r="BB205" s="501">
        <f>VLOOKUP(W205,'Catalogue Aluminium'!$B$9:$H$93,7,FALSE)</f>
        <v>16</v>
      </c>
      <c r="BC205" s="328">
        <f t="shared" si="1558"/>
        <v>16</v>
      </c>
      <c r="BE205" s="336"/>
      <c r="BF205" s="336"/>
      <c r="BG205" s="336"/>
      <c r="BH205" s="336"/>
      <c r="BI205" s="336"/>
      <c r="BJ205" s="336"/>
      <c r="BK205" s="336"/>
      <c r="BL205" s="336"/>
      <c r="BM205" s="336"/>
      <c r="BN205" s="336"/>
      <c r="BO205" s="336"/>
      <c r="BP205" s="336"/>
      <c r="BQ205" s="336"/>
      <c r="BR205" s="336"/>
      <c r="BS205" s="336"/>
      <c r="BT205" s="336"/>
      <c r="BU205" s="336"/>
      <c r="BV205" s="336"/>
      <c r="BW205" s="336"/>
      <c r="BX205" s="336"/>
      <c r="BY205" s="336"/>
      <c r="BZ205" s="336"/>
      <c r="CA205" s="336"/>
      <c r="CB205" s="336"/>
      <c r="CC205" s="336"/>
      <c r="CD205" s="336"/>
      <c r="CE205" s="336"/>
      <c r="CF205" s="336"/>
      <c r="CG205" s="336"/>
      <c r="CH205" s="336"/>
      <c r="CI205" s="336"/>
      <c r="CJ205" s="336"/>
      <c r="CK205" s="336"/>
      <c r="CL205" s="336"/>
      <c r="CM205" s="336"/>
      <c r="CN205" s="336"/>
      <c r="CO205" s="336"/>
      <c r="CP205" s="336"/>
      <c r="CQ205" s="336"/>
      <c r="CR205" s="336"/>
      <c r="CS205" s="336"/>
      <c r="CT205" s="336"/>
      <c r="CU205" s="336"/>
      <c r="CV205" s="336"/>
      <c r="CW205" s="336"/>
      <c r="CX205" s="336"/>
      <c r="CY205" s="336"/>
      <c r="CZ205" s="336"/>
      <c r="DA205" s="336"/>
      <c r="DB205" s="336"/>
      <c r="DC205" s="336"/>
      <c r="DD205" s="336"/>
      <c r="DE205" s="336"/>
      <c r="DF205" s="336"/>
      <c r="DG205" s="336"/>
      <c r="DH205" s="336"/>
      <c r="DI205" s="336"/>
      <c r="DJ205" s="336"/>
      <c r="DK205" s="336"/>
      <c r="DL205" s="336"/>
      <c r="DM205" s="336"/>
      <c r="DN205" s="336"/>
      <c r="DO205" s="336"/>
      <c r="DP205" s="336"/>
      <c r="DQ205" s="336"/>
      <c r="DR205" s="336"/>
      <c r="DS205" s="336"/>
      <c r="DT205" s="336"/>
      <c r="DU205" s="336"/>
      <c r="DW205" s="336">
        <f t="shared" si="1529"/>
        <v>0</v>
      </c>
      <c r="DX205" s="336">
        <f t="shared" si="1479"/>
        <v>0</v>
      </c>
      <c r="DY205" s="336">
        <f t="shared" si="1480"/>
        <v>0</v>
      </c>
      <c r="DZ205" s="336">
        <f t="shared" si="1481"/>
        <v>0</v>
      </c>
      <c r="EA205" s="336">
        <f t="shared" si="1482"/>
        <v>0</v>
      </c>
      <c r="EB205" s="336">
        <f t="shared" si="1483"/>
        <v>0</v>
      </c>
      <c r="EC205" s="336">
        <f t="shared" si="1484"/>
        <v>0</v>
      </c>
      <c r="ED205" s="336">
        <f t="shared" si="1485"/>
        <v>0</v>
      </c>
      <c r="EE205" s="336">
        <f t="shared" si="1486"/>
        <v>0</v>
      </c>
      <c r="EF205" s="336">
        <f t="shared" si="1487"/>
        <v>0</v>
      </c>
      <c r="EG205" s="336">
        <f t="shared" si="1488"/>
        <v>0</v>
      </c>
      <c r="EH205" s="336">
        <f t="shared" si="1489"/>
        <v>0</v>
      </c>
      <c r="EI205" s="336">
        <f t="shared" si="1490"/>
        <v>0</v>
      </c>
      <c r="EJ205" s="336">
        <f t="shared" si="1491"/>
        <v>0</v>
      </c>
      <c r="EK205" s="336">
        <f t="shared" si="1492"/>
        <v>0</v>
      </c>
      <c r="EL205" s="336">
        <f t="shared" si="1493"/>
        <v>0</v>
      </c>
      <c r="EM205" s="336">
        <f t="shared" si="1494"/>
        <v>0</v>
      </c>
      <c r="EN205" s="336">
        <f t="shared" si="1495"/>
        <v>0</v>
      </c>
      <c r="EO205" s="336">
        <f t="shared" si="1496"/>
        <v>0</v>
      </c>
      <c r="EP205" s="336">
        <f t="shared" si="1497"/>
        <v>0</v>
      </c>
      <c r="EQ205" s="336">
        <f t="shared" si="1498"/>
        <v>0</v>
      </c>
      <c r="ER205" s="336">
        <f t="shared" si="1499"/>
        <v>0</v>
      </c>
      <c r="ES205" s="336">
        <f t="shared" si="1500"/>
        <v>0</v>
      </c>
      <c r="ET205" s="336">
        <f t="shared" si="1500"/>
        <v>0</v>
      </c>
      <c r="EU205" s="336">
        <f t="shared" si="1501"/>
        <v>0</v>
      </c>
      <c r="EV205" s="336">
        <f t="shared" si="1502"/>
        <v>0</v>
      </c>
      <c r="EW205" s="336">
        <f t="shared" si="1503"/>
        <v>0</v>
      </c>
      <c r="EX205" s="336">
        <f t="shared" si="1504"/>
        <v>0</v>
      </c>
      <c r="EY205" s="336">
        <f t="shared" si="1505"/>
        <v>0</v>
      </c>
      <c r="EZ205" s="336">
        <f t="shared" si="1506"/>
        <v>0</v>
      </c>
      <c r="FA205" s="336">
        <f t="shared" si="1507"/>
        <v>0</v>
      </c>
      <c r="FB205" s="336">
        <f t="shared" si="1508"/>
        <v>0</v>
      </c>
      <c r="FC205" s="336">
        <f t="shared" si="1509"/>
        <v>0</v>
      </c>
      <c r="FD205" s="336">
        <f t="shared" si="1510"/>
        <v>0</v>
      </c>
      <c r="FE205" s="336">
        <f t="shared" si="1511"/>
        <v>0</v>
      </c>
      <c r="FF205" s="336">
        <f t="shared" si="1512"/>
        <v>0</v>
      </c>
      <c r="FG205" s="336">
        <f t="shared" si="1513"/>
        <v>0</v>
      </c>
      <c r="FH205" s="336">
        <f t="shared" si="1514"/>
        <v>0</v>
      </c>
      <c r="FI205" s="336">
        <f t="shared" si="1515"/>
        <v>0</v>
      </c>
      <c r="FJ205" s="336">
        <f t="shared" si="1516"/>
        <v>0</v>
      </c>
      <c r="FK205" s="336">
        <f t="shared" si="1517"/>
        <v>0</v>
      </c>
      <c r="FL205" s="336">
        <f t="shared" si="1518"/>
        <v>0</v>
      </c>
      <c r="FM205" s="336">
        <f t="shared" si="1519"/>
        <v>0</v>
      </c>
      <c r="FN205" s="336">
        <f t="shared" si="1520"/>
        <v>0</v>
      </c>
      <c r="FO205" s="336">
        <f t="shared" si="1521"/>
        <v>0</v>
      </c>
      <c r="FP205" s="336">
        <f t="shared" si="1522"/>
        <v>0</v>
      </c>
      <c r="FQ205" s="336">
        <f t="shared" si="1523"/>
        <v>0</v>
      </c>
      <c r="FR205" s="336">
        <f t="shared" si="1524"/>
        <v>0</v>
      </c>
      <c r="FS205" s="336">
        <f t="shared" si="1525"/>
        <v>0</v>
      </c>
      <c r="FT205" s="336">
        <f t="shared" si="1526"/>
        <v>0</v>
      </c>
      <c r="FU205" s="336">
        <f t="shared" si="1474"/>
        <v>0</v>
      </c>
      <c r="FV205" s="336">
        <f t="shared" si="1475"/>
        <v>0</v>
      </c>
      <c r="FW205" s="336">
        <f t="shared" si="1476"/>
        <v>0</v>
      </c>
      <c r="FX205" s="336">
        <f t="shared" si="1477"/>
        <v>0</v>
      </c>
      <c r="FY205" s="336">
        <f t="shared" si="1559"/>
        <v>0</v>
      </c>
      <c r="FZ205" s="336">
        <f t="shared" si="1560"/>
        <v>0</v>
      </c>
      <c r="GA205" s="336">
        <f t="shared" si="1561"/>
        <v>0</v>
      </c>
      <c r="GB205" s="336">
        <f t="shared" si="1562"/>
        <v>0</v>
      </c>
      <c r="GC205" s="336">
        <f t="shared" si="1563"/>
        <v>0</v>
      </c>
      <c r="GD205" s="336">
        <f t="shared" si="1564"/>
        <v>0</v>
      </c>
      <c r="GE205" s="336">
        <f t="shared" si="1565"/>
        <v>0</v>
      </c>
      <c r="GF205" s="336">
        <f t="shared" si="1566"/>
        <v>0</v>
      </c>
      <c r="GG205" s="336">
        <f t="shared" si="1567"/>
        <v>0</v>
      </c>
      <c r="GH205" s="336">
        <f t="shared" si="1568"/>
        <v>0</v>
      </c>
      <c r="GI205" s="336">
        <f t="shared" si="1569"/>
        <v>0</v>
      </c>
      <c r="GJ205" s="336">
        <f t="shared" si="1570"/>
        <v>0</v>
      </c>
      <c r="GK205" s="336">
        <f t="shared" si="1571"/>
        <v>0</v>
      </c>
      <c r="GL205" s="336">
        <f t="shared" si="1478"/>
        <v>0</v>
      </c>
      <c r="GM205" s="336">
        <f t="shared" si="1572"/>
        <v>0</v>
      </c>
    </row>
    <row r="206" spans="1:195" ht="27.75" customHeight="1">
      <c r="A206" s="337">
        <f t="shared" si="1578"/>
        <v>160</v>
      </c>
      <c r="B206" s="453"/>
      <c r="C206" s="372" t="str">
        <f t="shared" si="1573"/>
        <v>ADMIN BUILDING HVAC DB</v>
      </c>
      <c r="D206" s="444" t="s">
        <v>1352</v>
      </c>
      <c r="E206" s="567" t="s">
        <v>1342</v>
      </c>
      <c r="F206" s="444"/>
      <c r="G206" s="337" t="s">
        <v>329</v>
      </c>
      <c r="H206" s="583">
        <v>0.25</v>
      </c>
      <c r="I206" s="337" t="s">
        <v>330</v>
      </c>
      <c r="J206" s="337" t="s">
        <v>331</v>
      </c>
      <c r="K206" s="526">
        <v>400</v>
      </c>
      <c r="L206" s="343">
        <v>0.95</v>
      </c>
      <c r="M206" s="350">
        <v>0.85</v>
      </c>
      <c r="N206" s="342">
        <f t="shared" si="1579"/>
        <v>0.44687864206093286</v>
      </c>
      <c r="O206" s="342">
        <f t="shared" si="1580"/>
        <v>0</v>
      </c>
      <c r="P206" s="343" t="str">
        <f t="shared" si="1581"/>
        <v>0.00</v>
      </c>
      <c r="Q206" s="350">
        <v>65</v>
      </c>
      <c r="R206" s="350">
        <v>0</v>
      </c>
      <c r="S206" s="350">
        <f t="shared" si="1582"/>
        <v>0</v>
      </c>
      <c r="T206" s="343" t="s">
        <v>131</v>
      </c>
      <c r="U206" s="350" t="s">
        <v>522</v>
      </c>
      <c r="V206" s="343">
        <v>4</v>
      </c>
      <c r="W206" s="343" t="str">
        <f t="shared" si="1583"/>
        <v>4C X 4</v>
      </c>
      <c r="X206" s="343" t="str">
        <f t="shared" si="1545"/>
        <v>4C X 4</v>
      </c>
      <c r="Y206" s="343" t="s">
        <v>358</v>
      </c>
      <c r="Z206" s="344">
        <f>IF(T206="AIR",VLOOKUP(W206,'Catalogue Aluminium'!$B$9:$G$93,2,FALSE),IF(T206="GROUND",VLOOKUP(W206,'Catalogue Aluminium'!$B$9:$G$93,3,FALSE),IF(T206="DUCT",VLOOKUP(W206,'Catalogue Aluminium'!$B$9:$G$93,4,FALSE),IF(T206="TRENCH",VLOOKUP(W206,'Catalogue Aluminium'!$B$9:$G$93,2,FALSE)))))</f>
        <v>38</v>
      </c>
      <c r="AA206" s="345">
        <f>VLOOKUP(W206,'Catalogue Aluminium'!$B$9:$G$93,5,FALSE)</f>
        <v>5.9</v>
      </c>
      <c r="AB206" s="345">
        <f>VLOOKUP(W206,'Catalogue Aluminium'!$B$9:$G$93,6,FALSE)</f>
        <v>9.4700000000000006E-2</v>
      </c>
      <c r="AC206" s="343">
        <f t="shared" si="1577"/>
        <v>32</v>
      </c>
      <c r="AD206" s="343">
        <v>0</v>
      </c>
      <c r="AE206" s="343">
        <v>10</v>
      </c>
      <c r="AF206" s="343">
        <v>5</v>
      </c>
      <c r="AG206" s="343">
        <f t="shared" si="1462"/>
        <v>5</v>
      </c>
      <c r="AH206" s="347">
        <f t="shared" si="1546"/>
        <v>52</v>
      </c>
      <c r="AI206" s="344">
        <f>IF(T206="AIR",'Catalogue Aluminium'!$K$9,IF(T206="TRENCH",'Catalogue Aluminium'!$K$12,"NA"))</f>
        <v>0.89</v>
      </c>
      <c r="AJ206" s="342">
        <f>IF(T206="Air",(IF(U206="1C",'Catalogue Aluminium'!$L$9,'Catalogue Aluminium'!$M$9)),IF(T206="DUCT",(IF($U206="1C",'Catalogue Aluminium'!$L$10,'Catalogue Aluminium'!$M$10)),IF(T206="GROUND",(IF($U206="1C",'Catalogue Aluminium'!$L$11,'Catalogue Aluminium'!$M$11)),IF(T206="TRENCH",(IF($U206="1C",'Catalogue Aluminium'!$L$12,'Catalogue Aluminium'!$M$12))))))</f>
        <v>0.66</v>
      </c>
      <c r="AK206" s="344" t="str">
        <f>IF(T206="Air",'Catalogue Aluminium'!$N$9,IF(T206="GROUND",'Catalogue Aluminium'!$N$10,IF(T206="DUCT",'Catalogue Aluminium'!$N$11,IF(T206="TRENCH",'Catalogue Aluminium'!$N$12,"NA"))))</f>
        <v>NA</v>
      </c>
      <c r="AL206" s="344" t="str">
        <f>IF(T206="Air",(IF(U206="1C",'Catalogue Aluminium'!$O$9,'Catalogue Aluminium'!$P$9)),IF(T206="DUCT",(IF($U206="1C",'Catalogue Aluminium'!$O$10,'Catalogue Aluminium'!$P$10)),IF(T206="GROUND",(IF($U206="1C",'Catalogue Aluminium'!$O$11,'Catalogue Aluminium'!$P$11)),IF(T206="TRENCH",(IF($U206="1C",'Catalogue Aluminium'!$O$12,'Catalogue Aluminium'!$P$12))))))</f>
        <v>NA</v>
      </c>
      <c r="AM206" s="344" t="str">
        <f>IF(T206="AIR","NA",IF(T206="TRENCH","NA",IF(T206="DUCT",IF(U206="1C",VLOOKUP(V206,'Catalogue Aluminium'!$Q$9:$S$28,2,FALSE),VLOOKUP(V206,'Catalogue Aluminium'!$Q$9:$S$28,3)),IF(T206="GROUND",IF(U206="1C",VLOOKUP(V206,'Catalogue Aluminium'!$Q$9:$S$28,2,FALSE),VLOOKUP(V206,'Catalogue Aluminium'!$Q$9:$S$28,3))))))</f>
        <v>NA</v>
      </c>
      <c r="AN206" s="351">
        <f t="shared" si="1547"/>
        <v>0.58740000000000003</v>
      </c>
      <c r="AO206" s="350">
        <f t="shared" si="1548"/>
        <v>22.321200000000001</v>
      </c>
      <c r="AP206" s="349">
        <f t="shared" si="1549"/>
        <v>1</v>
      </c>
      <c r="AQ206" s="350" t="str">
        <f t="shared" si="1550"/>
        <v>YES</v>
      </c>
      <c r="AR206" s="351">
        <f t="shared" si="1463"/>
        <v>5.6696253557060074E-2</v>
      </c>
      <c r="AS206" s="343" t="str">
        <f t="shared" si="1464"/>
        <v>YES</v>
      </c>
      <c r="AT206" s="351" t="str">
        <f t="shared" si="1551"/>
        <v>NA</v>
      </c>
      <c r="AU206" s="343" t="str">
        <f t="shared" si="1552"/>
        <v>NA</v>
      </c>
      <c r="AV206" s="354" t="str">
        <f t="shared" si="1553"/>
        <v>1R x 0.6/1kV x 4C x 4 Sqmm</v>
      </c>
      <c r="AW206" s="354" t="str">
        <f t="shared" si="1554"/>
        <v>1R x 0.6/1kV x 4C x 4 Sqmm</v>
      </c>
      <c r="AX206" s="343">
        <f t="shared" si="1555"/>
        <v>52</v>
      </c>
      <c r="AY206" s="355"/>
      <c r="AZ206" s="355">
        <f t="shared" si="1556"/>
        <v>2</v>
      </c>
      <c r="BA206" s="356" t="str">
        <f t="shared" si="1557"/>
        <v/>
      </c>
      <c r="BB206" s="501">
        <f>VLOOKUP(W206,'Catalogue Aluminium'!$B$9:$H$93,7,FALSE)</f>
        <v>16</v>
      </c>
      <c r="BC206" s="328">
        <f t="shared" si="1558"/>
        <v>16</v>
      </c>
      <c r="BE206" s="336"/>
      <c r="BF206" s="336"/>
      <c r="BG206" s="336"/>
      <c r="BH206" s="336"/>
      <c r="BI206" s="336"/>
      <c r="BJ206" s="336"/>
      <c r="BK206" s="336"/>
      <c r="BL206" s="336"/>
      <c r="BM206" s="336"/>
      <c r="BN206" s="336"/>
      <c r="BO206" s="336"/>
      <c r="BP206" s="336"/>
      <c r="BQ206" s="336"/>
      <c r="BR206" s="336"/>
      <c r="BS206" s="336"/>
      <c r="BT206" s="336"/>
      <c r="BU206" s="336"/>
      <c r="BV206" s="336"/>
      <c r="BW206" s="336"/>
      <c r="BX206" s="336"/>
      <c r="BY206" s="336"/>
      <c r="BZ206" s="336"/>
      <c r="CA206" s="336"/>
      <c r="CB206" s="336"/>
      <c r="CC206" s="336"/>
      <c r="CD206" s="336"/>
      <c r="CE206" s="336"/>
      <c r="CF206" s="336"/>
      <c r="CG206" s="336"/>
      <c r="CH206" s="336"/>
      <c r="CI206" s="336"/>
      <c r="CJ206" s="336"/>
      <c r="CK206" s="336"/>
      <c r="CL206" s="336"/>
      <c r="CM206" s="336"/>
      <c r="CN206" s="336"/>
      <c r="CO206" s="336"/>
      <c r="CP206" s="336"/>
      <c r="CQ206" s="336"/>
      <c r="CR206" s="336"/>
      <c r="CS206" s="336"/>
      <c r="CT206" s="336"/>
      <c r="CU206" s="336"/>
      <c r="CV206" s="336"/>
      <c r="CW206" s="336"/>
      <c r="CX206" s="336"/>
      <c r="CY206" s="336"/>
      <c r="CZ206" s="336"/>
      <c r="DA206" s="336"/>
      <c r="DB206" s="336"/>
      <c r="DC206" s="336"/>
      <c r="DD206" s="336"/>
      <c r="DE206" s="336"/>
      <c r="DF206" s="336"/>
      <c r="DG206" s="336"/>
      <c r="DH206" s="336"/>
      <c r="DI206" s="336"/>
      <c r="DJ206" s="336"/>
      <c r="DK206" s="336"/>
      <c r="DL206" s="336"/>
      <c r="DM206" s="336"/>
      <c r="DN206" s="336"/>
      <c r="DO206" s="336"/>
      <c r="DP206" s="336"/>
      <c r="DQ206" s="336"/>
      <c r="DR206" s="336"/>
      <c r="DS206" s="336"/>
      <c r="DT206" s="336"/>
      <c r="DU206" s="336"/>
      <c r="DW206" s="336">
        <f t="shared" si="1529"/>
        <v>0</v>
      </c>
      <c r="DX206" s="336">
        <f t="shared" si="1479"/>
        <v>0</v>
      </c>
      <c r="DY206" s="336">
        <f t="shared" si="1480"/>
        <v>0</v>
      </c>
      <c r="DZ206" s="336">
        <f t="shared" si="1481"/>
        <v>0</v>
      </c>
      <c r="EA206" s="336">
        <f t="shared" si="1482"/>
        <v>0</v>
      </c>
      <c r="EB206" s="336">
        <f t="shared" si="1483"/>
        <v>0</v>
      </c>
      <c r="EC206" s="336">
        <f t="shared" si="1484"/>
        <v>0</v>
      </c>
      <c r="ED206" s="336">
        <f t="shared" si="1485"/>
        <v>0</v>
      </c>
      <c r="EE206" s="336">
        <f t="shared" si="1486"/>
        <v>0</v>
      </c>
      <c r="EF206" s="336">
        <f t="shared" si="1487"/>
        <v>0</v>
      </c>
      <c r="EG206" s="336">
        <f t="shared" si="1488"/>
        <v>0</v>
      </c>
      <c r="EH206" s="336">
        <f t="shared" si="1489"/>
        <v>0</v>
      </c>
      <c r="EI206" s="336">
        <f t="shared" si="1490"/>
        <v>0</v>
      </c>
      <c r="EJ206" s="336">
        <f t="shared" si="1491"/>
        <v>0</v>
      </c>
      <c r="EK206" s="336">
        <f t="shared" si="1492"/>
        <v>0</v>
      </c>
      <c r="EL206" s="336">
        <f t="shared" si="1493"/>
        <v>0</v>
      </c>
      <c r="EM206" s="336">
        <f t="shared" si="1494"/>
        <v>0</v>
      </c>
      <c r="EN206" s="336">
        <f t="shared" si="1495"/>
        <v>0</v>
      </c>
      <c r="EO206" s="336">
        <f t="shared" si="1496"/>
        <v>0</v>
      </c>
      <c r="EP206" s="336">
        <f t="shared" si="1497"/>
        <v>0</v>
      </c>
      <c r="EQ206" s="336">
        <f t="shared" si="1498"/>
        <v>0</v>
      </c>
      <c r="ER206" s="336">
        <f t="shared" si="1499"/>
        <v>0</v>
      </c>
      <c r="ES206" s="336">
        <f t="shared" si="1500"/>
        <v>0</v>
      </c>
      <c r="ET206" s="336">
        <f t="shared" si="1500"/>
        <v>0</v>
      </c>
      <c r="EU206" s="336">
        <f t="shared" si="1501"/>
        <v>0</v>
      </c>
      <c r="EV206" s="336">
        <f t="shared" si="1502"/>
        <v>0</v>
      </c>
      <c r="EW206" s="336">
        <f t="shared" si="1503"/>
        <v>0</v>
      </c>
      <c r="EX206" s="336">
        <f t="shared" si="1504"/>
        <v>0</v>
      </c>
      <c r="EY206" s="336">
        <f t="shared" si="1505"/>
        <v>0</v>
      </c>
      <c r="EZ206" s="336">
        <f t="shared" si="1506"/>
        <v>0</v>
      </c>
      <c r="FA206" s="336">
        <f t="shared" si="1507"/>
        <v>0</v>
      </c>
      <c r="FB206" s="336">
        <f t="shared" si="1508"/>
        <v>0</v>
      </c>
      <c r="FC206" s="336">
        <f t="shared" si="1509"/>
        <v>0</v>
      </c>
      <c r="FD206" s="336">
        <f t="shared" si="1510"/>
        <v>0</v>
      </c>
      <c r="FE206" s="336">
        <f t="shared" si="1511"/>
        <v>0</v>
      </c>
      <c r="FF206" s="336">
        <f t="shared" si="1512"/>
        <v>0</v>
      </c>
      <c r="FG206" s="336">
        <f t="shared" si="1513"/>
        <v>0</v>
      </c>
      <c r="FH206" s="336">
        <f t="shared" si="1514"/>
        <v>0</v>
      </c>
      <c r="FI206" s="336">
        <f t="shared" si="1515"/>
        <v>0</v>
      </c>
      <c r="FJ206" s="336">
        <f t="shared" si="1516"/>
        <v>0</v>
      </c>
      <c r="FK206" s="336">
        <f t="shared" si="1517"/>
        <v>0</v>
      </c>
      <c r="FL206" s="336">
        <f t="shared" si="1518"/>
        <v>0</v>
      </c>
      <c r="FM206" s="336">
        <f t="shared" si="1519"/>
        <v>0</v>
      </c>
      <c r="FN206" s="336">
        <f t="shared" si="1520"/>
        <v>0</v>
      </c>
      <c r="FO206" s="336">
        <f t="shared" si="1521"/>
        <v>0</v>
      </c>
      <c r="FP206" s="336">
        <f t="shared" si="1522"/>
        <v>0</v>
      </c>
      <c r="FQ206" s="336">
        <f t="shared" si="1523"/>
        <v>0</v>
      </c>
      <c r="FR206" s="336">
        <f t="shared" si="1524"/>
        <v>0</v>
      </c>
      <c r="FS206" s="336">
        <f t="shared" si="1525"/>
        <v>0</v>
      </c>
      <c r="FT206" s="336">
        <f t="shared" si="1526"/>
        <v>0</v>
      </c>
      <c r="FU206" s="336">
        <f t="shared" si="1474"/>
        <v>0</v>
      </c>
      <c r="FV206" s="336">
        <f t="shared" si="1475"/>
        <v>0</v>
      </c>
      <c r="FW206" s="336">
        <f t="shared" si="1476"/>
        <v>0</v>
      </c>
      <c r="FX206" s="336">
        <f t="shared" si="1477"/>
        <v>0</v>
      </c>
      <c r="FY206" s="336">
        <f t="shared" si="1559"/>
        <v>0</v>
      </c>
      <c r="FZ206" s="336">
        <f t="shared" si="1560"/>
        <v>0</v>
      </c>
      <c r="GA206" s="336">
        <f t="shared" si="1561"/>
        <v>0</v>
      </c>
      <c r="GB206" s="336">
        <f t="shared" si="1562"/>
        <v>0</v>
      </c>
      <c r="GC206" s="336">
        <f t="shared" si="1563"/>
        <v>0</v>
      </c>
      <c r="GD206" s="336">
        <f t="shared" si="1564"/>
        <v>0</v>
      </c>
      <c r="GE206" s="336">
        <f t="shared" si="1565"/>
        <v>0</v>
      </c>
      <c r="GF206" s="336">
        <f t="shared" si="1566"/>
        <v>0</v>
      </c>
      <c r="GG206" s="336">
        <f t="shared" si="1567"/>
        <v>0</v>
      </c>
      <c r="GH206" s="336">
        <f t="shared" si="1568"/>
        <v>0</v>
      </c>
      <c r="GI206" s="336">
        <f t="shared" si="1569"/>
        <v>0</v>
      </c>
      <c r="GJ206" s="336">
        <f t="shared" si="1570"/>
        <v>0</v>
      </c>
      <c r="GK206" s="336">
        <f t="shared" si="1571"/>
        <v>0</v>
      </c>
      <c r="GL206" s="336">
        <f t="shared" si="1478"/>
        <v>0</v>
      </c>
      <c r="GM206" s="336">
        <f t="shared" si="1572"/>
        <v>0</v>
      </c>
    </row>
    <row r="207" spans="1:195" ht="27.75" customHeight="1">
      <c r="A207" s="337">
        <f t="shared" si="1578"/>
        <v>161</v>
      </c>
      <c r="B207" s="453"/>
      <c r="C207" s="372" t="str">
        <f t="shared" si="1573"/>
        <v>ADMIN BUILDING HVAC DB</v>
      </c>
      <c r="D207" s="444" t="s">
        <v>1353</v>
      </c>
      <c r="E207" s="567" t="s">
        <v>1342</v>
      </c>
      <c r="F207" s="444"/>
      <c r="G207" s="337" t="s">
        <v>329</v>
      </c>
      <c r="H207" s="583">
        <v>0.37</v>
      </c>
      <c r="I207" s="337" t="s">
        <v>330</v>
      </c>
      <c r="J207" s="337" t="s">
        <v>331</v>
      </c>
      <c r="K207" s="897">
        <v>400</v>
      </c>
      <c r="L207" s="343">
        <v>0.95</v>
      </c>
      <c r="M207" s="350">
        <v>0.85</v>
      </c>
      <c r="N207" s="342">
        <f t="shared" si="1579"/>
        <v>0.66138039025018058</v>
      </c>
      <c r="O207" s="342">
        <f t="shared" si="1580"/>
        <v>0</v>
      </c>
      <c r="P207" s="343" t="str">
        <f t="shared" si="1581"/>
        <v>0.00</v>
      </c>
      <c r="Q207" s="350">
        <v>65</v>
      </c>
      <c r="R207" s="350">
        <v>0</v>
      </c>
      <c r="S207" s="350">
        <f t="shared" si="1582"/>
        <v>0</v>
      </c>
      <c r="T207" s="343" t="s">
        <v>131</v>
      </c>
      <c r="U207" s="350" t="s">
        <v>522</v>
      </c>
      <c r="V207" s="343">
        <v>4</v>
      </c>
      <c r="W207" s="343" t="str">
        <f t="shared" si="1583"/>
        <v>4C X 4</v>
      </c>
      <c r="X207" s="343" t="str">
        <f t="shared" si="1545"/>
        <v>4C X 4</v>
      </c>
      <c r="Y207" s="343" t="s">
        <v>358</v>
      </c>
      <c r="Z207" s="344">
        <f>IF(T207="AIR",VLOOKUP(W207,'Catalogue Aluminium'!$B$9:$G$93,2,FALSE),IF(T207="GROUND",VLOOKUP(W207,'Catalogue Aluminium'!$B$9:$G$93,3,FALSE),IF(T207="DUCT",VLOOKUP(W207,'Catalogue Aluminium'!$B$9:$G$93,4,FALSE),IF(T207="TRENCH",VLOOKUP(W207,'Catalogue Aluminium'!$B$9:$G$93,2,FALSE)))))</f>
        <v>38</v>
      </c>
      <c r="AA207" s="345">
        <f>VLOOKUP(W207,'Catalogue Aluminium'!$B$9:$G$93,5,FALSE)</f>
        <v>5.9</v>
      </c>
      <c r="AB207" s="345">
        <f>VLOOKUP(W207,'Catalogue Aluminium'!$B$9:$G$93,6,FALSE)</f>
        <v>9.4700000000000006E-2</v>
      </c>
      <c r="AC207" s="343">
        <f t="shared" si="1577"/>
        <v>32</v>
      </c>
      <c r="AD207" s="343">
        <v>0</v>
      </c>
      <c r="AE207" s="343">
        <v>10</v>
      </c>
      <c r="AF207" s="343">
        <v>5</v>
      </c>
      <c r="AG207" s="343">
        <f t="shared" si="1462"/>
        <v>5</v>
      </c>
      <c r="AH207" s="347">
        <f t="shared" si="1546"/>
        <v>52</v>
      </c>
      <c r="AI207" s="344">
        <f>IF(T207="AIR",'Catalogue Aluminium'!$K$9,IF(T207="TRENCH",'Catalogue Aluminium'!$K$12,"NA"))</f>
        <v>0.89</v>
      </c>
      <c r="AJ207" s="342">
        <f>IF(T207="Air",(IF(U207="1C",'Catalogue Aluminium'!$L$9,'Catalogue Aluminium'!$M$9)),IF(T207="DUCT",(IF($U207="1C",'Catalogue Aluminium'!$L$10,'Catalogue Aluminium'!$M$10)),IF(T207="GROUND",(IF($U207="1C",'Catalogue Aluminium'!$L$11,'Catalogue Aluminium'!$M$11)),IF(T207="TRENCH",(IF($U207="1C",'Catalogue Aluminium'!$L$12,'Catalogue Aluminium'!$M$12))))))</f>
        <v>0.66</v>
      </c>
      <c r="AK207" s="344" t="str">
        <f>IF(T207="Air",'Catalogue Aluminium'!$N$9,IF(T207="GROUND",'Catalogue Aluminium'!$N$10,IF(T207="DUCT",'Catalogue Aluminium'!$N$11,IF(T207="TRENCH",'Catalogue Aluminium'!$N$12,"NA"))))</f>
        <v>NA</v>
      </c>
      <c r="AL207" s="344" t="str">
        <f>IF(T207="Air",(IF(U207="1C",'Catalogue Aluminium'!$O$9,'Catalogue Aluminium'!$P$9)),IF(T207="DUCT",(IF($U207="1C",'Catalogue Aluminium'!$O$10,'Catalogue Aluminium'!$P$10)),IF(T207="GROUND",(IF($U207="1C",'Catalogue Aluminium'!$O$11,'Catalogue Aluminium'!$P$11)),IF(T207="TRENCH",(IF($U207="1C",'Catalogue Aluminium'!$O$12,'Catalogue Aluminium'!$P$12))))))</f>
        <v>NA</v>
      </c>
      <c r="AM207" s="344" t="str">
        <f>IF(T207="AIR","NA",IF(T207="TRENCH","NA",IF(T207="DUCT",IF(U207="1C",VLOOKUP(V207,'Catalogue Aluminium'!$Q$9:$S$28,2,FALSE),VLOOKUP(V207,'Catalogue Aluminium'!$Q$9:$S$28,3)),IF(T207="GROUND",IF(U207="1C",VLOOKUP(V207,'Catalogue Aluminium'!$Q$9:$S$28,2,FALSE),VLOOKUP(V207,'Catalogue Aluminium'!$Q$9:$S$28,3))))))</f>
        <v>NA</v>
      </c>
      <c r="AN207" s="351">
        <f t="shared" si="1547"/>
        <v>0.58740000000000003</v>
      </c>
      <c r="AO207" s="350">
        <f t="shared" si="1548"/>
        <v>22.321200000000001</v>
      </c>
      <c r="AP207" s="349">
        <f t="shared" si="1549"/>
        <v>1</v>
      </c>
      <c r="AQ207" s="350" t="str">
        <f t="shared" si="1550"/>
        <v>YES</v>
      </c>
      <c r="AR207" s="351">
        <f t="shared" si="1463"/>
        <v>8.3910455264448902E-2</v>
      </c>
      <c r="AS207" s="343" t="str">
        <f t="shared" si="1464"/>
        <v>YES</v>
      </c>
      <c r="AT207" s="351" t="str">
        <f t="shared" si="1551"/>
        <v>NA</v>
      </c>
      <c r="AU207" s="343" t="str">
        <f t="shared" si="1552"/>
        <v>NA</v>
      </c>
      <c r="AV207" s="354" t="str">
        <f t="shared" si="1553"/>
        <v>1R x 0.6/1kV x 4C x 4 Sqmm</v>
      </c>
      <c r="AW207" s="354" t="str">
        <f t="shared" si="1554"/>
        <v>1R x 0.6/1kV x 4C x 4 Sqmm</v>
      </c>
      <c r="AX207" s="343">
        <f t="shared" si="1555"/>
        <v>52</v>
      </c>
      <c r="AY207" s="355"/>
      <c r="AZ207" s="355">
        <f t="shared" si="1556"/>
        <v>2</v>
      </c>
      <c r="BA207" s="356" t="str">
        <f t="shared" si="1557"/>
        <v/>
      </c>
      <c r="BB207" s="501">
        <f>VLOOKUP(W207,'Catalogue Aluminium'!$B$9:$H$93,7,FALSE)</f>
        <v>16</v>
      </c>
      <c r="BC207" s="328">
        <f t="shared" si="1558"/>
        <v>16</v>
      </c>
      <c r="BE207" s="336"/>
      <c r="BF207" s="336"/>
      <c r="BG207" s="336"/>
      <c r="BH207" s="336"/>
      <c r="BI207" s="336"/>
      <c r="BJ207" s="336"/>
      <c r="BK207" s="336"/>
      <c r="BL207" s="336"/>
      <c r="BM207" s="336"/>
      <c r="BN207" s="336"/>
      <c r="BO207" s="336"/>
      <c r="BP207" s="336"/>
      <c r="BQ207" s="336"/>
      <c r="BR207" s="336"/>
      <c r="BS207" s="336"/>
      <c r="BT207" s="336"/>
      <c r="BU207" s="336"/>
      <c r="BV207" s="336"/>
      <c r="BW207" s="336"/>
      <c r="BX207" s="336"/>
      <c r="BY207" s="336"/>
      <c r="BZ207" s="336"/>
      <c r="CA207" s="336"/>
      <c r="CB207" s="336"/>
      <c r="CC207" s="336"/>
      <c r="CD207" s="336"/>
      <c r="CE207" s="336"/>
      <c r="CF207" s="336"/>
      <c r="CG207" s="336"/>
      <c r="CH207" s="336"/>
      <c r="CI207" s="336"/>
      <c r="CJ207" s="336"/>
      <c r="CK207" s="336"/>
      <c r="CL207" s="336"/>
      <c r="CM207" s="336"/>
      <c r="CN207" s="336"/>
      <c r="CO207" s="336"/>
      <c r="CP207" s="336"/>
      <c r="CQ207" s="336"/>
      <c r="CR207" s="336"/>
      <c r="CS207" s="336"/>
      <c r="CT207" s="336"/>
      <c r="CU207" s="336"/>
      <c r="CV207" s="336"/>
      <c r="CW207" s="336"/>
      <c r="CX207" s="336"/>
      <c r="CY207" s="336"/>
      <c r="CZ207" s="336"/>
      <c r="DA207" s="336"/>
      <c r="DB207" s="336"/>
      <c r="DC207" s="336"/>
      <c r="DD207" s="336"/>
      <c r="DE207" s="336"/>
      <c r="DF207" s="336"/>
      <c r="DG207" s="336"/>
      <c r="DH207" s="336"/>
      <c r="DI207" s="336"/>
      <c r="DJ207" s="336"/>
      <c r="DK207" s="336"/>
      <c r="DL207" s="336"/>
      <c r="DM207" s="336"/>
      <c r="DN207" s="336"/>
      <c r="DO207" s="336"/>
      <c r="DP207" s="336"/>
      <c r="DQ207" s="336"/>
      <c r="DR207" s="336"/>
      <c r="DS207" s="336"/>
      <c r="DT207" s="336"/>
      <c r="DU207" s="336"/>
      <c r="DW207" s="336">
        <f t="shared" si="1529"/>
        <v>0</v>
      </c>
      <c r="DX207" s="336">
        <f t="shared" si="1479"/>
        <v>0</v>
      </c>
      <c r="DY207" s="336">
        <f t="shared" si="1480"/>
        <v>0</v>
      </c>
      <c r="DZ207" s="336">
        <f t="shared" si="1481"/>
        <v>0</v>
      </c>
      <c r="EA207" s="336">
        <f t="shared" si="1482"/>
        <v>0</v>
      </c>
      <c r="EB207" s="336">
        <f t="shared" si="1483"/>
        <v>0</v>
      </c>
      <c r="EC207" s="336">
        <f t="shared" si="1484"/>
        <v>0</v>
      </c>
      <c r="ED207" s="336">
        <f t="shared" si="1485"/>
        <v>0</v>
      </c>
      <c r="EE207" s="336">
        <f t="shared" si="1486"/>
        <v>0</v>
      </c>
      <c r="EF207" s="336">
        <f t="shared" si="1487"/>
        <v>0</v>
      </c>
      <c r="EG207" s="336">
        <f t="shared" si="1488"/>
        <v>0</v>
      </c>
      <c r="EH207" s="336">
        <f t="shared" si="1489"/>
        <v>0</v>
      </c>
      <c r="EI207" s="336">
        <f t="shared" si="1490"/>
        <v>0</v>
      </c>
      <c r="EJ207" s="336">
        <f t="shared" si="1491"/>
        <v>0</v>
      </c>
      <c r="EK207" s="336">
        <f t="shared" si="1492"/>
        <v>0</v>
      </c>
      <c r="EL207" s="336">
        <f t="shared" si="1493"/>
        <v>0</v>
      </c>
      <c r="EM207" s="336">
        <f t="shared" si="1494"/>
        <v>0</v>
      </c>
      <c r="EN207" s="336">
        <f t="shared" si="1495"/>
        <v>0</v>
      </c>
      <c r="EO207" s="336">
        <f t="shared" si="1496"/>
        <v>0</v>
      </c>
      <c r="EP207" s="336">
        <f t="shared" si="1497"/>
        <v>0</v>
      </c>
      <c r="EQ207" s="336">
        <f t="shared" si="1498"/>
        <v>0</v>
      </c>
      <c r="ER207" s="336">
        <f t="shared" si="1499"/>
        <v>0</v>
      </c>
      <c r="ES207" s="336">
        <f t="shared" si="1500"/>
        <v>0</v>
      </c>
      <c r="ET207" s="336">
        <f t="shared" si="1500"/>
        <v>0</v>
      </c>
      <c r="EU207" s="336">
        <f t="shared" si="1501"/>
        <v>0</v>
      </c>
      <c r="EV207" s="336">
        <f t="shared" si="1502"/>
        <v>0</v>
      </c>
      <c r="EW207" s="336">
        <f t="shared" si="1503"/>
        <v>0</v>
      </c>
      <c r="EX207" s="336">
        <f t="shared" si="1504"/>
        <v>0</v>
      </c>
      <c r="EY207" s="336">
        <f t="shared" si="1505"/>
        <v>0</v>
      </c>
      <c r="EZ207" s="336">
        <f t="shared" si="1506"/>
        <v>0</v>
      </c>
      <c r="FA207" s="336">
        <f t="shared" si="1507"/>
        <v>0</v>
      </c>
      <c r="FB207" s="336">
        <f t="shared" si="1508"/>
        <v>0</v>
      </c>
      <c r="FC207" s="336">
        <f t="shared" si="1509"/>
        <v>0</v>
      </c>
      <c r="FD207" s="336">
        <f t="shared" si="1510"/>
        <v>0</v>
      </c>
      <c r="FE207" s="336">
        <f t="shared" si="1511"/>
        <v>0</v>
      </c>
      <c r="FF207" s="336">
        <f t="shared" si="1512"/>
        <v>0</v>
      </c>
      <c r="FG207" s="336">
        <f t="shared" si="1513"/>
        <v>0</v>
      </c>
      <c r="FH207" s="336">
        <f t="shared" si="1514"/>
        <v>0</v>
      </c>
      <c r="FI207" s="336">
        <f t="shared" si="1515"/>
        <v>0</v>
      </c>
      <c r="FJ207" s="336">
        <f t="shared" si="1516"/>
        <v>0</v>
      </c>
      <c r="FK207" s="336">
        <f t="shared" si="1517"/>
        <v>0</v>
      </c>
      <c r="FL207" s="336">
        <f t="shared" si="1518"/>
        <v>0</v>
      </c>
      <c r="FM207" s="336">
        <f t="shared" si="1519"/>
        <v>0</v>
      </c>
      <c r="FN207" s="336">
        <f t="shared" si="1520"/>
        <v>0</v>
      </c>
      <c r="FO207" s="336">
        <f t="shared" si="1521"/>
        <v>0</v>
      </c>
      <c r="FP207" s="336">
        <f t="shared" si="1522"/>
        <v>0</v>
      </c>
      <c r="FQ207" s="336">
        <f t="shared" si="1523"/>
        <v>0</v>
      </c>
      <c r="FR207" s="336">
        <f t="shared" si="1524"/>
        <v>0</v>
      </c>
      <c r="FS207" s="336">
        <f t="shared" si="1525"/>
        <v>0</v>
      </c>
      <c r="FT207" s="336">
        <f t="shared" si="1526"/>
        <v>0</v>
      </c>
      <c r="FU207" s="336">
        <f t="shared" si="1474"/>
        <v>0</v>
      </c>
      <c r="FV207" s="336">
        <f t="shared" si="1475"/>
        <v>0</v>
      </c>
      <c r="FW207" s="336">
        <f t="shared" si="1476"/>
        <v>0</v>
      </c>
      <c r="FX207" s="336">
        <f t="shared" si="1477"/>
        <v>0</v>
      </c>
      <c r="FY207" s="336">
        <f t="shared" si="1559"/>
        <v>0</v>
      </c>
      <c r="FZ207" s="336">
        <f t="shared" si="1560"/>
        <v>0</v>
      </c>
      <c r="GA207" s="336">
        <f t="shared" si="1561"/>
        <v>0</v>
      </c>
      <c r="GB207" s="336">
        <f t="shared" si="1562"/>
        <v>0</v>
      </c>
      <c r="GC207" s="336">
        <f t="shared" si="1563"/>
        <v>0</v>
      </c>
      <c r="GD207" s="336">
        <f t="shared" si="1564"/>
        <v>0</v>
      </c>
      <c r="GE207" s="336">
        <f t="shared" si="1565"/>
        <v>0</v>
      </c>
      <c r="GF207" s="336">
        <f t="shared" si="1566"/>
        <v>0</v>
      </c>
      <c r="GG207" s="336">
        <f t="shared" si="1567"/>
        <v>0</v>
      </c>
      <c r="GH207" s="336">
        <f t="shared" si="1568"/>
        <v>0</v>
      </c>
      <c r="GI207" s="336">
        <f t="shared" si="1569"/>
        <v>0</v>
      </c>
      <c r="GJ207" s="336">
        <f t="shared" si="1570"/>
        <v>0</v>
      </c>
      <c r="GK207" s="336">
        <f t="shared" si="1571"/>
        <v>0</v>
      </c>
      <c r="GL207" s="336">
        <f t="shared" si="1478"/>
        <v>0</v>
      </c>
      <c r="GM207" s="336">
        <f t="shared" si="1572"/>
        <v>0</v>
      </c>
    </row>
    <row r="208" spans="1:195" ht="27.75" customHeight="1">
      <c r="A208" s="337">
        <f t="shared" si="1578"/>
        <v>162</v>
      </c>
      <c r="B208" s="453"/>
      <c r="C208" s="372" t="str">
        <f t="shared" si="1573"/>
        <v>ADMIN BUILDING HVAC DB</v>
      </c>
      <c r="D208" s="444" t="s">
        <v>1354</v>
      </c>
      <c r="E208" s="567" t="s">
        <v>1342</v>
      </c>
      <c r="F208" s="444"/>
      <c r="G208" s="337" t="s">
        <v>329</v>
      </c>
      <c r="H208" s="583">
        <v>0.37</v>
      </c>
      <c r="I208" s="337" t="s">
        <v>330</v>
      </c>
      <c r="J208" s="343" t="s">
        <v>1737</v>
      </c>
      <c r="K208" s="897">
        <v>400</v>
      </c>
      <c r="L208" s="343">
        <v>0.95</v>
      </c>
      <c r="M208" s="350">
        <v>0.85</v>
      </c>
      <c r="N208" s="342">
        <f t="shared" si="1579"/>
        <v>0.66138039025018058</v>
      </c>
      <c r="O208" s="342">
        <f t="shared" si="1580"/>
        <v>0</v>
      </c>
      <c r="P208" s="343" t="str">
        <f t="shared" si="1581"/>
        <v>0.00</v>
      </c>
      <c r="Q208" s="350">
        <v>65</v>
      </c>
      <c r="R208" s="350">
        <v>0</v>
      </c>
      <c r="S208" s="350">
        <f t="shared" si="1582"/>
        <v>0</v>
      </c>
      <c r="T208" s="343" t="s">
        <v>131</v>
      </c>
      <c r="U208" s="350" t="s">
        <v>522</v>
      </c>
      <c r="V208" s="343">
        <v>4</v>
      </c>
      <c r="W208" s="343" t="str">
        <f t="shared" si="1583"/>
        <v>4C X 4</v>
      </c>
      <c r="X208" s="343" t="str">
        <f t="shared" si="1545"/>
        <v>4C X 4</v>
      </c>
      <c r="Y208" s="343" t="s">
        <v>358</v>
      </c>
      <c r="Z208" s="344">
        <f>IF(T208="AIR",VLOOKUP(W208,'Catalogue Aluminium'!$B$9:$G$93,2,FALSE),IF(T208="GROUND",VLOOKUP(W208,'Catalogue Aluminium'!$B$9:$G$93,3,FALSE),IF(T208="DUCT",VLOOKUP(W208,'Catalogue Aluminium'!$B$9:$G$93,4,FALSE),IF(T208="TRENCH",VLOOKUP(W208,'Catalogue Aluminium'!$B$9:$G$93,2,FALSE)))))</f>
        <v>38</v>
      </c>
      <c r="AA208" s="345">
        <f>VLOOKUP(W208,'Catalogue Aluminium'!$B$9:$G$93,5,FALSE)</f>
        <v>5.9</v>
      </c>
      <c r="AB208" s="345">
        <f>VLOOKUP(W208,'Catalogue Aluminium'!$B$9:$G$93,6,FALSE)</f>
        <v>9.4700000000000006E-2</v>
      </c>
      <c r="AC208" s="343">
        <f t="shared" si="1577"/>
        <v>32</v>
      </c>
      <c r="AD208" s="343">
        <v>0</v>
      </c>
      <c r="AE208" s="343">
        <v>10</v>
      </c>
      <c r="AF208" s="343">
        <v>5</v>
      </c>
      <c r="AG208" s="343">
        <f t="shared" si="1462"/>
        <v>5</v>
      </c>
      <c r="AH208" s="347">
        <f t="shared" si="1546"/>
        <v>52</v>
      </c>
      <c r="AI208" s="344">
        <f>IF(T208="AIR",'Catalogue Aluminium'!$K$9,IF(T208="TRENCH",'Catalogue Aluminium'!$K$12,"NA"))</f>
        <v>0.89</v>
      </c>
      <c r="AJ208" s="342">
        <f>IF(T208="Air",(IF(U208="1C",'Catalogue Aluminium'!$L$9,'Catalogue Aluminium'!$M$9)),IF(T208="DUCT",(IF($U208="1C",'Catalogue Aluminium'!$L$10,'Catalogue Aluminium'!$M$10)),IF(T208="GROUND",(IF($U208="1C",'Catalogue Aluminium'!$L$11,'Catalogue Aluminium'!$M$11)),IF(T208="TRENCH",(IF($U208="1C",'Catalogue Aluminium'!$L$12,'Catalogue Aluminium'!$M$12))))))</f>
        <v>0.66</v>
      </c>
      <c r="AK208" s="344" t="str">
        <f>IF(T208="Air",'Catalogue Aluminium'!$N$9,IF(T208="GROUND",'Catalogue Aluminium'!$N$10,IF(T208="DUCT",'Catalogue Aluminium'!$N$11,IF(T208="TRENCH",'Catalogue Aluminium'!$N$12,"NA"))))</f>
        <v>NA</v>
      </c>
      <c r="AL208" s="344" t="str">
        <f>IF(T208="Air",(IF(U208="1C",'Catalogue Aluminium'!$O$9,'Catalogue Aluminium'!$P$9)),IF(T208="DUCT",(IF($U208="1C",'Catalogue Aluminium'!$O$10,'Catalogue Aluminium'!$P$10)),IF(T208="GROUND",(IF($U208="1C",'Catalogue Aluminium'!$O$11,'Catalogue Aluminium'!$P$11)),IF(T208="TRENCH",(IF($U208="1C",'Catalogue Aluminium'!$O$12,'Catalogue Aluminium'!$P$12))))))</f>
        <v>NA</v>
      </c>
      <c r="AM208" s="344" t="str">
        <f>IF(T208="AIR","NA",IF(T208="TRENCH","NA",IF(T208="DUCT",IF(U208="1C",VLOOKUP(V208,'Catalogue Aluminium'!$Q$9:$S$28,2,FALSE),VLOOKUP(V208,'Catalogue Aluminium'!$Q$9:$S$28,3)),IF(T208="GROUND",IF(U208="1C",VLOOKUP(V208,'Catalogue Aluminium'!$Q$9:$S$28,2,FALSE),VLOOKUP(V208,'Catalogue Aluminium'!$Q$9:$S$28,3))))))</f>
        <v>NA</v>
      </c>
      <c r="AN208" s="351">
        <f t="shared" si="1547"/>
        <v>0.58740000000000003</v>
      </c>
      <c r="AO208" s="350">
        <f t="shared" si="1548"/>
        <v>22.321200000000001</v>
      </c>
      <c r="AP208" s="349">
        <f t="shared" si="1549"/>
        <v>1</v>
      </c>
      <c r="AQ208" s="350" t="str">
        <f t="shared" si="1550"/>
        <v>YES</v>
      </c>
      <c r="AR208" s="351">
        <f t="shared" si="1463"/>
        <v>8.3910455264448902E-2</v>
      </c>
      <c r="AS208" s="343" t="str">
        <f t="shared" si="1464"/>
        <v>YES</v>
      </c>
      <c r="AT208" s="351" t="str">
        <f t="shared" si="1551"/>
        <v>NA</v>
      </c>
      <c r="AU208" s="343" t="str">
        <f t="shared" si="1552"/>
        <v>NA</v>
      </c>
      <c r="AV208" s="354" t="str">
        <f t="shared" si="1553"/>
        <v>1R x 0.6/1kV x 4C x 4 Sqmm</v>
      </c>
      <c r="AW208" s="354" t="str">
        <f t="shared" si="1554"/>
        <v>1R x 0.6/1kV x 4C x 4 Sqmm</v>
      </c>
      <c r="AX208" s="343">
        <f t="shared" si="1555"/>
        <v>52</v>
      </c>
      <c r="AY208" s="355"/>
      <c r="AZ208" s="355">
        <f t="shared" si="1556"/>
        <v>2</v>
      </c>
      <c r="BA208" s="356" t="str">
        <f t="shared" si="1557"/>
        <v/>
      </c>
      <c r="BB208" s="501">
        <f>VLOOKUP(W208,'Catalogue Aluminium'!$B$9:$H$93,7,FALSE)</f>
        <v>16</v>
      </c>
      <c r="BC208" s="328">
        <f t="shared" si="1558"/>
        <v>16</v>
      </c>
      <c r="BE208" s="336"/>
      <c r="BF208" s="336"/>
      <c r="BG208" s="336"/>
      <c r="BH208" s="336"/>
      <c r="BI208" s="336"/>
      <c r="BJ208" s="336"/>
      <c r="BK208" s="336"/>
      <c r="BL208" s="336"/>
      <c r="BM208" s="336"/>
      <c r="BN208" s="336"/>
      <c r="BO208" s="336"/>
      <c r="BP208" s="336"/>
      <c r="BQ208" s="336"/>
      <c r="BR208" s="336"/>
      <c r="BS208" s="336"/>
      <c r="BT208" s="336"/>
      <c r="BU208" s="336"/>
      <c r="BV208" s="336"/>
      <c r="BW208" s="336"/>
      <c r="BX208" s="336"/>
      <c r="BY208" s="336"/>
      <c r="BZ208" s="336"/>
      <c r="CA208" s="336"/>
      <c r="CB208" s="336"/>
      <c r="CC208" s="336"/>
      <c r="CD208" s="336"/>
      <c r="CE208" s="336"/>
      <c r="CF208" s="336"/>
      <c r="CG208" s="336"/>
      <c r="CH208" s="336"/>
      <c r="CI208" s="336"/>
      <c r="CJ208" s="336"/>
      <c r="CK208" s="336"/>
      <c r="CL208" s="336"/>
      <c r="CM208" s="336"/>
      <c r="CN208" s="336"/>
      <c r="CO208" s="336"/>
      <c r="CP208" s="336"/>
      <c r="CQ208" s="336"/>
      <c r="CR208" s="336"/>
      <c r="CS208" s="336"/>
      <c r="CT208" s="336"/>
      <c r="CU208" s="336"/>
      <c r="CV208" s="336"/>
      <c r="CW208" s="336"/>
      <c r="CX208" s="336"/>
      <c r="CY208" s="336"/>
      <c r="CZ208" s="336"/>
      <c r="DA208" s="336"/>
      <c r="DB208" s="336"/>
      <c r="DC208" s="336"/>
      <c r="DD208" s="336"/>
      <c r="DE208" s="336"/>
      <c r="DF208" s="336"/>
      <c r="DG208" s="336"/>
      <c r="DH208" s="336"/>
      <c r="DI208" s="336"/>
      <c r="DJ208" s="336"/>
      <c r="DK208" s="336"/>
      <c r="DL208" s="336"/>
      <c r="DM208" s="336"/>
      <c r="DN208" s="336"/>
      <c r="DO208" s="336"/>
      <c r="DP208" s="336"/>
      <c r="DQ208" s="336"/>
      <c r="DR208" s="336"/>
      <c r="DS208" s="336"/>
      <c r="DT208" s="336"/>
      <c r="DU208" s="336"/>
      <c r="DW208" s="336">
        <f t="shared" si="1529"/>
        <v>0</v>
      </c>
      <c r="DX208" s="336">
        <f t="shared" si="1479"/>
        <v>0</v>
      </c>
      <c r="DY208" s="336">
        <f t="shared" si="1480"/>
        <v>0</v>
      </c>
      <c r="DZ208" s="336">
        <f t="shared" si="1481"/>
        <v>0</v>
      </c>
      <c r="EA208" s="336">
        <f t="shared" si="1482"/>
        <v>0</v>
      </c>
      <c r="EB208" s="336">
        <f t="shared" si="1483"/>
        <v>0</v>
      </c>
      <c r="EC208" s="336">
        <f t="shared" si="1484"/>
        <v>0</v>
      </c>
      <c r="ED208" s="336">
        <f t="shared" si="1485"/>
        <v>0</v>
      </c>
      <c r="EE208" s="336">
        <f t="shared" si="1486"/>
        <v>0</v>
      </c>
      <c r="EF208" s="336">
        <f t="shared" si="1487"/>
        <v>0</v>
      </c>
      <c r="EG208" s="336">
        <f t="shared" si="1488"/>
        <v>0</v>
      </c>
      <c r="EH208" s="336">
        <f t="shared" si="1489"/>
        <v>0</v>
      </c>
      <c r="EI208" s="336">
        <f t="shared" si="1490"/>
        <v>0</v>
      </c>
      <c r="EJ208" s="336">
        <f t="shared" si="1491"/>
        <v>0</v>
      </c>
      <c r="EK208" s="336">
        <f t="shared" si="1492"/>
        <v>0</v>
      </c>
      <c r="EL208" s="336">
        <f t="shared" si="1493"/>
        <v>0</v>
      </c>
      <c r="EM208" s="336">
        <f t="shared" si="1494"/>
        <v>0</v>
      </c>
      <c r="EN208" s="336">
        <f t="shared" si="1495"/>
        <v>0</v>
      </c>
      <c r="EO208" s="336">
        <f t="shared" si="1496"/>
        <v>0</v>
      </c>
      <c r="EP208" s="336">
        <f t="shared" si="1497"/>
        <v>0</v>
      </c>
      <c r="EQ208" s="336">
        <f t="shared" si="1498"/>
        <v>0</v>
      </c>
      <c r="ER208" s="336">
        <f t="shared" si="1499"/>
        <v>0</v>
      </c>
      <c r="ES208" s="336">
        <f t="shared" si="1500"/>
        <v>0</v>
      </c>
      <c r="ET208" s="336">
        <f t="shared" si="1500"/>
        <v>0</v>
      </c>
      <c r="EU208" s="336">
        <f t="shared" si="1501"/>
        <v>0</v>
      </c>
      <c r="EV208" s="336">
        <f t="shared" si="1502"/>
        <v>0</v>
      </c>
      <c r="EW208" s="336">
        <f t="shared" si="1503"/>
        <v>0</v>
      </c>
      <c r="EX208" s="336">
        <f t="shared" si="1504"/>
        <v>0</v>
      </c>
      <c r="EY208" s="336">
        <f t="shared" si="1505"/>
        <v>0</v>
      </c>
      <c r="EZ208" s="336">
        <f t="shared" si="1506"/>
        <v>0</v>
      </c>
      <c r="FA208" s="336">
        <f t="shared" si="1507"/>
        <v>0</v>
      </c>
      <c r="FB208" s="336">
        <f t="shared" si="1508"/>
        <v>0</v>
      </c>
      <c r="FC208" s="336">
        <f t="shared" si="1509"/>
        <v>0</v>
      </c>
      <c r="FD208" s="336">
        <f t="shared" si="1510"/>
        <v>0</v>
      </c>
      <c r="FE208" s="336">
        <f t="shared" si="1511"/>
        <v>0</v>
      </c>
      <c r="FF208" s="336">
        <f t="shared" si="1512"/>
        <v>0</v>
      </c>
      <c r="FG208" s="336">
        <f t="shared" si="1513"/>
        <v>0</v>
      </c>
      <c r="FH208" s="336">
        <f t="shared" si="1514"/>
        <v>0</v>
      </c>
      <c r="FI208" s="336">
        <f t="shared" si="1515"/>
        <v>0</v>
      </c>
      <c r="FJ208" s="336">
        <f t="shared" si="1516"/>
        <v>0</v>
      </c>
      <c r="FK208" s="336">
        <f t="shared" si="1517"/>
        <v>0</v>
      </c>
      <c r="FL208" s="336">
        <f t="shared" si="1518"/>
        <v>0</v>
      </c>
      <c r="FM208" s="336">
        <f t="shared" si="1519"/>
        <v>0</v>
      </c>
      <c r="FN208" s="336">
        <f t="shared" si="1520"/>
        <v>0</v>
      </c>
      <c r="FO208" s="336">
        <f t="shared" si="1521"/>
        <v>0</v>
      </c>
      <c r="FP208" s="336">
        <f t="shared" si="1522"/>
        <v>0</v>
      </c>
      <c r="FQ208" s="336">
        <f t="shared" si="1523"/>
        <v>0</v>
      </c>
      <c r="FR208" s="336">
        <f t="shared" si="1524"/>
        <v>0</v>
      </c>
      <c r="FS208" s="336">
        <f t="shared" si="1525"/>
        <v>0</v>
      </c>
      <c r="FT208" s="336">
        <f t="shared" si="1526"/>
        <v>0</v>
      </c>
      <c r="FU208" s="336">
        <f t="shared" si="1474"/>
        <v>0</v>
      </c>
      <c r="FV208" s="336">
        <f t="shared" si="1475"/>
        <v>0</v>
      </c>
      <c r="FW208" s="336">
        <f t="shared" si="1476"/>
        <v>0</v>
      </c>
      <c r="FX208" s="336">
        <f t="shared" si="1477"/>
        <v>0</v>
      </c>
      <c r="FY208" s="336">
        <f t="shared" si="1559"/>
        <v>0</v>
      </c>
      <c r="FZ208" s="336">
        <f t="shared" si="1560"/>
        <v>0</v>
      </c>
      <c r="GA208" s="336">
        <f t="shared" si="1561"/>
        <v>0</v>
      </c>
      <c r="GB208" s="336">
        <f t="shared" si="1562"/>
        <v>0</v>
      </c>
      <c r="GC208" s="336">
        <f t="shared" si="1563"/>
        <v>0</v>
      </c>
      <c r="GD208" s="336">
        <f t="shared" si="1564"/>
        <v>0</v>
      </c>
      <c r="GE208" s="336">
        <f t="shared" si="1565"/>
        <v>0</v>
      </c>
      <c r="GF208" s="336">
        <f t="shared" si="1566"/>
        <v>0</v>
      </c>
      <c r="GG208" s="336">
        <f t="shared" si="1567"/>
        <v>0</v>
      </c>
      <c r="GH208" s="336">
        <f t="shared" si="1568"/>
        <v>0</v>
      </c>
      <c r="GI208" s="336">
        <f t="shared" si="1569"/>
        <v>0</v>
      </c>
      <c r="GJ208" s="336">
        <f t="shared" si="1570"/>
        <v>0</v>
      </c>
      <c r="GK208" s="336">
        <f t="shared" si="1571"/>
        <v>0</v>
      </c>
      <c r="GL208" s="336">
        <f t="shared" si="1478"/>
        <v>0</v>
      </c>
      <c r="GM208" s="336">
        <f t="shared" si="1572"/>
        <v>0</v>
      </c>
    </row>
    <row r="209" spans="1:195" ht="27.75" customHeight="1">
      <c r="A209" s="337">
        <f t="shared" si="1578"/>
        <v>163</v>
      </c>
      <c r="B209" s="453"/>
      <c r="C209" s="372" t="str">
        <f t="shared" si="1573"/>
        <v>ADMIN BUILDING HVAC DB</v>
      </c>
      <c r="D209" s="444" t="s">
        <v>1355</v>
      </c>
      <c r="E209" s="567" t="s">
        <v>1342</v>
      </c>
      <c r="F209" s="444"/>
      <c r="G209" s="337" t="s">
        <v>329</v>
      </c>
      <c r="H209" s="583">
        <v>0.25</v>
      </c>
      <c r="I209" s="337" t="s">
        <v>330</v>
      </c>
      <c r="J209" s="343" t="s">
        <v>357</v>
      </c>
      <c r="K209" s="526">
        <v>230</v>
      </c>
      <c r="L209" s="343">
        <v>0.95</v>
      </c>
      <c r="M209" s="350">
        <v>0.85</v>
      </c>
      <c r="N209" s="342">
        <f t="shared" si="1579"/>
        <v>1.3460761879122358</v>
      </c>
      <c r="O209" s="342">
        <f t="shared" si="1580"/>
        <v>0</v>
      </c>
      <c r="P209" s="343" t="str">
        <f t="shared" si="1581"/>
        <v>0.00</v>
      </c>
      <c r="Q209" s="350">
        <v>65</v>
      </c>
      <c r="R209" s="350">
        <v>0</v>
      </c>
      <c r="S209" s="350">
        <f t="shared" si="1582"/>
        <v>0</v>
      </c>
      <c r="T209" s="343" t="s">
        <v>131</v>
      </c>
      <c r="U209" s="350" t="s">
        <v>333</v>
      </c>
      <c r="V209" s="343">
        <v>4</v>
      </c>
      <c r="W209" s="343" t="str">
        <f t="shared" si="1583"/>
        <v>3C X 4</v>
      </c>
      <c r="X209" s="343" t="str">
        <f t="shared" si="1545"/>
        <v>3C X 4</v>
      </c>
      <c r="Y209" s="343" t="s">
        <v>358</v>
      </c>
      <c r="Z209" s="344">
        <f>IF(T209="AIR",VLOOKUP(W209,'Catalogue Aluminium'!$B$9:$G$93,2,FALSE),IF(T209="GROUND",VLOOKUP(W209,'Catalogue Aluminium'!$B$9:$G$93,3,FALSE),IF(T209="DUCT",VLOOKUP(W209,'Catalogue Aluminium'!$B$9:$G$93,4,FALSE),IF(T209="TRENCH",VLOOKUP(W209,'Catalogue Aluminium'!$B$9:$G$93,2,FALSE)))))</f>
        <v>38</v>
      </c>
      <c r="AA209" s="345">
        <f>VLOOKUP(W209,'Catalogue Aluminium'!$B$9:$G$93,5,FALSE)</f>
        <v>5.9</v>
      </c>
      <c r="AB209" s="345">
        <f>VLOOKUP(W209,'Catalogue Aluminium'!$B$9:$G$93,6,FALSE)</f>
        <v>9.4700000000000006E-2</v>
      </c>
      <c r="AC209" s="343">
        <f t="shared" si="1577"/>
        <v>32</v>
      </c>
      <c r="AD209" s="343">
        <v>0</v>
      </c>
      <c r="AE209" s="343">
        <v>10</v>
      </c>
      <c r="AF209" s="343">
        <v>5</v>
      </c>
      <c r="AG209" s="343">
        <f t="shared" si="1462"/>
        <v>5</v>
      </c>
      <c r="AH209" s="347">
        <f t="shared" si="1546"/>
        <v>52</v>
      </c>
      <c r="AI209" s="344">
        <f>IF(T209="AIR",'Catalogue Aluminium'!$K$9,IF(T209="TRENCH",'Catalogue Aluminium'!$K$12,"NA"))</f>
        <v>0.89</v>
      </c>
      <c r="AJ209" s="342">
        <f>IF(T209="Air",(IF(U209="1C",'Catalogue Aluminium'!$L$9,'Catalogue Aluminium'!$M$9)),IF(T209="DUCT",(IF($U209="1C",'Catalogue Aluminium'!$L$10,'Catalogue Aluminium'!$M$10)),IF(T209="GROUND",(IF($U209="1C",'Catalogue Aluminium'!$L$11,'Catalogue Aluminium'!$M$11)),IF(T209="TRENCH",(IF($U209="1C",'Catalogue Aluminium'!$L$12,'Catalogue Aluminium'!$M$12))))))</f>
        <v>0.66</v>
      </c>
      <c r="AK209" s="344" t="str">
        <f>IF(T209="Air",'Catalogue Aluminium'!$N$9,IF(T209="GROUND",'Catalogue Aluminium'!$N$10,IF(T209="DUCT",'Catalogue Aluminium'!$N$11,IF(T209="TRENCH",'Catalogue Aluminium'!$N$12,"NA"))))</f>
        <v>NA</v>
      </c>
      <c r="AL209" s="344" t="str">
        <f>IF(T209="Air",(IF(U209="1C",'Catalogue Aluminium'!$O$9,'Catalogue Aluminium'!$P$9)),IF(T209="DUCT",(IF($U209="1C",'Catalogue Aluminium'!$O$10,'Catalogue Aluminium'!$P$10)),IF(T209="GROUND",(IF($U209="1C",'Catalogue Aluminium'!$O$11,'Catalogue Aluminium'!$P$11)),IF(T209="TRENCH",(IF($U209="1C",'Catalogue Aluminium'!$O$12,'Catalogue Aluminium'!$P$12))))))</f>
        <v>NA</v>
      </c>
      <c r="AM209" s="344" t="str">
        <f>IF(T209="AIR","NA",IF(T209="TRENCH","NA",IF(T209="DUCT",IF(U209="1C",VLOOKUP(V209,'Catalogue Aluminium'!$Q$9:$S$28,2,FALSE),VLOOKUP(V209,'Catalogue Aluminium'!$Q$9:$S$28,3)),IF(T209="GROUND",IF(U209="1C",VLOOKUP(V209,'Catalogue Aluminium'!$Q$9:$S$28,2,FALSE),VLOOKUP(V209,'Catalogue Aluminium'!$Q$9:$S$28,3))))))</f>
        <v>NA</v>
      </c>
      <c r="AN209" s="351">
        <f t="shared" si="1547"/>
        <v>0.58740000000000003</v>
      </c>
      <c r="AO209" s="350">
        <f t="shared" si="1548"/>
        <v>22.321200000000001</v>
      </c>
      <c r="AP209" s="349">
        <f t="shared" si="1549"/>
        <v>1</v>
      </c>
      <c r="AQ209" s="350" t="str">
        <f t="shared" si="1550"/>
        <v>YES</v>
      </c>
      <c r="AR209" s="351">
        <f t="shared" si="1463"/>
        <v>0.2970069146641301</v>
      </c>
      <c r="AS209" s="343" t="str">
        <f t="shared" si="1464"/>
        <v>YES</v>
      </c>
      <c r="AT209" s="351" t="str">
        <f t="shared" si="1551"/>
        <v>NA</v>
      </c>
      <c r="AU209" s="343" t="str">
        <f t="shared" si="1552"/>
        <v>NA</v>
      </c>
      <c r="AV209" s="354" t="str">
        <f t="shared" si="1553"/>
        <v>1R x 0.6/1kV x 3C x 4 Sqmm</v>
      </c>
      <c r="AW209" s="354" t="str">
        <f t="shared" si="1554"/>
        <v>1R x 0.6/1kV x 3C x 4 Sqmm</v>
      </c>
      <c r="AX209" s="343">
        <f t="shared" si="1555"/>
        <v>52</v>
      </c>
      <c r="AY209" s="355"/>
      <c r="AZ209" s="355">
        <f t="shared" si="1556"/>
        <v>2</v>
      </c>
      <c r="BA209" s="356" t="str">
        <f t="shared" si="1557"/>
        <v/>
      </c>
      <c r="BB209" s="501">
        <f>VLOOKUP(W209,'Catalogue Aluminium'!$B$9:$H$93,7,FALSE)</f>
        <v>15</v>
      </c>
      <c r="BC209" s="328">
        <f t="shared" si="1558"/>
        <v>15</v>
      </c>
      <c r="BE209" s="336"/>
      <c r="BF209" s="336"/>
      <c r="BG209" s="336"/>
      <c r="BH209" s="336"/>
      <c r="BI209" s="336"/>
      <c r="BJ209" s="336"/>
      <c r="BK209" s="336"/>
      <c r="BL209" s="336"/>
      <c r="BM209" s="336"/>
      <c r="BN209" s="336"/>
      <c r="BO209" s="336"/>
      <c r="BP209" s="336"/>
      <c r="BQ209" s="336"/>
      <c r="BR209" s="336"/>
      <c r="BS209" s="336"/>
      <c r="BT209" s="336"/>
      <c r="BU209" s="336"/>
      <c r="BV209" s="336"/>
      <c r="BW209" s="336"/>
      <c r="BX209" s="336"/>
      <c r="BY209" s="336"/>
      <c r="BZ209" s="336"/>
      <c r="CA209" s="336"/>
      <c r="CB209" s="336"/>
      <c r="CC209" s="336"/>
      <c r="CD209" s="336"/>
      <c r="CE209" s="336"/>
      <c r="CF209" s="336"/>
      <c r="CG209" s="336"/>
      <c r="CH209" s="336"/>
      <c r="CI209" s="336"/>
      <c r="CJ209" s="336"/>
      <c r="CK209" s="336"/>
      <c r="CL209" s="336"/>
      <c r="CM209" s="336"/>
      <c r="CN209" s="336"/>
      <c r="CO209" s="336"/>
      <c r="CP209" s="336"/>
      <c r="CQ209" s="336"/>
      <c r="CR209" s="336"/>
      <c r="CS209" s="336"/>
      <c r="CT209" s="336"/>
      <c r="CU209" s="336"/>
      <c r="CV209" s="336"/>
      <c r="CW209" s="336"/>
      <c r="CX209" s="336"/>
      <c r="CY209" s="336"/>
      <c r="CZ209" s="336"/>
      <c r="DA209" s="336"/>
      <c r="DB209" s="336"/>
      <c r="DC209" s="336"/>
      <c r="DD209" s="336"/>
      <c r="DE209" s="336"/>
      <c r="DF209" s="336"/>
      <c r="DG209" s="336"/>
      <c r="DH209" s="336"/>
      <c r="DI209" s="336"/>
      <c r="DJ209" s="336"/>
      <c r="DK209" s="336"/>
      <c r="DL209" s="336"/>
      <c r="DM209" s="336"/>
      <c r="DN209" s="336"/>
      <c r="DO209" s="336"/>
      <c r="DP209" s="336"/>
      <c r="DQ209" s="336"/>
      <c r="DR209" s="336"/>
      <c r="DS209" s="336"/>
      <c r="DT209" s="336"/>
      <c r="DU209" s="336"/>
      <c r="DW209" s="336">
        <f t="shared" si="1529"/>
        <v>0</v>
      </c>
      <c r="DX209" s="336">
        <f t="shared" si="1479"/>
        <v>0</v>
      </c>
      <c r="DY209" s="336">
        <f t="shared" si="1480"/>
        <v>0</v>
      </c>
      <c r="DZ209" s="336">
        <f t="shared" si="1481"/>
        <v>0</v>
      </c>
      <c r="EA209" s="336">
        <f t="shared" si="1482"/>
        <v>0</v>
      </c>
      <c r="EB209" s="336">
        <f t="shared" si="1483"/>
        <v>0</v>
      </c>
      <c r="EC209" s="336">
        <f t="shared" si="1484"/>
        <v>0</v>
      </c>
      <c r="ED209" s="336">
        <f t="shared" si="1485"/>
        <v>0</v>
      </c>
      <c r="EE209" s="336">
        <f t="shared" si="1486"/>
        <v>0</v>
      </c>
      <c r="EF209" s="336">
        <f t="shared" si="1487"/>
        <v>0</v>
      </c>
      <c r="EG209" s="336">
        <f t="shared" si="1488"/>
        <v>0</v>
      </c>
      <c r="EH209" s="336">
        <f t="shared" si="1489"/>
        <v>0</v>
      </c>
      <c r="EI209" s="336">
        <f t="shared" si="1490"/>
        <v>0</v>
      </c>
      <c r="EJ209" s="336">
        <f t="shared" si="1491"/>
        <v>0</v>
      </c>
      <c r="EK209" s="336">
        <f t="shared" si="1492"/>
        <v>0</v>
      </c>
      <c r="EL209" s="336">
        <f t="shared" si="1493"/>
        <v>0</v>
      </c>
      <c r="EM209" s="336">
        <f t="shared" si="1494"/>
        <v>0</v>
      </c>
      <c r="EN209" s="336">
        <f t="shared" si="1495"/>
        <v>0</v>
      </c>
      <c r="EO209" s="336">
        <f t="shared" si="1496"/>
        <v>0</v>
      </c>
      <c r="EP209" s="336">
        <f t="shared" si="1497"/>
        <v>0</v>
      </c>
      <c r="EQ209" s="336">
        <f t="shared" si="1498"/>
        <v>0</v>
      </c>
      <c r="ER209" s="336">
        <f t="shared" si="1499"/>
        <v>0</v>
      </c>
      <c r="ES209" s="336">
        <f t="shared" si="1500"/>
        <v>0</v>
      </c>
      <c r="ET209" s="336">
        <f t="shared" si="1500"/>
        <v>0</v>
      </c>
      <c r="EU209" s="336">
        <f t="shared" si="1501"/>
        <v>0</v>
      </c>
      <c r="EV209" s="336">
        <f t="shared" si="1502"/>
        <v>0</v>
      </c>
      <c r="EW209" s="336">
        <f t="shared" si="1503"/>
        <v>0</v>
      </c>
      <c r="EX209" s="336">
        <f t="shared" si="1504"/>
        <v>0</v>
      </c>
      <c r="EY209" s="336">
        <f t="shared" si="1505"/>
        <v>0</v>
      </c>
      <c r="EZ209" s="336">
        <f t="shared" si="1506"/>
        <v>0</v>
      </c>
      <c r="FA209" s="336">
        <f t="shared" si="1507"/>
        <v>0</v>
      </c>
      <c r="FB209" s="336">
        <f t="shared" si="1508"/>
        <v>0</v>
      </c>
      <c r="FC209" s="336">
        <f t="shared" si="1509"/>
        <v>0</v>
      </c>
      <c r="FD209" s="336">
        <f t="shared" si="1510"/>
        <v>0</v>
      </c>
      <c r="FE209" s="336">
        <f t="shared" si="1511"/>
        <v>0</v>
      </c>
      <c r="FF209" s="336">
        <f t="shared" si="1512"/>
        <v>0</v>
      </c>
      <c r="FG209" s="336">
        <f t="shared" si="1513"/>
        <v>0</v>
      </c>
      <c r="FH209" s="336">
        <f t="shared" si="1514"/>
        <v>0</v>
      </c>
      <c r="FI209" s="336">
        <f t="shared" si="1515"/>
        <v>0</v>
      </c>
      <c r="FJ209" s="336">
        <f t="shared" si="1516"/>
        <v>0</v>
      </c>
      <c r="FK209" s="336">
        <f t="shared" si="1517"/>
        <v>0</v>
      </c>
      <c r="FL209" s="336">
        <f t="shared" si="1518"/>
        <v>0</v>
      </c>
      <c r="FM209" s="336">
        <f t="shared" si="1519"/>
        <v>0</v>
      </c>
      <c r="FN209" s="336">
        <f t="shared" si="1520"/>
        <v>0</v>
      </c>
      <c r="FO209" s="336">
        <f t="shared" si="1521"/>
        <v>0</v>
      </c>
      <c r="FP209" s="336">
        <f t="shared" si="1522"/>
        <v>0</v>
      </c>
      <c r="FQ209" s="336">
        <f t="shared" si="1523"/>
        <v>0</v>
      </c>
      <c r="FR209" s="336">
        <f t="shared" si="1524"/>
        <v>0</v>
      </c>
      <c r="FS209" s="336">
        <f t="shared" si="1525"/>
        <v>0</v>
      </c>
      <c r="FT209" s="336">
        <f t="shared" si="1526"/>
        <v>0</v>
      </c>
      <c r="FU209" s="336">
        <f t="shared" si="1474"/>
        <v>0</v>
      </c>
      <c r="FV209" s="336">
        <f t="shared" si="1475"/>
        <v>0</v>
      </c>
      <c r="FW209" s="336">
        <f t="shared" si="1476"/>
        <v>0</v>
      </c>
      <c r="FX209" s="336">
        <f t="shared" si="1477"/>
        <v>0</v>
      </c>
      <c r="FY209" s="336">
        <f t="shared" si="1559"/>
        <v>0</v>
      </c>
      <c r="FZ209" s="336">
        <f t="shared" si="1560"/>
        <v>0</v>
      </c>
      <c r="GA209" s="336">
        <f t="shared" si="1561"/>
        <v>0</v>
      </c>
      <c r="GB209" s="336">
        <f t="shared" si="1562"/>
        <v>0</v>
      </c>
      <c r="GC209" s="336">
        <f t="shared" si="1563"/>
        <v>0</v>
      </c>
      <c r="GD209" s="336">
        <f t="shared" si="1564"/>
        <v>0</v>
      </c>
      <c r="GE209" s="336">
        <f t="shared" si="1565"/>
        <v>0</v>
      </c>
      <c r="GF209" s="336">
        <f t="shared" si="1566"/>
        <v>0</v>
      </c>
      <c r="GG209" s="336">
        <f t="shared" si="1567"/>
        <v>0</v>
      </c>
      <c r="GH209" s="336">
        <f t="shared" si="1568"/>
        <v>0</v>
      </c>
      <c r="GI209" s="336">
        <f t="shared" si="1569"/>
        <v>0</v>
      </c>
      <c r="GJ209" s="336">
        <f t="shared" si="1570"/>
        <v>0</v>
      </c>
      <c r="GK209" s="336">
        <f t="shared" si="1571"/>
        <v>0</v>
      </c>
      <c r="GL209" s="336">
        <f t="shared" si="1478"/>
        <v>0</v>
      </c>
      <c r="GM209" s="336">
        <f t="shared" si="1572"/>
        <v>0</v>
      </c>
    </row>
    <row r="210" spans="1:195" ht="27.75" customHeight="1">
      <c r="A210" s="337">
        <f t="shared" si="1578"/>
        <v>164</v>
      </c>
      <c r="B210" s="453"/>
      <c r="C210" s="372" t="str">
        <f t="shared" si="1573"/>
        <v>ADMIN BUILDING HVAC DB</v>
      </c>
      <c r="D210" s="444" t="s">
        <v>1356</v>
      </c>
      <c r="E210" s="567" t="s">
        <v>1342</v>
      </c>
      <c r="F210" s="444"/>
      <c r="G210" s="337" t="s">
        <v>329</v>
      </c>
      <c r="H210" s="583">
        <v>0.25</v>
      </c>
      <c r="I210" s="337" t="s">
        <v>330</v>
      </c>
      <c r="J210" s="343" t="s">
        <v>357</v>
      </c>
      <c r="K210" s="526">
        <v>230</v>
      </c>
      <c r="L210" s="343">
        <v>0.95</v>
      </c>
      <c r="M210" s="350">
        <v>0.85</v>
      </c>
      <c r="N210" s="342">
        <f t="shared" si="1579"/>
        <v>1.3460761879122358</v>
      </c>
      <c r="O210" s="342">
        <f t="shared" si="1580"/>
        <v>0</v>
      </c>
      <c r="P210" s="343" t="str">
        <f t="shared" si="1581"/>
        <v>0.00</v>
      </c>
      <c r="Q210" s="350">
        <v>65</v>
      </c>
      <c r="R210" s="350">
        <v>0</v>
      </c>
      <c r="S210" s="350">
        <f t="shared" si="1582"/>
        <v>0</v>
      </c>
      <c r="T210" s="343" t="s">
        <v>131</v>
      </c>
      <c r="U210" s="350" t="s">
        <v>333</v>
      </c>
      <c r="V210" s="343">
        <v>4</v>
      </c>
      <c r="W210" s="343" t="str">
        <f t="shared" si="1583"/>
        <v>3C X 4</v>
      </c>
      <c r="X210" s="343" t="str">
        <f t="shared" si="1545"/>
        <v>3C X 4</v>
      </c>
      <c r="Y210" s="343" t="s">
        <v>358</v>
      </c>
      <c r="Z210" s="344">
        <f>IF(T210="AIR",VLOOKUP(W210,'Catalogue Aluminium'!$B$9:$G$93,2,FALSE),IF(T210="GROUND",VLOOKUP(W210,'Catalogue Aluminium'!$B$9:$G$93,3,FALSE),IF(T210="DUCT",VLOOKUP(W210,'Catalogue Aluminium'!$B$9:$G$93,4,FALSE),IF(T210="TRENCH",VLOOKUP(W210,'Catalogue Aluminium'!$B$9:$G$93,2,FALSE)))))</f>
        <v>38</v>
      </c>
      <c r="AA210" s="345">
        <f>VLOOKUP(W210,'Catalogue Aluminium'!$B$9:$G$93,5,FALSE)</f>
        <v>5.9</v>
      </c>
      <c r="AB210" s="345">
        <f>VLOOKUP(W210,'Catalogue Aluminium'!$B$9:$G$93,6,FALSE)</f>
        <v>9.4700000000000006E-2</v>
      </c>
      <c r="AC210" s="343">
        <f t="shared" si="1577"/>
        <v>32</v>
      </c>
      <c r="AD210" s="343">
        <v>0</v>
      </c>
      <c r="AE210" s="343">
        <v>10</v>
      </c>
      <c r="AF210" s="343">
        <v>5</v>
      </c>
      <c r="AG210" s="343">
        <f t="shared" si="1462"/>
        <v>5</v>
      </c>
      <c r="AH210" s="347">
        <f t="shared" si="1546"/>
        <v>52</v>
      </c>
      <c r="AI210" s="344">
        <f>IF(T210="AIR",'Catalogue Aluminium'!$K$9,IF(T210="TRENCH",'Catalogue Aluminium'!$K$12,"NA"))</f>
        <v>0.89</v>
      </c>
      <c r="AJ210" s="342">
        <f>IF(T210="Air",(IF(U210="1C",'Catalogue Aluminium'!$L$9,'Catalogue Aluminium'!$M$9)),IF(T210="DUCT",(IF($U210="1C",'Catalogue Aluminium'!$L$10,'Catalogue Aluminium'!$M$10)),IF(T210="GROUND",(IF($U210="1C",'Catalogue Aluminium'!$L$11,'Catalogue Aluminium'!$M$11)),IF(T210="TRENCH",(IF($U210="1C",'Catalogue Aluminium'!$L$12,'Catalogue Aluminium'!$M$12))))))</f>
        <v>0.66</v>
      </c>
      <c r="AK210" s="344" t="str">
        <f>IF(T210="Air",'Catalogue Aluminium'!$N$9,IF(T210="GROUND",'Catalogue Aluminium'!$N$10,IF(T210="DUCT",'Catalogue Aluminium'!$N$11,IF(T210="TRENCH",'Catalogue Aluminium'!$N$12,"NA"))))</f>
        <v>NA</v>
      </c>
      <c r="AL210" s="344" t="str">
        <f>IF(T210="Air",(IF(U210="1C",'Catalogue Aluminium'!$O$9,'Catalogue Aluminium'!$P$9)),IF(T210="DUCT",(IF($U210="1C",'Catalogue Aluminium'!$O$10,'Catalogue Aluminium'!$P$10)),IF(T210="GROUND",(IF($U210="1C",'Catalogue Aluminium'!$O$11,'Catalogue Aluminium'!$P$11)),IF(T210="TRENCH",(IF($U210="1C",'Catalogue Aluminium'!$O$12,'Catalogue Aluminium'!$P$12))))))</f>
        <v>NA</v>
      </c>
      <c r="AM210" s="344" t="str">
        <f>IF(T210="AIR","NA",IF(T210="TRENCH","NA",IF(T210="DUCT",IF(U210="1C",VLOOKUP(V210,'Catalogue Aluminium'!$Q$9:$S$28,2,FALSE),VLOOKUP(V210,'Catalogue Aluminium'!$Q$9:$S$28,3)),IF(T210="GROUND",IF(U210="1C",VLOOKUP(V210,'Catalogue Aluminium'!$Q$9:$S$28,2,FALSE),VLOOKUP(V210,'Catalogue Aluminium'!$Q$9:$S$28,3))))))</f>
        <v>NA</v>
      </c>
      <c r="AN210" s="351">
        <f t="shared" si="1547"/>
        <v>0.58740000000000003</v>
      </c>
      <c r="AO210" s="350">
        <f t="shared" si="1548"/>
        <v>22.321200000000001</v>
      </c>
      <c r="AP210" s="349">
        <f t="shared" si="1549"/>
        <v>1</v>
      </c>
      <c r="AQ210" s="350" t="str">
        <f t="shared" si="1550"/>
        <v>YES</v>
      </c>
      <c r="AR210" s="351">
        <f t="shared" si="1463"/>
        <v>0.2970069146641301</v>
      </c>
      <c r="AS210" s="343" t="str">
        <f t="shared" si="1464"/>
        <v>YES</v>
      </c>
      <c r="AT210" s="351" t="str">
        <f t="shared" si="1551"/>
        <v>NA</v>
      </c>
      <c r="AU210" s="343" t="str">
        <f t="shared" si="1552"/>
        <v>NA</v>
      </c>
      <c r="AV210" s="354" t="str">
        <f t="shared" si="1553"/>
        <v>1R x 0.6/1kV x 3C x 4 Sqmm</v>
      </c>
      <c r="AW210" s="354" t="str">
        <f t="shared" si="1554"/>
        <v>1R x 0.6/1kV x 3C x 4 Sqmm</v>
      </c>
      <c r="AX210" s="343">
        <f t="shared" si="1555"/>
        <v>52</v>
      </c>
      <c r="AY210" s="355"/>
      <c r="AZ210" s="355">
        <f t="shared" si="1556"/>
        <v>2</v>
      </c>
      <c r="BA210" s="356" t="str">
        <f t="shared" si="1557"/>
        <v/>
      </c>
      <c r="BB210" s="501">
        <f>VLOOKUP(W210,'Catalogue Aluminium'!$B$9:$H$93,7,FALSE)</f>
        <v>15</v>
      </c>
      <c r="BC210" s="328">
        <f t="shared" si="1558"/>
        <v>15</v>
      </c>
      <c r="BE210" s="336"/>
      <c r="BF210" s="336"/>
      <c r="BG210" s="336"/>
      <c r="BH210" s="336"/>
      <c r="BI210" s="336"/>
      <c r="BJ210" s="336"/>
      <c r="BK210" s="336"/>
      <c r="BL210" s="336"/>
      <c r="BM210" s="336"/>
      <c r="BN210" s="336"/>
      <c r="BO210" s="336"/>
      <c r="BP210" s="336"/>
      <c r="BQ210" s="336"/>
      <c r="BR210" s="336"/>
      <c r="BS210" s="336"/>
      <c r="BT210" s="336"/>
      <c r="BU210" s="336"/>
      <c r="BV210" s="336"/>
      <c r="BW210" s="336"/>
      <c r="BX210" s="336"/>
      <c r="BY210" s="336"/>
      <c r="BZ210" s="336"/>
      <c r="CA210" s="336"/>
      <c r="CB210" s="336"/>
      <c r="CC210" s="336"/>
      <c r="CD210" s="336"/>
      <c r="CE210" s="336"/>
      <c r="CF210" s="336"/>
      <c r="CG210" s="336"/>
      <c r="CH210" s="336"/>
      <c r="CI210" s="336"/>
      <c r="CJ210" s="336"/>
      <c r="CK210" s="336"/>
      <c r="CL210" s="336"/>
      <c r="CM210" s="336"/>
      <c r="CN210" s="336"/>
      <c r="CO210" s="336"/>
      <c r="CP210" s="336"/>
      <c r="CQ210" s="336"/>
      <c r="CR210" s="336"/>
      <c r="CS210" s="336"/>
      <c r="CT210" s="336"/>
      <c r="CU210" s="336"/>
      <c r="CV210" s="336"/>
      <c r="CW210" s="336"/>
      <c r="CX210" s="336"/>
      <c r="CY210" s="336"/>
      <c r="CZ210" s="336"/>
      <c r="DA210" s="336"/>
      <c r="DB210" s="336"/>
      <c r="DC210" s="336"/>
      <c r="DD210" s="336"/>
      <c r="DE210" s="336"/>
      <c r="DF210" s="336"/>
      <c r="DG210" s="336"/>
      <c r="DH210" s="336"/>
      <c r="DI210" s="336"/>
      <c r="DJ210" s="336"/>
      <c r="DK210" s="336"/>
      <c r="DL210" s="336"/>
      <c r="DM210" s="336"/>
      <c r="DN210" s="336"/>
      <c r="DO210" s="336"/>
      <c r="DP210" s="336"/>
      <c r="DQ210" s="336"/>
      <c r="DR210" s="336"/>
      <c r="DS210" s="336"/>
      <c r="DT210" s="336"/>
      <c r="DU210" s="336"/>
      <c r="DW210" s="336">
        <f t="shared" si="1529"/>
        <v>0</v>
      </c>
      <c r="DX210" s="336">
        <f t="shared" si="1479"/>
        <v>0</v>
      </c>
      <c r="DY210" s="336">
        <f t="shared" si="1480"/>
        <v>0</v>
      </c>
      <c r="DZ210" s="336">
        <f t="shared" si="1481"/>
        <v>0</v>
      </c>
      <c r="EA210" s="336">
        <f t="shared" si="1482"/>
        <v>0</v>
      </c>
      <c r="EB210" s="336">
        <f t="shared" si="1483"/>
        <v>0</v>
      </c>
      <c r="EC210" s="336">
        <f t="shared" si="1484"/>
        <v>0</v>
      </c>
      <c r="ED210" s="336">
        <f t="shared" si="1485"/>
        <v>0</v>
      </c>
      <c r="EE210" s="336">
        <f t="shared" si="1486"/>
        <v>0</v>
      </c>
      <c r="EF210" s="336">
        <f t="shared" si="1487"/>
        <v>0</v>
      </c>
      <c r="EG210" s="336">
        <f t="shared" si="1488"/>
        <v>0</v>
      </c>
      <c r="EH210" s="336">
        <f t="shared" si="1489"/>
        <v>0</v>
      </c>
      <c r="EI210" s="336">
        <f t="shared" si="1490"/>
        <v>0</v>
      </c>
      <c r="EJ210" s="336">
        <f t="shared" si="1491"/>
        <v>0</v>
      </c>
      <c r="EK210" s="336">
        <f t="shared" si="1492"/>
        <v>0</v>
      </c>
      <c r="EL210" s="336">
        <f t="shared" si="1493"/>
        <v>0</v>
      </c>
      <c r="EM210" s="336">
        <f t="shared" si="1494"/>
        <v>0</v>
      </c>
      <c r="EN210" s="336">
        <f t="shared" si="1495"/>
        <v>0</v>
      </c>
      <c r="EO210" s="336">
        <f t="shared" si="1496"/>
        <v>0</v>
      </c>
      <c r="EP210" s="336">
        <f t="shared" si="1497"/>
        <v>0</v>
      </c>
      <c r="EQ210" s="336">
        <f t="shared" si="1498"/>
        <v>0</v>
      </c>
      <c r="ER210" s="336">
        <f t="shared" si="1499"/>
        <v>0</v>
      </c>
      <c r="ES210" s="336">
        <f t="shared" si="1500"/>
        <v>0</v>
      </c>
      <c r="ET210" s="336">
        <f t="shared" si="1500"/>
        <v>0</v>
      </c>
      <c r="EU210" s="336">
        <f t="shared" si="1501"/>
        <v>0</v>
      </c>
      <c r="EV210" s="336">
        <f t="shared" si="1502"/>
        <v>0</v>
      </c>
      <c r="EW210" s="336">
        <f t="shared" si="1503"/>
        <v>0</v>
      </c>
      <c r="EX210" s="336">
        <f t="shared" si="1504"/>
        <v>0</v>
      </c>
      <c r="EY210" s="336">
        <f t="shared" si="1505"/>
        <v>0</v>
      </c>
      <c r="EZ210" s="336">
        <f t="shared" si="1506"/>
        <v>0</v>
      </c>
      <c r="FA210" s="336">
        <f t="shared" si="1507"/>
        <v>0</v>
      </c>
      <c r="FB210" s="336">
        <f t="shared" si="1508"/>
        <v>0</v>
      </c>
      <c r="FC210" s="336">
        <f t="shared" si="1509"/>
        <v>0</v>
      </c>
      <c r="FD210" s="336">
        <f t="shared" si="1510"/>
        <v>0</v>
      </c>
      <c r="FE210" s="336">
        <f t="shared" si="1511"/>
        <v>0</v>
      </c>
      <c r="FF210" s="336">
        <f t="shared" si="1512"/>
        <v>0</v>
      </c>
      <c r="FG210" s="336">
        <f t="shared" si="1513"/>
        <v>0</v>
      </c>
      <c r="FH210" s="336">
        <f t="shared" si="1514"/>
        <v>0</v>
      </c>
      <c r="FI210" s="336">
        <f t="shared" si="1515"/>
        <v>0</v>
      </c>
      <c r="FJ210" s="336">
        <f t="shared" si="1516"/>
        <v>0</v>
      </c>
      <c r="FK210" s="336">
        <f t="shared" si="1517"/>
        <v>0</v>
      </c>
      <c r="FL210" s="336">
        <f t="shared" si="1518"/>
        <v>0</v>
      </c>
      <c r="FM210" s="336">
        <f t="shared" si="1519"/>
        <v>0</v>
      </c>
      <c r="FN210" s="336">
        <f t="shared" si="1520"/>
        <v>0</v>
      </c>
      <c r="FO210" s="336">
        <f t="shared" si="1521"/>
        <v>0</v>
      </c>
      <c r="FP210" s="336">
        <f t="shared" si="1522"/>
        <v>0</v>
      </c>
      <c r="FQ210" s="336">
        <f t="shared" si="1523"/>
        <v>0</v>
      </c>
      <c r="FR210" s="336">
        <f t="shared" si="1524"/>
        <v>0</v>
      </c>
      <c r="FS210" s="336">
        <f t="shared" si="1525"/>
        <v>0</v>
      </c>
      <c r="FT210" s="336">
        <f t="shared" si="1526"/>
        <v>0</v>
      </c>
      <c r="FU210" s="336">
        <f t="shared" si="1474"/>
        <v>0</v>
      </c>
      <c r="FV210" s="336">
        <f t="shared" si="1475"/>
        <v>0</v>
      </c>
      <c r="FW210" s="336">
        <f t="shared" si="1476"/>
        <v>0</v>
      </c>
      <c r="FX210" s="336">
        <f t="shared" si="1477"/>
        <v>0</v>
      </c>
      <c r="FY210" s="336">
        <f t="shared" si="1559"/>
        <v>0</v>
      </c>
      <c r="FZ210" s="336">
        <f t="shared" si="1560"/>
        <v>0</v>
      </c>
      <c r="GA210" s="336">
        <f t="shared" si="1561"/>
        <v>0</v>
      </c>
      <c r="GB210" s="336">
        <f t="shared" si="1562"/>
        <v>0</v>
      </c>
      <c r="GC210" s="336">
        <f t="shared" si="1563"/>
        <v>0</v>
      </c>
      <c r="GD210" s="336">
        <f t="shared" si="1564"/>
        <v>0</v>
      </c>
      <c r="GE210" s="336">
        <f t="shared" si="1565"/>
        <v>0</v>
      </c>
      <c r="GF210" s="336">
        <f t="shared" si="1566"/>
        <v>0</v>
      </c>
      <c r="GG210" s="336">
        <f t="shared" si="1567"/>
        <v>0</v>
      </c>
      <c r="GH210" s="336">
        <f t="shared" si="1568"/>
        <v>0</v>
      </c>
      <c r="GI210" s="336">
        <f t="shared" si="1569"/>
        <v>0</v>
      </c>
      <c r="GJ210" s="336">
        <f t="shared" si="1570"/>
        <v>0</v>
      </c>
      <c r="GK210" s="336">
        <f t="shared" si="1571"/>
        <v>0</v>
      </c>
      <c r="GL210" s="336">
        <f t="shared" si="1478"/>
        <v>0</v>
      </c>
      <c r="GM210" s="336">
        <f t="shared" si="1572"/>
        <v>0</v>
      </c>
    </row>
    <row r="211" spans="1:195" ht="27.75" customHeight="1">
      <c r="A211" s="337">
        <f t="shared" si="1578"/>
        <v>165</v>
      </c>
      <c r="B211" s="453"/>
      <c r="C211" s="372" t="str">
        <f t="shared" si="1573"/>
        <v>ADMIN BUILDING HVAC DB</v>
      </c>
      <c r="D211" s="444" t="s">
        <v>1357</v>
      </c>
      <c r="E211" s="567" t="s">
        <v>1342</v>
      </c>
      <c r="F211" s="444"/>
      <c r="G211" s="337" t="s">
        <v>329</v>
      </c>
      <c r="H211" s="583">
        <v>0.25</v>
      </c>
      <c r="I211" s="337" t="s">
        <v>330</v>
      </c>
      <c r="J211" s="343" t="s">
        <v>357</v>
      </c>
      <c r="K211" s="526">
        <v>230</v>
      </c>
      <c r="L211" s="343">
        <v>0.95</v>
      </c>
      <c r="M211" s="350">
        <v>0.85</v>
      </c>
      <c r="N211" s="342">
        <f t="shared" si="1579"/>
        <v>1.3460761879122358</v>
      </c>
      <c r="O211" s="342">
        <f t="shared" si="1580"/>
        <v>0</v>
      </c>
      <c r="P211" s="343" t="str">
        <f t="shared" si="1581"/>
        <v>0.00</v>
      </c>
      <c r="Q211" s="350">
        <v>65</v>
      </c>
      <c r="R211" s="350">
        <v>0</v>
      </c>
      <c r="S211" s="350">
        <f t="shared" si="1582"/>
        <v>0</v>
      </c>
      <c r="T211" s="343" t="s">
        <v>131</v>
      </c>
      <c r="U211" s="350" t="s">
        <v>333</v>
      </c>
      <c r="V211" s="343">
        <v>4</v>
      </c>
      <c r="W211" s="343" t="str">
        <f t="shared" si="1583"/>
        <v>3C X 4</v>
      </c>
      <c r="X211" s="343" t="str">
        <f t="shared" si="1545"/>
        <v>3C X 4</v>
      </c>
      <c r="Y211" s="343" t="s">
        <v>358</v>
      </c>
      <c r="Z211" s="344">
        <f>IF(T211="AIR",VLOOKUP(W211,'Catalogue Aluminium'!$B$9:$G$93,2,FALSE),IF(T211="GROUND",VLOOKUP(W211,'Catalogue Aluminium'!$B$9:$G$93,3,FALSE),IF(T211="DUCT",VLOOKUP(W211,'Catalogue Aluminium'!$B$9:$G$93,4,FALSE),IF(T211="TRENCH",VLOOKUP(W211,'Catalogue Aluminium'!$B$9:$G$93,2,FALSE)))))</f>
        <v>38</v>
      </c>
      <c r="AA211" s="345">
        <f>VLOOKUP(W211,'Catalogue Aluminium'!$B$9:$G$93,5,FALSE)</f>
        <v>5.9</v>
      </c>
      <c r="AB211" s="345">
        <f>VLOOKUP(W211,'Catalogue Aluminium'!$B$9:$G$93,6,FALSE)</f>
        <v>9.4700000000000006E-2</v>
      </c>
      <c r="AC211" s="343">
        <f t="shared" si="1577"/>
        <v>32</v>
      </c>
      <c r="AD211" s="343">
        <v>0</v>
      </c>
      <c r="AE211" s="343">
        <v>10</v>
      </c>
      <c r="AF211" s="343">
        <v>5</v>
      </c>
      <c r="AG211" s="343">
        <f t="shared" si="1462"/>
        <v>5</v>
      </c>
      <c r="AH211" s="347">
        <f t="shared" si="1546"/>
        <v>52</v>
      </c>
      <c r="AI211" s="344">
        <f>IF(T211="AIR",'Catalogue Aluminium'!$K$9,IF(T211="TRENCH",'Catalogue Aluminium'!$K$12,"NA"))</f>
        <v>0.89</v>
      </c>
      <c r="AJ211" s="342">
        <f>IF(T211="Air",(IF(U211="1C",'Catalogue Aluminium'!$L$9,'Catalogue Aluminium'!$M$9)),IF(T211="DUCT",(IF($U211="1C",'Catalogue Aluminium'!$L$10,'Catalogue Aluminium'!$M$10)),IF(T211="GROUND",(IF($U211="1C",'Catalogue Aluminium'!$L$11,'Catalogue Aluminium'!$M$11)),IF(T211="TRENCH",(IF($U211="1C",'Catalogue Aluminium'!$L$12,'Catalogue Aluminium'!$M$12))))))</f>
        <v>0.66</v>
      </c>
      <c r="AK211" s="344" t="str">
        <f>IF(T211="Air",'Catalogue Aluminium'!$N$9,IF(T211="GROUND",'Catalogue Aluminium'!$N$10,IF(T211="DUCT",'Catalogue Aluminium'!$N$11,IF(T211="TRENCH",'Catalogue Aluminium'!$N$12,"NA"))))</f>
        <v>NA</v>
      </c>
      <c r="AL211" s="344" t="str">
        <f>IF(T211="Air",(IF(U211="1C",'Catalogue Aluminium'!$O$9,'Catalogue Aluminium'!$P$9)),IF(T211="DUCT",(IF($U211="1C",'Catalogue Aluminium'!$O$10,'Catalogue Aluminium'!$P$10)),IF(T211="GROUND",(IF($U211="1C",'Catalogue Aluminium'!$O$11,'Catalogue Aluminium'!$P$11)),IF(T211="TRENCH",(IF($U211="1C",'Catalogue Aluminium'!$O$12,'Catalogue Aluminium'!$P$12))))))</f>
        <v>NA</v>
      </c>
      <c r="AM211" s="344" t="str">
        <f>IF(T211="AIR","NA",IF(T211="TRENCH","NA",IF(T211="DUCT",IF(U211="1C",VLOOKUP(V211,'Catalogue Aluminium'!$Q$9:$S$28,2,FALSE),VLOOKUP(V211,'Catalogue Aluminium'!$Q$9:$S$28,3)),IF(T211="GROUND",IF(U211="1C",VLOOKUP(V211,'Catalogue Aluminium'!$Q$9:$S$28,2,FALSE),VLOOKUP(V211,'Catalogue Aluminium'!$Q$9:$S$28,3))))))</f>
        <v>NA</v>
      </c>
      <c r="AN211" s="351">
        <f t="shared" si="1547"/>
        <v>0.58740000000000003</v>
      </c>
      <c r="AO211" s="350">
        <f t="shared" si="1548"/>
        <v>22.321200000000001</v>
      </c>
      <c r="AP211" s="349">
        <f t="shared" si="1549"/>
        <v>1</v>
      </c>
      <c r="AQ211" s="350" t="str">
        <f t="shared" si="1550"/>
        <v>YES</v>
      </c>
      <c r="AR211" s="351">
        <f t="shared" si="1463"/>
        <v>0.2970069146641301</v>
      </c>
      <c r="AS211" s="343" t="str">
        <f t="shared" si="1464"/>
        <v>YES</v>
      </c>
      <c r="AT211" s="351" t="str">
        <f t="shared" si="1551"/>
        <v>NA</v>
      </c>
      <c r="AU211" s="343" t="str">
        <f t="shared" si="1552"/>
        <v>NA</v>
      </c>
      <c r="AV211" s="354" t="str">
        <f t="shared" si="1553"/>
        <v>1R x 0.6/1kV x 3C x 4 Sqmm</v>
      </c>
      <c r="AW211" s="354" t="str">
        <f t="shared" si="1554"/>
        <v>1R x 0.6/1kV x 3C x 4 Sqmm</v>
      </c>
      <c r="AX211" s="343">
        <f t="shared" si="1555"/>
        <v>52</v>
      </c>
      <c r="AY211" s="355"/>
      <c r="AZ211" s="355">
        <f t="shared" si="1556"/>
        <v>2</v>
      </c>
      <c r="BA211" s="356" t="str">
        <f t="shared" si="1557"/>
        <v/>
      </c>
      <c r="BB211" s="501">
        <f>VLOOKUP(W211,'Catalogue Aluminium'!$B$9:$H$93,7,FALSE)</f>
        <v>15</v>
      </c>
      <c r="BC211" s="328">
        <f t="shared" si="1558"/>
        <v>15</v>
      </c>
      <c r="BE211" s="336"/>
      <c r="BF211" s="336"/>
      <c r="BG211" s="336"/>
      <c r="BH211" s="336"/>
      <c r="BI211" s="336"/>
      <c r="BJ211" s="336"/>
      <c r="BK211" s="336"/>
      <c r="BL211" s="336"/>
      <c r="BM211" s="336"/>
      <c r="BN211" s="336"/>
      <c r="BO211" s="336"/>
      <c r="BP211" s="336"/>
      <c r="BQ211" s="336"/>
      <c r="BR211" s="336"/>
      <c r="BS211" s="336"/>
      <c r="BT211" s="336"/>
      <c r="BU211" s="336"/>
      <c r="BV211" s="336"/>
      <c r="BW211" s="336"/>
      <c r="BX211" s="336"/>
      <c r="BY211" s="336"/>
      <c r="BZ211" s="336"/>
      <c r="CA211" s="336"/>
      <c r="CB211" s="336"/>
      <c r="CC211" s="336"/>
      <c r="CD211" s="336"/>
      <c r="CE211" s="336"/>
      <c r="CF211" s="336"/>
      <c r="CG211" s="336"/>
      <c r="CH211" s="336"/>
      <c r="CI211" s="336"/>
      <c r="CJ211" s="336"/>
      <c r="CK211" s="336"/>
      <c r="CL211" s="336"/>
      <c r="CM211" s="336"/>
      <c r="CN211" s="336"/>
      <c r="CO211" s="336"/>
      <c r="CP211" s="336"/>
      <c r="CQ211" s="336"/>
      <c r="CR211" s="336"/>
      <c r="CS211" s="336"/>
      <c r="CT211" s="336"/>
      <c r="CU211" s="336"/>
      <c r="CV211" s="336"/>
      <c r="CW211" s="336"/>
      <c r="CX211" s="336"/>
      <c r="CY211" s="336"/>
      <c r="CZ211" s="336"/>
      <c r="DA211" s="336"/>
      <c r="DB211" s="336"/>
      <c r="DC211" s="336"/>
      <c r="DD211" s="336"/>
      <c r="DE211" s="336"/>
      <c r="DF211" s="336"/>
      <c r="DG211" s="336"/>
      <c r="DH211" s="336"/>
      <c r="DI211" s="336"/>
      <c r="DJ211" s="336"/>
      <c r="DK211" s="336"/>
      <c r="DL211" s="336"/>
      <c r="DM211" s="336"/>
      <c r="DN211" s="336"/>
      <c r="DO211" s="336"/>
      <c r="DP211" s="336"/>
      <c r="DQ211" s="336"/>
      <c r="DR211" s="336"/>
      <c r="DS211" s="336"/>
      <c r="DT211" s="336"/>
      <c r="DU211" s="336"/>
      <c r="DW211" s="336">
        <f t="shared" si="1529"/>
        <v>0</v>
      </c>
      <c r="DX211" s="336">
        <f t="shared" si="1479"/>
        <v>0</v>
      </c>
      <c r="DY211" s="336">
        <f t="shared" si="1480"/>
        <v>0</v>
      </c>
      <c r="DZ211" s="336">
        <f t="shared" si="1481"/>
        <v>0</v>
      </c>
      <c r="EA211" s="336">
        <f t="shared" si="1482"/>
        <v>0</v>
      </c>
      <c r="EB211" s="336">
        <f t="shared" si="1483"/>
        <v>0</v>
      </c>
      <c r="EC211" s="336">
        <f t="shared" si="1484"/>
        <v>0</v>
      </c>
      <c r="ED211" s="336">
        <f t="shared" si="1485"/>
        <v>0</v>
      </c>
      <c r="EE211" s="336">
        <f t="shared" si="1486"/>
        <v>0</v>
      </c>
      <c r="EF211" s="336">
        <f t="shared" si="1487"/>
        <v>0</v>
      </c>
      <c r="EG211" s="336">
        <f t="shared" si="1488"/>
        <v>0</v>
      </c>
      <c r="EH211" s="336">
        <f t="shared" si="1489"/>
        <v>0</v>
      </c>
      <c r="EI211" s="336">
        <f t="shared" si="1490"/>
        <v>0</v>
      </c>
      <c r="EJ211" s="336">
        <f t="shared" si="1491"/>
        <v>0</v>
      </c>
      <c r="EK211" s="336">
        <f t="shared" si="1492"/>
        <v>0</v>
      </c>
      <c r="EL211" s="336">
        <f t="shared" si="1493"/>
        <v>0</v>
      </c>
      <c r="EM211" s="336">
        <f t="shared" si="1494"/>
        <v>0</v>
      </c>
      <c r="EN211" s="336">
        <f t="shared" si="1495"/>
        <v>0</v>
      </c>
      <c r="EO211" s="336">
        <f t="shared" si="1496"/>
        <v>0</v>
      </c>
      <c r="EP211" s="336">
        <f t="shared" si="1497"/>
        <v>0</v>
      </c>
      <c r="EQ211" s="336">
        <f t="shared" si="1498"/>
        <v>0</v>
      </c>
      <c r="ER211" s="336">
        <f t="shared" si="1499"/>
        <v>0</v>
      </c>
      <c r="ES211" s="336">
        <f t="shared" si="1500"/>
        <v>0</v>
      </c>
      <c r="ET211" s="336">
        <f t="shared" si="1500"/>
        <v>0</v>
      </c>
      <c r="EU211" s="336">
        <f t="shared" si="1501"/>
        <v>0</v>
      </c>
      <c r="EV211" s="336">
        <f t="shared" si="1502"/>
        <v>0</v>
      </c>
      <c r="EW211" s="336">
        <f t="shared" si="1503"/>
        <v>0</v>
      </c>
      <c r="EX211" s="336">
        <f t="shared" si="1504"/>
        <v>0</v>
      </c>
      <c r="EY211" s="336">
        <f t="shared" si="1505"/>
        <v>0</v>
      </c>
      <c r="EZ211" s="336">
        <f t="shared" si="1506"/>
        <v>0</v>
      </c>
      <c r="FA211" s="336">
        <f t="shared" si="1507"/>
        <v>0</v>
      </c>
      <c r="FB211" s="336">
        <f t="shared" si="1508"/>
        <v>0</v>
      </c>
      <c r="FC211" s="336">
        <f t="shared" si="1509"/>
        <v>0</v>
      </c>
      <c r="FD211" s="336">
        <f t="shared" si="1510"/>
        <v>0</v>
      </c>
      <c r="FE211" s="336">
        <f t="shared" si="1511"/>
        <v>0</v>
      </c>
      <c r="FF211" s="336">
        <f t="shared" si="1512"/>
        <v>0</v>
      </c>
      <c r="FG211" s="336">
        <f t="shared" si="1513"/>
        <v>0</v>
      </c>
      <c r="FH211" s="336">
        <f t="shared" si="1514"/>
        <v>0</v>
      </c>
      <c r="FI211" s="336">
        <f t="shared" si="1515"/>
        <v>0</v>
      </c>
      <c r="FJ211" s="336">
        <f t="shared" si="1516"/>
        <v>0</v>
      </c>
      <c r="FK211" s="336">
        <f t="shared" si="1517"/>
        <v>0</v>
      </c>
      <c r="FL211" s="336">
        <f t="shared" si="1518"/>
        <v>0</v>
      </c>
      <c r="FM211" s="336">
        <f t="shared" si="1519"/>
        <v>0</v>
      </c>
      <c r="FN211" s="336">
        <f t="shared" si="1520"/>
        <v>0</v>
      </c>
      <c r="FO211" s="336">
        <f t="shared" si="1521"/>
        <v>0</v>
      </c>
      <c r="FP211" s="336">
        <f t="shared" si="1522"/>
        <v>0</v>
      </c>
      <c r="FQ211" s="336">
        <f t="shared" si="1523"/>
        <v>0</v>
      </c>
      <c r="FR211" s="336">
        <f t="shared" si="1524"/>
        <v>0</v>
      </c>
      <c r="FS211" s="336">
        <f t="shared" si="1525"/>
        <v>0</v>
      </c>
      <c r="FT211" s="336">
        <f t="shared" si="1526"/>
        <v>0</v>
      </c>
      <c r="FU211" s="336">
        <f t="shared" si="1474"/>
        <v>0</v>
      </c>
      <c r="FV211" s="336">
        <f t="shared" si="1475"/>
        <v>0</v>
      </c>
      <c r="FW211" s="336">
        <f t="shared" si="1476"/>
        <v>0</v>
      </c>
      <c r="FX211" s="336">
        <f t="shared" si="1477"/>
        <v>0</v>
      </c>
      <c r="FY211" s="336">
        <f t="shared" si="1559"/>
        <v>0</v>
      </c>
      <c r="FZ211" s="336">
        <f t="shared" si="1560"/>
        <v>0</v>
      </c>
      <c r="GA211" s="336">
        <f t="shared" si="1561"/>
        <v>0</v>
      </c>
      <c r="GB211" s="336">
        <f t="shared" si="1562"/>
        <v>0</v>
      </c>
      <c r="GC211" s="336">
        <f t="shared" si="1563"/>
        <v>0</v>
      </c>
      <c r="GD211" s="336">
        <f t="shared" si="1564"/>
        <v>0</v>
      </c>
      <c r="GE211" s="336">
        <f t="shared" si="1565"/>
        <v>0</v>
      </c>
      <c r="GF211" s="336">
        <f t="shared" si="1566"/>
        <v>0</v>
      </c>
      <c r="GG211" s="336">
        <f t="shared" si="1567"/>
        <v>0</v>
      </c>
      <c r="GH211" s="336">
        <f t="shared" si="1568"/>
        <v>0</v>
      </c>
      <c r="GI211" s="336">
        <f t="shared" si="1569"/>
        <v>0</v>
      </c>
      <c r="GJ211" s="336">
        <f t="shared" si="1570"/>
        <v>0</v>
      </c>
      <c r="GK211" s="336">
        <f t="shared" si="1571"/>
        <v>0</v>
      </c>
      <c r="GL211" s="336">
        <f t="shared" si="1478"/>
        <v>0</v>
      </c>
      <c r="GM211" s="336">
        <f t="shared" si="1572"/>
        <v>0</v>
      </c>
    </row>
    <row r="212" spans="1:195" ht="27.75" customHeight="1">
      <c r="A212" s="337">
        <f t="shared" si="1578"/>
        <v>166</v>
      </c>
      <c r="B212" s="453"/>
      <c r="C212" s="372" t="s">
        <v>1345</v>
      </c>
      <c r="D212" s="444" t="s">
        <v>1358</v>
      </c>
      <c r="E212" s="567" t="s">
        <v>1342</v>
      </c>
      <c r="F212" s="444"/>
      <c r="G212" s="337" t="s">
        <v>329</v>
      </c>
      <c r="H212" s="583">
        <v>0.25</v>
      </c>
      <c r="I212" s="337" t="s">
        <v>330</v>
      </c>
      <c r="J212" s="343" t="s">
        <v>357</v>
      </c>
      <c r="K212" s="526">
        <v>230</v>
      </c>
      <c r="L212" s="343">
        <v>0.95</v>
      </c>
      <c r="M212" s="350">
        <v>0.85</v>
      </c>
      <c r="N212" s="342">
        <f t="shared" si="1579"/>
        <v>1.3460761879122358</v>
      </c>
      <c r="O212" s="342">
        <f t="shared" si="1580"/>
        <v>0</v>
      </c>
      <c r="P212" s="343" t="str">
        <f t="shared" si="1581"/>
        <v>0.00</v>
      </c>
      <c r="Q212" s="350">
        <v>65</v>
      </c>
      <c r="R212" s="350">
        <v>0</v>
      </c>
      <c r="S212" s="350">
        <f t="shared" ref="S212" si="1584">(Q212*1000*SQRT(R212)/143)</f>
        <v>0</v>
      </c>
      <c r="T212" s="343" t="s">
        <v>131</v>
      </c>
      <c r="U212" s="350" t="s">
        <v>333</v>
      </c>
      <c r="V212" s="343">
        <v>4</v>
      </c>
      <c r="W212" s="343" t="str">
        <f t="shared" ref="W212" si="1585">CONCATENATE(U212," X ",V212)</f>
        <v>3C X 4</v>
      </c>
      <c r="X212" s="343" t="str">
        <f t="shared" ref="X212" si="1586">(IF(J212="1Ph",W212,IF(J212="3Ph",(IF(G212="MOTOR",(CONCATENATE(W212,"+PE")),W212)))))</f>
        <v>3C X 4</v>
      </c>
      <c r="Y212" s="343" t="s">
        <v>358</v>
      </c>
      <c r="Z212" s="344">
        <f>IF(T212="AIR",VLOOKUP(W212,'Catalogue Aluminium'!$B$9:$G$93,2,FALSE),IF(T212="GROUND",VLOOKUP(W212,'Catalogue Aluminium'!$B$9:$G$93,3,FALSE),IF(T212="DUCT",VLOOKUP(W212,'Catalogue Aluminium'!$B$9:$G$93,4,FALSE),IF(T212="TRENCH",VLOOKUP(W212,'Catalogue Aluminium'!$B$9:$G$93,2,FALSE)))))</f>
        <v>38</v>
      </c>
      <c r="AA212" s="345">
        <f>VLOOKUP(W212,'Catalogue Aluminium'!$B$9:$G$93,5,FALSE)</f>
        <v>5.9</v>
      </c>
      <c r="AB212" s="345">
        <f>VLOOKUP(W212,'Catalogue Aluminium'!$B$9:$G$93,6,FALSE)</f>
        <v>9.4700000000000006E-2</v>
      </c>
      <c r="AC212" s="343">
        <f t="shared" si="1577"/>
        <v>32</v>
      </c>
      <c r="AD212" s="343">
        <v>0</v>
      </c>
      <c r="AE212" s="343">
        <v>10</v>
      </c>
      <c r="AF212" s="343">
        <v>5</v>
      </c>
      <c r="AG212" s="343">
        <f t="shared" ref="AG212" si="1587">ROUNDUP((SUM(AC212:AF212)*0.1),0)</f>
        <v>5</v>
      </c>
      <c r="AH212" s="347">
        <f t="shared" ref="AH212" si="1588">SUM(AC212:AG212)</f>
        <v>52</v>
      </c>
      <c r="AI212" s="344">
        <f>IF(T212="AIR",'Catalogue Aluminium'!$K$9,IF(T212="TRENCH",'Catalogue Aluminium'!$K$12,"NA"))</f>
        <v>0.89</v>
      </c>
      <c r="AJ212" s="342">
        <f>IF(T212="Air",(IF(U212="1C",'Catalogue Aluminium'!$L$9,'Catalogue Aluminium'!$M$9)),IF(T212="DUCT",(IF($U212="1C",'Catalogue Aluminium'!$L$10,'Catalogue Aluminium'!$M$10)),IF(T212="GROUND",(IF($U212="1C",'Catalogue Aluminium'!$L$11,'Catalogue Aluminium'!$M$11)),IF(T212="TRENCH",(IF($U212="1C",'Catalogue Aluminium'!$L$12,'Catalogue Aluminium'!$M$12))))))</f>
        <v>0.66</v>
      </c>
      <c r="AK212" s="344" t="str">
        <f>IF(T212="Air",'Catalogue Aluminium'!$N$9,IF(T212="GROUND",'Catalogue Aluminium'!$N$10,IF(T212="DUCT",'Catalogue Aluminium'!$N$11,IF(T212="TRENCH",'Catalogue Aluminium'!$N$12,"NA"))))</f>
        <v>NA</v>
      </c>
      <c r="AL212" s="344" t="str">
        <f>IF(T212="Air",(IF(U212="1C",'Catalogue Aluminium'!$O$9,'Catalogue Aluminium'!$P$9)),IF(T212="DUCT",(IF($U212="1C",'Catalogue Aluminium'!$O$10,'Catalogue Aluminium'!$P$10)),IF(T212="GROUND",(IF($U212="1C",'Catalogue Aluminium'!$O$11,'Catalogue Aluminium'!$P$11)),IF(T212="TRENCH",(IF($U212="1C",'Catalogue Aluminium'!$O$12,'Catalogue Aluminium'!$P$12))))))</f>
        <v>NA</v>
      </c>
      <c r="AM212" s="344" t="str">
        <f>IF(T212="AIR","NA",IF(T212="TRENCH","NA",IF(T212="DUCT",IF(U212="1C",VLOOKUP(V212,'Catalogue Aluminium'!$Q$9:$S$28,2,FALSE),VLOOKUP(V212,'Catalogue Aluminium'!$Q$9:$S$28,3)),IF(T212="GROUND",IF(U212="1C",VLOOKUP(V212,'Catalogue Aluminium'!$Q$9:$S$28,2,FALSE),VLOOKUP(V212,'Catalogue Aluminium'!$Q$9:$S$28,3))))))</f>
        <v>NA</v>
      </c>
      <c r="AN212" s="351">
        <f t="shared" ref="AN212" si="1589">IF(T212="AIR",AI212*AJ212,IF(T212="TRENCH",AI212*AJ212,IF(T212="DUCT",AJ212*AK212*AL212*AM212,IF(T212="GROUND",AJ212*AK212*AL212*AM212))))</f>
        <v>0.58740000000000003</v>
      </c>
      <c r="AO212" s="350">
        <f t="shared" ref="AO212" si="1590">Z212*AN212</f>
        <v>22.321200000000001</v>
      </c>
      <c r="AP212" s="349">
        <f t="shared" ref="AP212" si="1591">CEILING(((N212)/AO212),1)</f>
        <v>1</v>
      </c>
      <c r="AQ212" s="350" t="str">
        <f t="shared" ref="AQ212" si="1592">IF(AO212*AP212&gt;=N212,"YES","NO")</f>
        <v>YES</v>
      </c>
      <c r="AR212" s="351">
        <f t="shared" ref="AR212" si="1593">SQRT(3)*AH212*N212*((AA212*L212)+(AB212*SIN(ACOS(L212))))*100/(AP212*K212*1000)</f>
        <v>0.2970069146641301</v>
      </c>
      <c r="AS212" s="343" t="str">
        <f t="shared" ref="AS212" si="1594">IF(G212="INCOMER",(IF(AR212&lt;=2,"YES","NO")),IF(G212="POWER",(IF(AR212&lt;=2.5,"YES","NO")),IF(G212="MOTOR",(IF(AR212&lt;=3,"YES","NO")))))</f>
        <v>YES</v>
      </c>
      <c r="AT212" s="351" t="str">
        <f t="shared" si="1551"/>
        <v>NA</v>
      </c>
      <c r="AU212" s="343" t="str">
        <f t="shared" si="1552"/>
        <v>NA</v>
      </c>
      <c r="AV212" s="354" t="str">
        <f t="shared" si="1553"/>
        <v>1R x 0.6/1kV x 3C x 4 Sqmm</v>
      </c>
      <c r="AW212" s="354" t="str">
        <f t="shared" si="1554"/>
        <v>1R x 0.6/1kV x 3C x 4 Sqmm</v>
      </c>
      <c r="AX212" s="343">
        <f t="shared" si="1555"/>
        <v>52</v>
      </c>
      <c r="AY212" s="355"/>
      <c r="AZ212" s="355">
        <f t="shared" si="1556"/>
        <v>2</v>
      </c>
      <c r="BA212" s="356" t="str">
        <f t="shared" si="1557"/>
        <v/>
      </c>
      <c r="BB212" s="501">
        <f>VLOOKUP(W212,'Catalogue Aluminium'!$B$9:$H$93,7,FALSE)</f>
        <v>15</v>
      </c>
      <c r="BC212" s="328">
        <f t="shared" si="1558"/>
        <v>15</v>
      </c>
      <c r="BE212" s="336"/>
      <c r="BF212" s="336"/>
      <c r="BG212" s="336"/>
      <c r="BH212" s="336"/>
      <c r="BI212" s="336"/>
      <c r="BJ212" s="336"/>
      <c r="BK212" s="336"/>
      <c r="BL212" s="336"/>
      <c r="BM212" s="336"/>
      <c r="BN212" s="336"/>
      <c r="BO212" s="336"/>
      <c r="BP212" s="336"/>
      <c r="BQ212" s="336"/>
      <c r="BR212" s="336"/>
      <c r="BS212" s="336"/>
      <c r="BT212" s="336"/>
      <c r="BU212" s="336"/>
      <c r="BV212" s="336"/>
      <c r="BW212" s="336"/>
      <c r="BX212" s="336"/>
      <c r="BY212" s="336"/>
      <c r="BZ212" s="336"/>
      <c r="CA212" s="336"/>
      <c r="CB212" s="336"/>
      <c r="CC212" s="336"/>
      <c r="CD212" s="336"/>
      <c r="CE212" s="336"/>
      <c r="CF212" s="336"/>
      <c r="CG212" s="336"/>
      <c r="CH212" s="336"/>
      <c r="CI212" s="336"/>
      <c r="CJ212" s="336"/>
      <c r="CK212" s="336"/>
      <c r="CL212" s="336"/>
      <c r="CM212" s="336"/>
      <c r="CN212" s="336"/>
      <c r="CO212" s="336"/>
      <c r="CP212" s="336"/>
      <c r="CQ212" s="336"/>
      <c r="CR212" s="336"/>
      <c r="CS212" s="336"/>
      <c r="CT212" s="336"/>
      <c r="CU212" s="336"/>
      <c r="CV212" s="336"/>
      <c r="CW212" s="336"/>
      <c r="CX212" s="336"/>
      <c r="CY212" s="336"/>
      <c r="CZ212" s="336"/>
      <c r="DA212" s="336"/>
      <c r="DB212" s="336"/>
      <c r="DC212" s="336"/>
      <c r="DD212" s="336"/>
      <c r="DE212" s="336"/>
      <c r="DF212" s="336"/>
      <c r="DG212" s="336"/>
      <c r="DH212" s="336"/>
      <c r="DI212" s="336"/>
      <c r="DJ212" s="336"/>
      <c r="DK212" s="336"/>
      <c r="DL212" s="336"/>
      <c r="DM212" s="336"/>
      <c r="DN212" s="336"/>
      <c r="DO212" s="336"/>
      <c r="DP212" s="336"/>
      <c r="DQ212" s="336"/>
      <c r="DR212" s="336"/>
      <c r="DS212" s="336"/>
      <c r="DT212" s="336"/>
      <c r="DU212" s="336"/>
      <c r="DW212" s="336">
        <f t="shared" si="1529"/>
        <v>0</v>
      </c>
      <c r="DX212" s="336">
        <f t="shared" si="1479"/>
        <v>0</v>
      </c>
      <c r="DY212" s="336">
        <f t="shared" si="1480"/>
        <v>0</v>
      </c>
      <c r="DZ212" s="336">
        <f t="shared" si="1481"/>
        <v>0</v>
      </c>
      <c r="EA212" s="336">
        <f t="shared" si="1482"/>
        <v>0</v>
      </c>
      <c r="EB212" s="336">
        <f t="shared" si="1483"/>
        <v>0</v>
      </c>
      <c r="EC212" s="336">
        <f t="shared" si="1484"/>
        <v>0</v>
      </c>
      <c r="ED212" s="336">
        <f t="shared" si="1485"/>
        <v>0</v>
      </c>
      <c r="EE212" s="336">
        <f t="shared" si="1486"/>
        <v>0</v>
      </c>
      <c r="EF212" s="336">
        <f t="shared" si="1487"/>
        <v>0</v>
      </c>
      <c r="EG212" s="336">
        <f t="shared" si="1488"/>
        <v>0</v>
      </c>
      <c r="EH212" s="336">
        <f t="shared" si="1489"/>
        <v>0</v>
      </c>
      <c r="EI212" s="336">
        <f t="shared" si="1490"/>
        <v>0</v>
      </c>
      <c r="EJ212" s="336">
        <f t="shared" si="1491"/>
        <v>0</v>
      </c>
      <c r="EK212" s="336">
        <f t="shared" si="1492"/>
        <v>0</v>
      </c>
      <c r="EL212" s="336">
        <f t="shared" si="1493"/>
        <v>0</v>
      </c>
      <c r="EM212" s="336">
        <f t="shared" si="1494"/>
        <v>0</v>
      </c>
      <c r="EN212" s="336">
        <f t="shared" si="1495"/>
        <v>0</v>
      </c>
      <c r="EO212" s="336">
        <f t="shared" si="1496"/>
        <v>0</v>
      </c>
      <c r="EP212" s="336">
        <f t="shared" si="1497"/>
        <v>0</v>
      </c>
      <c r="EQ212" s="336">
        <f t="shared" si="1498"/>
        <v>0</v>
      </c>
      <c r="ER212" s="336">
        <f t="shared" si="1499"/>
        <v>0</v>
      </c>
      <c r="ES212" s="336">
        <f t="shared" si="1500"/>
        <v>0</v>
      </c>
      <c r="ET212" s="336">
        <f t="shared" si="1500"/>
        <v>0</v>
      </c>
      <c r="EU212" s="336">
        <f t="shared" si="1501"/>
        <v>0</v>
      </c>
      <c r="EV212" s="336">
        <f t="shared" si="1502"/>
        <v>0</v>
      </c>
      <c r="EW212" s="336">
        <f t="shared" si="1503"/>
        <v>0</v>
      </c>
      <c r="EX212" s="336">
        <f t="shared" si="1504"/>
        <v>0</v>
      </c>
      <c r="EY212" s="336">
        <f t="shared" si="1505"/>
        <v>0</v>
      </c>
      <c r="EZ212" s="336">
        <f t="shared" si="1506"/>
        <v>0</v>
      </c>
      <c r="FA212" s="336">
        <f t="shared" si="1507"/>
        <v>0</v>
      </c>
      <c r="FB212" s="336">
        <f t="shared" si="1508"/>
        <v>0</v>
      </c>
      <c r="FC212" s="336">
        <f t="shared" si="1509"/>
        <v>0</v>
      </c>
      <c r="FD212" s="336">
        <f t="shared" si="1510"/>
        <v>0</v>
      </c>
      <c r="FE212" s="336">
        <f t="shared" si="1511"/>
        <v>0</v>
      </c>
      <c r="FF212" s="336">
        <f t="shared" si="1512"/>
        <v>0</v>
      </c>
      <c r="FG212" s="336">
        <f t="shared" si="1513"/>
        <v>0</v>
      </c>
      <c r="FH212" s="336">
        <f t="shared" si="1514"/>
        <v>0</v>
      </c>
      <c r="FI212" s="336">
        <f t="shared" si="1515"/>
        <v>0</v>
      </c>
      <c r="FJ212" s="336">
        <f t="shared" si="1516"/>
        <v>0</v>
      </c>
      <c r="FK212" s="336">
        <f t="shared" si="1517"/>
        <v>0</v>
      </c>
      <c r="FL212" s="336">
        <f t="shared" si="1518"/>
        <v>0</v>
      </c>
      <c r="FM212" s="336">
        <f t="shared" si="1519"/>
        <v>0</v>
      </c>
      <c r="FN212" s="336">
        <f t="shared" si="1520"/>
        <v>0</v>
      </c>
      <c r="FO212" s="336">
        <f t="shared" si="1521"/>
        <v>0</v>
      </c>
      <c r="FP212" s="336">
        <f t="shared" si="1522"/>
        <v>0</v>
      </c>
      <c r="FQ212" s="336">
        <f t="shared" si="1523"/>
        <v>0</v>
      </c>
      <c r="FR212" s="336">
        <f t="shared" si="1524"/>
        <v>0</v>
      </c>
      <c r="FS212" s="336">
        <f t="shared" si="1525"/>
        <v>0</v>
      </c>
      <c r="FT212" s="336">
        <f t="shared" si="1526"/>
        <v>0</v>
      </c>
      <c r="FU212" s="336">
        <f t="shared" si="1474"/>
        <v>0</v>
      </c>
      <c r="FV212" s="336">
        <f t="shared" si="1475"/>
        <v>0</v>
      </c>
      <c r="FW212" s="336">
        <f t="shared" si="1476"/>
        <v>0</v>
      </c>
      <c r="FX212" s="336">
        <f t="shared" si="1477"/>
        <v>0</v>
      </c>
      <c r="FY212" s="336">
        <f t="shared" si="1559"/>
        <v>0</v>
      </c>
      <c r="FZ212" s="336">
        <f t="shared" si="1560"/>
        <v>0</v>
      </c>
      <c r="GA212" s="336">
        <f t="shared" si="1561"/>
        <v>0</v>
      </c>
      <c r="GB212" s="336">
        <f t="shared" si="1562"/>
        <v>0</v>
      </c>
      <c r="GC212" s="336">
        <f t="shared" si="1563"/>
        <v>0</v>
      </c>
      <c r="GD212" s="336">
        <f t="shared" si="1564"/>
        <v>0</v>
      </c>
      <c r="GE212" s="336">
        <f t="shared" si="1565"/>
        <v>0</v>
      </c>
      <c r="GF212" s="336">
        <f t="shared" si="1566"/>
        <v>0</v>
      </c>
      <c r="GG212" s="336">
        <f t="shared" si="1567"/>
        <v>0</v>
      </c>
      <c r="GH212" s="336">
        <f t="shared" si="1568"/>
        <v>0</v>
      </c>
      <c r="GI212" s="336">
        <f t="shared" si="1569"/>
        <v>0</v>
      </c>
      <c r="GJ212" s="336">
        <f t="shared" si="1570"/>
        <v>0</v>
      </c>
      <c r="GK212" s="336">
        <f t="shared" si="1571"/>
        <v>0</v>
      </c>
      <c r="GL212" s="336">
        <f t="shared" si="1478"/>
        <v>0</v>
      </c>
      <c r="GM212" s="336">
        <f t="shared" si="1572"/>
        <v>0</v>
      </c>
    </row>
    <row r="213" spans="1:195" ht="27.75" customHeight="1">
      <c r="A213" s="337">
        <f t="shared" si="1578"/>
        <v>167</v>
      </c>
      <c r="B213" s="453" t="s">
        <v>1179</v>
      </c>
      <c r="C213" s="372" t="str">
        <f>$C$85</f>
        <v>PDB-2</v>
      </c>
      <c r="D213" s="440" t="s">
        <v>1359</v>
      </c>
      <c r="E213" s="567" t="s">
        <v>1181</v>
      </c>
      <c r="F213" s="444"/>
      <c r="G213" s="337" t="s">
        <v>337</v>
      </c>
      <c r="H213" s="350">
        <v>11.992631578947373</v>
      </c>
      <c r="I213" s="337" t="s">
        <v>330</v>
      </c>
      <c r="J213" s="349" t="s">
        <v>331</v>
      </c>
      <c r="K213" s="349">
        <v>400</v>
      </c>
      <c r="L213" s="343">
        <v>0.95</v>
      </c>
      <c r="M213" s="350">
        <v>0.85</v>
      </c>
      <c r="N213" s="342">
        <f t="shared" ref="N213" si="1595">IF(I213="kVA",IF(J213="3Ph",(H213*1000/(1.732*M213*K213)),(H213*1000/(M213*K213))),IF(I213="kW",IF(J213="3Ph",(H213*1000/(1.732*M213*K213*L213)),(H213*1000/(M213*K213*L213)))))</f>
        <v>21.437003658948253</v>
      </c>
      <c r="O213" s="926"/>
      <c r="P213" s="927"/>
      <c r="Q213" s="927"/>
      <c r="R213" s="927"/>
      <c r="S213" s="927"/>
      <c r="T213" s="927"/>
      <c r="U213" s="927"/>
      <c r="V213" s="927"/>
      <c r="W213" s="927"/>
      <c r="X213" s="927"/>
      <c r="Y213" s="927"/>
      <c r="Z213" s="927"/>
      <c r="AA213" s="927"/>
      <c r="AB213" s="927"/>
      <c r="AC213" s="927"/>
      <c r="AD213" s="927"/>
      <c r="AE213" s="927"/>
      <c r="AF213" s="927"/>
      <c r="AG213" s="927"/>
      <c r="AH213" s="927"/>
      <c r="AI213" s="927"/>
      <c r="AJ213" s="927"/>
      <c r="AK213" s="927"/>
      <c r="AL213" s="927"/>
      <c r="AM213" s="927"/>
      <c r="AN213" s="927"/>
      <c r="AO213" s="927"/>
      <c r="AP213" s="927"/>
      <c r="AQ213" s="927"/>
      <c r="AR213" s="927"/>
      <c r="AS213" s="927"/>
      <c r="AT213" s="927"/>
      <c r="AU213" s="927"/>
      <c r="AV213" s="927"/>
      <c r="AW213" s="927"/>
      <c r="AX213" s="927"/>
      <c r="AY213" s="927"/>
      <c r="AZ213" s="927"/>
      <c r="BA213" s="927"/>
      <c r="BB213" s="927"/>
      <c r="BC213" s="1020"/>
      <c r="BE213" s="336"/>
      <c r="BF213" s="336"/>
      <c r="BG213" s="336"/>
      <c r="BH213" s="336"/>
      <c r="BI213" s="336"/>
      <c r="BJ213" s="336"/>
      <c r="BK213" s="336"/>
      <c r="BL213" s="336"/>
      <c r="BM213" s="336"/>
      <c r="BN213" s="336"/>
      <c r="BO213" s="336"/>
      <c r="BP213" s="336"/>
      <c r="BQ213" s="336"/>
      <c r="BR213" s="336"/>
      <c r="BS213" s="336"/>
      <c r="BT213" s="336"/>
      <c r="BU213" s="336"/>
      <c r="BV213" s="336"/>
      <c r="BW213" s="336"/>
      <c r="BX213" s="336"/>
      <c r="BY213" s="336"/>
      <c r="BZ213" s="336"/>
      <c r="CA213" s="336"/>
      <c r="CB213" s="336"/>
      <c r="CC213" s="336"/>
      <c r="CD213" s="336"/>
      <c r="CE213" s="336"/>
      <c r="CF213" s="336"/>
      <c r="CG213" s="336"/>
      <c r="CH213" s="336"/>
      <c r="CI213" s="336"/>
      <c r="CJ213" s="336"/>
      <c r="CK213" s="336"/>
      <c r="CL213" s="336"/>
      <c r="CM213" s="336"/>
      <c r="CN213" s="336"/>
      <c r="CO213" s="336"/>
      <c r="CP213" s="336"/>
      <c r="CQ213" s="336"/>
      <c r="CR213" s="336"/>
      <c r="CS213" s="336"/>
      <c r="CT213" s="336"/>
      <c r="CU213" s="336"/>
      <c r="CV213" s="336"/>
      <c r="CW213" s="336"/>
      <c r="CX213" s="336"/>
      <c r="CY213" s="336"/>
      <c r="CZ213" s="336"/>
      <c r="DA213" s="336"/>
      <c r="DB213" s="336"/>
      <c r="DC213" s="336"/>
      <c r="DD213" s="336"/>
      <c r="DE213" s="336"/>
      <c r="DF213" s="336"/>
      <c r="DG213" s="336"/>
      <c r="DH213" s="336"/>
      <c r="DI213" s="336"/>
      <c r="DJ213" s="336"/>
      <c r="DK213" s="336"/>
      <c r="DL213" s="336"/>
      <c r="DM213" s="336"/>
      <c r="DN213" s="336"/>
      <c r="DO213" s="336"/>
      <c r="DP213" s="336"/>
      <c r="DQ213" s="336"/>
      <c r="DR213" s="336"/>
      <c r="DS213" s="336"/>
      <c r="DT213" s="336"/>
      <c r="DU213" s="336"/>
      <c r="DW213" s="336">
        <f t="shared" si="1529"/>
        <v>0</v>
      </c>
      <c r="DX213" s="336">
        <f t="shared" si="1479"/>
        <v>0</v>
      </c>
      <c r="DY213" s="336">
        <f t="shared" si="1480"/>
        <v>0</v>
      </c>
      <c r="DZ213" s="336">
        <f t="shared" si="1481"/>
        <v>0</v>
      </c>
      <c r="EA213" s="336">
        <f t="shared" si="1482"/>
        <v>0</v>
      </c>
      <c r="EB213" s="336">
        <f t="shared" si="1483"/>
        <v>0</v>
      </c>
      <c r="EC213" s="336">
        <f t="shared" si="1484"/>
        <v>0</v>
      </c>
      <c r="ED213" s="336">
        <f t="shared" si="1485"/>
        <v>0</v>
      </c>
      <c r="EE213" s="336">
        <f t="shared" si="1486"/>
        <v>0</v>
      </c>
      <c r="EF213" s="336">
        <f t="shared" si="1487"/>
        <v>0</v>
      </c>
      <c r="EG213" s="336">
        <f t="shared" si="1488"/>
        <v>0</v>
      </c>
      <c r="EH213" s="336">
        <f t="shared" si="1489"/>
        <v>0</v>
      </c>
      <c r="EI213" s="336">
        <f t="shared" si="1490"/>
        <v>0</v>
      </c>
      <c r="EJ213" s="336">
        <f t="shared" si="1491"/>
        <v>0</v>
      </c>
      <c r="EK213" s="336">
        <f t="shared" si="1492"/>
        <v>0</v>
      </c>
      <c r="EL213" s="336">
        <f t="shared" si="1493"/>
        <v>0</v>
      </c>
      <c r="EM213" s="336">
        <f t="shared" si="1494"/>
        <v>0</v>
      </c>
      <c r="EN213" s="336">
        <f t="shared" si="1495"/>
        <v>0</v>
      </c>
      <c r="EO213" s="336">
        <f t="shared" si="1496"/>
        <v>0</v>
      </c>
      <c r="EP213" s="336">
        <f t="shared" si="1497"/>
        <v>0</v>
      </c>
      <c r="EQ213" s="336">
        <f t="shared" si="1498"/>
        <v>0</v>
      </c>
      <c r="ER213" s="336">
        <f t="shared" si="1499"/>
        <v>0</v>
      </c>
      <c r="ES213" s="336">
        <f t="shared" si="1500"/>
        <v>0</v>
      </c>
      <c r="ET213" s="336">
        <f t="shared" si="1500"/>
        <v>0</v>
      </c>
      <c r="EU213" s="336">
        <f t="shared" si="1501"/>
        <v>0</v>
      </c>
      <c r="EV213" s="336">
        <f t="shared" si="1502"/>
        <v>0</v>
      </c>
      <c r="EW213" s="336">
        <f t="shared" si="1503"/>
        <v>0</v>
      </c>
      <c r="EX213" s="336">
        <f t="shared" si="1504"/>
        <v>0</v>
      </c>
      <c r="EY213" s="336">
        <f t="shared" si="1505"/>
        <v>0</v>
      </c>
      <c r="EZ213" s="336">
        <f t="shared" si="1506"/>
        <v>0</v>
      </c>
      <c r="FA213" s="336">
        <f t="shared" si="1507"/>
        <v>0</v>
      </c>
      <c r="FB213" s="336">
        <f t="shared" si="1508"/>
        <v>0</v>
      </c>
      <c r="FC213" s="336">
        <f t="shared" si="1509"/>
        <v>0</v>
      </c>
      <c r="FD213" s="336">
        <f t="shared" si="1510"/>
        <v>0</v>
      </c>
      <c r="FE213" s="336">
        <f t="shared" si="1511"/>
        <v>0</v>
      </c>
      <c r="FF213" s="336">
        <f t="shared" si="1512"/>
        <v>0</v>
      </c>
      <c r="FG213" s="336">
        <f t="shared" si="1513"/>
        <v>0</v>
      </c>
      <c r="FH213" s="336">
        <f t="shared" si="1514"/>
        <v>0</v>
      </c>
      <c r="FI213" s="336">
        <f t="shared" si="1515"/>
        <v>0</v>
      </c>
      <c r="FJ213" s="336">
        <f t="shared" si="1516"/>
        <v>0</v>
      </c>
      <c r="FK213" s="336">
        <f t="shared" si="1517"/>
        <v>0</v>
      </c>
      <c r="FL213" s="336">
        <f t="shared" si="1518"/>
        <v>0</v>
      </c>
      <c r="FM213" s="336">
        <f t="shared" si="1519"/>
        <v>0</v>
      </c>
      <c r="FN213" s="336">
        <f t="shared" si="1520"/>
        <v>0</v>
      </c>
      <c r="FO213" s="336">
        <f t="shared" si="1521"/>
        <v>0</v>
      </c>
      <c r="FP213" s="336">
        <f t="shared" si="1522"/>
        <v>0</v>
      </c>
      <c r="FQ213" s="336">
        <f t="shared" si="1523"/>
        <v>0</v>
      </c>
      <c r="FR213" s="336">
        <f t="shared" si="1524"/>
        <v>0</v>
      </c>
      <c r="FS213" s="336">
        <f t="shared" si="1525"/>
        <v>0</v>
      </c>
      <c r="FT213" s="336">
        <f t="shared" si="1526"/>
        <v>0</v>
      </c>
      <c r="FU213" s="336">
        <f t="shared" si="1474"/>
        <v>0</v>
      </c>
      <c r="FV213" s="336">
        <f t="shared" si="1475"/>
        <v>0</v>
      </c>
      <c r="FW213" s="336">
        <f t="shared" si="1476"/>
        <v>0</v>
      </c>
      <c r="FX213" s="336">
        <f t="shared" si="1477"/>
        <v>0</v>
      </c>
      <c r="FY213" s="336">
        <f t="shared" si="1559"/>
        <v>0</v>
      </c>
      <c r="FZ213" s="336">
        <f t="shared" si="1560"/>
        <v>0</v>
      </c>
      <c r="GA213" s="336">
        <f t="shared" si="1561"/>
        <v>0</v>
      </c>
      <c r="GB213" s="336">
        <f t="shared" si="1562"/>
        <v>0</v>
      </c>
      <c r="GC213" s="336">
        <f t="shared" si="1563"/>
        <v>0</v>
      </c>
      <c r="GD213" s="336">
        <f t="shared" si="1564"/>
        <v>0</v>
      </c>
      <c r="GE213" s="336">
        <f t="shared" si="1565"/>
        <v>0</v>
      </c>
      <c r="GF213" s="336">
        <f t="shared" si="1566"/>
        <v>0</v>
      </c>
      <c r="GG213" s="336">
        <f t="shared" si="1567"/>
        <v>0</v>
      </c>
      <c r="GH213" s="336">
        <f t="shared" si="1568"/>
        <v>0</v>
      </c>
      <c r="GI213" s="336">
        <f t="shared" si="1569"/>
        <v>0</v>
      </c>
      <c r="GJ213" s="336">
        <f t="shared" si="1570"/>
        <v>0</v>
      </c>
      <c r="GK213" s="336">
        <f t="shared" si="1571"/>
        <v>0</v>
      </c>
      <c r="GL213" s="336">
        <f t="shared" si="1478"/>
        <v>0</v>
      </c>
      <c r="GM213" s="336">
        <f t="shared" si="1572"/>
        <v>0</v>
      </c>
    </row>
    <row r="214" spans="1:195" s="60" customFormat="1" ht="33.75" customHeight="1">
      <c r="A214" s="710"/>
      <c r="B214" s="710"/>
      <c r="C214" s="711"/>
      <c r="D214" s="477" t="s">
        <v>1360</v>
      </c>
      <c r="E214" s="712"/>
      <c r="F214" s="710"/>
      <c r="G214" s="713"/>
      <c r="H214" s="714"/>
      <c r="I214" s="715"/>
      <c r="J214" s="715"/>
      <c r="K214" s="715"/>
      <c r="L214" s="714"/>
      <c r="M214" s="714"/>
      <c r="N214" s="716"/>
      <c r="O214" s="716"/>
      <c r="P214" s="717"/>
      <c r="Q214" s="714"/>
      <c r="R214" s="714"/>
      <c r="S214" s="714"/>
      <c r="T214" s="717"/>
      <c r="U214" s="714"/>
      <c r="V214" s="717"/>
      <c r="W214" s="717"/>
      <c r="X214" s="717"/>
      <c r="Y214" s="717"/>
      <c r="Z214" s="718"/>
      <c r="AA214" s="719"/>
      <c r="AB214" s="719"/>
      <c r="AC214" s="719"/>
      <c r="AD214" s="719"/>
      <c r="AE214" s="719"/>
      <c r="AF214" s="719"/>
      <c r="AG214" s="719"/>
      <c r="AH214" s="720"/>
      <c r="AI214" s="718"/>
      <c r="AJ214" s="716"/>
      <c r="AK214" s="718"/>
      <c r="AL214" s="718"/>
      <c r="AM214" s="718"/>
      <c r="AN214" s="721"/>
      <c r="AO214" s="714"/>
      <c r="AP214" s="722"/>
      <c r="AQ214" s="714"/>
      <c r="AR214" s="721"/>
      <c r="AS214" s="717"/>
      <c r="AT214" s="721"/>
      <c r="AU214" s="721"/>
      <c r="AV214" s="723"/>
      <c r="AW214" s="723"/>
      <c r="AX214" s="717"/>
      <c r="AY214" s="724"/>
      <c r="AZ214" s="724"/>
      <c r="BA214" s="724"/>
      <c r="BB214" s="753"/>
      <c r="BC214" s="754"/>
      <c r="BE214" s="336"/>
      <c r="BF214" s="336"/>
      <c r="BG214" s="336"/>
      <c r="BH214" s="336"/>
      <c r="BI214" s="336"/>
      <c r="BJ214" s="336"/>
      <c r="BK214" s="336"/>
      <c r="BL214" s="336"/>
      <c r="BM214" s="336"/>
      <c r="BN214" s="336"/>
      <c r="BO214" s="336"/>
      <c r="BP214" s="336"/>
      <c r="BQ214" s="336"/>
      <c r="BR214" s="336"/>
      <c r="BS214" s="336"/>
      <c r="BT214" s="336"/>
      <c r="BU214" s="336"/>
      <c r="BV214" s="336"/>
      <c r="BW214" s="336"/>
      <c r="BX214" s="336"/>
      <c r="BY214" s="336"/>
      <c r="BZ214" s="336"/>
      <c r="CA214" s="336"/>
      <c r="CB214" s="336"/>
      <c r="CC214" s="336"/>
      <c r="CD214" s="336"/>
      <c r="CE214" s="336"/>
      <c r="CF214" s="336"/>
      <c r="CG214" s="336"/>
      <c r="CH214" s="336"/>
      <c r="CI214" s="336"/>
      <c r="CJ214" s="336"/>
      <c r="CK214" s="336"/>
      <c r="CL214" s="336"/>
      <c r="CM214" s="336"/>
      <c r="CN214" s="336"/>
      <c r="CO214" s="336"/>
      <c r="CP214" s="336"/>
      <c r="CQ214" s="336"/>
      <c r="CR214" s="336"/>
      <c r="CS214" s="336"/>
      <c r="CT214" s="336"/>
      <c r="CU214" s="336"/>
      <c r="CV214" s="336"/>
      <c r="CW214" s="336"/>
      <c r="CX214" s="336"/>
      <c r="CY214" s="336"/>
      <c r="CZ214" s="760"/>
      <c r="DA214" s="760"/>
      <c r="DB214" s="760"/>
      <c r="DC214" s="760"/>
      <c r="DD214" s="760"/>
      <c r="DE214" s="760"/>
      <c r="DF214" s="760"/>
      <c r="DG214" s="760"/>
      <c r="DH214" s="760"/>
      <c r="DI214" s="760"/>
      <c r="DJ214" s="760"/>
      <c r="DK214" s="760"/>
      <c r="DL214" s="760"/>
      <c r="DM214" s="760"/>
      <c r="DN214" s="760"/>
      <c r="DO214" s="760"/>
      <c r="DP214" s="760"/>
      <c r="DQ214" s="760"/>
      <c r="DR214" s="760"/>
      <c r="DS214" s="760"/>
      <c r="DT214" s="760"/>
      <c r="DU214" s="760"/>
      <c r="DV214" s="61"/>
      <c r="DW214" s="336">
        <f t="shared" si="1529"/>
        <v>0</v>
      </c>
      <c r="DX214" s="336">
        <f t="shared" si="1479"/>
        <v>0</v>
      </c>
      <c r="DY214" s="336">
        <f t="shared" si="1480"/>
        <v>0</v>
      </c>
      <c r="DZ214" s="336">
        <f t="shared" si="1481"/>
        <v>0</v>
      </c>
      <c r="EA214" s="336">
        <f t="shared" si="1482"/>
        <v>0</v>
      </c>
      <c r="EB214" s="336">
        <f t="shared" si="1483"/>
        <v>0</v>
      </c>
      <c r="EC214" s="336">
        <f t="shared" si="1484"/>
        <v>0</v>
      </c>
      <c r="ED214" s="336">
        <f t="shared" si="1485"/>
        <v>0</v>
      </c>
      <c r="EE214" s="336">
        <f t="shared" si="1486"/>
        <v>0</v>
      </c>
      <c r="EF214" s="336">
        <f t="shared" si="1487"/>
        <v>0</v>
      </c>
      <c r="EG214" s="336">
        <f t="shared" si="1488"/>
        <v>0</v>
      </c>
      <c r="EH214" s="336">
        <f t="shared" si="1489"/>
        <v>0</v>
      </c>
      <c r="EI214" s="336">
        <f t="shared" si="1490"/>
        <v>0</v>
      </c>
      <c r="EJ214" s="336">
        <f t="shared" si="1491"/>
        <v>0</v>
      </c>
      <c r="EK214" s="336">
        <f t="shared" si="1492"/>
        <v>0</v>
      </c>
      <c r="EL214" s="336">
        <f t="shared" si="1493"/>
        <v>0</v>
      </c>
      <c r="EM214" s="336">
        <f t="shared" si="1494"/>
        <v>0</v>
      </c>
      <c r="EN214" s="336">
        <f t="shared" si="1495"/>
        <v>0</v>
      </c>
      <c r="EO214" s="336">
        <f t="shared" si="1496"/>
        <v>0</v>
      </c>
      <c r="EP214" s="336">
        <f t="shared" si="1497"/>
        <v>0</v>
      </c>
      <c r="EQ214" s="336">
        <f t="shared" si="1498"/>
        <v>0</v>
      </c>
      <c r="ER214" s="336">
        <f t="shared" si="1499"/>
        <v>0</v>
      </c>
      <c r="ES214" s="336">
        <f t="shared" si="1500"/>
        <v>0</v>
      </c>
      <c r="ET214" s="336">
        <f t="shared" si="1500"/>
        <v>0</v>
      </c>
      <c r="EU214" s="336">
        <f t="shared" si="1501"/>
        <v>0</v>
      </c>
      <c r="EV214" s="336">
        <f t="shared" si="1502"/>
        <v>0</v>
      </c>
      <c r="EW214" s="336">
        <f t="shared" si="1503"/>
        <v>0</v>
      </c>
      <c r="EX214" s="336">
        <f t="shared" si="1504"/>
        <v>0</v>
      </c>
      <c r="EY214" s="336">
        <f t="shared" si="1505"/>
        <v>0</v>
      </c>
      <c r="EZ214" s="336">
        <f t="shared" si="1506"/>
        <v>0</v>
      </c>
      <c r="FA214" s="336">
        <f t="shared" si="1507"/>
        <v>0</v>
      </c>
      <c r="FB214" s="336">
        <f t="shared" si="1508"/>
        <v>0</v>
      </c>
      <c r="FC214" s="336">
        <f t="shared" si="1509"/>
        <v>0</v>
      </c>
      <c r="FD214" s="336">
        <f t="shared" si="1510"/>
        <v>0</v>
      </c>
      <c r="FE214" s="336">
        <f t="shared" si="1511"/>
        <v>0</v>
      </c>
      <c r="FF214" s="336">
        <f t="shared" si="1512"/>
        <v>0</v>
      </c>
      <c r="FG214" s="336">
        <f t="shared" si="1513"/>
        <v>0</v>
      </c>
      <c r="FH214" s="336">
        <f t="shared" si="1514"/>
        <v>0</v>
      </c>
      <c r="FI214" s="336">
        <f t="shared" si="1515"/>
        <v>0</v>
      </c>
      <c r="FJ214" s="336">
        <f t="shared" si="1516"/>
        <v>0</v>
      </c>
      <c r="FK214" s="336">
        <f t="shared" si="1517"/>
        <v>0</v>
      </c>
      <c r="FL214" s="336">
        <f t="shared" si="1518"/>
        <v>0</v>
      </c>
      <c r="FM214" s="336">
        <f t="shared" si="1519"/>
        <v>0</v>
      </c>
      <c r="FN214" s="336">
        <f t="shared" si="1520"/>
        <v>0</v>
      </c>
      <c r="FO214" s="336">
        <f t="shared" si="1521"/>
        <v>0</v>
      </c>
      <c r="FP214" s="336">
        <f t="shared" si="1522"/>
        <v>0</v>
      </c>
      <c r="FQ214" s="336">
        <f t="shared" si="1523"/>
        <v>0</v>
      </c>
      <c r="FR214" s="336">
        <f t="shared" si="1524"/>
        <v>0</v>
      </c>
      <c r="FS214" s="336">
        <f t="shared" si="1525"/>
        <v>0</v>
      </c>
      <c r="FT214" s="336">
        <f t="shared" si="1526"/>
        <v>0</v>
      </c>
      <c r="FU214" s="336">
        <f t="shared" si="1474"/>
        <v>0</v>
      </c>
      <c r="FV214" s="336">
        <f t="shared" si="1475"/>
        <v>0</v>
      </c>
      <c r="FW214" s="336">
        <f t="shared" si="1476"/>
        <v>0</v>
      </c>
      <c r="FX214" s="336">
        <f t="shared" si="1477"/>
        <v>0</v>
      </c>
      <c r="FY214" s="336">
        <f t="shared" si="1559"/>
        <v>0</v>
      </c>
      <c r="FZ214" s="336">
        <f t="shared" si="1560"/>
        <v>0</v>
      </c>
      <c r="GA214" s="336">
        <f t="shared" si="1561"/>
        <v>0</v>
      </c>
      <c r="GB214" s="336">
        <f t="shared" si="1562"/>
        <v>0</v>
      </c>
      <c r="GC214" s="336">
        <f t="shared" si="1563"/>
        <v>0</v>
      </c>
      <c r="GD214" s="336">
        <f t="shared" si="1564"/>
        <v>0</v>
      </c>
      <c r="GE214" s="336">
        <f t="shared" si="1565"/>
        <v>0</v>
      </c>
      <c r="GF214" s="336">
        <f t="shared" si="1566"/>
        <v>0</v>
      </c>
      <c r="GG214" s="336">
        <f t="shared" si="1567"/>
        <v>0</v>
      </c>
      <c r="GH214" s="336">
        <f t="shared" si="1568"/>
        <v>0</v>
      </c>
      <c r="GI214" s="336">
        <f t="shared" si="1569"/>
        <v>0</v>
      </c>
      <c r="GJ214" s="336">
        <f t="shared" si="1570"/>
        <v>0</v>
      </c>
      <c r="GK214" s="336">
        <f t="shared" si="1571"/>
        <v>0</v>
      </c>
      <c r="GL214" s="336">
        <f t="shared" si="1478"/>
        <v>0</v>
      </c>
      <c r="GM214" s="336">
        <f t="shared" si="1572"/>
        <v>0</v>
      </c>
    </row>
    <row r="215" spans="1:195" ht="27.75" customHeight="1">
      <c r="A215" s="337">
        <f>A213+1</f>
        <v>168</v>
      </c>
      <c r="B215" s="453"/>
      <c r="C215" s="372" t="str">
        <f>$D$214</f>
        <v>FIRE STATION BUILDING HVAC DB</v>
      </c>
      <c r="D215" s="444" t="s">
        <v>1361</v>
      </c>
      <c r="E215" s="440" t="s">
        <v>1185</v>
      </c>
      <c r="F215" s="372"/>
      <c r="G215" s="337" t="s">
        <v>329</v>
      </c>
      <c r="H215" s="350">
        <v>3.5</v>
      </c>
      <c r="I215" s="337" t="s">
        <v>330</v>
      </c>
      <c r="J215" s="343" t="s">
        <v>357</v>
      </c>
      <c r="K215" s="349">
        <v>230</v>
      </c>
      <c r="L215" s="343">
        <v>0.95</v>
      </c>
      <c r="M215" s="350">
        <v>0.85</v>
      </c>
      <c r="N215" s="342">
        <f t="shared" ref="N215:N260" si="1596">IF(I215="kVA",IF(J215="3Ph",(H215*1000/(1.732*M215*K215)),(H215*1000/(M215*K215))),IF(I215="kW",IF(J215="3Ph",(H215*1000/(1.732*M215*K215*L215)),(H215*1000/(M215*K215*L215)))))</f>
        <v>18.845066630771303</v>
      </c>
      <c r="O215" s="342">
        <f t="shared" ref="O215:O226" si="1597">IF(G215="MOTOR",(6*N215),IF(G215="VFD",(1*N215),0))</f>
        <v>0</v>
      </c>
      <c r="P215" s="343" t="str">
        <f t="shared" ref="P215:P260" si="1598">IF(G215="MOTOR",0.2,"0.00")</f>
        <v>0.00</v>
      </c>
      <c r="Q215" s="350">
        <v>65</v>
      </c>
      <c r="R215" s="350">
        <v>0</v>
      </c>
      <c r="S215" s="350">
        <f t="shared" si="1582"/>
        <v>0</v>
      </c>
      <c r="T215" s="343" t="s">
        <v>131</v>
      </c>
      <c r="U215" s="350" t="s">
        <v>333</v>
      </c>
      <c r="V215" s="343">
        <v>16</v>
      </c>
      <c r="W215" s="343" t="str">
        <f t="shared" si="1583"/>
        <v>3C X 16</v>
      </c>
      <c r="X215" s="343" t="str">
        <f t="shared" ref="X215:X226" si="1599">(IF(J215="1Ph",W215,IF(J215="3Ph",(IF(G215="MOTOR",(CONCATENATE(W215,"+PE")),W215)))))</f>
        <v>3C X 16</v>
      </c>
      <c r="Y215" s="343" t="s">
        <v>358</v>
      </c>
      <c r="Z215" s="344">
        <f>IF(T215="AIR",VLOOKUP(W215,'Catalogue Aluminium'!$B$9:$G$93,2,FALSE),IF(T215="GROUND",VLOOKUP(W215,'Catalogue Aluminium'!$B$9:$G$93,3,FALSE),IF(T215="DUCT",VLOOKUP(W215,'Catalogue Aluminium'!$B$9:$G$93,4,FALSE),IF(T215="TRENCH",VLOOKUP(W215,'Catalogue Aluminium'!$B$9:$G$93,2,FALSE)))))</f>
        <v>70</v>
      </c>
      <c r="AA215" s="345">
        <f>VLOOKUP(W215,'Catalogue Aluminium'!$B$9:$G$93,5,FALSE)</f>
        <v>2.44</v>
      </c>
      <c r="AB215" s="345">
        <f>VLOOKUP(W215,'Catalogue Aluminium'!$B$9:$G$93,6,FALSE)</f>
        <v>8.1500000000000003E-2</v>
      </c>
      <c r="AC215" s="343">
        <f>12+21</f>
        <v>33</v>
      </c>
      <c r="AD215" s="343">
        <v>0</v>
      </c>
      <c r="AE215" s="343">
        <v>10</v>
      </c>
      <c r="AF215" s="343">
        <v>5</v>
      </c>
      <c r="AG215" s="343">
        <f t="shared" si="1462"/>
        <v>5</v>
      </c>
      <c r="AH215" s="347">
        <f t="shared" ref="AH215:AH226" si="1600">SUM(AC215:AG215)</f>
        <v>53</v>
      </c>
      <c r="AI215" s="344">
        <f>IF(T215="AIR",'Catalogue Aluminium'!$K$9,IF(T215="TRENCH",'Catalogue Aluminium'!$K$12,"NA"))</f>
        <v>0.89</v>
      </c>
      <c r="AJ215" s="342">
        <f>IF(T215="Air",(IF(U215="1C",'Catalogue Aluminium'!$L$9,'Catalogue Aluminium'!$M$9)),IF(T215="DUCT",(IF($U215="1C",'Catalogue Aluminium'!$L$10,'Catalogue Aluminium'!$M$10)),IF(T215="GROUND",(IF($U215="1C",'Catalogue Aluminium'!$L$11,'Catalogue Aluminium'!$M$11)),IF(T215="TRENCH",(IF($U215="1C",'Catalogue Aluminium'!$L$12,'Catalogue Aluminium'!$M$12))))))</f>
        <v>0.66</v>
      </c>
      <c r="AK215" s="344" t="str">
        <f>IF(T215="Air",'Catalogue Aluminium'!$N$9,IF(T215="GROUND",'Catalogue Aluminium'!$N$10,IF(T215="DUCT",'Catalogue Aluminium'!$N$11,IF(T215="TRENCH",'Catalogue Aluminium'!$N$12,"NA"))))</f>
        <v>NA</v>
      </c>
      <c r="AL215" s="344" t="str">
        <f>IF(T215="Air",(IF(U215="1C",'Catalogue Aluminium'!$O$9,'Catalogue Aluminium'!$P$9)),IF(T215="DUCT",(IF($U215="1C",'Catalogue Aluminium'!$O$10,'Catalogue Aluminium'!$P$10)),IF(T215="GROUND",(IF($U215="1C",'Catalogue Aluminium'!$O$11,'Catalogue Aluminium'!$P$11)),IF(T215="TRENCH",(IF($U215="1C",'Catalogue Aluminium'!$O$12,'Catalogue Aluminium'!$P$12))))))</f>
        <v>NA</v>
      </c>
      <c r="AM215" s="344" t="str">
        <f>IF(T215="AIR","NA",IF(T215="TRENCH","NA",IF(T215="DUCT",IF(U215="1C",VLOOKUP(V215,'Catalogue Aluminium'!$Q$9:$S$28,2,FALSE),VLOOKUP(V215,'Catalogue Aluminium'!$Q$9:$S$28,3)),IF(T215="GROUND",IF(U215="1C",VLOOKUP(V215,'Catalogue Aluminium'!$Q$9:$S$28,2,FALSE),VLOOKUP(V215,'Catalogue Aluminium'!$Q$9:$S$28,3))))))</f>
        <v>NA</v>
      </c>
      <c r="AN215" s="351">
        <f t="shared" ref="AN215:AN226" si="1601">IF(T215="AIR",AI215*AJ215,IF(T215="TRENCH",AI215*AJ215,IF(T215="DUCT",AJ215*AK215*AL215*AM215,IF(T215="GROUND",AJ215*AK215*AL215*AM215))))</f>
        <v>0.58740000000000003</v>
      </c>
      <c r="AO215" s="350">
        <f t="shared" ref="AO215:AO226" si="1602">Z215*AN215</f>
        <v>41.118000000000002</v>
      </c>
      <c r="AP215" s="349">
        <f t="shared" ref="AP215:AP226" si="1603">CEILING(((N215)/AO215),1)</f>
        <v>1</v>
      </c>
      <c r="AQ215" s="350" t="str">
        <f t="shared" ref="AQ215:AQ226" si="1604">IF(AO215*AP215&gt;=N215,"YES","NO")</f>
        <v>YES</v>
      </c>
      <c r="AR215" s="351">
        <f t="shared" si="1463"/>
        <v>1.7626323129247345</v>
      </c>
      <c r="AS215" s="343" t="str">
        <f t="shared" si="1464"/>
        <v>YES</v>
      </c>
      <c r="AT215" s="351" t="str">
        <f t="shared" ref="AT215:AT231" si="1605">IF(G215="MOTOR",(SQRT(3)*AH215*O215*((AA215*P215)+(AB215*SIN(ACOS(P215))))*100/(AP215*K215*1000)),"NA")</f>
        <v>NA</v>
      </c>
      <c r="AU215" s="343" t="str">
        <f t="shared" ref="AU215:AU231" si="1606">IF(G215="MOTOR",IF(AT215&lt;=15,"YES","NO"),"NA")</f>
        <v>NA</v>
      </c>
      <c r="AV215" s="354" t="str">
        <f t="shared" ref="AV215:AV231" si="1607">IF(U215="1C",CONCATENATE(AP215,"R x ",Y215,"kV x ",U215," x ",V215," Sqmm/Phase"),CONCATENATE(AP215,"R x ",0.6,"/1kV x ",U215," x ",V215," Sqmm"))</f>
        <v>1R x 0.6/1kV x 3C x 16 Sqmm</v>
      </c>
      <c r="AW215" s="354" t="str">
        <f t="shared" ref="AW215:AW231" si="1608">IF(U215="1C",CONCATENATE(AP215,"R x ",Y215,"kV x ",U215," x ",V215," Sqmm/Phase"),CONCATENATE(AP215,"R x ",0.6,"/1kV x ",U215," x ",V215,(IF(G215="MOTOR","+PE",""))," Sqmm"))</f>
        <v>1R x 0.6/1kV x 3C x 16 Sqmm</v>
      </c>
      <c r="AX215" s="343">
        <f t="shared" ref="AX215:AX231" si="1609">(IF(K215=400,(IF(U215="1C",(4*AH215*AP215),(AH215*AP215))),IF(K215=230,(AH215*AP215))))</f>
        <v>53</v>
      </c>
      <c r="AY215" s="355"/>
      <c r="AZ215" s="355">
        <f t="shared" ref="AZ215:AZ231" si="1610">IF(U215="1C",(3*AP215*2),(AP215*2))</f>
        <v>2</v>
      </c>
      <c r="BA215" s="356" t="str">
        <f t="shared" ref="BA215:BA231" si="1611">CONCATENATE(IF(BE215=1,BE$4,""),IF(BF215=1,BF$4,""),IF(BG215=1,BG$4,""),IF(BH215=1,BH$4,""),IF(BI215=1,BI$4,""),IF(BJ215=1,BJ$4,""),IF(BK215=1,BK$4,""),IF(BL215=1,BL$4,""),IF(BM215=1,BM$4,""),IF(BN215=1,BN$4,""),IF(BO215=1,BO$4,""),IF(BP215=1,BP$4,""),IF(BQ215=1,BQ$4,""),IF(BR215=1,BR$4,""),IF(BS215=1,BS$4,""),IF(BT215=1,BT$4,""),IF(BU215=1,BU$4,""),IF(BV215=1,BV$4,""),IF(BW215=1,BW$4,""),IF(BX215=1,BX$4,""),IF(BY215=1,BY$4,""),IF(BZ215=1,BZ$4,""),IF(CA215=1,CA$4,""),IF(CB215=1,CB$4,""),IF(CC215=1,CC$4,""),IF(CD215=1,CD$4,""),IF(CE215=1,CE$4,""),IF(CF215=1,CF$4,""),IF(CG215=1,CG$4,""),IF(CH215=1,CH$4,""),IF(CI215=1,CI$4,""),IF(CJ215=1,CJ$4,""),IF(CK215=1,CK$4,""),IF(CL215=1,CL$4,""),IF(CM215=1,CM$4,""),IF(CN215=1,CN$4,""),IF(CO215=1,CO$4,""),IF(CP215=1,CP$4,""),IF(CQ215=1,CQ$4,""),IF(CR215=1,CR$4,""),IF(CS215=1,CS$4,""),IF(CT215=1,CT$4,""),IF(CU215=1,CU$4,""),IF(CV215=1,CV$4,""),IF(CW215=1,CW$4,""),IF(CX215=1,CX$4,""),IF(CY215=1,CY$4,""),IF(CZ215=1,CZ$4,""),IF(DA215=1,DA$4,""),IF(DB215=1,DB$4,""),IF(DC215=1,DC$4,""),IF(DD215=1,DD$4,""),IF(DE215=1,DE$4,""),IF(DF215=1,DF$4,""),IF(DG215=1,DG$4,""),IF(DH215=1,DH$4,""),IF(DI215=1,DI$4,""),IF(DJ215=1,DJ$4,""),IF(DK215=1,DK$4,""),IF(DL215=1,DL$4,""),IF(DM215=1,DM$4,""),IF(DN215=1,DN$4,""),IF(DO215=1,DO$4,""),IF(DP215=1,DP$4,""),IF(DQ215=1,DQ$4,""),IF(DR215=1,DR$4,""),IF(DS215=1,DS$4,""),IF(DT215=1,DT$4,""),IF(DU215=1,DU$4,""))</f>
        <v/>
      </c>
      <c r="BB215" s="501">
        <f>VLOOKUP(W215,'Catalogue Aluminium'!$B$9:$H$93,7,FALSE)</f>
        <v>19</v>
      </c>
      <c r="BC215" s="328">
        <f t="shared" ref="BC215:BC231" si="1612">AP215*BB215</f>
        <v>19</v>
      </c>
      <c r="BE215" s="336"/>
      <c r="BF215" s="336"/>
      <c r="BG215" s="336"/>
      <c r="BH215" s="336"/>
      <c r="BI215" s="336"/>
      <c r="BJ215" s="336"/>
      <c r="BK215" s="336"/>
      <c r="BL215" s="336"/>
      <c r="BM215" s="336"/>
      <c r="BN215" s="336"/>
      <c r="BO215" s="336"/>
      <c r="BP215" s="336"/>
      <c r="BQ215" s="336"/>
      <c r="BR215" s="336"/>
      <c r="BS215" s="336"/>
      <c r="BT215" s="336"/>
      <c r="BU215" s="336"/>
      <c r="BV215" s="336"/>
      <c r="BW215" s="336"/>
      <c r="BX215" s="336"/>
      <c r="BY215" s="336"/>
      <c r="BZ215" s="336"/>
      <c r="CA215" s="336"/>
      <c r="CB215" s="336"/>
      <c r="CC215" s="336"/>
      <c r="CD215" s="336"/>
      <c r="CE215" s="336"/>
      <c r="CF215" s="336"/>
      <c r="CG215" s="336"/>
      <c r="CH215" s="336"/>
      <c r="CI215" s="336"/>
      <c r="CJ215" s="336"/>
      <c r="CK215" s="336"/>
      <c r="CL215" s="336"/>
      <c r="CM215" s="336"/>
      <c r="CN215" s="336"/>
      <c r="CO215" s="336"/>
      <c r="CP215" s="336"/>
      <c r="CQ215" s="336"/>
      <c r="CR215" s="336"/>
      <c r="CS215" s="336"/>
      <c r="CT215" s="336"/>
      <c r="CU215" s="336"/>
      <c r="CV215" s="336"/>
      <c r="CW215" s="336"/>
      <c r="CX215" s="336"/>
      <c r="CY215" s="336"/>
      <c r="CZ215" s="336"/>
      <c r="DA215" s="336"/>
      <c r="DB215" s="336"/>
      <c r="DC215" s="336"/>
      <c r="DD215" s="336"/>
      <c r="DE215" s="336"/>
      <c r="DF215" s="336"/>
      <c r="DG215" s="336"/>
      <c r="DH215" s="336"/>
      <c r="DI215" s="336"/>
      <c r="DJ215" s="336"/>
      <c r="DK215" s="336"/>
      <c r="DL215" s="336"/>
      <c r="DM215" s="336"/>
      <c r="DN215" s="336"/>
      <c r="DO215" s="336"/>
      <c r="DP215" s="336"/>
      <c r="DQ215" s="336"/>
      <c r="DR215" s="336"/>
      <c r="DS215" s="336"/>
      <c r="DT215" s="336"/>
      <c r="DU215" s="336"/>
      <c r="DW215" s="336">
        <f t="shared" si="1529"/>
        <v>0</v>
      </c>
      <c r="DX215" s="336">
        <f t="shared" si="1479"/>
        <v>0</v>
      </c>
      <c r="DY215" s="336">
        <f t="shared" si="1480"/>
        <v>0</v>
      </c>
      <c r="DZ215" s="336">
        <f t="shared" si="1481"/>
        <v>0</v>
      </c>
      <c r="EA215" s="336">
        <f t="shared" si="1482"/>
        <v>0</v>
      </c>
      <c r="EB215" s="336">
        <f t="shared" si="1483"/>
        <v>0</v>
      </c>
      <c r="EC215" s="336">
        <f t="shared" si="1484"/>
        <v>0</v>
      </c>
      <c r="ED215" s="336">
        <f t="shared" si="1485"/>
        <v>0</v>
      </c>
      <c r="EE215" s="336">
        <f t="shared" si="1486"/>
        <v>0</v>
      </c>
      <c r="EF215" s="336">
        <f t="shared" si="1487"/>
        <v>0</v>
      </c>
      <c r="EG215" s="336">
        <f t="shared" si="1488"/>
        <v>0</v>
      </c>
      <c r="EH215" s="336">
        <f t="shared" si="1489"/>
        <v>0</v>
      </c>
      <c r="EI215" s="336">
        <f t="shared" si="1490"/>
        <v>0</v>
      </c>
      <c r="EJ215" s="336">
        <f t="shared" si="1491"/>
        <v>0</v>
      </c>
      <c r="EK215" s="336">
        <f t="shared" si="1492"/>
        <v>0</v>
      </c>
      <c r="EL215" s="336">
        <f t="shared" si="1493"/>
        <v>0</v>
      </c>
      <c r="EM215" s="336">
        <f t="shared" si="1494"/>
        <v>0</v>
      </c>
      <c r="EN215" s="336">
        <f t="shared" si="1495"/>
        <v>0</v>
      </c>
      <c r="EO215" s="336">
        <f t="shared" si="1496"/>
        <v>0</v>
      </c>
      <c r="EP215" s="336">
        <f t="shared" si="1497"/>
        <v>0</v>
      </c>
      <c r="EQ215" s="336">
        <f t="shared" si="1498"/>
        <v>0</v>
      </c>
      <c r="ER215" s="336">
        <f t="shared" si="1499"/>
        <v>0</v>
      </c>
      <c r="ES215" s="336">
        <f t="shared" si="1500"/>
        <v>0</v>
      </c>
      <c r="ET215" s="336">
        <f t="shared" si="1500"/>
        <v>0</v>
      </c>
      <c r="EU215" s="336">
        <f t="shared" si="1501"/>
        <v>0</v>
      </c>
      <c r="EV215" s="336">
        <f t="shared" si="1502"/>
        <v>0</v>
      </c>
      <c r="EW215" s="336">
        <f t="shared" si="1503"/>
        <v>0</v>
      </c>
      <c r="EX215" s="336">
        <f t="shared" si="1504"/>
        <v>0</v>
      </c>
      <c r="EY215" s="336">
        <f t="shared" si="1505"/>
        <v>0</v>
      </c>
      <c r="EZ215" s="336">
        <f t="shared" si="1506"/>
        <v>0</v>
      </c>
      <c r="FA215" s="336">
        <f t="shared" si="1507"/>
        <v>0</v>
      </c>
      <c r="FB215" s="336">
        <f t="shared" si="1508"/>
        <v>0</v>
      </c>
      <c r="FC215" s="336">
        <f t="shared" si="1509"/>
        <v>0</v>
      </c>
      <c r="FD215" s="336">
        <f t="shared" si="1510"/>
        <v>0</v>
      </c>
      <c r="FE215" s="336">
        <f t="shared" si="1511"/>
        <v>0</v>
      </c>
      <c r="FF215" s="336">
        <f t="shared" si="1512"/>
        <v>0</v>
      </c>
      <c r="FG215" s="336">
        <f t="shared" si="1513"/>
        <v>0</v>
      </c>
      <c r="FH215" s="336">
        <f t="shared" si="1514"/>
        <v>0</v>
      </c>
      <c r="FI215" s="336">
        <f t="shared" si="1515"/>
        <v>0</v>
      </c>
      <c r="FJ215" s="336">
        <f t="shared" si="1516"/>
        <v>0</v>
      </c>
      <c r="FK215" s="336">
        <f t="shared" si="1517"/>
        <v>0</v>
      </c>
      <c r="FL215" s="336">
        <f t="shared" si="1518"/>
        <v>0</v>
      </c>
      <c r="FM215" s="336">
        <f t="shared" si="1519"/>
        <v>0</v>
      </c>
      <c r="FN215" s="336">
        <f t="shared" si="1520"/>
        <v>0</v>
      </c>
      <c r="FO215" s="336">
        <f t="shared" si="1521"/>
        <v>0</v>
      </c>
      <c r="FP215" s="336">
        <f t="shared" si="1522"/>
        <v>0</v>
      </c>
      <c r="FQ215" s="336">
        <f t="shared" si="1523"/>
        <v>0</v>
      </c>
      <c r="FR215" s="336">
        <f t="shared" si="1524"/>
        <v>0</v>
      </c>
      <c r="FS215" s="336">
        <f t="shared" si="1525"/>
        <v>0</v>
      </c>
      <c r="FT215" s="336">
        <f t="shared" si="1526"/>
        <v>0</v>
      </c>
      <c r="FU215" s="336">
        <f t="shared" si="1474"/>
        <v>0</v>
      </c>
      <c r="FV215" s="336">
        <f t="shared" si="1475"/>
        <v>0</v>
      </c>
      <c r="FW215" s="336">
        <f t="shared" si="1476"/>
        <v>0</v>
      </c>
      <c r="FX215" s="336">
        <f t="shared" si="1477"/>
        <v>0</v>
      </c>
      <c r="FY215" s="336">
        <f t="shared" si="1559"/>
        <v>0</v>
      </c>
      <c r="FZ215" s="336">
        <f t="shared" si="1560"/>
        <v>0</v>
      </c>
      <c r="GA215" s="336">
        <f t="shared" si="1561"/>
        <v>0</v>
      </c>
      <c r="GB215" s="336">
        <f t="shared" si="1562"/>
        <v>0</v>
      </c>
      <c r="GC215" s="336">
        <f t="shared" si="1563"/>
        <v>0</v>
      </c>
      <c r="GD215" s="336">
        <f t="shared" si="1564"/>
        <v>0</v>
      </c>
      <c r="GE215" s="336">
        <f t="shared" si="1565"/>
        <v>0</v>
      </c>
      <c r="GF215" s="336">
        <f t="shared" si="1566"/>
        <v>0</v>
      </c>
      <c r="GG215" s="336">
        <f t="shared" si="1567"/>
        <v>0</v>
      </c>
      <c r="GH215" s="336">
        <f t="shared" si="1568"/>
        <v>0</v>
      </c>
      <c r="GI215" s="336">
        <f t="shared" si="1569"/>
        <v>0</v>
      </c>
      <c r="GJ215" s="336">
        <f t="shared" si="1570"/>
        <v>0</v>
      </c>
      <c r="GK215" s="336">
        <f t="shared" si="1571"/>
        <v>0</v>
      </c>
      <c r="GL215" s="336">
        <f t="shared" si="1478"/>
        <v>0</v>
      </c>
      <c r="GM215" s="336">
        <f t="shared" si="1572"/>
        <v>0</v>
      </c>
    </row>
    <row r="216" spans="1:195" ht="27.75" customHeight="1">
      <c r="A216" s="337">
        <f>A215+1</f>
        <v>169</v>
      </c>
      <c r="B216" s="453"/>
      <c r="C216" s="372" t="str">
        <f t="shared" ref="C216:C225" si="1613">$D$214</f>
        <v>FIRE STATION BUILDING HVAC DB</v>
      </c>
      <c r="D216" s="444" t="s">
        <v>1362</v>
      </c>
      <c r="E216" s="440" t="s">
        <v>1185</v>
      </c>
      <c r="F216" s="372"/>
      <c r="G216" s="337" t="s">
        <v>329</v>
      </c>
      <c r="H216" s="350">
        <v>3.5</v>
      </c>
      <c r="I216" s="337" t="s">
        <v>330</v>
      </c>
      <c r="J216" s="343" t="s">
        <v>357</v>
      </c>
      <c r="K216" s="349">
        <v>230</v>
      </c>
      <c r="L216" s="343">
        <v>0.95</v>
      </c>
      <c r="M216" s="350">
        <v>0.85</v>
      </c>
      <c r="N216" s="342">
        <f t="shared" si="1596"/>
        <v>18.845066630771303</v>
      </c>
      <c r="O216" s="342">
        <f t="shared" si="1597"/>
        <v>0</v>
      </c>
      <c r="P216" s="343" t="str">
        <f t="shared" si="1598"/>
        <v>0.00</v>
      </c>
      <c r="Q216" s="350">
        <v>65</v>
      </c>
      <c r="R216" s="350">
        <v>0</v>
      </c>
      <c r="S216" s="350">
        <f t="shared" si="1582"/>
        <v>0</v>
      </c>
      <c r="T216" s="343" t="s">
        <v>131</v>
      </c>
      <c r="U216" s="350" t="s">
        <v>333</v>
      </c>
      <c r="V216" s="343">
        <v>16</v>
      </c>
      <c r="W216" s="343" t="str">
        <f t="shared" si="1583"/>
        <v>3C X 16</v>
      </c>
      <c r="X216" s="343" t="str">
        <f t="shared" si="1599"/>
        <v>3C X 16</v>
      </c>
      <c r="Y216" s="343" t="s">
        <v>358</v>
      </c>
      <c r="Z216" s="344">
        <f>IF(T216="AIR",VLOOKUP(W216,'Catalogue Aluminium'!$B$9:$G$93,2,FALSE),IF(T216="GROUND",VLOOKUP(W216,'Catalogue Aluminium'!$B$9:$G$93,3,FALSE),IF(T216="DUCT",VLOOKUP(W216,'Catalogue Aluminium'!$B$9:$G$93,4,FALSE),IF(T216="TRENCH",VLOOKUP(W216,'Catalogue Aluminium'!$B$9:$G$93,2,FALSE)))))</f>
        <v>70</v>
      </c>
      <c r="AA216" s="345">
        <f>VLOOKUP(W216,'Catalogue Aluminium'!$B$9:$G$93,5,FALSE)</f>
        <v>2.44</v>
      </c>
      <c r="AB216" s="345">
        <f>VLOOKUP(W216,'Catalogue Aluminium'!$B$9:$G$93,6,FALSE)</f>
        <v>8.1500000000000003E-2</v>
      </c>
      <c r="AC216" s="343">
        <f t="shared" ref="AC216:AC231" si="1614">12+21</f>
        <v>33</v>
      </c>
      <c r="AD216" s="343">
        <v>0</v>
      </c>
      <c r="AE216" s="343">
        <v>10</v>
      </c>
      <c r="AF216" s="343">
        <v>5</v>
      </c>
      <c r="AG216" s="343">
        <f t="shared" si="1462"/>
        <v>5</v>
      </c>
      <c r="AH216" s="347">
        <f t="shared" si="1600"/>
        <v>53</v>
      </c>
      <c r="AI216" s="344">
        <f>IF(T216="AIR",'Catalogue Aluminium'!$K$9,IF(T216="TRENCH",'Catalogue Aluminium'!$K$12,"NA"))</f>
        <v>0.89</v>
      </c>
      <c r="AJ216" s="342">
        <f>IF(T216="Air",(IF(U216="1C",'Catalogue Aluminium'!$L$9,'Catalogue Aluminium'!$M$9)),IF(T216="DUCT",(IF($U216="1C",'Catalogue Aluminium'!$L$10,'Catalogue Aluminium'!$M$10)),IF(T216="GROUND",(IF($U216="1C",'Catalogue Aluminium'!$L$11,'Catalogue Aluminium'!$M$11)),IF(T216="TRENCH",(IF($U216="1C",'Catalogue Aluminium'!$L$12,'Catalogue Aluminium'!$M$12))))))</f>
        <v>0.66</v>
      </c>
      <c r="AK216" s="344" t="str">
        <f>IF(T216="Air",'Catalogue Aluminium'!$N$9,IF(T216="GROUND",'Catalogue Aluminium'!$N$10,IF(T216="DUCT",'Catalogue Aluminium'!$N$11,IF(T216="TRENCH",'Catalogue Aluminium'!$N$12,"NA"))))</f>
        <v>NA</v>
      </c>
      <c r="AL216" s="344" t="str">
        <f>IF(T216="Air",(IF(U216="1C",'Catalogue Aluminium'!$O$9,'Catalogue Aluminium'!$P$9)),IF(T216="DUCT",(IF($U216="1C",'Catalogue Aluminium'!$O$10,'Catalogue Aluminium'!$P$10)),IF(T216="GROUND",(IF($U216="1C",'Catalogue Aluminium'!$O$11,'Catalogue Aluminium'!$P$11)),IF(T216="TRENCH",(IF($U216="1C",'Catalogue Aluminium'!$O$12,'Catalogue Aluminium'!$P$12))))))</f>
        <v>NA</v>
      </c>
      <c r="AM216" s="344" t="str">
        <f>IF(T216="AIR","NA",IF(T216="TRENCH","NA",IF(T216="DUCT",IF(U216="1C",VLOOKUP(V216,'Catalogue Aluminium'!$Q$9:$S$28,2,FALSE),VLOOKUP(V216,'Catalogue Aluminium'!$Q$9:$S$28,3)),IF(T216="GROUND",IF(U216="1C",VLOOKUP(V216,'Catalogue Aluminium'!$Q$9:$S$28,2,FALSE),VLOOKUP(V216,'Catalogue Aluminium'!$Q$9:$S$28,3))))))</f>
        <v>NA</v>
      </c>
      <c r="AN216" s="351">
        <f t="shared" si="1601"/>
        <v>0.58740000000000003</v>
      </c>
      <c r="AO216" s="350">
        <f t="shared" si="1602"/>
        <v>41.118000000000002</v>
      </c>
      <c r="AP216" s="349">
        <f t="shared" si="1603"/>
        <v>1</v>
      </c>
      <c r="AQ216" s="350" t="str">
        <f t="shared" si="1604"/>
        <v>YES</v>
      </c>
      <c r="AR216" s="351">
        <f t="shared" si="1463"/>
        <v>1.7626323129247345</v>
      </c>
      <c r="AS216" s="343" t="str">
        <f t="shared" si="1464"/>
        <v>YES</v>
      </c>
      <c r="AT216" s="351" t="str">
        <f t="shared" si="1605"/>
        <v>NA</v>
      </c>
      <c r="AU216" s="343" t="str">
        <f t="shared" si="1606"/>
        <v>NA</v>
      </c>
      <c r="AV216" s="354" t="str">
        <f t="shared" si="1607"/>
        <v>1R x 0.6/1kV x 3C x 16 Sqmm</v>
      </c>
      <c r="AW216" s="354" t="str">
        <f t="shared" si="1608"/>
        <v>1R x 0.6/1kV x 3C x 16 Sqmm</v>
      </c>
      <c r="AX216" s="343">
        <f t="shared" si="1609"/>
        <v>53</v>
      </c>
      <c r="AY216" s="355"/>
      <c r="AZ216" s="355">
        <f t="shared" si="1610"/>
        <v>2</v>
      </c>
      <c r="BA216" s="356" t="str">
        <f t="shared" si="1611"/>
        <v/>
      </c>
      <c r="BB216" s="501">
        <f>VLOOKUP(W216,'Catalogue Aluminium'!$B$9:$H$93,7,FALSE)</f>
        <v>19</v>
      </c>
      <c r="BC216" s="328">
        <f t="shared" si="1612"/>
        <v>19</v>
      </c>
      <c r="BE216" s="336"/>
      <c r="BF216" s="336"/>
      <c r="BG216" s="336"/>
      <c r="BH216" s="336"/>
      <c r="BI216" s="336"/>
      <c r="BJ216" s="336"/>
      <c r="BK216" s="336"/>
      <c r="BL216" s="336"/>
      <c r="BM216" s="336"/>
      <c r="BN216" s="336"/>
      <c r="BO216" s="336"/>
      <c r="BP216" s="336"/>
      <c r="BQ216" s="336"/>
      <c r="BR216" s="336"/>
      <c r="BS216" s="336"/>
      <c r="BT216" s="336"/>
      <c r="BU216" s="336"/>
      <c r="BV216" s="336"/>
      <c r="BW216" s="336"/>
      <c r="BX216" s="336"/>
      <c r="BY216" s="336"/>
      <c r="BZ216" s="336"/>
      <c r="CA216" s="336"/>
      <c r="CB216" s="336"/>
      <c r="CC216" s="336"/>
      <c r="CD216" s="336"/>
      <c r="CE216" s="336"/>
      <c r="CF216" s="336"/>
      <c r="CG216" s="336"/>
      <c r="CH216" s="336"/>
      <c r="CI216" s="336"/>
      <c r="CJ216" s="336"/>
      <c r="CK216" s="336"/>
      <c r="CL216" s="336"/>
      <c r="CM216" s="336"/>
      <c r="CN216" s="336"/>
      <c r="CO216" s="336"/>
      <c r="CP216" s="336"/>
      <c r="CQ216" s="336"/>
      <c r="CR216" s="336"/>
      <c r="CS216" s="336"/>
      <c r="CT216" s="336"/>
      <c r="CU216" s="336"/>
      <c r="CV216" s="336"/>
      <c r="CW216" s="336"/>
      <c r="CX216" s="336"/>
      <c r="CY216" s="336"/>
      <c r="CZ216" s="336"/>
      <c r="DA216" s="336"/>
      <c r="DB216" s="336"/>
      <c r="DC216" s="336"/>
      <c r="DD216" s="336"/>
      <c r="DE216" s="336"/>
      <c r="DF216" s="336"/>
      <c r="DG216" s="336"/>
      <c r="DH216" s="336"/>
      <c r="DI216" s="336"/>
      <c r="DJ216" s="336"/>
      <c r="DK216" s="336"/>
      <c r="DL216" s="336"/>
      <c r="DM216" s="336"/>
      <c r="DN216" s="336"/>
      <c r="DO216" s="336"/>
      <c r="DP216" s="336"/>
      <c r="DQ216" s="336"/>
      <c r="DR216" s="336"/>
      <c r="DS216" s="336"/>
      <c r="DT216" s="336"/>
      <c r="DU216" s="336"/>
      <c r="DW216" s="336">
        <f t="shared" si="1529"/>
        <v>0</v>
      </c>
      <c r="DX216" s="336">
        <f t="shared" si="1479"/>
        <v>0</v>
      </c>
      <c r="DY216" s="336">
        <f t="shared" si="1480"/>
        <v>0</v>
      </c>
      <c r="DZ216" s="336">
        <f t="shared" si="1481"/>
        <v>0</v>
      </c>
      <c r="EA216" s="336">
        <f t="shared" si="1482"/>
        <v>0</v>
      </c>
      <c r="EB216" s="336">
        <f t="shared" si="1483"/>
        <v>0</v>
      </c>
      <c r="EC216" s="336">
        <f t="shared" si="1484"/>
        <v>0</v>
      </c>
      <c r="ED216" s="336">
        <f t="shared" si="1485"/>
        <v>0</v>
      </c>
      <c r="EE216" s="336">
        <f t="shared" si="1486"/>
        <v>0</v>
      </c>
      <c r="EF216" s="336">
        <f t="shared" si="1487"/>
        <v>0</v>
      </c>
      <c r="EG216" s="336">
        <f t="shared" si="1488"/>
        <v>0</v>
      </c>
      <c r="EH216" s="336">
        <f t="shared" si="1489"/>
        <v>0</v>
      </c>
      <c r="EI216" s="336">
        <f t="shared" si="1490"/>
        <v>0</v>
      </c>
      <c r="EJ216" s="336">
        <f t="shared" si="1491"/>
        <v>0</v>
      </c>
      <c r="EK216" s="336">
        <f t="shared" si="1492"/>
        <v>0</v>
      </c>
      <c r="EL216" s="336">
        <f t="shared" si="1493"/>
        <v>0</v>
      </c>
      <c r="EM216" s="336">
        <f t="shared" si="1494"/>
        <v>0</v>
      </c>
      <c r="EN216" s="336">
        <f t="shared" si="1495"/>
        <v>0</v>
      </c>
      <c r="EO216" s="336">
        <f t="shared" si="1496"/>
        <v>0</v>
      </c>
      <c r="EP216" s="336">
        <f t="shared" si="1497"/>
        <v>0</v>
      </c>
      <c r="EQ216" s="336">
        <f t="shared" si="1498"/>
        <v>0</v>
      </c>
      <c r="ER216" s="336">
        <f t="shared" si="1499"/>
        <v>0</v>
      </c>
      <c r="ES216" s="336">
        <f t="shared" si="1500"/>
        <v>0</v>
      </c>
      <c r="ET216" s="336">
        <f t="shared" si="1500"/>
        <v>0</v>
      </c>
      <c r="EU216" s="336">
        <f t="shared" si="1501"/>
        <v>0</v>
      </c>
      <c r="EV216" s="336">
        <f t="shared" si="1502"/>
        <v>0</v>
      </c>
      <c r="EW216" s="336">
        <f t="shared" si="1503"/>
        <v>0</v>
      </c>
      <c r="EX216" s="336">
        <f t="shared" si="1504"/>
        <v>0</v>
      </c>
      <c r="EY216" s="336">
        <f t="shared" si="1505"/>
        <v>0</v>
      </c>
      <c r="EZ216" s="336">
        <f t="shared" si="1506"/>
        <v>0</v>
      </c>
      <c r="FA216" s="336">
        <f t="shared" si="1507"/>
        <v>0</v>
      </c>
      <c r="FB216" s="336">
        <f t="shared" si="1508"/>
        <v>0</v>
      </c>
      <c r="FC216" s="336">
        <f t="shared" si="1509"/>
        <v>0</v>
      </c>
      <c r="FD216" s="336">
        <f t="shared" si="1510"/>
        <v>0</v>
      </c>
      <c r="FE216" s="336">
        <f t="shared" si="1511"/>
        <v>0</v>
      </c>
      <c r="FF216" s="336">
        <f t="shared" si="1512"/>
        <v>0</v>
      </c>
      <c r="FG216" s="336">
        <f t="shared" si="1513"/>
        <v>0</v>
      </c>
      <c r="FH216" s="336">
        <f t="shared" si="1514"/>
        <v>0</v>
      </c>
      <c r="FI216" s="336">
        <f t="shared" si="1515"/>
        <v>0</v>
      </c>
      <c r="FJ216" s="336">
        <f t="shared" si="1516"/>
        <v>0</v>
      </c>
      <c r="FK216" s="336">
        <f t="shared" si="1517"/>
        <v>0</v>
      </c>
      <c r="FL216" s="336">
        <f t="shared" si="1518"/>
        <v>0</v>
      </c>
      <c r="FM216" s="336">
        <f t="shared" si="1519"/>
        <v>0</v>
      </c>
      <c r="FN216" s="336">
        <f t="shared" si="1520"/>
        <v>0</v>
      </c>
      <c r="FO216" s="336">
        <f t="shared" si="1521"/>
        <v>0</v>
      </c>
      <c r="FP216" s="336">
        <f t="shared" si="1522"/>
        <v>0</v>
      </c>
      <c r="FQ216" s="336">
        <f t="shared" si="1523"/>
        <v>0</v>
      </c>
      <c r="FR216" s="336">
        <f t="shared" si="1524"/>
        <v>0</v>
      </c>
      <c r="FS216" s="336">
        <f t="shared" si="1525"/>
        <v>0</v>
      </c>
      <c r="FT216" s="336">
        <f t="shared" si="1526"/>
        <v>0</v>
      </c>
      <c r="FU216" s="336">
        <f t="shared" si="1474"/>
        <v>0</v>
      </c>
      <c r="FV216" s="336">
        <f t="shared" si="1475"/>
        <v>0</v>
      </c>
      <c r="FW216" s="336">
        <f t="shared" si="1476"/>
        <v>0</v>
      </c>
      <c r="FX216" s="336">
        <f t="shared" si="1477"/>
        <v>0</v>
      </c>
      <c r="FY216" s="336">
        <f t="shared" si="1559"/>
        <v>0</v>
      </c>
      <c r="FZ216" s="336">
        <f t="shared" si="1560"/>
        <v>0</v>
      </c>
      <c r="GA216" s="336">
        <f t="shared" si="1561"/>
        <v>0</v>
      </c>
      <c r="GB216" s="336">
        <f t="shared" si="1562"/>
        <v>0</v>
      </c>
      <c r="GC216" s="336">
        <f t="shared" si="1563"/>
        <v>0</v>
      </c>
      <c r="GD216" s="336">
        <f t="shared" si="1564"/>
        <v>0</v>
      </c>
      <c r="GE216" s="336">
        <f t="shared" si="1565"/>
        <v>0</v>
      </c>
      <c r="GF216" s="336">
        <f t="shared" si="1566"/>
        <v>0</v>
      </c>
      <c r="GG216" s="336">
        <f t="shared" si="1567"/>
        <v>0</v>
      </c>
      <c r="GH216" s="336">
        <f t="shared" si="1568"/>
        <v>0</v>
      </c>
      <c r="GI216" s="336">
        <f t="shared" si="1569"/>
        <v>0</v>
      </c>
      <c r="GJ216" s="336">
        <f t="shared" si="1570"/>
        <v>0</v>
      </c>
      <c r="GK216" s="336">
        <f t="shared" si="1571"/>
        <v>0</v>
      </c>
      <c r="GL216" s="336">
        <f t="shared" si="1478"/>
        <v>0</v>
      </c>
      <c r="GM216" s="336">
        <f t="shared" si="1572"/>
        <v>0</v>
      </c>
    </row>
    <row r="217" spans="1:195" ht="27.75" customHeight="1">
      <c r="A217" s="337">
        <f t="shared" ref="A217:A232" si="1615">A216+1</f>
        <v>170</v>
      </c>
      <c r="B217" s="453"/>
      <c r="C217" s="372" t="str">
        <f t="shared" si="1613"/>
        <v>FIRE STATION BUILDING HVAC DB</v>
      </c>
      <c r="D217" s="444" t="s">
        <v>1363</v>
      </c>
      <c r="E217" s="440" t="s">
        <v>1185</v>
      </c>
      <c r="F217" s="372"/>
      <c r="G217" s="337" t="s">
        <v>329</v>
      </c>
      <c r="H217" s="350">
        <v>3.5</v>
      </c>
      <c r="I217" s="337" t="s">
        <v>330</v>
      </c>
      <c r="J217" s="343" t="s">
        <v>357</v>
      </c>
      <c r="K217" s="349">
        <v>230</v>
      </c>
      <c r="L217" s="343">
        <v>0.95</v>
      </c>
      <c r="M217" s="350">
        <v>0.85</v>
      </c>
      <c r="N217" s="342">
        <f t="shared" si="1596"/>
        <v>18.845066630771303</v>
      </c>
      <c r="O217" s="342">
        <f t="shared" si="1597"/>
        <v>0</v>
      </c>
      <c r="P217" s="343" t="str">
        <f t="shared" si="1598"/>
        <v>0.00</v>
      </c>
      <c r="Q217" s="350">
        <v>65</v>
      </c>
      <c r="R217" s="350">
        <v>0</v>
      </c>
      <c r="S217" s="350">
        <f t="shared" si="1582"/>
        <v>0</v>
      </c>
      <c r="T217" s="343" t="s">
        <v>131</v>
      </c>
      <c r="U217" s="350" t="s">
        <v>333</v>
      </c>
      <c r="V217" s="343">
        <v>16</v>
      </c>
      <c r="W217" s="343" t="str">
        <f t="shared" si="1583"/>
        <v>3C X 16</v>
      </c>
      <c r="X217" s="343" t="str">
        <f t="shared" si="1599"/>
        <v>3C X 16</v>
      </c>
      <c r="Y217" s="343" t="s">
        <v>358</v>
      </c>
      <c r="Z217" s="344">
        <f>IF(T217="AIR",VLOOKUP(W217,'Catalogue Aluminium'!$B$9:$G$93,2,FALSE),IF(T217="GROUND",VLOOKUP(W217,'Catalogue Aluminium'!$B$9:$G$93,3,FALSE),IF(T217="DUCT",VLOOKUP(W217,'Catalogue Aluminium'!$B$9:$G$93,4,FALSE),IF(T217="TRENCH",VLOOKUP(W217,'Catalogue Aluminium'!$B$9:$G$93,2,FALSE)))))</f>
        <v>70</v>
      </c>
      <c r="AA217" s="345">
        <f>VLOOKUP(W217,'Catalogue Aluminium'!$B$9:$G$93,5,FALSE)</f>
        <v>2.44</v>
      </c>
      <c r="AB217" s="345">
        <f>VLOOKUP(W217,'Catalogue Aluminium'!$B$9:$G$93,6,FALSE)</f>
        <v>8.1500000000000003E-2</v>
      </c>
      <c r="AC217" s="343">
        <f t="shared" si="1614"/>
        <v>33</v>
      </c>
      <c r="AD217" s="343">
        <v>0</v>
      </c>
      <c r="AE217" s="343">
        <v>10</v>
      </c>
      <c r="AF217" s="343">
        <v>5</v>
      </c>
      <c r="AG217" s="343">
        <f t="shared" si="1462"/>
        <v>5</v>
      </c>
      <c r="AH217" s="347">
        <f t="shared" si="1600"/>
        <v>53</v>
      </c>
      <c r="AI217" s="344">
        <f>IF(T217="AIR",'Catalogue Aluminium'!$K$9,IF(T217="TRENCH",'Catalogue Aluminium'!$K$12,"NA"))</f>
        <v>0.89</v>
      </c>
      <c r="AJ217" s="342">
        <f>IF(T217="Air",(IF(U217="1C",'Catalogue Aluminium'!$L$9,'Catalogue Aluminium'!$M$9)),IF(T217="DUCT",(IF($U217="1C",'Catalogue Aluminium'!$L$10,'Catalogue Aluminium'!$M$10)),IF(T217="GROUND",(IF($U217="1C",'Catalogue Aluminium'!$L$11,'Catalogue Aluminium'!$M$11)),IF(T217="TRENCH",(IF($U217="1C",'Catalogue Aluminium'!$L$12,'Catalogue Aluminium'!$M$12))))))</f>
        <v>0.66</v>
      </c>
      <c r="AK217" s="344" t="str">
        <f>IF(T217="Air",'Catalogue Aluminium'!$N$9,IF(T217="GROUND",'Catalogue Aluminium'!$N$10,IF(T217="DUCT",'Catalogue Aluminium'!$N$11,IF(T217="TRENCH",'Catalogue Aluminium'!$N$12,"NA"))))</f>
        <v>NA</v>
      </c>
      <c r="AL217" s="344" t="str">
        <f>IF(T217="Air",(IF(U217="1C",'Catalogue Aluminium'!$O$9,'Catalogue Aluminium'!$P$9)),IF(T217="DUCT",(IF($U217="1C",'Catalogue Aluminium'!$O$10,'Catalogue Aluminium'!$P$10)),IF(T217="GROUND",(IF($U217="1C",'Catalogue Aluminium'!$O$11,'Catalogue Aluminium'!$P$11)),IF(T217="TRENCH",(IF($U217="1C",'Catalogue Aluminium'!$O$12,'Catalogue Aluminium'!$P$12))))))</f>
        <v>NA</v>
      </c>
      <c r="AM217" s="344" t="str">
        <f>IF(T217="AIR","NA",IF(T217="TRENCH","NA",IF(T217="DUCT",IF(U217="1C",VLOOKUP(V217,'Catalogue Aluminium'!$Q$9:$S$28,2,FALSE),VLOOKUP(V217,'Catalogue Aluminium'!$Q$9:$S$28,3)),IF(T217="GROUND",IF(U217="1C",VLOOKUP(V217,'Catalogue Aluminium'!$Q$9:$S$28,2,FALSE),VLOOKUP(V217,'Catalogue Aluminium'!$Q$9:$S$28,3))))))</f>
        <v>NA</v>
      </c>
      <c r="AN217" s="351">
        <f t="shared" si="1601"/>
        <v>0.58740000000000003</v>
      </c>
      <c r="AO217" s="350">
        <f t="shared" si="1602"/>
        <v>41.118000000000002</v>
      </c>
      <c r="AP217" s="349">
        <f t="shared" si="1603"/>
        <v>1</v>
      </c>
      <c r="AQ217" s="350" t="str">
        <f t="shared" si="1604"/>
        <v>YES</v>
      </c>
      <c r="AR217" s="351">
        <f t="shared" si="1463"/>
        <v>1.7626323129247345</v>
      </c>
      <c r="AS217" s="343" t="str">
        <f t="shared" si="1464"/>
        <v>YES</v>
      </c>
      <c r="AT217" s="351" t="str">
        <f t="shared" si="1605"/>
        <v>NA</v>
      </c>
      <c r="AU217" s="343" t="str">
        <f t="shared" si="1606"/>
        <v>NA</v>
      </c>
      <c r="AV217" s="354" t="str">
        <f t="shared" si="1607"/>
        <v>1R x 0.6/1kV x 3C x 16 Sqmm</v>
      </c>
      <c r="AW217" s="354" t="str">
        <f t="shared" si="1608"/>
        <v>1R x 0.6/1kV x 3C x 16 Sqmm</v>
      </c>
      <c r="AX217" s="343">
        <f t="shared" si="1609"/>
        <v>53</v>
      </c>
      <c r="AY217" s="355"/>
      <c r="AZ217" s="355">
        <f t="shared" si="1610"/>
        <v>2</v>
      </c>
      <c r="BA217" s="356" t="str">
        <f t="shared" si="1611"/>
        <v/>
      </c>
      <c r="BB217" s="501">
        <f>VLOOKUP(W217,'Catalogue Aluminium'!$B$9:$H$93,7,FALSE)</f>
        <v>19</v>
      </c>
      <c r="BC217" s="328">
        <f t="shared" si="1612"/>
        <v>19</v>
      </c>
      <c r="BE217" s="527"/>
      <c r="BF217" s="527"/>
      <c r="BG217" s="527"/>
      <c r="BH217" s="527"/>
      <c r="BI217" s="527"/>
      <c r="BJ217" s="527"/>
      <c r="BK217" s="527"/>
      <c r="BL217" s="527"/>
      <c r="BM217" s="527"/>
      <c r="BN217" s="527"/>
      <c r="BO217" s="527"/>
      <c r="BP217" s="527"/>
      <c r="BQ217" s="527"/>
      <c r="BR217" s="527"/>
      <c r="BS217" s="527"/>
      <c r="BT217" s="527"/>
      <c r="BU217" s="527"/>
      <c r="BV217" s="527"/>
      <c r="BW217" s="527"/>
      <c r="BX217" s="527"/>
      <c r="BY217" s="527"/>
      <c r="BZ217" s="527"/>
      <c r="CA217" s="527"/>
      <c r="CB217" s="527"/>
      <c r="CC217" s="527"/>
      <c r="CD217" s="527"/>
      <c r="CE217" s="527"/>
      <c r="CF217" s="527"/>
      <c r="CG217" s="527"/>
      <c r="CH217" s="527"/>
      <c r="CI217" s="527"/>
      <c r="CJ217" s="527"/>
      <c r="CK217" s="527"/>
      <c r="CL217" s="527"/>
      <c r="CM217" s="527"/>
      <c r="CN217" s="527"/>
      <c r="CO217" s="527"/>
      <c r="CP217" s="527"/>
      <c r="CQ217" s="527"/>
      <c r="CR217" s="527"/>
      <c r="CS217" s="527"/>
      <c r="CT217" s="527"/>
      <c r="CU217" s="527"/>
      <c r="CV217" s="527"/>
      <c r="CW217" s="527"/>
      <c r="CX217" s="527"/>
      <c r="CY217" s="527"/>
      <c r="CZ217" s="336"/>
      <c r="DA217" s="336"/>
      <c r="DB217" s="336"/>
      <c r="DC217" s="336"/>
      <c r="DD217" s="336"/>
      <c r="DE217" s="336"/>
      <c r="DF217" s="336"/>
      <c r="DG217" s="336"/>
      <c r="DH217" s="336"/>
      <c r="DI217" s="336"/>
      <c r="DJ217" s="336"/>
      <c r="DK217" s="336"/>
      <c r="DL217" s="336"/>
      <c r="DM217" s="336"/>
      <c r="DN217" s="336"/>
      <c r="DO217" s="336"/>
      <c r="DP217" s="336"/>
      <c r="DQ217" s="336"/>
      <c r="DR217" s="336"/>
      <c r="DS217" s="336"/>
      <c r="DT217" s="336"/>
      <c r="DU217" s="336"/>
      <c r="DW217" s="336">
        <f t="shared" si="1529"/>
        <v>0</v>
      </c>
      <c r="DX217" s="336">
        <f t="shared" si="1479"/>
        <v>0</v>
      </c>
      <c r="DY217" s="336">
        <f t="shared" si="1480"/>
        <v>0</v>
      </c>
      <c r="DZ217" s="336">
        <f t="shared" si="1481"/>
        <v>0</v>
      </c>
      <c r="EA217" s="336">
        <f t="shared" si="1482"/>
        <v>0</v>
      </c>
      <c r="EB217" s="336">
        <f t="shared" si="1483"/>
        <v>0</v>
      </c>
      <c r="EC217" s="336">
        <f t="shared" si="1484"/>
        <v>0</v>
      </c>
      <c r="ED217" s="336">
        <f t="shared" si="1485"/>
        <v>0</v>
      </c>
      <c r="EE217" s="336">
        <f t="shared" si="1486"/>
        <v>0</v>
      </c>
      <c r="EF217" s="336">
        <f t="shared" si="1487"/>
        <v>0</v>
      </c>
      <c r="EG217" s="336">
        <f t="shared" si="1488"/>
        <v>0</v>
      </c>
      <c r="EH217" s="336">
        <f t="shared" si="1489"/>
        <v>0</v>
      </c>
      <c r="EI217" s="336">
        <f t="shared" si="1490"/>
        <v>0</v>
      </c>
      <c r="EJ217" s="336">
        <f t="shared" si="1491"/>
        <v>0</v>
      </c>
      <c r="EK217" s="336">
        <f t="shared" si="1492"/>
        <v>0</v>
      </c>
      <c r="EL217" s="336">
        <f t="shared" si="1493"/>
        <v>0</v>
      </c>
      <c r="EM217" s="336">
        <f t="shared" si="1494"/>
        <v>0</v>
      </c>
      <c r="EN217" s="336">
        <f t="shared" si="1495"/>
        <v>0</v>
      </c>
      <c r="EO217" s="336">
        <f t="shared" si="1496"/>
        <v>0</v>
      </c>
      <c r="EP217" s="336">
        <f t="shared" si="1497"/>
        <v>0</v>
      </c>
      <c r="EQ217" s="336">
        <f t="shared" si="1498"/>
        <v>0</v>
      </c>
      <c r="ER217" s="336">
        <f t="shared" si="1499"/>
        <v>0</v>
      </c>
      <c r="ES217" s="336">
        <f t="shared" si="1500"/>
        <v>0</v>
      </c>
      <c r="ET217" s="336">
        <f t="shared" si="1500"/>
        <v>0</v>
      </c>
      <c r="EU217" s="336">
        <f t="shared" si="1501"/>
        <v>0</v>
      </c>
      <c r="EV217" s="336">
        <f t="shared" si="1502"/>
        <v>0</v>
      </c>
      <c r="EW217" s="336">
        <f t="shared" si="1503"/>
        <v>0</v>
      </c>
      <c r="EX217" s="336">
        <f t="shared" si="1504"/>
        <v>0</v>
      </c>
      <c r="EY217" s="336">
        <f t="shared" si="1505"/>
        <v>0</v>
      </c>
      <c r="EZ217" s="336">
        <f t="shared" si="1506"/>
        <v>0</v>
      </c>
      <c r="FA217" s="336">
        <f t="shared" si="1507"/>
        <v>0</v>
      </c>
      <c r="FB217" s="336">
        <f t="shared" si="1508"/>
        <v>0</v>
      </c>
      <c r="FC217" s="336">
        <f t="shared" si="1509"/>
        <v>0</v>
      </c>
      <c r="FD217" s="336">
        <f t="shared" si="1510"/>
        <v>0</v>
      </c>
      <c r="FE217" s="336">
        <f t="shared" si="1511"/>
        <v>0</v>
      </c>
      <c r="FF217" s="336">
        <f t="shared" si="1512"/>
        <v>0</v>
      </c>
      <c r="FG217" s="336">
        <f t="shared" si="1513"/>
        <v>0</v>
      </c>
      <c r="FH217" s="336">
        <f t="shared" si="1514"/>
        <v>0</v>
      </c>
      <c r="FI217" s="336">
        <f t="shared" si="1515"/>
        <v>0</v>
      </c>
      <c r="FJ217" s="336">
        <f t="shared" si="1516"/>
        <v>0</v>
      </c>
      <c r="FK217" s="336">
        <f t="shared" si="1517"/>
        <v>0</v>
      </c>
      <c r="FL217" s="336">
        <f t="shared" si="1518"/>
        <v>0</v>
      </c>
      <c r="FM217" s="336">
        <f t="shared" si="1519"/>
        <v>0</v>
      </c>
      <c r="FN217" s="336">
        <f t="shared" si="1520"/>
        <v>0</v>
      </c>
      <c r="FO217" s="336">
        <f t="shared" si="1521"/>
        <v>0</v>
      </c>
      <c r="FP217" s="336">
        <f t="shared" si="1522"/>
        <v>0</v>
      </c>
      <c r="FQ217" s="336">
        <f t="shared" si="1523"/>
        <v>0</v>
      </c>
      <c r="FR217" s="336">
        <f t="shared" si="1524"/>
        <v>0</v>
      </c>
      <c r="FS217" s="336">
        <f t="shared" si="1525"/>
        <v>0</v>
      </c>
      <c r="FT217" s="336">
        <f t="shared" si="1526"/>
        <v>0</v>
      </c>
      <c r="FU217" s="336">
        <f t="shared" si="1474"/>
        <v>0</v>
      </c>
      <c r="FV217" s="336">
        <f t="shared" si="1475"/>
        <v>0</v>
      </c>
      <c r="FW217" s="336">
        <f t="shared" si="1476"/>
        <v>0</v>
      </c>
      <c r="FX217" s="336">
        <f t="shared" si="1477"/>
        <v>0</v>
      </c>
      <c r="FY217" s="336">
        <f t="shared" si="1559"/>
        <v>0</v>
      </c>
      <c r="FZ217" s="336">
        <f t="shared" si="1560"/>
        <v>0</v>
      </c>
      <c r="GA217" s="336">
        <f t="shared" si="1561"/>
        <v>0</v>
      </c>
      <c r="GB217" s="336">
        <f t="shared" si="1562"/>
        <v>0</v>
      </c>
      <c r="GC217" s="336">
        <f t="shared" si="1563"/>
        <v>0</v>
      </c>
      <c r="GD217" s="336">
        <f t="shared" si="1564"/>
        <v>0</v>
      </c>
      <c r="GE217" s="336">
        <f t="shared" si="1565"/>
        <v>0</v>
      </c>
      <c r="GF217" s="336">
        <f t="shared" si="1566"/>
        <v>0</v>
      </c>
      <c r="GG217" s="336">
        <f t="shared" si="1567"/>
        <v>0</v>
      </c>
      <c r="GH217" s="336">
        <f t="shared" si="1568"/>
        <v>0</v>
      </c>
      <c r="GI217" s="336">
        <f t="shared" si="1569"/>
        <v>0</v>
      </c>
      <c r="GJ217" s="336">
        <f t="shared" si="1570"/>
        <v>0</v>
      </c>
      <c r="GK217" s="336">
        <f t="shared" si="1571"/>
        <v>0</v>
      </c>
      <c r="GL217" s="336">
        <f t="shared" si="1478"/>
        <v>0</v>
      </c>
      <c r="GM217" s="336">
        <f t="shared" si="1572"/>
        <v>0</v>
      </c>
    </row>
    <row r="218" spans="1:195" ht="27.75" customHeight="1">
      <c r="A218" s="337">
        <f t="shared" si="1615"/>
        <v>171</v>
      </c>
      <c r="B218" s="453"/>
      <c r="C218" s="372" t="str">
        <f t="shared" si="1613"/>
        <v>FIRE STATION BUILDING HVAC DB</v>
      </c>
      <c r="D218" s="444" t="s">
        <v>1364</v>
      </c>
      <c r="E218" s="440" t="s">
        <v>1185</v>
      </c>
      <c r="F218" s="372"/>
      <c r="G218" s="337" t="s">
        <v>329</v>
      </c>
      <c r="H218" s="350">
        <v>3.5</v>
      </c>
      <c r="I218" s="337" t="s">
        <v>330</v>
      </c>
      <c r="J218" s="343" t="s">
        <v>357</v>
      </c>
      <c r="K218" s="349">
        <v>230</v>
      </c>
      <c r="L218" s="343">
        <v>0.95</v>
      </c>
      <c r="M218" s="350">
        <v>0.85</v>
      </c>
      <c r="N218" s="342">
        <f t="shared" si="1596"/>
        <v>18.845066630771303</v>
      </c>
      <c r="O218" s="342">
        <f t="shared" si="1597"/>
        <v>0</v>
      </c>
      <c r="P218" s="343" t="str">
        <f t="shared" si="1598"/>
        <v>0.00</v>
      </c>
      <c r="Q218" s="350">
        <v>65</v>
      </c>
      <c r="R218" s="350">
        <v>0</v>
      </c>
      <c r="S218" s="350">
        <f t="shared" si="1582"/>
        <v>0</v>
      </c>
      <c r="T218" s="343" t="s">
        <v>131</v>
      </c>
      <c r="U218" s="350" t="s">
        <v>333</v>
      </c>
      <c r="V218" s="343">
        <v>16</v>
      </c>
      <c r="W218" s="343" t="str">
        <f t="shared" si="1583"/>
        <v>3C X 16</v>
      </c>
      <c r="X218" s="343" t="str">
        <f t="shared" si="1599"/>
        <v>3C X 16</v>
      </c>
      <c r="Y218" s="343" t="s">
        <v>358</v>
      </c>
      <c r="Z218" s="344">
        <f>IF(T218="AIR",VLOOKUP(W218,'Catalogue Aluminium'!$B$9:$G$93,2,FALSE),IF(T218="GROUND",VLOOKUP(W218,'Catalogue Aluminium'!$B$9:$G$93,3,FALSE),IF(T218="DUCT",VLOOKUP(W218,'Catalogue Aluminium'!$B$9:$G$93,4,FALSE),IF(T218="TRENCH",VLOOKUP(W218,'Catalogue Aluminium'!$B$9:$G$93,2,FALSE)))))</f>
        <v>70</v>
      </c>
      <c r="AA218" s="345">
        <f>VLOOKUP(W218,'Catalogue Aluminium'!$B$9:$G$93,5,FALSE)</f>
        <v>2.44</v>
      </c>
      <c r="AB218" s="345">
        <f>VLOOKUP(W218,'Catalogue Aluminium'!$B$9:$G$93,6,FALSE)</f>
        <v>8.1500000000000003E-2</v>
      </c>
      <c r="AC218" s="343">
        <f t="shared" si="1614"/>
        <v>33</v>
      </c>
      <c r="AD218" s="343">
        <v>0</v>
      </c>
      <c r="AE218" s="343">
        <v>10</v>
      </c>
      <c r="AF218" s="343">
        <v>5</v>
      </c>
      <c r="AG218" s="343">
        <f t="shared" si="1462"/>
        <v>5</v>
      </c>
      <c r="AH218" s="347">
        <f t="shared" si="1600"/>
        <v>53</v>
      </c>
      <c r="AI218" s="344">
        <f>IF(T218="AIR",'Catalogue Aluminium'!$K$9,IF(T218="TRENCH",'Catalogue Aluminium'!$K$12,"NA"))</f>
        <v>0.89</v>
      </c>
      <c r="AJ218" s="342">
        <f>IF(T218="Air",(IF(U218="1C",'Catalogue Aluminium'!$L$9,'Catalogue Aluminium'!$M$9)),IF(T218="DUCT",(IF($U218="1C",'Catalogue Aluminium'!$L$10,'Catalogue Aluminium'!$M$10)),IF(T218="GROUND",(IF($U218="1C",'Catalogue Aluminium'!$L$11,'Catalogue Aluminium'!$M$11)),IF(T218="TRENCH",(IF($U218="1C",'Catalogue Aluminium'!$L$12,'Catalogue Aluminium'!$M$12))))))</f>
        <v>0.66</v>
      </c>
      <c r="AK218" s="344" t="str">
        <f>IF(T218="Air",'Catalogue Aluminium'!$N$9,IF(T218="GROUND",'Catalogue Aluminium'!$N$10,IF(T218="DUCT",'Catalogue Aluminium'!$N$11,IF(T218="TRENCH",'Catalogue Aluminium'!$N$12,"NA"))))</f>
        <v>NA</v>
      </c>
      <c r="AL218" s="344" t="str">
        <f>IF(T218="Air",(IF(U218="1C",'Catalogue Aluminium'!$O$9,'Catalogue Aluminium'!$P$9)),IF(T218="DUCT",(IF($U218="1C",'Catalogue Aluminium'!$O$10,'Catalogue Aluminium'!$P$10)),IF(T218="GROUND",(IF($U218="1C",'Catalogue Aluminium'!$O$11,'Catalogue Aluminium'!$P$11)),IF(T218="TRENCH",(IF($U218="1C",'Catalogue Aluminium'!$O$12,'Catalogue Aluminium'!$P$12))))))</f>
        <v>NA</v>
      </c>
      <c r="AM218" s="344" t="str">
        <f>IF(T218="AIR","NA",IF(T218="TRENCH","NA",IF(T218="DUCT",IF(U218="1C",VLOOKUP(V218,'Catalogue Aluminium'!$Q$9:$S$28,2,FALSE),VLOOKUP(V218,'Catalogue Aluminium'!$Q$9:$S$28,3)),IF(T218="GROUND",IF(U218="1C",VLOOKUP(V218,'Catalogue Aluminium'!$Q$9:$S$28,2,FALSE),VLOOKUP(V218,'Catalogue Aluminium'!$Q$9:$S$28,3))))))</f>
        <v>NA</v>
      </c>
      <c r="AN218" s="351">
        <f t="shared" si="1601"/>
        <v>0.58740000000000003</v>
      </c>
      <c r="AO218" s="350">
        <f t="shared" si="1602"/>
        <v>41.118000000000002</v>
      </c>
      <c r="AP218" s="349">
        <f t="shared" si="1603"/>
        <v>1</v>
      </c>
      <c r="AQ218" s="350" t="str">
        <f t="shared" si="1604"/>
        <v>YES</v>
      </c>
      <c r="AR218" s="351">
        <f t="shared" si="1463"/>
        <v>1.7626323129247345</v>
      </c>
      <c r="AS218" s="343" t="str">
        <f t="shared" si="1464"/>
        <v>YES</v>
      </c>
      <c r="AT218" s="351" t="str">
        <f t="shared" si="1605"/>
        <v>NA</v>
      </c>
      <c r="AU218" s="343" t="str">
        <f t="shared" si="1606"/>
        <v>NA</v>
      </c>
      <c r="AV218" s="354" t="str">
        <f t="shared" si="1607"/>
        <v>1R x 0.6/1kV x 3C x 16 Sqmm</v>
      </c>
      <c r="AW218" s="354" t="str">
        <f t="shared" si="1608"/>
        <v>1R x 0.6/1kV x 3C x 16 Sqmm</v>
      </c>
      <c r="AX218" s="343">
        <f t="shared" si="1609"/>
        <v>53</v>
      </c>
      <c r="AY218" s="355"/>
      <c r="AZ218" s="355">
        <f t="shared" si="1610"/>
        <v>2</v>
      </c>
      <c r="BA218" s="356" t="str">
        <f t="shared" si="1611"/>
        <v/>
      </c>
      <c r="BB218" s="501">
        <f>VLOOKUP(W218,'Catalogue Aluminium'!$B$9:$H$93,7,FALSE)</f>
        <v>19</v>
      </c>
      <c r="BC218" s="328">
        <f t="shared" si="1612"/>
        <v>19</v>
      </c>
      <c r="BE218" s="527"/>
      <c r="BF218" s="527"/>
      <c r="BG218" s="527"/>
      <c r="BH218" s="527"/>
      <c r="BI218" s="527"/>
      <c r="BJ218" s="527"/>
      <c r="BK218" s="527"/>
      <c r="BL218" s="527"/>
      <c r="BM218" s="527"/>
      <c r="BN218" s="527"/>
      <c r="BO218" s="527"/>
      <c r="BP218" s="527"/>
      <c r="BQ218" s="527"/>
      <c r="BR218" s="527"/>
      <c r="BS218" s="527"/>
      <c r="BT218" s="527"/>
      <c r="BU218" s="527"/>
      <c r="BV218" s="527"/>
      <c r="BW218" s="527"/>
      <c r="BX218" s="527"/>
      <c r="BY218" s="527"/>
      <c r="BZ218" s="527"/>
      <c r="CA218" s="527"/>
      <c r="CB218" s="527"/>
      <c r="CC218" s="527"/>
      <c r="CD218" s="527"/>
      <c r="CE218" s="527"/>
      <c r="CF218" s="527"/>
      <c r="CG218" s="527"/>
      <c r="CH218" s="527"/>
      <c r="CI218" s="527"/>
      <c r="CJ218" s="527"/>
      <c r="CK218" s="527"/>
      <c r="CL218" s="527"/>
      <c r="CM218" s="527"/>
      <c r="CN218" s="527"/>
      <c r="CO218" s="527"/>
      <c r="CP218" s="527"/>
      <c r="CQ218" s="527"/>
      <c r="CR218" s="527"/>
      <c r="CS218" s="527"/>
      <c r="CT218" s="527"/>
      <c r="CU218" s="527"/>
      <c r="CV218" s="527"/>
      <c r="CW218" s="527"/>
      <c r="CX218" s="527"/>
      <c r="CY218" s="527"/>
      <c r="CZ218" s="336"/>
      <c r="DA218" s="336"/>
      <c r="DB218" s="336"/>
      <c r="DC218" s="336"/>
      <c r="DD218" s="336"/>
      <c r="DE218" s="336"/>
      <c r="DF218" s="336"/>
      <c r="DG218" s="336"/>
      <c r="DH218" s="336"/>
      <c r="DI218" s="336"/>
      <c r="DJ218" s="336"/>
      <c r="DK218" s="336"/>
      <c r="DL218" s="336"/>
      <c r="DM218" s="336"/>
      <c r="DN218" s="336"/>
      <c r="DO218" s="336"/>
      <c r="DP218" s="336"/>
      <c r="DQ218" s="336"/>
      <c r="DR218" s="336"/>
      <c r="DS218" s="336"/>
      <c r="DT218" s="336"/>
      <c r="DU218" s="336"/>
      <c r="DW218" s="336">
        <f t="shared" si="1529"/>
        <v>0</v>
      </c>
      <c r="DX218" s="336">
        <f t="shared" si="1479"/>
        <v>0</v>
      </c>
      <c r="DY218" s="336">
        <f t="shared" si="1480"/>
        <v>0</v>
      </c>
      <c r="DZ218" s="336">
        <f t="shared" si="1481"/>
        <v>0</v>
      </c>
      <c r="EA218" s="336">
        <f t="shared" si="1482"/>
        <v>0</v>
      </c>
      <c r="EB218" s="336">
        <f t="shared" si="1483"/>
        <v>0</v>
      </c>
      <c r="EC218" s="336">
        <f t="shared" si="1484"/>
        <v>0</v>
      </c>
      <c r="ED218" s="336">
        <f t="shared" si="1485"/>
        <v>0</v>
      </c>
      <c r="EE218" s="336">
        <f t="shared" si="1486"/>
        <v>0</v>
      </c>
      <c r="EF218" s="336">
        <f t="shared" si="1487"/>
        <v>0</v>
      </c>
      <c r="EG218" s="336">
        <f t="shared" si="1488"/>
        <v>0</v>
      </c>
      <c r="EH218" s="336">
        <f t="shared" si="1489"/>
        <v>0</v>
      </c>
      <c r="EI218" s="336">
        <f t="shared" si="1490"/>
        <v>0</v>
      </c>
      <c r="EJ218" s="336">
        <f t="shared" si="1491"/>
        <v>0</v>
      </c>
      <c r="EK218" s="336">
        <f t="shared" si="1492"/>
        <v>0</v>
      </c>
      <c r="EL218" s="336">
        <f t="shared" si="1493"/>
        <v>0</v>
      </c>
      <c r="EM218" s="336">
        <f t="shared" si="1494"/>
        <v>0</v>
      </c>
      <c r="EN218" s="336">
        <f t="shared" si="1495"/>
        <v>0</v>
      </c>
      <c r="EO218" s="336">
        <f t="shared" si="1496"/>
        <v>0</v>
      </c>
      <c r="EP218" s="336">
        <f t="shared" si="1497"/>
        <v>0</v>
      </c>
      <c r="EQ218" s="336">
        <f t="shared" si="1498"/>
        <v>0</v>
      </c>
      <c r="ER218" s="336">
        <f t="shared" si="1499"/>
        <v>0</v>
      </c>
      <c r="ES218" s="336">
        <f t="shared" si="1500"/>
        <v>0</v>
      </c>
      <c r="ET218" s="336">
        <f t="shared" si="1500"/>
        <v>0</v>
      </c>
      <c r="EU218" s="336">
        <f t="shared" si="1501"/>
        <v>0</v>
      </c>
      <c r="EV218" s="336">
        <f t="shared" si="1502"/>
        <v>0</v>
      </c>
      <c r="EW218" s="336">
        <f t="shared" si="1503"/>
        <v>0</v>
      </c>
      <c r="EX218" s="336">
        <f t="shared" si="1504"/>
        <v>0</v>
      </c>
      <c r="EY218" s="336">
        <f t="shared" si="1505"/>
        <v>0</v>
      </c>
      <c r="EZ218" s="336">
        <f t="shared" si="1506"/>
        <v>0</v>
      </c>
      <c r="FA218" s="336">
        <f t="shared" si="1507"/>
        <v>0</v>
      </c>
      <c r="FB218" s="336">
        <f t="shared" si="1508"/>
        <v>0</v>
      </c>
      <c r="FC218" s="336">
        <f t="shared" si="1509"/>
        <v>0</v>
      </c>
      <c r="FD218" s="336">
        <f t="shared" si="1510"/>
        <v>0</v>
      </c>
      <c r="FE218" s="336">
        <f t="shared" si="1511"/>
        <v>0</v>
      </c>
      <c r="FF218" s="336">
        <f t="shared" si="1512"/>
        <v>0</v>
      </c>
      <c r="FG218" s="336">
        <f t="shared" si="1513"/>
        <v>0</v>
      </c>
      <c r="FH218" s="336">
        <f t="shared" si="1514"/>
        <v>0</v>
      </c>
      <c r="FI218" s="336">
        <f t="shared" si="1515"/>
        <v>0</v>
      </c>
      <c r="FJ218" s="336">
        <f t="shared" si="1516"/>
        <v>0</v>
      </c>
      <c r="FK218" s="336">
        <f t="shared" si="1517"/>
        <v>0</v>
      </c>
      <c r="FL218" s="336">
        <f t="shared" si="1518"/>
        <v>0</v>
      </c>
      <c r="FM218" s="336">
        <f t="shared" si="1519"/>
        <v>0</v>
      </c>
      <c r="FN218" s="336">
        <f t="shared" si="1520"/>
        <v>0</v>
      </c>
      <c r="FO218" s="336">
        <f t="shared" si="1521"/>
        <v>0</v>
      </c>
      <c r="FP218" s="336">
        <f t="shared" si="1522"/>
        <v>0</v>
      </c>
      <c r="FQ218" s="336">
        <f t="shared" si="1523"/>
        <v>0</v>
      </c>
      <c r="FR218" s="336">
        <f t="shared" si="1524"/>
        <v>0</v>
      </c>
      <c r="FS218" s="336">
        <f t="shared" si="1525"/>
        <v>0</v>
      </c>
      <c r="FT218" s="336">
        <f t="shared" si="1526"/>
        <v>0</v>
      </c>
      <c r="FU218" s="336">
        <f t="shared" si="1474"/>
        <v>0</v>
      </c>
      <c r="FV218" s="336">
        <f t="shared" si="1475"/>
        <v>0</v>
      </c>
      <c r="FW218" s="336">
        <f t="shared" si="1476"/>
        <v>0</v>
      </c>
      <c r="FX218" s="336">
        <f t="shared" si="1477"/>
        <v>0</v>
      </c>
      <c r="FY218" s="336">
        <f t="shared" si="1559"/>
        <v>0</v>
      </c>
      <c r="FZ218" s="336">
        <f t="shared" si="1560"/>
        <v>0</v>
      </c>
      <c r="GA218" s="336">
        <f t="shared" si="1561"/>
        <v>0</v>
      </c>
      <c r="GB218" s="336">
        <f t="shared" si="1562"/>
        <v>0</v>
      </c>
      <c r="GC218" s="336">
        <f t="shared" si="1563"/>
        <v>0</v>
      </c>
      <c r="GD218" s="336">
        <f t="shared" si="1564"/>
        <v>0</v>
      </c>
      <c r="GE218" s="336">
        <f t="shared" si="1565"/>
        <v>0</v>
      </c>
      <c r="GF218" s="336">
        <f t="shared" si="1566"/>
        <v>0</v>
      </c>
      <c r="GG218" s="336">
        <f t="shared" si="1567"/>
        <v>0</v>
      </c>
      <c r="GH218" s="336">
        <f t="shared" si="1568"/>
        <v>0</v>
      </c>
      <c r="GI218" s="336">
        <f t="shared" si="1569"/>
        <v>0</v>
      </c>
      <c r="GJ218" s="336">
        <f t="shared" si="1570"/>
        <v>0</v>
      </c>
      <c r="GK218" s="336">
        <f t="shared" si="1571"/>
        <v>0</v>
      </c>
      <c r="GL218" s="336">
        <f t="shared" si="1478"/>
        <v>0</v>
      </c>
      <c r="GM218" s="336">
        <f t="shared" si="1572"/>
        <v>0</v>
      </c>
    </row>
    <row r="219" spans="1:195" ht="27.75" customHeight="1">
      <c r="A219" s="337">
        <f t="shared" si="1615"/>
        <v>172</v>
      </c>
      <c r="B219" s="453"/>
      <c r="C219" s="372" t="str">
        <f t="shared" si="1613"/>
        <v>FIRE STATION BUILDING HVAC DB</v>
      </c>
      <c r="D219" s="444" t="s">
        <v>1365</v>
      </c>
      <c r="E219" s="440" t="s">
        <v>1185</v>
      </c>
      <c r="F219" s="372"/>
      <c r="G219" s="337" t="s">
        <v>329</v>
      </c>
      <c r="H219" s="583">
        <v>3.5</v>
      </c>
      <c r="I219" s="337" t="s">
        <v>330</v>
      </c>
      <c r="J219" s="343" t="s">
        <v>357</v>
      </c>
      <c r="K219" s="349">
        <v>230</v>
      </c>
      <c r="L219" s="343">
        <v>0.95</v>
      </c>
      <c r="M219" s="350">
        <v>0.85</v>
      </c>
      <c r="N219" s="342">
        <f t="shared" si="1596"/>
        <v>18.845066630771303</v>
      </c>
      <c r="O219" s="342">
        <f t="shared" si="1597"/>
        <v>0</v>
      </c>
      <c r="P219" s="343" t="str">
        <f t="shared" si="1598"/>
        <v>0.00</v>
      </c>
      <c r="Q219" s="350">
        <v>65</v>
      </c>
      <c r="R219" s="350">
        <v>0</v>
      </c>
      <c r="S219" s="350">
        <f t="shared" si="1582"/>
        <v>0</v>
      </c>
      <c r="T219" s="343" t="s">
        <v>131</v>
      </c>
      <c r="U219" s="350" t="s">
        <v>333</v>
      </c>
      <c r="V219" s="343">
        <v>16</v>
      </c>
      <c r="W219" s="343" t="str">
        <f t="shared" si="1583"/>
        <v>3C X 16</v>
      </c>
      <c r="X219" s="343" t="str">
        <f t="shared" si="1599"/>
        <v>3C X 16</v>
      </c>
      <c r="Y219" s="343" t="s">
        <v>358</v>
      </c>
      <c r="Z219" s="344">
        <f>IF(T219="AIR",VLOOKUP(W219,'Catalogue Aluminium'!$B$9:$G$93,2,FALSE),IF(T219="GROUND",VLOOKUP(W219,'Catalogue Aluminium'!$B$9:$G$93,3,FALSE),IF(T219="DUCT",VLOOKUP(W219,'Catalogue Aluminium'!$B$9:$G$93,4,FALSE),IF(T219="TRENCH",VLOOKUP(W219,'Catalogue Aluminium'!$B$9:$G$93,2,FALSE)))))</f>
        <v>70</v>
      </c>
      <c r="AA219" s="345">
        <f>VLOOKUP(W219,'Catalogue Aluminium'!$B$9:$G$93,5,FALSE)</f>
        <v>2.44</v>
      </c>
      <c r="AB219" s="345">
        <f>VLOOKUP(W219,'Catalogue Aluminium'!$B$9:$G$93,6,FALSE)</f>
        <v>8.1500000000000003E-2</v>
      </c>
      <c r="AC219" s="343">
        <f t="shared" si="1614"/>
        <v>33</v>
      </c>
      <c r="AD219" s="343">
        <v>0</v>
      </c>
      <c r="AE219" s="343">
        <v>10</v>
      </c>
      <c r="AF219" s="343">
        <v>5</v>
      </c>
      <c r="AG219" s="343">
        <f t="shared" si="1462"/>
        <v>5</v>
      </c>
      <c r="AH219" s="347">
        <f t="shared" si="1600"/>
        <v>53</v>
      </c>
      <c r="AI219" s="344">
        <f>IF(T219="AIR",'Catalogue Aluminium'!$K$9,IF(T219="TRENCH",'Catalogue Aluminium'!$K$12,"NA"))</f>
        <v>0.89</v>
      </c>
      <c r="AJ219" s="342">
        <f>IF(T219="Air",(IF(U219="1C",'Catalogue Aluminium'!$L$9,'Catalogue Aluminium'!$M$9)),IF(T219="DUCT",(IF($U219="1C",'Catalogue Aluminium'!$L$10,'Catalogue Aluminium'!$M$10)),IF(T219="GROUND",(IF($U219="1C",'Catalogue Aluminium'!$L$11,'Catalogue Aluminium'!$M$11)),IF(T219="TRENCH",(IF($U219="1C",'Catalogue Aluminium'!$L$12,'Catalogue Aluminium'!$M$12))))))</f>
        <v>0.66</v>
      </c>
      <c r="AK219" s="344" t="str">
        <f>IF(T219="Air",'Catalogue Aluminium'!$N$9,IF(T219="GROUND",'Catalogue Aluminium'!$N$10,IF(T219="DUCT",'Catalogue Aluminium'!$N$11,IF(T219="TRENCH",'Catalogue Aluminium'!$N$12,"NA"))))</f>
        <v>NA</v>
      </c>
      <c r="AL219" s="344" t="str">
        <f>IF(T219="Air",(IF(U219="1C",'Catalogue Aluminium'!$O$9,'Catalogue Aluminium'!$P$9)),IF(T219="DUCT",(IF($U219="1C",'Catalogue Aluminium'!$O$10,'Catalogue Aluminium'!$P$10)),IF(T219="GROUND",(IF($U219="1C",'Catalogue Aluminium'!$O$11,'Catalogue Aluminium'!$P$11)),IF(T219="TRENCH",(IF($U219="1C",'Catalogue Aluminium'!$O$12,'Catalogue Aluminium'!$P$12))))))</f>
        <v>NA</v>
      </c>
      <c r="AM219" s="344" t="str">
        <f>IF(T219="AIR","NA",IF(T219="TRENCH","NA",IF(T219="DUCT",IF(U219="1C",VLOOKUP(V219,'Catalogue Aluminium'!$Q$9:$S$28,2,FALSE),VLOOKUP(V219,'Catalogue Aluminium'!$Q$9:$S$28,3)),IF(T219="GROUND",IF(U219="1C",VLOOKUP(V219,'Catalogue Aluminium'!$Q$9:$S$28,2,FALSE),VLOOKUP(V219,'Catalogue Aluminium'!$Q$9:$S$28,3))))))</f>
        <v>NA</v>
      </c>
      <c r="AN219" s="351">
        <f t="shared" si="1601"/>
        <v>0.58740000000000003</v>
      </c>
      <c r="AO219" s="350">
        <f t="shared" si="1602"/>
        <v>41.118000000000002</v>
      </c>
      <c r="AP219" s="349">
        <f t="shared" si="1603"/>
        <v>1</v>
      </c>
      <c r="AQ219" s="350" t="str">
        <f t="shared" si="1604"/>
        <v>YES</v>
      </c>
      <c r="AR219" s="351">
        <f t="shared" si="1463"/>
        <v>1.7626323129247345</v>
      </c>
      <c r="AS219" s="343" t="str">
        <f t="shared" si="1464"/>
        <v>YES</v>
      </c>
      <c r="AT219" s="351" t="str">
        <f t="shared" si="1605"/>
        <v>NA</v>
      </c>
      <c r="AU219" s="343" t="str">
        <f t="shared" si="1606"/>
        <v>NA</v>
      </c>
      <c r="AV219" s="354" t="str">
        <f t="shared" si="1607"/>
        <v>1R x 0.6/1kV x 3C x 16 Sqmm</v>
      </c>
      <c r="AW219" s="354" t="str">
        <f t="shared" si="1608"/>
        <v>1R x 0.6/1kV x 3C x 16 Sqmm</v>
      </c>
      <c r="AX219" s="343">
        <f t="shared" si="1609"/>
        <v>53</v>
      </c>
      <c r="AY219" s="355"/>
      <c r="AZ219" s="355">
        <f t="shared" si="1610"/>
        <v>2</v>
      </c>
      <c r="BA219" s="356" t="str">
        <f t="shared" si="1611"/>
        <v/>
      </c>
      <c r="BB219" s="501">
        <f>VLOOKUP(W219,'Catalogue Aluminium'!$B$9:$H$93,7,FALSE)</f>
        <v>19</v>
      </c>
      <c r="BC219" s="328">
        <f t="shared" si="1612"/>
        <v>19</v>
      </c>
      <c r="BE219" s="336"/>
      <c r="BF219" s="336"/>
      <c r="BG219" s="336"/>
      <c r="BH219" s="336"/>
      <c r="BI219" s="336"/>
      <c r="BJ219" s="336"/>
      <c r="BK219" s="336"/>
      <c r="BL219" s="336"/>
      <c r="BM219" s="336"/>
      <c r="BN219" s="336"/>
      <c r="BO219" s="336"/>
      <c r="BP219" s="336"/>
      <c r="BQ219" s="336"/>
      <c r="BR219" s="336"/>
      <c r="BS219" s="336"/>
      <c r="BT219" s="336"/>
      <c r="BU219" s="336"/>
      <c r="BV219" s="336"/>
      <c r="BW219" s="336"/>
      <c r="BX219" s="336"/>
      <c r="BY219" s="336"/>
      <c r="BZ219" s="336"/>
      <c r="CA219" s="336"/>
      <c r="CB219" s="336"/>
      <c r="CC219" s="336"/>
      <c r="CD219" s="336"/>
      <c r="CE219" s="336"/>
      <c r="CF219" s="336"/>
      <c r="CG219" s="336"/>
      <c r="CH219" s="336"/>
      <c r="CI219" s="336"/>
      <c r="CJ219" s="336"/>
      <c r="CK219" s="336"/>
      <c r="CL219" s="336"/>
      <c r="CM219" s="336"/>
      <c r="CN219" s="336"/>
      <c r="CO219" s="336"/>
      <c r="CP219" s="336"/>
      <c r="CQ219" s="336"/>
      <c r="CR219" s="336"/>
      <c r="CS219" s="336"/>
      <c r="CT219" s="336"/>
      <c r="CU219" s="336"/>
      <c r="CV219" s="336"/>
      <c r="CW219" s="336"/>
      <c r="CX219" s="336"/>
      <c r="CY219" s="336"/>
      <c r="CZ219" s="336"/>
      <c r="DA219" s="336"/>
      <c r="DB219" s="336"/>
      <c r="DC219" s="336"/>
      <c r="DD219" s="336"/>
      <c r="DE219" s="336"/>
      <c r="DF219" s="336"/>
      <c r="DG219" s="336"/>
      <c r="DH219" s="336"/>
      <c r="DI219" s="336"/>
      <c r="DJ219" s="336"/>
      <c r="DK219" s="336"/>
      <c r="DL219" s="336"/>
      <c r="DM219" s="336"/>
      <c r="DN219" s="336"/>
      <c r="DO219" s="336"/>
      <c r="DP219" s="336"/>
      <c r="DQ219" s="336"/>
      <c r="DR219" s="336"/>
      <c r="DS219" s="336"/>
      <c r="DT219" s="336"/>
      <c r="DU219" s="336"/>
      <c r="DW219" s="336">
        <f t="shared" si="1529"/>
        <v>0</v>
      </c>
      <c r="DX219" s="336">
        <f t="shared" si="1479"/>
        <v>0</v>
      </c>
      <c r="DY219" s="336">
        <f t="shared" si="1480"/>
        <v>0</v>
      </c>
      <c r="DZ219" s="336">
        <f t="shared" si="1481"/>
        <v>0</v>
      </c>
      <c r="EA219" s="336">
        <f t="shared" si="1482"/>
        <v>0</v>
      </c>
      <c r="EB219" s="336">
        <f t="shared" si="1483"/>
        <v>0</v>
      </c>
      <c r="EC219" s="336">
        <f t="shared" si="1484"/>
        <v>0</v>
      </c>
      <c r="ED219" s="336">
        <f t="shared" si="1485"/>
        <v>0</v>
      </c>
      <c r="EE219" s="336">
        <f t="shared" si="1486"/>
        <v>0</v>
      </c>
      <c r="EF219" s="336">
        <f t="shared" si="1487"/>
        <v>0</v>
      </c>
      <c r="EG219" s="336">
        <f t="shared" si="1488"/>
        <v>0</v>
      </c>
      <c r="EH219" s="336">
        <f t="shared" si="1489"/>
        <v>0</v>
      </c>
      <c r="EI219" s="336">
        <f t="shared" si="1490"/>
        <v>0</v>
      </c>
      <c r="EJ219" s="336">
        <f t="shared" si="1491"/>
        <v>0</v>
      </c>
      <c r="EK219" s="336">
        <f t="shared" si="1492"/>
        <v>0</v>
      </c>
      <c r="EL219" s="336">
        <f t="shared" si="1493"/>
        <v>0</v>
      </c>
      <c r="EM219" s="336">
        <f t="shared" si="1494"/>
        <v>0</v>
      </c>
      <c r="EN219" s="336">
        <f t="shared" si="1495"/>
        <v>0</v>
      </c>
      <c r="EO219" s="336">
        <f t="shared" si="1496"/>
        <v>0</v>
      </c>
      <c r="EP219" s="336">
        <f t="shared" si="1497"/>
        <v>0</v>
      </c>
      <c r="EQ219" s="336">
        <f t="shared" si="1498"/>
        <v>0</v>
      </c>
      <c r="ER219" s="336">
        <f t="shared" si="1499"/>
        <v>0</v>
      </c>
      <c r="ES219" s="336">
        <f t="shared" si="1500"/>
        <v>0</v>
      </c>
      <c r="ET219" s="336">
        <f t="shared" si="1500"/>
        <v>0</v>
      </c>
      <c r="EU219" s="336">
        <f t="shared" si="1501"/>
        <v>0</v>
      </c>
      <c r="EV219" s="336">
        <f t="shared" si="1502"/>
        <v>0</v>
      </c>
      <c r="EW219" s="336">
        <f t="shared" si="1503"/>
        <v>0</v>
      </c>
      <c r="EX219" s="336">
        <f t="shared" si="1504"/>
        <v>0</v>
      </c>
      <c r="EY219" s="336">
        <f t="shared" si="1505"/>
        <v>0</v>
      </c>
      <c r="EZ219" s="336">
        <f t="shared" si="1506"/>
        <v>0</v>
      </c>
      <c r="FA219" s="336">
        <f t="shared" si="1507"/>
        <v>0</v>
      </c>
      <c r="FB219" s="336">
        <f t="shared" si="1508"/>
        <v>0</v>
      </c>
      <c r="FC219" s="336">
        <f t="shared" si="1509"/>
        <v>0</v>
      </c>
      <c r="FD219" s="336">
        <f t="shared" si="1510"/>
        <v>0</v>
      </c>
      <c r="FE219" s="336">
        <f t="shared" si="1511"/>
        <v>0</v>
      </c>
      <c r="FF219" s="336">
        <f t="shared" si="1512"/>
        <v>0</v>
      </c>
      <c r="FG219" s="336">
        <f t="shared" si="1513"/>
        <v>0</v>
      </c>
      <c r="FH219" s="336">
        <f t="shared" si="1514"/>
        <v>0</v>
      </c>
      <c r="FI219" s="336">
        <f t="shared" si="1515"/>
        <v>0</v>
      </c>
      <c r="FJ219" s="336">
        <f t="shared" si="1516"/>
        <v>0</v>
      </c>
      <c r="FK219" s="336">
        <f t="shared" si="1517"/>
        <v>0</v>
      </c>
      <c r="FL219" s="336">
        <f t="shared" si="1518"/>
        <v>0</v>
      </c>
      <c r="FM219" s="336">
        <f t="shared" si="1519"/>
        <v>0</v>
      </c>
      <c r="FN219" s="336">
        <f t="shared" si="1520"/>
        <v>0</v>
      </c>
      <c r="FO219" s="336">
        <f t="shared" si="1521"/>
        <v>0</v>
      </c>
      <c r="FP219" s="336">
        <f t="shared" si="1522"/>
        <v>0</v>
      </c>
      <c r="FQ219" s="336">
        <f t="shared" si="1523"/>
        <v>0</v>
      </c>
      <c r="FR219" s="336">
        <f t="shared" si="1524"/>
        <v>0</v>
      </c>
      <c r="FS219" s="336">
        <f t="shared" si="1525"/>
        <v>0</v>
      </c>
      <c r="FT219" s="336">
        <f t="shared" si="1526"/>
        <v>0</v>
      </c>
      <c r="FU219" s="336">
        <f t="shared" si="1474"/>
        <v>0</v>
      </c>
      <c r="FV219" s="336">
        <f t="shared" si="1475"/>
        <v>0</v>
      </c>
      <c r="FW219" s="336">
        <f t="shared" si="1476"/>
        <v>0</v>
      </c>
      <c r="FX219" s="336">
        <f t="shared" si="1477"/>
        <v>0</v>
      </c>
      <c r="FY219" s="336">
        <f t="shared" si="1559"/>
        <v>0</v>
      </c>
      <c r="FZ219" s="336">
        <f t="shared" si="1560"/>
        <v>0</v>
      </c>
      <c r="GA219" s="336">
        <f t="shared" si="1561"/>
        <v>0</v>
      </c>
      <c r="GB219" s="336">
        <f t="shared" si="1562"/>
        <v>0</v>
      </c>
      <c r="GC219" s="336">
        <f t="shared" si="1563"/>
        <v>0</v>
      </c>
      <c r="GD219" s="336">
        <f t="shared" si="1564"/>
        <v>0</v>
      </c>
      <c r="GE219" s="336">
        <f t="shared" si="1565"/>
        <v>0</v>
      </c>
      <c r="GF219" s="336">
        <f t="shared" si="1566"/>
        <v>0</v>
      </c>
      <c r="GG219" s="336">
        <f t="shared" si="1567"/>
        <v>0</v>
      </c>
      <c r="GH219" s="336">
        <f t="shared" si="1568"/>
        <v>0</v>
      </c>
      <c r="GI219" s="336">
        <f t="shared" si="1569"/>
        <v>0</v>
      </c>
      <c r="GJ219" s="336">
        <f t="shared" si="1570"/>
        <v>0</v>
      </c>
      <c r="GK219" s="336">
        <f t="shared" si="1571"/>
        <v>0</v>
      </c>
      <c r="GL219" s="336">
        <f t="shared" si="1478"/>
        <v>0</v>
      </c>
      <c r="GM219" s="336">
        <f t="shared" si="1572"/>
        <v>0</v>
      </c>
    </row>
    <row r="220" spans="1:195" ht="27.75" customHeight="1">
      <c r="A220" s="337">
        <f t="shared" si="1615"/>
        <v>173</v>
      </c>
      <c r="B220" s="453"/>
      <c r="C220" s="372" t="str">
        <f t="shared" si="1613"/>
        <v>FIRE STATION BUILDING HVAC DB</v>
      </c>
      <c r="D220" s="444" t="s">
        <v>1366</v>
      </c>
      <c r="E220" s="440" t="s">
        <v>1185</v>
      </c>
      <c r="F220" s="372"/>
      <c r="G220" s="337" t="s">
        <v>329</v>
      </c>
      <c r="H220" s="583">
        <v>3.5</v>
      </c>
      <c r="I220" s="337" t="s">
        <v>330</v>
      </c>
      <c r="J220" s="343" t="s">
        <v>357</v>
      </c>
      <c r="K220" s="349">
        <v>230</v>
      </c>
      <c r="L220" s="343">
        <v>0.95</v>
      </c>
      <c r="M220" s="350">
        <v>0.85</v>
      </c>
      <c r="N220" s="342">
        <f t="shared" si="1596"/>
        <v>18.845066630771303</v>
      </c>
      <c r="O220" s="342">
        <f t="shared" si="1597"/>
        <v>0</v>
      </c>
      <c r="P220" s="343" t="str">
        <f t="shared" si="1598"/>
        <v>0.00</v>
      </c>
      <c r="Q220" s="350">
        <v>65</v>
      </c>
      <c r="R220" s="350">
        <v>0</v>
      </c>
      <c r="S220" s="350">
        <f t="shared" si="1582"/>
        <v>0</v>
      </c>
      <c r="T220" s="343" t="s">
        <v>131</v>
      </c>
      <c r="U220" s="350" t="s">
        <v>333</v>
      </c>
      <c r="V220" s="343">
        <v>16</v>
      </c>
      <c r="W220" s="343" t="str">
        <f t="shared" si="1583"/>
        <v>3C X 16</v>
      </c>
      <c r="X220" s="343" t="str">
        <f t="shared" si="1599"/>
        <v>3C X 16</v>
      </c>
      <c r="Y220" s="343" t="s">
        <v>358</v>
      </c>
      <c r="Z220" s="344">
        <f>IF(T220="AIR",VLOOKUP(W220,'Catalogue Aluminium'!$B$9:$G$93,2,FALSE),IF(T220="GROUND",VLOOKUP(W220,'Catalogue Aluminium'!$B$9:$G$93,3,FALSE),IF(T220="DUCT",VLOOKUP(W220,'Catalogue Aluminium'!$B$9:$G$93,4,FALSE),IF(T220="TRENCH",VLOOKUP(W220,'Catalogue Aluminium'!$B$9:$G$93,2,FALSE)))))</f>
        <v>70</v>
      </c>
      <c r="AA220" s="345">
        <f>VLOOKUP(W220,'Catalogue Aluminium'!$B$9:$G$93,5,FALSE)</f>
        <v>2.44</v>
      </c>
      <c r="AB220" s="345">
        <f>VLOOKUP(W220,'Catalogue Aluminium'!$B$9:$G$93,6,FALSE)</f>
        <v>8.1500000000000003E-2</v>
      </c>
      <c r="AC220" s="343">
        <f t="shared" si="1614"/>
        <v>33</v>
      </c>
      <c r="AD220" s="343">
        <v>0</v>
      </c>
      <c r="AE220" s="343">
        <v>10</v>
      </c>
      <c r="AF220" s="343">
        <v>5</v>
      </c>
      <c r="AG220" s="343">
        <f t="shared" si="1462"/>
        <v>5</v>
      </c>
      <c r="AH220" s="347">
        <f t="shared" si="1600"/>
        <v>53</v>
      </c>
      <c r="AI220" s="344">
        <f>IF(T220="AIR",'Catalogue Aluminium'!$K$9,IF(T220="TRENCH",'Catalogue Aluminium'!$K$12,"NA"))</f>
        <v>0.89</v>
      </c>
      <c r="AJ220" s="342">
        <f>IF(T220="Air",(IF(U220="1C",'Catalogue Aluminium'!$L$9,'Catalogue Aluminium'!$M$9)),IF(T220="DUCT",(IF($U220="1C",'Catalogue Aluminium'!$L$10,'Catalogue Aluminium'!$M$10)),IF(T220="GROUND",(IF($U220="1C",'Catalogue Aluminium'!$L$11,'Catalogue Aluminium'!$M$11)),IF(T220="TRENCH",(IF($U220="1C",'Catalogue Aluminium'!$L$12,'Catalogue Aluminium'!$M$12))))))</f>
        <v>0.66</v>
      </c>
      <c r="AK220" s="344" t="str">
        <f>IF(T220="Air",'Catalogue Aluminium'!$N$9,IF(T220="GROUND",'Catalogue Aluminium'!$N$10,IF(T220="DUCT",'Catalogue Aluminium'!$N$11,IF(T220="TRENCH",'Catalogue Aluminium'!$N$12,"NA"))))</f>
        <v>NA</v>
      </c>
      <c r="AL220" s="344" t="str">
        <f>IF(T220="Air",(IF(U220="1C",'Catalogue Aluminium'!$O$9,'Catalogue Aluminium'!$P$9)),IF(T220="DUCT",(IF($U220="1C",'Catalogue Aluminium'!$O$10,'Catalogue Aluminium'!$P$10)),IF(T220="GROUND",(IF($U220="1C",'Catalogue Aluminium'!$O$11,'Catalogue Aluminium'!$P$11)),IF(T220="TRENCH",(IF($U220="1C",'Catalogue Aluminium'!$O$12,'Catalogue Aluminium'!$P$12))))))</f>
        <v>NA</v>
      </c>
      <c r="AM220" s="344" t="str">
        <f>IF(T220="AIR","NA",IF(T220="TRENCH","NA",IF(T220="DUCT",IF(U220="1C",VLOOKUP(V220,'Catalogue Aluminium'!$Q$9:$S$28,2,FALSE),VLOOKUP(V220,'Catalogue Aluminium'!$Q$9:$S$28,3)),IF(T220="GROUND",IF(U220="1C",VLOOKUP(V220,'Catalogue Aluminium'!$Q$9:$S$28,2,FALSE),VLOOKUP(V220,'Catalogue Aluminium'!$Q$9:$S$28,3))))))</f>
        <v>NA</v>
      </c>
      <c r="AN220" s="351">
        <f t="shared" si="1601"/>
        <v>0.58740000000000003</v>
      </c>
      <c r="AO220" s="350">
        <f t="shared" si="1602"/>
        <v>41.118000000000002</v>
      </c>
      <c r="AP220" s="349">
        <f t="shared" si="1603"/>
        <v>1</v>
      </c>
      <c r="AQ220" s="350" t="str">
        <f t="shared" si="1604"/>
        <v>YES</v>
      </c>
      <c r="AR220" s="351">
        <f t="shared" si="1463"/>
        <v>1.7626323129247345</v>
      </c>
      <c r="AS220" s="343" t="str">
        <f t="shared" si="1464"/>
        <v>YES</v>
      </c>
      <c r="AT220" s="351" t="str">
        <f t="shared" si="1605"/>
        <v>NA</v>
      </c>
      <c r="AU220" s="343" t="str">
        <f t="shared" si="1606"/>
        <v>NA</v>
      </c>
      <c r="AV220" s="354" t="str">
        <f t="shared" si="1607"/>
        <v>1R x 0.6/1kV x 3C x 16 Sqmm</v>
      </c>
      <c r="AW220" s="354" t="str">
        <f t="shared" si="1608"/>
        <v>1R x 0.6/1kV x 3C x 16 Sqmm</v>
      </c>
      <c r="AX220" s="343">
        <f t="shared" si="1609"/>
        <v>53</v>
      </c>
      <c r="AY220" s="355"/>
      <c r="AZ220" s="355">
        <f t="shared" si="1610"/>
        <v>2</v>
      </c>
      <c r="BA220" s="356" t="str">
        <f t="shared" si="1611"/>
        <v/>
      </c>
      <c r="BB220" s="501">
        <f>VLOOKUP(W220,'Catalogue Aluminium'!$B$9:$H$93,7,FALSE)</f>
        <v>19</v>
      </c>
      <c r="BC220" s="328">
        <f t="shared" si="1612"/>
        <v>19</v>
      </c>
      <c r="BE220" s="336"/>
      <c r="BF220" s="336"/>
      <c r="BG220" s="336"/>
      <c r="BH220" s="336"/>
      <c r="BI220" s="336"/>
      <c r="BJ220" s="336"/>
      <c r="BK220" s="336"/>
      <c r="BL220" s="336"/>
      <c r="BM220" s="336"/>
      <c r="BN220" s="336"/>
      <c r="BO220" s="336"/>
      <c r="BP220" s="336"/>
      <c r="BQ220" s="336"/>
      <c r="BR220" s="336"/>
      <c r="BS220" s="336"/>
      <c r="BT220" s="336"/>
      <c r="BU220" s="336"/>
      <c r="BV220" s="336"/>
      <c r="BW220" s="336"/>
      <c r="BX220" s="336"/>
      <c r="BY220" s="336"/>
      <c r="BZ220" s="336"/>
      <c r="CA220" s="336"/>
      <c r="CB220" s="336"/>
      <c r="CC220" s="336"/>
      <c r="CD220" s="336"/>
      <c r="CE220" s="336"/>
      <c r="CF220" s="336"/>
      <c r="CG220" s="336"/>
      <c r="CH220" s="336"/>
      <c r="CI220" s="336"/>
      <c r="CJ220" s="336"/>
      <c r="CK220" s="336"/>
      <c r="CL220" s="336"/>
      <c r="CM220" s="336"/>
      <c r="CN220" s="336"/>
      <c r="CO220" s="336"/>
      <c r="CP220" s="336"/>
      <c r="CQ220" s="336"/>
      <c r="CR220" s="336"/>
      <c r="CS220" s="336"/>
      <c r="CT220" s="336"/>
      <c r="CU220" s="336"/>
      <c r="CV220" s="336"/>
      <c r="CW220" s="336"/>
      <c r="CX220" s="336"/>
      <c r="CY220" s="336"/>
      <c r="CZ220" s="336"/>
      <c r="DA220" s="336"/>
      <c r="DB220" s="336"/>
      <c r="DC220" s="336"/>
      <c r="DD220" s="336"/>
      <c r="DE220" s="336"/>
      <c r="DF220" s="336"/>
      <c r="DG220" s="336"/>
      <c r="DH220" s="336"/>
      <c r="DI220" s="336"/>
      <c r="DJ220" s="336"/>
      <c r="DK220" s="336"/>
      <c r="DL220" s="336"/>
      <c r="DM220" s="336"/>
      <c r="DN220" s="336"/>
      <c r="DO220" s="336"/>
      <c r="DP220" s="336"/>
      <c r="DQ220" s="336"/>
      <c r="DR220" s="336"/>
      <c r="DS220" s="336"/>
      <c r="DT220" s="336"/>
      <c r="DU220" s="336"/>
      <c r="DW220" s="336">
        <f t="shared" si="1529"/>
        <v>0</v>
      </c>
      <c r="DX220" s="336">
        <f t="shared" si="1479"/>
        <v>0</v>
      </c>
      <c r="DY220" s="336">
        <f t="shared" si="1480"/>
        <v>0</v>
      </c>
      <c r="DZ220" s="336">
        <f t="shared" si="1481"/>
        <v>0</v>
      </c>
      <c r="EA220" s="336">
        <f t="shared" si="1482"/>
        <v>0</v>
      </c>
      <c r="EB220" s="336">
        <f t="shared" si="1483"/>
        <v>0</v>
      </c>
      <c r="EC220" s="336">
        <f t="shared" si="1484"/>
        <v>0</v>
      </c>
      <c r="ED220" s="336">
        <f t="shared" si="1485"/>
        <v>0</v>
      </c>
      <c r="EE220" s="336">
        <f t="shared" si="1486"/>
        <v>0</v>
      </c>
      <c r="EF220" s="336">
        <f t="shared" si="1487"/>
        <v>0</v>
      </c>
      <c r="EG220" s="336">
        <f t="shared" si="1488"/>
        <v>0</v>
      </c>
      <c r="EH220" s="336">
        <f t="shared" si="1489"/>
        <v>0</v>
      </c>
      <c r="EI220" s="336">
        <f t="shared" si="1490"/>
        <v>0</v>
      </c>
      <c r="EJ220" s="336">
        <f t="shared" si="1491"/>
        <v>0</v>
      </c>
      <c r="EK220" s="336">
        <f t="shared" si="1492"/>
        <v>0</v>
      </c>
      <c r="EL220" s="336">
        <f t="shared" si="1493"/>
        <v>0</v>
      </c>
      <c r="EM220" s="336">
        <f t="shared" si="1494"/>
        <v>0</v>
      </c>
      <c r="EN220" s="336">
        <f t="shared" si="1495"/>
        <v>0</v>
      </c>
      <c r="EO220" s="336">
        <f t="shared" si="1496"/>
        <v>0</v>
      </c>
      <c r="EP220" s="336">
        <f t="shared" si="1497"/>
        <v>0</v>
      </c>
      <c r="EQ220" s="336">
        <f t="shared" si="1498"/>
        <v>0</v>
      </c>
      <c r="ER220" s="336">
        <f t="shared" si="1499"/>
        <v>0</v>
      </c>
      <c r="ES220" s="336">
        <f t="shared" si="1500"/>
        <v>0</v>
      </c>
      <c r="ET220" s="336">
        <f t="shared" si="1500"/>
        <v>0</v>
      </c>
      <c r="EU220" s="336">
        <f t="shared" si="1501"/>
        <v>0</v>
      </c>
      <c r="EV220" s="336">
        <f t="shared" si="1502"/>
        <v>0</v>
      </c>
      <c r="EW220" s="336">
        <f t="shared" si="1503"/>
        <v>0</v>
      </c>
      <c r="EX220" s="336">
        <f t="shared" si="1504"/>
        <v>0</v>
      </c>
      <c r="EY220" s="336">
        <f t="shared" si="1505"/>
        <v>0</v>
      </c>
      <c r="EZ220" s="336">
        <f t="shared" si="1506"/>
        <v>0</v>
      </c>
      <c r="FA220" s="336">
        <f t="shared" si="1507"/>
        <v>0</v>
      </c>
      <c r="FB220" s="336">
        <f t="shared" si="1508"/>
        <v>0</v>
      </c>
      <c r="FC220" s="336">
        <f t="shared" si="1509"/>
        <v>0</v>
      </c>
      <c r="FD220" s="336">
        <f t="shared" si="1510"/>
        <v>0</v>
      </c>
      <c r="FE220" s="336">
        <f t="shared" si="1511"/>
        <v>0</v>
      </c>
      <c r="FF220" s="336">
        <f t="shared" si="1512"/>
        <v>0</v>
      </c>
      <c r="FG220" s="336">
        <f t="shared" si="1513"/>
        <v>0</v>
      </c>
      <c r="FH220" s="336">
        <f t="shared" si="1514"/>
        <v>0</v>
      </c>
      <c r="FI220" s="336">
        <f t="shared" si="1515"/>
        <v>0</v>
      </c>
      <c r="FJ220" s="336">
        <f t="shared" si="1516"/>
        <v>0</v>
      </c>
      <c r="FK220" s="336">
        <f t="shared" si="1517"/>
        <v>0</v>
      </c>
      <c r="FL220" s="336">
        <f t="shared" si="1518"/>
        <v>0</v>
      </c>
      <c r="FM220" s="336">
        <f t="shared" si="1519"/>
        <v>0</v>
      </c>
      <c r="FN220" s="336">
        <f t="shared" si="1520"/>
        <v>0</v>
      </c>
      <c r="FO220" s="336">
        <f t="shared" si="1521"/>
        <v>0</v>
      </c>
      <c r="FP220" s="336">
        <f t="shared" si="1522"/>
        <v>0</v>
      </c>
      <c r="FQ220" s="336">
        <f t="shared" si="1523"/>
        <v>0</v>
      </c>
      <c r="FR220" s="336">
        <f t="shared" si="1524"/>
        <v>0</v>
      </c>
      <c r="FS220" s="336">
        <f t="shared" si="1525"/>
        <v>0</v>
      </c>
      <c r="FT220" s="336">
        <f t="shared" si="1526"/>
        <v>0</v>
      </c>
      <c r="FU220" s="336">
        <f t="shared" si="1474"/>
        <v>0</v>
      </c>
      <c r="FV220" s="336">
        <f t="shared" si="1475"/>
        <v>0</v>
      </c>
      <c r="FW220" s="336">
        <f t="shared" si="1476"/>
        <v>0</v>
      </c>
      <c r="FX220" s="336">
        <f t="shared" si="1477"/>
        <v>0</v>
      </c>
      <c r="FY220" s="336">
        <f t="shared" si="1559"/>
        <v>0</v>
      </c>
      <c r="FZ220" s="336">
        <f t="shared" si="1560"/>
        <v>0</v>
      </c>
      <c r="GA220" s="336">
        <f t="shared" si="1561"/>
        <v>0</v>
      </c>
      <c r="GB220" s="336">
        <f t="shared" si="1562"/>
        <v>0</v>
      </c>
      <c r="GC220" s="336">
        <f t="shared" si="1563"/>
        <v>0</v>
      </c>
      <c r="GD220" s="336">
        <f t="shared" si="1564"/>
        <v>0</v>
      </c>
      <c r="GE220" s="336">
        <f t="shared" si="1565"/>
        <v>0</v>
      </c>
      <c r="GF220" s="336">
        <f t="shared" si="1566"/>
        <v>0</v>
      </c>
      <c r="GG220" s="336">
        <f t="shared" si="1567"/>
        <v>0</v>
      </c>
      <c r="GH220" s="336">
        <f t="shared" si="1568"/>
        <v>0</v>
      </c>
      <c r="GI220" s="336">
        <f t="shared" si="1569"/>
        <v>0</v>
      </c>
      <c r="GJ220" s="336">
        <f t="shared" si="1570"/>
        <v>0</v>
      </c>
      <c r="GK220" s="336">
        <f t="shared" si="1571"/>
        <v>0</v>
      </c>
      <c r="GL220" s="336">
        <f t="shared" si="1478"/>
        <v>0</v>
      </c>
      <c r="GM220" s="336">
        <f t="shared" si="1572"/>
        <v>0</v>
      </c>
    </row>
    <row r="221" spans="1:195" ht="27.75" customHeight="1">
      <c r="A221" s="337">
        <f t="shared" si="1615"/>
        <v>174</v>
      </c>
      <c r="B221" s="453"/>
      <c r="C221" s="372" t="str">
        <f t="shared" si="1613"/>
        <v>FIRE STATION BUILDING HVAC DB</v>
      </c>
      <c r="D221" s="444" t="s">
        <v>1367</v>
      </c>
      <c r="E221" s="440" t="s">
        <v>1185</v>
      </c>
      <c r="F221" s="372"/>
      <c r="G221" s="337" t="s">
        <v>329</v>
      </c>
      <c r="H221" s="583">
        <v>3.5</v>
      </c>
      <c r="I221" s="337" t="s">
        <v>330</v>
      </c>
      <c r="J221" s="343" t="s">
        <v>357</v>
      </c>
      <c r="K221" s="349">
        <v>230</v>
      </c>
      <c r="L221" s="343">
        <v>0.95</v>
      </c>
      <c r="M221" s="350">
        <v>0.85</v>
      </c>
      <c r="N221" s="342">
        <f t="shared" si="1596"/>
        <v>18.845066630771303</v>
      </c>
      <c r="O221" s="342">
        <f t="shared" si="1597"/>
        <v>0</v>
      </c>
      <c r="P221" s="343" t="str">
        <f t="shared" si="1598"/>
        <v>0.00</v>
      </c>
      <c r="Q221" s="350">
        <v>65</v>
      </c>
      <c r="R221" s="350">
        <v>0</v>
      </c>
      <c r="S221" s="350">
        <f t="shared" si="1582"/>
        <v>0</v>
      </c>
      <c r="T221" s="343" t="s">
        <v>131</v>
      </c>
      <c r="U221" s="350" t="s">
        <v>333</v>
      </c>
      <c r="V221" s="343">
        <v>16</v>
      </c>
      <c r="W221" s="343" t="str">
        <f t="shared" si="1583"/>
        <v>3C X 16</v>
      </c>
      <c r="X221" s="343" t="str">
        <f t="shared" si="1599"/>
        <v>3C X 16</v>
      </c>
      <c r="Y221" s="343" t="s">
        <v>358</v>
      </c>
      <c r="Z221" s="344">
        <f>IF(T221="AIR",VLOOKUP(W221,'Catalogue Aluminium'!$B$9:$G$93,2,FALSE),IF(T221="GROUND",VLOOKUP(W221,'Catalogue Aluminium'!$B$9:$G$93,3,FALSE),IF(T221="DUCT",VLOOKUP(W221,'Catalogue Aluminium'!$B$9:$G$93,4,FALSE),IF(T221="TRENCH",VLOOKUP(W221,'Catalogue Aluminium'!$B$9:$G$93,2,FALSE)))))</f>
        <v>70</v>
      </c>
      <c r="AA221" s="345">
        <f>VLOOKUP(W221,'Catalogue Aluminium'!$B$9:$G$93,5,FALSE)</f>
        <v>2.44</v>
      </c>
      <c r="AB221" s="345">
        <f>VLOOKUP(W221,'Catalogue Aluminium'!$B$9:$G$93,6,FALSE)</f>
        <v>8.1500000000000003E-2</v>
      </c>
      <c r="AC221" s="343">
        <f t="shared" si="1614"/>
        <v>33</v>
      </c>
      <c r="AD221" s="343">
        <v>0</v>
      </c>
      <c r="AE221" s="343">
        <v>10</v>
      </c>
      <c r="AF221" s="343">
        <v>5</v>
      </c>
      <c r="AG221" s="343">
        <f t="shared" si="1462"/>
        <v>5</v>
      </c>
      <c r="AH221" s="347">
        <f t="shared" si="1600"/>
        <v>53</v>
      </c>
      <c r="AI221" s="344">
        <f>IF(T221="AIR",'Catalogue Aluminium'!$K$9,IF(T221="TRENCH",'Catalogue Aluminium'!$K$12,"NA"))</f>
        <v>0.89</v>
      </c>
      <c r="AJ221" s="342">
        <f>IF(T221="Air",(IF(U221="1C",'Catalogue Aluminium'!$L$9,'Catalogue Aluminium'!$M$9)),IF(T221="DUCT",(IF($U221="1C",'Catalogue Aluminium'!$L$10,'Catalogue Aluminium'!$M$10)),IF(T221="GROUND",(IF($U221="1C",'Catalogue Aluminium'!$L$11,'Catalogue Aluminium'!$M$11)),IF(T221="TRENCH",(IF($U221="1C",'Catalogue Aluminium'!$L$12,'Catalogue Aluminium'!$M$12))))))</f>
        <v>0.66</v>
      </c>
      <c r="AK221" s="344" t="str">
        <f>IF(T221="Air",'Catalogue Aluminium'!$N$9,IF(T221="GROUND",'Catalogue Aluminium'!$N$10,IF(T221="DUCT",'Catalogue Aluminium'!$N$11,IF(T221="TRENCH",'Catalogue Aluminium'!$N$12,"NA"))))</f>
        <v>NA</v>
      </c>
      <c r="AL221" s="344" t="str">
        <f>IF(T221="Air",(IF(U221="1C",'Catalogue Aluminium'!$O$9,'Catalogue Aluminium'!$P$9)),IF(T221="DUCT",(IF($U221="1C",'Catalogue Aluminium'!$O$10,'Catalogue Aluminium'!$P$10)),IF(T221="GROUND",(IF($U221="1C",'Catalogue Aluminium'!$O$11,'Catalogue Aluminium'!$P$11)),IF(T221="TRENCH",(IF($U221="1C",'Catalogue Aluminium'!$O$12,'Catalogue Aluminium'!$P$12))))))</f>
        <v>NA</v>
      </c>
      <c r="AM221" s="344" t="str">
        <f>IF(T221="AIR","NA",IF(T221="TRENCH","NA",IF(T221="DUCT",IF(U221="1C",VLOOKUP(V221,'Catalogue Aluminium'!$Q$9:$S$28,2,FALSE),VLOOKUP(V221,'Catalogue Aluminium'!$Q$9:$S$28,3)),IF(T221="GROUND",IF(U221="1C",VLOOKUP(V221,'Catalogue Aluminium'!$Q$9:$S$28,2,FALSE),VLOOKUP(V221,'Catalogue Aluminium'!$Q$9:$S$28,3))))))</f>
        <v>NA</v>
      </c>
      <c r="AN221" s="351">
        <f t="shared" si="1601"/>
        <v>0.58740000000000003</v>
      </c>
      <c r="AO221" s="350">
        <f t="shared" si="1602"/>
        <v>41.118000000000002</v>
      </c>
      <c r="AP221" s="349">
        <f t="shared" si="1603"/>
        <v>1</v>
      </c>
      <c r="AQ221" s="350" t="str">
        <f t="shared" si="1604"/>
        <v>YES</v>
      </c>
      <c r="AR221" s="351">
        <f t="shared" si="1463"/>
        <v>1.7626323129247345</v>
      </c>
      <c r="AS221" s="343" t="str">
        <f t="shared" si="1464"/>
        <v>YES</v>
      </c>
      <c r="AT221" s="351" t="str">
        <f t="shared" si="1605"/>
        <v>NA</v>
      </c>
      <c r="AU221" s="343" t="str">
        <f t="shared" si="1606"/>
        <v>NA</v>
      </c>
      <c r="AV221" s="354" t="str">
        <f t="shared" si="1607"/>
        <v>1R x 0.6/1kV x 3C x 16 Sqmm</v>
      </c>
      <c r="AW221" s="354" t="str">
        <f t="shared" si="1608"/>
        <v>1R x 0.6/1kV x 3C x 16 Sqmm</v>
      </c>
      <c r="AX221" s="343">
        <f t="shared" si="1609"/>
        <v>53</v>
      </c>
      <c r="AY221" s="355"/>
      <c r="AZ221" s="355">
        <f t="shared" si="1610"/>
        <v>2</v>
      </c>
      <c r="BA221" s="356" t="str">
        <f t="shared" si="1611"/>
        <v/>
      </c>
      <c r="BB221" s="501">
        <f>VLOOKUP(W221,'Catalogue Aluminium'!$B$9:$H$93,7,FALSE)</f>
        <v>19</v>
      </c>
      <c r="BC221" s="328">
        <f t="shared" si="1612"/>
        <v>19</v>
      </c>
      <c r="BE221" s="336"/>
      <c r="BF221" s="336"/>
      <c r="BG221" s="336"/>
      <c r="BH221" s="336"/>
      <c r="BI221" s="336"/>
      <c r="BJ221" s="336"/>
      <c r="BK221" s="336"/>
      <c r="BL221" s="336"/>
      <c r="BM221" s="336"/>
      <c r="BN221" s="336"/>
      <c r="BO221" s="336"/>
      <c r="BP221" s="336"/>
      <c r="BQ221" s="336"/>
      <c r="BR221" s="336"/>
      <c r="BS221" s="336"/>
      <c r="BT221" s="336"/>
      <c r="BU221" s="336"/>
      <c r="BV221" s="336"/>
      <c r="BW221" s="336"/>
      <c r="BX221" s="336"/>
      <c r="BY221" s="336"/>
      <c r="BZ221" s="336"/>
      <c r="CA221" s="336"/>
      <c r="CB221" s="336"/>
      <c r="CC221" s="336"/>
      <c r="CD221" s="336"/>
      <c r="CE221" s="336"/>
      <c r="CF221" s="336"/>
      <c r="CG221" s="336"/>
      <c r="CH221" s="336"/>
      <c r="CI221" s="336"/>
      <c r="CJ221" s="336"/>
      <c r="CK221" s="336"/>
      <c r="CL221" s="336"/>
      <c r="CM221" s="336"/>
      <c r="CN221" s="336"/>
      <c r="CO221" s="336"/>
      <c r="CP221" s="336"/>
      <c r="CQ221" s="336"/>
      <c r="CR221" s="336"/>
      <c r="CS221" s="336"/>
      <c r="CT221" s="336"/>
      <c r="CU221" s="336"/>
      <c r="CV221" s="336"/>
      <c r="CW221" s="336"/>
      <c r="CX221" s="336"/>
      <c r="CY221" s="336"/>
      <c r="CZ221" s="336"/>
      <c r="DA221" s="336"/>
      <c r="DB221" s="336"/>
      <c r="DC221" s="336"/>
      <c r="DD221" s="336"/>
      <c r="DE221" s="336"/>
      <c r="DF221" s="336"/>
      <c r="DG221" s="336"/>
      <c r="DH221" s="336"/>
      <c r="DI221" s="336"/>
      <c r="DJ221" s="336"/>
      <c r="DK221" s="336"/>
      <c r="DL221" s="336"/>
      <c r="DM221" s="336"/>
      <c r="DN221" s="336"/>
      <c r="DO221" s="336"/>
      <c r="DP221" s="336"/>
      <c r="DQ221" s="336"/>
      <c r="DR221" s="336"/>
      <c r="DS221" s="336"/>
      <c r="DT221" s="336"/>
      <c r="DU221" s="336"/>
      <c r="DW221" s="336">
        <f t="shared" si="1529"/>
        <v>0</v>
      </c>
      <c r="DX221" s="336">
        <f t="shared" si="1479"/>
        <v>0</v>
      </c>
      <c r="DY221" s="336">
        <f t="shared" si="1480"/>
        <v>0</v>
      </c>
      <c r="DZ221" s="336">
        <f t="shared" si="1481"/>
        <v>0</v>
      </c>
      <c r="EA221" s="336">
        <f t="shared" si="1482"/>
        <v>0</v>
      </c>
      <c r="EB221" s="336">
        <f t="shared" si="1483"/>
        <v>0</v>
      </c>
      <c r="EC221" s="336">
        <f t="shared" si="1484"/>
        <v>0</v>
      </c>
      <c r="ED221" s="336">
        <f t="shared" si="1485"/>
        <v>0</v>
      </c>
      <c r="EE221" s="336">
        <f t="shared" si="1486"/>
        <v>0</v>
      </c>
      <c r="EF221" s="336">
        <f t="shared" si="1487"/>
        <v>0</v>
      </c>
      <c r="EG221" s="336">
        <f t="shared" si="1488"/>
        <v>0</v>
      </c>
      <c r="EH221" s="336">
        <f t="shared" si="1489"/>
        <v>0</v>
      </c>
      <c r="EI221" s="336">
        <f t="shared" si="1490"/>
        <v>0</v>
      </c>
      <c r="EJ221" s="336">
        <f t="shared" si="1491"/>
        <v>0</v>
      </c>
      <c r="EK221" s="336">
        <f t="shared" si="1492"/>
        <v>0</v>
      </c>
      <c r="EL221" s="336">
        <f t="shared" si="1493"/>
        <v>0</v>
      </c>
      <c r="EM221" s="336">
        <f t="shared" si="1494"/>
        <v>0</v>
      </c>
      <c r="EN221" s="336">
        <f t="shared" si="1495"/>
        <v>0</v>
      </c>
      <c r="EO221" s="336">
        <f t="shared" si="1496"/>
        <v>0</v>
      </c>
      <c r="EP221" s="336">
        <f t="shared" si="1497"/>
        <v>0</v>
      </c>
      <c r="EQ221" s="336">
        <f t="shared" si="1498"/>
        <v>0</v>
      </c>
      <c r="ER221" s="336">
        <f t="shared" si="1499"/>
        <v>0</v>
      </c>
      <c r="ES221" s="336">
        <f t="shared" si="1500"/>
        <v>0</v>
      </c>
      <c r="ET221" s="336">
        <f t="shared" si="1500"/>
        <v>0</v>
      </c>
      <c r="EU221" s="336">
        <f t="shared" si="1501"/>
        <v>0</v>
      </c>
      <c r="EV221" s="336">
        <f t="shared" si="1502"/>
        <v>0</v>
      </c>
      <c r="EW221" s="336">
        <f t="shared" si="1503"/>
        <v>0</v>
      </c>
      <c r="EX221" s="336">
        <f t="shared" si="1504"/>
        <v>0</v>
      </c>
      <c r="EY221" s="336">
        <f t="shared" si="1505"/>
        <v>0</v>
      </c>
      <c r="EZ221" s="336">
        <f t="shared" si="1506"/>
        <v>0</v>
      </c>
      <c r="FA221" s="336">
        <f t="shared" si="1507"/>
        <v>0</v>
      </c>
      <c r="FB221" s="336">
        <f t="shared" si="1508"/>
        <v>0</v>
      </c>
      <c r="FC221" s="336">
        <f t="shared" si="1509"/>
        <v>0</v>
      </c>
      <c r="FD221" s="336">
        <f t="shared" si="1510"/>
        <v>0</v>
      </c>
      <c r="FE221" s="336">
        <f t="shared" si="1511"/>
        <v>0</v>
      </c>
      <c r="FF221" s="336">
        <f t="shared" si="1512"/>
        <v>0</v>
      </c>
      <c r="FG221" s="336">
        <f t="shared" si="1513"/>
        <v>0</v>
      </c>
      <c r="FH221" s="336">
        <f t="shared" si="1514"/>
        <v>0</v>
      </c>
      <c r="FI221" s="336">
        <f t="shared" si="1515"/>
        <v>0</v>
      </c>
      <c r="FJ221" s="336">
        <f t="shared" si="1516"/>
        <v>0</v>
      </c>
      <c r="FK221" s="336">
        <f t="shared" si="1517"/>
        <v>0</v>
      </c>
      <c r="FL221" s="336">
        <f t="shared" si="1518"/>
        <v>0</v>
      </c>
      <c r="FM221" s="336">
        <f t="shared" si="1519"/>
        <v>0</v>
      </c>
      <c r="FN221" s="336">
        <f t="shared" si="1520"/>
        <v>0</v>
      </c>
      <c r="FO221" s="336">
        <f t="shared" si="1521"/>
        <v>0</v>
      </c>
      <c r="FP221" s="336">
        <f t="shared" si="1522"/>
        <v>0</v>
      </c>
      <c r="FQ221" s="336">
        <f t="shared" si="1523"/>
        <v>0</v>
      </c>
      <c r="FR221" s="336">
        <f t="shared" si="1524"/>
        <v>0</v>
      </c>
      <c r="FS221" s="336">
        <f t="shared" si="1525"/>
        <v>0</v>
      </c>
      <c r="FT221" s="336">
        <f t="shared" si="1526"/>
        <v>0</v>
      </c>
      <c r="FU221" s="336">
        <f t="shared" si="1474"/>
        <v>0</v>
      </c>
      <c r="FV221" s="336">
        <f t="shared" si="1475"/>
        <v>0</v>
      </c>
      <c r="FW221" s="336">
        <f t="shared" si="1476"/>
        <v>0</v>
      </c>
      <c r="FX221" s="336">
        <f t="shared" si="1477"/>
        <v>0</v>
      </c>
      <c r="FY221" s="336">
        <f t="shared" si="1559"/>
        <v>0</v>
      </c>
      <c r="FZ221" s="336">
        <f t="shared" si="1560"/>
        <v>0</v>
      </c>
      <c r="GA221" s="336">
        <f t="shared" si="1561"/>
        <v>0</v>
      </c>
      <c r="GB221" s="336">
        <f t="shared" si="1562"/>
        <v>0</v>
      </c>
      <c r="GC221" s="336">
        <f t="shared" si="1563"/>
        <v>0</v>
      </c>
      <c r="GD221" s="336">
        <f t="shared" si="1564"/>
        <v>0</v>
      </c>
      <c r="GE221" s="336">
        <f t="shared" si="1565"/>
        <v>0</v>
      </c>
      <c r="GF221" s="336">
        <f t="shared" si="1566"/>
        <v>0</v>
      </c>
      <c r="GG221" s="336">
        <f t="shared" si="1567"/>
        <v>0</v>
      </c>
      <c r="GH221" s="336">
        <f t="shared" si="1568"/>
        <v>0</v>
      </c>
      <c r="GI221" s="336">
        <f t="shared" si="1569"/>
        <v>0</v>
      </c>
      <c r="GJ221" s="336">
        <f t="shared" si="1570"/>
        <v>0</v>
      </c>
      <c r="GK221" s="336">
        <f t="shared" si="1571"/>
        <v>0</v>
      </c>
      <c r="GL221" s="336">
        <f t="shared" si="1478"/>
        <v>0</v>
      </c>
      <c r="GM221" s="336">
        <f t="shared" si="1572"/>
        <v>0</v>
      </c>
    </row>
    <row r="222" spans="1:195" ht="27.75" customHeight="1">
      <c r="A222" s="337">
        <f t="shared" si="1615"/>
        <v>175</v>
      </c>
      <c r="B222" s="453"/>
      <c r="C222" s="372" t="str">
        <f t="shared" si="1613"/>
        <v>FIRE STATION BUILDING HVAC DB</v>
      </c>
      <c r="D222" s="444" t="s">
        <v>1368</v>
      </c>
      <c r="E222" s="440" t="s">
        <v>1185</v>
      </c>
      <c r="F222" s="372"/>
      <c r="G222" s="337" t="s">
        <v>329</v>
      </c>
      <c r="H222" s="350">
        <v>3.5</v>
      </c>
      <c r="I222" s="337" t="s">
        <v>330</v>
      </c>
      <c r="J222" s="343" t="s">
        <v>357</v>
      </c>
      <c r="K222" s="349">
        <v>230</v>
      </c>
      <c r="L222" s="343">
        <v>0.95</v>
      </c>
      <c r="M222" s="350">
        <v>0.85</v>
      </c>
      <c r="N222" s="342">
        <f t="shared" si="1596"/>
        <v>18.845066630771303</v>
      </c>
      <c r="O222" s="342">
        <f t="shared" si="1597"/>
        <v>0</v>
      </c>
      <c r="P222" s="343" t="str">
        <f t="shared" si="1598"/>
        <v>0.00</v>
      </c>
      <c r="Q222" s="350">
        <v>65</v>
      </c>
      <c r="R222" s="350">
        <v>0</v>
      </c>
      <c r="S222" s="350">
        <f t="shared" si="1582"/>
        <v>0</v>
      </c>
      <c r="T222" s="343" t="s">
        <v>131</v>
      </c>
      <c r="U222" s="350" t="s">
        <v>333</v>
      </c>
      <c r="V222" s="343">
        <v>16</v>
      </c>
      <c r="W222" s="343" t="str">
        <f t="shared" si="1583"/>
        <v>3C X 16</v>
      </c>
      <c r="X222" s="343" t="str">
        <f t="shared" si="1599"/>
        <v>3C X 16</v>
      </c>
      <c r="Y222" s="343" t="s">
        <v>358</v>
      </c>
      <c r="Z222" s="344">
        <f>IF(T222="AIR",VLOOKUP(W222,'Catalogue Aluminium'!$B$9:$G$93,2,FALSE),IF(T222="GROUND",VLOOKUP(W222,'Catalogue Aluminium'!$B$9:$G$93,3,FALSE),IF(T222="DUCT",VLOOKUP(W222,'Catalogue Aluminium'!$B$9:$G$93,4,FALSE),IF(T222="TRENCH",VLOOKUP(W222,'Catalogue Aluminium'!$B$9:$G$93,2,FALSE)))))</f>
        <v>70</v>
      </c>
      <c r="AA222" s="345">
        <f>VLOOKUP(W222,'Catalogue Aluminium'!$B$9:$G$93,5,FALSE)</f>
        <v>2.44</v>
      </c>
      <c r="AB222" s="345">
        <f>VLOOKUP(W222,'Catalogue Aluminium'!$B$9:$G$93,6,FALSE)</f>
        <v>8.1500000000000003E-2</v>
      </c>
      <c r="AC222" s="343">
        <f t="shared" si="1614"/>
        <v>33</v>
      </c>
      <c r="AD222" s="343">
        <v>0</v>
      </c>
      <c r="AE222" s="343">
        <v>10</v>
      </c>
      <c r="AF222" s="343">
        <v>5</v>
      </c>
      <c r="AG222" s="343">
        <f t="shared" si="1462"/>
        <v>5</v>
      </c>
      <c r="AH222" s="347">
        <f t="shared" si="1600"/>
        <v>53</v>
      </c>
      <c r="AI222" s="344">
        <f>IF(T222="AIR",'Catalogue Aluminium'!$K$9,IF(T222="TRENCH",'Catalogue Aluminium'!$K$12,"NA"))</f>
        <v>0.89</v>
      </c>
      <c r="AJ222" s="342">
        <f>IF(T222="Air",(IF(U222="1C",'Catalogue Aluminium'!$L$9,'Catalogue Aluminium'!$M$9)),IF(T222="DUCT",(IF($U222="1C",'Catalogue Aluminium'!$L$10,'Catalogue Aluminium'!$M$10)),IF(T222="GROUND",(IF($U222="1C",'Catalogue Aluminium'!$L$11,'Catalogue Aluminium'!$M$11)),IF(T222="TRENCH",(IF($U222="1C",'Catalogue Aluminium'!$L$12,'Catalogue Aluminium'!$M$12))))))</f>
        <v>0.66</v>
      </c>
      <c r="AK222" s="344" t="str">
        <f>IF(T222="Air",'Catalogue Aluminium'!$N$9,IF(T222="GROUND",'Catalogue Aluminium'!$N$10,IF(T222="DUCT",'Catalogue Aluminium'!$N$11,IF(T222="TRENCH",'Catalogue Aluminium'!$N$12,"NA"))))</f>
        <v>NA</v>
      </c>
      <c r="AL222" s="344" t="str">
        <f>IF(T222="Air",(IF(U222="1C",'Catalogue Aluminium'!$O$9,'Catalogue Aluminium'!$P$9)),IF(T222="DUCT",(IF($U222="1C",'Catalogue Aluminium'!$O$10,'Catalogue Aluminium'!$P$10)),IF(T222="GROUND",(IF($U222="1C",'Catalogue Aluminium'!$O$11,'Catalogue Aluminium'!$P$11)),IF(T222="TRENCH",(IF($U222="1C",'Catalogue Aluminium'!$O$12,'Catalogue Aluminium'!$P$12))))))</f>
        <v>NA</v>
      </c>
      <c r="AM222" s="344" t="str">
        <f>IF(T222="AIR","NA",IF(T222="TRENCH","NA",IF(T222="DUCT",IF(U222="1C",VLOOKUP(V222,'Catalogue Aluminium'!$Q$9:$S$28,2,FALSE),VLOOKUP(V222,'Catalogue Aluminium'!$Q$9:$S$28,3)),IF(T222="GROUND",IF(U222="1C",VLOOKUP(V222,'Catalogue Aluminium'!$Q$9:$S$28,2,FALSE),VLOOKUP(V222,'Catalogue Aluminium'!$Q$9:$S$28,3))))))</f>
        <v>NA</v>
      </c>
      <c r="AN222" s="351">
        <f t="shared" si="1601"/>
        <v>0.58740000000000003</v>
      </c>
      <c r="AO222" s="350">
        <f t="shared" si="1602"/>
        <v>41.118000000000002</v>
      </c>
      <c r="AP222" s="349">
        <f t="shared" si="1603"/>
        <v>1</v>
      </c>
      <c r="AQ222" s="350" t="str">
        <f t="shared" si="1604"/>
        <v>YES</v>
      </c>
      <c r="AR222" s="351">
        <f t="shared" si="1463"/>
        <v>1.7626323129247345</v>
      </c>
      <c r="AS222" s="343" t="str">
        <f t="shared" si="1464"/>
        <v>YES</v>
      </c>
      <c r="AT222" s="351" t="str">
        <f t="shared" si="1605"/>
        <v>NA</v>
      </c>
      <c r="AU222" s="343" t="str">
        <f t="shared" si="1606"/>
        <v>NA</v>
      </c>
      <c r="AV222" s="354" t="str">
        <f t="shared" si="1607"/>
        <v>1R x 0.6/1kV x 3C x 16 Sqmm</v>
      </c>
      <c r="AW222" s="354" t="str">
        <f t="shared" si="1608"/>
        <v>1R x 0.6/1kV x 3C x 16 Sqmm</v>
      </c>
      <c r="AX222" s="343">
        <f t="shared" si="1609"/>
        <v>53</v>
      </c>
      <c r="AY222" s="355"/>
      <c r="AZ222" s="355">
        <f t="shared" si="1610"/>
        <v>2</v>
      </c>
      <c r="BA222" s="356" t="str">
        <f t="shared" si="1611"/>
        <v/>
      </c>
      <c r="BB222" s="501">
        <f>VLOOKUP(W222,'Catalogue Aluminium'!$B$9:$H$93,7,FALSE)</f>
        <v>19</v>
      </c>
      <c r="BC222" s="328">
        <f t="shared" si="1612"/>
        <v>19</v>
      </c>
      <c r="BE222" s="336"/>
      <c r="BF222" s="336"/>
      <c r="BG222" s="336"/>
      <c r="BH222" s="336"/>
      <c r="BI222" s="336"/>
      <c r="BJ222" s="336"/>
      <c r="BK222" s="336"/>
      <c r="BL222" s="336"/>
      <c r="BM222" s="336"/>
      <c r="BN222" s="336"/>
      <c r="BO222" s="336"/>
      <c r="BP222" s="336"/>
      <c r="BQ222" s="336"/>
      <c r="BR222" s="336"/>
      <c r="BS222" s="336"/>
      <c r="BT222" s="336"/>
      <c r="BU222" s="336"/>
      <c r="BV222" s="336"/>
      <c r="BW222" s="336"/>
      <c r="BX222" s="336"/>
      <c r="BY222" s="336"/>
      <c r="BZ222" s="336"/>
      <c r="CA222" s="336"/>
      <c r="CB222" s="336"/>
      <c r="CC222" s="336"/>
      <c r="CD222" s="336"/>
      <c r="CE222" s="336"/>
      <c r="CF222" s="336"/>
      <c r="CG222" s="336"/>
      <c r="CH222" s="336"/>
      <c r="CI222" s="336"/>
      <c r="CJ222" s="336"/>
      <c r="CK222" s="336"/>
      <c r="CL222" s="336"/>
      <c r="CM222" s="336"/>
      <c r="CN222" s="336"/>
      <c r="CO222" s="336"/>
      <c r="CP222" s="336"/>
      <c r="CQ222" s="336"/>
      <c r="CR222" s="336"/>
      <c r="CS222" s="336"/>
      <c r="CT222" s="336"/>
      <c r="CU222" s="336"/>
      <c r="CV222" s="336"/>
      <c r="CW222" s="336"/>
      <c r="CX222" s="336"/>
      <c r="CY222" s="336"/>
      <c r="CZ222" s="336"/>
      <c r="DA222" s="336"/>
      <c r="DB222" s="336"/>
      <c r="DC222" s="336"/>
      <c r="DD222" s="336"/>
      <c r="DE222" s="336"/>
      <c r="DF222" s="336"/>
      <c r="DG222" s="336"/>
      <c r="DH222" s="336"/>
      <c r="DI222" s="336"/>
      <c r="DJ222" s="336"/>
      <c r="DK222" s="336"/>
      <c r="DL222" s="336"/>
      <c r="DM222" s="336"/>
      <c r="DN222" s="336"/>
      <c r="DO222" s="336"/>
      <c r="DP222" s="336"/>
      <c r="DQ222" s="336"/>
      <c r="DR222" s="336"/>
      <c r="DS222" s="336"/>
      <c r="DT222" s="336"/>
      <c r="DU222" s="336"/>
      <c r="DW222" s="336">
        <f t="shared" si="1529"/>
        <v>0</v>
      </c>
      <c r="DX222" s="336">
        <f t="shared" si="1479"/>
        <v>0</v>
      </c>
      <c r="DY222" s="336">
        <f t="shared" si="1480"/>
        <v>0</v>
      </c>
      <c r="DZ222" s="336">
        <f t="shared" si="1481"/>
        <v>0</v>
      </c>
      <c r="EA222" s="336">
        <f t="shared" si="1482"/>
        <v>0</v>
      </c>
      <c r="EB222" s="336">
        <f t="shared" si="1483"/>
        <v>0</v>
      </c>
      <c r="EC222" s="336">
        <f t="shared" si="1484"/>
        <v>0</v>
      </c>
      <c r="ED222" s="336">
        <f t="shared" si="1485"/>
        <v>0</v>
      </c>
      <c r="EE222" s="336">
        <f t="shared" si="1486"/>
        <v>0</v>
      </c>
      <c r="EF222" s="336">
        <f t="shared" si="1487"/>
        <v>0</v>
      </c>
      <c r="EG222" s="336">
        <f t="shared" si="1488"/>
        <v>0</v>
      </c>
      <c r="EH222" s="336">
        <f t="shared" si="1489"/>
        <v>0</v>
      </c>
      <c r="EI222" s="336">
        <f t="shared" si="1490"/>
        <v>0</v>
      </c>
      <c r="EJ222" s="336">
        <f t="shared" si="1491"/>
        <v>0</v>
      </c>
      <c r="EK222" s="336">
        <f t="shared" si="1492"/>
        <v>0</v>
      </c>
      <c r="EL222" s="336">
        <f t="shared" si="1493"/>
        <v>0</v>
      </c>
      <c r="EM222" s="336">
        <f t="shared" si="1494"/>
        <v>0</v>
      </c>
      <c r="EN222" s="336">
        <f t="shared" si="1495"/>
        <v>0</v>
      </c>
      <c r="EO222" s="336">
        <f t="shared" si="1496"/>
        <v>0</v>
      </c>
      <c r="EP222" s="336">
        <f t="shared" si="1497"/>
        <v>0</v>
      </c>
      <c r="EQ222" s="336">
        <f t="shared" si="1498"/>
        <v>0</v>
      </c>
      <c r="ER222" s="336">
        <f t="shared" si="1499"/>
        <v>0</v>
      </c>
      <c r="ES222" s="336">
        <f t="shared" si="1500"/>
        <v>0</v>
      </c>
      <c r="ET222" s="336">
        <f t="shared" si="1500"/>
        <v>0</v>
      </c>
      <c r="EU222" s="336">
        <f t="shared" si="1501"/>
        <v>0</v>
      </c>
      <c r="EV222" s="336">
        <f t="shared" si="1502"/>
        <v>0</v>
      </c>
      <c r="EW222" s="336">
        <f t="shared" si="1503"/>
        <v>0</v>
      </c>
      <c r="EX222" s="336">
        <f t="shared" si="1504"/>
        <v>0</v>
      </c>
      <c r="EY222" s="336">
        <f t="shared" si="1505"/>
        <v>0</v>
      </c>
      <c r="EZ222" s="336">
        <f t="shared" si="1506"/>
        <v>0</v>
      </c>
      <c r="FA222" s="336">
        <f t="shared" si="1507"/>
        <v>0</v>
      </c>
      <c r="FB222" s="336">
        <f t="shared" si="1508"/>
        <v>0</v>
      </c>
      <c r="FC222" s="336">
        <f t="shared" si="1509"/>
        <v>0</v>
      </c>
      <c r="FD222" s="336">
        <f t="shared" si="1510"/>
        <v>0</v>
      </c>
      <c r="FE222" s="336">
        <f t="shared" si="1511"/>
        <v>0</v>
      </c>
      <c r="FF222" s="336">
        <f t="shared" si="1512"/>
        <v>0</v>
      </c>
      <c r="FG222" s="336">
        <f t="shared" si="1513"/>
        <v>0</v>
      </c>
      <c r="FH222" s="336">
        <f t="shared" si="1514"/>
        <v>0</v>
      </c>
      <c r="FI222" s="336">
        <f t="shared" si="1515"/>
        <v>0</v>
      </c>
      <c r="FJ222" s="336">
        <f t="shared" si="1516"/>
        <v>0</v>
      </c>
      <c r="FK222" s="336">
        <f t="shared" si="1517"/>
        <v>0</v>
      </c>
      <c r="FL222" s="336">
        <f t="shared" si="1518"/>
        <v>0</v>
      </c>
      <c r="FM222" s="336">
        <f t="shared" si="1519"/>
        <v>0</v>
      </c>
      <c r="FN222" s="336">
        <f t="shared" si="1520"/>
        <v>0</v>
      </c>
      <c r="FO222" s="336">
        <f t="shared" si="1521"/>
        <v>0</v>
      </c>
      <c r="FP222" s="336">
        <f t="shared" si="1522"/>
        <v>0</v>
      </c>
      <c r="FQ222" s="336">
        <f t="shared" si="1523"/>
        <v>0</v>
      </c>
      <c r="FR222" s="336">
        <f t="shared" si="1524"/>
        <v>0</v>
      </c>
      <c r="FS222" s="336">
        <f t="shared" si="1525"/>
        <v>0</v>
      </c>
      <c r="FT222" s="336">
        <f t="shared" si="1526"/>
        <v>0</v>
      </c>
      <c r="FU222" s="336">
        <f t="shared" si="1474"/>
        <v>0</v>
      </c>
      <c r="FV222" s="336">
        <f t="shared" si="1475"/>
        <v>0</v>
      </c>
      <c r="FW222" s="336">
        <f t="shared" si="1476"/>
        <v>0</v>
      </c>
      <c r="FX222" s="336">
        <f t="shared" si="1477"/>
        <v>0</v>
      </c>
      <c r="FY222" s="336">
        <f t="shared" si="1559"/>
        <v>0</v>
      </c>
      <c r="FZ222" s="336">
        <f t="shared" si="1560"/>
        <v>0</v>
      </c>
      <c r="GA222" s="336">
        <f t="shared" si="1561"/>
        <v>0</v>
      </c>
      <c r="GB222" s="336">
        <f t="shared" si="1562"/>
        <v>0</v>
      </c>
      <c r="GC222" s="336">
        <f t="shared" si="1563"/>
        <v>0</v>
      </c>
      <c r="GD222" s="336">
        <f t="shared" si="1564"/>
        <v>0</v>
      </c>
      <c r="GE222" s="336">
        <f t="shared" si="1565"/>
        <v>0</v>
      </c>
      <c r="GF222" s="336">
        <f t="shared" si="1566"/>
        <v>0</v>
      </c>
      <c r="GG222" s="336">
        <f t="shared" si="1567"/>
        <v>0</v>
      </c>
      <c r="GH222" s="336">
        <f t="shared" si="1568"/>
        <v>0</v>
      </c>
      <c r="GI222" s="336">
        <f t="shared" si="1569"/>
        <v>0</v>
      </c>
      <c r="GJ222" s="336">
        <f t="shared" si="1570"/>
        <v>0</v>
      </c>
      <c r="GK222" s="336">
        <f t="shared" si="1571"/>
        <v>0</v>
      </c>
      <c r="GL222" s="336">
        <f t="shared" si="1478"/>
        <v>0</v>
      </c>
      <c r="GM222" s="336">
        <f t="shared" si="1572"/>
        <v>0</v>
      </c>
    </row>
    <row r="223" spans="1:195" ht="27.75" customHeight="1">
      <c r="A223" s="337">
        <f t="shared" si="1615"/>
        <v>176</v>
      </c>
      <c r="B223" s="453"/>
      <c r="C223" s="372" t="str">
        <f t="shared" si="1613"/>
        <v>FIRE STATION BUILDING HVAC DB</v>
      </c>
      <c r="D223" s="444" t="s">
        <v>1369</v>
      </c>
      <c r="E223" s="440" t="s">
        <v>1185</v>
      </c>
      <c r="F223" s="372"/>
      <c r="G223" s="337" t="s">
        <v>329</v>
      </c>
      <c r="H223" s="350">
        <v>3.5</v>
      </c>
      <c r="I223" s="337" t="s">
        <v>330</v>
      </c>
      <c r="J223" s="343" t="s">
        <v>357</v>
      </c>
      <c r="K223" s="349">
        <v>230</v>
      </c>
      <c r="L223" s="343">
        <v>0.95</v>
      </c>
      <c r="M223" s="350">
        <v>0.85</v>
      </c>
      <c r="N223" s="342">
        <f t="shared" si="1596"/>
        <v>18.845066630771303</v>
      </c>
      <c r="O223" s="342">
        <f t="shared" si="1597"/>
        <v>0</v>
      </c>
      <c r="P223" s="343" t="str">
        <f t="shared" si="1598"/>
        <v>0.00</v>
      </c>
      <c r="Q223" s="350">
        <v>65</v>
      </c>
      <c r="R223" s="350">
        <v>0</v>
      </c>
      <c r="S223" s="350">
        <f t="shared" si="1582"/>
        <v>0</v>
      </c>
      <c r="T223" s="343" t="s">
        <v>131</v>
      </c>
      <c r="U223" s="350" t="s">
        <v>333</v>
      </c>
      <c r="V223" s="343">
        <v>16</v>
      </c>
      <c r="W223" s="343" t="str">
        <f t="shared" si="1583"/>
        <v>3C X 16</v>
      </c>
      <c r="X223" s="343" t="str">
        <f t="shared" si="1599"/>
        <v>3C X 16</v>
      </c>
      <c r="Y223" s="343" t="s">
        <v>358</v>
      </c>
      <c r="Z223" s="344">
        <f>IF(T223="AIR",VLOOKUP(W223,'Catalogue Aluminium'!$B$9:$G$93,2,FALSE),IF(T223="GROUND",VLOOKUP(W223,'Catalogue Aluminium'!$B$9:$G$93,3,FALSE),IF(T223="DUCT",VLOOKUP(W223,'Catalogue Aluminium'!$B$9:$G$93,4,FALSE),IF(T223="TRENCH",VLOOKUP(W223,'Catalogue Aluminium'!$B$9:$G$93,2,FALSE)))))</f>
        <v>70</v>
      </c>
      <c r="AA223" s="345">
        <f>VLOOKUP(W223,'Catalogue Aluminium'!$B$9:$G$93,5,FALSE)</f>
        <v>2.44</v>
      </c>
      <c r="AB223" s="345">
        <f>VLOOKUP(W223,'Catalogue Aluminium'!$B$9:$G$93,6,FALSE)</f>
        <v>8.1500000000000003E-2</v>
      </c>
      <c r="AC223" s="343">
        <f t="shared" si="1614"/>
        <v>33</v>
      </c>
      <c r="AD223" s="343">
        <v>0</v>
      </c>
      <c r="AE223" s="343">
        <v>10</v>
      </c>
      <c r="AF223" s="343">
        <v>5</v>
      </c>
      <c r="AG223" s="343">
        <f t="shared" si="1462"/>
        <v>5</v>
      </c>
      <c r="AH223" s="347">
        <f t="shared" si="1600"/>
        <v>53</v>
      </c>
      <c r="AI223" s="344">
        <f>IF(T223="AIR",'Catalogue Aluminium'!$K$9,IF(T223="TRENCH",'Catalogue Aluminium'!$K$12,"NA"))</f>
        <v>0.89</v>
      </c>
      <c r="AJ223" s="342">
        <f>IF(T223="Air",(IF(U223="1C",'Catalogue Aluminium'!$L$9,'Catalogue Aluminium'!$M$9)),IF(T223="DUCT",(IF($U223="1C",'Catalogue Aluminium'!$L$10,'Catalogue Aluminium'!$M$10)),IF(T223="GROUND",(IF($U223="1C",'Catalogue Aluminium'!$L$11,'Catalogue Aluminium'!$M$11)),IF(T223="TRENCH",(IF($U223="1C",'Catalogue Aluminium'!$L$12,'Catalogue Aluminium'!$M$12))))))</f>
        <v>0.66</v>
      </c>
      <c r="AK223" s="344" t="str">
        <f>IF(T223="Air",'Catalogue Aluminium'!$N$9,IF(T223="GROUND",'Catalogue Aluminium'!$N$10,IF(T223="DUCT",'Catalogue Aluminium'!$N$11,IF(T223="TRENCH",'Catalogue Aluminium'!$N$12,"NA"))))</f>
        <v>NA</v>
      </c>
      <c r="AL223" s="344" t="str">
        <f>IF(T223="Air",(IF(U223="1C",'Catalogue Aluminium'!$O$9,'Catalogue Aluminium'!$P$9)),IF(T223="DUCT",(IF($U223="1C",'Catalogue Aluminium'!$O$10,'Catalogue Aluminium'!$P$10)),IF(T223="GROUND",(IF($U223="1C",'Catalogue Aluminium'!$O$11,'Catalogue Aluminium'!$P$11)),IF(T223="TRENCH",(IF($U223="1C",'Catalogue Aluminium'!$O$12,'Catalogue Aluminium'!$P$12))))))</f>
        <v>NA</v>
      </c>
      <c r="AM223" s="344" t="str">
        <f>IF(T223="AIR","NA",IF(T223="TRENCH","NA",IF(T223="DUCT",IF(U223="1C",VLOOKUP(V223,'Catalogue Aluminium'!$Q$9:$S$28,2,FALSE),VLOOKUP(V223,'Catalogue Aluminium'!$Q$9:$S$28,3)),IF(T223="GROUND",IF(U223="1C",VLOOKUP(V223,'Catalogue Aluminium'!$Q$9:$S$28,2,FALSE),VLOOKUP(V223,'Catalogue Aluminium'!$Q$9:$S$28,3))))))</f>
        <v>NA</v>
      </c>
      <c r="AN223" s="351">
        <f t="shared" si="1601"/>
        <v>0.58740000000000003</v>
      </c>
      <c r="AO223" s="350">
        <f t="shared" si="1602"/>
        <v>41.118000000000002</v>
      </c>
      <c r="AP223" s="349">
        <f t="shared" si="1603"/>
        <v>1</v>
      </c>
      <c r="AQ223" s="350" t="str">
        <f t="shared" si="1604"/>
        <v>YES</v>
      </c>
      <c r="AR223" s="351">
        <f t="shared" si="1463"/>
        <v>1.7626323129247345</v>
      </c>
      <c r="AS223" s="343" t="str">
        <f t="shared" si="1464"/>
        <v>YES</v>
      </c>
      <c r="AT223" s="351" t="str">
        <f t="shared" si="1605"/>
        <v>NA</v>
      </c>
      <c r="AU223" s="343" t="str">
        <f t="shared" si="1606"/>
        <v>NA</v>
      </c>
      <c r="AV223" s="354" t="str">
        <f t="shared" si="1607"/>
        <v>1R x 0.6/1kV x 3C x 16 Sqmm</v>
      </c>
      <c r="AW223" s="354" t="str">
        <f t="shared" si="1608"/>
        <v>1R x 0.6/1kV x 3C x 16 Sqmm</v>
      </c>
      <c r="AX223" s="343">
        <f t="shared" si="1609"/>
        <v>53</v>
      </c>
      <c r="AY223" s="355"/>
      <c r="AZ223" s="355">
        <f t="shared" si="1610"/>
        <v>2</v>
      </c>
      <c r="BA223" s="356" t="str">
        <f t="shared" si="1611"/>
        <v/>
      </c>
      <c r="BB223" s="501">
        <f>VLOOKUP(W223,'Catalogue Aluminium'!$B$9:$H$93,7,FALSE)</f>
        <v>19</v>
      </c>
      <c r="BC223" s="328">
        <f t="shared" si="1612"/>
        <v>19</v>
      </c>
      <c r="BE223" s="336"/>
      <c r="BF223" s="336"/>
      <c r="BG223" s="336"/>
      <c r="BH223" s="336"/>
      <c r="BI223" s="336"/>
      <c r="BJ223" s="336"/>
      <c r="BK223" s="336"/>
      <c r="BL223" s="336"/>
      <c r="BM223" s="336"/>
      <c r="BN223" s="336"/>
      <c r="BO223" s="336"/>
      <c r="BP223" s="336"/>
      <c r="BQ223" s="336"/>
      <c r="BR223" s="336"/>
      <c r="BS223" s="336"/>
      <c r="BT223" s="336"/>
      <c r="BU223" s="336"/>
      <c r="BV223" s="336"/>
      <c r="BW223" s="336"/>
      <c r="BX223" s="336"/>
      <c r="BY223" s="336"/>
      <c r="BZ223" s="336"/>
      <c r="CA223" s="336"/>
      <c r="CB223" s="336"/>
      <c r="CC223" s="336"/>
      <c r="CD223" s="336"/>
      <c r="CE223" s="336"/>
      <c r="CF223" s="336"/>
      <c r="CG223" s="336"/>
      <c r="CH223" s="336"/>
      <c r="CI223" s="336"/>
      <c r="CJ223" s="336"/>
      <c r="CK223" s="336"/>
      <c r="CL223" s="336"/>
      <c r="CM223" s="336"/>
      <c r="CN223" s="336"/>
      <c r="CO223" s="336"/>
      <c r="CP223" s="336"/>
      <c r="CQ223" s="336"/>
      <c r="CR223" s="336"/>
      <c r="CS223" s="336"/>
      <c r="CT223" s="336"/>
      <c r="CU223" s="336"/>
      <c r="CV223" s="336"/>
      <c r="CW223" s="336"/>
      <c r="CX223" s="336"/>
      <c r="CY223" s="336"/>
      <c r="CZ223" s="336"/>
      <c r="DA223" s="336"/>
      <c r="DB223" s="336"/>
      <c r="DC223" s="336"/>
      <c r="DD223" s="336"/>
      <c r="DE223" s="336"/>
      <c r="DF223" s="336"/>
      <c r="DG223" s="336"/>
      <c r="DH223" s="336"/>
      <c r="DI223" s="336"/>
      <c r="DJ223" s="336"/>
      <c r="DK223" s="336"/>
      <c r="DL223" s="336"/>
      <c r="DM223" s="336"/>
      <c r="DN223" s="336"/>
      <c r="DO223" s="336"/>
      <c r="DP223" s="336"/>
      <c r="DQ223" s="336"/>
      <c r="DR223" s="336"/>
      <c r="DS223" s="336"/>
      <c r="DT223" s="336"/>
      <c r="DU223" s="336"/>
      <c r="DW223" s="336">
        <f t="shared" si="1529"/>
        <v>0</v>
      </c>
      <c r="DX223" s="336">
        <f t="shared" si="1479"/>
        <v>0</v>
      </c>
      <c r="DY223" s="336">
        <f t="shared" si="1480"/>
        <v>0</v>
      </c>
      <c r="DZ223" s="336">
        <f t="shared" si="1481"/>
        <v>0</v>
      </c>
      <c r="EA223" s="336">
        <f t="shared" si="1482"/>
        <v>0</v>
      </c>
      <c r="EB223" s="336">
        <f t="shared" si="1483"/>
        <v>0</v>
      </c>
      <c r="EC223" s="336">
        <f t="shared" si="1484"/>
        <v>0</v>
      </c>
      <c r="ED223" s="336">
        <f t="shared" si="1485"/>
        <v>0</v>
      </c>
      <c r="EE223" s="336">
        <f t="shared" si="1486"/>
        <v>0</v>
      </c>
      <c r="EF223" s="336">
        <f t="shared" si="1487"/>
        <v>0</v>
      </c>
      <c r="EG223" s="336">
        <f t="shared" si="1488"/>
        <v>0</v>
      </c>
      <c r="EH223" s="336">
        <f t="shared" si="1489"/>
        <v>0</v>
      </c>
      <c r="EI223" s="336">
        <f t="shared" si="1490"/>
        <v>0</v>
      </c>
      <c r="EJ223" s="336">
        <f t="shared" si="1491"/>
        <v>0</v>
      </c>
      <c r="EK223" s="336">
        <f t="shared" si="1492"/>
        <v>0</v>
      </c>
      <c r="EL223" s="336">
        <f t="shared" si="1493"/>
        <v>0</v>
      </c>
      <c r="EM223" s="336">
        <f t="shared" si="1494"/>
        <v>0</v>
      </c>
      <c r="EN223" s="336">
        <f t="shared" si="1495"/>
        <v>0</v>
      </c>
      <c r="EO223" s="336">
        <f t="shared" si="1496"/>
        <v>0</v>
      </c>
      <c r="EP223" s="336">
        <f t="shared" si="1497"/>
        <v>0</v>
      </c>
      <c r="EQ223" s="336">
        <f t="shared" si="1498"/>
        <v>0</v>
      </c>
      <c r="ER223" s="336">
        <f t="shared" si="1499"/>
        <v>0</v>
      </c>
      <c r="ES223" s="336">
        <f t="shared" si="1500"/>
        <v>0</v>
      </c>
      <c r="ET223" s="336">
        <f t="shared" si="1500"/>
        <v>0</v>
      </c>
      <c r="EU223" s="336">
        <f t="shared" si="1501"/>
        <v>0</v>
      </c>
      <c r="EV223" s="336">
        <f t="shared" si="1502"/>
        <v>0</v>
      </c>
      <c r="EW223" s="336">
        <f t="shared" si="1503"/>
        <v>0</v>
      </c>
      <c r="EX223" s="336">
        <f t="shared" si="1504"/>
        <v>0</v>
      </c>
      <c r="EY223" s="336">
        <f t="shared" si="1505"/>
        <v>0</v>
      </c>
      <c r="EZ223" s="336">
        <f t="shared" si="1506"/>
        <v>0</v>
      </c>
      <c r="FA223" s="336">
        <f t="shared" si="1507"/>
        <v>0</v>
      </c>
      <c r="FB223" s="336">
        <f t="shared" si="1508"/>
        <v>0</v>
      </c>
      <c r="FC223" s="336">
        <f t="shared" si="1509"/>
        <v>0</v>
      </c>
      <c r="FD223" s="336">
        <f t="shared" si="1510"/>
        <v>0</v>
      </c>
      <c r="FE223" s="336">
        <f t="shared" si="1511"/>
        <v>0</v>
      </c>
      <c r="FF223" s="336">
        <f t="shared" si="1512"/>
        <v>0</v>
      </c>
      <c r="FG223" s="336">
        <f t="shared" si="1513"/>
        <v>0</v>
      </c>
      <c r="FH223" s="336">
        <f t="shared" si="1514"/>
        <v>0</v>
      </c>
      <c r="FI223" s="336">
        <f t="shared" si="1515"/>
        <v>0</v>
      </c>
      <c r="FJ223" s="336">
        <f t="shared" si="1516"/>
        <v>0</v>
      </c>
      <c r="FK223" s="336">
        <f t="shared" si="1517"/>
        <v>0</v>
      </c>
      <c r="FL223" s="336">
        <f t="shared" si="1518"/>
        <v>0</v>
      </c>
      <c r="FM223" s="336">
        <f t="shared" si="1519"/>
        <v>0</v>
      </c>
      <c r="FN223" s="336">
        <f t="shared" si="1520"/>
        <v>0</v>
      </c>
      <c r="FO223" s="336">
        <f t="shared" si="1521"/>
        <v>0</v>
      </c>
      <c r="FP223" s="336">
        <f t="shared" si="1522"/>
        <v>0</v>
      </c>
      <c r="FQ223" s="336">
        <f t="shared" si="1523"/>
        <v>0</v>
      </c>
      <c r="FR223" s="336">
        <f t="shared" si="1524"/>
        <v>0</v>
      </c>
      <c r="FS223" s="336">
        <f t="shared" si="1525"/>
        <v>0</v>
      </c>
      <c r="FT223" s="336">
        <f t="shared" si="1526"/>
        <v>0</v>
      </c>
      <c r="FU223" s="336">
        <f t="shared" si="1474"/>
        <v>0</v>
      </c>
      <c r="FV223" s="336">
        <f t="shared" si="1475"/>
        <v>0</v>
      </c>
      <c r="FW223" s="336">
        <f t="shared" si="1476"/>
        <v>0</v>
      </c>
      <c r="FX223" s="336">
        <f t="shared" si="1477"/>
        <v>0</v>
      </c>
      <c r="FY223" s="336">
        <f t="shared" si="1559"/>
        <v>0</v>
      </c>
      <c r="FZ223" s="336">
        <f t="shared" si="1560"/>
        <v>0</v>
      </c>
      <c r="GA223" s="336">
        <f t="shared" si="1561"/>
        <v>0</v>
      </c>
      <c r="GB223" s="336">
        <f t="shared" si="1562"/>
        <v>0</v>
      </c>
      <c r="GC223" s="336">
        <f t="shared" si="1563"/>
        <v>0</v>
      </c>
      <c r="GD223" s="336">
        <f t="shared" si="1564"/>
        <v>0</v>
      </c>
      <c r="GE223" s="336">
        <f t="shared" si="1565"/>
        <v>0</v>
      </c>
      <c r="GF223" s="336">
        <f t="shared" si="1566"/>
        <v>0</v>
      </c>
      <c r="GG223" s="336">
        <f t="shared" si="1567"/>
        <v>0</v>
      </c>
      <c r="GH223" s="336">
        <f t="shared" si="1568"/>
        <v>0</v>
      </c>
      <c r="GI223" s="336">
        <f t="shared" si="1569"/>
        <v>0</v>
      </c>
      <c r="GJ223" s="336">
        <f t="shared" si="1570"/>
        <v>0</v>
      </c>
      <c r="GK223" s="336">
        <f t="shared" si="1571"/>
        <v>0</v>
      </c>
      <c r="GL223" s="336">
        <f t="shared" si="1478"/>
        <v>0</v>
      </c>
      <c r="GM223" s="336">
        <f t="shared" si="1572"/>
        <v>0</v>
      </c>
    </row>
    <row r="224" spans="1:195" ht="27.75" customHeight="1">
      <c r="A224" s="337">
        <f t="shared" si="1615"/>
        <v>177</v>
      </c>
      <c r="B224" s="453"/>
      <c r="C224" s="372" t="str">
        <f t="shared" si="1613"/>
        <v>FIRE STATION BUILDING HVAC DB</v>
      </c>
      <c r="D224" s="444" t="s">
        <v>1370</v>
      </c>
      <c r="E224" s="440" t="s">
        <v>1185</v>
      </c>
      <c r="F224" s="372"/>
      <c r="G224" s="337" t="s">
        <v>329</v>
      </c>
      <c r="H224" s="583">
        <v>0.25</v>
      </c>
      <c r="I224" s="337" t="s">
        <v>330</v>
      </c>
      <c r="J224" s="343" t="s">
        <v>331</v>
      </c>
      <c r="K224" s="349">
        <v>400</v>
      </c>
      <c r="L224" s="343">
        <v>0.95</v>
      </c>
      <c r="M224" s="350">
        <v>0.85</v>
      </c>
      <c r="N224" s="342">
        <f t="shared" si="1596"/>
        <v>0.44687864206093286</v>
      </c>
      <c r="O224" s="342">
        <f t="shared" si="1597"/>
        <v>0</v>
      </c>
      <c r="P224" s="343" t="str">
        <f t="shared" si="1598"/>
        <v>0.00</v>
      </c>
      <c r="Q224" s="350">
        <v>65</v>
      </c>
      <c r="R224" s="350">
        <v>0</v>
      </c>
      <c r="S224" s="350">
        <f t="shared" si="1582"/>
        <v>0</v>
      </c>
      <c r="T224" s="343" t="s">
        <v>131</v>
      </c>
      <c r="U224" s="350" t="s">
        <v>522</v>
      </c>
      <c r="V224" s="343">
        <v>4</v>
      </c>
      <c r="W224" s="343" t="str">
        <f t="shared" si="1583"/>
        <v>4C X 4</v>
      </c>
      <c r="X224" s="343" t="str">
        <f t="shared" si="1599"/>
        <v>4C X 4</v>
      </c>
      <c r="Y224" s="343" t="s">
        <v>358</v>
      </c>
      <c r="Z224" s="344">
        <f>IF(T224="AIR",VLOOKUP(W224,'Catalogue Aluminium'!$B$9:$G$93,2,FALSE),IF(T224="GROUND",VLOOKUP(W224,'Catalogue Aluminium'!$B$9:$G$93,3,FALSE),IF(T224="DUCT",VLOOKUP(W224,'Catalogue Aluminium'!$B$9:$G$93,4,FALSE),IF(T224="TRENCH",VLOOKUP(W224,'Catalogue Aluminium'!$B$9:$G$93,2,FALSE)))))</f>
        <v>38</v>
      </c>
      <c r="AA224" s="345">
        <f>VLOOKUP(W224,'Catalogue Aluminium'!$B$9:$G$93,5,FALSE)</f>
        <v>5.9</v>
      </c>
      <c r="AB224" s="345">
        <f>VLOOKUP(W224,'Catalogue Aluminium'!$B$9:$G$93,6,FALSE)</f>
        <v>9.4700000000000006E-2</v>
      </c>
      <c r="AC224" s="343">
        <f t="shared" si="1614"/>
        <v>33</v>
      </c>
      <c r="AD224" s="343">
        <v>0</v>
      </c>
      <c r="AE224" s="343">
        <v>10</v>
      </c>
      <c r="AF224" s="343">
        <v>5</v>
      </c>
      <c r="AG224" s="343">
        <f t="shared" si="1462"/>
        <v>5</v>
      </c>
      <c r="AH224" s="347">
        <f t="shared" si="1600"/>
        <v>53</v>
      </c>
      <c r="AI224" s="344">
        <f>IF(T224="AIR",'Catalogue Aluminium'!$K$9,IF(T224="TRENCH",'Catalogue Aluminium'!$K$12,"NA"))</f>
        <v>0.89</v>
      </c>
      <c r="AJ224" s="342">
        <f>IF(T224="Air",(IF(U224="1C",'Catalogue Aluminium'!$L$9,'Catalogue Aluminium'!$M$9)),IF(T224="DUCT",(IF($U224="1C",'Catalogue Aluminium'!$L$10,'Catalogue Aluminium'!$M$10)),IF(T224="GROUND",(IF($U224="1C",'Catalogue Aluminium'!$L$11,'Catalogue Aluminium'!$M$11)),IF(T224="TRENCH",(IF($U224="1C",'Catalogue Aluminium'!$L$12,'Catalogue Aluminium'!$M$12))))))</f>
        <v>0.66</v>
      </c>
      <c r="AK224" s="344" t="str">
        <f>IF(T224="Air",'Catalogue Aluminium'!$N$9,IF(T224="GROUND",'Catalogue Aluminium'!$N$10,IF(T224="DUCT",'Catalogue Aluminium'!$N$11,IF(T224="TRENCH",'Catalogue Aluminium'!$N$12,"NA"))))</f>
        <v>NA</v>
      </c>
      <c r="AL224" s="344" t="str">
        <f>IF(T224="Air",(IF(U224="1C",'Catalogue Aluminium'!$O$9,'Catalogue Aluminium'!$P$9)),IF(T224="DUCT",(IF($U224="1C",'Catalogue Aluminium'!$O$10,'Catalogue Aluminium'!$P$10)),IF(T224="GROUND",(IF($U224="1C",'Catalogue Aluminium'!$O$11,'Catalogue Aluminium'!$P$11)),IF(T224="TRENCH",(IF($U224="1C",'Catalogue Aluminium'!$O$12,'Catalogue Aluminium'!$P$12))))))</f>
        <v>NA</v>
      </c>
      <c r="AM224" s="344" t="str">
        <f>IF(T224="AIR","NA",IF(T224="TRENCH","NA",IF(T224="DUCT",IF(U224="1C",VLOOKUP(V224,'Catalogue Aluminium'!$Q$9:$S$28,2,FALSE),VLOOKUP(V224,'Catalogue Aluminium'!$Q$9:$S$28,3)),IF(T224="GROUND",IF(U224="1C",VLOOKUP(V224,'Catalogue Aluminium'!$Q$9:$S$28,2,FALSE),VLOOKUP(V224,'Catalogue Aluminium'!$Q$9:$S$28,3))))))</f>
        <v>NA</v>
      </c>
      <c r="AN224" s="351">
        <f t="shared" si="1601"/>
        <v>0.58740000000000003</v>
      </c>
      <c r="AO224" s="350">
        <f t="shared" si="1602"/>
        <v>22.321200000000001</v>
      </c>
      <c r="AP224" s="349">
        <f t="shared" si="1603"/>
        <v>1</v>
      </c>
      <c r="AQ224" s="350" t="str">
        <f t="shared" si="1604"/>
        <v>YES</v>
      </c>
      <c r="AR224" s="351">
        <f t="shared" si="1463"/>
        <v>5.7786566125465066E-2</v>
      </c>
      <c r="AS224" s="343" t="str">
        <f t="shared" si="1464"/>
        <v>YES</v>
      </c>
      <c r="AT224" s="351" t="str">
        <f t="shared" si="1605"/>
        <v>NA</v>
      </c>
      <c r="AU224" s="343" t="str">
        <f t="shared" si="1606"/>
        <v>NA</v>
      </c>
      <c r="AV224" s="354" t="str">
        <f t="shared" si="1607"/>
        <v>1R x 0.6/1kV x 4C x 4 Sqmm</v>
      </c>
      <c r="AW224" s="354" t="str">
        <f t="shared" si="1608"/>
        <v>1R x 0.6/1kV x 4C x 4 Sqmm</v>
      </c>
      <c r="AX224" s="343">
        <f t="shared" si="1609"/>
        <v>53</v>
      </c>
      <c r="AY224" s="355"/>
      <c r="AZ224" s="355">
        <f t="shared" si="1610"/>
        <v>2</v>
      </c>
      <c r="BA224" s="356" t="str">
        <f t="shared" si="1611"/>
        <v/>
      </c>
      <c r="BB224" s="501">
        <f>VLOOKUP(W224,'Catalogue Aluminium'!$B$9:$H$93,7,FALSE)</f>
        <v>16</v>
      </c>
      <c r="BC224" s="328">
        <f t="shared" si="1612"/>
        <v>16</v>
      </c>
      <c r="BE224" s="336"/>
      <c r="BF224" s="336"/>
      <c r="BG224" s="336"/>
      <c r="BH224" s="336"/>
      <c r="BI224" s="336"/>
      <c r="BJ224" s="336"/>
      <c r="BK224" s="336"/>
      <c r="BL224" s="336"/>
      <c r="BM224" s="336"/>
      <c r="BN224" s="336"/>
      <c r="BO224" s="336"/>
      <c r="BP224" s="336"/>
      <c r="BQ224" s="336"/>
      <c r="BR224" s="336"/>
      <c r="BS224" s="336"/>
      <c r="BT224" s="336"/>
      <c r="BU224" s="336"/>
      <c r="BV224" s="336"/>
      <c r="BW224" s="336"/>
      <c r="BX224" s="336"/>
      <c r="BY224" s="336"/>
      <c r="BZ224" s="336"/>
      <c r="CA224" s="336"/>
      <c r="CB224" s="336"/>
      <c r="CC224" s="336"/>
      <c r="CD224" s="336"/>
      <c r="CE224" s="336"/>
      <c r="CF224" s="336"/>
      <c r="CG224" s="336"/>
      <c r="CH224" s="336"/>
      <c r="CI224" s="336"/>
      <c r="CJ224" s="336"/>
      <c r="CK224" s="336"/>
      <c r="CL224" s="336"/>
      <c r="CM224" s="336"/>
      <c r="CN224" s="336"/>
      <c r="CO224" s="336"/>
      <c r="CP224" s="336"/>
      <c r="CQ224" s="336"/>
      <c r="CR224" s="336"/>
      <c r="CS224" s="336"/>
      <c r="CT224" s="336"/>
      <c r="CU224" s="336"/>
      <c r="CV224" s="336"/>
      <c r="CW224" s="336"/>
      <c r="CX224" s="336"/>
      <c r="CY224" s="336"/>
      <c r="CZ224" s="336"/>
      <c r="DA224" s="336"/>
      <c r="DB224" s="336"/>
      <c r="DC224" s="336"/>
      <c r="DD224" s="336"/>
      <c r="DE224" s="336"/>
      <c r="DF224" s="336"/>
      <c r="DG224" s="336"/>
      <c r="DH224" s="336"/>
      <c r="DI224" s="336"/>
      <c r="DJ224" s="336"/>
      <c r="DK224" s="336"/>
      <c r="DL224" s="336"/>
      <c r="DM224" s="336"/>
      <c r="DN224" s="336"/>
      <c r="DO224" s="336"/>
      <c r="DP224" s="336"/>
      <c r="DQ224" s="336"/>
      <c r="DR224" s="336"/>
      <c r="DS224" s="336"/>
      <c r="DT224" s="336"/>
      <c r="DU224" s="336"/>
      <c r="DW224" s="336">
        <f t="shared" si="1529"/>
        <v>0</v>
      </c>
      <c r="DX224" s="336">
        <f t="shared" si="1479"/>
        <v>0</v>
      </c>
      <c r="DY224" s="336">
        <f t="shared" si="1480"/>
        <v>0</v>
      </c>
      <c r="DZ224" s="336">
        <f t="shared" si="1481"/>
        <v>0</v>
      </c>
      <c r="EA224" s="336">
        <f t="shared" si="1482"/>
        <v>0</v>
      </c>
      <c r="EB224" s="336">
        <f t="shared" si="1483"/>
        <v>0</v>
      </c>
      <c r="EC224" s="336">
        <f t="shared" si="1484"/>
        <v>0</v>
      </c>
      <c r="ED224" s="336">
        <f t="shared" si="1485"/>
        <v>0</v>
      </c>
      <c r="EE224" s="336">
        <f t="shared" si="1486"/>
        <v>0</v>
      </c>
      <c r="EF224" s="336">
        <f t="shared" si="1487"/>
        <v>0</v>
      </c>
      <c r="EG224" s="336">
        <f t="shared" si="1488"/>
        <v>0</v>
      </c>
      <c r="EH224" s="336">
        <f t="shared" si="1489"/>
        <v>0</v>
      </c>
      <c r="EI224" s="336">
        <f t="shared" si="1490"/>
        <v>0</v>
      </c>
      <c r="EJ224" s="336">
        <f t="shared" si="1491"/>
        <v>0</v>
      </c>
      <c r="EK224" s="336">
        <f t="shared" si="1492"/>
        <v>0</v>
      </c>
      <c r="EL224" s="336">
        <f t="shared" si="1493"/>
        <v>0</v>
      </c>
      <c r="EM224" s="336">
        <f t="shared" si="1494"/>
        <v>0</v>
      </c>
      <c r="EN224" s="336">
        <f t="shared" si="1495"/>
        <v>0</v>
      </c>
      <c r="EO224" s="336">
        <f t="shared" si="1496"/>
        <v>0</v>
      </c>
      <c r="EP224" s="336">
        <f t="shared" si="1497"/>
        <v>0</v>
      </c>
      <c r="EQ224" s="336">
        <f t="shared" si="1498"/>
        <v>0</v>
      </c>
      <c r="ER224" s="336">
        <f t="shared" si="1499"/>
        <v>0</v>
      </c>
      <c r="ES224" s="336">
        <f t="shared" si="1500"/>
        <v>0</v>
      </c>
      <c r="ET224" s="336">
        <f t="shared" si="1500"/>
        <v>0</v>
      </c>
      <c r="EU224" s="336">
        <f t="shared" si="1501"/>
        <v>0</v>
      </c>
      <c r="EV224" s="336">
        <f t="shared" si="1502"/>
        <v>0</v>
      </c>
      <c r="EW224" s="336">
        <f t="shared" si="1503"/>
        <v>0</v>
      </c>
      <c r="EX224" s="336">
        <f t="shared" si="1504"/>
        <v>0</v>
      </c>
      <c r="EY224" s="336">
        <f t="shared" si="1505"/>
        <v>0</v>
      </c>
      <c r="EZ224" s="336">
        <f t="shared" si="1506"/>
        <v>0</v>
      </c>
      <c r="FA224" s="336">
        <f t="shared" si="1507"/>
        <v>0</v>
      </c>
      <c r="FB224" s="336">
        <f t="shared" si="1508"/>
        <v>0</v>
      </c>
      <c r="FC224" s="336">
        <f t="shared" si="1509"/>
        <v>0</v>
      </c>
      <c r="FD224" s="336">
        <f t="shared" si="1510"/>
        <v>0</v>
      </c>
      <c r="FE224" s="336">
        <f t="shared" si="1511"/>
        <v>0</v>
      </c>
      <c r="FF224" s="336">
        <f t="shared" si="1512"/>
        <v>0</v>
      </c>
      <c r="FG224" s="336">
        <f t="shared" si="1513"/>
        <v>0</v>
      </c>
      <c r="FH224" s="336">
        <f t="shared" si="1514"/>
        <v>0</v>
      </c>
      <c r="FI224" s="336">
        <f t="shared" si="1515"/>
        <v>0</v>
      </c>
      <c r="FJ224" s="336">
        <f t="shared" si="1516"/>
        <v>0</v>
      </c>
      <c r="FK224" s="336">
        <f t="shared" si="1517"/>
        <v>0</v>
      </c>
      <c r="FL224" s="336">
        <f t="shared" si="1518"/>
        <v>0</v>
      </c>
      <c r="FM224" s="336">
        <f t="shared" si="1519"/>
        <v>0</v>
      </c>
      <c r="FN224" s="336">
        <f t="shared" si="1520"/>
        <v>0</v>
      </c>
      <c r="FO224" s="336">
        <f t="shared" si="1521"/>
        <v>0</v>
      </c>
      <c r="FP224" s="336">
        <f t="shared" si="1522"/>
        <v>0</v>
      </c>
      <c r="FQ224" s="336">
        <f t="shared" si="1523"/>
        <v>0</v>
      </c>
      <c r="FR224" s="336">
        <f t="shared" si="1524"/>
        <v>0</v>
      </c>
      <c r="FS224" s="336">
        <f t="shared" si="1525"/>
        <v>0</v>
      </c>
      <c r="FT224" s="336">
        <f t="shared" si="1526"/>
        <v>0</v>
      </c>
      <c r="FU224" s="336">
        <f t="shared" si="1474"/>
        <v>0</v>
      </c>
      <c r="FV224" s="336">
        <f t="shared" si="1475"/>
        <v>0</v>
      </c>
      <c r="FW224" s="336">
        <f t="shared" si="1476"/>
        <v>0</v>
      </c>
      <c r="FX224" s="336">
        <f t="shared" si="1477"/>
        <v>0</v>
      </c>
      <c r="FY224" s="336">
        <f t="shared" si="1559"/>
        <v>0</v>
      </c>
      <c r="FZ224" s="336">
        <f t="shared" si="1560"/>
        <v>0</v>
      </c>
      <c r="GA224" s="336">
        <f t="shared" si="1561"/>
        <v>0</v>
      </c>
      <c r="GB224" s="336">
        <f t="shared" si="1562"/>
        <v>0</v>
      </c>
      <c r="GC224" s="336">
        <f t="shared" si="1563"/>
        <v>0</v>
      </c>
      <c r="GD224" s="336">
        <f t="shared" si="1564"/>
        <v>0</v>
      </c>
      <c r="GE224" s="336">
        <f t="shared" si="1565"/>
        <v>0</v>
      </c>
      <c r="GF224" s="336">
        <f t="shared" si="1566"/>
        <v>0</v>
      </c>
      <c r="GG224" s="336">
        <f t="shared" si="1567"/>
        <v>0</v>
      </c>
      <c r="GH224" s="336">
        <f t="shared" si="1568"/>
        <v>0</v>
      </c>
      <c r="GI224" s="336">
        <f t="shared" si="1569"/>
        <v>0</v>
      </c>
      <c r="GJ224" s="336">
        <f t="shared" si="1570"/>
        <v>0</v>
      </c>
      <c r="GK224" s="336">
        <f t="shared" si="1571"/>
        <v>0</v>
      </c>
      <c r="GL224" s="336">
        <f t="shared" si="1478"/>
        <v>0</v>
      </c>
      <c r="GM224" s="336">
        <f t="shared" si="1572"/>
        <v>0</v>
      </c>
    </row>
    <row r="225" spans="1:195" ht="27.75" customHeight="1">
      <c r="A225" s="337">
        <f t="shared" si="1615"/>
        <v>178</v>
      </c>
      <c r="B225" s="453"/>
      <c r="C225" s="372" t="str">
        <f t="shared" si="1613"/>
        <v>FIRE STATION BUILDING HVAC DB</v>
      </c>
      <c r="D225" s="444" t="s">
        <v>1371</v>
      </c>
      <c r="E225" s="440" t="s">
        <v>1185</v>
      </c>
      <c r="F225" s="372"/>
      <c r="G225" s="337" t="s">
        <v>329</v>
      </c>
      <c r="H225" s="583">
        <v>0.25</v>
      </c>
      <c r="I225" s="337" t="s">
        <v>330</v>
      </c>
      <c r="J225" s="343" t="s">
        <v>331</v>
      </c>
      <c r="K225" s="349">
        <v>400</v>
      </c>
      <c r="L225" s="343">
        <v>0.95</v>
      </c>
      <c r="M225" s="350">
        <v>0.85</v>
      </c>
      <c r="N225" s="342">
        <f t="shared" si="1596"/>
        <v>0.44687864206093286</v>
      </c>
      <c r="O225" s="342">
        <f t="shared" si="1597"/>
        <v>0</v>
      </c>
      <c r="P225" s="343" t="str">
        <f t="shared" si="1598"/>
        <v>0.00</v>
      </c>
      <c r="Q225" s="350">
        <v>65</v>
      </c>
      <c r="R225" s="350">
        <v>0</v>
      </c>
      <c r="S225" s="350">
        <f t="shared" si="1582"/>
        <v>0</v>
      </c>
      <c r="T225" s="343" t="s">
        <v>131</v>
      </c>
      <c r="U225" s="350" t="s">
        <v>522</v>
      </c>
      <c r="V225" s="343">
        <v>4</v>
      </c>
      <c r="W225" s="343" t="str">
        <f t="shared" si="1583"/>
        <v>4C X 4</v>
      </c>
      <c r="X225" s="343" t="str">
        <f t="shared" si="1599"/>
        <v>4C X 4</v>
      </c>
      <c r="Y225" s="343" t="s">
        <v>358</v>
      </c>
      <c r="Z225" s="344">
        <f>IF(T225="AIR",VLOOKUP(W225,'Catalogue Aluminium'!$B$9:$G$93,2,FALSE),IF(T225="GROUND",VLOOKUP(W225,'Catalogue Aluminium'!$B$9:$G$93,3,FALSE),IF(T225="DUCT",VLOOKUP(W225,'Catalogue Aluminium'!$B$9:$G$93,4,FALSE),IF(T225="TRENCH",VLOOKUP(W225,'Catalogue Aluminium'!$B$9:$G$93,2,FALSE)))))</f>
        <v>38</v>
      </c>
      <c r="AA225" s="345">
        <f>VLOOKUP(W225,'Catalogue Aluminium'!$B$9:$G$93,5,FALSE)</f>
        <v>5.9</v>
      </c>
      <c r="AB225" s="345">
        <f>VLOOKUP(W225,'Catalogue Aluminium'!$B$9:$G$93,6,FALSE)</f>
        <v>9.4700000000000006E-2</v>
      </c>
      <c r="AC225" s="343">
        <f t="shared" si="1614"/>
        <v>33</v>
      </c>
      <c r="AD225" s="343">
        <v>0</v>
      </c>
      <c r="AE225" s="343">
        <v>10</v>
      </c>
      <c r="AF225" s="343">
        <v>5</v>
      </c>
      <c r="AG225" s="343">
        <f t="shared" si="1462"/>
        <v>5</v>
      </c>
      <c r="AH225" s="347">
        <f t="shared" si="1600"/>
        <v>53</v>
      </c>
      <c r="AI225" s="344">
        <f>IF(T225="AIR",'Catalogue Aluminium'!$K$9,IF(T225="TRENCH",'Catalogue Aluminium'!$K$12,"NA"))</f>
        <v>0.89</v>
      </c>
      <c r="AJ225" s="342">
        <f>IF(T225="Air",(IF(U225="1C",'Catalogue Aluminium'!$L$9,'Catalogue Aluminium'!$M$9)),IF(T225="DUCT",(IF($U225="1C",'Catalogue Aluminium'!$L$10,'Catalogue Aluminium'!$M$10)),IF(T225="GROUND",(IF($U225="1C",'Catalogue Aluminium'!$L$11,'Catalogue Aluminium'!$M$11)),IF(T225="TRENCH",(IF($U225="1C",'Catalogue Aluminium'!$L$12,'Catalogue Aluminium'!$M$12))))))</f>
        <v>0.66</v>
      </c>
      <c r="AK225" s="344" t="str">
        <f>IF(T225="Air",'Catalogue Aluminium'!$N$9,IF(T225="GROUND",'Catalogue Aluminium'!$N$10,IF(T225="DUCT",'Catalogue Aluminium'!$N$11,IF(T225="TRENCH",'Catalogue Aluminium'!$N$12,"NA"))))</f>
        <v>NA</v>
      </c>
      <c r="AL225" s="344" t="str">
        <f>IF(T225="Air",(IF(U225="1C",'Catalogue Aluminium'!$O$9,'Catalogue Aluminium'!$P$9)),IF(T225="DUCT",(IF($U225="1C",'Catalogue Aluminium'!$O$10,'Catalogue Aluminium'!$P$10)),IF(T225="GROUND",(IF($U225="1C",'Catalogue Aluminium'!$O$11,'Catalogue Aluminium'!$P$11)),IF(T225="TRENCH",(IF($U225="1C",'Catalogue Aluminium'!$O$12,'Catalogue Aluminium'!$P$12))))))</f>
        <v>NA</v>
      </c>
      <c r="AM225" s="344" t="str">
        <f>IF(T225="AIR","NA",IF(T225="TRENCH","NA",IF(T225="DUCT",IF(U225="1C",VLOOKUP(V225,'Catalogue Aluminium'!$Q$9:$S$28,2,FALSE),VLOOKUP(V225,'Catalogue Aluminium'!$Q$9:$S$28,3)),IF(T225="GROUND",IF(U225="1C",VLOOKUP(V225,'Catalogue Aluminium'!$Q$9:$S$28,2,FALSE),VLOOKUP(V225,'Catalogue Aluminium'!$Q$9:$S$28,3))))))</f>
        <v>NA</v>
      </c>
      <c r="AN225" s="351">
        <f t="shared" si="1601"/>
        <v>0.58740000000000003</v>
      </c>
      <c r="AO225" s="350">
        <f t="shared" si="1602"/>
        <v>22.321200000000001</v>
      </c>
      <c r="AP225" s="349">
        <f t="shared" si="1603"/>
        <v>1</v>
      </c>
      <c r="AQ225" s="350" t="str">
        <f t="shared" si="1604"/>
        <v>YES</v>
      </c>
      <c r="AR225" s="351">
        <f t="shared" si="1463"/>
        <v>5.7786566125465066E-2</v>
      </c>
      <c r="AS225" s="343" t="str">
        <f t="shared" si="1464"/>
        <v>YES</v>
      </c>
      <c r="AT225" s="351" t="str">
        <f t="shared" si="1605"/>
        <v>NA</v>
      </c>
      <c r="AU225" s="343" t="str">
        <f t="shared" si="1606"/>
        <v>NA</v>
      </c>
      <c r="AV225" s="354" t="str">
        <f t="shared" si="1607"/>
        <v>1R x 0.6/1kV x 4C x 4 Sqmm</v>
      </c>
      <c r="AW225" s="354" t="str">
        <f t="shared" si="1608"/>
        <v>1R x 0.6/1kV x 4C x 4 Sqmm</v>
      </c>
      <c r="AX225" s="343">
        <f t="shared" si="1609"/>
        <v>53</v>
      </c>
      <c r="AY225" s="355"/>
      <c r="AZ225" s="355">
        <f t="shared" si="1610"/>
        <v>2</v>
      </c>
      <c r="BA225" s="356" t="str">
        <f t="shared" si="1611"/>
        <v/>
      </c>
      <c r="BB225" s="501">
        <f>VLOOKUP(W225,'Catalogue Aluminium'!$B$9:$H$93,7,FALSE)</f>
        <v>16</v>
      </c>
      <c r="BC225" s="328">
        <f t="shared" si="1612"/>
        <v>16</v>
      </c>
      <c r="BE225" s="336"/>
      <c r="BF225" s="336"/>
      <c r="BG225" s="336"/>
      <c r="BH225" s="336"/>
      <c r="BI225" s="336"/>
      <c r="BJ225" s="336"/>
      <c r="BK225" s="336"/>
      <c r="BL225" s="336"/>
      <c r="BM225" s="336"/>
      <c r="BN225" s="336"/>
      <c r="BO225" s="336"/>
      <c r="BP225" s="336"/>
      <c r="BQ225" s="336"/>
      <c r="BR225" s="336"/>
      <c r="BS225" s="336"/>
      <c r="BT225" s="336"/>
      <c r="BU225" s="336"/>
      <c r="BV225" s="336"/>
      <c r="BW225" s="336"/>
      <c r="BX225" s="336"/>
      <c r="BY225" s="336"/>
      <c r="BZ225" s="336"/>
      <c r="CA225" s="336"/>
      <c r="CB225" s="336"/>
      <c r="CC225" s="336"/>
      <c r="CD225" s="336"/>
      <c r="CE225" s="336"/>
      <c r="CF225" s="336"/>
      <c r="CG225" s="336"/>
      <c r="CH225" s="336"/>
      <c r="CI225" s="336"/>
      <c r="CJ225" s="336"/>
      <c r="CK225" s="336"/>
      <c r="CL225" s="336"/>
      <c r="CM225" s="336"/>
      <c r="CN225" s="336"/>
      <c r="CO225" s="336"/>
      <c r="CP225" s="336"/>
      <c r="CQ225" s="336"/>
      <c r="CR225" s="336"/>
      <c r="CS225" s="336"/>
      <c r="CT225" s="336"/>
      <c r="CU225" s="336"/>
      <c r="CV225" s="336"/>
      <c r="CW225" s="336"/>
      <c r="CX225" s="336"/>
      <c r="CY225" s="336"/>
      <c r="CZ225" s="336"/>
      <c r="DA225" s="336"/>
      <c r="DB225" s="336"/>
      <c r="DC225" s="336"/>
      <c r="DD225" s="336"/>
      <c r="DE225" s="336"/>
      <c r="DF225" s="336"/>
      <c r="DG225" s="336"/>
      <c r="DH225" s="336"/>
      <c r="DI225" s="336"/>
      <c r="DJ225" s="336"/>
      <c r="DK225" s="336"/>
      <c r="DL225" s="336"/>
      <c r="DM225" s="336"/>
      <c r="DN225" s="336"/>
      <c r="DO225" s="336"/>
      <c r="DP225" s="336"/>
      <c r="DQ225" s="336"/>
      <c r="DR225" s="336"/>
      <c r="DS225" s="336"/>
      <c r="DT225" s="336"/>
      <c r="DU225" s="336"/>
      <c r="DW225" s="336">
        <f t="shared" si="1529"/>
        <v>0</v>
      </c>
      <c r="DX225" s="336">
        <f t="shared" si="1479"/>
        <v>0</v>
      </c>
      <c r="DY225" s="336">
        <f t="shared" si="1480"/>
        <v>0</v>
      </c>
      <c r="DZ225" s="336">
        <f t="shared" si="1481"/>
        <v>0</v>
      </c>
      <c r="EA225" s="336">
        <f t="shared" si="1482"/>
        <v>0</v>
      </c>
      <c r="EB225" s="336">
        <f t="shared" si="1483"/>
        <v>0</v>
      </c>
      <c r="EC225" s="336">
        <f t="shared" si="1484"/>
        <v>0</v>
      </c>
      <c r="ED225" s="336">
        <f t="shared" si="1485"/>
        <v>0</v>
      </c>
      <c r="EE225" s="336">
        <f t="shared" si="1486"/>
        <v>0</v>
      </c>
      <c r="EF225" s="336">
        <f t="shared" si="1487"/>
        <v>0</v>
      </c>
      <c r="EG225" s="336">
        <f t="shared" si="1488"/>
        <v>0</v>
      </c>
      <c r="EH225" s="336">
        <f t="shared" si="1489"/>
        <v>0</v>
      </c>
      <c r="EI225" s="336">
        <f t="shared" si="1490"/>
        <v>0</v>
      </c>
      <c r="EJ225" s="336">
        <f t="shared" si="1491"/>
        <v>0</v>
      </c>
      <c r="EK225" s="336">
        <f t="shared" si="1492"/>
        <v>0</v>
      </c>
      <c r="EL225" s="336">
        <f t="shared" si="1493"/>
        <v>0</v>
      </c>
      <c r="EM225" s="336">
        <f t="shared" si="1494"/>
        <v>0</v>
      </c>
      <c r="EN225" s="336">
        <f t="shared" si="1495"/>
        <v>0</v>
      </c>
      <c r="EO225" s="336">
        <f t="shared" si="1496"/>
        <v>0</v>
      </c>
      <c r="EP225" s="336">
        <f t="shared" si="1497"/>
        <v>0</v>
      </c>
      <c r="EQ225" s="336">
        <f t="shared" si="1498"/>
        <v>0</v>
      </c>
      <c r="ER225" s="336">
        <f t="shared" si="1499"/>
        <v>0</v>
      </c>
      <c r="ES225" s="336">
        <f t="shared" si="1500"/>
        <v>0</v>
      </c>
      <c r="ET225" s="336">
        <f t="shared" si="1500"/>
        <v>0</v>
      </c>
      <c r="EU225" s="336">
        <f t="shared" si="1501"/>
        <v>0</v>
      </c>
      <c r="EV225" s="336">
        <f t="shared" si="1502"/>
        <v>0</v>
      </c>
      <c r="EW225" s="336">
        <f t="shared" si="1503"/>
        <v>0</v>
      </c>
      <c r="EX225" s="336">
        <f t="shared" si="1504"/>
        <v>0</v>
      </c>
      <c r="EY225" s="336">
        <f t="shared" si="1505"/>
        <v>0</v>
      </c>
      <c r="EZ225" s="336">
        <f t="shared" si="1506"/>
        <v>0</v>
      </c>
      <c r="FA225" s="336">
        <f t="shared" si="1507"/>
        <v>0</v>
      </c>
      <c r="FB225" s="336">
        <f t="shared" si="1508"/>
        <v>0</v>
      </c>
      <c r="FC225" s="336">
        <f t="shared" si="1509"/>
        <v>0</v>
      </c>
      <c r="FD225" s="336">
        <f t="shared" si="1510"/>
        <v>0</v>
      </c>
      <c r="FE225" s="336">
        <f t="shared" si="1511"/>
        <v>0</v>
      </c>
      <c r="FF225" s="336">
        <f t="shared" si="1512"/>
        <v>0</v>
      </c>
      <c r="FG225" s="336">
        <f t="shared" si="1513"/>
        <v>0</v>
      </c>
      <c r="FH225" s="336">
        <f t="shared" si="1514"/>
        <v>0</v>
      </c>
      <c r="FI225" s="336">
        <f t="shared" si="1515"/>
        <v>0</v>
      </c>
      <c r="FJ225" s="336">
        <f t="shared" si="1516"/>
        <v>0</v>
      </c>
      <c r="FK225" s="336">
        <f t="shared" si="1517"/>
        <v>0</v>
      </c>
      <c r="FL225" s="336">
        <f t="shared" si="1518"/>
        <v>0</v>
      </c>
      <c r="FM225" s="336">
        <f t="shared" si="1519"/>
        <v>0</v>
      </c>
      <c r="FN225" s="336">
        <f t="shared" si="1520"/>
        <v>0</v>
      </c>
      <c r="FO225" s="336">
        <f t="shared" si="1521"/>
        <v>0</v>
      </c>
      <c r="FP225" s="336">
        <f t="shared" si="1522"/>
        <v>0</v>
      </c>
      <c r="FQ225" s="336">
        <f t="shared" si="1523"/>
        <v>0</v>
      </c>
      <c r="FR225" s="336">
        <f t="shared" si="1524"/>
        <v>0</v>
      </c>
      <c r="FS225" s="336">
        <f t="shared" si="1525"/>
        <v>0</v>
      </c>
      <c r="FT225" s="336">
        <f t="shared" si="1526"/>
        <v>0</v>
      </c>
      <c r="FU225" s="336">
        <f t="shared" si="1474"/>
        <v>0</v>
      </c>
      <c r="FV225" s="336">
        <f t="shared" si="1475"/>
        <v>0</v>
      </c>
      <c r="FW225" s="336">
        <f t="shared" si="1476"/>
        <v>0</v>
      </c>
      <c r="FX225" s="336">
        <f t="shared" si="1477"/>
        <v>0</v>
      </c>
      <c r="FY225" s="336">
        <f t="shared" si="1559"/>
        <v>0</v>
      </c>
      <c r="FZ225" s="336">
        <f t="shared" si="1560"/>
        <v>0</v>
      </c>
      <c r="GA225" s="336">
        <f t="shared" si="1561"/>
        <v>0</v>
      </c>
      <c r="GB225" s="336">
        <f t="shared" si="1562"/>
        <v>0</v>
      </c>
      <c r="GC225" s="336">
        <f t="shared" si="1563"/>
        <v>0</v>
      </c>
      <c r="GD225" s="336">
        <f t="shared" si="1564"/>
        <v>0</v>
      </c>
      <c r="GE225" s="336">
        <f t="shared" si="1565"/>
        <v>0</v>
      </c>
      <c r="GF225" s="336">
        <f t="shared" si="1566"/>
        <v>0</v>
      </c>
      <c r="GG225" s="336">
        <f t="shared" si="1567"/>
        <v>0</v>
      </c>
      <c r="GH225" s="336">
        <f t="shared" si="1568"/>
        <v>0</v>
      </c>
      <c r="GI225" s="336">
        <f t="shared" si="1569"/>
        <v>0</v>
      </c>
      <c r="GJ225" s="336">
        <f t="shared" si="1570"/>
        <v>0</v>
      </c>
      <c r="GK225" s="336">
        <f t="shared" si="1571"/>
        <v>0</v>
      </c>
      <c r="GL225" s="336">
        <f t="shared" si="1478"/>
        <v>0</v>
      </c>
      <c r="GM225" s="336">
        <f t="shared" si="1572"/>
        <v>0</v>
      </c>
    </row>
    <row r="226" spans="1:195" ht="27.75" customHeight="1">
      <c r="A226" s="337">
        <f t="shared" si="1615"/>
        <v>179</v>
      </c>
      <c r="B226" s="453"/>
      <c r="C226" s="372" t="str">
        <f>$D$214</f>
        <v>FIRE STATION BUILDING HVAC DB</v>
      </c>
      <c r="D226" s="444" t="s">
        <v>1372</v>
      </c>
      <c r="E226" s="440" t="s">
        <v>1185</v>
      </c>
      <c r="F226" s="372"/>
      <c r="G226" s="337" t="s">
        <v>329</v>
      </c>
      <c r="H226" s="583">
        <v>0.25</v>
      </c>
      <c r="I226" s="337" t="s">
        <v>330</v>
      </c>
      <c r="J226" s="343" t="s">
        <v>357</v>
      </c>
      <c r="K226" s="349">
        <v>230</v>
      </c>
      <c r="L226" s="343">
        <v>0.95</v>
      </c>
      <c r="M226" s="350">
        <v>0.85</v>
      </c>
      <c r="N226" s="342">
        <f t="shared" si="1596"/>
        <v>1.3460761879122358</v>
      </c>
      <c r="O226" s="342">
        <f t="shared" si="1597"/>
        <v>0</v>
      </c>
      <c r="P226" s="343" t="str">
        <f t="shared" si="1598"/>
        <v>0.00</v>
      </c>
      <c r="Q226" s="350">
        <v>65</v>
      </c>
      <c r="R226" s="350">
        <v>0</v>
      </c>
      <c r="S226" s="350">
        <f t="shared" si="1582"/>
        <v>0</v>
      </c>
      <c r="T226" s="343" t="s">
        <v>131</v>
      </c>
      <c r="U226" s="350" t="s">
        <v>333</v>
      </c>
      <c r="V226" s="343">
        <v>4</v>
      </c>
      <c r="W226" s="343" t="str">
        <f t="shared" si="1583"/>
        <v>3C X 4</v>
      </c>
      <c r="X226" s="343" t="str">
        <f t="shared" si="1599"/>
        <v>3C X 4</v>
      </c>
      <c r="Y226" s="343" t="s">
        <v>358</v>
      </c>
      <c r="Z226" s="344">
        <f>IF(T226="AIR",VLOOKUP(W226,'Catalogue Aluminium'!$B$9:$G$93,2,FALSE),IF(T226="GROUND",VLOOKUP(W226,'Catalogue Aluminium'!$B$9:$G$93,3,FALSE),IF(T226="DUCT",VLOOKUP(W226,'Catalogue Aluminium'!$B$9:$G$93,4,FALSE),IF(T226="TRENCH",VLOOKUP(W226,'Catalogue Aluminium'!$B$9:$G$93,2,FALSE)))))</f>
        <v>38</v>
      </c>
      <c r="AA226" s="345">
        <f>VLOOKUP(W226,'Catalogue Aluminium'!$B$9:$G$93,5,FALSE)</f>
        <v>5.9</v>
      </c>
      <c r="AB226" s="345">
        <f>VLOOKUP(W226,'Catalogue Aluminium'!$B$9:$G$93,6,FALSE)</f>
        <v>9.4700000000000006E-2</v>
      </c>
      <c r="AC226" s="343">
        <f t="shared" si="1614"/>
        <v>33</v>
      </c>
      <c r="AD226" s="343">
        <v>0</v>
      </c>
      <c r="AE226" s="343">
        <v>10</v>
      </c>
      <c r="AF226" s="343">
        <v>5</v>
      </c>
      <c r="AG226" s="343">
        <f t="shared" si="1462"/>
        <v>5</v>
      </c>
      <c r="AH226" s="347">
        <f t="shared" si="1600"/>
        <v>53</v>
      </c>
      <c r="AI226" s="344">
        <f>IF(T226="AIR",'Catalogue Aluminium'!$K$9,IF(T226="TRENCH",'Catalogue Aluminium'!$K$12,"NA"))</f>
        <v>0.89</v>
      </c>
      <c r="AJ226" s="342">
        <f>IF(T226="Air",(IF(U226="1C",'Catalogue Aluminium'!$L$9,'Catalogue Aluminium'!$M$9)),IF(T226="DUCT",(IF($U226="1C",'Catalogue Aluminium'!$L$10,'Catalogue Aluminium'!$M$10)),IF(T226="GROUND",(IF($U226="1C",'Catalogue Aluminium'!$L$11,'Catalogue Aluminium'!$M$11)),IF(T226="TRENCH",(IF($U226="1C",'Catalogue Aluminium'!$L$12,'Catalogue Aluminium'!$M$12))))))</f>
        <v>0.66</v>
      </c>
      <c r="AK226" s="344" t="str">
        <f>IF(T226="Air",'Catalogue Aluminium'!$N$9,IF(T226="GROUND",'Catalogue Aluminium'!$N$10,IF(T226="DUCT",'Catalogue Aluminium'!$N$11,IF(T226="TRENCH",'Catalogue Aluminium'!$N$12,"NA"))))</f>
        <v>NA</v>
      </c>
      <c r="AL226" s="344" t="str">
        <f>IF(T226="Air",(IF(U226="1C",'Catalogue Aluminium'!$O$9,'Catalogue Aluminium'!$P$9)),IF(T226="DUCT",(IF($U226="1C",'Catalogue Aluminium'!$O$10,'Catalogue Aluminium'!$P$10)),IF(T226="GROUND",(IF($U226="1C",'Catalogue Aluminium'!$O$11,'Catalogue Aluminium'!$P$11)),IF(T226="TRENCH",(IF($U226="1C",'Catalogue Aluminium'!$O$12,'Catalogue Aluminium'!$P$12))))))</f>
        <v>NA</v>
      </c>
      <c r="AM226" s="344" t="str">
        <f>IF(T226="AIR","NA",IF(T226="TRENCH","NA",IF(T226="DUCT",IF(U226="1C",VLOOKUP(V226,'Catalogue Aluminium'!$Q$9:$S$28,2,FALSE),VLOOKUP(V226,'Catalogue Aluminium'!$Q$9:$S$28,3)),IF(T226="GROUND",IF(U226="1C",VLOOKUP(V226,'Catalogue Aluminium'!$Q$9:$S$28,2,FALSE),VLOOKUP(V226,'Catalogue Aluminium'!$Q$9:$S$28,3))))))</f>
        <v>NA</v>
      </c>
      <c r="AN226" s="351">
        <f t="shared" si="1601"/>
        <v>0.58740000000000003</v>
      </c>
      <c r="AO226" s="350">
        <f t="shared" si="1602"/>
        <v>22.321200000000001</v>
      </c>
      <c r="AP226" s="349">
        <f t="shared" si="1603"/>
        <v>1</v>
      </c>
      <c r="AQ226" s="350" t="str">
        <f t="shared" si="1604"/>
        <v>YES</v>
      </c>
      <c r="AR226" s="351">
        <f t="shared" si="1463"/>
        <v>0.30271858609997876</v>
      </c>
      <c r="AS226" s="343" t="str">
        <f t="shared" si="1464"/>
        <v>YES</v>
      </c>
      <c r="AT226" s="351" t="str">
        <f t="shared" si="1605"/>
        <v>NA</v>
      </c>
      <c r="AU226" s="343" t="str">
        <f t="shared" si="1606"/>
        <v>NA</v>
      </c>
      <c r="AV226" s="354" t="str">
        <f t="shared" si="1607"/>
        <v>1R x 0.6/1kV x 3C x 4 Sqmm</v>
      </c>
      <c r="AW226" s="354" t="str">
        <f t="shared" si="1608"/>
        <v>1R x 0.6/1kV x 3C x 4 Sqmm</v>
      </c>
      <c r="AX226" s="343">
        <f t="shared" si="1609"/>
        <v>53</v>
      </c>
      <c r="AY226" s="355"/>
      <c r="AZ226" s="355">
        <f t="shared" si="1610"/>
        <v>2</v>
      </c>
      <c r="BA226" s="356" t="str">
        <f t="shared" si="1611"/>
        <v/>
      </c>
      <c r="BB226" s="501">
        <f>VLOOKUP(W226,'Catalogue Aluminium'!$B$9:$H$93,7,FALSE)</f>
        <v>15</v>
      </c>
      <c r="BC226" s="328">
        <f t="shared" si="1612"/>
        <v>15</v>
      </c>
      <c r="BE226" s="336"/>
      <c r="BF226" s="336"/>
      <c r="BG226" s="336"/>
      <c r="BH226" s="336"/>
      <c r="BI226" s="336"/>
      <c r="BJ226" s="336"/>
      <c r="BK226" s="336"/>
      <c r="BL226" s="336"/>
      <c r="BM226" s="336"/>
      <c r="BN226" s="336"/>
      <c r="BO226" s="336"/>
      <c r="BP226" s="336"/>
      <c r="BQ226" s="336"/>
      <c r="BR226" s="336"/>
      <c r="BS226" s="336"/>
      <c r="BT226" s="336"/>
      <c r="BU226" s="336"/>
      <c r="BV226" s="336"/>
      <c r="BW226" s="336"/>
      <c r="BX226" s="336"/>
      <c r="BY226" s="336"/>
      <c r="BZ226" s="336"/>
      <c r="CA226" s="336"/>
      <c r="CB226" s="336"/>
      <c r="CC226" s="336"/>
      <c r="CD226" s="336"/>
      <c r="CE226" s="336"/>
      <c r="CF226" s="336"/>
      <c r="CG226" s="336"/>
      <c r="CH226" s="336"/>
      <c r="CI226" s="336"/>
      <c r="CJ226" s="336"/>
      <c r="CK226" s="336"/>
      <c r="CL226" s="336"/>
      <c r="CM226" s="336"/>
      <c r="CN226" s="336"/>
      <c r="CO226" s="336"/>
      <c r="CP226" s="336"/>
      <c r="CQ226" s="336"/>
      <c r="CR226" s="336"/>
      <c r="CS226" s="336"/>
      <c r="CT226" s="336"/>
      <c r="CU226" s="336"/>
      <c r="CV226" s="336"/>
      <c r="CW226" s="336"/>
      <c r="CX226" s="336"/>
      <c r="CY226" s="336"/>
      <c r="CZ226" s="336"/>
      <c r="DA226" s="336"/>
      <c r="DB226" s="336"/>
      <c r="DC226" s="336"/>
      <c r="DD226" s="336"/>
      <c r="DE226" s="336"/>
      <c r="DF226" s="336"/>
      <c r="DG226" s="336"/>
      <c r="DH226" s="336"/>
      <c r="DI226" s="336"/>
      <c r="DJ226" s="336"/>
      <c r="DK226" s="336"/>
      <c r="DL226" s="336"/>
      <c r="DM226" s="336"/>
      <c r="DN226" s="336"/>
      <c r="DO226" s="336"/>
      <c r="DP226" s="336"/>
      <c r="DQ226" s="336"/>
      <c r="DR226" s="336"/>
      <c r="DS226" s="336"/>
      <c r="DT226" s="336"/>
      <c r="DU226" s="336"/>
      <c r="DW226" s="336">
        <f t="shared" si="1529"/>
        <v>0</v>
      </c>
      <c r="DX226" s="336">
        <f t="shared" si="1479"/>
        <v>0</v>
      </c>
      <c r="DY226" s="336">
        <f t="shared" si="1480"/>
        <v>0</v>
      </c>
      <c r="DZ226" s="336">
        <f t="shared" si="1481"/>
        <v>0</v>
      </c>
      <c r="EA226" s="336">
        <f t="shared" si="1482"/>
        <v>0</v>
      </c>
      <c r="EB226" s="336">
        <f t="shared" si="1483"/>
        <v>0</v>
      </c>
      <c r="EC226" s="336">
        <f t="shared" si="1484"/>
        <v>0</v>
      </c>
      <c r="ED226" s="336">
        <f t="shared" si="1485"/>
        <v>0</v>
      </c>
      <c r="EE226" s="336">
        <f t="shared" si="1486"/>
        <v>0</v>
      </c>
      <c r="EF226" s="336">
        <f t="shared" si="1487"/>
        <v>0</v>
      </c>
      <c r="EG226" s="336">
        <f t="shared" si="1488"/>
        <v>0</v>
      </c>
      <c r="EH226" s="336">
        <f t="shared" si="1489"/>
        <v>0</v>
      </c>
      <c r="EI226" s="336">
        <f t="shared" si="1490"/>
        <v>0</v>
      </c>
      <c r="EJ226" s="336">
        <f t="shared" si="1491"/>
        <v>0</v>
      </c>
      <c r="EK226" s="336">
        <f t="shared" si="1492"/>
        <v>0</v>
      </c>
      <c r="EL226" s="336">
        <f t="shared" si="1493"/>
        <v>0</v>
      </c>
      <c r="EM226" s="336">
        <f t="shared" si="1494"/>
        <v>0</v>
      </c>
      <c r="EN226" s="336">
        <f t="shared" si="1495"/>
        <v>0</v>
      </c>
      <c r="EO226" s="336">
        <f t="shared" si="1496"/>
        <v>0</v>
      </c>
      <c r="EP226" s="336">
        <f t="shared" si="1497"/>
        <v>0</v>
      </c>
      <c r="EQ226" s="336">
        <f t="shared" si="1498"/>
        <v>0</v>
      </c>
      <c r="ER226" s="336">
        <f t="shared" si="1499"/>
        <v>0</v>
      </c>
      <c r="ES226" s="336">
        <f t="shared" si="1500"/>
        <v>0</v>
      </c>
      <c r="ET226" s="336">
        <f t="shared" si="1500"/>
        <v>0</v>
      </c>
      <c r="EU226" s="336">
        <f t="shared" si="1501"/>
        <v>0</v>
      </c>
      <c r="EV226" s="336">
        <f t="shared" si="1502"/>
        <v>0</v>
      </c>
      <c r="EW226" s="336">
        <f t="shared" si="1503"/>
        <v>0</v>
      </c>
      <c r="EX226" s="336">
        <f t="shared" si="1504"/>
        <v>0</v>
      </c>
      <c r="EY226" s="336">
        <f t="shared" si="1505"/>
        <v>0</v>
      </c>
      <c r="EZ226" s="336">
        <f t="shared" si="1506"/>
        <v>0</v>
      </c>
      <c r="FA226" s="336">
        <f t="shared" si="1507"/>
        <v>0</v>
      </c>
      <c r="FB226" s="336">
        <f t="shared" si="1508"/>
        <v>0</v>
      </c>
      <c r="FC226" s="336">
        <f t="shared" si="1509"/>
        <v>0</v>
      </c>
      <c r="FD226" s="336">
        <f t="shared" si="1510"/>
        <v>0</v>
      </c>
      <c r="FE226" s="336">
        <f t="shared" si="1511"/>
        <v>0</v>
      </c>
      <c r="FF226" s="336">
        <f t="shared" si="1512"/>
        <v>0</v>
      </c>
      <c r="FG226" s="336">
        <f t="shared" si="1513"/>
        <v>0</v>
      </c>
      <c r="FH226" s="336">
        <f t="shared" si="1514"/>
        <v>0</v>
      </c>
      <c r="FI226" s="336">
        <f t="shared" si="1515"/>
        <v>0</v>
      </c>
      <c r="FJ226" s="336">
        <f t="shared" si="1516"/>
        <v>0</v>
      </c>
      <c r="FK226" s="336">
        <f t="shared" si="1517"/>
        <v>0</v>
      </c>
      <c r="FL226" s="336">
        <f t="shared" si="1518"/>
        <v>0</v>
      </c>
      <c r="FM226" s="336">
        <f t="shared" si="1519"/>
        <v>0</v>
      </c>
      <c r="FN226" s="336">
        <f t="shared" si="1520"/>
        <v>0</v>
      </c>
      <c r="FO226" s="336">
        <f t="shared" si="1521"/>
        <v>0</v>
      </c>
      <c r="FP226" s="336">
        <f t="shared" si="1522"/>
        <v>0</v>
      </c>
      <c r="FQ226" s="336">
        <f t="shared" si="1523"/>
        <v>0</v>
      </c>
      <c r="FR226" s="336">
        <f t="shared" si="1524"/>
        <v>0</v>
      </c>
      <c r="FS226" s="336">
        <f t="shared" si="1525"/>
        <v>0</v>
      </c>
      <c r="FT226" s="336">
        <f t="shared" si="1526"/>
        <v>0</v>
      </c>
      <c r="FU226" s="336">
        <f t="shared" si="1474"/>
        <v>0</v>
      </c>
      <c r="FV226" s="336">
        <f t="shared" si="1475"/>
        <v>0</v>
      </c>
      <c r="FW226" s="336">
        <f t="shared" si="1476"/>
        <v>0</v>
      </c>
      <c r="FX226" s="336">
        <f t="shared" si="1477"/>
        <v>0</v>
      </c>
      <c r="FY226" s="336">
        <f t="shared" si="1559"/>
        <v>0</v>
      </c>
      <c r="FZ226" s="336">
        <f t="shared" si="1560"/>
        <v>0</v>
      </c>
      <c r="GA226" s="336">
        <f t="shared" si="1561"/>
        <v>0</v>
      </c>
      <c r="GB226" s="336">
        <f t="shared" si="1562"/>
        <v>0</v>
      </c>
      <c r="GC226" s="336">
        <f t="shared" si="1563"/>
        <v>0</v>
      </c>
      <c r="GD226" s="336">
        <f t="shared" si="1564"/>
        <v>0</v>
      </c>
      <c r="GE226" s="336">
        <f t="shared" si="1565"/>
        <v>0</v>
      </c>
      <c r="GF226" s="336">
        <f t="shared" si="1566"/>
        <v>0</v>
      </c>
      <c r="GG226" s="336">
        <f t="shared" si="1567"/>
        <v>0</v>
      </c>
      <c r="GH226" s="336">
        <f t="shared" si="1568"/>
        <v>0</v>
      </c>
      <c r="GI226" s="336">
        <f t="shared" si="1569"/>
        <v>0</v>
      </c>
      <c r="GJ226" s="336">
        <f t="shared" si="1570"/>
        <v>0</v>
      </c>
      <c r="GK226" s="336">
        <f t="shared" si="1571"/>
        <v>0</v>
      </c>
      <c r="GL226" s="336">
        <f t="shared" si="1478"/>
        <v>0</v>
      </c>
      <c r="GM226" s="336">
        <f t="shared" si="1572"/>
        <v>0</v>
      </c>
    </row>
    <row r="227" spans="1:195" ht="27.75" customHeight="1">
      <c r="A227" s="337">
        <f t="shared" si="1615"/>
        <v>180</v>
      </c>
      <c r="B227" s="453"/>
      <c r="C227" s="372" t="s">
        <v>1360</v>
      </c>
      <c r="D227" s="444" t="s">
        <v>1373</v>
      </c>
      <c r="E227" s="440" t="s">
        <v>1374</v>
      </c>
      <c r="F227" s="372"/>
      <c r="G227" s="337" t="s">
        <v>329</v>
      </c>
      <c r="H227" s="350">
        <v>1.5</v>
      </c>
      <c r="I227" s="337" t="s">
        <v>330</v>
      </c>
      <c r="J227" s="343" t="s">
        <v>357</v>
      </c>
      <c r="K227" s="349">
        <v>230</v>
      </c>
      <c r="L227" s="343">
        <v>0.95</v>
      </c>
      <c r="M227" s="350">
        <v>0.85</v>
      </c>
      <c r="N227" s="342">
        <f t="shared" ref="N227:N231" si="1616">IF(I227="kVA",IF(J227="3Ph",(H227*1000/(1.732*M227*K227)),(H227*1000/(M227*K227))),IF(I227="kW",IF(J227="3Ph",(H227*1000/(1.732*M227*K227*L227)),(H227*1000/(M227*K227*L227)))))</f>
        <v>8.0764571274734145</v>
      </c>
      <c r="O227" s="342">
        <f t="shared" ref="O227:O231" si="1617">IF(G227="MOTOR",(6*N227),IF(G227="VFD",(1*N227),0))</f>
        <v>0</v>
      </c>
      <c r="P227" s="343" t="str">
        <f t="shared" ref="P227:P231" si="1618">IF(G227="MOTOR",0.2,"0.00")</f>
        <v>0.00</v>
      </c>
      <c r="Q227" s="350">
        <v>65</v>
      </c>
      <c r="R227" s="350">
        <v>0</v>
      </c>
      <c r="S227" s="350">
        <f t="shared" ref="S227:S231" si="1619">(Q227*1000*SQRT(R227)/143)</f>
        <v>0</v>
      </c>
      <c r="T227" s="343" t="s">
        <v>131</v>
      </c>
      <c r="U227" s="350" t="s">
        <v>333</v>
      </c>
      <c r="V227" s="343">
        <v>4</v>
      </c>
      <c r="W227" s="343" t="str">
        <f t="shared" ref="W227:W231" si="1620">CONCATENATE(U227," X ",V227)</f>
        <v>3C X 4</v>
      </c>
      <c r="X227" s="343" t="str">
        <f t="shared" ref="X227:X231" si="1621">(IF(J227="1Ph",W227,IF(J227="3Ph",(IF(G227="MOTOR",(CONCATENATE(W227,"+PE")),W227)))))</f>
        <v>3C X 4</v>
      </c>
      <c r="Y227" s="343" t="s">
        <v>358</v>
      </c>
      <c r="Z227" s="344">
        <f>IF(T227="AIR",VLOOKUP(W227,'Catalogue Aluminium'!$B$9:$G$93,2,FALSE),IF(T227="GROUND",VLOOKUP(W227,'Catalogue Aluminium'!$B$9:$G$93,3,FALSE),IF(T227="DUCT",VLOOKUP(W227,'Catalogue Aluminium'!$B$9:$G$93,4,FALSE),IF(T227="TRENCH",VLOOKUP(W227,'Catalogue Aluminium'!$B$9:$G$93,2,FALSE)))))</f>
        <v>38</v>
      </c>
      <c r="AA227" s="345">
        <f>VLOOKUP(W227,'Catalogue Aluminium'!$B$9:$G$93,5,FALSE)</f>
        <v>5.9</v>
      </c>
      <c r="AB227" s="345">
        <f>VLOOKUP(W227,'Catalogue Aluminium'!$B$9:$G$93,6,FALSE)</f>
        <v>9.4700000000000006E-2</v>
      </c>
      <c r="AC227" s="343">
        <f t="shared" si="1614"/>
        <v>33</v>
      </c>
      <c r="AD227" s="343">
        <v>0</v>
      </c>
      <c r="AE227" s="343">
        <v>10</v>
      </c>
      <c r="AF227" s="343">
        <v>5</v>
      </c>
      <c r="AG227" s="343">
        <f t="shared" ref="AG227:AG231" si="1622">ROUNDUP((SUM(AC227:AF227)*0.1),0)</f>
        <v>5</v>
      </c>
      <c r="AH227" s="347">
        <f t="shared" ref="AH227:AH231" si="1623">SUM(AC227:AG227)</f>
        <v>53</v>
      </c>
      <c r="AI227" s="344">
        <f>IF(T227="AIR",'Catalogue Aluminium'!$K$9,IF(T227="TRENCH",'Catalogue Aluminium'!$K$12,"NA"))</f>
        <v>0.89</v>
      </c>
      <c r="AJ227" s="342">
        <f>IF(T227="Air",(IF(U227="1C",'Catalogue Aluminium'!$L$9,'Catalogue Aluminium'!$M$9)),IF(T227="DUCT",(IF($U227="1C",'Catalogue Aluminium'!$L$10,'Catalogue Aluminium'!$M$10)),IF(T227="GROUND",(IF($U227="1C",'Catalogue Aluminium'!$L$11,'Catalogue Aluminium'!$M$11)),IF(T227="TRENCH",(IF($U227="1C",'Catalogue Aluminium'!$L$12,'Catalogue Aluminium'!$M$12))))))</f>
        <v>0.66</v>
      </c>
      <c r="AK227" s="344" t="str">
        <f>IF(T227="Air",'Catalogue Aluminium'!$N$9,IF(T227="GROUND",'Catalogue Aluminium'!$N$10,IF(T227="DUCT",'Catalogue Aluminium'!$N$11,IF(T227="TRENCH",'Catalogue Aluminium'!$N$12,"NA"))))</f>
        <v>NA</v>
      </c>
      <c r="AL227" s="344" t="str">
        <f>IF(T227="Air",(IF(U227="1C",'Catalogue Aluminium'!$O$9,'Catalogue Aluminium'!$P$9)),IF(T227="DUCT",(IF($U227="1C",'Catalogue Aluminium'!$O$10,'Catalogue Aluminium'!$P$10)),IF(T227="GROUND",(IF($U227="1C",'Catalogue Aluminium'!$O$11,'Catalogue Aluminium'!$P$11)),IF(T227="TRENCH",(IF($U227="1C",'Catalogue Aluminium'!$O$12,'Catalogue Aluminium'!$P$12))))))</f>
        <v>NA</v>
      </c>
      <c r="AM227" s="344" t="str">
        <f>IF(T227="AIR","NA",IF(T227="TRENCH","NA",IF(T227="DUCT",IF(U227="1C",VLOOKUP(V227,'Catalogue Aluminium'!$Q$9:$S$28,2,FALSE),VLOOKUP(V227,'Catalogue Aluminium'!$Q$9:$S$28,3)),IF(T227="GROUND",IF(U227="1C",VLOOKUP(V227,'Catalogue Aluminium'!$Q$9:$S$28,2,FALSE),VLOOKUP(V227,'Catalogue Aluminium'!$Q$9:$S$28,3))))))</f>
        <v>NA</v>
      </c>
      <c r="AN227" s="351">
        <f t="shared" ref="AN227:AN231" si="1624">IF(T227="AIR",AI227*AJ227,IF(T227="TRENCH",AI227*AJ227,IF(T227="DUCT",AJ227*AK227*AL227*AM227,IF(T227="GROUND",AJ227*AK227*AL227*AM227))))</f>
        <v>0.58740000000000003</v>
      </c>
      <c r="AO227" s="350">
        <f t="shared" ref="AO227:AO231" si="1625">Z227*AN227</f>
        <v>22.321200000000001</v>
      </c>
      <c r="AP227" s="349">
        <f t="shared" ref="AP227:AP231" si="1626">CEILING(((N227)/AO227),1)</f>
        <v>1</v>
      </c>
      <c r="AQ227" s="350" t="str">
        <f t="shared" ref="AQ227:AQ231" si="1627">IF(AO227*AP227&gt;=N227,"YES","NO")</f>
        <v>YES</v>
      </c>
      <c r="AR227" s="351">
        <f t="shared" ref="AR227:AR231" si="1628">SQRT(3)*AH227*N227*((AA227*L227)+(AB227*SIN(ACOS(L227))))*100/(AP227*K227*1000)</f>
        <v>1.8163115165998727</v>
      </c>
      <c r="AS227" s="343" t="str">
        <f t="shared" ref="AS227:AS231" si="1629">IF(G227="INCOMER",(IF(AR227&lt;=2,"YES","NO")),IF(G227="POWER",(IF(AR227&lt;=2.5,"YES","NO")),IF(G227="MOTOR",(IF(AR227&lt;=3,"YES","NO")))))</f>
        <v>YES</v>
      </c>
      <c r="AT227" s="351" t="str">
        <f t="shared" si="1605"/>
        <v>NA</v>
      </c>
      <c r="AU227" s="343" t="str">
        <f t="shared" si="1606"/>
        <v>NA</v>
      </c>
      <c r="AV227" s="354" t="str">
        <f t="shared" si="1607"/>
        <v>1R x 0.6/1kV x 3C x 4 Sqmm</v>
      </c>
      <c r="AW227" s="354" t="str">
        <f t="shared" si="1608"/>
        <v>1R x 0.6/1kV x 3C x 4 Sqmm</v>
      </c>
      <c r="AX227" s="343">
        <f t="shared" si="1609"/>
        <v>53</v>
      </c>
      <c r="AY227" s="355"/>
      <c r="AZ227" s="355">
        <f t="shared" si="1610"/>
        <v>2</v>
      </c>
      <c r="BA227" s="356" t="str">
        <f t="shared" si="1611"/>
        <v/>
      </c>
      <c r="BB227" s="501">
        <f>VLOOKUP(W227,'Catalogue Aluminium'!$B$9:$H$93,7,FALSE)</f>
        <v>15</v>
      </c>
      <c r="BC227" s="328">
        <f t="shared" si="1612"/>
        <v>15</v>
      </c>
      <c r="BE227" s="336"/>
      <c r="BF227" s="336"/>
      <c r="BG227" s="336"/>
      <c r="BH227" s="336"/>
      <c r="BI227" s="336"/>
      <c r="BJ227" s="336"/>
      <c r="BK227" s="336"/>
      <c r="BL227" s="336"/>
      <c r="BM227" s="336"/>
      <c r="BN227" s="336"/>
      <c r="BO227" s="336"/>
      <c r="BP227" s="336"/>
      <c r="BQ227" s="336"/>
      <c r="BR227" s="336"/>
      <c r="BS227" s="336"/>
      <c r="BT227" s="336"/>
      <c r="BU227" s="336"/>
      <c r="BV227" s="336"/>
      <c r="BW227" s="336"/>
      <c r="BX227" s="336"/>
      <c r="BY227" s="336"/>
      <c r="BZ227" s="336"/>
      <c r="CA227" s="336"/>
      <c r="CB227" s="336"/>
      <c r="CC227" s="336"/>
      <c r="CD227" s="336"/>
      <c r="CE227" s="336"/>
      <c r="CF227" s="336"/>
      <c r="CG227" s="336"/>
      <c r="CH227" s="336"/>
      <c r="CI227" s="336"/>
      <c r="CJ227" s="336"/>
      <c r="CK227" s="336"/>
      <c r="CL227" s="336"/>
      <c r="CM227" s="336"/>
      <c r="CN227" s="336"/>
      <c r="CO227" s="336"/>
      <c r="CP227" s="336"/>
      <c r="CQ227" s="336"/>
      <c r="CR227" s="336"/>
      <c r="CS227" s="336"/>
      <c r="CT227" s="336"/>
      <c r="CU227" s="336"/>
      <c r="CV227" s="336"/>
      <c r="CW227" s="336"/>
      <c r="CX227" s="336"/>
      <c r="CY227" s="336"/>
      <c r="CZ227" s="336"/>
      <c r="DA227" s="336"/>
      <c r="DB227" s="336"/>
      <c r="DC227" s="336"/>
      <c r="DD227" s="336"/>
      <c r="DE227" s="336"/>
      <c r="DF227" s="336"/>
      <c r="DG227" s="336"/>
      <c r="DH227" s="336"/>
      <c r="DI227" s="336"/>
      <c r="DJ227" s="336"/>
      <c r="DK227" s="336"/>
      <c r="DL227" s="336"/>
      <c r="DM227" s="336"/>
      <c r="DN227" s="336"/>
      <c r="DO227" s="336"/>
      <c r="DP227" s="336"/>
      <c r="DQ227" s="336"/>
      <c r="DR227" s="336"/>
      <c r="DS227" s="336"/>
      <c r="DT227" s="336"/>
      <c r="DU227" s="336"/>
      <c r="DW227" s="336">
        <f t="shared" si="1529"/>
        <v>0</v>
      </c>
      <c r="DX227" s="336">
        <f t="shared" si="1479"/>
        <v>0</v>
      </c>
      <c r="DY227" s="336">
        <f t="shared" si="1480"/>
        <v>0</v>
      </c>
      <c r="DZ227" s="336">
        <f t="shared" si="1481"/>
        <v>0</v>
      </c>
      <c r="EA227" s="336">
        <f t="shared" si="1482"/>
        <v>0</v>
      </c>
      <c r="EB227" s="336">
        <f t="shared" si="1483"/>
        <v>0</v>
      </c>
      <c r="EC227" s="336">
        <f t="shared" si="1484"/>
        <v>0</v>
      </c>
      <c r="ED227" s="336">
        <f t="shared" si="1485"/>
        <v>0</v>
      </c>
      <c r="EE227" s="336">
        <f t="shared" si="1486"/>
        <v>0</v>
      </c>
      <c r="EF227" s="336">
        <f t="shared" si="1487"/>
        <v>0</v>
      </c>
      <c r="EG227" s="336">
        <f t="shared" si="1488"/>
        <v>0</v>
      </c>
      <c r="EH227" s="336">
        <f t="shared" si="1489"/>
        <v>0</v>
      </c>
      <c r="EI227" s="336">
        <f t="shared" si="1490"/>
        <v>0</v>
      </c>
      <c r="EJ227" s="336">
        <f t="shared" si="1491"/>
        <v>0</v>
      </c>
      <c r="EK227" s="336">
        <f t="shared" si="1492"/>
        <v>0</v>
      </c>
      <c r="EL227" s="336">
        <f t="shared" si="1493"/>
        <v>0</v>
      </c>
      <c r="EM227" s="336">
        <f t="shared" si="1494"/>
        <v>0</v>
      </c>
      <c r="EN227" s="336">
        <f t="shared" si="1495"/>
        <v>0</v>
      </c>
      <c r="EO227" s="336">
        <f t="shared" si="1496"/>
        <v>0</v>
      </c>
      <c r="EP227" s="336">
        <f t="shared" si="1497"/>
        <v>0</v>
      </c>
      <c r="EQ227" s="336">
        <f t="shared" si="1498"/>
        <v>0</v>
      </c>
      <c r="ER227" s="336">
        <f t="shared" si="1499"/>
        <v>0</v>
      </c>
      <c r="ES227" s="336">
        <f t="shared" si="1500"/>
        <v>0</v>
      </c>
      <c r="ET227" s="336">
        <f t="shared" si="1500"/>
        <v>0</v>
      </c>
      <c r="EU227" s="336">
        <f t="shared" si="1501"/>
        <v>0</v>
      </c>
      <c r="EV227" s="336">
        <f t="shared" si="1502"/>
        <v>0</v>
      </c>
      <c r="EW227" s="336">
        <f t="shared" si="1503"/>
        <v>0</v>
      </c>
      <c r="EX227" s="336">
        <f t="shared" si="1504"/>
        <v>0</v>
      </c>
      <c r="EY227" s="336">
        <f t="shared" si="1505"/>
        <v>0</v>
      </c>
      <c r="EZ227" s="336">
        <f t="shared" si="1506"/>
        <v>0</v>
      </c>
      <c r="FA227" s="336">
        <f t="shared" si="1507"/>
        <v>0</v>
      </c>
      <c r="FB227" s="336">
        <f t="shared" si="1508"/>
        <v>0</v>
      </c>
      <c r="FC227" s="336">
        <f t="shared" si="1509"/>
        <v>0</v>
      </c>
      <c r="FD227" s="336">
        <f t="shared" si="1510"/>
        <v>0</v>
      </c>
      <c r="FE227" s="336">
        <f t="shared" si="1511"/>
        <v>0</v>
      </c>
      <c r="FF227" s="336">
        <f t="shared" si="1512"/>
        <v>0</v>
      </c>
      <c r="FG227" s="336">
        <f t="shared" si="1513"/>
        <v>0</v>
      </c>
      <c r="FH227" s="336">
        <f t="shared" si="1514"/>
        <v>0</v>
      </c>
      <c r="FI227" s="336">
        <f t="shared" si="1515"/>
        <v>0</v>
      </c>
      <c r="FJ227" s="336">
        <f t="shared" si="1516"/>
        <v>0</v>
      </c>
      <c r="FK227" s="336">
        <f t="shared" si="1517"/>
        <v>0</v>
      </c>
      <c r="FL227" s="336">
        <f t="shared" si="1518"/>
        <v>0</v>
      </c>
      <c r="FM227" s="336">
        <f t="shared" si="1519"/>
        <v>0</v>
      </c>
      <c r="FN227" s="336">
        <f t="shared" si="1520"/>
        <v>0</v>
      </c>
      <c r="FO227" s="336">
        <f t="shared" si="1521"/>
        <v>0</v>
      </c>
      <c r="FP227" s="336">
        <f t="shared" si="1522"/>
        <v>0</v>
      </c>
      <c r="FQ227" s="336">
        <f t="shared" si="1523"/>
        <v>0</v>
      </c>
      <c r="FR227" s="336">
        <f t="shared" si="1524"/>
        <v>0</v>
      </c>
      <c r="FS227" s="336">
        <f t="shared" si="1525"/>
        <v>0</v>
      </c>
      <c r="FT227" s="336">
        <f t="shared" si="1526"/>
        <v>0</v>
      </c>
      <c r="FU227" s="336">
        <f t="shared" si="1474"/>
        <v>0</v>
      </c>
      <c r="FV227" s="336">
        <f t="shared" si="1475"/>
        <v>0</v>
      </c>
      <c r="FW227" s="336">
        <f t="shared" si="1476"/>
        <v>0</v>
      </c>
      <c r="FX227" s="336">
        <f t="shared" si="1477"/>
        <v>0</v>
      </c>
      <c r="FY227" s="336">
        <f t="shared" si="1559"/>
        <v>0</v>
      </c>
      <c r="FZ227" s="336">
        <f t="shared" si="1560"/>
        <v>0</v>
      </c>
      <c r="GA227" s="336">
        <f t="shared" si="1561"/>
        <v>0</v>
      </c>
      <c r="GB227" s="336">
        <f t="shared" si="1562"/>
        <v>0</v>
      </c>
      <c r="GC227" s="336">
        <f t="shared" si="1563"/>
        <v>0</v>
      </c>
      <c r="GD227" s="336">
        <f t="shared" si="1564"/>
        <v>0</v>
      </c>
      <c r="GE227" s="336">
        <f t="shared" si="1565"/>
        <v>0</v>
      </c>
      <c r="GF227" s="336">
        <f t="shared" si="1566"/>
        <v>0</v>
      </c>
      <c r="GG227" s="336">
        <f t="shared" si="1567"/>
        <v>0</v>
      </c>
      <c r="GH227" s="336">
        <f t="shared" si="1568"/>
        <v>0</v>
      </c>
      <c r="GI227" s="336">
        <f t="shared" si="1569"/>
        <v>0</v>
      </c>
      <c r="GJ227" s="336">
        <f t="shared" si="1570"/>
        <v>0</v>
      </c>
      <c r="GK227" s="336">
        <f t="shared" si="1571"/>
        <v>0</v>
      </c>
      <c r="GL227" s="336">
        <f t="shared" si="1478"/>
        <v>0</v>
      </c>
      <c r="GM227" s="336">
        <f t="shared" si="1572"/>
        <v>0</v>
      </c>
    </row>
    <row r="228" spans="1:195" ht="27.75" customHeight="1">
      <c r="A228" s="337">
        <f t="shared" si="1615"/>
        <v>181</v>
      </c>
      <c r="B228" s="453"/>
      <c r="C228" s="372" t="s">
        <v>1360</v>
      </c>
      <c r="D228" s="444" t="s">
        <v>1375</v>
      </c>
      <c r="E228" s="440" t="s">
        <v>1374</v>
      </c>
      <c r="F228" s="372"/>
      <c r="G228" s="337" t="s">
        <v>329</v>
      </c>
      <c r="H228" s="350">
        <v>1.5</v>
      </c>
      <c r="I228" s="337" t="s">
        <v>330</v>
      </c>
      <c r="J228" s="343" t="s">
        <v>357</v>
      </c>
      <c r="K228" s="349">
        <v>230</v>
      </c>
      <c r="L228" s="343">
        <v>0.95</v>
      </c>
      <c r="M228" s="350">
        <v>0.85</v>
      </c>
      <c r="N228" s="342">
        <f t="shared" si="1616"/>
        <v>8.0764571274734145</v>
      </c>
      <c r="O228" s="342">
        <f t="shared" si="1617"/>
        <v>0</v>
      </c>
      <c r="P228" s="343" t="str">
        <f t="shared" si="1618"/>
        <v>0.00</v>
      </c>
      <c r="Q228" s="350">
        <v>65</v>
      </c>
      <c r="R228" s="350">
        <v>0</v>
      </c>
      <c r="S228" s="350">
        <f t="shared" si="1619"/>
        <v>0</v>
      </c>
      <c r="T228" s="343" t="s">
        <v>131</v>
      </c>
      <c r="U228" s="350" t="s">
        <v>333</v>
      </c>
      <c r="V228" s="343">
        <v>4</v>
      </c>
      <c r="W228" s="343" t="str">
        <f t="shared" si="1620"/>
        <v>3C X 4</v>
      </c>
      <c r="X228" s="343" t="str">
        <f t="shared" si="1621"/>
        <v>3C X 4</v>
      </c>
      <c r="Y228" s="343" t="s">
        <v>358</v>
      </c>
      <c r="Z228" s="344">
        <f>IF(T228="AIR",VLOOKUP(W228,'Catalogue Aluminium'!$B$9:$G$93,2,FALSE),IF(T228="GROUND",VLOOKUP(W228,'Catalogue Aluminium'!$B$9:$G$93,3,FALSE),IF(T228="DUCT",VLOOKUP(W228,'Catalogue Aluminium'!$B$9:$G$93,4,FALSE),IF(T228="TRENCH",VLOOKUP(W228,'Catalogue Aluminium'!$B$9:$G$93,2,FALSE)))))</f>
        <v>38</v>
      </c>
      <c r="AA228" s="345">
        <f>VLOOKUP(W228,'Catalogue Aluminium'!$B$9:$G$93,5,FALSE)</f>
        <v>5.9</v>
      </c>
      <c r="AB228" s="345">
        <f>VLOOKUP(W228,'Catalogue Aluminium'!$B$9:$G$93,6,FALSE)</f>
        <v>9.4700000000000006E-2</v>
      </c>
      <c r="AC228" s="343">
        <f t="shared" si="1614"/>
        <v>33</v>
      </c>
      <c r="AD228" s="343">
        <v>0</v>
      </c>
      <c r="AE228" s="343">
        <v>10</v>
      </c>
      <c r="AF228" s="343">
        <v>5</v>
      </c>
      <c r="AG228" s="343">
        <f t="shared" si="1622"/>
        <v>5</v>
      </c>
      <c r="AH228" s="347">
        <f t="shared" si="1623"/>
        <v>53</v>
      </c>
      <c r="AI228" s="344">
        <f>IF(T228="AIR",'Catalogue Aluminium'!$K$9,IF(T228="TRENCH",'Catalogue Aluminium'!$K$12,"NA"))</f>
        <v>0.89</v>
      </c>
      <c r="AJ228" s="342">
        <f>IF(T228="Air",(IF(U228="1C",'Catalogue Aluminium'!$L$9,'Catalogue Aluminium'!$M$9)),IF(T228="DUCT",(IF($U228="1C",'Catalogue Aluminium'!$L$10,'Catalogue Aluminium'!$M$10)),IF(T228="GROUND",(IF($U228="1C",'Catalogue Aluminium'!$L$11,'Catalogue Aluminium'!$M$11)),IF(T228="TRENCH",(IF($U228="1C",'Catalogue Aluminium'!$L$12,'Catalogue Aluminium'!$M$12))))))</f>
        <v>0.66</v>
      </c>
      <c r="AK228" s="344" t="str">
        <f>IF(T228="Air",'Catalogue Aluminium'!$N$9,IF(T228="GROUND",'Catalogue Aluminium'!$N$10,IF(T228="DUCT",'Catalogue Aluminium'!$N$11,IF(T228="TRENCH",'Catalogue Aluminium'!$N$12,"NA"))))</f>
        <v>NA</v>
      </c>
      <c r="AL228" s="344" t="str">
        <f>IF(T228="Air",(IF(U228="1C",'Catalogue Aluminium'!$O$9,'Catalogue Aluminium'!$P$9)),IF(T228="DUCT",(IF($U228="1C",'Catalogue Aluminium'!$O$10,'Catalogue Aluminium'!$P$10)),IF(T228="GROUND",(IF($U228="1C",'Catalogue Aluminium'!$O$11,'Catalogue Aluminium'!$P$11)),IF(T228="TRENCH",(IF($U228="1C",'Catalogue Aluminium'!$O$12,'Catalogue Aluminium'!$P$12))))))</f>
        <v>NA</v>
      </c>
      <c r="AM228" s="344" t="str">
        <f>IF(T228="AIR","NA",IF(T228="TRENCH","NA",IF(T228="DUCT",IF(U228="1C",VLOOKUP(V228,'Catalogue Aluminium'!$Q$9:$S$28,2,FALSE),VLOOKUP(V228,'Catalogue Aluminium'!$Q$9:$S$28,3)),IF(T228="GROUND",IF(U228="1C",VLOOKUP(V228,'Catalogue Aluminium'!$Q$9:$S$28,2,FALSE),VLOOKUP(V228,'Catalogue Aluminium'!$Q$9:$S$28,3))))))</f>
        <v>NA</v>
      </c>
      <c r="AN228" s="351">
        <f t="shared" si="1624"/>
        <v>0.58740000000000003</v>
      </c>
      <c r="AO228" s="350">
        <f t="shared" si="1625"/>
        <v>22.321200000000001</v>
      </c>
      <c r="AP228" s="349">
        <f t="shared" si="1626"/>
        <v>1</v>
      </c>
      <c r="AQ228" s="350" t="str">
        <f t="shared" si="1627"/>
        <v>YES</v>
      </c>
      <c r="AR228" s="351">
        <f t="shared" si="1628"/>
        <v>1.8163115165998727</v>
      </c>
      <c r="AS228" s="343" t="str">
        <f t="shared" si="1629"/>
        <v>YES</v>
      </c>
      <c r="AT228" s="351" t="str">
        <f t="shared" si="1605"/>
        <v>NA</v>
      </c>
      <c r="AU228" s="343" t="str">
        <f t="shared" si="1606"/>
        <v>NA</v>
      </c>
      <c r="AV228" s="354" t="str">
        <f t="shared" si="1607"/>
        <v>1R x 0.6/1kV x 3C x 4 Sqmm</v>
      </c>
      <c r="AW228" s="354" t="str">
        <f t="shared" si="1608"/>
        <v>1R x 0.6/1kV x 3C x 4 Sqmm</v>
      </c>
      <c r="AX228" s="343">
        <f t="shared" si="1609"/>
        <v>53</v>
      </c>
      <c r="AY228" s="355"/>
      <c r="AZ228" s="355">
        <f t="shared" si="1610"/>
        <v>2</v>
      </c>
      <c r="BA228" s="356" t="str">
        <f t="shared" si="1611"/>
        <v/>
      </c>
      <c r="BB228" s="501">
        <f>VLOOKUP(W228,'Catalogue Aluminium'!$B$9:$H$93,7,FALSE)</f>
        <v>15</v>
      </c>
      <c r="BC228" s="328">
        <f t="shared" si="1612"/>
        <v>15</v>
      </c>
      <c r="BE228" s="336"/>
      <c r="BF228" s="336"/>
      <c r="BG228" s="336"/>
      <c r="BH228" s="336"/>
      <c r="BI228" s="336"/>
      <c r="BJ228" s="336"/>
      <c r="BK228" s="336"/>
      <c r="BL228" s="336"/>
      <c r="BM228" s="336"/>
      <c r="BN228" s="336"/>
      <c r="BO228" s="336"/>
      <c r="BP228" s="336"/>
      <c r="BQ228" s="336"/>
      <c r="BR228" s="336"/>
      <c r="BS228" s="336"/>
      <c r="BT228" s="336"/>
      <c r="BU228" s="336"/>
      <c r="BV228" s="336"/>
      <c r="BW228" s="336"/>
      <c r="BX228" s="336"/>
      <c r="BY228" s="336"/>
      <c r="BZ228" s="336"/>
      <c r="CA228" s="336"/>
      <c r="CB228" s="336"/>
      <c r="CC228" s="336"/>
      <c r="CD228" s="336"/>
      <c r="CE228" s="336"/>
      <c r="CF228" s="336"/>
      <c r="CG228" s="336"/>
      <c r="CH228" s="336"/>
      <c r="CI228" s="336"/>
      <c r="CJ228" s="336"/>
      <c r="CK228" s="336"/>
      <c r="CL228" s="336"/>
      <c r="CM228" s="336"/>
      <c r="CN228" s="336"/>
      <c r="CO228" s="336"/>
      <c r="CP228" s="336"/>
      <c r="CQ228" s="336"/>
      <c r="CR228" s="336"/>
      <c r="CS228" s="336"/>
      <c r="CT228" s="336"/>
      <c r="CU228" s="336"/>
      <c r="CV228" s="336"/>
      <c r="CW228" s="336"/>
      <c r="CX228" s="336"/>
      <c r="CY228" s="336"/>
      <c r="CZ228" s="336"/>
      <c r="DA228" s="336"/>
      <c r="DB228" s="336"/>
      <c r="DC228" s="336"/>
      <c r="DD228" s="336"/>
      <c r="DE228" s="336"/>
      <c r="DF228" s="336"/>
      <c r="DG228" s="336"/>
      <c r="DH228" s="336"/>
      <c r="DI228" s="336"/>
      <c r="DJ228" s="336"/>
      <c r="DK228" s="336"/>
      <c r="DL228" s="336"/>
      <c r="DM228" s="336"/>
      <c r="DN228" s="336"/>
      <c r="DO228" s="336"/>
      <c r="DP228" s="336"/>
      <c r="DQ228" s="336"/>
      <c r="DR228" s="336"/>
      <c r="DS228" s="336"/>
      <c r="DT228" s="336"/>
      <c r="DU228" s="336"/>
      <c r="DW228" s="336">
        <f t="shared" si="1529"/>
        <v>0</v>
      </c>
      <c r="DX228" s="336">
        <f t="shared" si="1479"/>
        <v>0</v>
      </c>
      <c r="DY228" s="336">
        <f t="shared" si="1480"/>
        <v>0</v>
      </c>
      <c r="DZ228" s="336">
        <f t="shared" si="1481"/>
        <v>0</v>
      </c>
      <c r="EA228" s="336">
        <f t="shared" si="1482"/>
        <v>0</v>
      </c>
      <c r="EB228" s="336">
        <f t="shared" si="1483"/>
        <v>0</v>
      </c>
      <c r="EC228" s="336">
        <f t="shared" si="1484"/>
        <v>0</v>
      </c>
      <c r="ED228" s="336">
        <f t="shared" si="1485"/>
        <v>0</v>
      </c>
      <c r="EE228" s="336">
        <f t="shared" si="1486"/>
        <v>0</v>
      </c>
      <c r="EF228" s="336">
        <f t="shared" si="1487"/>
        <v>0</v>
      </c>
      <c r="EG228" s="336">
        <f t="shared" si="1488"/>
        <v>0</v>
      </c>
      <c r="EH228" s="336">
        <f t="shared" si="1489"/>
        <v>0</v>
      </c>
      <c r="EI228" s="336">
        <f t="shared" si="1490"/>
        <v>0</v>
      </c>
      <c r="EJ228" s="336">
        <f t="shared" si="1491"/>
        <v>0</v>
      </c>
      <c r="EK228" s="336">
        <f t="shared" si="1492"/>
        <v>0</v>
      </c>
      <c r="EL228" s="336">
        <f t="shared" si="1493"/>
        <v>0</v>
      </c>
      <c r="EM228" s="336">
        <f t="shared" si="1494"/>
        <v>0</v>
      </c>
      <c r="EN228" s="336">
        <f t="shared" si="1495"/>
        <v>0</v>
      </c>
      <c r="EO228" s="336">
        <f t="shared" si="1496"/>
        <v>0</v>
      </c>
      <c r="EP228" s="336">
        <f t="shared" si="1497"/>
        <v>0</v>
      </c>
      <c r="EQ228" s="336">
        <f t="shared" si="1498"/>
        <v>0</v>
      </c>
      <c r="ER228" s="336">
        <f t="shared" si="1499"/>
        <v>0</v>
      </c>
      <c r="ES228" s="336">
        <f t="shared" si="1500"/>
        <v>0</v>
      </c>
      <c r="ET228" s="336">
        <f t="shared" si="1500"/>
        <v>0</v>
      </c>
      <c r="EU228" s="336">
        <f t="shared" si="1501"/>
        <v>0</v>
      </c>
      <c r="EV228" s="336">
        <f t="shared" si="1502"/>
        <v>0</v>
      </c>
      <c r="EW228" s="336">
        <f t="shared" si="1503"/>
        <v>0</v>
      </c>
      <c r="EX228" s="336">
        <f t="shared" si="1504"/>
        <v>0</v>
      </c>
      <c r="EY228" s="336">
        <f t="shared" si="1505"/>
        <v>0</v>
      </c>
      <c r="EZ228" s="336">
        <f t="shared" si="1506"/>
        <v>0</v>
      </c>
      <c r="FA228" s="336">
        <f t="shared" si="1507"/>
        <v>0</v>
      </c>
      <c r="FB228" s="336">
        <f t="shared" si="1508"/>
        <v>0</v>
      </c>
      <c r="FC228" s="336">
        <f t="shared" si="1509"/>
        <v>0</v>
      </c>
      <c r="FD228" s="336">
        <f t="shared" si="1510"/>
        <v>0</v>
      </c>
      <c r="FE228" s="336">
        <f t="shared" si="1511"/>
        <v>0</v>
      </c>
      <c r="FF228" s="336">
        <f t="shared" si="1512"/>
        <v>0</v>
      </c>
      <c r="FG228" s="336">
        <f t="shared" si="1513"/>
        <v>0</v>
      </c>
      <c r="FH228" s="336">
        <f t="shared" si="1514"/>
        <v>0</v>
      </c>
      <c r="FI228" s="336">
        <f t="shared" si="1515"/>
        <v>0</v>
      </c>
      <c r="FJ228" s="336">
        <f t="shared" si="1516"/>
        <v>0</v>
      </c>
      <c r="FK228" s="336">
        <f t="shared" si="1517"/>
        <v>0</v>
      </c>
      <c r="FL228" s="336">
        <f t="shared" si="1518"/>
        <v>0</v>
      </c>
      <c r="FM228" s="336">
        <f t="shared" si="1519"/>
        <v>0</v>
      </c>
      <c r="FN228" s="336">
        <f t="shared" si="1520"/>
        <v>0</v>
      </c>
      <c r="FO228" s="336">
        <f t="shared" si="1521"/>
        <v>0</v>
      </c>
      <c r="FP228" s="336">
        <f t="shared" si="1522"/>
        <v>0</v>
      </c>
      <c r="FQ228" s="336">
        <f t="shared" si="1523"/>
        <v>0</v>
      </c>
      <c r="FR228" s="336">
        <f t="shared" si="1524"/>
        <v>0</v>
      </c>
      <c r="FS228" s="336">
        <f t="shared" si="1525"/>
        <v>0</v>
      </c>
      <c r="FT228" s="336">
        <f t="shared" si="1526"/>
        <v>0</v>
      </c>
      <c r="FU228" s="336">
        <f t="shared" si="1474"/>
        <v>0</v>
      </c>
      <c r="FV228" s="336">
        <f t="shared" si="1475"/>
        <v>0</v>
      </c>
      <c r="FW228" s="336">
        <f t="shared" si="1476"/>
        <v>0</v>
      </c>
      <c r="FX228" s="336">
        <f t="shared" si="1477"/>
        <v>0</v>
      </c>
      <c r="FY228" s="336">
        <f t="shared" si="1559"/>
        <v>0</v>
      </c>
      <c r="FZ228" s="336">
        <f t="shared" si="1560"/>
        <v>0</v>
      </c>
      <c r="GA228" s="336">
        <f t="shared" si="1561"/>
        <v>0</v>
      </c>
      <c r="GB228" s="336">
        <f t="shared" si="1562"/>
        <v>0</v>
      </c>
      <c r="GC228" s="336">
        <f t="shared" si="1563"/>
        <v>0</v>
      </c>
      <c r="GD228" s="336">
        <f t="shared" si="1564"/>
        <v>0</v>
      </c>
      <c r="GE228" s="336">
        <f t="shared" si="1565"/>
        <v>0</v>
      </c>
      <c r="GF228" s="336">
        <f t="shared" si="1566"/>
        <v>0</v>
      </c>
      <c r="GG228" s="336">
        <f t="shared" si="1567"/>
        <v>0</v>
      </c>
      <c r="GH228" s="336">
        <f t="shared" si="1568"/>
        <v>0</v>
      </c>
      <c r="GI228" s="336">
        <f t="shared" si="1569"/>
        <v>0</v>
      </c>
      <c r="GJ228" s="336">
        <f t="shared" si="1570"/>
        <v>0</v>
      </c>
      <c r="GK228" s="336">
        <f t="shared" si="1571"/>
        <v>0</v>
      </c>
      <c r="GL228" s="336">
        <f t="shared" si="1478"/>
        <v>0</v>
      </c>
      <c r="GM228" s="336">
        <f t="shared" si="1572"/>
        <v>0</v>
      </c>
    </row>
    <row r="229" spans="1:195" ht="27.75" customHeight="1">
      <c r="A229" s="337">
        <f t="shared" si="1615"/>
        <v>182</v>
      </c>
      <c r="B229" s="453"/>
      <c r="C229" s="372" t="s">
        <v>1360</v>
      </c>
      <c r="D229" s="444" t="s">
        <v>1376</v>
      </c>
      <c r="E229" s="440" t="s">
        <v>1374</v>
      </c>
      <c r="F229" s="372"/>
      <c r="G229" s="337" t="s">
        <v>329</v>
      </c>
      <c r="H229" s="350">
        <v>1.5</v>
      </c>
      <c r="I229" s="337" t="s">
        <v>330</v>
      </c>
      <c r="J229" s="343" t="s">
        <v>357</v>
      </c>
      <c r="K229" s="349">
        <v>230</v>
      </c>
      <c r="L229" s="343">
        <v>0.95</v>
      </c>
      <c r="M229" s="350">
        <v>0.85</v>
      </c>
      <c r="N229" s="342">
        <f t="shared" si="1616"/>
        <v>8.0764571274734145</v>
      </c>
      <c r="O229" s="342">
        <f t="shared" si="1617"/>
        <v>0</v>
      </c>
      <c r="P229" s="343" t="str">
        <f t="shared" si="1618"/>
        <v>0.00</v>
      </c>
      <c r="Q229" s="350">
        <v>65</v>
      </c>
      <c r="R229" s="350">
        <v>0</v>
      </c>
      <c r="S229" s="350">
        <f t="shared" si="1619"/>
        <v>0</v>
      </c>
      <c r="T229" s="343" t="s">
        <v>131</v>
      </c>
      <c r="U229" s="350" t="s">
        <v>333</v>
      </c>
      <c r="V229" s="343">
        <v>4</v>
      </c>
      <c r="W229" s="343" t="str">
        <f t="shared" si="1620"/>
        <v>3C X 4</v>
      </c>
      <c r="X229" s="343" t="str">
        <f t="shared" si="1621"/>
        <v>3C X 4</v>
      </c>
      <c r="Y229" s="343" t="s">
        <v>358</v>
      </c>
      <c r="Z229" s="344">
        <f>IF(T229="AIR",VLOOKUP(W229,'Catalogue Aluminium'!$B$9:$G$93,2,FALSE),IF(T229="GROUND",VLOOKUP(W229,'Catalogue Aluminium'!$B$9:$G$93,3,FALSE),IF(T229="DUCT",VLOOKUP(W229,'Catalogue Aluminium'!$B$9:$G$93,4,FALSE),IF(T229="TRENCH",VLOOKUP(W229,'Catalogue Aluminium'!$B$9:$G$93,2,FALSE)))))</f>
        <v>38</v>
      </c>
      <c r="AA229" s="345">
        <f>VLOOKUP(W229,'Catalogue Aluminium'!$B$9:$G$93,5,FALSE)</f>
        <v>5.9</v>
      </c>
      <c r="AB229" s="345">
        <f>VLOOKUP(W229,'Catalogue Aluminium'!$B$9:$G$93,6,FALSE)</f>
        <v>9.4700000000000006E-2</v>
      </c>
      <c r="AC229" s="343">
        <f t="shared" si="1614"/>
        <v>33</v>
      </c>
      <c r="AD229" s="343">
        <v>0</v>
      </c>
      <c r="AE229" s="343">
        <v>10</v>
      </c>
      <c r="AF229" s="343">
        <v>5</v>
      </c>
      <c r="AG229" s="343">
        <f t="shared" si="1622"/>
        <v>5</v>
      </c>
      <c r="AH229" s="347">
        <f t="shared" si="1623"/>
        <v>53</v>
      </c>
      <c r="AI229" s="344">
        <f>IF(T229="AIR",'Catalogue Aluminium'!$K$9,IF(T229="TRENCH",'Catalogue Aluminium'!$K$12,"NA"))</f>
        <v>0.89</v>
      </c>
      <c r="AJ229" s="342">
        <f>IF(T229="Air",(IF(U229="1C",'Catalogue Aluminium'!$L$9,'Catalogue Aluminium'!$M$9)),IF(T229="DUCT",(IF($U229="1C",'Catalogue Aluminium'!$L$10,'Catalogue Aluminium'!$M$10)),IF(T229="GROUND",(IF($U229="1C",'Catalogue Aluminium'!$L$11,'Catalogue Aluminium'!$M$11)),IF(T229="TRENCH",(IF($U229="1C",'Catalogue Aluminium'!$L$12,'Catalogue Aluminium'!$M$12))))))</f>
        <v>0.66</v>
      </c>
      <c r="AK229" s="344" t="str">
        <f>IF(T229="Air",'Catalogue Aluminium'!$N$9,IF(T229="GROUND",'Catalogue Aluminium'!$N$10,IF(T229="DUCT",'Catalogue Aluminium'!$N$11,IF(T229="TRENCH",'Catalogue Aluminium'!$N$12,"NA"))))</f>
        <v>NA</v>
      </c>
      <c r="AL229" s="344" t="str">
        <f>IF(T229="Air",(IF(U229="1C",'Catalogue Aluminium'!$O$9,'Catalogue Aluminium'!$P$9)),IF(T229="DUCT",(IF($U229="1C",'Catalogue Aluminium'!$O$10,'Catalogue Aluminium'!$P$10)),IF(T229="GROUND",(IF($U229="1C",'Catalogue Aluminium'!$O$11,'Catalogue Aluminium'!$P$11)),IF(T229="TRENCH",(IF($U229="1C",'Catalogue Aluminium'!$O$12,'Catalogue Aluminium'!$P$12))))))</f>
        <v>NA</v>
      </c>
      <c r="AM229" s="344" t="str">
        <f>IF(T229="AIR","NA",IF(T229="TRENCH","NA",IF(T229="DUCT",IF(U229="1C",VLOOKUP(V229,'Catalogue Aluminium'!$Q$9:$S$28,2,FALSE),VLOOKUP(V229,'Catalogue Aluminium'!$Q$9:$S$28,3)),IF(T229="GROUND",IF(U229="1C",VLOOKUP(V229,'Catalogue Aluminium'!$Q$9:$S$28,2,FALSE),VLOOKUP(V229,'Catalogue Aluminium'!$Q$9:$S$28,3))))))</f>
        <v>NA</v>
      </c>
      <c r="AN229" s="351">
        <f t="shared" si="1624"/>
        <v>0.58740000000000003</v>
      </c>
      <c r="AO229" s="350">
        <f t="shared" si="1625"/>
        <v>22.321200000000001</v>
      </c>
      <c r="AP229" s="349">
        <f t="shared" si="1626"/>
        <v>1</v>
      </c>
      <c r="AQ229" s="350" t="str">
        <f t="shared" si="1627"/>
        <v>YES</v>
      </c>
      <c r="AR229" s="351">
        <f t="shared" si="1628"/>
        <v>1.8163115165998727</v>
      </c>
      <c r="AS229" s="343" t="str">
        <f t="shared" si="1629"/>
        <v>YES</v>
      </c>
      <c r="AT229" s="351" t="str">
        <f t="shared" si="1605"/>
        <v>NA</v>
      </c>
      <c r="AU229" s="343" t="str">
        <f t="shared" si="1606"/>
        <v>NA</v>
      </c>
      <c r="AV229" s="354" t="str">
        <f t="shared" si="1607"/>
        <v>1R x 0.6/1kV x 3C x 4 Sqmm</v>
      </c>
      <c r="AW229" s="354" t="str">
        <f t="shared" si="1608"/>
        <v>1R x 0.6/1kV x 3C x 4 Sqmm</v>
      </c>
      <c r="AX229" s="343">
        <f t="shared" si="1609"/>
        <v>53</v>
      </c>
      <c r="AY229" s="355"/>
      <c r="AZ229" s="355">
        <f t="shared" si="1610"/>
        <v>2</v>
      </c>
      <c r="BA229" s="356" t="str">
        <f t="shared" si="1611"/>
        <v/>
      </c>
      <c r="BB229" s="501">
        <f>VLOOKUP(W229,'Catalogue Aluminium'!$B$9:$H$93,7,FALSE)</f>
        <v>15</v>
      </c>
      <c r="BC229" s="328">
        <f t="shared" si="1612"/>
        <v>15</v>
      </c>
      <c r="BE229" s="336"/>
      <c r="BF229" s="336"/>
      <c r="BG229" s="336"/>
      <c r="BH229" s="336"/>
      <c r="BI229" s="336"/>
      <c r="BJ229" s="336"/>
      <c r="BK229" s="336"/>
      <c r="BL229" s="336"/>
      <c r="BM229" s="336"/>
      <c r="BN229" s="336"/>
      <c r="BO229" s="336"/>
      <c r="BP229" s="336"/>
      <c r="BQ229" s="336"/>
      <c r="BR229" s="336"/>
      <c r="BS229" s="336"/>
      <c r="BT229" s="336"/>
      <c r="BU229" s="336"/>
      <c r="BV229" s="336"/>
      <c r="BW229" s="336"/>
      <c r="BX229" s="336"/>
      <c r="BY229" s="336"/>
      <c r="BZ229" s="336"/>
      <c r="CA229" s="336"/>
      <c r="CB229" s="336"/>
      <c r="CC229" s="336"/>
      <c r="CD229" s="336"/>
      <c r="CE229" s="336"/>
      <c r="CF229" s="336"/>
      <c r="CG229" s="336"/>
      <c r="CH229" s="336"/>
      <c r="CI229" s="336"/>
      <c r="CJ229" s="336"/>
      <c r="CK229" s="336"/>
      <c r="CL229" s="336"/>
      <c r="CM229" s="336"/>
      <c r="CN229" s="336"/>
      <c r="CO229" s="336"/>
      <c r="CP229" s="336"/>
      <c r="CQ229" s="336"/>
      <c r="CR229" s="336"/>
      <c r="CS229" s="336"/>
      <c r="CT229" s="336"/>
      <c r="CU229" s="336"/>
      <c r="CV229" s="336"/>
      <c r="CW229" s="336"/>
      <c r="CX229" s="336"/>
      <c r="CY229" s="336"/>
      <c r="CZ229" s="336"/>
      <c r="DA229" s="336"/>
      <c r="DB229" s="336"/>
      <c r="DC229" s="336"/>
      <c r="DD229" s="336"/>
      <c r="DE229" s="336"/>
      <c r="DF229" s="336"/>
      <c r="DG229" s="336"/>
      <c r="DH229" s="336"/>
      <c r="DI229" s="336"/>
      <c r="DJ229" s="336"/>
      <c r="DK229" s="336"/>
      <c r="DL229" s="336"/>
      <c r="DM229" s="336"/>
      <c r="DN229" s="336"/>
      <c r="DO229" s="336"/>
      <c r="DP229" s="336"/>
      <c r="DQ229" s="336"/>
      <c r="DR229" s="336"/>
      <c r="DS229" s="336"/>
      <c r="DT229" s="336"/>
      <c r="DU229" s="336"/>
      <c r="DW229" s="336">
        <f t="shared" si="1529"/>
        <v>0</v>
      </c>
      <c r="DX229" s="336">
        <f t="shared" si="1479"/>
        <v>0</v>
      </c>
      <c r="DY229" s="336">
        <f t="shared" si="1480"/>
        <v>0</v>
      </c>
      <c r="DZ229" s="336">
        <f t="shared" si="1481"/>
        <v>0</v>
      </c>
      <c r="EA229" s="336">
        <f t="shared" si="1482"/>
        <v>0</v>
      </c>
      <c r="EB229" s="336">
        <f t="shared" si="1483"/>
        <v>0</v>
      </c>
      <c r="EC229" s="336">
        <f t="shared" si="1484"/>
        <v>0</v>
      </c>
      <c r="ED229" s="336">
        <f t="shared" si="1485"/>
        <v>0</v>
      </c>
      <c r="EE229" s="336">
        <f t="shared" si="1486"/>
        <v>0</v>
      </c>
      <c r="EF229" s="336">
        <f t="shared" si="1487"/>
        <v>0</v>
      </c>
      <c r="EG229" s="336">
        <f t="shared" si="1488"/>
        <v>0</v>
      </c>
      <c r="EH229" s="336">
        <f t="shared" si="1489"/>
        <v>0</v>
      </c>
      <c r="EI229" s="336">
        <f t="shared" si="1490"/>
        <v>0</v>
      </c>
      <c r="EJ229" s="336">
        <f t="shared" si="1491"/>
        <v>0</v>
      </c>
      <c r="EK229" s="336">
        <f t="shared" si="1492"/>
        <v>0</v>
      </c>
      <c r="EL229" s="336">
        <f t="shared" si="1493"/>
        <v>0</v>
      </c>
      <c r="EM229" s="336">
        <f t="shared" si="1494"/>
        <v>0</v>
      </c>
      <c r="EN229" s="336">
        <f t="shared" si="1495"/>
        <v>0</v>
      </c>
      <c r="EO229" s="336">
        <f t="shared" si="1496"/>
        <v>0</v>
      </c>
      <c r="EP229" s="336">
        <f t="shared" si="1497"/>
        <v>0</v>
      </c>
      <c r="EQ229" s="336">
        <f t="shared" si="1498"/>
        <v>0</v>
      </c>
      <c r="ER229" s="336">
        <f t="shared" si="1499"/>
        <v>0</v>
      </c>
      <c r="ES229" s="336">
        <f t="shared" si="1500"/>
        <v>0</v>
      </c>
      <c r="ET229" s="336">
        <f t="shared" si="1500"/>
        <v>0</v>
      </c>
      <c r="EU229" s="336">
        <f t="shared" si="1501"/>
        <v>0</v>
      </c>
      <c r="EV229" s="336">
        <f t="shared" si="1502"/>
        <v>0</v>
      </c>
      <c r="EW229" s="336">
        <f t="shared" si="1503"/>
        <v>0</v>
      </c>
      <c r="EX229" s="336">
        <f t="shared" si="1504"/>
        <v>0</v>
      </c>
      <c r="EY229" s="336">
        <f t="shared" si="1505"/>
        <v>0</v>
      </c>
      <c r="EZ229" s="336">
        <f t="shared" si="1506"/>
        <v>0</v>
      </c>
      <c r="FA229" s="336">
        <f t="shared" si="1507"/>
        <v>0</v>
      </c>
      <c r="FB229" s="336">
        <f t="shared" si="1508"/>
        <v>0</v>
      </c>
      <c r="FC229" s="336">
        <f t="shared" si="1509"/>
        <v>0</v>
      </c>
      <c r="FD229" s="336">
        <f t="shared" si="1510"/>
        <v>0</v>
      </c>
      <c r="FE229" s="336">
        <f t="shared" si="1511"/>
        <v>0</v>
      </c>
      <c r="FF229" s="336">
        <f t="shared" si="1512"/>
        <v>0</v>
      </c>
      <c r="FG229" s="336">
        <f t="shared" si="1513"/>
        <v>0</v>
      </c>
      <c r="FH229" s="336">
        <f t="shared" si="1514"/>
        <v>0</v>
      </c>
      <c r="FI229" s="336">
        <f t="shared" si="1515"/>
        <v>0</v>
      </c>
      <c r="FJ229" s="336">
        <f t="shared" si="1516"/>
        <v>0</v>
      </c>
      <c r="FK229" s="336">
        <f t="shared" si="1517"/>
        <v>0</v>
      </c>
      <c r="FL229" s="336">
        <f t="shared" si="1518"/>
        <v>0</v>
      </c>
      <c r="FM229" s="336">
        <f t="shared" si="1519"/>
        <v>0</v>
      </c>
      <c r="FN229" s="336">
        <f t="shared" si="1520"/>
        <v>0</v>
      </c>
      <c r="FO229" s="336">
        <f t="shared" si="1521"/>
        <v>0</v>
      </c>
      <c r="FP229" s="336">
        <f t="shared" si="1522"/>
        <v>0</v>
      </c>
      <c r="FQ229" s="336">
        <f t="shared" si="1523"/>
        <v>0</v>
      </c>
      <c r="FR229" s="336">
        <f t="shared" si="1524"/>
        <v>0</v>
      </c>
      <c r="FS229" s="336">
        <f t="shared" si="1525"/>
        <v>0</v>
      </c>
      <c r="FT229" s="336">
        <f t="shared" si="1526"/>
        <v>0</v>
      </c>
      <c r="FU229" s="336">
        <f t="shared" si="1474"/>
        <v>0</v>
      </c>
      <c r="FV229" s="336">
        <f t="shared" si="1475"/>
        <v>0</v>
      </c>
      <c r="FW229" s="336">
        <f t="shared" si="1476"/>
        <v>0</v>
      </c>
      <c r="FX229" s="336">
        <f t="shared" si="1477"/>
        <v>0</v>
      </c>
      <c r="FY229" s="336">
        <f t="shared" si="1559"/>
        <v>0</v>
      </c>
      <c r="FZ229" s="336">
        <f t="shared" si="1560"/>
        <v>0</v>
      </c>
      <c r="GA229" s="336">
        <f t="shared" si="1561"/>
        <v>0</v>
      </c>
      <c r="GB229" s="336">
        <f t="shared" si="1562"/>
        <v>0</v>
      </c>
      <c r="GC229" s="336">
        <f t="shared" si="1563"/>
        <v>0</v>
      </c>
      <c r="GD229" s="336">
        <f t="shared" si="1564"/>
        <v>0</v>
      </c>
      <c r="GE229" s="336">
        <f t="shared" si="1565"/>
        <v>0</v>
      </c>
      <c r="GF229" s="336">
        <f t="shared" si="1566"/>
        <v>0</v>
      </c>
      <c r="GG229" s="336">
        <f t="shared" si="1567"/>
        <v>0</v>
      </c>
      <c r="GH229" s="336">
        <f t="shared" si="1568"/>
        <v>0</v>
      </c>
      <c r="GI229" s="336">
        <f t="shared" si="1569"/>
        <v>0</v>
      </c>
      <c r="GJ229" s="336">
        <f t="shared" si="1570"/>
        <v>0</v>
      </c>
      <c r="GK229" s="336">
        <f t="shared" si="1571"/>
        <v>0</v>
      </c>
      <c r="GL229" s="336">
        <f t="shared" si="1478"/>
        <v>0</v>
      </c>
      <c r="GM229" s="336">
        <f t="shared" si="1572"/>
        <v>0</v>
      </c>
    </row>
    <row r="230" spans="1:195" ht="27.75" customHeight="1">
      <c r="A230" s="337">
        <f t="shared" si="1615"/>
        <v>183</v>
      </c>
      <c r="B230" s="453"/>
      <c r="C230" s="372" t="s">
        <v>1360</v>
      </c>
      <c r="D230" s="444" t="s">
        <v>1377</v>
      </c>
      <c r="E230" s="440" t="s">
        <v>1374</v>
      </c>
      <c r="F230" s="372"/>
      <c r="G230" s="337" t="s">
        <v>329</v>
      </c>
      <c r="H230" s="583">
        <v>0.25</v>
      </c>
      <c r="I230" s="337" t="s">
        <v>330</v>
      </c>
      <c r="J230" s="343" t="s">
        <v>357</v>
      </c>
      <c r="K230" s="349">
        <v>230</v>
      </c>
      <c r="L230" s="343">
        <v>0.95</v>
      </c>
      <c r="M230" s="350">
        <v>0.85</v>
      </c>
      <c r="N230" s="342">
        <f t="shared" si="1616"/>
        <v>1.3460761879122358</v>
      </c>
      <c r="O230" s="342">
        <f t="shared" si="1617"/>
        <v>0</v>
      </c>
      <c r="P230" s="343" t="str">
        <f t="shared" si="1618"/>
        <v>0.00</v>
      </c>
      <c r="Q230" s="350">
        <v>65</v>
      </c>
      <c r="R230" s="350">
        <v>0</v>
      </c>
      <c r="S230" s="350">
        <f t="shared" si="1619"/>
        <v>0</v>
      </c>
      <c r="T230" s="343" t="s">
        <v>131</v>
      </c>
      <c r="U230" s="350" t="s">
        <v>333</v>
      </c>
      <c r="V230" s="343">
        <v>4</v>
      </c>
      <c r="W230" s="343" t="str">
        <f t="shared" si="1620"/>
        <v>3C X 4</v>
      </c>
      <c r="X230" s="343" t="str">
        <f t="shared" si="1621"/>
        <v>3C X 4</v>
      </c>
      <c r="Y230" s="343" t="s">
        <v>358</v>
      </c>
      <c r="Z230" s="344">
        <f>IF(T230="AIR",VLOOKUP(W230,'Catalogue Aluminium'!$B$9:$G$93,2,FALSE),IF(T230="GROUND",VLOOKUP(W230,'Catalogue Aluminium'!$B$9:$G$93,3,FALSE),IF(T230="DUCT",VLOOKUP(W230,'Catalogue Aluminium'!$B$9:$G$93,4,FALSE),IF(T230="TRENCH",VLOOKUP(W230,'Catalogue Aluminium'!$B$9:$G$93,2,FALSE)))))</f>
        <v>38</v>
      </c>
      <c r="AA230" s="345">
        <f>VLOOKUP(W230,'Catalogue Aluminium'!$B$9:$G$93,5,FALSE)</f>
        <v>5.9</v>
      </c>
      <c r="AB230" s="345">
        <f>VLOOKUP(W230,'Catalogue Aluminium'!$B$9:$G$93,6,FALSE)</f>
        <v>9.4700000000000006E-2</v>
      </c>
      <c r="AC230" s="343">
        <f t="shared" si="1614"/>
        <v>33</v>
      </c>
      <c r="AD230" s="343">
        <v>0</v>
      </c>
      <c r="AE230" s="343">
        <v>10</v>
      </c>
      <c r="AF230" s="343">
        <v>5</v>
      </c>
      <c r="AG230" s="343">
        <f t="shared" si="1622"/>
        <v>5</v>
      </c>
      <c r="AH230" s="347">
        <f t="shared" si="1623"/>
        <v>53</v>
      </c>
      <c r="AI230" s="344">
        <f>IF(T230="AIR",'Catalogue Aluminium'!$K$9,IF(T230="TRENCH",'Catalogue Aluminium'!$K$12,"NA"))</f>
        <v>0.89</v>
      </c>
      <c r="AJ230" s="342">
        <f>IF(T230="Air",(IF(U230="1C",'Catalogue Aluminium'!$L$9,'Catalogue Aluminium'!$M$9)),IF(T230="DUCT",(IF($U230="1C",'Catalogue Aluminium'!$L$10,'Catalogue Aluminium'!$M$10)),IF(T230="GROUND",(IF($U230="1C",'Catalogue Aluminium'!$L$11,'Catalogue Aluminium'!$M$11)),IF(T230="TRENCH",(IF($U230="1C",'Catalogue Aluminium'!$L$12,'Catalogue Aluminium'!$M$12))))))</f>
        <v>0.66</v>
      </c>
      <c r="AK230" s="344" t="str">
        <f>IF(T230="Air",'Catalogue Aluminium'!$N$9,IF(T230="GROUND",'Catalogue Aluminium'!$N$10,IF(T230="DUCT",'Catalogue Aluminium'!$N$11,IF(T230="TRENCH",'Catalogue Aluminium'!$N$12,"NA"))))</f>
        <v>NA</v>
      </c>
      <c r="AL230" s="344" t="str">
        <f>IF(T230="Air",(IF(U230="1C",'Catalogue Aluminium'!$O$9,'Catalogue Aluminium'!$P$9)),IF(T230="DUCT",(IF($U230="1C",'Catalogue Aluminium'!$O$10,'Catalogue Aluminium'!$P$10)),IF(T230="GROUND",(IF($U230="1C",'Catalogue Aluminium'!$O$11,'Catalogue Aluminium'!$P$11)),IF(T230="TRENCH",(IF($U230="1C",'Catalogue Aluminium'!$O$12,'Catalogue Aluminium'!$P$12))))))</f>
        <v>NA</v>
      </c>
      <c r="AM230" s="344" t="str">
        <f>IF(T230="AIR","NA",IF(T230="TRENCH","NA",IF(T230="DUCT",IF(U230="1C",VLOOKUP(V230,'Catalogue Aluminium'!$Q$9:$S$28,2,FALSE),VLOOKUP(V230,'Catalogue Aluminium'!$Q$9:$S$28,3)),IF(T230="GROUND",IF(U230="1C",VLOOKUP(V230,'Catalogue Aluminium'!$Q$9:$S$28,2,FALSE),VLOOKUP(V230,'Catalogue Aluminium'!$Q$9:$S$28,3))))))</f>
        <v>NA</v>
      </c>
      <c r="AN230" s="351">
        <f t="shared" si="1624"/>
        <v>0.58740000000000003</v>
      </c>
      <c r="AO230" s="350">
        <f t="shared" si="1625"/>
        <v>22.321200000000001</v>
      </c>
      <c r="AP230" s="349">
        <f t="shared" si="1626"/>
        <v>1</v>
      </c>
      <c r="AQ230" s="350" t="str">
        <f t="shared" si="1627"/>
        <v>YES</v>
      </c>
      <c r="AR230" s="351">
        <f t="shared" si="1628"/>
        <v>0.30271858609997876</v>
      </c>
      <c r="AS230" s="343" t="str">
        <f t="shared" si="1629"/>
        <v>YES</v>
      </c>
      <c r="AT230" s="351" t="str">
        <f t="shared" si="1605"/>
        <v>NA</v>
      </c>
      <c r="AU230" s="343" t="str">
        <f t="shared" si="1606"/>
        <v>NA</v>
      </c>
      <c r="AV230" s="354" t="str">
        <f t="shared" si="1607"/>
        <v>1R x 0.6/1kV x 3C x 4 Sqmm</v>
      </c>
      <c r="AW230" s="354" t="str">
        <f t="shared" si="1608"/>
        <v>1R x 0.6/1kV x 3C x 4 Sqmm</v>
      </c>
      <c r="AX230" s="343">
        <f t="shared" si="1609"/>
        <v>53</v>
      </c>
      <c r="AY230" s="355"/>
      <c r="AZ230" s="355">
        <f t="shared" si="1610"/>
        <v>2</v>
      </c>
      <c r="BA230" s="356" t="str">
        <f t="shared" si="1611"/>
        <v/>
      </c>
      <c r="BB230" s="501">
        <f>VLOOKUP(W230,'Catalogue Aluminium'!$B$9:$H$93,7,FALSE)</f>
        <v>15</v>
      </c>
      <c r="BC230" s="328">
        <f t="shared" si="1612"/>
        <v>15</v>
      </c>
      <c r="BE230" s="336"/>
      <c r="BF230" s="336"/>
      <c r="BG230" s="336"/>
      <c r="BH230" s="336"/>
      <c r="BI230" s="336"/>
      <c r="BJ230" s="336"/>
      <c r="BK230" s="336"/>
      <c r="BL230" s="336"/>
      <c r="BM230" s="336"/>
      <c r="BN230" s="336"/>
      <c r="BO230" s="336"/>
      <c r="BP230" s="336"/>
      <c r="BQ230" s="336"/>
      <c r="BR230" s="336"/>
      <c r="BS230" s="336"/>
      <c r="BT230" s="336"/>
      <c r="BU230" s="336"/>
      <c r="BV230" s="336"/>
      <c r="BW230" s="336"/>
      <c r="BX230" s="336"/>
      <c r="BY230" s="336"/>
      <c r="BZ230" s="336"/>
      <c r="CA230" s="336"/>
      <c r="CB230" s="336"/>
      <c r="CC230" s="336"/>
      <c r="CD230" s="336"/>
      <c r="CE230" s="336"/>
      <c r="CF230" s="336"/>
      <c r="CG230" s="336"/>
      <c r="CH230" s="336"/>
      <c r="CI230" s="336"/>
      <c r="CJ230" s="336"/>
      <c r="CK230" s="336"/>
      <c r="CL230" s="336"/>
      <c r="CM230" s="336"/>
      <c r="CN230" s="336"/>
      <c r="CO230" s="336"/>
      <c r="CP230" s="336"/>
      <c r="CQ230" s="336"/>
      <c r="CR230" s="336"/>
      <c r="CS230" s="336"/>
      <c r="CT230" s="336"/>
      <c r="CU230" s="336"/>
      <c r="CV230" s="336"/>
      <c r="CW230" s="336"/>
      <c r="CX230" s="336"/>
      <c r="CY230" s="336"/>
      <c r="CZ230" s="336"/>
      <c r="DA230" s="336"/>
      <c r="DB230" s="336"/>
      <c r="DC230" s="336"/>
      <c r="DD230" s="336"/>
      <c r="DE230" s="336"/>
      <c r="DF230" s="336"/>
      <c r="DG230" s="336"/>
      <c r="DH230" s="336"/>
      <c r="DI230" s="336"/>
      <c r="DJ230" s="336"/>
      <c r="DK230" s="336"/>
      <c r="DL230" s="336"/>
      <c r="DM230" s="336"/>
      <c r="DN230" s="336"/>
      <c r="DO230" s="336"/>
      <c r="DP230" s="336"/>
      <c r="DQ230" s="336"/>
      <c r="DR230" s="336"/>
      <c r="DS230" s="336"/>
      <c r="DT230" s="336"/>
      <c r="DU230" s="336"/>
      <c r="DW230" s="336">
        <f t="shared" si="1529"/>
        <v>0</v>
      </c>
      <c r="DX230" s="336">
        <f t="shared" si="1479"/>
        <v>0</v>
      </c>
      <c r="DY230" s="336">
        <f t="shared" si="1480"/>
        <v>0</v>
      </c>
      <c r="DZ230" s="336">
        <f t="shared" si="1481"/>
        <v>0</v>
      </c>
      <c r="EA230" s="336">
        <f t="shared" si="1482"/>
        <v>0</v>
      </c>
      <c r="EB230" s="336">
        <f t="shared" si="1483"/>
        <v>0</v>
      </c>
      <c r="EC230" s="336">
        <f t="shared" si="1484"/>
        <v>0</v>
      </c>
      <c r="ED230" s="336">
        <f t="shared" si="1485"/>
        <v>0</v>
      </c>
      <c r="EE230" s="336">
        <f t="shared" si="1486"/>
        <v>0</v>
      </c>
      <c r="EF230" s="336">
        <f t="shared" si="1487"/>
        <v>0</v>
      </c>
      <c r="EG230" s="336">
        <f t="shared" si="1488"/>
        <v>0</v>
      </c>
      <c r="EH230" s="336">
        <f t="shared" si="1489"/>
        <v>0</v>
      </c>
      <c r="EI230" s="336">
        <f t="shared" si="1490"/>
        <v>0</v>
      </c>
      <c r="EJ230" s="336">
        <f t="shared" si="1491"/>
        <v>0</v>
      </c>
      <c r="EK230" s="336">
        <f t="shared" si="1492"/>
        <v>0</v>
      </c>
      <c r="EL230" s="336">
        <f t="shared" si="1493"/>
        <v>0</v>
      </c>
      <c r="EM230" s="336">
        <f t="shared" si="1494"/>
        <v>0</v>
      </c>
      <c r="EN230" s="336">
        <f t="shared" si="1495"/>
        <v>0</v>
      </c>
      <c r="EO230" s="336">
        <f t="shared" si="1496"/>
        <v>0</v>
      </c>
      <c r="EP230" s="336">
        <f t="shared" si="1497"/>
        <v>0</v>
      </c>
      <c r="EQ230" s="336">
        <f t="shared" si="1498"/>
        <v>0</v>
      </c>
      <c r="ER230" s="336">
        <f t="shared" si="1499"/>
        <v>0</v>
      </c>
      <c r="ES230" s="336">
        <f t="shared" si="1500"/>
        <v>0</v>
      </c>
      <c r="ET230" s="336">
        <f t="shared" si="1500"/>
        <v>0</v>
      </c>
      <c r="EU230" s="336">
        <f t="shared" si="1501"/>
        <v>0</v>
      </c>
      <c r="EV230" s="336">
        <f t="shared" si="1502"/>
        <v>0</v>
      </c>
      <c r="EW230" s="336">
        <f t="shared" si="1503"/>
        <v>0</v>
      </c>
      <c r="EX230" s="336">
        <f t="shared" si="1504"/>
        <v>0</v>
      </c>
      <c r="EY230" s="336">
        <f t="shared" si="1505"/>
        <v>0</v>
      </c>
      <c r="EZ230" s="336">
        <f t="shared" si="1506"/>
        <v>0</v>
      </c>
      <c r="FA230" s="336">
        <f t="shared" si="1507"/>
        <v>0</v>
      </c>
      <c r="FB230" s="336">
        <f t="shared" si="1508"/>
        <v>0</v>
      </c>
      <c r="FC230" s="336">
        <f t="shared" si="1509"/>
        <v>0</v>
      </c>
      <c r="FD230" s="336">
        <f t="shared" si="1510"/>
        <v>0</v>
      </c>
      <c r="FE230" s="336">
        <f t="shared" si="1511"/>
        <v>0</v>
      </c>
      <c r="FF230" s="336">
        <f t="shared" si="1512"/>
        <v>0</v>
      </c>
      <c r="FG230" s="336">
        <f t="shared" si="1513"/>
        <v>0</v>
      </c>
      <c r="FH230" s="336">
        <f t="shared" si="1514"/>
        <v>0</v>
      </c>
      <c r="FI230" s="336">
        <f t="shared" si="1515"/>
        <v>0</v>
      </c>
      <c r="FJ230" s="336">
        <f t="shared" si="1516"/>
        <v>0</v>
      </c>
      <c r="FK230" s="336">
        <f t="shared" si="1517"/>
        <v>0</v>
      </c>
      <c r="FL230" s="336">
        <f t="shared" si="1518"/>
        <v>0</v>
      </c>
      <c r="FM230" s="336">
        <f t="shared" si="1519"/>
        <v>0</v>
      </c>
      <c r="FN230" s="336">
        <f t="shared" si="1520"/>
        <v>0</v>
      </c>
      <c r="FO230" s="336">
        <f t="shared" si="1521"/>
        <v>0</v>
      </c>
      <c r="FP230" s="336">
        <f t="shared" si="1522"/>
        <v>0</v>
      </c>
      <c r="FQ230" s="336">
        <f t="shared" si="1523"/>
        <v>0</v>
      </c>
      <c r="FR230" s="336">
        <f t="shared" si="1524"/>
        <v>0</v>
      </c>
      <c r="FS230" s="336">
        <f t="shared" si="1525"/>
        <v>0</v>
      </c>
      <c r="FT230" s="336">
        <f t="shared" si="1526"/>
        <v>0</v>
      </c>
      <c r="FU230" s="336">
        <f t="shared" si="1474"/>
        <v>0</v>
      </c>
      <c r="FV230" s="336">
        <f t="shared" si="1475"/>
        <v>0</v>
      </c>
      <c r="FW230" s="336">
        <f t="shared" si="1476"/>
        <v>0</v>
      </c>
      <c r="FX230" s="336">
        <f t="shared" si="1477"/>
        <v>0</v>
      </c>
      <c r="FY230" s="336">
        <f t="shared" si="1559"/>
        <v>0</v>
      </c>
      <c r="FZ230" s="336">
        <f t="shared" si="1560"/>
        <v>0</v>
      </c>
      <c r="GA230" s="336">
        <f t="shared" si="1561"/>
        <v>0</v>
      </c>
      <c r="GB230" s="336">
        <f t="shared" si="1562"/>
        <v>0</v>
      </c>
      <c r="GC230" s="336">
        <f t="shared" si="1563"/>
        <v>0</v>
      </c>
      <c r="GD230" s="336">
        <f t="shared" si="1564"/>
        <v>0</v>
      </c>
      <c r="GE230" s="336">
        <f t="shared" si="1565"/>
        <v>0</v>
      </c>
      <c r="GF230" s="336">
        <f t="shared" si="1566"/>
        <v>0</v>
      </c>
      <c r="GG230" s="336">
        <f t="shared" si="1567"/>
        <v>0</v>
      </c>
      <c r="GH230" s="336">
        <f t="shared" si="1568"/>
        <v>0</v>
      </c>
      <c r="GI230" s="336">
        <f t="shared" si="1569"/>
        <v>0</v>
      </c>
      <c r="GJ230" s="336">
        <f t="shared" si="1570"/>
        <v>0</v>
      </c>
      <c r="GK230" s="336">
        <f t="shared" si="1571"/>
        <v>0</v>
      </c>
      <c r="GL230" s="336">
        <f t="shared" si="1478"/>
        <v>0</v>
      </c>
      <c r="GM230" s="336">
        <f t="shared" si="1572"/>
        <v>0</v>
      </c>
    </row>
    <row r="231" spans="1:195" ht="27.75" customHeight="1">
      <c r="A231" s="337">
        <f t="shared" si="1615"/>
        <v>184</v>
      </c>
      <c r="B231" s="453"/>
      <c r="C231" s="372" t="s">
        <v>1360</v>
      </c>
      <c r="D231" s="444" t="s">
        <v>1378</v>
      </c>
      <c r="E231" s="440" t="s">
        <v>1374</v>
      </c>
      <c r="F231" s="372"/>
      <c r="G231" s="337" t="s">
        <v>329</v>
      </c>
      <c r="H231" s="583">
        <v>0.25</v>
      </c>
      <c r="I231" s="337" t="s">
        <v>330</v>
      </c>
      <c r="J231" s="343" t="s">
        <v>357</v>
      </c>
      <c r="K231" s="349">
        <v>230</v>
      </c>
      <c r="L231" s="343">
        <v>0.95</v>
      </c>
      <c r="M231" s="350">
        <v>0.85</v>
      </c>
      <c r="N231" s="342">
        <f t="shared" si="1616"/>
        <v>1.3460761879122358</v>
      </c>
      <c r="O231" s="342">
        <f t="shared" si="1617"/>
        <v>0</v>
      </c>
      <c r="P231" s="343" t="str">
        <f t="shared" si="1618"/>
        <v>0.00</v>
      </c>
      <c r="Q231" s="350">
        <v>65</v>
      </c>
      <c r="R231" s="350">
        <v>0</v>
      </c>
      <c r="S231" s="350">
        <f t="shared" si="1619"/>
        <v>0</v>
      </c>
      <c r="T231" s="343" t="s">
        <v>131</v>
      </c>
      <c r="U231" s="350" t="s">
        <v>333</v>
      </c>
      <c r="V231" s="343">
        <v>4</v>
      </c>
      <c r="W231" s="343" t="str">
        <f t="shared" si="1620"/>
        <v>3C X 4</v>
      </c>
      <c r="X231" s="343" t="str">
        <f t="shared" si="1621"/>
        <v>3C X 4</v>
      </c>
      <c r="Y231" s="343" t="s">
        <v>358</v>
      </c>
      <c r="Z231" s="344">
        <f>IF(T231="AIR",VLOOKUP(W231,'Catalogue Aluminium'!$B$9:$G$93,2,FALSE),IF(T231="GROUND",VLOOKUP(W231,'Catalogue Aluminium'!$B$9:$G$93,3,FALSE),IF(T231="DUCT",VLOOKUP(W231,'Catalogue Aluminium'!$B$9:$G$93,4,FALSE),IF(T231="TRENCH",VLOOKUP(W231,'Catalogue Aluminium'!$B$9:$G$93,2,FALSE)))))</f>
        <v>38</v>
      </c>
      <c r="AA231" s="345">
        <f>VLOOKUP(W231,'Catalogue Aluminium'!$B$9:$G$93,5,FALSE)</f>
        <v>5.9</v>
      </c>
      <c r="AB231" s="345">
        <f>VLOOKUP(W231,'Catalogue Aluminium'!$B$9:$G$93,6,FALSE)</f>
        <v>9.4700000000000006E-2</v>
      </c>
      <c r="AC231" s="343">
        <f t="shared" si="1614"/>
        <v>33</v>
      </c>
      <c r="AD231" s="343">
        <v>0</v>
      </c>
      <c r="AE231" s="343">
        <v>10</v>
      </c>
      <c r="AF231" s="343">
        <v>5</v>
      </c>
      <c r="AG231" s="343">
        <f t="shared" si="1622"/>
        <v>5</v>
      </c>
      <c r="AH231" s="347">
        <f t="shared" si="1623"/>
        <v>53</v>
      </c>
      <c r="AI231" s="344">
        <f>IF(T231="AIR",'Catalogue Aluminium'!$K$9,IF(T231="TRENCH",'Catalogue Aluminium'!$K$12,"NA"))</f>
        <v>0.89</v>
      </c>
      <c r="AJ231" s="342">
        <f>IF(T231="Air",(IF(U231="1C",'Catalogue Aluminium'!$L$9,'Catalogue Aluminium'!$M$9)),IF(T231="DUCT",(IF($U231="1C",'Catalogue Aluminium'!$L$10,'Catalogue Aluminium'!$M$10)),IF(T231="GROUND",(IF($U231="1C",'Catalogue Aluminium'!$L$11,'Catalogue Aluminium'!$M$11)),IF(T231="TRENCH",(IF($U231="1C",'Catalogue Aluminium'!$L$12,'Catalogue Aluminium'!$M$12))))))</f>
        <v>0.66</v>
      </c>
      <c r="AK231" s="344" t="str">
        <f>IF(T231="Air",'Catalogue Aluminium'!$N$9,IF(T231="GROUND",'Catalogue Aluminium'!$N$10,IF(T231="DUCT",'Catalogue Aluminium'!$N$11,IF(T231="TRENCH",'Catalogue Aluminium'!$N$12,"NA"))))</f>
        <v>NA</v>
      </c>
      <c r="AL231" s="344" t="str">
        <f>IF(T231="Air",(IF(U231="1C",'Catalogue Aluminium'!$O$9,'Catalogue Aluminium'!$P$9)),IF(T231="DUCT",(IF($U231="1C",'Catalogue Aluminium'!$O$10,'Catalogue Aluminium'!$P$10)),IF(T231="GROUND",(IF($U231="1C",'Catalogue Aluminium'!$O$11,'Catalogue Aluminium'!$P$11)),IF(T231="TRENCH",(IF($U231="1C",'Catalogue Aluminium'!$O$12,'Catalogue Aluminium'!$P$12))))))</f>
        <v>NA</v>
      </c>
      <c r="AM231" s="344" t="str">
        <f>IF(T231="AIR","NA",IF(T231="TRENCH","NA",IF(T231="DUCT",IF(U231="1C",VLOOKUP(V231,'Catalogue Aluminium'!$Q$9:$S$28,2,FALSE),VLOOKUP(V231,'Catalogue Aluminium'!$Q$9:$S$28,3)),IF(T231="GROUND",IF(U231="1C",VLOOKUP(V231,'Catalogue Aluminium'!$Q$9:$S$28,2,FALSE),VLOOKUP(V231,'Catalogue Aluminium'!$Q$9:$S$28,3))))))</f>
        <v>NA</v>
      </c>
      <c r="AN231" s="351">
        <f t="shared" si="1624"/>
        <v>0.58740000000000003</v>
      </c>
      <c r="AO231" s="350">
        <f t="shared" si="1625"/>
        <v>22.321200000000001</v>
      </c>
      <c r="AP231" s="349">
        <f t="shared" si="1626"/>
        <v>1</v>
      </c>
      <c r="AQ231" s="350" t="str">
        <f t="shared" si="1627"/>
        <v>YES</v>
      </c>
      <c r="AR231" s="351">
        <f t="shared" si="1628"/>
        <v>0.30271858609997876</v>
      </c>
      <c r="AS231" s="343" t="str">
        <f t="shared" si="1629"/>
        <v>YES</v>
      </c>
      <c r="AT231" s="351" t="str">
        <f t="shared" si="1605"/>
        <v>NA</v>
      </c>
      <c r="AU231" s="343" t="str">
        <f t="shared" si="1606"/>
        <v>NA</v>
      </c>
      <c r="AV231" s="354" t="str">
        <f t="shared" si="1607"/>
        <v>1R x 0.6/1kV x 3C x 4 Sqmm</v>
      </c>
      <c r="AW231" s="354" t="str">
        <f t="shared" si="1608"/>
        <v>1R x 0.6/1kV x 3C x 4 Sqmm</v>
      </c>
      <c r="AX231" s="343">
        <f t="shared" si="1609"/>
        <v>53</v>
      </c>
      <c r="AY231" s="355"/>
      <c r="AZ231" s="355">
        <f t="shared" si="1610"/>
        <v>2</v>
      </c>
      <c r="BA231" s="356" t="str">
        <f t="shared" si="1611"/>
        <v/>
      </c>
      <c r="BB231" s="501">
        <f>VLOOKUP(W231,'Catalogue Aluminium'!$B$9:$H$93,7,FALSE)</f>
        <v>15</v>
      </c>
      <c r="BC231" s="328">
        <f t="shared" si="1612"/>
        <v>15</v>
      </c>
      <c r="BE231" s="336"/>
      <c r="BF231" s="336"/>
      <c r="BG231" s="336"/>
      <c r="BH231" s="336"/>
      <c r="BI231" s="336"/>
      <c r="BJ231" s="336"/>
      <c r="BK231" s="336"/>
      <c r="BL231" s="336"/>
      <c r="BM231" s="336"/>
      <c r="BN231" s="336"/>
      <c r="BO231" s="336"/>
      <c r="BP231" s="336"/>
      <c r="BQ231" s="336"/>
      <c r="BR231" s="336"/>
      <c r="BS231" s="336"/>
      <c r="BT231" s="336"/>
      <c r="BU231" s="336"/>
      <c r="BV231" s="336"/>
      <c r="BW231" s="336"/>
      <c r="BX231" s="336"/>
      <c r="BY231" s="336"/>
      <c r="BZ231" s="336"/>
      <c r="CA231" s="336"/>
      <c r="CB231" s="336"/>
      <c r="CC231" s="336"/>
      <c r="CD231" s="336"/>
      <c r="CE231" s="336"/>
      <c r="CF231" s="336"/>
      <c r="CG231" s="336"/>
      <c r="CH231" s="336"/>
      <c r="CI231" s="336"/>
      <c r="CJ231" s="336"/>
      <c r="CK231" s="336"/>
      <c r="CL231" s="336"/>
      <c r="CM231" s="336"/>
      <c r="CN231" s="336"/>
      <c r="CO231" s="336"/>
      <c r="CP231" s="336"/>
      <c r="CQ231" s="336"/>
      <c r="CR231" s="336"/>
      <c r="CS231" s="336"/>
      <c r="CT231" s="336"/>
      <c r="CU231" s="336"/>
      <c r="CV231" s="336"/>
      <c r="CW231" s="336"/>
      <c r="CX231" s="336"/>
      <c r="CY231" s="336"/>
      <c r="CZ231" s="336"/>
      <c r="DA231" s="336"/>
      <c r="DB231" s="336"/>
      <c r="DC231" s="336"/>
      <c r="DD231" s="336"/>
      <c r="DE231" s="336"/>
      <c r="DF231" s="336"/>
      <c r="DG231" s="336"/>
      <c r="DH231" s="336"/>
      <c r="DI231" s="336"/>
      <c r="DJ231" s="336"/>
      <c r="DK231" s="336"/>
      <c r="DL231" s="336"/>
      <c r="DM231" s="336"/>
      <c r="DN231" s="336"/>
      <c r="DO231" s="336"/>
      <c r="DP231" s="336"/>
      <c r="DQ231" s="336"/>
      <c r="DR231" s="336"/>
      <c r="DS231" s="336"/>
      <c r="DT231" s="336"/>
      <c r="DU231" s="336"/>
      <c r="DW231" s="336">
        <f t="shared" si="1529"/>
        <v>0</v>
      </c>
      <c r="DX231" s="336">
        <f t="shared" si="1479"/>
        <v>0</v>
      </c>
      <c r="DY231" s="336">
        <f t="shared" si="1480"/>
        <v>0</v>
      </c>
      <c r="DZ231" s="336">
        <f t="shared" si="1481"/>
        <v>0</v>
      </c>
      <c r="EA231" s="336">
        <f t="shared" si="1482"/>
        <v>0</v>
      </c>
      <c r="EB231" s="336">
        <f t="shared" si="1483"/>
        <v>0</v>
      </c>
      <c r="EC231" s="336">
        <f t="shared" si="1484"/>
        <v>0</v>
      </c>
      <c r="ED231" s="336">
        <f t="shared" si="1485"/>
        <v>0</v>
      </c>
      <c r="EE231" s="336">
        <f t="shared" si="1486"/>
        <v>0</v>
      </c>
      <c r="EF231" s="336">
        <f t="shared" si="1487"/>
        <v>0</v>
      </c>
      <c r="EG231" s="336">
        <f t="shared" si="1488"/>
        <v>0</v>
      </c>
      <c r="EH231" s="336">
        <f t="shared" si="1489"/>
        <v>0</v>
      </c>
      <c r="EI231" s="336">
        <f t="shared" si="1490"/>
        <v>0</v>
      </c>
      <c r="EJ231" s="336">
        <f t="shared" si="1491"/>
        <v>0</v>
      </c>
      <c r="EK231" s="336">
        <f t="shared" si="1492"/>
        <v>0</v>
      </c>
      <c r="EL231" s="336">
        <f t="shared" si="1493"/>
        <v>0</v>
      </c>
      <c r="EM231" s="336">
        <f t="shared" si="1494"/>
        <v>0</v>
      </c>
      <c r="EN231" s="336">
        <f t="shared" si="1495"/>
        <v>0</v>
      </c>
      <c r="EO231" s="336">
        <f t="shared" si="1496"/>
        <v>0</v>
      </c>
      <c r="EP231" s="336">
        <f t="shared" si="1497"/>
        <v>0</v>
      </c>
      <c r="EQ231" s="336">
        <f t="shared" si="1498"/>
        <v>0</v>
      </c>
      <c r="ER231" s="336">
        <f t="shared" si="1499"/>
        <v>0</v>
      </c>
      <c r="ES231" s="336">
        <f t="shared" si="1500"/>
        <v>0</v>
      </c>
      <c r="ET231" s="336">
        <f t="shared" si="1500"/>
        <v>0</v>
      </c>
      <c r="EU231" s="336">
        <f t="shared" si="1501"/>
        <v>0</v>
      </c>
      <c r="EV231" s="336">
        <f t="shared" si="1502"/>
        <v>0</v>
      </c>
      <c r="EW231" s="336">
        <f t="shared" si="1503"/>
        <v>0</v>
      </c>
      <c r="EX231" s="336">
        <f t="shared" si="1504"/>
        <v>0</v>
      </c>
      <c r="EY231" s="336">
        <f t="shared" si="1505"/>
        <v>0</v>
      </c>
      <c r="EZ231" s="336">
        <f t="shared" si="1506"/>
        <v>0</v>
      </c>
      <c r="FA231" s="336">
        <f t="shared" si="1507"/>
        <v>0</v>
      </c>
      <c r="FB231" s="336">
        <f t="shared" si="1508"/>
        <v>0</v>
      </c>
      <c r="FC231" s="336">
        <f t="shared" si="1509"/>
        <v>0</v>
      </c>
      <c r="FD231" s="336">
        <f t="shared" si="1510"/>
        <v>0</v>
      </c>
      <c r="FE231" s="336">
        <f t="shared" si="1511"/>
        <v>0</v>
      </c>
      <c r="FF231" s="336">
        <f t="shared" si="1512"/>
        <v>0</v>
      </c>
      <c r="FG231" s="336">
        <f t="shared" si="1513"/>
        <v>0</v>
      </c>
      <c r="FH231" s="336">
        <f t="shared" si="1514"/>
        <v>0</v>
      </c>
      <c r="FI231" s="336">
        <f t="shared" si="1515"/>
        <v>0</v>
      </c>
      <c r="FJ231" s="336">
        <f t="shared" si="1516"/>
        <v>0</v>
      </c>
      <c r="FK231" s="336">
        <f t="shared" si="1517"/>
        <v>0</v>
      </c>
      <c r="FL231" s="336">
        <f t="shared" si="1518"/>
        <v>0</v>
      </c>
      <c r="FM231" s="336">
        <f t="shared" si="1519"/>
        <v>0</v>
      </c>
      <c r="FN231" s="336">
        <f t="shared" si="1520"/>
        <v>0</v>
      </c>
      <c r="FO231" s="336">
        <f t="shared" si="1521"/>
        <v>0</v>
      </c>
      <c r="FP231" s="336">
        <f t="shared" si="1522"/>
        <v>0</v>
      </c>
      <c r="FQ231" s="336">
        <f t="shared" si="1523"/>
        <v>0</v>
      </c>
      <c r="FR231" s="336">
        <f t="shared" si="1524"/>
        <v>0</v>
      </c>
      <c r="FS231" s="336">
        <f t="shared" si="1525"/>
        <v>0</v>
      </c>
      <c r="FT231" s="336">
        <f t="shared" si="1526"/>
        <v>0</v>
      </c>
      <c r="FU231" s="336">
        <f t="shared" si="1474"/>
        <v>0</v>
      </c>
      <c r="FV231" s="336">
        <f t="shared" si="1475"/>
        <v>0</v>
      </c>
      <c r="FW231" s="336">
        <f t="shared" si="1476"/>
        <v>0</v>
      </c>
      <c r="FX231" s="336">
        <f t="shared" si="1477"/>
        <v>0</v>
      </c>
      <c r="FY231" s="336">
        <f t="shared" si="1559"/>
        <v>0</v>
      </c>
      <c r="FZ231" s="336">
        <f t="shared" si="1560"/>
        <v>0</v>
      </c>
      <c r="GA231" s="336">
        <f t="shared" si="1561"/>
        <v>0</v>
      </c>
      <c r="GB231" s="336">
        <f t="shared" si="1562"/>
        <v>0</v>
      </c>
      <c r="GC231" s="336">
        <f t="shared" si="1563"/>
        <v>0</v>
      </c>
      <c r="GD231" s="336">
        <f t="shared" si="1564"/>
        <v>0</v>
      </c>
      <c r="GE231" s="336">
        <f t="shared" si="1565"/>
        <v>0</v>
      </c>
      <c r="GF231" s="336">
        <f t="shared" si="1566"/>
        <v>0</v>
      </c>
      <c r="GG231" s="336">
        <f t="shared" si="1567"/>
        <v>0</v>
      </c>
      <c r="GH231" s="336">
        <f t="shared" si="1568"/>
        <v>0</v>
      </c>
      <c r="GI231" s="336">
        <f t="shared" si="1569"/>
        <v>0</v>
      </c>
      <c r="GJ231" s="336">
        <f t="shared" si="1570"/>
        <v>0</v>
      </c>
      <c r="GK231" s="336">
        <f t="shared" si="1571"/>
        <v>0</v>
      </c>
      <c r="GL231" s="336">
        <f t="shared" si="1478"/>
        <v>0</v>
      </c>
      <c r="GM231" s="336">
        <f t="shared" si="1572"/>
        <v>0</v>
      </c>
    </row>
    <row r="232" spans="1:195" ht="27.75" customHeight="1">
      <c r="A232" s="337">
        <f t="shared" si="1615"/>
        <v>185</v>
      </c>
      <c r="B232" s="453" t="s">
        <v>1183</v>
      </c>
      <c r="C232" s="372" t="str">
        <f>$C$85</f>
        <v>PDB-2</v>
      </c>
      <c r="D232" s="440" t="s">
        <v>1379</v>
      </c>
      <c r="E232" s="440" t="s">
        <v>1185</v>
      </c>
      <c r="F232" s="372"/>
      <c r="G232" s="337" t="s">
        <v>337</v>
      </c>
      <c r="H232" s="350">
        <v>23.284210526315785</v>
      </c>
      <c r="I232" s="337" t="s">
        <v>330</v>
      </c>
      <c r="J232" s="349" t="s">
        <v>331</v>
      </c>
      <c r="K232" s="349">
        <v>400</v>
      </c>
      <c r="L232" s="343">
        <v>0.95</v>
      </c>
      <c r="M232" s="350">
        <v>0.85</v>
      </c>
      <c r="N232" s="342">
        <f t="shared" si="1596"/>
        <v>41.620865525843513</v>
      </c>
      <c r="O232" s="926"/>
      <c r="P232" s="927"/>
      <c r="Q232" s="927"/>
      <c r="R232" s="927"/>
      <c r="S232" s="927"/>
      <c r="T232" s="927"/>
      <c r="U232" s="927"/>
      <c r="V232" s="927"/>
      <c r="W232" s="927"/>
      <c r="X232" s="927"/>
      <c r="Y232" s="927"/>
      <c r="Z232" s="927"/>
      <c r="AA232" s="927"/>
      <c r="AB232" s="927"/>
      <c r="AC232" s="927"/>
      <c r="AD232" s="927"/>
      <c r="AE232" s="927"/>
      <c r="AF232" s="927"/>
      <c r="AG232" s="927"/>
      <c r="AH232" s="927"/>
      <c r="AI232" s="927"/>
      <c r="AJ232" s="927"/>
      <c r="AK232" s="927"/>
      <c r="AL232" s="927"/>
      <c r="AM232" s="927"/>
      <c r="AN232" s="927"/>
      <c r="AO232" s="927"/>
      <c r="AP232" s="927"/>
      <c r="AQ232" s="927"/>
      <c r="AR232" s="927"/>
      <c r="AS232" s="927"/>
      <c r="AT232" s="927"/>
      <c r="AU232" s="927"/>
      <c r="AV232" s="927"/>
      <c r="AW232" s="927"/>
      <c r="AX232" s="927"/>
      <c r="AY232" s="927"/>
      <c r="AZ232" s="927"/>
      <c r="BA232" s="927"/>
      <c r="BB232" s="927"/>
      <c r="BC232" s="1020"/>
      <c r="BE232" s="527"/>
      <c r="BF232" s="527"/>
      <c r="BG232" s="527"/>
      <c r="BH232" s="527"/>
      <c r="BI232" s="527"/>
      <c r="BJ232" s="527"/>
      <c r="BK232" s="527"/>
      <c r="BL232" s="527"/>
      <c r="BM232" s="527"/>
      <c r="BN232" s="527"/>
      <c r="BO232" s="527"/>
      <c r="BP232" s="527"/>
      <c r="BQ232" s="527"/>
      <c r="BR232" s="527"/>
      <c r="BS232" s="527"/>
      <c r="BT232" s="527"/>
      <c r="BU232" s="527"/>
      <c r="BV232" s="527"/>
      <c r="BW232" s="527"/>
      <c r="BX232" s="527"/>
      <c r="BY232" s="527"/>
      <c r="BZ232" s="527"/>
      <c r="CA232" s="527"/>
      <c r="CB232" s="527"/>
      <c r="CC232" s="527"/>
      <c r="CD232" s="527"/>
      <c r="CE232" s="527"/>
      <c r="CF232" s="527"/>
      <c r="CG232" s="527"/>
      <c r="CH232" s="527"/>
      <c r="CI232" s="527"/>
      <c r="CJ232" s="527"/>
      <c r="CK232" s="527"/>
      <c r="CL232" s="527"/>
      <c r="CM232" s="527"/>
      <c r="CN232" s="527"/>
      <c r="CO232" s="527"/>
      <c r="CP232" s="527"/>
      <c r="CQ232" s="527"/>
      <c r="CR232" s="527"/>
      <c r="CS232" s="527"/>
      <c r="CT232" s="527"/>
      <c r="CU232" s="527"/>
      <c r="CV232" s="527"/>
      <c r="CW232" s="527"/>
      <c r="CX232" s="527"/>
      <c r="CY232" s="527"/>
      <c r="CZ232" s="336"/>
      <c r="DA232" s="336"/>
      <c r="DB232" s="336"/>
      <c r="DC232" s="336"/>
      <c r="DD232" s="336"/>
      <c r="DE232" s="336"/>
      <c r="DF232" s="336"/>
      <c r="DG232" s="336"/>
      <c r="DH232" s="336"/>
      <c r="DI232" s="336"/>
      <c r="DJ232" s="336"/>
      <c r="DK232" s="336"/>
      <c r="DL232" s="336"/>
      <c r="DM232" s="336"/>
      <c r="DN232" s="336"/>
      <c r="DO232" s="336"/>
      <c r="DP232" s="336"/>
      <c r="DQ232" s="336"/>
      <c r="DR232" s="336"/>
      <c r="DS232" s="336"/>
      <c r="DT232" s="336"/>
      <c r="DU232" s="336"/>
      <c r="DW232" s="336">
        <f t="shared" si="1529"/>
        <v>0</v>
      </c>
      <c r="DX232" s="336">
        <f t="shared" si="1479"/>
        <v>0</v>
      </c>
      <c r="DY232" s="336">
        <f t="shared" si="1480"/>
        <v>0</v>
      </c>
      <c r="DZ232" s="336">
        <f t="shared" si="1481"/>
        <v>0</v>
      </c>
      <c r="EA232" s="336">
        <f t="shared" si="1482"/>
        <v>0</v>
      </c>
      <c r="EB232" s="336">
        <f t="shared" si="1483"/>
        <v>0</v>
      </c>
      <c r="EC232" s="336">
        <f t="shared" si="1484"/>
        <v>0</v>
      </c>
      <c r="ED232" s="336">
        <f t="shared" si="1485"/>
        <v>0</v>
      </c>
      <c r="EE232" s="336">
        <f t="shared" si="1486"/>
        <v>0</v>
      </c>
      <c r="EF232" s="336">
        <f t="shared" si="1487"/>
        <v>0</v>
      </c>
      <c r="EG232" s="336">
        <f t="shared" si="1488"/>
        <v>0</v>
      </c>
      <c r="EH232" s="336">
        <f t="shared" si="1489"/>
        <v>0</v>
      </c>
      <c r="EI232" s="336">
        <f t="shared" si="1490"/>
        <v>0</v>
      </c>
      <c r="EJ232" s="336">
        <f t="shared" si="1491"/>
        <v>0</v>
      </c>
      <c r="EK232" s="336">
        <f t="shared" si="1492"/>
        <v>0</v>
      </c>
      <c r="EL232" s="336">
        <f t="shared" si="1493"/>
        <v>0</v>
      </c>
      <c r="EM232" s="336">
        <f t="shared" si="1494"/>
        <v>0</v>
      </c>
      <c r="EN232" s="336">
        <f t="shared" si="1495"/>
        <v>0</v>
      </c>
      <c r="EO232" s="336">
        <f t="shared" si="1496"/>
        <v>0</v>
      </c>
      <c r="EP232" s="336">
        <f t="shared" si="1497"/>
        <v>0</v>
      </c>
      <c r="EQ232" s="336">
        <f t="shared" si="1498"/>
        <v>0</v>
      </c>
      <c r="ER232" s="336">
        <f t="shared" si="1499"/>
        <v>0</v>
      </c>
      <c r="ES232" s="336">
        <f t="shared" si="1500"/>
        <v>0</v>
      </c>
      <c r="ET232" s="336">
        <f t="shared" si="1500"/>
        <v>0</v>
      </c>
      <c r="EU232" s="336">
        <f t="shared" si="1501"/>
        <v>0</v>
      </c>
      <c r="EV232" s="336">
        <f t="shared" si="1502"/>
        <v>0</v>
      </c>
      <c r="EW232" s="336">
        <f t="shared" si="1503"/>
        <v>0</v>
      </c>
      <c r="EX232" s="336">
        <f t="shared" si="1504"/>
        <v>0</v>
      </c>
      <c r="EY232" s="336">
        <f t="shared" si="1505"/>
        <v>0</v>
      </c>
      <c r="EZ232" s="336">
        <f t="shared" si="1506"/>
        <v>0</v>
      </c>
      <c r="FA232" s="336">
        <f t="shared" si="1507"/>
        <v>0</v>
      </c>
      <c r="FB232" s="336">
        <f t="shared" si="1508"/>
        <v>0</v>
      </c>
      <c r="FC232" s="336">
        <f t="shared" si="1509"/>
        <v>0</v>
      </c>
      <c r="FD232" s="336">
        <f t="shared" si="1510"/>
        <v>0</v>
      </c>
      <c r="FE232" s="336">
        <f t="shared" si="1511"/>
        <v>0</v>
      </c>
      <c r="FF232" s="336">
        <f t="shared" si="1512"/>
        <v>0</v>
      </c>
      <c r="FG232" s="336">
        <f t="shared" si="1513"/>
        <v>0</v>
      </c>
      <c r="FH232" s="336">
        <f t="shared" si="1514"/>
        <v>0</v>
      </c>
      <c r="FI232" s="336">
        <f t="shared" si="1515"/>
        <v>0</v>
      </c>
      <c r="FJ232" s="336">
        <f t="shared" si="1516"/>
        <v>0</v>
      </c>
      <c r="FK232" s="336">
        <f t="shared" si="1517"/>
        <v>0</v>
      </c>
      <c r="FL232" s="336">
        <f t="shared" si="1518"/>
        <v>0</v>
      </c>
      <c r="FM232" s="336">
        <f t="shared" si="1519"/>
        <v>0</v>
      </c>
      <c r="FN232" s="336">
        <f t="shared" si="1520"/>
        <v>0</v>
      </c>
      <c r="FO232" s="336">
        <f t="shared" si="1521"/>
        <v>0</v>
      </c>
      <c r="FP232" s="336">
        <f t="shared" si="1522"/>
        <v>0</v>
      </c>
      <c r="FQ232" s="336">
        <f t="shared" si="1523"/>
        <v>0</v>
      </c>
      <c r="FR232" s="336">
        <f t="shared" si="1524"/>
        <v>0</v>
      </c>
      <c r="FS232" s="336">
        <f t="shared" si="1525"/>
        <v>0</v>
      </c>
      <c r="FT232" s="336">
        <f t="shared" si="1526"/>
        <v>0</v>
      </c>
      <c r="FU232" s="336">
        <f t="shared" si="1474"/>
        <v>0</v>
      </c>
      <c r="FV232" s="336">
        <f t="shared" si="1475"/>
        <v>0</v>
      </c>
      <c r="FW232" s="336">
        <f t="shared" si="1476"/>
        <v>0</v>
      </c>
      <c r="FX232" s="336">
        <f t="shared" si="1477"/>
        <v>0</v>
      </c>
      <c r="FY232" s="336">
        <f t="shared" si="1559"/>
        <v>0</v>
      </c>
      <c r="FZ232" s="336">
        <f t="shared" si="1560"/>
        <v>0</v>
      </c>
      <c r="GA232" s="336">
        <f t="shared" si="1561"/>
        <v>0</v>
      </c>
      <c r="GB232" s="336">
        <f t="shared" si="1562"/>
        <v>0</v>
      </c>
      <c r="GC232" s="336">
        <f t="shared" si="1563"/>
        <v>0</v>
      </c>
      <c r="GD232" s="336">
        <f t="shared" si="1564"/>
        <v>0</v>
      </c>
      <c r="GE232" s="336">
        <f t="shared" si="1565"/>
        <v>0</v>
      </c>
      <c r="GF232" s="336">
        <f t="shared" si="1566"/>
        <v>0</v>
      </c>
      <c r="GG232" s="336">
        <f t="shared" si="1567"/>
        <v>0</v>
      </c>
      <c r="GH232" s="336">
        <f t="shared" si="1568"/>
        <v>0</v>
      </c>
      <c r="GI232" s="336">
        <f t="shared" si="1569"/>
        <v>0</v>
      </c>
      <c r="GJ232" s="336">
        <f t="shared" si="1570"/>
        <v>0</v>
      </c>
      <c r="GK232" s="336">
        <f t="shared" si="1571"/>
        <v>0</v>
      </c>
      <c r="GL232" s="336">
        <f t="shared" si="1478"/>
        <v>0</v>
      </c>
      <c r="GM232" s="336">
        <f t="shared" si="1572"/>
        <v>0</v>
      </c>
    </row>
    <row r="233" spans="1:195" s="60" customFormat="1" ht="33.75" customHeight="1">
      <c r="A233" s="710"/>
      <c r="B233" s="710"/>
      <c r="C233" s="711"/>
      <c r="D233" s="477" t="s">
        <v>1380</v>
      </c>
      <c r="E233" s="712"/>
      <c r="F233" s="710"/>
      <c r="G233" s="713"/>
      <c r="H233" s="714"/>
      <c r="I233" s="715"/>
      <c r="J233" s="715"/>
      <c r="K233" s="715"/>
      <c r="L233" s="714"/>
      <c r="M233" s="714"/>
      <c r="N233" s="716"/>
      <c r="O233" s="716"/>
      <c r="P233" s="717"/>
      <c r="Q233" s="714"/>
      <c r="R233" s="714"/>
      <c r="S233" s="714"/>
      <c r="T233" s="717"/>
      <c r="U233" s="714"/>
      <c r="V233" s="717"/>
      <c r="W233" s="717"/>
      <c r="X233" s="717"/>
      <c r="Y233" s="717"/>
      <c r="Z233" s="718"/>
      <c r="AA233" s="719"/>
      <c r="AB233" s="719"/>
      <c r="AC233" s="719"/>
      <c r="AD233" s="719"/>
      <c r="AE233" s="719"/>
      <c r="AF233" s="719"/>
      <c r="AG233" s="719"/>
      <c r="AH233" s="720"/>
      <c r="AI233" s="718"/>
      <c r="AJ233" s="716"/>
      <c r="AK233" s="718"/>
      <c r="AL233" s="718"/>
      <c r="AM233" s="718"/>
      <c r="AN233" s="721"/>
      <c r="AO233" s="714"/>
      <c r="AP233" s="722"/>
      <c r="AQ233" s="714"/>
      <c r="AR233" s="721"/>
      <c r="AS233" s="717"/>
      <c r="AT233" s="721"/>
      <c r="AU233" s="721"/>
      <c r="AV233" s="723"/>
      <c r="AW233" s="723"/>
      <c r="AX233" s="717"/>
      <c r="AY233" s="724"/>
      <c r="AZ233" s="724"/>
      <c r="BA233" s="724"/>
      <c r="BB233" s="753"/>
      <c r="BC233" s="754"/>
      <c r="BE233" s="527"/>
      <c r="BF233" s="527"/>
      <c r="BG233" s="527"/>
      <c r="BH233" s="527"/>
      <c r="BI233" s="527"/>
      <c r="BJ233" s="527"/>
      <c r="BK233" s="527"/>
      <c r="BL233" s="527"/>
      <c r="BM233" s="527"/>
      <c r="BN233" s="527"/>
      <c r="BO233" s="527"/>
      <c r="BP233" s="527"/>
      <c r="BQ233" s="527"/>
      <c r="BR233" s="527"/>
      <c r="BS233" s="527"/>
      <c r="BT233" s="527"/>
      <c r="BU233" s="527"/>
      <c r="BV233" s="527"/>
      <c r="BW233" s="527"/>
      <c r="BX233" s="527"/>
      <c r="BY233" s="527"/>
      <c r="BZ233" s="527"/>
      <c r="CA233" s="527"/>
      <c r="CB233" s="527"/>
      <c r="CC233" s="527"/>
      <c r="CD233" s="527"/>
      <c r="CE233" s="527"/>
      <c r="CF233" s="527"/>
      <c r="CG233" s="527"/>
      <c r="CH233" s="527"/>
      <c r="CI233" s="527"/>
      <c r="CJ233" s="527"/>
      <c r="CK233" s="527"/>
      <c r="CL233" s="527"/>
      <c r="CM233" s="527"/>
      <c r="CN233" s="527"/>
      <c r="CO233" s="527"/>
      <c r="CP233" s="527"/>
      <c r="CQ233" s="527"/>
      <c r="CR233" s="527"/>
      <c r="CS233" s="527"/>
      <c r="CT233" s="527"/>
      <c r="CU233" s="527"/>
      <c r="CV233" s="527"/>
      <c r="CW233" s="527"/>
      <c r="CX233" s="527"/>
      <c r="CY233" s="527"/>
      <c r="CZ233" s="760"/>
      <c r="DA233" s="760"/>
      <c r="DB233" s="760"/>
      <c r="DC233" s="760"/>
      <c r="DD233" s="760"/>
      <c r="DE233" s="760"/>
      <c r="DF233" s="760"/>
      <c r="DG233" s="760"/>
      <c r="DH233" s="760"/>
      <c r="DI233" s="760"/>
      <c r="DJ233" s="760"/>
      <c r="DK233" s="760"/>
      <c r="DL233" s="760"/>
      <c r="DM233" s="760"/>
      <c r="DN233" s="760"/>
      <c r="DO233" s="760"/>
      <c r="DP233" s="760"/>
      <c r="DQ233" s="760"/>
      <c r="DR233" s="760"/>
      <c r="DS233" s="760"/>
      <c r="DT233" s="760"/>
      <c r="DU233" s="760"/>
      <c r="DV233" s="61"/>
      <c r="DW233" s="336">
        <f t="shared" si="1529"/>
        <v>0</v>
      </c>
      <c r="DX233" s="336">
        <f t="shared" si="1479"/>
        <v>0</v>
      </c>
      <c r="DY233" s="336">
        <f t="shared" si="1480"/>
        <v>0</v>
      </c>
      <c r="DZ233" s="336">
        <f t="shared" si="1481"/>
        <v>0</v>
      </c>
      <c r="EA233" s="336">
        <f t="shared" si="1482"/>
        <v>0</v>
      </c>
      <c r="EB233" s="336">
        <f t="shared" si="1483"/>
        <v>0</v>
      </c>
      <c r="EC233" s="336">
        <f t="shared" si="1484"/>
        <v>0</v>
      </c>
      <c r="ED233" s="336">
        <f t="shared" si="1485"/>
        <v>0</v>
      </c>
      <c r="EE233" s="336">
        <f t="shared" si="1486"/>
        <v>0</v>
      </c>
      <c r="EF233" s="336">
        <f t="shared" si="1487"/>
        <v>0</v>
      </c>
      <c r="EG233" s="336">
        <f t="shared" si="1488"/>
        <v>0</v>
      </c>
      <c r="EH233" s="336">
        <f t="shared" si="1489"/>
        <v>0</v>
      </c>
      <c r="EI233" s="336">
        <f t="shared" si="1490"/>
        <v>0</v>
      </c>
      <c r="EJ233" s="336">
        <f t="shared" si="1491"/>
        <v>0</v>
      </c>
      <c r="EK233" s="336">
        <f t="shared" si="1492"/>
        <v>0</v>
      </c>
      <c r="EL233" s="336">
        <f t="shared" si="1493"/>
        <v>0</v>
      </c>
      <c r="EM233" s="336">
        <f t="shared" si="1494"/>
        <v>0</v>
      </c>
      <c r="EN233" s="336">
        <f t="shared" si="1495"/>
        <v>0</v>
      </c>
      <c r="EO233" s="336">
        <f t="shared" si="1496"/>
        <v>0</v>
      </c>
      <c r="EP233" s="336">
        <f t="shared" si="1497"/>
        <v>0</v>
      </c>
      <c r="EQ233" s="336">
        <f t="shared" si="1498"/>
        <v>0</v>
      </c>
      <c r="ER233" s="336">
        <f t="shared" si="1499"/>
        <v>0</v>
      </c>
      <c r="ES233" s="336">
        <f t="shared" si="1500"/>
        <v>0</v>
      </c>
      <c r="ET233" s="336">
        <f t="shared" si="1500"/>
        <v>0</v>
      </c>
      <c r="EU233" s="336">
        <f t="shared" si="1501"/>
        <v>0</v>
      </c>
      <c r="EV233" s="336">
        <f t="shared" si="1502"/>
        <v>0</v>
      </c>
      <c r="EW233" s="336">
        <f t="shared" si="1503"/>
        <v>0</v>
      </c>
      <c r="EX233" s="336">
        <f t="shared" si="1504"/>
        <v>0</v>
      </c>
      <c r="EY233" s="336">
        <f t="shared" si="1505"/>
        <v>0</v>
      </c>
      <c r="EZ233" s="336">
        <f t="shared" si="1506"/>
        <v>0</v>
      </c>
      <c r="FA233" s="336">
        <f t="shared" si="1507"/>
        <v>0</v>
      </c>
      <c r="FB233" s="336">
        <f t="shared" si="1508"/>
        <v>0</v>
      </c>
      <c r="FC233" s="336">
        <f t="shared" si="1509"/>
        <v>0</v>
      </c>
      <c r="FD233" s="336">
        <f t="shared" si="1510"/>
        <v>0</v>
      </c>
      <c r="FE233" s="336">
        <f t="shared" si="1511"/>
        <v>0</v>
      </c>
      <c r="FF233" s="336">
        <f t="shared" si="1512"/>
        <v>0</v>
      </c>
      <c r="FG233" s="336">
        <f t="shared" si="1513"/>
        <v>0</v>
      </c>
      <c r="FH233" s="336">
        <f t="shared" si="1514"/>
        <v>0</v>
      </c>
      <c r="FI233" s="336">
        <f t="shared" si="1515"/>
        <v>0</v>
      </c>
      <c r="FJ233" s="336">
        <f t="shared" si="1516"/>
        <v>0</v>
      </c>
      <c r="FK233" s="336">
        <f t="shared" si="1517"/>
        <v>0</v>
      </c>
      <c r="FL233" s="336">
        <f t="shared" si="1518"/>
        <v>0</v>
      </c>
      <c r="FM233" s="336">
        <f t="shared" si="1519"/>
        <v>0</v>
      </c>
      <c r="FN233" s="336">
        <f t="shared" si="1520"/>
        <v>0</v>
      </c>
      <c r="FO233" s="336">
        <f t="shared" si="1521"/>
        <v>0</v>
      </c>
      <c r="FP233" s="336">
        <f t="shared" si="1522"/>
        <v>0</v>
      </c>
      <c r="FQ233" s="336">
        <f t="shared" si="1523"/>
        <v>0</v>
      </c>
      <c r="FR233" s="336">
        <f t="shared" si="1524"/>
        <v>0</v>
      </c>
      <c r="FS233" s="336">
        <f t="shared" si="1525"/>
        <v>0</v>
      </c>
      <c r="FT233" s="336">
        <f t="shared" si="1526"/>
        <v>0</v>
      </c>
      <c r="FU233" s="336">
        <f t="shared" si="1474"/>
        <v>0</v>
      </c>
      <c r="FV233" s="336">
        <f t="shared" si="1475"/>
        <v>0</v>
      </c>
      <c r="FW233" s="336">
        <f t="shared" si="1476"/>
        <v>0</v>
      </c>
      <c r="FX233" s="336">
        <f t="shared" si="1477"/>
        <v>0</v>
      </c>
      <c r="FY233" s="336">
        <f t="shared" si="1559"/>
        <v>0</v>
      </c>
      <c r="FZ233" s="336">
        <f t="shared" si="1560"/>
        <v>0</v>
      </c>
      <c r="GA233" s="336">
        <f t="shared" si="1561"/>
        <v>0</v>
      </c>
      <c r="GB233" s="336">
        <f t="shared" si="1562"/>
        <v>0</v>
      </c>
      <c r="GC233" s="336">
        <f t="shared" si="1563"/>
        <v>0</v>
      </c>
      <c r="GD233" s="336">
        <f t="shared" si="1564"/>
        <v>0</v>
      </c>
      <c r="GE233" s="336">
        <f t="shared" si="1565"/>
        <v>0</v>
      </c>
      <c r="GF233" s="336">
        <f t="shared" si="1566"/>
        <v>0</v>
      </c>
      <c r="GG233" s="336">
        <f t="shared" si="1567"/>
        <v>0</v>
      </c>
      <c r="GH233" s="336">
        <f t="shared" si="1568"/>
        <v>0</v>
      </c>
      <c r="GI233" s="336">
        <f t="shared" si="1569"/>
        <v>0</v>
      </c>
      <c r="GJ233" s="336">
        <f t="shared" si="1570"/>
        <v>0</v>
      </c>
      <c r="GK233" s="336">
        <f t="shared" si="1571"/>
        <v>0</v>
      </c>
      <c r="GL233" s="336">
        <f t="shared" si="1478"/>
        <v>0</v>
      </c>
      <c r="GM233" s="336">
        <f t="shared" si="1572"/>
        <v>0</v>
      </c>
    </row>
    <row r="234" spans="1:195" ht="27.75" customHeight="1">
      <c r="A234" s="337">
        <f>A232+1</f>
        <v>186</v>
      </c>
      <c r="B234" s="453"/>
      <c r="C234" s="372" t="str">
        <f>$D$233</f>
        <v xml:space="preserve">STORES HVAC DB </v>
      </c>
      <c r="D234" s="444" t="s">
        <v>1381</v>
      </c>
      <c r="E234" s="440" t="s">
        <v>1188</v>
      </c>
      <c r="F234" s="444"/>
      <c r="G234" s="337" t="s">
        <v>329</v>
      </c>
      <c r="H234" s="350">
        <v>3.5</v>
      </c>
      <c r="I234" s="337" t="s">
        <v>330</v>
      </c>
      <c r="J234" s="349" t="s">
        <v>357</v>
      </c>
      <c r="K234" s="349">
        <v>230</v>
      </c>
      <c r="L234" s="343">
        <v>0.95</v>
      </c>
      <c r="M234" s="350">
        <v>0.85</v>
      </c>
      <c r="N234" s="342">
        <f t="shared" si="1596"/>
        <v>18.845066630771303</v>
      </c>
      <c r="O234" s="342">
        <f t="shared" ref="O234:O249" si="1630">IF(G234="MOTOR",(6*N234),IF(G234="VFD",(1*N234),0))</f>
        <v>0</v>
      </c>
      <c r="P234" s="343" t="str">
        <f t="shared" si="1598"/>
        <v>0.00</v>
      </c>
      <c r="Q234" s="350">
        <v>65</v>
      </c>
      <c r="R234" s="350">
        <v>0</v>
      </c>
      <c r="S234" s="350">
        <f t="shared" si="1582"/>
        <v>0</v>
      </c>
      <c r="T234" s="343" t="s">
        <v>131</v>
      </c>
      <c r="U234" s="350" t="s">
        <v>333</v>
      </c>
      <c r="V234" s="343">
        <v>16</v>
      </c>
      <c r="W234" s="343" t="str">
        <f t="shared" si="1583"/>
        <v>3C X 16</v>
      </c>
      <c r="X234" s="343" t="str">
        <f t="shared" ref="X234:X249" si="1631">(IF(J234="1Ph",W234,IF(J234="3Ph",(IF(G234="MOTOR",(CONCATENATE(W234,"+PE")),W234)))))</f>
        <v>3C X 16</v>
      </c>
      <c r="Y234" s="343" t="s">
        <v>358</v>
      </c>
      <c r="Z234" s="344">
        <f>IF(T234="AIR",VLOOKUP(W234,'Catalogue Aluminium'!$B$9:$G$93,2,FALSE),IF(T234="GROUND",VLOOKUP(W234,'Catalogue Aluminium'!$B$9:$G$93,3,FALSE),IF(T234="DUCT",VLOOKUP(W234,'Catalogue Aluminium'!$B$9:$G$93,4,FALSE),IF(T234="TRENCH",VLOOKUP(W234,'Catalogue Aluminium'!$B$9:$G$93,2,FALSE)))))</f>
        <v>70</v>
      </c>
      <c r="AA234" s="345">
        <f>VLOOKUP(W234,'Catalogue Aluminium'!$B$9:$G$93,5,FALSE)</f>
        <v>2.44</v>
      </c>
      <c r="AB234" s="345">
        <f>VLOOKUP(W234,'Catalogue Aluminium'!$B$9:$G$93,6,FALSE)</f>
        <v>8.1500000000000003E-2</v>
      </c>
      <c r="AC234" s="343">
        <f>20+11</f>
        <v>31</v>
      </c>
      <c r="AD234" s="343">
        <v>0</v>
      </c>
      <c r="AE234" s="343">
        <v>10</v>
      </c>
      <c r="AF234" s="343">
        <v>5</v>
      </c>
      <c r="AG234" s="343">
        <f t="shared" si="1462"/>
        <v>5</v>
      </c>
      <c r="AH234" s="347">
        <f t="shared" ref="AH234:AH249" si="1632">SUM(AC234:AG234)</f>
        <v>51</v>
      </c>
      <c r="AI234" s="344">
        <f>IF(T234="AIR",'Catalogue Aluminium'!$K$9,IF(T234="TRENCH",'Catalogue Aluminium'!$K$12,"NA"))</f>
        <v>0.89</v>
      </c>
      <c r="AJ234" s="342">
        <f>IF(T234="Air",(IF(U234="1C",'Catalogue Aluminium'!$L$9,'Catalogue Aluminium'!$M$9)),IF(T234="DUCT",(IF($U234="1C",'Catalogue Aluminium'!$L$10,'Catalogue Aluminium'!$M$10)),IF(T234="GROUND",(IF($U234="1C",'Catalogue Aluminium'!$L$11,'Catalogue Aluminium'!$M$11)),IF(T234="TRENCH",(IF($U234="1C",'Catalogue Aluminium'!$L$12,'Catalogue Aluminium'!$M$12))))))</f>
        <v>0.66</v>
      </c>
      <c r="AK234" s="344" t="str">
        <f>IF(T234="Air",'Catalogue Aluminium'!$N$9,IF(T234="GROUND",'Catalogue Aluminium'!$N$10,IF(T234="DUCT",'Catalogue Aluminium'!$N$11,IF(T234="TRENCH",'Catalogue Aluminium'!$N$12,"NA"))))</f>
        <v>NA</v>
      </c>
      <c r="AL234" s="344" t="str">
        <f>IF(T234="Air",(IF(U234="1C",'Catalogue Aluminium'!$O$9,'Catalogue Aluminium'!$P$9)),IF(T234="DUCT",(IF($U234="1C",'Catalogue Aluminium'!$O$10,'Catalogue Aluminium'!$P$10)),IF(T234="GROUND",(IF($U234="1C",'Catalogue Aluminium'!$O$11,'Catalogue Aluminium'!$P$11)),IF(T234="TRENCH",(IF($U234="1C",'Catalogue Aluminium'!$O$12,'Catalogue Aluminium'!$P$12))))))</f>
        <v>NA</v>
      </c>
      <c r="AM234" s="344" t="str">
        <f>IF(T234="AIR","NA",IF(T234="TRENCH","NA",IF(T234="DUCT",IF(U234="1C",VLOOKUP(V234,'Catalogue Aluminium'!$Q$9:$S$28,2,FALSE),VLOOKUP(V234,'Catalogue Aluminium'!$Q$9:$S$28,3)),IF(T234="GROUND",IF(U234="1C",VLOOKUP(V234,'Catalogue Aluminium'!$Q$9:$S$28,2,FALSE),VLOOKUP(V234,'Catalogue Aluminium'!$Q$9:$S$28,3))))))</f>
        <v>NA</v>
      </c>
      <c r="AN234" s="351">
        <f t="shared" ref="AN234:AN249" si="1633">IF(T234="AIR",AI234*AJ234,IF(T234="TRENCH",AI234*AJ234,IF(T234="DUCT",AJ234*AK234*AL234*AM234,IF(T234="GROUND",AJ234*AK234*AL234*AM234))))</f>
        <v>0.58740000000000003</v>
      </c>
      <c r="AO234" s="350">
        <f t="shared" ref="AO234:AO249" si="1634">Z234*AN234</f>
        <v>41.118000000000002</v>
      </c>
      <c r="AP234" s="349">
        <f t="shared" ref="AP234:AP249" si="1635">CEILING(((N234)/AO234),1)</f>
        <v>1</v>
      </c>
      <c r="AQ234" s="350" t="str">
        <f t="shared" ref="AQ234:AQ249" si="1636">IF(AO234*AP234&gt;=N234,"YES","NO")</f>
        <v>YES</v>
      </c>
      <c r="AR234" s="351">
        <f t="shared" si="1463"/>
        <v>1.6961178860219139</v>
      </c>
      <c r="AS234" s="343" t="str">
        <f t="shared" si="1464"/>
        <v>YES</v>
      </c>
      <c r="AT234" s="351" t="str">
        <f>IF(G234="MOTOR",(SQRT(3)*AH234*O234*((AA234*P234)+(AB234*SIN(ACOS(P234))))*100/(AP234*K234*1000)),"NA")</f>
        <v>NA</v>
      </c>
      <c r="AU234" s="343" t="str">
        <f t="shared" ref="AU234:AU249" si="1637">IF(G234="MOTOR",IF(AT234&lt;=15,"YES","NO"),"NA")</f>
        <v>NA</v>
      </c>
      <c r="AV234" s="354" t="str">
        <f t="shared" ref="AV234:AV249" si="1638">IF(U234="1C",CONCATENATE(AP234,"R x ",Y234,"kV x ",U234," x ",V234," Sqmm/Phase"),CONCATENATE(AP234,"R x ",0.6,"/1kV x ",U234," x ",V234," Sqmm"))</f>
        <v>1R x 0.6/1kV x 3C x 16 Sqmm</v>
      </c>
      <c r="AW234" s="354" t="str">
        <f t="shared" ref="AW234:AW249" si="1639">IF(U234="1C",CONCATENATE(AP234,"R x ",Y234,"kV x ",U234," x ",V234," Sqmm/Phase"),CONCATENATE(AP234,"R x ",0.6,"/1kV x ",U234," x ",V234,(IF(G234="MOTOR","+PE",""))," Sqmm"))</f>
        <v>1R x 0.6/1kV x 3C x 16 Sqmm</v>
      </c>
      <c r="AX234" s="343">
        <f>(IF(K234=400,(IF(U234="1C",(4*AH234*AP234),(AH234*AP234))),IF(K234=230,(AH234*AP234))))</f>
        <v>51</v>
      </c>
      <c r="AY234" s="355"/>
      <c r="AZ234" s="355">
        <f>IF(U234="1C",(3*AP234*2),(AP234*2))</f>
        <v>2</v>
      </c>
      <c r="BA234" s="356" t="str">
        <f t="shared" ref="BA234:BA249" si="1640">CONCATENATE(IF(BE234=1,BE$4,""),IF(BF234=1,BF$4,""),IF(BG234=1,BG$4,""),IF(BH234=1,BH$4,""),IF(BI234=1,BI$4,""),IF(BJ234=1,BJ$4,""),IF(BK234=1,BK$4,""),IF(BL234=1,BL$4,""),IF(BM234=1,BM$4,""),IF(BN234=1,BN$4,""),IF(BO234=1,BO$4,""),IF(BP234=1,BP$4,""),IF(BQ234=1,BQ$4,""),IF(BR234=1,BR$4,""),IF(BS234=1,BS$4,""),IF(BT234=1,BT$4,""),IF(BU234=1,BU$4,""),IF(BV234=1,BV$4,""),IF(BW234=1,BW$4,""),IF(BX234=1,BX$4,""),IF(BY234=1,BY$4,""),IF(BZ234=1,BZ$4,""),IF(CA234=1,CA$4,""),IF(CB234=1,CB$4,""),IF(CC234=1,CC$4,""),IF(CD234=1,CD$4,""),IF(CE234=1,CE$4,""),IF(CF234=1,CF$4,""),IF(CG234=1,CG$4,""),IF(CH234=1,CH$4,""),IF(CI234=1,CI$4,""),IF(CJ234=1,CJ$4,""),IF(CK234=1,CK$4,""),IF(CL234=1,CL$4,""),IF(CM234=1,CM$4,""),IF(CN234=1,CN$4,""),IF(CO234=1,CO$4,""),IF(CP234=1,CP$4,""),IF(CQ234=1,CQ$4,""),IF(CR234=1,CR$4,""),IF(CS234=1,CS$4,""),IF(CT234=1,CT$4,""),IF(CU234=1,CU$4,""),IF(CV234=1,CV$4,""),IF(CW234=1,CW$4,""),IF(CX234=1,CX$4,""),IF(CY234=1,CY$4,""),IF(CZ234=1,CZ$4,""),IF(DA234=1,DA$4,""),IF(DB234=1,DB$4,""),IF(DC234=1,DC$4,""),IF(DD234=1,DD$4,""),IF(DE234=1,DE$4,""),IF(DF234=1,DF$4,""),IF(DG234=1,DG$4,""),IF(DH234=1,DH$4,""),IF(DI234=1,DI$4,""),IF(DJ234=1,DJ$4,""),IF(DK234=1,DK$4,""),IF(DL234=1,DL$4,""),IF(DM234=1,DM$4,""),IF(DN234=1,DN$4,""),IF(DO234=1,DO$4,""),IF(DP234=1,DP$4,""),IF(DQ234=1,DQ$4,""),IF(DR234=1,DR$4,""),IF(DS234=1,DS$4,""),IF(DT234=1,DT$4,""),IF(DU234=1,DU$4,""))</f>
        <v/>
      </c>
      <c r="BB234" s="501">
        <f>VLOOKUP(W234,'Catalogue Aluminium'!$B$9:$H$93,7,FALSE)</f>
        <v>19</v>
      </c>
      <c r="BC234" s="328">
        <f>AP234*BB234</f>
        <v>19</v>
      </c>
      <c r="BE234" s="336"/>
      <c r="BF234" s="336"/>
      <c r="BG234" s="336"/>
      <c r="BH234" s="336"/>
      <c r="BI234" s="336"/>
      <c r="BJ234" s="336"/>
      <c r="BK234" s="336"/>
      <c r="BL234" s="336"/>
      <c r="BM234" s="336"/>
      <c r="BN234" s="336"/>
      <c r="BO234" s="336"/>
      <c r="BP234" s="336"/>
      <c r="BQ234" s="336"/>
      <c r="BR234" s="336"/>
      <c r="BS234" s="336"/>
      <c r="BT234" s="336"/>
      <c r="BU234" s="336"/>
      <c r="BV234" s="336"/>
      <c r="BW234" s="336"/>
      <c r="BX234" s="336"/>
      <c r="BY234" s="336"/>
      <c r="BZ234" s="336"/>
      <c r="CA234" s="336"/>
      <c r="CB234" s="336"/>
      <c r="CC234" s="336"/>
      <c r="CD234" s="336"/>
      <c r="CE234" s="336"/>
      <c r="CF234" s="336"/>
      <c r="CG234" s="336"/>
      <c r="CH234" s="336"/>
      <c r="CI234" s="336"/>
      <c r="CJ234" s="336"/>
      <c r="CK234" s="336"/>
      <c r="CL234" s="336"/>
      <c r="CM234" s="336"/>
      <c r="CN234" s="336"/>
      <c r="CO234" s="336"/>
      <c r="CP234" s="336"/>
      <c r="CQ234" s="336"/>
      <c r="CR234" s="336"/>
      <c r="CS234" s="336"/>
      <c r="CT234" s="336"/>
      <c r="CU234" s="336"/>
      <c r="CV234" s="336"/>
      <c r="CW234" s="336"/>
      <c r="CX234" s="336"/>
      <c r="CY234" s="336"/>
      <c r="CZ234" s="336"/>
      <c r="DA234" s="336"/>
      <c r="DB234" s="336"/>
      <c r="DC234" s="336"/>
      <c r="DD234" s="336"/>
      <c r="DE234" s="336"/>
      <c r="DF234" s="336"/>
      <c r="DG234" s="336"/>
      <c r="DH234" s="336"/>
      <c r="DI234" s="336"/>
      <c r="DJ234" s="336"/>
      <c r="DK234" s="336"/>
      <c r="DL234" s="336"/>
      <c r="DM234" s="336"/>
      <c r="DN234" s="336"/>
      <c r="DO234" s="336"/>
      <c r="DP234" s="336"/>
      <c r="DQ234" s="336"/>
      <c r="DR234" s="336"/>
      <c r="DS234" s="336"/>
      <c r="DT234" s="336"/>
      <c r="DU234" s="336"/>
      <c r="DW234" s="336">
        <f t="shared" si="1529"/>
        <v>0</v>
      </c>
      <c r="DX234" s="336">
        <f t="shared" si="1479"/>
        <v>0</v>
      </c>
      <c r="DY234" s="336">
        <f t="shared" si="1480"/>
        <v>0</v>
      </c>
      <c r="DZ234" s="336">
        <f t="shared" si="1481"/>
        <v>0</v>
      </c>
      <c r="EA234" s="336">
        <f t="shared" si="1482"/>
        <v>0</v>
      </c>
      <c r="EB234" s="336">
        <f t="shared" si="1483"/>
        <v>0</v>
      </c>
      <c r="EC234" s="336">
        <f t="shared" si="1484"/>
        <v>0</v>
      </c>
      <c r="ED234" s="336">
        <f t="shared" si="1485"/>
        <v>0</v>
      </c>
      <c r="EE234" s="336">
        <f t="shared" si="1486"/>
        <v>0</v>
      </c>
      <c r="EF234" s="336">
        <f t="shared" si="1487"/>
        <v>0</v>
      </c>
      <c r="EG234" s="336">
        <f t="shared" si="1488"/>
        <v>0</v>
      </c>
      <c r="EH234" s="336">
        <f t="shared" si="1489"/>
        <v>0</v>
      </c>
      <c r="EI234" s="336">
        <f t="shared" si="1490"/>
        <v>0</v>
      </c>
      <c r="EJ234" s="336">
        <f t="shared" si="1491"/>
        <v>0</v>
      </c>
      <c r="EK234" s="336">
        <f t="shared" si="1492"/>
        <v>0</v>
      </c>
      <c r="EL234" s="336">
        <f t="shared" si="1493"/>
        <v>0</v>
      </c>
      <c r="EM234" s="336">
        <f t="shared" si="1494"/>
        <v>0</v>
      </c>
      <c r="EN234" s="336">
        <f t="shared" si="1495"/>
        <v>0</v>
      </c>
      <c r="EO234" s="336">
        <f t="shared" si="1496"/>
        <v>0</v>
      </c>
      <c r="EP234" s="336">
        <f t="shared" si="1497"/>
        <v>0</v>
      </c>
      <c r="EQ234" s="336">
        <f t="shared" si="1498"/>
        <v>0</v>
      </c>
      <c r="ER234" s="336">
        <f t="shared" si="1499"/>
        <v>0</v>
      </c>
      <c r="ES234" s="336">
        <f t="shared" si="1500"/>
        <v>0</v>
      </c>
      <c r="ET234" s="336">
        <f t="shared" si="1500"/>
        <v>0</v>
      </c>
      <c r="EU234" s="336">
        <f t="shared" si="1501"/>
        <v>0</v>
      </c>
      <c r="EV234" s="336">
        <f t="shared" si="1502"/>
        <v>0</v>
      </c>
      <c r="EW234" s="336">
        <f t="shared" si="1503"/>
        <v>0</v>
      </c>
      <c r="EX234" s="336">
        <f t="shared" si="1504"/>
        <v>0</v>
      </c>
      <c r="EY234" s="336">
        <f t="shared" si="1505"/>
        <v>0</v>
      </c>
      <c r="EZ234" s="336">
        <f t="shared" si="1506"/>
        <v>0</v>
      </c>
      <c r="FA234" s="336">
        <f t="shared" si="1507"/>
        <v>0</v>
      </c>
      <c r="FB234" s="336">
        <f t="shared" si="1508"/>
        <v>0</v>
      </c>
      <c r="FC234" s="336">
        <f t="shared" si="1509"/>
        <v>0</v>
      </c>
      <c r="FD234" s="336">
        <f t="shared" si="1510"/>
        <v>0</v>
      </c>
      <c r="FE234" s="336">
        <f t="shared" si="1511"/>
        <v>0</v>
      </c>
      <c r="FF234" s="336">
        <f t="shared" si="1512"/>
        <v>0</v>
      </c>
      <c r="FG234" s="336">
        <f t="shared" si="1513"/>
        <v>0</v>
      </c>
      <c r="FH234" s="336">
        <f t="shared" si="1514"/>
        <v>0</v>
      </c>
      <c r="FI234" s="336">
        <f t="shared" si="1515"/>
        <v>0</v>
      </c>
      <c r="FJ234" s="336">
        <f t="shared" si="1516"/>
        <v>0</v>
      </c>
      <c r="FK234" s="336">
        <f t="shared" si="1517"/>
        <v>0</v>
      </c>
      <c r="FL234" s="336">
        <f t="shared" si="1518"/>
        <v>0</v>
      </c>
      <c r="FM234" s="336">
        <f t="shared" si="1519"/>
        <v>0</v>
      </c>
      <c r="FN234" s="336">
        <f t="shared" si="1520"/>
        <v>0</v>
      </c>
      <c r="FO234" s="336">
        <f t="shared" si="1521"/>
        <v>0</v>
      </c>
      <c r="FP234" s="336">
        <f t="shared" si="1522"/>
        <v>0</v>
      </c>
      <c r="FQ234" s="336">
        <f t="shared" si="1523"/>
        <v>0</v>
      </c>
      <c r="FR234" s="336">
        <f t="shared" si="1524"/>
        <v>0</v>
      </c>
      <c r="FS234" s="336">
        <f t="shared" si="1525"/>
        <v>0</v>
      </c>
      <c r="FT234" s="336">
        <f t="shared" si="1526"/>
        <v>0</v>
      </c>
      <c r="FU234" s="336">
        <f t="shared" si="1474"/>
        <v>0</v>
      </c>
      <c r="FV234" s="336">
        <f t="shared" si="1475"/>
        <v>0</v>
      </c>
      <c r="FW234" s="336">
        <f t="shared" si="1476"/>
        <v>0</v>
      </c>
      <c r="FX234" s="336">
        <f t="shared" si="1477"/>
        <v>0</v>
      </c>
      <c r="FY234" s="336">
        <f t="shared" si="1559"/>
        <v>0</v>
      </c>
      <c r="FZ234" s="336">
        <f t="shared" si="1560"/>
        <v>0</v>
      </c>
      <c r="GA234" s="336">
        <f t="shared" si="1561"/>
        <v>0</v>
      </c>
      <c r="GB234" s="336">
        <f t="shared" si="1562"/>
        <v>0</v>
      </c>
      <c r="GC234" s="336">
        <f t="shared" si="1563"/>
        <v>0</v>
      </c>
      <c r="GD234" s="336">
        <f t="shared" si="1564"/>
        <v>0</v>
      </c>
      <c r="GE234" s="336">
        <f t="shared" si="1565"/>
        <v>0</v>
      </c>
      <c r="GF234" s="336">
        <f t="shared" si="1566"/>
        <v>0</v>
      </c>
      <c r="GG234" s="336">
        <f t="shared" si="1567"/>
        <v>0</v>
      </c>
      <c r="GH234" s="336">
        <f t="shared" si="1568"/>
        <v>0</v>
      </c>
      <c r="GI234" s="336">
        <f t="shared" si="1569"/>
        <v>0</v>
      </c>
      <c r="GJ234" s="336">
        <f t="shared" si="1570"/>
        <v>0</v>
      </c>
      <c r="GK234" s="336">
        <f t="shared" si="1571"/>
        <v>0</v>
      </c>
      <c r="GL234" s="336">
        <f t="shared" si="1478"/>
        <v>0</v>
      </c>
      <c r="GM234" s="336">
        <f t="shared" si="1572"/>
        <v>0</v>
      </c>
    </row>
    <row r="235" spans="1:195" ht="27.75" customHeight="1">
      <c r="A235" s="337">
        <f>A234+1</f>
        <v>187</v>
      </c>
      <c r="B235" s="453"/>
      <c r="C235" s="372" t="str">
        <f t="shared" ref="C235:C247" si="1641">$D$233</f>
        <v xml:space="preserve">STORES HVAC DB </v>
      </c>
      <c r="D235" s="444" t="s">
        <v>1382</v>
      </c>
      <c r="E235" s="440" t="s">
        <v>1188</v>
      </c>
      <c r="F235" s="444"/>
      <c r="G235" s="337" t="s">
        <v>329</v>
      </c>
      <c r="H235" s="350">
        <v>3.5</v>
      </c>
      <c r="I235" s="337" t="s">
        <v>330</v>
      </c>
      <c r="J235" s="349" t="s">
        <v>357</v>
      </c>
      <c r="K235" s="349">
        <v>230</v>
      </c>
      <c r="L235" s="343">
        <v>0.95</v>
      </c>
      <c r="M235" s="350">
        <v>0.85</v>
      </c>
      <c r="N235" s="342">
        <f t="shared" si="1596"/>
        <v>18.845066630771303</v>
      </c>
      <c r="O235" s="342">
        <f t="shared" si="1630"/>
        <v>0</v>
      </c>
      <c r="P235" s="343" t="str">
        <f t="shared" si="1598"/>
        <v>0.00</v>
      </c>
      <c r="Q235" s="350">
        <v>65</v>
      </c>
      <c r="R235" s="350">
        <v>0</v>
      </c>
      <c r="S235" s="350">
        <f t="shared" si="1582"/>
        <v>0</v>
      </c>
      <c r="T235" s="343" t="s">
        <v>131</v>
      </c>
      <c r="U235" s="350" t="s">
        <v>333</v>
      </c>
      <c r="V235" s="343">
        <v>16</v>
      </c>
      <c r="W235" s="343" t="str">
        <f t="shared" si="1583"/>
        <v>3C X 16</v>
      </c>
      <c r="X235" s="343" t="str">
        <f t="shared" si="1631"/>
        <v>3C X 16</v>
      </c>
      <c r="Y235" s="343" t="s">
        <v>358</v>
      </c>
      <c r="Z235" s="344">
        <f>IF(T235="AIR",VLOOKUP(W235,'Catalogue Aluminium'!$B$9:$G$93,2,FALSE),IF(T235="GROUND",VLOOKUP(W235,'Catalogue Aluminium'!$B$9:$G$93,3,FALSE),IF(T235="DUCT",VLOOKUP(W235,'Catalogue Aluminium'!$B$9:$G$93,4,FALSE),IF(T235="TRENCH",VLOOKUP(W235,'Catalogue Aluminium'!$B$9:$G$93,2,FALSE)))))</f>
        <v>70</v>
      </c>
      <c r="AA235" s="345">
        <f>VLOOKUP(W235,'Catalogue Aluminium'!$B$9:$G$93,5,FALSE)</f>
        <v>2.44</v>
      </c>
      <c r="AB235" s="345">
        <f>VLOOKUP(W235,'Catalogue Aluminium'!$B$9:$G$93,6,FALSE)</f>
        <v>8.1500000000000003E-2</v>
      </c>
      <c r="AC235" s="343">
        <f t="shared" ref="AC235:AC237" si="1642">20+11</f>
        <v>31</v>
      </c>
      <c r="AD235" s="343">
        <v>0</v>
      </c>
      <c r="AE235" s="343">
        <v>10</v>
      </c>
      <c r="AF235" s="343">
        <v>5</v>
      </c>
      <c r="AG235" s="343">
        <f t="shared" si="1462"/>
        <v>5</v>
      </c>
      <c r="AH235" s="347">
        <f t="shared" si="1632"/>
        <v>51</v>
      </c>
      <c r="AI235" s="344">
        <f>IF(T235="AIR",'Catalogue Aluminium'!$K$9,IF(T235="TRENCH",'Catalogue Aluminium'!$K$12,"NA"))</f>
        <v>0.89</v>
      </c>
      <c r="AJ235" s="342">
        <f>IF(T235="Air",(IF(U235="1C",'Catalogue Aluminium'!$L$9,'Catalogue Aluminium'!$M$9)),IF(T235="DUCT",(IF($U235="1C",'Catalogue Aluminium'!$L$10,'Catalogue Aluminium'!$M$10)),IF(T235="GROUND",(IF($U235="1C",'Catalogue Aluminium'!$L$11,'Catalogue Aluminium'!$M$11)),IF(T235="TRENCH",(IF($U235="1C",'Catalogue Aluminium'!$L$12,'Catalogue Aluminium'!$M$12))))))</f>
        <v>0.66</v>
      </c>
      <c r="AK235" s="344" t="str">
        <f>IF(T235="Air",'Catalogue Aluminium'!$N$9,IF(T235="GROUND",'Catalogue Aluminium'!$N$10,IF(T235="DUCT",'Catalogue Aluminium'!$N$11,IF(T235="TRENCH",'Catalogue Aluminium'!$N$12,"NA"))))</f>
        <v>NA</v>
      </c>
      <c r="AL235" s="344" t="str">
        <f>IF(T235="Air",(IF(U235="1C",'Catalogue Aluminium'!$O$9,'Catalogue Aluminium'!$P$9)),IF(T235="DUCT",(IF($U235="1C",'Catalogue Aluminium'!$O$10,'Catalogue Aluminium'!$P$10)),IF(T235="GROUND",(IF($U235="1C",'Catalogue Aluminium'!$O$11,'Catalogue Aluminium'!$P$11)),IF(T235="TRENCH",(IF($U235="1C",'Catalogue Aluminium'!$O$12,'Catalogue Aluminium'!$P$12))))))</f>
        <v>NA</v>
      </c>
      <c r="AM235" s="344" t="str">
        <f>IF(T235="AIR","NA",IF(T235="TRENCH","NA",IF(T235="DUCT",IF(U235="1C",VLOOKUP(V235,'Catalogue Aluminium'!$Q$9:$S$28,2,FALSE),VLOOKUP(V235,'Catalogue Aluminium'!$Q$9:$S$28,3)),IF(T235="GROUND",IF(U235="1C",VLOOKUP(V235,'Catalogue Aluminium'!$Q$9:$S$28,2,FALSE),VLOOKUP(V235,'Catalogue Aluminium'!$Q$9:$S$28,3))))))</f>
        <v>NA</v>
      </c>
      <c r="AN235" s="351">
        <f t="shared" si="1633"/>
        <v>0.58740000000000003</v>
      </c>
      <c r="AO235" s="350">
        <f t="shared" si="1634"/>
        <v>41.118000000000002</v>
      </c>
      <c r="AP235" s="349">
        <f t="shared" si="1635"/>
        <v>1</v>
      </c>
      <c r="AQ235" s="350" t="str">
        <f t="shared" si="1636"/>
        <v>YES</v>
      </c>
      <c r="AR235" s="351">
        <f t="shared" si="1463"/>
        <v>1.6961178860219139</v>
      </c>
      <c r="AS235" s="343" t="str">
        <f t="shared" si="1464"/>
        <v>YES</v>
      </c>
      <c r="AT235" s="351" t="str">
        <f>IF(G235="MOTOR",(SQRT(3)*AH235*O235*((AA235*P235)+(AB235*SIN(ACOS(P235))))*100/(AP235*K235*1000)),"NA")</f>
        <v>NA</v>
      </c>
      <c r="AU235" s="343" t="str">
        <f t="shared" si="1637"/>
        <v>NA</v>
      </c>
      <c r="AV235" s="354" t="str">
        <f t="shared" si="1638"/>
        <v>1R x 0.6/1kV x 3C x 16 Sqmm</v>
      </c>
      <c r="AW235" s="354" t="str">
        <f t="shared" si="1639"/>
        <v>1R x 0.6/1kV x 3C x 16 Sqmm</v>
      </c>
      <c r="AX235" s="343">
        <f>(IF(K235=400,(IF(U235="1C",(4*AH235*AP235),(AH235*AP235))),IF(K235=230,(AH235*AP235))))</f>
        <v>51</v>
      </c>
      <c r="AY235" s="355"/>
      <c r="AZ235" s="355">
        <f>IF(U235="1C",(3*AP235*2),(AP235*2))</f>
        <v>2</v>
      </c>
      <c r="BA235" s="356" t="str">
        <f t="shared" si="1640"/>
        <v/>
      </c>
      <c r="BB235" s="501">
        <f>VLOOKUP(W235,'Catalogue Aluminium'!$B$9:$H$93,7,FALSE)</f>
        <v>19</v>
      </c>
      <c r="BC235" s="328">
        <f>AP235*BB235</f>
        <v>19</v>
      </c>
      <c r="BE235" s="336"/>
      <c r="BF235" s="336"/>
      <c r="BG235" s="336"/>
      <c r="BH235" s="336"/>
      <c r="BI235" s="336"/>
      <c r="BJ235" s="336"/>
      <c r="BK235" s="336"/>
      <c r="BL235" s="336"/>
      <c r="BM235" s="336"/>
      <c r="BN235" s="336"/>
      <c r="BO235" s="336"/>
      <c r="BP235" s="336"/>
      <c r="BQ235" s="336"/>
      <c r="BR235" s="336"/>
      <c r="BS235" s="336"/>
      <c r="BT235" s="336"/>
      <c r="BU235" s="336"/>
      <c r="BV235" s="336"/>
      <c r="BW235" s="336"/>
      <c r="BX235" s="336"/>
      <c r="BY235" s="336"/>
      <c r="BZ235" s="336"/>
      <c r="CA235" s="336"/>
      <c r="CB235" s="336"/>
      <c r="CC235" s="336"/>
      <c r="CD235" s="336"/>
      <c r="CE235" s="336"/>
      <c r="CF235" s="336"/>
      <c r="CG235" s="336"/>
      <c r="CH235" s="336"/>
      <c r="CI235" s="336"/>
      <c r="CJ235" s="336"/>
      <c r="CK235" s="336"/>
      <c r="CL235" s="336"/>
      <c r="CM235" s="336"/>
      <c r="CN235" s="336"/>
      <c r="CO235" s="336"/>
      <c r="CP235" s="336"/>
      <c r="CQ235" s="336"/>
      <c r="CR235" s="336"/>
      <c r="CS235" s="336"/>
      <c r="CT235" s="336"/>
      <c r="CU235" s="336"/>
      <c r="CV235" s="336"/>
      <c r="CW235" s="336"/>
      <c r="CX235" s="336"/>
      <c r="CY235" s="336"/>
      <c r="CZ235" s="336"/>
      <c r="DA235" s="336"/>
      <c r="DB235" s="336"/>
      <c r="DC235" s="336"/>
      <c r="DD235" s="336"/>
      <c r="DE235" s="336"/>
      <c r="DF235" s="336"/>
      <c r="DG235" s="336"/>
      <c r="DH235" s="336"/>
      <c r="DI235" s="336"/>
      <c r="DJ235" s="336"/>
      <c r="DK235" s="336"/>
      <c r="DL235" s="336"/>
      <c r="DM235" s="336"/>
      <c r="DN235" s="336"/>
      <c r="DO235" s="336"/>
      <c r="DP235" s="336"/>
      <c r="DQ235" s="336"/>
      <c r="DR235" s="336"/>
      <c r="DS235" s="336"/>
      <c r="DT235" s="336"/>
      <c r="DU235" s="336"/>
      <c r="DW235" s="336">
        <f t="shared" si="1529"/>
        <v>0</v>
      </c>
      <c r="DX235" s="336">
        <f t="shared" si="1479"/>
        <v>0</v>
      </c>
      <c r="DY235" s="336">
        <f t="shared" si="1480"/>
        <v>0</v>
      </c>
      <c r="DZ235" s="336">
        <f t="shared" si="1481"/>
        <v>0</v>
      </c>
      <c r="EA235" s="336">
        <f t="shared" si="1482"/>
        <v>0</v>
      </c>
      <c r="EB235" s="336">
        <f t="shared" si="1483"/>
        <v>0</v>
      </c>
      <c r="EC235" s="336">
        <f t="shared" si="1484"/>
        <v>0</v>
      </c>
      <c r="ED235" s="336">
        <f t="shared" si="1485"/>
        <v>0</v>
      </c>
      <c r="EE235" s="336">
        <f t="shared" si="1486"/>
        <v>0</v>
      </c>
      <c r="EF235" s="336">
        <f t="shared" si="1487"/>
        <v>0</v>
      </c>
      <c r="EG235" s="336">
        <f t="shared" si="1488"/>
        <v>0</v>
      </c>
      <c r="EH235" s="336">
        <f t="shared" si="1489"/>
        <v>0</v>
      </c>
      <c r="EI235" s="336">
        <f t="shared" si="1490"/>
        <v>0</v>
      </c>
      <c r="EJ235" s="336">
        <f t="shared" si="1491"/>
        <v>0</v>
      </c>
      <c r="EK235" s="336">
        <f t="shared" si="1492"/>
        <v>0</v>
      </c>
      <c r="EL235" s="336">
        <f t="shared" si="1493"/>
        <v>0</v>
      </c>
      <c r="EM235" s="336">
        <f t="shared" si="1494"/>
        <v>0</v>
      </c>
      <c r="EN235" s="336">
        <f t="shared" si="1495"/>
        <v>0</v>
      </c>
      <c r="EO235" s="336">
        <f t="shared" si="1496"/>
        <v>0</v>
      </c>
      <c r="EP235" s="336">
        <f t="shared" si="1497"/>
        <v>0</v>
      </c>
      <c r="EQ235" s="336">
        <f t="shared" si="1498"/>
        <v>0</v>
      </c>
      <c r="ER235" s="336">
        <f t="shared" si="1499"/>
        <v>0</v>
      </c>
      <c r="ES235" s="336">
        <f t="shared" si="1500"/>
        <v>0</v>
      </c>
      <c r="ET235" s="336">
        <f t="shared" si="1500"/>
        <v>0</v>
      </c>
      <c r="EU235" s="336">
        <f t="shared" si="1501"/>
        <v>0</v>
      </c>
      <c r="EV235" s="336">
        <f t="shared" si="1502"/>
        <v>0</v>
      </c>
      <c r="EW235" s="336">
        <f t="shared" si="1503"/>
        <v>0</v>
      </c>
      <c r="EX235" s="336">
        <f t="shared" si="1504"/>
        <v>0</v>
      </c>
      <c r="EY235" s="336">
        <f t="shared" si="1505"/>
        <v>0</v>
      </c>
      <c r="EZ235" s="336">
        <f t="shared" si="1506"/>
        <v>0</v>
      </c>
      <c r="FA235" s="336">
        <f t="shared" si="1507"/>
        <v>0</v>
      </c>
      <c r="FB235" s="336">
        <f t="shared" si="1508"/>
        <v>0</v>
      </c>
      <c r="FC235" s="336">
        <f t="shared" si="1509"/>
        <v>0</v>
      </c>
      <c r="FD235" s="336">
        <f t="shared" si="1510"/>
        <v>0</v>
      </c>
      <c r="FE235" s="336">
        <f t="shared" si="1511"/>
        <v>0</v>
      </c>
      <c r="FF235" s="336">
        <f t="shared" si="1512"/>
        <v>0</v>
      </c>
      <c r="FG235" s="336">
        <f t="shared" si="1513"/>
        <v>0</v>
      </c>
      <c r="FH235" s="336">
        <f t="shared" si="1514"/>
        <v>0</v>
      </c>
      <c r="FI235" s="336">
        <f t="shared" si="1515"/>
        <v>0</v>
      </c>
      <c r="FJ235" s="336">
        <f t="shared" si="1516"/>
        <v>0</v>
      </c>
      <c r="FK235" s="336">
        <f t="shared" si="1517"/>
        <v>0</v>
      </c>
      <c r="FL235" s="336">
        <f t="shared" si="1518"/>
        <v>0</v>
      </c>
      <c r="FM235" s="336">
        <f t="shared" si="1519"/>
        <v>0</v>
      </c>
      <c r="FN235" s="336">
        <f t="shared" si="1520"/>
        <v>0</v>
      </c>
      <c r="FO235" s="336">
        <f t="shared" si="1521"/>
        <v>0</v>
      </c>
      <c r="FP235" s="336">
        <f t="shared" si="1522"/>
        <v>0</v>
      </c>
      <c r="FQ235" s="336">
        <f t="shared" si="1523"/>
        <v>0</v>
      </c>
      <c r="FR235" s="336">
        <f t="shared" si="1524"/>
        <v>0</v>
      </c>
      <c r="FS235" s="336">
        <f t="shared" si="1525"/>
        <v>0</v>
      </c>
      <c r="FT235" s="336">
        <f t="shared" si="1526"/>
        <v>0</v>
      </c>
      <c r="FU235" s="336">
        <f t="shared" si="1474"/>
        <v>0</v>
      </c>
      <c r="FV235" s="336">
        <f t="shared" si="1475"/>
        <v>0</v>
      </c>
      <c r="FW235" s="336">
        <f t="shared" si="1476"/>
        <v>0</v>
      </c>
      <c r="FX235" s="336">
        <f t="shared" si="1477"/>
        <v>0</v>
      </c>
      <c r="FY235" s="336">
        <f t="shared" si="1559"/>
        <v>0</v>
      </c>
      <c r="FZ235" s="336">
        <f t="shared" si="1560"/>
        <v>0</v>
      </c>
      <c r="GA235" s="336">
        <f t="shared" si="1561"/>
        <v>0</v>
      </c>
      <c r="GB235" s="336">
        <f t="shared" si="1562"/>
        <v>0</v>
      </c>
      <c r="GC235" s="336">
        <f t="shared" si="1563"/>
        <v>0</v>
      </c>
      <c r="GD235" s="336">
        <f t="shared" si="1564"/>
        <v>0</v>
      </c>
      <c r="GE235" s="336">
        <f t="shared" si="1565"/>
        <v>0</v>
      </c>
      <c r="GF235" s="336">
        <f t="shared" si="1566"/>
        <v>0</v>
      </c>
      <c r="GG235" s="336">
        <f t="shared" si="1567"/>
        <v>0</v>
      </c>
      <c r="GH235" s="336">
        <f t="shared" si="1568"/>
        <v>0</v>
      </c>
      <c r="GI235" s="336">
        <f t="shared" si="1569"/>
        <v>0</v>
      </c>
      <c r="GJ235" s="336">
        <f t="shared" si="1570"/>
        <v>0</v>
      </c>
      <c r="GK235" s="336">
        <f t="shared" si="1571"/>
        <v>0</v>
      </c>
      <c r="GL235" s="336">
        <f t="shared" si="1478"/>
        <v>0</v>
      </c>
      <c r="GM235" s="336">
        <f t="shared" si="1572"/>
        <v>0</v>
      </c>
    </row>
    <row r="236" spans="1:195" ht="27.75" customHeight="1">
      <c r="A236" s="337">
        <f t="shared" ref="A236:A246" si="1643">A235+1</f>
        <v>188</v>
      </c>
      <c r="B236" s="453"/>
      <c r="C236" s="372" t="str">
        <f t="shared" si="1641"/>
        <v xml:space="preserve">STORES HVAC DB </v>
      </c>
      <c r="D236" s="444" t="s">
        <v>1383</v>
      </c>
      <c r="E236" s="567" t="s">
        <v>1188</v>
      </c>
      <c r="F236" s="444"/>
      <c r="G236" s="337" t="s">
        <v>329</v>
      </c>
      <c r="H236" s="583">
        <v>3.5</v>
      </c>
      <c r="I236" s="337" t="s">
        <v>330</v>
      </c>
      <c r="J236" s="349" t="s">
        <v>357</v>
      </c>
      <c r="K236" s="349">
        <v>230</v>
      </c>
      <c r="L236" s="343">
        <v>0.95</v>
      </c>
      <c r="M236" s="350">
        <v>0.85</v>
      </c>
      <c r="N236" s="342">
        <f t="shared" si="1596"/>
        <v>18.845066630771303</v>
      </c>
      <c r="O236" s="342">
        <f t="shared" si="1630"/>
        <v>0</v>
      </c>
      <c r="P236" s="343" t="str">
        <f t="shared" si="1598"/>
        <v>0.00</v>
      </c>
      <c r="Q236" s="350">
        <v>65</v>
      </c>
      <c r="R236" s="350">
        <v>0</v>
      </c>
      <c r="S236" s="350">
        <f t="shared" si="1582"/>
        <v>0</v>
      </c>
      <c r="T236" s="343" t="s">
        <v>131</v>
      </c>
      <c r="U236" s="350" t="s">
        <v>333</v>
      </c>
      <c r="V236" s="343">
        <v>16</v>
      </c>
      <c r="W236" s="343" t="str">
        <f t="shared" si="1583"/>
        <v>3C X 16</v>
      </c>
      <c r="X236" s="343" t="str">
        <f t="shared" si="1631"/>
        <v>3C X 16</v>
      </c>
      <c r="Y236" s="343" t="s">
        <v>358</v>
      </c>
      <c r="Z236" s="344">
        <f>IF(T236="AIR",VLOOKUP(W236,'Catalogue Aluminium'!$B$9:$G$93,2,FALSE),IF(T236="GROUND",VLOOKUP(W236,'Catalogue Aluminium'!$B$9:$G$93,3,FALSE),IF(T236="DUCT",VLOOKUP(W236,'Catalogue Aluminium'!$B$9:$G$93,4,FALSE),IF(T236="TRENCH",VLOOKUP(W236,'Catalogue Aluminium'!$B$9:$G$93,2,FALSE)))))</f>
        <v>70</v>
      </c>
      <c r="AA236" s="345">
        <f>VLOOKUP(W236,'Catalogue Aluminium'!$B$9:$G$93,5,FALSE)</f>
        <v>2.44</v>
      </c>
      <c r="AB236" s="345">
        <f>VLOOKUP(W236,'Catalogue Aluminium'!$B$9:$G$93,6,FALSE)</f>
        <v>8.1500000000000003E-2</v>
      </c>
      <c r="AC236" s="343">
        <f t="shared" si="1642"/>
        <v>31</v>
      </c>
      <c r="AD236" s="343">
        <v>0</v>
      </c>
      <c r="AE236" s="343">
        <v>10</v>
      </c>
      <c r="AF236" s="343">
        <v>5</v>
      </c>
      <c r="AG236" s="343">
        <f t="shared" si="1462"/>
        <v>5</v>
      </c>
      <c r="AH236" s="347">
        <f t="shared" si="1632"/>
        <v>51</v>
      </c>
      <c r="AI236" s="344">
        <f>IF(T236="AIR",'Catalogue Aluminium'!$K$9,IF(T236="TRENCH",'Catalogue Aluminium'!$K$12,"NA"))</f>
        <v>0.89</v>
      </c>
      <c r="AJ236" s="342">
        <f>IF(T236="Air",(IF(U236="1C",'Catalogue Aluminium'!$L$9,'Catalogue Aluminium'!$M$9)),IF(T236="DUCT",(IF($U236="1C",'Catalogue Aluminium'!$L$10,'Catalogue Aluminium'!$M$10)),IF(T236="GROUND",(IF($U236="1C",'Catalogue Aluminium'!$L$11,'Catalogue Aluminium'!$M$11)),IF(T236="TRENCH",(IF($U236="1C",'Catalogue Aluminium'!$L$12,'Catalogue Aluminium'!$M$12))))))</f>
        <v>0.66</v>
      </c>
      <c r="AK236" s="344" t="str">
        <f>IF(T236="Air",'Catalogue Aluminium'!$N$9,IF(T236="GROUND",'Catalogue Aluminium'!$N$10,IF(T236="DUCT",'Catalogue Aluminium'!$N$11,IF(T236="TRENCH",'Catalogue Aluminium'!$N$12,"NA"))))</f>
        <v>NA</v>
      </c>
      <c r="AL236" s="344" t="str">
        <f>IF(T236="Air",(IF(U236="1C",'Catalogue Aluminium'!$O$9,'Catalogue Aluminium'!$P$9)),IF(T236="DUCT",(IF($U236="1C",'Catalogue Aluminium'!$O$10,'Catalogue Aluminium'!$P$10)),IF(T236="GROUND",(IF($U236="1C",'Catalogue Aluminium'!$O$11,'Catalogue Aluminium'!$P$11)),IF(T236="TRENCH",(IF($U236="1C",'Catalogue Aluminium'!$O$12,'Catalogue Aluminium'!$P$12))))))</f>
        <v>NA</v>
      </c>
      <c r="AM236" s="344" t="str">
        <f>IF(T236="AIR","NA",IF(T236="TRENCH","NA",IF(T236="DUCT",IF(U236="1C",VLOOKUP(V236,'Catalogue Aluminium'!$Q$9:$S$28,2,FALSE),VLOOKUP(V236,'Catalogue Aluminium'!$Q$9:$S$28,3)),IF(T236="GROUND",IF(U236="1C",VLOOKUP(V236,'Catalogue Aluminium'!$Q$9:$S$28,2,FALSE),VLOOKUP(V236,'Catalogue Aluminium'!$Q$9:$S$28,3))))))</f>
        <v>NA</v>
      </c>
      <c r="AN236" s="351">
        <f t="shared" si="1633"/>
        <v>0.58740000000000003</v>
      </c>
      <c r="AO236" s="350">
        <f t="shared" si="1634"/>
        <v>41.118000000000002</v>
      </c>
      <c r="AP236" s="349">
        <f t="shared" si="1635"/>
        <v>1</v>
      </c>
      <c r="AQ236" s="350" t="str">
        <f t="shared" si="1636"/>
        <v>YES</v>
      </c>
      <c r="AR236" s="351">
        <f t="shared" si="1463"/>
        <v>1.6961178860219139</v>
      </c>
      <c r="AS236" s="343" t="str">
        <f t="shared" si="1464"/>
        <v>YES</v>
      </c>
      <c r="AT236" s="351" t="str">
        <f>IF(G236="MOTOR",(SQRT(3)*AH236*O236*((AA236*P236)+(AB236*SIN(ACOS(P236))))*100/(AP236*K236*1000)),"NA")</f>
        <v>NA</v>
      </c>
      <c r="AU236" s="343" t="str">
        <f t="shared" si="1637"/>
        <v>NA</v>
      </c>
      <c r="AV236" s="354" t="str">
        <f t="shared" si="1638"/>
        <v>1R x 0.6/1kV x 3C x 16 Sqmm</v>
      </c>
      <c r="AW236" s="354" t="str">
        <f t="shared" si="1639"/>
        <v>1R x 0.6/1kV x 3C x 16 Sqmm</v>
      </c>
      <c r="AX236" s="343">
        <f>(IF(K236=400,(IF(U236="1C",(4*AH236*AP236),(AH236*AP236))),IF(K236=230,(AH236*AP236))))</f>
        <v>51</v>
      </c>
      <c r="AY236" s="355"/>
      <c r="AZ236" s="355">
        <f>IF(U236="1C",(3*AP236*2),(AP236*2))</f>
        <v>2</v>
      </c>
      <c r="BA236" s="356" t="str">
        <f t="shared" si="1640"/>
        <v/>
      </c>
      <c r="BB236" s="501">
        <f>VLOOKUP(W236,'Catalogue Aluminium'!$B$9:$H$93,7,FALSE)</f>
        <v>19</v>
      </c>
      <c r="BC236" s="328">
        <f>AP236*BB236</f>
        <v>19</v>
      </c>
      <c r="BE236" s="336"/>
      <c r="BF236" s="336"/>
      <c r="BG236" s="336"/>
      <c r="BH236" s="336"/>
      <c r="BI236" s="336"/>
      <c r="BJ236" s="336"/>
      <c r="BK236" s="336"/>
      <c r="BL236" s="336"/>
      <c r="BM236" s="336"/>
      <c r="BN236" s="336"/>
      <c r="BO236" s="336"/>
      <c r="BP236" s="336"/>
      <c r="BQ236" s="336"/>
      <c r="BR236" s="336"/>
      <c r="BS236" s="336"/>
      <c r="BT236" s="336"/>
      <c r="BU236" s="336"/>
      <c r="BV236" s="336"/>
      <c r="BW236" s="336"/>
      <c r="BX236" s="336"/>
      <c r="BY236" s="336"/>
      <c r="BZ236" s="336"/>
      <c r="CA236" s="336"/>
      <c r="CB236" s="336"/>
      <c r="CC236" s="336"/>
      <c r="CD236" s="336"/>
      <c r="CE236" s="336"/>
      <c r="CF236" s="336"/>
      <c r="CG236" s="336"/>
      <c r="CH236" s="336"/>
      <c r="CI236" s="336"/>
      <c r="CJ236" s="336"/>
      <c r="CK236" s="336"/>
      <c r="CL236" s="336"/>
      <c r="CM236" s="336"/>
      <c r="CN236" s="336"/>
      <c r="CO236" s="336"/>
      <c r="CP236" s="336"/>
      <c r="CQ236" s="336"/>
      <c r="CR236" s="336"/>
      <c r="CS236" s="336"/>
      <c r="CT236" s="336"/>
      <c r="CU236" s="336"/>
      <c r="CV236" s="336"/>
      <c r="CW236" s="336"/>
      <c r="CX236" s="336"/>
      <c r="CY236" s="336"/>
      <c r="CZ236" s="336"/>
      <c r="DA236" s="336"/>
      <c r="DB236" s="336"/>
      <c r="DC236" s="336"/>
      <c r="DD236" s="336"/>
      <c r="DE236" s="336"/>
      <c r="DF236" s="336"/>
      <c r="DG236" s="336"/>
      <c r="DH236" s="336"/>
      <c r="DI236" s="336"/>
      <c r="DJ236" s="336"/>
      <c r="DK236" s="336"/>
      <c r="DL236" s="336"/>
      <c r="DM236" s="336"/>
      <c r="DN236" s="336"/>
      <c r="DO236" s="336"/>
      <c r="DP236" s="336"/>
      <c r="DQ236" s="336"/>
      <c r="DR236" s="336"/>
      <c r="DS236" s="336"/>
      <c r="DT236" s="336"/>
      <c r="DU236" s="336"/>
      <c r="DW236" s="336">
        <f t="shared" si="1529"/>
        <v>0</v>
      </c>
      <c r="DX236" s="336">
        <f t="shared" si="1479"/>
        <v>0</v>
      </c>
      <c r="DY236" s="336">
        <f t="shared" si="1480"/>
        <v>0</v>
      </c>
      <c r="DZ236" s="336">
        <f t="shared" si="1481"/>
        <v>0</v>
      </c>
      <c r="EA236" s="336">
        <f t="shared" si="1482"/>
        <v>0</v>
      </c>
      <c r="EB236" s="336">
        <f t="shared" si="1483"/>
        <v>0</v>
      </c>
      <c r="EC236" s="336">
        <f t="shared" si="1484"/>
        <v>0</v>
      </c>
      <c r="ED236" s="336">
        <f t="shared" si="1485"/>
        <v>0</v>
      </c>
      <c r="EE236" s="336">
        <f t="shared" si="1486"/>
        <v>0</v>
      </c>
      <c r="EF236" s="336">
        <f t="shared" si="1487"/>
        <v>0</v>
      </c>
      <c r="EG236" s="336">
        <f t="shared" si="1488"/>
        <v>0</v>
      </c>
      <c r="EH236" s="336">
        <f t="shared" si="1489"/>
        <v>0</v>
      </c>
      <c r="EI236" s="336">
        <f t="shared" si="1490"/>
        <v>0</v>
      </c>
      <c r="EJ236" s="336">
        <f t="shared" si="1491"/>
        <v>0</v>
      </c>
      <c r="EK236" s="336">
        <f t="shared" si="1492"/>
        <v>0</v>
      </c>
      <c r="EL236" s="336">
        <f t="shared" si="1493"/>
        <v>0</v>
      </c>
      <c r="EM236" s="336">
        <f t="shared" si="1494"/>
        <v>0</v>
      </c>
      <c r="EN236" s="336">
        <f t="shared" si="1495"/>
        <v>0</v>
      </c>
      <c r="EO236" s="336">
        <f t="shared" si="1496"/>
        <v>0</v>
      </c>
      <c r="EP236" s="336">
        <f t="shared" si="1497"/>
        <v>0</v>
      </c>
      <c r="EQ236" s="336">
        <f t="shared" si="1498"/>
        <v>0</v>
      </c>
      <c r="ER236" s="336">
        <f t="shared" si="1499"/>
        <v>0</v>
      </c>
      <c r="ES236" s="336">
        <f t="shared" si="1500"/>
        <v>0</v>
      </c>
      <c r="ET236" s="336">
        <f t="shared" si="1500"/>
        <v>0</v>
      </c>
      <c r="EU236" s="336">
        <f t="shared" si="1501"/>
        <v>0</v>
      </c>
      <c r="EV236" s="336">
        <f t="shared" si="1502"/>
        <v>0</v>
      </c>
      <c r="EW236" s="336">
        <f t="shared" si="1503"/>
        <v>0</v>
      </c>
      <c r="EX236" s="336">
        <f t="shared" si="1504"/>
        <v>0</v>
      </c>
      <c r="EY236" s="336">
        <f t="shared" si="1505"/>
        <v>0</v>
      </c>
      <c r="EZ236" s="336">
        <f t="shared" si="1506"/>
        <v>0</v>
      </c>
      <c r="FA236" s="336">
        <f t="shared" si="1507"/>
        <v>0</v>
      </c>
      <c r="FB236" s="336">
        <f t="shared" si="1508"/>
        <v>0</v>
      </c>
      <c r="FC236" s="336">
        <f t="shared" si="1509"/>
        <v>0</v>
      </c>
      <c r="FD236" s="336">
        <f t="shared" si="1510"/>
        <v>0</v>
      </c>
      <c r="FE236" s="336">
        <f t="shared" si="1511"/>
        <v>0</v>
      </c>
      <c r="FF236" s="336">
        <f t="shared" si="1512"/>
        <v>0</v>
      </c>
      <c r="FG236" s="336">
        <f t="shared" si="1513"/>
        <v>0</v>
      </c>
      <c r="FH236" s="336">
        <f t="shared" si="1514"/>
        <v>0</v>
      </c>
      <c r="FI236" s="336">
        <f t="shared" si="1515"/>
        <v>0</v>
      </c>
      <c r="FJ236" s="336">
        <f t="shared" si="1516"/>
        <v>0</v>
      </c>
      <c r="FK236" s="336">
        <f t="shared" si="1517"/>
        <v>0</v>
      </c>
      <c r="FL236" s="336">
        <f t="shared" si="1518"/>
        <v>0</v>
      </c>
      <c r="FM236" s="336">
        <f t="shared" si="1519"/>
        <v>0</v>
      </c>
      <c r="FN236" s="336">
        <f t="shared" si="1520"/>
        <v>0</v>
      </c>
      <c r="FO236" s="336">
        <f t="shared" si="1521"/>
        <v>0</v>
      </c>
      <c r="FP236" s="336">
        <f t="shared" si="1522"/>
        <v>0</v>
      </c>
      <c r="FQ236" s="336">
        <f t="shared" si="1523"/>
        <v>0</v>
      </c>
      <c r="FR236" s="336">
        <f t="shared" si="1524"/>
        <v>0</v>
      </c>
      <c r="FS236" s="336">
        <f t="shared" si="1525"/>
        <v>0</v>
      </c>
      <c r="FT236" s="336">
        <f t="shared" si="1526"/>
        <v>0</v>
      </c>
      <c r="FU236" s="336">
        <f t="shared" si="1474"/>
        <v>0</v>
      </c>
      <c r="FV236" s="336">
        <f t="shared" si="1475"/>
        <v>0</v>
      </c>
      <c r="FW236" s="336">
        <f t="shared" si="1476"/>
        <v>0</v>
      </c>
      <c r="FX236" s="336">
        <f t="shared" si="1477"/>
        <v>0</v>
      </c>
      <c r="FY236" s="336">
        <f t="shared" si="1559"/>
        <v>0</v>
      </c>
      <c r="FZ236" s="336">
        <f t="shared" si="1560"/>
        <v>0</v>
      </c>
      <c r="GA236" s="336">
        <f t="shared" si="1561"/>
        <v>0</v>
      </c>
      <c r="GB236" s="336">
        <f t="shared" si="1562"/>
        <v>0</v>
      </c>
      <c r="GC236" s="336">
        <f t="shared" si="1563"/>
        <v>0</v>
      </c>
      <c r="GD236" s="336">
        <f t="shared" si="1564"/>
        <v>0</v>
      </c>
      <c r="GE236" s="336">
        <f t="shared" si="1565"/>
        <v>0</v>
      </c>
      <c r="GF236" s="336">
        <f t="shared" si="1566"/>
        <v>0</v>
      </c>
      <c r="GG236" s="336">
        <f t="shared" si="1567"/>
        <v>0</v>
      </c>
      <c r="GH236" s="336">
        <f t="shared" si="1568"/>
        <v>0</v>
      </c>
      <c r="GI236" s="336">
        <f t="shared" si="1569"/>
        <v>0</v>
      </c>
      <c r="GJ236" s="336">
        <f t="shared" si="1570"/>
        <v>0</v>
      </c>
      <c r="GK236" s="336">
        <f t="shared" si="1571"/>
        <v>0</v>
      </c>
      <c r="GL236" s="336">
        <f t="shared" si="1478"/>
        <v>0</v>
      </c>
      <c r="GM236" s="336">
        <f t="shared" si="1572"/>
        <v>0</v>
      </c>
    </row>
    <row r="237" spans="1:195" s="83" customFormat="1" ht="27.75" hidden="1" customHeight="1">
      <c r="A237" s="357" t="s">
        <v>334</v>
      </c>
      <c r="B237" s="421"/>
      <c r="C237" s="395" t="str">
        <f t="shared" si="1641"/>
        <v xml:space="preserve">STORES HVAC DB </v>
      </c>
      <c r="D237" s="565" t="s">
        <v>1384</v>
      </c>
      <c r="E237" s="783" t="s">
        <v>1188</v>
      </c>
      <c r="F237" s="565"/>
      <c r="G237" s="357" t="s">
        <v>329</v>
      </c>
      <c r="H237" s="352"/>
      <c r="I237" s="357" t="s">
        <v>330</v>
      </c>
      <c r="J237" s="353" t="s">
        <v>357</v>
      </c>
      <c r="K237" s="353">
        <v>230</v>
      </c>
      <c r="L237" s="360">
        <v>0.95</v>
      </c>
      <c r="M237" s="352">
        <v>0.85</v>
      </c>
      <c r="N237" s="359">
        <f t="shared" si="1596"/>
        <v>0</v>
      </c>
      <c r="O237" s="359">
        <f t="shared" si="1630"/>
        <v>0</v>
      </c>
      <c r="P237" s="360" t="str">
        <f t="shared" si="1598"/>
        <v>0.00</v>
      </c>
      <c r="Q237" s="352">
        <v>65</v>
      </c>
      <c r="R237" s="352">
        <v>0</v>
      </c>
      <c r="S237" s="352">
        <f t="shared" si="1582"/>
        <v>0</v>
      </c>
      <c r="T237" s="360" t="s">
        <v>131</v>
      </c>
      <c r="U237" s="352" t="s">
        <v>333</v>
      </c>
      <c r="V237" s="360">
        <v>6</v>
      </c>
      <c r="W237" s="360" t="str">
        <f t="shared" si="1583"/>
        <v>3C X 6</v>
      </c>
      <c r="X237" s="360" t="str">
        <f t="shared" si="1631"/>
        <v>3C X 6</v>
      </c>
      <c r="Y237" s="360" t="s">
        <v>358</v>
      </c>
      <c r="Z237" s="361">
        <f>IF(T237="AIR",VLOOKUP(W237,'Catalogue Aluminium'!$B$9:$G$93,2,FALSE),IF(T237="GROUND",VLOOKUP(W237,'Catalogue Aluminium'!$B$9:$G$93,3,FALSE),IF(T237="DUCT",VLOOKUP(W237,'Catalogue Aluminium'!$B$9:$G$93,4,FALSE),IF(T237="TRENCH",VLOOKUP(W237,'Catalogue Aluminium'!$B$9:$G$93,2,FALSE)))))</f>
        <v>51</v>
      </c>
      <c r="AA237" s="362">
        <f>VLOOKUP(W237,'Catalogue Aluminium'!$B$9:$G$93,5,FALSE)</f>
        <v>3.94</v>
      </c>
      <c r="AB237" s="362">
        <f>VLOOKUP(W237,'Catalogue Aluminium'!$B$9:$G$93,6,FALSE)</f>
        <v>9.0200000000000002E-2</v>
      </c>
      <c r="AC237" s="360">
        <f t="shared" si="1642"/>
        <v>31</v>
      </c>
      <c r="AD237" s="360">
        <v>0</v>
      </c>
      <c r="AE237" s="360">
        <v>10</v>
      </c>
      <c r="AF237" s="360">
        <v>5</v>
      </c>
      <c r="AG237" s="360">
        <f t="shared" si="1462"/>
        <v>5</v>
      </c>
      <c r="AH237" s="363"/>
      <c r="AI237" s="361">
        <f>IF(T237="AIR",'Catalogue Aluminium'!$K$9,IF(T237="TRENCH",'Catalogue Aluminium'!$K$12,"NA"))</f>
        <v>0.89</v>
      </c>
      <c r="AJ237" s="359">
        <f>IF(T237="Air",(IF(U237="1C",'Catalogue Aluminium'!$L$9,'Catalogue Aluminium'!$M$9)),IF(T237="DUCT",(IF($U237="1C",'Catalogue Aluminium'!$L$10,'Catalogue Aluminium'!$M$10)),IF(T237="GROUND",(IF($U237="1C",'Catalogue Aluminium'!$L$11,'Catalogue Aluminium'!$M$11)),IF(T237="TRENCH",(IF($U237="1C",'Catalogue Aluminium'!$L$12,'Catalogue Aluminium'!$M$12))))))</f>
        <v>0.66</v>
      </c>
      <c r="AK237" s="361" t="str">
        <f>IF(T237="Air",'Catalogue Aluminium'!$N$9,IF(T237="GROUND",'Catalogue Aluminium'!$N$10,IF(T237="DUCT",'Catalogue Aluminium'!$N$11,IF(T237="TRENCH",'Catalogue Aluminium'!$N$12,"NA"))))</f>
        <v>NA</v>
      </c>
      <c r="AL237" s="361" t="str">
        <f>IF(T237="Air",(IF(U237="1C",'Catalogue Aluminium'!$O$9,'Catalogue Aluminium'!$P$9)),IF(T237="DUCT",(IF($U237="1C",'Catalogue Aluminium'!$O$10,'Catalogue Aluminium'!$P$10)),IF(T237="GROUND",(IF($U237="1C",'Catalogue Aluminium'!$O$11,'Catalogue Aluminium'!$P$11)),IF(T237="TRENCH",(IF($U237="1C",'Catalogue Aluminium'!$O$12,'Catalogue Aluminium'!$P$12))))))</f>
        <v>NA</v>
      </c>
      <c r="AM237" s="361" t="str">
        <f>IF(T237="AIR","NA",IF(T237="TRENCH","NA",IF(T237="DUCT",IF(U237="1C",VLOOKUP(V237,'Catalogue Aluminium'!$Q$9:$S$28,2,FALSE),VLOOKUP(V237,'Catalogue Aluminium'!$Q$9:$S$28,3)),IF(T237="GROUND",IF(U237="1C",VLOOKUP(V237,'Catalogue Aluminium'!$Q$9:$S$28,2,FALSE),VLOOKUP(V237,'Catalogue Aluminium'!$Q$9:$S$28,3))))))</f>
        <v>NA</v>
      </c>
      <c r="AN237" s="365">
        <f t="shared" si="1633"/>
        <v>0.58740000000000003</v>
      </c>
      <c r="AO237" s="352">
        <f t="shared" si="1634"/>
        <v>29.957400000000003</v>
      </c>
      <c r="AP237" s="353">
        <f t="shared" si="1635"/>
        <v>0</v>
      </c>
      <c r="AQ237" s="352" t="str">
        <f t="shared" si="1636"/>
        <v>YES</v>
      </c>
      <c r="AR237" s="365" t="e">
        <f t="shared" si="1463"/>
        <v>#DIV/0!</v>
      </c>
      <c r="AS237" s="360" t="e">
        <f t="shared" si="1464"/>
        <v>#DIV/0!</v>
      </c>
      <c r="AT237" s="365" t="str">
        <f>IF(G237="MOTOR",(SQRT(3)*AH237*O237*((AA237*L237)+(AB237*SIN(ACOS(L237))))*100/(AP237*K237*1000)),"NA")</f>
        <v>NA</v>
      </c>
      <c r="AU237" s="360" t="str">
        <f t="shared" si="1637"/>
        <v>NA</v>
      </c>
      <c r="AV237" s="366" t="str">
        <f t="shared" si="1638"/>
        <v>0R x 0.6/1kV x 3C x 6 Sqmm</v>
      </c>
      <c r="AW237" s="366" t="str">
        <f t="shared" si="1639"/>
        <v>0R x 0.6/1kV x 3C x 6 Sqmm</v>
      </c>
      <c r="AX237" s="360"/>
      <c r="AY237" s="367"/>
      <c r="AZ237" s="367"/>
      <c r="BA237" s="751" t="str">
        <f t="shared" si="1640"/>
        <v/>
      </c>
      <c r="BB237" s="498"/>
      <c r="BC237" s="426"/>
      <c r="BE237" s="368"/>
      <c r="BF237" s="368"/>
      <c r="BG237" s="368"/>
      <c r="BH237" s="368"/>
      <c r="BI237" s="368"/>
      <c r="BJ237" s="368"/>
      <c r="BK237" s="368"/>
      <c r="BL237" s="368"/>
      <c r="BM237" s="368"/>
      <c r="BN237" s="368"/>
      <c r="BO237" s="368"/>
      <c r="BP237" s="368"/>
      <c r="BQ237" s="368"/>
      <c r="BR237" s="368"/>
      <c r="BS237" s="368"/>
      <c r="BT237" s="368"/>
      <c r="BU237" s="368"/>
      <c r="BV237" s="368"/>
      <c r="BW237" s="368"/>
      <c r="BX237" s="368"/>
      <c r="BY237" s="368"/>
      <c r="BZ237" s="368"/>
      <c r="CA237" s="368"/>
      <c r="CB237" s="368"/>
      <c r="CC237" s="368"/>
      <c r="CD237" s="368"/>
      <c r="CE237" s="368"/>
      <c r="CF237" s="368"/>
      <c r="CG237" s="368"/>
      <c r="CH237" s="368"/>
      <c r="CI237" s="368"/>
      <c r="CJ237" s="368"/>
      <c r="CK237" s="368"/>
      <c r="CL237" s="368"/>
      <c r="CM237" s="368"/>
      <c r="CN237" s="368"/>
      <c r="CO237" s="368"/>
      <c r="CP237" s="368"/>
      <c r="CQ237" s="368"/>
      <c r="CR237" s="368"/>
      <c r="CS237" s="368"/>
      <c r="CT237" s="368"/>
      <c r="CU237" s="368"/>
      <c r="CV237" s="368"/>
      <c r="CW237" s="368"/>
      <c r="CX237" s="368"/>
      <c r="CY237" s="368"/>
      <c r="CZ237" s="368"/>
      <c r="DA237" s="368"/>
      <c r="DB237" s="368"/>
      <c r="DC237" s="368"/>
      <c r="DD237" s="368"/>
      <c r="DE237" s="368"/>
      <c r="DF237" s="368"/>
      <c r="DG237" s="368"/>
      <c r="DH237" s="368"/>
      <c r="DI237" s="368"/>
      <c r="DJ237" s="368"/>
      <c r="DK237" s="368"/>
      <c r="DL237" s="368"/>
      <c r="DM237" s="368"/>
      <c r="DN237" s="368"/>
      <c r="DO237" s="368"/>
      <c r="DP237" s="368"/>
      <c r="DQ237" s="368"/>
      <c r="DR237" s="368"/>
      <c r="DS237" s="368"/>
      <c r="DT237" s="368"/>
      <c r="DU237" s="368"/>
      <c r="DW237" s="336">
        <f t="shared" si="1529"/>
        <v>0</v>
      </c>
      <c r="DX237" s="336">
        <f t="shared" si="1479"/>
        <v>0</v>
      </c>
      <c r="DY237" s="336">
        <f t="shared" si="1480"/>
        <v>0</v>
      </c>
      <c r="DZ237" s="336">
        <f t="shared" si="1481"/>
        <v>0</v>
      </c>
      <c r="EA237" s="336">
        <f t="shared" si="1482"/>
        <v>0</v>
      </c>
      <c r="EB237" s="336">
        <f t="shared" si="1483"/>
        <v>0</v>
      </c>
      <c r="EC237" s="336">
        <f t="shared" si="1484"/>
        <v>0</v>
      </c>
      <c r="ED237" s="336">
        <f t="shared" si="1485"/>
        <v>0</v>
      </c>
      <c r="EE237" s="336">
        <f t="shared" si="1486"/>
        <v>0</v>
      </c>
      <c r="EF237" s="336">
        <f t="shared" si="1487"/>
        <v>0</v>
      </c>
      <c r="EG237" s="336">
        <f t="shared" si="1488"/>
        <v>0</v>
      </c>
      <c r="EH237" s="336">
        <f t="shared" si="1489"/>
        <v>0</v>
      </c>
      <c r="EI237" s="336">
        <f t="shared" si="1490"/>
        <v>0</v>
      </c>
      <c r="EJ237" s="336">
        <f t="shared" si="1491"/>
        <v>0</v>
      </c>
      <c r="EK237" s="336">
        <f t="shared" si="1492"/>
        <v>0</v>
      </c>
      <c r="EL237" s="336">
        <f t="shared" si="1493"/>
        <v>0</v>
      </c>
      <c r="EM237" s="336">
        <f t="shared" si="1494"/>
        <v>0</v>
      </c>
      <c r="EN237" s="336">
        <f t="shared" si="1495"/>
        <v>0</v>
      </c>
      <c r="EO237" s="336">
        <f t="shared" si="1496"/>
        <v>0</v>
      </c>
      <c r="EP237" s="336">
        <f t="shared" si="1497"/>
        <v>0</v>
      </c>
      <c r="EQ237" s="336">
        <f t="shared" si="1498"/>
        <v>0</v>
      </c>
      <c r="ER237" s="336">
        <f t="shared" si="1499"/>
        <v>0</v>
      </c>
      <c r="ES237" s="336">
        <f t="shared" si="1500"/>
        <v>0</v>
      </c>
      <c r="ET237" s="336">
        <f t="shared" si="1500"/>
        <v>0</v>
      </c>
      <c r="EU237" s="336">
        <f t="shared" si="1501"/>
        <v>0</v>
      </c>
      <c r="EV237" s="336">
        <f t="shared" si="1502"/>
        <v>0</v>
      </c>
      <c r="EW237" s="336">
        <f t="shared" si="1503"/>
        <v>0</v>
      </c>
      <c r="EX237" s="336">
        <f t="shared" si="1504"/>
        <v>0</v>
      </c>
      <c r="EY237" s="336">
        <f t="shared" si="1505"/>
        <v>0</v>
      </c>
      <c r="EZ237" s="336">
        <f t="shared" si="1506"/>
        <v>0</v>
      </c>
      <c r="FA237" s="336">
        <f t="shared" si="1507"/>
        <v>0</v>
      </c>
      <c r="FB237" s="336">
        <f t="shared" si="1508"/>
        <v>0</v>
      </c>
      <c r="FC237" s="336">
        <f t="shared" si="1509"/>
        <v>0</v>
      </c>
      <c r="FD237" s="336">
        <f t="shared" si="1510"/>
        <v>0</v>
      </c>
      <c r="FE237" s="336">
        <f t="shared" si="1511"/>
        <v>0</v>
      </c>
      <c r="FF237" s="336">
        <f t="shared" si="1512"/>
        <v>0</v>
      </c>
      <c r="FG237" s="336">
        <f t="shared" si="1513"/>
        <v>0</v>
      </c>
      <c r="FH237" s="336">
        <f t="shared" si="1514"/>
        <v>0</v>
      </c>
      <c r="FI237" s="336">
        <f t="shared" si="1515"/>
        <v>0</v>
      </c>
      <c r="FJ237" s="336">
        <f t="shared" si="1516"/>
        <v>0</v>
      </c>
      <c r="FK237" s="336">
        <f t="shared" si="1517"/>
        <v>0</v>
      </c>
      <c r="FL237" s="336">
        <f t="shared" si="1518"/>
        <v>0</v>
      </c>
      <c r="FM237" s="336">
        <f t="shared" si="1519"/>
        <v>0</v>
      </c>
      <c r="FN237" s="336">
        <f t="shared" si="1520"/>
        <v>0</v>
      </c>
      <c r="FO237" s="336">
        <f t="shared" si="1521"/>
        <v>0</v>
      </c>
      <c r="FP237" s="336">
        <f t="shared" si="1522"/>
        <v>0</v>
      </c>
      <c r="FQ237" s="336">
        <f t="shared" si="1523"/>
        <v>0</v>
      </c>
      <c r="FR237" s="336">
        <f t="shared" si="1524"/>
        <v>0</v>
      </c>
      <c r="FS237" s="336">
        <f t="shared" si="1525"/>
        <v>0</v>
      </c>
      <c r="FT237" s="336">
        <f t="shared" si="1526"/>
        <v>0</v>
      </c>
      <c r="FU237" s="336"/>
      <c r="FV237" s="336"/>
      <c r="FW237" s="336"/>
      <c r="FX237" s="336"/>
      <c r="FY237" s="336">
        <f t="shared" ref="FY237:FY241" si="1644">IF(DG237=1,($BC237*DG237),0)</f>
        <v>0</v>
      </c>
      <c r="FZ237" s="336">
        <f t="shared" ref="FZ237:FZ241" si="1645">IF(DH237=1,($BC237*DH237),0)</f>
        <v>0</v>
      </c>
      <c r="GA237" s="336">
        <f t="shared" ref="GA237:GA241" si="1646">IF(DI237=1,($BC237*DI237),0)</f>
        <v>0</v>
      </c>
      <c r="GB237" s="336">
        <f t="shared" ref="GB237:GB241" si="1647">IF(DJ237=1,($BC237*DJ237),0)</f>
        <v>0</v>
      </c>
      <c r="GC237" s="336">
        <f t="shared" ref="GC237:GC241" si="1648">IF(DK237=1,($BC237*DK237),0)</f>
        <v>0</v>
      </c>
      <c r="GD237" s="336">
        <f t="shared" ref="GD237:GD241" si="1649">IF(DL237=1,($BC237*DL237),0)</f>
        <v>0</v>
      </c>
      <c r="GE237" s="336">
        <f t="shared" ref="GE237:GE241" si="1650">IF(DM237=1,($BC237*DM237),0)</f>
        <v>0</v>
      </c>
      <c r="GF237" s="336">
        <f t="shared" ref="GF237:GF241" si="1651">IF(DN237=1,($BC237*DN237),0)</f>
        <v>0</v>
      </c>
      <c r="GG237" s="336">
        <f t="shared" ref="GG237:GG241" si="1652">IF(DO237=1,($BC237*DO237),0)</f>
        <v>0</v>
      </c>
      <c r="GH237" s="336">
        <f t="shared" ref="GH237:GH241" si="1653">IF(DP237=1,($BC237*DP237),0)</f>
        <v>0</v>
      </c>
      <c r="GI237" s="336">
        <f t="shared" ref="GI237:GI241" si="1654">IF(DQ237=1,($BC237*DQ237),0)</f>
        <v>0</v>
      </c>
      <c r="GJ237" s="336">
        <f t="shared" ref="GJ237:GJ241" si="1655">IF(DR237=1,($BC237*DR237),0)</f>
        <v>0</v>
      </c>
      <c r="GK237" s="336">
        <f t="shared" ref="GK237:GK241" si="1656">IF(DS237=1,($BC237*DS237),0)</f>
        <v>0</v>
      </c>
      <c r="GL237" s="336"/>
      <c r="GM237" s="336">
        <f t="shared" ref="GM237:GM241" si="1657">IF(DU237=1,($BC237*DU237),0)</f>
        <v>0</v>
      </c>
    </row>
    <row r="238" spans="1:195" ht="27.75" customHeight="1">
      <c r="A238" s="337">
        <f>A236+1</f>
        <v>189</v>
      </c>
      <c r="B238" s="453"/>
      <c r="C238" s="372" t="str">
        <f t="shared" si="1641"/>
        <v xml:space="preserve">STORES HVAC DB </v>
      </c>
      <c r="D238" s="444" t="s">
        <v>1385</v>
      </c>
      <c r="E238" s="440" t="s">
        <v>1188</v>
      </c>
      <c r="F238" s="444"/>
      <c r="G238" s="337" t="s">
        <v>329</v>
      </c>
      <c r="H238" s="350">
        <v>3.5</v>
      </c>
      <c r="I238" s="337" t="s">
        <v>330</v>
      </c>
      <c r="J238" s="349" t="s">
        <v>357</v>
      </c>
      <c r="K238" s="349">
        <v>230</v>
      </c>
      <c r="L238" s="343">
        <v>0.95</v>
      </c>
      <c r="M238" s="350">
        <v>0.85</v>
      </c>
      <c r="N238" s="342">
        <f t="shared" si="1596"/>
        <v>18.845066630771303</v>
      </c>
      <c r="O238" s="342">
        <f t="shared" si="1630"/>
        <v>0</v>
      </c>
      <c r="P238" s="343" t="str">
        <f t="shared" si="1598"/>
        <v>0.00</v>
      </c>
      <c r="Q238" s="350">
        <v>65</v>
      </c>
      <c r="R238" s="350">
        <v>0</v>
      </c>
      <c r="S238" s="350">
        <f t="shared" si="1582"/>
        <v>0</v>
      </c>
      <c r="T238" s="343" t="s">
        <v>131</v>
      </c>
      <c r="U238" s="350" t="s">
        <v>333</v>
      </c>
      <c r="V238" s="343">
        <v>16</v>
      </c>
      <c r="W238" s="343" t="str">
        <f t="shared" si="1583"/>
        <v>3C X 16</v>
      </c>
      <c r="X238" s="343" t="str">
        <f t="shared" si="1631"/>
        <v>3C X 16</v>
      </c>
      <c r="Y238" s="343" t="s">
        <v>358</v>
      </c>
      <c r="Z238" s="344">
        <f>IF(T238="AIR",VLOOKUP(W238,'Catalogue Aluminium'!$B$9:$G$93,2,FALSE),IF(T238="GROUND",VLOOKUP(W238,'Catalogue Aluminium'!$B$9:$G$93,3,FALSE),IF(T238="DUCT",VLOOKUP(W238,'Catalogue Aluminium'!$B$9:$G$93,4,FALSE),IF(T238="TRENCH",VLOOKUP(W238,'Catalogue Aluminium'!$B$9:$G$93,2,FALSE)))))</f>
        <v>70</v>
      </c>
      <c r="AA238" s="345">
        <f>VLOOKUP(W238,'Catalogue Aluminium'!$B$9:$G$93,5,FALSE)</f>
        <v>2.44</v>
      </c>
      <c r="AB238" s="345">
        <f>VLOOKUP(W238,'Catalogue Aluminium'!$B$9:$G$93,6,FALSE)</f>
        <v>8.1500000000000003E-2</v>
      </c>
      <c r="AC238" s="343">
        <f>40+11</f>
        <v>51</v>
      </c>
      <c r="AD238" s="343">
        <v>0</v>
      </c>
      <c r="AE238" s="343">
        <v>10</v>
      </c>
      <c r="AF238" s="343">
        <v>5</v>
      </c>
      <c r="AG238" s="343">
        <f t="shared" si="1462"/>
        <v>7</v>
      </c>
      <c r="AH238" s="347">
        <f t="shared" si="1632"/>
        <v>73</v>
      </c>
      <c r="AI238" s="344">
        <f>IF(T238="AIR",'Catalogue Aluminium'!$K$9,IF(T238="TRENCH",'Catalogue Aluminium'!$K$12,"NA"))</f>
        <v>0.89</v>
      </c>
      <c r="AJ238" s="342">
        <f>IF(T238="Air",(IF(U238="1C",'Catalogue Aluminium'!$L$9,'Catalogue Aluminium'!$M$9)),IF(T238="DUCT",(IF($U238="1C",'Catalogue Aluminium'!$L$10,'Catalogue Aluminium'!$M$10)),IF(T238="GROUND",(IF($U238="1C",'Catalogue Aluminium'!$L$11,'Catalogue Aluminium'!$M$11)),IF(T238="TRENCH",(IF($U238="1C",'Catalogue Aluminium'!$L$12,'Catalogue Aluminium'!$M$12))))))</f>
        <v>0.66</v>
      </c>
      <c r="AK238" s="344" t="str">
        <f>IF(T238="Air",'Catalogue Aluminium'!$N$9,IF(T238="GROUND",'Catalogue Aluminium'!$N$10,IF(T238="DUCT",'Catalogue Aluminium'!$N$11,IF(T238="TRENCH",'Catalogue Aluminium'!$N$12,"NA"))))</f>
        <v>NA</v>
      </c>
      <c r="AL238" s="344" t="str">
        <f>IF(T238="Air",(IF(U238="1C",'Catalogue Aluminium'!$O$9,'Catalogue Aluminium'!$P$9)),IF(T238="DUCT",(IF($U238="1C",'Catalogue Aluminium'!$O$10,'Catalogue Aluminium'!$P$10)),IF(T238="GROUND",(IF($U238="1C",'Catalogue Aluminium'!$O$11,'Catalogue Aluminium'!$P$11)),IF(T238="TRENCH",(IF($U238="1C",'Catalogue Aluminium'!$O$12,'Catalogue Aluminium'!$P$12))))))</f>
        <v>NA</v>
      </c>
      <c r="AM238" s="344" t="str">
        <f>IF(T238="AIR","NA",IF(T238="TRENCH","NA",IF(T238="DUCT",IF(U238="1C",VLOOKUP(V238,'Catalogue Aluminium'!$Q$9:$S$28,2,FALSE),VLOOKUP(V238,'Catalogue Aluminium'!$Q$9:$S$28,3)),IF(T238="GROUND",IF(U238="1C",VLOOKUP(V238,'Catalogue Aluminium'!$Q$9:$S$28,2,FALSE),VLOOKUP(V238,'Catalogue Aluminium'!$Q$9:$S$28,3))))))</f>
        <v>NA</v>
      </c>
      <c r="AN238" s="351">
        <f t="shared" si="1633"/>
        <v>0.58740000000000003</v>
      </c>
      <c r="AO238" s="350">
        <f t="shared" si="1634"/>
        <v>41.118000000000002</v>
      </c>
      <c r="AP238" s="349">
        <f t="shared" si="1635"/>
        <v>1</v>
      </c>
      <c r="AQ238" s="350" t="str">
        <f t="shared" si="1636"/>
        <v>YES</v>
      </c>
      <c r="AR238" s="351">
        <f t="shared" si="1463"/>
        <v>2.4277765819529358</v>
      </c>
      <c r="AS238" s="343" t="str">
        <f t="shared" si="1464"/>
        <v>YES</v>
      </c>
      <c r="AT238" s="351" t="str">
        <f t="shared" ref="AT238:AT246" si="1658">IF(G238="MOTOR",(SQRT(3)*AH238*O238*((AA238*P238)+(AB238*SIN(ACOS(P238))))*100/(AP238*K238*1000)),"NA")</f>
        <v>NA</v>
      </c>
      <c r="AU238" s="343" t="str">
        <f t="shared" si="1637"/>
        <v>NA</v>
      </c>
      <c r="AV238" s="354" t="str">
        <f t="shared" si="1638"/>
        <v>1R x 0.6/1kV x 3C x 16 Sqmm</v>
      </c>
      <c r="AW238" s="354" t="str">
        <f t="shared" si="1639"/>
        <v>1R x 0.6/1kV x 3C x 16 Sqmm</v>
      </c>
      <c r="AX238" s="343">
        <f t="shared" ref="AX238:AX246" si="1659">(IF(K238=400,(IF(U238="1C",(4*AH238*AP238),(AH238*AP238))),IF(K238=230,(AH238*AP238))))</f>
        <v>73</v>
      </c>
      <c r="AY238" s="355"/>
      <c r="AZ238" s="355">
        <f t="shared" ref="AZ238:AZ246" si="1660">IF(U238="1C",(3*AP238*2),(AP238*2))</f>
        <v>2</v>
      </c>
      <c r="BA238" s="356" t="str">
        <f t="shared" si="1640"/>
        <v/>
      </c>
      <c r="BB238" s="501">
        <f>VLOOKUP(W238,'Catalogue Aluminium'!$B$9:$H$93,7,FALSE)</f>
        <v>19</v>
      </c>
      <c r="BC238" s="328">
        <f t="shared" ref="BC238:BC246" si="1661">AP238*BB238</f>
        <v>19</v>
      </c>
      <c r="BE238" s="336"/>
      <c r="BF238" s="336"/>
      <c r="BG238" s="336"/>
      <c r="BH238" s="336"/>
      <c r="BI238" s="336"/>
      <c r="BJ238" s="336"/>
      <c r="BK238" s="336"/>
      <c r="BL238" s="336"/>
      <c r="BM238" s="336"/>
      <c r="BN238" s="336"/>
      <c r="BO238" s="336"/>
      <c r="BP238" s="336"/>
      <c r="BQ238" s="336"/>
      <c r="BR238" s="336"/>
      <c r="BS238" s="336"/>
      <c r="BT238" s="336"/>
      <c r="BU238" s="336"/>
      <c r="BV238" s="336"/>
      <c r="BW238" s="336"/>
      <c r="BX238" s="336"/>
      <c r="BY238" s="336"/>
      <c r="BZ238" s="336"/>
      <c r="CA238" s="336"/>
      <c r="CB238" s="336"/>
      <c r="CC238" s="336"/>
      <c r="CD238" s="336"/>
      <c r="CE238" s="336"/>
      <c r="CF238" s="336"/>
      <c r="CG238" s="336"/>
      <c r="CH238" s="336"/>
      <c r="CI238" s="336"/>
      <c r="CJ238" s="336"/>
      <c r="CK238" s="336"/>
      <c r="CL238" s="336"/>
      <c r="CM238" s="336"/>
      <c r="CN238" s="336"/>
      <c r="CO238" s="336"/>
      <c r="CP238" s="336"/>
      <c r="CQ238" s="336"/>
      <c r="CR238" s="336"/>
      <c r="CS238" s="336"/>
      <c r="CT238" s="336"/>
      <c r="CU238" s="336"/>
      <c r="CV238" s="336"/>
      <c r="CW238" s="336"/>
      <c r="CX238" s="336"/>
      <c r="CY238" s="336"/>
      <c r="CZ238" s="336"/>
      <c r="DA238" s="336"/>
      <c r="DB238" s="336"/>
      <c r="DC238" s="336"/>
      <c r="DD238" s="336"/>
      <c r="DE238" s="336"/>
      <c r="DF238" s="336"/>
      <c r="DG238" s="336"/>
      <c r="DH238" s="336"/>
      <c r="DI238" s="336"/>
      <c r="DJ238" s="336"/>
      <c r="DK238" s="336"/>
      <c r="DL238" s="336"/>
      <c r="DM238" s="336"/>
      <c r="DN238" s="336"/>
      <c r="DO238" s="336"/>
      <c r="DP238" s="336"/>
      <c r="DQ238" s="336"/>
      <c r="DR238" s="336"/>
      <c r="DS238" s="336"/>
      <c r="DT238" s="336"/>
      <c r="DU238" s="336"/>
      <c r="DW238" s="336">
        <f t="shared" si="1529"/>
        <v>0</v>
      </c>
      <c r="DX238" s="336">
        <f t="shared" si="1479"/>
        <v>0</v>
      </c>
      <c r="DY238" s="336">
        <f t="shared" si="1480"/>
        <v>0</v>
      </c>
      <c r="DZ238" s="336">
        <f t="shared" si="1481"/>
        <v>0</v>
      </c>
      <c r="EA238" s="336">
        <f t="shared" si="1482"/>
        <v>0</v>
      </c>
      <c r="EB238" s="336">
        <f t="shared" si="1483"/>
        <v>0</v>
      </c>
      <c r="EC238" s="336">
        <f t="shared" si="1484"/>
        <v>0</v>
      </c>
      <c r="ED238" s="336">
        <f t="shared" si="1485"/>
        <v>0</v>
      </c>
      <c r="EE238" s="336">
        <f t="shared" si="1486"/>
        <v>0</v>
      </c>
      <c r="EF238" s="336">
        <f t="shared" si="1487"/>
        <v>0</v>
      </c>
      <c r="EG238" s="336">
        <f t="shared" si="1488"/>
        <v>0</v>
      </c>
      <c r="EH238" s="336">
        <f t="shared" si="1489"/>
        <v>0</v>
      </c>
      <c r="EI238" s="336">
        <f t="shared" si="1490"/>
        <v>0</v>
      </c>
      <c r="EJ238" s="336">
        <f t="shared" si="1491"/>
        <v>0</v>
      </c>
      <c r="EK238" s="336">
        <f t="shared" si="1492"/>
        <v>0</v>
      </c>
      <c r="EL238" s="336">
        <f t="shared" si="1493"/>
        <v>0</v>
      </c>
      <c r="EM238" s="336">
        <f t="shared" si="1494"/>
        <v>0</v>
      </c>
      <c r="EN238" s="336">
        <f t="shared" si="1495"/>
        <v>0</v>
      </c>
      <c r="EO238" s="336">
        <f t="shared" si="1496"/>
        <v>0</v>
      </c>
      <c r="EP238" s="336">
        <f t="shared" si="1497"/>
        <v>0</v>
      </c>
      <c r="EQ238" s="336">
        <f t="shared" si="1498"/>
        <v>0</v>
      </c>
      <c r="ER238" s="336">
        <f t="shared" si="1499"/>
        <v>0</v>
      </c>
      <c r="ES238" s="336">
        <f t="shared" si="1500"/>
        <v>0</v>
      </c>
      <c r="ET238" s="336">
        <f t="shared" si="1500"/>
        <v>0</v>
      </c>
      <c r="EU238" s="336">
        <f t="shared" si="1501"/>
        <v>0</v>
      </c>
      <c r="EV238" s="336">
        <f t="shared" si="1502"/>
        <v>0</v>
      </c>
      <c r="EW238" s="336">
        <f t="shared" si="1503"/>
        <v>0</v>
      </c>
      <c r="EX238" s="336">
        <f t="shared" si="1504"/>
        <v>0</v>
      </c>
      <c r="EY238" s="336">
        <f t="shared" si="1505"/>
        <v>0</v>
      </c>
      <c r="EZ238" s="336">
        <f t="shared" si="1506"/>
        <v>0</v>
      </c>
      <c r="FA238" s="336">
        <f t="shared" si="1507"/>
        <v>0</v>
      </c>
      <c r="FB238" s="336">
        <f t="shared" si="1508"/>
        <v>0</v>
      </c>
      <c r="FC238" s="336">
        <f t="shared" si="1509"/>
        <v>0</v>
      </c>
      <c r="FD238" s="336">
        <f t="shared" si="1510"/>
        <v>0</v>
      </c>
      <c r="FE238" s="336">
        <f t="shared" si="1511"/>
        <v>0</v>
      </c>
      <c r="FF238" s="336">
        <f t="shared" si="1512"/>
        <v>0</v>
      </c>
      <c r="FG238" s="336">
        <f t="shared" si="1513"/>
        <v>0</v>
      </c>
      <c r="FH238" s="336">
        <f t="shared" si="1514"/>
        <v>0</v>
      </c>
      <c r="FI238" s="336">
        <f t="shared" si="1515"/>
        <v>0</v>
      </c>
      <c r="FJ238" s="336">
        <f t="shared" si="1516"/>
        <v>0</v>
      </c>
      <c r="FK238" s="336">
        <f t="shared" si="1517"/>
        <v>0</v>
      </c>
      <c r="FL238" s="336">
        <f t="shared" si="1518"/>
        <v>0</v>
      </c>
      <c r="FM238" s="336">
        <f t="shared" si="1519"/>
        <v>0</v>
      </c>
      <c r="FN238" s="336">
        <f t="shared" si="1520"/>
        <v>0</v>
      </c>
      <c r="FO238" s="336">
        <f t="shared" si="1521"/>
        <v>0</v>
      </c>
      <c r="FP238" s="336">
        <f t="shared" si="1522"/>
        <v>0</v>
      </c>
      <c r="FQ238" s="336">
        <f t="shared" si="1523"/>
        <v>0</v>
      </c>
      <c r="FR238" s="336">
        <f t="shared" si="1524"/>
        <v>0</v>
      </c>
      <c r="FS238" s="336">
        <f t="shared" si="1525"/>
        <v>0</v>
      </c>
      <c r="FT238" s="336">
        <f t="shared" si="1526"/>
        <v>0</v>
      </c>
      <c r="FU238" s="336">
        <f t="shared" ref="FU238:FU246" si="1662">IF(DC238=1,($BC238*DC238),0)</f>
        <v>0</v>
      </c>
      <c r="FV238" s="336">
        <f t="shared" ref="FV238:FV246" si="1663">IF(DD238=1,($BC238*DD238),0)</f>
        <v>0</v>
      </c>
      <c r="FW238" s="336">
        <f t="shared" ref="FW238:FW246" si="1664">IF(DE238=1,($BC238*DE238),0)</f>
        <v>0</v>
      </c>
      <c r="FX238" s="336">
        <f t="shared" ref="FX238:FX246" si="1665">IF(DF238=1,($BC238*DF238),0)</f>
        <v>0</v>
      </c>
      <c r="FY238" s="336">
        <f t="shared" si="1644"/>
        <v>0</v>
      </c>
      <c r="FZ238" s="336">
        <f t="shared" si="1645"/>
        <v>0</v>
      </c>
      <c r="GA238" s="336">
        <f t="shared" si="1646"/>
        <v>0</v>
      </c>
      <c r="GB238" s="336">
        <f t="shared" si="1647"/>
        <v>0</v>
      </c>
      <c r="GC238" s="336">
        <f t="shared" si="1648"/>
        <v>0</v>
      </c>
      <c r="GD238" s="336">
        <f t="shared" si="1649"/>
        <v>0</v>
      </c>
      <c r="GE238" s="336">
        <f t="shared" si="1650"/>
        <v>0</v>
      </c>
      <c r="GF238" s="336">
        <f t="shared" si="1651"/>
        <v>0</v>
      </c>
      <c r="GG238" s="336">
        <f t="shared" si="1652"/>
        <v>0</v>
      </c>
      <c r="GH238" s="336">
        <f t="shared" si="1653"/>
        <v>0</v>
      </c>
      <c r="GI238" s="336">
        <f t="shared" si="1654"/>
        <v>0</v>
      </c>
      <c r="GJ238" s="336">
        <f t="shared" si="1655"/>
        <v>0</v>
      </c>
      <c r="GK238" s="336">
        <f t="shared" si="1656"/>
        <v>0</v>
      </c>
      <c r="GL238" s="336">
        <f t="shared" ref="GL238:GL246" si="1666">IF(DT238=1,($BC238*DT238),0)</f>
        <v>0</v>
      </c>
      <c r="GM238" s="336">
        <f t="shared" si="1657"/>
        <v>0</v>
      </c>
    </row>
    <row r="239" spans="1:195" ht="27.75" customHeight="1">
      <c r="A239" s="337">
        <f t="shared" si="1643"/>
        <v>190</v>
      </c>
      <c r="B239" s="453"/>
      <c r="C239" s="372" t="str">
        <f t="shared" si="1641"/>
        <v xml:space="preserve">STORES HVAC DB </v>
      </c>
      <c r="D239" s="444" t="s">
        <v>1386</v>
      </c>
      <c r="E239" s="567" t="s">
        <v>1188</v>
      </c>
      <c r="F239" s="444"/>
      <c r="G239" s="337" t="s">
        <v>329</v>
      </c>
      <c r="H239" s="583">
        <v>2.2000000000000002</v>
      </c>
      <c r="I239" s="337" t="s">
        <v>330</v>
      </c>
      <c r="J239" s="349" t="s">
        <v>331</v>
      </c>
      <c r="K239" s="349">
        <v>400</v>
      </c>
      <c r="L239" s="343">
        <v>0.95</v>
      </c>
      <c r="M239" s="350">
        <v>0.85</v>
      </c>
      <c r="N239" s="342">
        <f t="shared" si="1596"/>
        <v>3.9325320501362091</v>
      </c>
      <c r="O239" s="342">
        <f t="shared" si="1630"/>
        <v>0</v>
      </c>
      <c r="P239" s="343" t="str">
        <f t="shared" si="1598"/>
        <v>0.00</v>
      </c>
      <c r="Q239" s="350">
        <v>65</v>
      </c>
      <c r="R239" s="350">
        <v>0</v>
      </c>
      <c r="S239" s="350">
        <f t="shared" si="1582"/>
        <v>0</v>
      </c>
      <c r="T239" s="343" t="s">
        <v>131</v>
      </c>
      <c r="U239" s="350" t="s">
        <v>522</v>
      </c>
      <c r="V239" s="343">
        <v>4</v>
      </c>
      <c r="W239" s="343" t="str">
        <f t="shared" si="1583"/>
        <v>4C X 4</v>
      </c>
      <c r="X239" s="343" t="str">
        <f t="shared" si="1631"/>
        <v>4C X 4</v>
      </c>
      <c r="Y239" s="343" t="s">
        <v>358</v>
      </c>
      <c r="Z239" s="344">
        <f>IF(T239="AIR",VLOOKUP(W239,'Catalogue Aluminium'!$B$9:$G$93,2,FALSE),IF(T239="GROUND",VLOOKUP(W239,'Catalogue Aluminium'!$B$9:$G$93,3,FALSE),IF(T239="DUCT",VLOOKUP(W239,'Catalogue Aluminium'!$B$9:$G$93,4,FALSE),IF(T239="TRENCH",VLOOKUP(W239,'Catalogue Aluminium'!$B$9:$G$93,2,FALSE)))))</f>
        <v>38</v>
      </c>
      <c r="AA239" s="345">
        <f>VLOOKUP(W239,'Catalogue Aluminium'!$B$9:$G$93,5,FALSE)</f>
        <v>5.9</v>
      </c>
      <c r="AB239" s="345">
        <f>VLOOKUP(W239,'Catalogue Aluminium'!$B$9:$G$93,6,FALSE)</f>
        <v>9.4700000000000006E-2</v>
      </c>
      <c r="AC239" s="343">
        <f t="shared" ref="AC239:AC247" si="1667">40+11</f>
        <v>51</v>
      </c>
      <c r="AD239" s="343">
        <v>0</v>
      </c>
      <c r="AE239" s="343">
        <v>10</v>
      </c>
      <c r="AF239" s="343">
        <v>5</v>
      </c>
      <c r="AG239" s="343">
        <f t="shared" si="1462"/>
        <v>7</v>
      </c>
      <c r="AH239" s="347">
        <f t="shared" si="1632"/>
        <v>73</v>
      </c>
      <c r="AI239" s="344">
        <f>IF(T239="AIR",'Catalogue Aluminium'!$K$9,IF(T239="TRENCH",'Catalogue Aluminium'!$K$12,"NA"))</f>
        <v>0.89</v>
      </c>
      <c r="AJ239" s="342">
        <f>IF(T239="Air",(IF(U239="1C",'Catalogue Aluminium'!$L$9,'Catalogue Aluminium'!$M$9)),IF(T239="DUCT",(IF($U239="1C",'Catalogue Aluminium'!$L$10,'Catalogue Aluminium'!$M$10)),IF(T239="GROUND",(IF($U239="1C",'Catalogue Aluminium'!$L$11,'Catalogue Aluminium'!$M$11)),IF(T239="TRENCH",(IF($U239="1C",'Catalogue Aluminium'!$L$12,'Catalogue Aluminium'!$M$12))))))</f>
        <v>0.66</v>
      </c>
      <c r="AK239" s="344" t="str">
        <f>IF(T239="Air",'Catalogue Aluminium'!$N$9,IF(T239="GROUND",'Catalogue Aluminium'!$N$10,IF(T239="DUCT",'Catalogue Aluminium'!$N$11,IF(T239="TRENCH",'Catalogue Aluminium'!$N$12,"NA"))))</f>
        <v>NA</v>
      </c>
      <c r="AL239" s="344" t="str">
        <f>IF(T239="Air",(IF(U239="1C",'Catalogue Aluminium'!$O$9,'Catalogue Aluminium'!$P$9)),IF(T239="DUCT",(IF($U239="1C",'Catalogue Aluminium'!$O$10,'Catalogue Aluminium'!$P$10)),IF(T239="GROUND",(IF($U239="1C",'Catalogue Aluminium'!$O$11,'Catalogue Aluminium'!$P$11)),IF(T239="TRENCH",(IF($U239="1C",'Catalogue Aluminium'!$O$12,'Catalogue Aluminium'!$P$12))))))</f>
        <v>NA</v>
      </c>
      <c r="AM239" s="344" t="str">
        <f>IF(T239="AIR","NA",IF(T239="TRENCH","NA",IF(T239="DUCT",IF(U239="1C",VLOOKUP(V239,'Catalogue Aluminium'!$Q$9:$S$28,2,FALSE),VLOOKUP(V239,'Catalogue Aluminium'!$Q$9:$S$28,3)),IF(T239="GROUND",IF(U239="1C",VLOOKUP(V239,'Catalogue Aluminium'!$Q$9:$S$28,2,FALSE),VLOOKUP(V239,'Catalogue Aluminium'!$Q$9:$S$28,3))))))</f>
        <v>NA</v>
      </c>
      <c r="AN239" s="351">
        <f t="shared" si="1633"/>
        <v>0.58740000000000003</v>
      </c>
      <c r="AO239" s="350">
        <f t="shared" si="1634"/>
        <v>22.321200000000001</v>
      </c>
      <c r="AP239" s="349">
        <f t="shared" si="1635"/>
        <v>1</v>
      </c>
      <c r="AQ239" s="350" t="str">
        <f t="shared" si="1636"/>
        <v>YES</v>
      </c>
      <c r="AR239" s="351">
        <f t="shared" si="1463"/>
        <v>0.70041679394337275</v>
      </c>
      <c r="AS239" s="343" t="str">
        <f t="shared" si="1464"/>
        <v>YES</v>
      </c>
      <c r="AT239" s="351" t="str">
        <f t="shared" si="1658"/>
        <v>NA</v>
      </c>
      <c r="AU239" s="343" t="str">
        <f t="shared" si="1637"/>
        <v>NA</v>
      </c>
      <c r="AV239" s="354" t="str">
        <f t="shared" si="1638"/>
        <v>1R x 0.6/1kV x 4C x 4 Sqmm</v>
      </c>
      <c r="AW239" s="354" t="str">
        <f t="shared" si="1639"/>
        <v>1R x 0.6/1kV x 4C x 4 Sqmm</v>
      </c>
      <c r="AX239" s="343">
        <f t="shared" si="1659"/>
        <v>73</v>
      </c>
      <c r="AY239" s="355"/>
      <c r="AZ239" s="355">
        <f t="shared" si="1660"/>
        <v>2</v>
      </c>
      <c r="BA239" s="356" t="str">
        <f t="shared" si="1640"/>
        <v/>
      </c>
      <c r="BB239" s="501">
        <f>VLOOKUP(W239,'Catalogue Aluminium'!$B$9:$H$93,7,FALSE)</f>
        <v>16</v>
      </c>
      <c r="BC239" s="328">
        <f t="shared" si="1661"/>
        <v>16</v>
      </c>
      <c r="BE239" s="336"/>
      <c r="BF239" s="336"/>
      <c r="BG239" s="336"/>
      <c r="BH239" s="336"/>
      <c r="BI239" s="336"/>
      <c r="BJ239" s="336"/>
      <c r="BK239" s="336"/>
      <c r="BL239" s="336"/>
      <c r="BM239" s="336"/>
      <c r="BN239" s="336"/>
      <c r="BO239" s="336"/>
      <c r="BP239" s="336"/>
      <c r="BQ239" s="336"/>
      <c r="BR239" s="336"/>
      <c r="BS239" s="336"/>
      <c r="BT239" s="336"/>
      <c r="BU239" s="336"/>
      <c r="BV239" s="336"/>
      <c r="BW239" s="336"/>
      <c r="BX239" s="336"/>
      <c r="BY239" s="336"/>
      <c r="BZ239" s="336"/>
      <c r="CA239" s="336"/>
      <c r="CB239" s="336"/>
      <c r="CC239" s="336"/>
      <c r="CD239" s="336"/>
      <c r="CE239" s="336"/>
      <c r="CF239" s="336"/>
      <c r="CG239" s="336"/>
      <c r="CH239" s="336"/>
      <c r="CI239" s="336"/>
      <c r="CJ239" s="336"/>
      <c r="CK239" s="336"/>
      <c r="CL239" s="336"/>
      <c r="CM239" s="336"/>
      <c r="CN239" s="336"/>
      <c r="CO239" s="336"/>
      <c r="CP239" s="336"/>
      <c r="CQ239" s="336"/>
      <c r="CR239" s="336"/>
      <c r="CS239" s="336"/>
      <c r="CT239" s="336"/>
      <c r="CU239" s="336"/>
      <c r="CV239" s="336"/>
      <c r="CW239" s="336"/>
      <c r="CX239" s="336"/>
      <c r="CY239" s="336"/>
      <c r="CZ239" s="336"/>
      <c r="DA239" s="336"/>
      <c r="DB239" s="336"/>
      <c r="DC239" s="336"/>
      <c r="DD239" s="336"/>
      <c r="DE239" s="336"/>
      <c r="DF239" s="336"/>
      <c r="DG239" s="336"/>
      <c r="DH239" s="336"/>
      <c r="DI239" s="336"/>
      <c r="DJ239" s="336"/>
      <c r="DK239" s="336"/>
      <c r="DL239" s="336"/>
      <c r="DM239" s="336"/>
      <c r="DN239" s="336"/>
      <c r="DO239" s="336"/>
      <c r="DP239" s="336"/>
      <c r="DQ239" s="336"/>
      <c r="DR239" s="336"/>
      <c r="DS239" s="336"/>
      <c r="DT239" s="336"/>
      <c r="DU239" s="336"/>
      <c r="DW239" s="336">
        <f t="shared" si="1529"/>
        <v>0</v>
      </c>
      <c r="DX239" s="336">
        <f t="shared" si="1479"/>
        <v>0</v>
      </c>
      <c r="DY239" s="336">
        <f t="shared" si="1480"/>
        <v>0</v>
      </c>
      <c r="DZ239" s="336">
        <f t="shared" si="1481"/>
        <v>0</v>
      </c>
      <c r="EA239" s="336">
        <f t="shared" si="1482"/>
        <v>0</v>
      </c>
      <c r="EB239" s="336">
        <f t="shared" si="1483"/>
        <v>0</v>
      </c>
      <c r="EC239" s="336">
        <f t="shared" si="1484"/>
        <v>0</v>
      </c>
      <c r="ED239" s="336">
        <f t="shared" si="1485"/>
        <v>0</v>
      </c>
      <c r="EE239" s="336">
        <f t="shared" si="1486"/>
        <v>0</v>
      </c>
      <c r="EF239" s="336">
        <f t="shared" si="1487"/>
        <v>0</v>
      </c>
      <c r="EG239" s="336">
        <f t="shared" si="1488"/>
        <v>0</v>
      </c>
      <c r="EH239" s="336">
        <f t="shared" si="1489"/>
        <v>0</v>
      </c>
      <c r="EI239" s="336">
        <f t="shared" si="1490"/>
        <v>0</v>
      </c>
      <c r="EJ239" s="336">
        <f t="shared" si="1491"/>
        <v>0</v>
      </c>
      <c r="EK239" s="336">
        <f t="shared" si="1492"/>
        <v>0</v>
      </c>
      <c r="EL239" s="336">
        <f t="shared" si="1493"/>
        <v>0</v>
      </c>
      <c r="EM239" s="336">
        <f t="shared" si="1494"/>
        <v>0</v>
      </c>
      <c r="EN239" s="336">
        <f t="shared" si="1495"/>
        <v>0</v>
      </c>
      <c r="EO239" s="336">
        <f t="shared" si="1496"/>
        <v>0</v>
      </c>
      <c r="EP239" s="336">
        <f t="shared" si="1497"/>
        <v>0</v>
      </c>
      <c r="EQ239" s="336">
        <f t="shared" si="1498"/>
        <v>0</v>
      </c>
      <c r="ER239" s="336">
        <f t="shared" si="1499"/>
        <v>0</v>
      </c>
      <c r="ES239" s="336">
        <f t="shared" si="1500"/>
        <v>0</v>
      </c>
      <c r="ET239" s="336">
        <f t="shared" si="1500"/>
        <v>0</v>
      </c>
      <c r="EU239" s="336">
        <f t="shared" si="1501"/>
        <v>0</v>
      </c>
      <c r="EV239" s="336">
        <f t="shared" si="1502"/>
        <v>0</v>
      </c>
      <c r="EW239" s="336">
        <f t="shared" si="1503"/>
        <v>0</v>
      </c>
      <c r="EX239" s="336">
        <f t="shared" si="1504"/>
        <v>0</v>
      </c>
      <c r="EY239" s="336">
        <f t="shared" si="1505"/>
        <v>0</v>
      </c>
      <c r="EZ239" s="336">
        <f t="shared" si="1506"/>
        <v>0</v>
      </c>
      <c r="FA239" s="336">
        <f t="shared" si="1507"/>
        <v>0</v>
      </c>
      <c r="FB239" s="336">
        <f t="shared" si="1508"/>
        <v>0</v>
      </c>
      <c r="FC239" s="336">
        <f t="shared" si="1509"/>
        <v>0</v>
      </c>
      <c r="FD239" s="336">
        <f t="shared" si="1510"/>
        <v>0</v>
      </c>
      <c r="FE239" s="336">
        <f t="shared" si="1511"/>
        <v>0</v>
      </c>
      <c r="FF239" s="336">
        <f t="shared" si="1512"/>
        <v>0</v>
      </c>
      <c r="FG239" s="336">
        <f t="shared" si="1513"/>
        <v>0</v>
      </c>
      <c r="FH239" s="336">
        <f t="shared" si="1514"/>
        <v>0</v>
      </c>
      <c r="FI239" s="336">
        <f t="shared" si="1515"/>
        <v>0</v>
      </c>
      <c r="FJ239" s="336">
        <f t="shared" si="1516"/>
        <v>0</v>
      </c>
      <c r="FK239" s="336">
        <f t="shared" si="1517"/>
        <v>0</v>
      </c>
      <c r="FL239" s="336">
        <f t="shared" si="1518"/>
        <v>0</v>
      </c>
      <c r="FM239" s="336">
        <f t="shared" si="1519"/>
        <v>0</v>
      </c>
      <c r="FN239" s="336">
        <f t="shared" si="1520"/>
        <v>0</v>
      </c>
      <c r="FO239" s="336">
        <f t="shared" si="1521"/>
        <v>0</v>
      </c>
      <c r="FP239" s="336">
        <f t="shared" si="1522"/>
        <v>0</v>
      </c>
      <c r="FQ239" s="336">
        <f t="shared" si="1523"/>
        <v>0</v>
      </c>
      <c r="FR239" s="336">
        <f t="shared" si="1524"/>
        <v>0</v>
      </c>
      <c r="FS239" s="336">
        <f t="shared" si="1525"/>
        <v>0</v>
      </c>
      <c r="FT239" s="336">
        <f t="shared" si="1526"/>
        <v>0</v>
      </c>
      <c r="FU239" s="336">
        <f t="shared" si="1662"/>
        <v>0</v>
      </c>
      <c r="FV239" s="336">
        <f t="shared" si="1663"/>
        <v>0</v>
      </c>
      <c r="FW239" s="336">
        <f t="shared" si="1664"/>
        <v>0</v>
      </c>
      <c r="FX239" s="336">
        <f t="shared" si="1665"/>
        <v>0</v>
      </c>
      <c r="FY239" s="336">
        <f t="shared" si="1644"/>
        <v>0</v>
      </c>
      <c r="FZ239" s="336">
        <f t="shared" si="1645"/>
        <v>0</v>
      </c>
      <c r="GA239" s="336">
        <f t="shared" si="1646"/>
        <v>0</v>
      </c>
      <c r="GB239" s="336">
        <f t="shared" si="1647"/>
        <v>0</v>
      </c>
      <c r="GC239" s="336">
        <f t="shared" si="1648"/>
        <v>0</v>
      </c>
      <c r="GD239" s="336">
        <f t="shared" si="1649"/>
        <v>0</v>
      </c>
      <c r="GE239" s="336">
        <f t="shared" si="1650"/>
        <v>0</v>
      </c>
      <c r="GF239" s="336">
        <f t="shared" si="1651"/>
        <v>0</v>
      </c>
      <c r="GG239" s="336">
        <f t="shared" si="1652"/>
        <v>0</v>
      </c>
      <c r="GH239" s="336">
        <f t="shared" si="1653"/>
        <v>0</v>
      </c>
      <c r="GI239" s="336">
        <f t="shared" si="1654"/>
        <v>0</v>
      </c>
      <c r="GJ239" s="336">
        <f t="shared" si="1655"/>
        <v>0</v>
      </c>
      <c r="GK239" s="336">
        <f t="shared" si="1656"/>
        <v>0</v>
      </c>
      <c r="GL239" s="336">
        <f t="shared" si="1666"/>
        <v>0</v>
      </c>
      <c r="GM239" s="336">
        <f t="shared" si="1657"/>
        <v>0</v>
      </c>
    </row>
    <row r="240" spans="1:195" ht="27.75" customHeight="1">
      <c r="A240" s="337">
        <f t="shared" si="1643"/>
        <v>191</v>
      </c>
      <c r="B240" s="453"/>
      <c r="C240" s="372" t="str">
        <f t="shared" si="1641"/>
        <v xml:space="preserve">STORES HVAC DB </v>
      </c>
      <c r="D240" s="444" t="s">
        <v>1387</v>
      </c>
      <c r="E240" s="567" t="s">
        <v>1188</v>
      </c>
      <c r="F240" s="444"/>
      <c r="G240" s="337" t="s">
        <v>329</v>
      </c>
      <c r="H240" s="583">
        <v>2.2000000000000002</v>
      </c>
      <c r="I240" s="337" t="s">
        <v>330</v>
      </c>
      <c r="J240" s="349" t="s">
        <v>331</v>
      </c>
      <c r="K240" s="349">
        <v>400</v>
      </c>
      <c r="L240" s="343">
        <v>0.95</v>
      </c>
      <c r="M240" s="350">
        <v>0.85</v>
      </c>
      <c r="N240" s="342">
        <f t="shared" si="1596"/>
        <v>3.9325320501362091</v>
      </c>
      <c r="O240" s="342">
        <f t="shared" si="1630"/>
        <v>0</v>
      </c>
      <c r="P240" s="343" t="str">
        <f t="shared" si="1598"/>
        <v>0.00</v>
      </c>
      <c r="Q240" s="350">
        <v>65</v>
      </c>
      <c r="R240" s="350">
        <v>0</v>
      </c>
      <c r="S240" s="350">
        <f t="shared" si="1582"/>
        <v>0</v>
      </c>
      <c r="T240" s="343" t="s">
        <v>131</v>
      </c>
      <c r="U240" s="350" t="s">
        <v>522</v>
      </c>
      <c r="V240" s="343">
        <v>4</v>
      </c>
      <c r="W240" s="343" t="str">
        <f t="shared" si="1583"/>
        <v>4C X 4</v>
      </c>
      <c r="X240" s="343" t="str">
        <f t="shared" si="1631"/>
        <v>4C X 4</v>
      </c>
      <c r="Y240" s="343" t="s">
        <v>358</v>
      </c>
      <c r="Z240" s="344">
        <f>IF(T240="AIR",VLOOKUP(W240,'Catalogue Aluminium'!$B$9:$G$93,2,FALSE),IF(T240="GROUND",VLOOKUP(W240,'Catalogue Aluminium'!$B$9:$G$93,3,FALSE),IF(T240="DUCT",VLOOKUP(W240,'Catalogue Aluminium'!$B$9:$G$93,4,FALSE),IF(T240="TRENCH",VLOOKUP(W240,'Catalogue Aluminium'!$B$9:$G$93,2,FALSE)))))</f>
        <v>38</v>
      </c>
      <c r="AA240" s="345">
        <f>VLOOKUP(W240,'Catalogue Aluminium'!$B$9:$G$93,5,FALSE)</f>
        <v>5.9</v>
      </c>
      <c r="AB240" s="345">
        <f>VLOOKUP(W240,'Catalogue Aluminium'!$B$9:$G$93,6,FALSE)</f>
        <v>9.4700000000000006E-2</v>
      </c>
      <c r="AC240" s="343">
        <f t="shared" si="1667"/>
        <v>51</v>
      </c>
      <c r="AD240" s="343">
        <v>0</v>
      </c>
      <c r="AE240" s="343">
        <v>10</v>
      </c>
      <c r="AF240" s="343">
        <v>5</v>
      </c>
      <c r="AG240" s="343">
        <f t="shared" si="1462"/>
        <v>7</v>
      </c>
      <c r="AH240" s="347">
        <f t="shared" si="1632"/>
        <v>73</v>
      </c>
      <c r="AI240" s="344">
        <f>IF(T240="AIR",'Catalogue Aluminium'!$K$9,IF(T240="TRENCH",'Catalogue Aluminium'!$K$12,"NA"))</f>
        <v>0.89</v>
      </c>
      <c r="AJ240" s="342">
        <f>IF(T240="Air",(IF(U240="1C",'Catalogue Aluminium'!$L$9,'Catalogue Aluminium'!$M$9)),IF(T240="DUCT",(IF($U240="1C",'Catalogue Aluminium'!$L$10,'Catalogue Aluminium'!$M$10)),IF(T240="GROUND",(IF($U240="1C",'Catalogue Aluminium'!$L$11,'Catalogue Aluminium'!$M$11)),IF(T240="TRENCH",(IF($U240="1C",'Catalogue Aluminium'!$L$12,'Catalogue Aluminium'!$M$12))))))</f>
        <v>0.66</v>
      </c>
      <c r="AK240" s="344" t="str">
        <f>IF(T240="Air",'Catalogue Aluminium'!$N$9,IF(T240="GROUND",'Catalogue Aluminium'!$N$10,IF(T240="DUCT",'Catalogue Aluminium'!$N$11,IF(T240="TRENCH",'Catalogue Aluminium'!$N$12,"NA"))))</f>
        <v>NA</v>
      </c>
      <c r="AL240" s="344" t="str">
        <f>IF(T240="Air",(IF(U240="1C",'Catalogue Aluminium'!$O$9,'Catalogue Aluminium'!$P$9)),IF(T240="DUCT",(IF($U240="1C",'Catalogue Aluminium'!$O$10,'Catalogue Aluminium'!$P$10)),IF(T240="GROUND",(IF($U240="1C",'Catalogue Aluminium'!$O$11,'Catalogue Aluminium'!$P$11)),IF(T240="TRENCH",(IF($U240="1C",'Catalogue Aluminium'!$O$12,'Catalogue Aluminium'!$P$12))))))</f>
        <v>NA</v>
      </c>
      <c r="AM240" s="344" t="str">
        <f>IF(T240="AIR","NA",IF(T240="TRENCH","NA",IF(T240="DUCT",IF(U240="1C",VLOOKUP(V240,'Catalogue Aluminium'!$Q$9:$S$28,2,FALSE),VLOOKUP(V240,'Catalogue Aluminium'!$Q$9:$S$28,3)),IF(T240="GROUND",IF(U240="1C",VLOOKUP(V240,'Catalogue Aluminium'!$Q$9:$S$28,2,FALSE),VLOOKUP(V240,'Catalogue Aluminium'!$Q$9:$S$28,3))))))</f>
        <v>NA</v>
      </c>
      <c r="AN240" s="351">
        <f t="shared" si="1633"/>
        <v>0.58740000000000003</v>
      </c>
      <c r="AO240" s="350">
        <f t="shared" si="1634"/>
        <v>22.321200000000001</v>
      </c>
      <c r="AP240" s="349">
        <f t="shared" si="1635"/>
        <v>1</v>
      </c>
      <c r="AQ240" s="350" t="str">
        <f t="shared" si="1636"/>
        <v>YES</v>
      </c>
      <c r="AR240" s="351">
        <f t="shared" si="1463"/>
        <v>0.70041679394337275</v>
      </c>
      <c r="AS240" s="343" t="str">
        <f t="shared" si="1464"/>
        <v>YES</v>
      </c>
      <c r="AT240" s="351" t="str">
        <f t="shared" si="1658"/>
        <v>NA</v>
      </c>
      <c r="AU240" s="343" t="str">
        <f t="shared" si="1637"/>
        <v>NA</v>
      </c>
      <c r="AV240" s="354" t="str">
        <f t="shared" si="1638"/>
        <v>1R x 0.6/1kV x 4C x 4 Sqmm</v>
      </c>
      <c r="AW240" s="354" t="str">
        <f t="shared" si="1639"/>
        <v>1R x 0.6/1kV x 4C x 4 Sqmm</v>
      </c>
      <c r="AX240" s="343">
        <f t="shared" si="1659"/>
        <v>73</v>
      </c>
      <c r="AY240" s="355"/>
      <c r="AZ240" s="355">
        <f t="shared" si="1660"/>
        <v>2</v>
      </c>
      <c r="BA240" s="356" t="str">
        <f t="shared" si="1640"/>
        <v/>
      </c>
      <c r="BB240" s="501">
        <f>VLOOKUP(W240,'Catalogue Aluminium'!$B$9:$H$93,7,FALSE)</f>
        <v>16</v>
      </c>
      <c r="BC240" s="328">
        <f t="shared" si="1661"/>
        <v>16</v>
      </c>
      <c r="BE240" s="336"/>
      <c r="BF240" s="336"/>
      <c r="BG240" s="336"/>
      <c r="BH240" s="336"/>
      <c r="BI240" s="336"/>
      <c r="BJ240" s="336"/>
      <c r="BK240" s="336"/>
      <c r="BL240" s="336"/>
      <c r="BM240" s="336"/>
      <c r="BN240" s="336"/>
      <c r="BO240" s="336"/>
      <c r="BP240" s="336"/>
      <c r="BQ240" s="336"/>
      <c r="BR240" s="336"/>
      <c r="BS240" s="336"/>
      <c r="BT240" s="336"/>
      <c r="BU240" s="336"/>
      <c r="BV240" s="336"/>
      <c r="BW240" s="336"/>
      <c r="BX240" s="336"/>
      <c r="BY240" s="336"/>
      <c r="BZ240" s="336"/>
      <c r="CA240" s="336"/>
      <c r="CB240" s="336"/>
      <c r="CC240" s="336"/>
      <c r="CD240" s="336"/>
      <c r="CE240" s="336"/>
      <c r="CF240" s="336"/>
      <c r="CG240" s="336"/>
      <c r="CH240" s="336"/>
      <c r="CI240" s="336"/>
      <c r="CJ240" s="336"/>
      <c r="CK240" s="336"/>
      <c r="CL240" s="336"/>
      <c r="CM240" s="336"/>
      <c r="CN240" s="336"/>
      <c r="CO240" s="336"/>
      <c r="CP240" s="336"/>
      <c r="CQ240" s="336"/>
      <c r="CR240" s="336"/>
      <c r="CS240" s="336"/>
      <c r="CT240" s="336"/>
      <c r="CU240" s="336"/>
      <c r="CV240" s="336"/>
      <c r="CW240" s="336"/>
      <c r="CX240" s="336"/>
      <c r="CY240" s="336"/>
      <c r="CZ240" s="336"/>
      <c r="DA240" s="336"/>
      <c r="DB240" s="336"/>
      <c r="DC240" s="336"/>
      <c r="DD240" s="336"/>
      <c r="DE240" s="336"/>
      <c r="DF240" s="336"/>
      <c r="DG240" s="336"/>
      <c r="DH240" s="336"/>
      <c r="DI240" s="336"/>
      <c r="DJ240" s="336"/>
      <c r="DK240" s="336"/>
      <c r="DL240" s="336"/>
      <c r="DM240" s="336"/>
      <c r="DN240" s="336"/>
      <c r="DO240" s="336"/>
      <c r="DP240" s="336"/>
      <c r="DQ240" s="336"/>
      <c r="DR240" s="336"/>
      <c r="DS240" s="336"/>
      <c r="DT240" s="336"/>
      <c r="DU240" s="336"/>
      <c r="DW240" s="336">
        <f t="shared" si="1529"/>
        <v>0</v>
      </c>
      <c r="DX240" s="336">
        <f t="shared" si="1479"/>
        <v>0</v>
      </c>
      <c r="DY240" s="336">
        <f t="shared" si="1480"/>
        <v>0</v>
      </c>
      <c r="DZ240" s="336">
        <f t="shared" si="1481"/>
        <v>0</v>
      </c>
      <c r="EA240" s="336">
        <f t="shared" si="1482"/>
        <v>0</v>
      </c>
      <c r="EB240" s="336">
        <f t="shared" si="1483"/>
        <v>0</v>
      </c>
      <c r="EC240" s="336">
        <f t="shared" si="1484"/>
        <v>0</v>
      </c>
      <c r="ED240" s="336">
        <f t="shared" si="1485"/>
        <v>0</v>
      </c>
      <c r="EE240" s="336">
        <f t="shared" si="1486"/>
        <v>0</v>
      </c>
      <c r="EF240" s="336">
        <f t="shared" si="1487"/>
        <v>0</v>
      </c>
      <c r="EG240" s="336">
        <f t="shared" si="1488"/>
        <v>0</v>
      </c>
      <c r="EH240" s="336">
        <f t="shared" si="1489"/>
        <v>0</v>
      </c>
      <c r="EI240" s="336">
        <f t="shared" si="1490"/>
        <v>0</v>
      </c>
      <c r="EJ240" s="336">
        <f t="shared" si="1491"/>
        <v>0</v>
      </c>
      <c r="EK240" s="336">
        <f t="shared" si="1492"/>
        <v>0</v>
      </c>
      <c r="EL240" s="336">
        <f t="shared" si="1493"/>
        <v>0</v>
      </c>
      <c r="EM240" s="336">
        <f t="shared" si="1494"/>
        <v>0</v>
      </c>
      <c r="EN240" s="336">
        <f t="shared" si="1495"/>
        <v>0</v>
      </c>
      <c r="EO240" s="336">
        <f t="shared" si="1496"/>
        <v>0</v>
      </c>
      <c r="EP240" s="336">
        <f t="shared" si="1497"/>
        <v>0</v>
      </c>
      <c r="EQ240" s="336">
        <f t="shared" si="1498"/>
        <v>0</v>
      </c>
      <c r="ER240" s="336">
        <f t="shared" si="1499"/>
        <v>0</v>
      </c>
      <c r="ES240" s="336">
        <f t="shared" si="1500"/>
        <v>0</v>
      </c>
      <c r="ET240" s="336">
        <f t="shared" si="1500"/>
        <v>0</v>
      </c>
      <c r="EU240" s="336">
        <f t="shared" si="1501"/>
        <v>0</v>
      </c>
      <c r="EV240" s="336">
        <f t="shared" si="1502"/>
        <v>0</v>
      </c>
      <c r="EW240" s="336">
        <f t="shared" si="1503"/>
        <v>0</v>
      </c>
      <c r="EX240" s="336">
        <f t="shared" si="1504"/>
        <v>0</v>
      </c>
      <c r="EY240" s="336">
        <f t="shared" si="1505"/>
        <v>0</v>
      </c>
      <c r="EZ240" s="336">
        <f t="shared" si="1506"/>
        <v>0</v>
      </c>
      <c r="FA240" s="336">
        <f t="shared" si="1507"/>
        <v>0</v>
      </c>
      <c r="FB240" s="336">
        <f t="shared" si="1508"/>
        <v>0</v>
      </c>
      <c r="FC240" s="336">
        <f t="shared" si="1509"/>
        <v>0</v>
      </c>
      <c r="FD240" s="336">
        <f t="shared" si="1510"/>
        <v>0</v>
      </c>
      <c r="FE240" s="336">
        <f t="shared" si="1511"/>
        <v>0</v>
      </c>
      <c r="FF240" s="336">
        <f t="shared" si="1512"/>
        <v>0</v>
      </c>
      <c r="FG240" s="336">
        <f t="shared" si="1513"/>
        <v>0</v>
      </c>
      <c r="FH240" s="336">
        <f t="shared" si="1514"/>
        <v>0</v>
      </c>
      <c r="FI240" s="336">
        <f t="shared" si="1515"/>
        <v>0</v>
      </c>
      <c r="FJ240" s="336">
        <f t="shared" si="1516"/>
        <v>0</v>
      </c>
      <c r="FK240" s="336">
        <f t="shared" si="1517"/>
        <v>0</v>
      </c>
      <c r="FL240" s="336">
        <f t="shared" si="1518"/>
        <v>0</v>
      </c>
      <c r="FM240" s="336">
        <f t="shared" si="1519"/>
        <v>0</v>
      </c>
      <c r="FN240" s="336">
        <f t="shared" si="1520"/>
        <v>0</v>
      </c>
      <c r="FO240" s="336">
        <f t="shared" si="1521"/>
        <v>0</v>
      </c>
      <c r="FP240" s="336">
        <f t="shared" si="1522"/>
        <v>0</v>
      </c>
      <c r="FQ240" s="336">
        <f t="shared" si="1523"/>
        <v>0</v>
      </c>
      <c r="FR240" s="336">
        <f t="shared" si="1524"/>
        <v>0</v>
      </c>
      <c r="FS240" s="336">
        <f t="shared" si="1525"/>
        <v>0</v>
      </c>
      <c r="FT240" s="336">
        <f t="shared" si="1526"/>
        <v>0</v>
      </c>
      <c r="FU240" s="336">
        <f t="shared" si="1662"/>
        <v>0</v>
      </c>
      <c r="FV240" s="336">
        <f t="shared" si="1663"/>
        <v>0</v>
      </c>
      <c r="FW240" s="336">
        <f t="shared" si="1664"/>
        <v>0</v>
      </c>
      <c r="FX240" s="336">
        <f t="shared" si="1665"/>
        <v>0</v>
      </c>
      <c r="FY240" s="336">
        <f t="shared" si="1644"/>
        <v>0</v>
      </c>
      <c r="FZ240" s="336">
        <f t="shared" si="1645"/>
        <v>0</v>
      </c>
      <c r="GA240" s="336">
        <f t="shared" si="1646"/>
        <v>0</v>
      </c>
      <c r="GB240" s="336">
        <f t="shared" si="1647"/>
        <v>0</v>
      </c>
      <c r="GC240" s="336">
        <f t="shared" si="1648"/>
        <v>0</v>
      </c>
      <c r="GD240" s="336">
        <f t="shared" si="1649"/>
        <v>0</v>
      </c>
      <c r="GE240" s="336">
        <f t="shared" si="1650"/>
        <v>0</v>
      </c>
      <c r="GF240" s="336">
        <f t="shared" si="1651"/>
        <v>0</v>
      </c>
      <c r="GG240" s="336">
        <f t="shared" si="1652"/>
        <v>0</v>
      </c>
      <c r="GH240" s="336">
        <f t="shared" si="1653"/>
        <v>0</v>
      </c>
      <c r="GI240" s="336">
        <f t="shared" si="1654"/>
        <v>0</v>
      </c>
      <c r="GJ240" s="336">
        <f t="shared" si="1655"/>
        <v>0</v>
      </c>
      <c r="GK240" s="336">
        <f t="shared" si="1656"/>
        <v>0</v>
      </c>
      <c r="GL240" s="336">
        <f t="shared" si="1666"/>
        <v>0</v>
      </c>
      <c r="GM240" s="336">
        <f t="shared" si="1657"/>
        <v>0</v>
      </c>
    </row>
    <row r="241" spans="1:195" ht="27.75" customHeight="1">
      <c r="A241" s="337">
        <f t="shared" si="1643"/>
        <v>192</v>
      </c>
      <c r="B241" s="453"/>
      <c r="C241" s="372" t="str">
        <f t="shared" si="1641"/>
        <v xml:space="preserve">STORES HVAC DB </v>
      </c>
      <c r="D241" s="444" t="s">
        <v>1388</v>
      </c>
      <c r="E241" s="567" t="s">
        <v>1188</v>
      </c>
      <c r="F241" s="444"/>
      <c r="G241" s="337" t="s">
        <v>329</v>
      </c>
      <c r="H241" s="583">
        <v>2.2000000000000002</v>
      </c>
      <c r="I241" s="337" t="s">
        <v>330</v>
      </c>
      <c r="J241" s="349" t="s">
        <v>331</v>
      </c>
      <c r="K241" s="349">
        <v>400</v>
      </c>
      <c r="L241" s="343">
        <v>0.95</v>
      </c>
      <c r="M241" s="350">
        <v>0.85</v>
      </c>
      <c r="N241" s="342">
        <f t="shared" si="1596"/>
        <v>3.9325320501362091</v>
      </c>
      <c r="O241" s="342">
        <f t="shared" si="1630"/>
        <v>0</v>
      </c>
      <c r="P241" s="343" t="str">
        <f t="shared" si="1598"/>
        <v>0.00</v>
      </c>
      <c r="Q241" s="350">
        <v>65</v>
      </c>
      <c r="R241" s="350">
        <v>0</v>
      </c>
      <c r="S241" s="350">
        <f t="shared" si="1582"/>
        <v>0</v>
      </c>
      <c r="T241" s="343" t="s">
        <v>131</v>
      </c>
      <c r="U241" s="350" t="s">
        <v>522</v>
      </c>
      <c r="V241" s="343">
        <v>4</v>
      </c>
      <c r="W241" s="343" t="str">
        <f t="shared" si="1583"/>
        <v>4C X 4</v>
      </c>
      <c r="X241" s="343" t="str">
        <f t="shared" si="1631"/>
        <v>4C X 4</v>
      </c>
      <c r="Y241" s="343" t="s">
        <v>358</v>
      </c>
      <c r="Z241" s="344">
        <f>IF(T241="AIR",VLOOKUP(W241,'Catalogue Aluminium'!$B$9:$G$93,2,FALSE),IF(T241="GROUND",VLOOKUP(W241,'Catalogue Aluminium'!$B$9:$G$93,3,FALSE),IF(T241="DUCT",VLOOKUP(W241,'Catalogue Aluminium'!$B$9:$G$93,4,FALSE),IF(T241="TRENCH",VLOOKUP(W241,'Catalogue Aluminium'!$B$9:$G$93,2,FALSE)))))</f>
        <v>38</v>
      </c>
      <c r="AA241" s="345">
        <f>VLOOKUP(W241,'Catalogue Aluminium'!$B$9:$G$93,5,FALSE)</f>
        <v>5.9</v>
      </c>
      <c r="AB241" s="345">
        <f>VLOOKUP(W241,'Catalogue Aluminium'!$B$9:$G$93,6,FALSE)</f>
        <v>9.4700000000000006E-2</v>
      </c>
      <c r="AC241" s="343">
        <f t="shared" si="1667"/>
        <v>51</v>
      </c>
      <c r="AD241" s="343">
        <v>0</v>
      </c>
      <c r="AE241" s="343">
        <v>10</v>
      </c>
      <c r="AF241" s="343">
        <v>5</v>
      </c>
      <c r="AG241" s="343">
        <f t="shared" si="1462"/>
        <v>7</v>
      </c>
      <c r="AH241" s="347">
        <f t="shared" si="1632"/>
        <v>73</v>
      </c>
      <c r="AI241" s="344">
        <f>IF(T241="AIR",'Catalogue Aluminium'!$K$9,IF(T241="TRENCH",'Catalogue Aluminium'!$K$12,"NA"))</f>
        <v>0.89</v>
      </c>
      <c r="AJ241" s="342">
        <f>IF(T241="Air",(IF(U241="1C",'Catalogue Aluminium'!$L$9,'Catalogue Aluminium'!$M$9)),IF(T241="DUCT",(IF($U241="1C",'Catalogue Aluminium'!$L$10,'Catalogue Aluminium'!$M$10)),IF(T241="GROUND",(IF($U241="1C",'Catalogue Aluminium'!$L$11,'Catalogue Aluminium'!$M$11)),IF(T241="TRENCH",(IF($U241="1C",'Catalogue Aluminium'!$L$12,'Catalogue Aluminium'!$M$12))))))</f>
        <v>0.66</v>
      </c>
      <c r="AK241" s="344" t="str">
        <f>IF(T241="Air",'Catalogue Aluminium'!$N$9,IF(T241="GROUND",'Catalogue Aluminium'!$N$10,IF(T241="DUCT",'Catalogue Aluminium'!$N$11,IF(T241="TRENCH",'Catalogue Aluminium'!$N$12,"NA"))))</f>
        <v>NA</v>
      </c>
      <c r="AL241" s="344" t="str">
        <f>IF(T241="Air",(IF(U241="1C",'Catalogue Aluminium'!$O$9,'Catalogue Aluminium'!$P$9)),IF(T241="DUCT",(IF($U241="1C",'Catalogue Aluminium'!$O$10,'Catalogue Aluminium'!$P$10)),IF(T241="GROUND",(IF($U241="1C",'Catalogue Aluminium'!$O$11,'Catalogue Aluminium'!$P$11)),IF(T241="TRENCH",(IF($U241="1C",'Catalogue Aluminium'!$O$12,'Catalogue Aluminium'!$P$12))))))</f>
        <v>NA</v>
      </c>
      <c r="AM241" s="344" t="str">
        <f>IF(T241="AIR","NA",IF(T241="TRENCH","NA",IF(T241="DUCT",IF(U241="1C",VLOOKUP(V241,'Catalogue Aluminium'!$Q$9:$S$28,2,FALSE),VLOOKUP(V241,'Catalogue Aluminium'!$Q$9:$S$28,3)),IF(T241="GROUND",IF(U241="1C",VLOOKUP(V241,'Catalogue Aluminium'!$Q$9:$S$28,2,FALSE),VLOOKUP(V241,'Catalogue Aluminium'!$Q$9:$S$28,3))))))</f>
        <v>NA</v>
      </c>
      <c r="AN241" s="351">
        <f t="shared" si="1633"/>
        <v>0.58740000000000003</v>
      </c>
      <c r="AO241" s="350">
        <f t="shared" si="1634"/>
        <v>22.321200000000001</v>
      </c>
      <c r="AP241" s="349">
        <f t="shared" si="1635"/>
        <v>1</v>
      </c>
      <c r="AQ241" s="350" t="str">
        <f t="shared" si="1636"/>
        <v>YES</v>
      </c>
      <c r="AR241" s="351">
        <f t="shared" si="1463"/>
        <v>0.70041679394337275</v>
      </c>
      <c r="AS241" s="343" t="str">
        <f t="shared" si="1464"/>
        <v>YES</v>
      </c>
      <c r="AT241" s="351" t="str">
        <f t="shared" si="1658"/>
        <v>NA</v>
      </c>
      <c r="AU241" s="343" t="str">
        <f t="shared" si="1637"/>
        <v>NA</v>
      </c>
      <c r="AV241" s="354" t="str">
        <f t="shared" si="1638"/>
        <v>1R x 0.6/1kV x 4C x 4 Sqmm</v>
      </c>
      <c r="AW241" s="354" t="str">
        <f t="shared" si="1639"/>
        <v>1R x 0.6/1kV x 4C x 4 Sqmm</v>
      </c>
      <c r="AX241" s="343">
        <f t="shared" si="1659"/>
        <v>73</v>
      </c>
      <c r="AY241" s="355"/>
      <c r="AZ241" s="355">
        <f t="shared" si="1660"/>
        <v>2</v>
      </c>
      <c r="BA241" s="356" t="str">
        <f t="shared" si="1640"/>
        <v/>
      </c>
      <c r="BB241" s="501">
        <f>VLOOKUP(W241,'Catalogue Aluminium'!$B$9:$H$93,7,FALSE)</f>
        <v>16</v>
      </c>
      <c r="BC241" s="328">
        <f t="shared" si="1661"/>
        <v>16</v>
      </c>
      <c r="BE241" s="527"/>
      <c r="BF241" s="527"/>
      <c r="BG241" s="527"/>
      <c r="BH241" s="527"/>
      <c r="BI241" s="527"/>
      <c r="BJ241" s="527"/>
      <c r="BK241" s="527"/>
      <c r="BL241" s="527"/>
      <c r="BM241" s="527"/>
      <c r="BN241" s="527"/>
      <c r="BO241" s="527"/>
      <c r="BP241" s="527"/>
      <c r="BQ241" s="527"/>
      <c r="BR241" s="527"/>
      <c r="BS241" s="527"/>
      <c r="BT241" s="527"/>
      <c r="BU241" s="527"/>
      <c r="BV241" s="527"/>
      <c r="BW241" s="527"/>
      <c r="BX241" s="527"/>
      <c r="BY241" s="527"/>
      <c r="BZ241" s="527"/>
      <c r="CA241" s="527"/>
      <c r="CB241" s="527"/>
      <c r="CC241" s="527"/>
      <c r="CD241" s="527"/>
      <c r="CE241" s="527"/>
      <c r="CF241" s="527"/>
      <c r="CG241" s="527"/>
      <c r="CH241" s="527"/>
      <c r="CI241" s="527"/>
      <c r="CJ241" s="527"/>
      <c r="CK241" s="527"/>
      <c r="CL241" s="527"/>
      <c r="CM241" s="527"/>
      <c r="CN241" s="527"/>
      <c r="CO241" s="527"/>
      <c r="CP241" s="527"/>
      <c r="CQ241" s="527"/>
      <c r="CR241" s="527"/>
      <c r="CS241" s="527"/>
      <c r="CT241" s="527"/>
      <c r="CU241" s="527"/>
      <c r="CV241" s="527"/>
      <c r="CW241" s="527"/>
      <c r="CX241" s="527"/>
      <c r="CY241" s="527"/>
      <c r="CZ241" s="336"/>
      <c r="DA241" s="336"/>
      <c r="DB241" s="336"/>
      <c r="DC241" s="336"/>
      <c r="DD241" s="336"/>
      <c r="DE241" s="336"/>
      <c r="DF241" s="336"/>
      <c r="DG241" s="336"/>
      <c r="DH241" s="336"/>
      <c r="DI241" s="336"/>
      <c r="DJ241" s="336"/>
      <c r="DK241" s="336"/>
      <c r="DL241" s="336"/>
      <c r="DM241" s="336"/>
      <c r="DN241" s="336"/>
      <c r="DO241" s="336"/>
      <c r="DP241" s="336"/>
      <c r="DQ241" s="336"/>
      <c r="DR241" s="336"/>
      <c r="DS241" s="336"/>
      <c r="DT241" s="336"/>
      <c r="DU241" s="336"/>
      <c r="DW241" s="336">
        <f t="shared" si="1529"/>
        <v>0</v>
      </c>
      <c r="DX241" s="336">
        <f t="shared" si="1479"/>
        <v>0</v>
      </c>
      <c r="DY241" s="336">
        <f t="shared" si="1480"/>
        <v>0</v>
      </c>
      <c r="DZ241" s="336">
        <f t="shared" si="1481"/>
        <v>0</v>
      </c>
      <c r="EA241" s="336">
        <f t="shared" si="1482"/>
        <v>0</v>
      </c>
      <c r="EB241" s="336">
        <f t="shared" si="1483"/>
        <v>0</v>
      </c>
      <c r="EC241" s="336">
        <f t="shared" si="1484"/>
        <v>0</v>
      </c>
      <c r="ED241" s="336">
        <f t="shared" si="1485"/>
        <v>0</v>
      </c>
      <c r="EE241" s="336">
        <f t="shared" si="1486"/>
        <v>0</v>
      </c>
      <c r="EF241" s="336">
        <f t="shared" si="1487"/>
        <v>0</v>
      </c>
      <c r="EG241" s="336">
        <f t="shared" si="1488"/>
        <v>0</v>
      </c>
      <c r="EH241" s="336">
        <f t="shared" si="1489"/>
        <v>0</v>
      </c>
      <c r="EI241" s="336">
        <f t="shared" si="1490"/>
        <v>0</v>
      </c>
      <c r="EJ241" s="336">
        <f t="shared" si="1491"/>
        <v>0</v>
      </c>
      <c r="EK241" s="336">
        <f t="shared" si="1492"/>
        <v>0</v>
      </c>
      <c r="EL241" s="336">
        <f t="shared" si="1493"/>
        <v>0</v>
      </c>
      <c r="EM241" s="336">
        <f t="shared" si="1494"/>
        <v>0</v>
      </c>
      <c r="EN241" s="336">
        <f t="shared" si="1495"/>
        <v>0</v>
      </c>
      <c r="EO241" s="336">
        <f t="shared" si="1496"/>
        <v>0</v>
      </c>
      <c r="EP241" s="336">
        <f t="shared" si="1497"/>
        <v>0</v>
      </c>
      <c r="EQ241" s="336">
        <f t="shared" si="1498"/>
        <v>0</v>
      </c>
      <c r="ER241" s="336">
        <f t="shared" si="1499"/>
        <v>0</v>
      </c>
      <c r="ES241" s="336">
        <f t="shared" si="1500"/>
        <v>0</v>
      </c>
      <c r="ET241" s="336">
        <f t="shared" si="1500"/>
        <v>0</v>
      </c>
      <c r="EU241" s="336">
        <f t="shared" si="1501"/>
        <v>0</v>
      </c>
      <c r="EV241" s="336">
        <f t="shared" si="1502"/>
        <v>0</v>
      </c>
      <c r="EW241" s="336">
        <f t="shared" si="1503"/>
        <v>0</v>
      </c>
      <c r="EX241" s="336">
        <f t="shared" si="1504"/>
        <v>0</v>
      </c>
      <c r="EY241" s="336">
        <f t="shared" si="1505"/>
        <v>0</v>
      </c>
      <c r="EZ241" s="336">
        <f t="shared" si="1506"/>
        <v>0</v>
      </c>
      <c r="FA241" s="336">
        <f t="shared" si="1507"/>
        <v>0</v>
      </c>
      <c r="FB241" s="336">
        <f t="shared" si="1508"/>
        <v>0</v>
      </c>
      <c r="FC241" s="336">
        <f t="shared" si="1509"/>
        <v>0</v>
      </c>
      <c r="FD241" s="336">
        <f t="shared" si="1510"/>
        <v>0</v>
      </c>
      <c r="FE241" s="336">
        <f t="shared" si="1511"/>
        <v>0</v>
      </c>
      <c r="FF241" s="336">
        <f t="shared" si="1512"/>
        <v>0</v>
      </c>
      <c r="FG241" s="336">
        <f t="shared" si="1513"/>
        <v>0</v>
      </c>
      <c r="FH241" s="336">
        <f t="shared" si="1514"/>
        <v>0</v>
      </c>
      <c r="FI241" s="336">
        <f t="shared" si="1515"/>
        <v>0</v>
      </c>
      <c r="FJ241" s="336">
        <f t="shared" si="1516"/>
        <v>0</v>
      </c>
      <c r="FK241" s="336">
        <f t="shared" si="1517"/>
        <v>0</v>
      </c>
      <c r="FL241" s="336">
        <f t="shared" si="1518"/>
        <v>0</v>
      </c>
      <c r="FM241" s="336">
        <f t="shared" si="1519"/>
        <v>0</v>
      </c>
      <c r="FN241" s="336">
        <f t="shared" si="1520"/>
        <v>0</v>
      </c>
      <c r="FO241" s="336">
        <f t="shared" si="1521"/>
        <v>0</v>
      </c>
      <c r="FP241" s="336">
        <f t="shared" si="1522"/>
        <v>0</v>
      </c>
      <c r="FQ241" s="336">
        <f t="shared" si="1523"/>
        <v>0</v>
      </c>
      <c r="FR241" s="336">
        <f t="shared" si="1524"/>
        <v>0</v>
      </c>
      <c r="FS241" s="336">
        <f t="shared" si="1525"/>
        <v>0</v>
      </c>
      <c r="FT241" s="336">
        <f t="shared" si="1526"/>
        <v>0</v>
      </c>
      <c r="FU241" s="336">
        <f t="shared" si="1662"/>
        <v>0</v>
      </c>
      <c r="FV241" s="336">
        <f t="shared" si="1663"/>
        <v>0</v>
      </c>
      <c r="FW241" s="336">
        <f t="shared" si="1664"/>
        <v>0</v>
      </c>
      <c r="FX241" s="336">
        <f t="shared" si="1665"/>
        <v>0</v>
      </c>
      <c r="FY241" s="336">
        <f t="shared" si="1644"/>
        <v>0</v>
      </c>
      <c r="FZ241" s="336">
        <f t="shared" si="1645"/>
        <v>0</v>
      </c>
      <c r="GA241" s="336">
        <f t="shared" si="1646"/>
        <v>0</v>
      </c>
      <c r="GB241" s="336">
        <f t="shared" si="1647"/>
        <v>0</v>
      </c>
      <c r="GC241" s="336">
        <f t="shared" si="1648"/>
        <v>0</v>
      </c>
      <c r="GD241" s="336">
        <f t="shared" si="1649"/>
        <v>0</v>
      </c>
      <c r="GE241" s="336">
        <f t="shared" si="1650"/>
        <v>0</v>
      </c>
      <c r="GF241" s="336">
        <f t="shared" si="1651"/>
        <v>0</v>
      </c>
      <c r="GG241" s="336">
        <f t="shared" si="1652"/>
        <v>0</v>
      </c>
      <c r="GH241" s="336">
        <f t="shared" si="1653"/>
        <v>0</v>
      </c>
      <c r="GI241" s="336">
        <f t="shared" si="1654"/>
        <v>0</v>
      </c>
      <c r="GJ241" s="336">
        <f t="shared" si="1655"/>
        <v>0</v>
      </c>
      <c r="GK241" s="336">
        <f t="shared" si="1656"/>
        <v>0</v>
      </c>
      <c r="GL241" s="336">
        <f t="shared" si="1666"/>
        <v>0</v>
      </c>
      <c r="GM241" s="336">
        <f t="shared" si="1657"/>
        <v>0</v>
      </c>
    </row>
    <row r="242" spans="1:195" ht="27.75" customHeight="1">
      <c r="A242" s="337">
        <f t="shared" si="1643"/>
        <v>193</v>
      </c>
      <c r="B242" s="453"/>
      <c r="C242" s="372" t="str">
        <f t="shared" si="1641"/>
        <v xml:space="preserve">STORES HVAC DB </v>
      </c>
      <c r="D242" s="444" t="s">
        <v>1389</v>
      </c>
      <c r="E242" s="567" t="s">
        <v>1188</v>
      </c>
      <c r="F242" s="444"/>
      <c r="G242" s="337" t="s">
        <v>329</v>
      </c>
      <c r="H242" s="583">
        <v>2.2000000000000002</v>
      </c>
      <c r="I242" s="337" t="s">
        <v>330</v>
      </c>
      <c r="J242" s="349" t="s">
        <v>331</v>
      </c>
      <c r="K242" s="349">
        <v>400</v>
      </c>
      <c r="L242" s="343">
        <v>0.95</v>
      </c>
      <c r="M242" s="350">
        <v>0.85</v>
      </c>
      <c r="N242" s="342">
        <f t="shared" si="1596"/>
        <v>3.9325320501362091</v>
      </c>
      <c r="O242" s="342">
        <f t="shared" si="1630"/>
        <v>0</v>
      </c>
      <c r="P242" s="343" t="str">
        <f t="shared" si="1598"/>
        <v>0.00</v>
      </c>
      <c r="Q242" s="350">
        <v>65</v>
      </c>
      <c r="R242" s="350">
        <v>0</v>
      </c>
      <c r="S242" s="350">
        <f t="shared" si="1582"/>
        <v>0</v>
      </c>
      <c r="T242" s="343" t="s">
        <v>131</v>
      </c>
      <c r="U242" s="350" t="s">
        <v>522</v>
      </c>
      <c r="V242" s="343">
        <v>4</v>
      </c>
      <c r="W242" s="343" t="str">
        <f t="shared" si="1583"/>
        <v>4C X 4</v>
      </c>
      <c r="X242" s="343" t="str">
        <f t="shared" si="1631"/>
        <v>4C X 4</v>
      </c>
      <c r="Y242" s="343" t="s">
        <v>358</v>
      </c>
      <c r="Z242" s="344">
        <f>IF(T242="AIR",VLOOKUP(W242,'Catalogue Aluminium'!$B$9:$G$93,2,FALSE),IF(T242="GROUND",VLOOKUP(W242,'Catalogue Aluminium'!$B$9:$G$93,3,FALSE),IF(T242="DUCT",VLOOKUP(W242,'Catalogue Aluminium'!$B$9:$G$93,4,FALSE),IF(T242="TRENCH",VLOOKUP(W242,'Catalogue Aluminium'!$B$9:$G$93,2,FALSE)))))</f>
        <v>38</v>
      </c>
      <c r="AA242" s="345">
        <f>VLOOKUP(W242,'Catalogue Aluminium'!$B$9:$G$93,5,FALSE)</f>
        <v>5.9</v>
      </c>
      <c r="AB242" s="345">
        <f>VLOOKUP(W242,'Catalogue Aluminium'!$B$9:$G$93,6,FALSE)</f>
        <v>9.4700000000000006E-2</v>
      </c>
      <c r="AC242" s="343">
        <f t="shared" si="1667"/>
        <v>51</v>
      </c>
      <c r="AD242" s="343">
        <v>0</v>
      </c>
      <c r="AE242" s="343">
        <v>10</v>
      </c>
      <c r="AF242" s="343">
        <v>5</v>
      </c>
      <c r="AG242" s="343">
        <f t="shared" si="1462"/>
        <v>7</v>
      </c>
      <c r="AH242" s="347">
        <f t="shared" si="1632"/>
        <v>73</v>
      </c>
      <c r="AI242" s="344">
        <f>IF(T242="AIR",'Catalogue Aluminium'!$K$9,IF(T242="TRENCH",'Catalogue Aluminium'!$K$12,"NA"))</f>
        <v>0.89</v>
      </c>
      <c r="AJ242" s="342">
        <f>IF(T242="Air",(IF(U242="1C",'Catalogue Aluminium'!$L$9,'Catalogue Aluminium'!$M$9)),IF(T242="DUCT",(IF($U242="1C",'Catalogue Aluminium'!$L$10,'Catalogue Aluminium'!$M$10)),IF(T242="GROUND",(IF($U242="1C",'Catalogue Aluminium'!$L$11,'Catalogue Aluminium'!$M$11)),IF(T242="TRENCH",(IF($U242="1C",'Catalogue Aluminium'!$L$12,'Catalogue Aluminium'!$M$12))))))</f>
        <v>0.66</v>
      </c>
      <c r="AK242" s="344" t="str">
        <f>IF(T242="Air",'Catalogue Aluminium'!$N$9,IF(T242="GROUND",'Catalogue Aluminium'!$N$10,IF(T242="DUCT",'Catalogue Aluminium'!$N$11,IF(T242="TRENCH",'Catalogue Aluminium'!$N$12,"NA"))))</f>
        <v>NA</v>
      </c>
      <c r="AL242" s="344" t="str">
        <f>IF(T242="Air",(IF(U242="1C",'Catalogue Aluminium'!$O$9,'Catalogue Aluminium'!$P$9)),IF(T242="DUCT",(IF($U242="1C",'Catalogue Aluminium'!$O$10,'Catalogue Aluminium'!$P$10)),IF(T242="GROUND",(IF($U242="1C",'Catalogue Aluminium'!$O$11,'Catalogue Aluminium'!$P$11)),IF(T242="TRENCH",(IF($U242="1C",'Catalogue Aluminium'!$O$12,'Catalogue Aluminium'!$P$12))))))</f>
        <v>NA</v>
      </c>
      <c r="AM242" s="344" t="str">
        <f>IF(T242="AIR","NA",IF(T242="TRENCH","NA",IF(T242="DUCT",IF(U242="1C",VLOOKUP(V242,'Catalogue Aluminium'!$Q$9:$S$28,2,FALSE),VLOOKUP(V242,'Catalogue Aluminium'!$Q$9:$S$28,3)),IF(T242="GROUND",IF(U242="1C",VLOOKUP(V242,'Catalogue Aluminium'!$Q$9:$S$28,2,FALSE),VLOOKUP(V242,'Catalogue Aluminium'!$Q$9:$S$28,3))))))</f>
        <v>NA</v>
      </c>
      <c r="AN242" s="351">
        <f t="shared" si="1633"/>
        <v>0.58740000000000003</v>
      </c>
      <c r="AO242" s="350">
        <f t="shared" si="1634"/>
        <v>22.321200000000001</v>
      </c>
      <c r="AP242" s="349">
        <f t="shared" si="1635"/>
        <v>1</v>
      </c>
      <c r="AQ242" s="350" t="str">
        <f t="shared" si="1636"/>
        <v>YES</v>
      </c>
      <c r="AR242" s="351">
        <f t="shared" si="1463"/>
        <v>0.70041679394337275</v>
      </c>
      <c r="AS242" s="343" t="str">
        <f t="shared" si="1464"/>
        <v>YES</v>
      </c>
      <c r="AT242" s="351" t="str">
        <f t="shared" si="1658"/>
        <v>NA</v>
      </c>
      <c r="AU242" s="343" t="str">
        <f t="shared" si="1637"/>
        <v>NA</v>
      </c>
      <c r="AV242" s="354" t="str">
        <f t="shared" si="1638"/>
        <v>1R x 0.6/1kV x 4C x 4 Sqmm</v>
      </c>
      <c r="AW242" s="354" t="str">
        <f t="shared" si="1639"/>
        <v>1R x 0.6/1kV x 4C x 4 Sqmm</v>
      </c>
      <c r="AX242" s="343">
        <f t="shared" si="1659"/>
        <v>73</v>
      </c>
      <c r="AY242" s="355"/>
      <c r="AZ242" s="355">
        <f t="shared" si="1660"/>
        <v>2</v>
      </c>
      <c r="BA242" s="356" t="str">
        <f t="shared" si="1640"/>
        <v/>
      </c>
      <c r="BB242" s="501">
        <f>VLOOKUP(W242,'Catalogue Aluminium'!$B$9:$H$93,7,FALSE)</f>
        <v>16</v>
      </c>
      <c r="BC242" s="328">
        <f t="shared" si="1661"/>
        <v>16</v>
      </c>
      <c r="BE242" s="758"/>
      <c r="BF242" s="758"/>
      <c r="BG242" s="758"/>
      <c r="BH242" s="758"/>
      <c r="BI242" s="758"/>
      <c r="BJ242" s="758"/>
      <c r="BK242" s="758"/>
      <c r="BL242" s="758"/>
      <c r="BM242" s="758"/>
      <c r="BN242" s="758"/>
      <c r="BO242" s="758"/>
      <c r="BP242" s="758"/>
      <c r="BQ242" s="758"/>
      <c r="BR242" s="758"/>
      <c r="BS242" s="758"/>
      <c r="BT242" s="758"/>
      <c r="BU242" s="758"/>
      <c r="BV242" s="758"/>
      <c r="BW242" s="758"/>
      <c r="BX242" s="758"/>
      <c r="BY242" s="758"/>
      <c r="BZ242" s="758"/>
      <c r="CA242" s="758"/>
      <c r="CB242" s="758"/>
      <c r="CC242" s="758"/>
      <c r="CD242" s="758"/>
      <c r="CE242" s="758"/>
      <c r="CF242" s="758"/>
      <c r="CG242" s="758"/>
      <c r="CH242" s="758"/>
      <c r="CI242" s="758"/>
      <c r="CJ242" s="758"/>
      <c r="CK242" s="758"/>
      <c r="CL242" s="758"/>
      <c r="CM242" s="758"/>
      <c r="CN242" s="758"/>
      <c r="CO242" s="758"/>
      <c r="CP242" s="758"/>
      <c r="CQ242" s="758"/>
      <c r="CR242" s="758"/>
      <c r="CS242" s="758"/>
      <c r="CT242" s="758"/>
      <c r="CU242" s="758"/>
      <c r="CV242" s="758"/>
      <c r="CW242" s="758"/>
      <c r="CX242" s="758"/>
      <c r="CY242" s="758"/>
      <c r="CZ242" s="336"/>
      <c r="DA242" s="336"/>
      <c r="DB242" s="336"/>
      <c r="DC242" s="336"/>
      <c r="DD242" s="336"/>
      <c r="DE242" s="336"/>
      <c r="DF242" s="336"/>
      <c r="DG242" s="336"/>
      <c r="DH242" s="336"/>
      <c r="DI242" s="336"/>
      <c r="DJ242" s="336"/>
      <c r="DK242" s="336"/>
      <c r="DL242" s="336"/>
      <c r="DM242" s="336"/>
      <c r="DN242" s="336"/>
      <c r="DO242" s="336"/>
      <c r="DP242" s="336"/>
      <c r="DQ242" s="336"/>
      <c r="DR242" s="336"/>
      <c r="DS242" s="336"/>
      <c r="DT242" s="336"/>
      <c r="DU242" s="336"/>
      <c r="DW242" s="336">
        <f t="shared" si="1529"/>
        <v>0</v>
      </c>
      <c r="DX242" s="336">
        <f t="shared" ref="DX242:DX281" si="1668">IF(BF242=1,($BC242*BF242),0)</f>
        <v>0</v>
      </c>
      <c r="DY242" s="336">
        <f t="shared" ref="DY242:DY281" si="1669">IF(BG242=1,($BC242*BG242),0)</f>
        <v>0</v>
      </c>
      <c r="DZ242" s="336">
        <f t="shared" ref="DZ242:DZ281" si="1670">IF(BH242=1,($BC242*BH242),0)</f>
        <v>0</v>
      </c>
      <c r="EA242" s="336">
        <f t="shared" ref="EA242:EA281" si="1671">IF(BI242=1,($BC242*BI242),0)</f>
        <v>0</v>
      </c>
      <c r="EB242" s="336">
        <f t="shared" ref="EB242:EB281" si="1672">IF(BJ242=1,($BC242*BJ242),0)</f>
        <v>0</v>
      </c>
      <c r="EC242" s="336">
        <f t="shared" ref="EC242:EC281" si="1673">IF(BK242=1,($BC242*BK242),0)</f>
        <v>0</v>
      </c>
      <c r="ED242" s="336">
        <f t="shared" ref="ED242:ED281" si="1674">IF(BL242=1,($BC242*BL242),0)</f>
        <v>0</v>
      </c>
      <c r="EE242" s="336">
        <f t="shared" ref="EE242:EE281" si="1675">IF(BM242=1,($BC242*BM242),0)</f>
        <v>0</v>
      </c>
      <c r="EF242" s="336">
        <f t="shared" ref="EF242:EF281" si="1676">IF(BN242=1,($BC242*BN242),0)</f>
        <v>0</v>
      </c>
      <c r="EG242" s="336">
        <f t="shared" ref="EG242:EG281" si="1677">IF(BO242=1,($BC242*BO242),0)</f>
        <v>0</v>
      </c>
      <c r="EH242" s="336">
        <f t="shared" ref="EH242:EH281" si="1678">IF(BP242=1,($BC242*BP242),0)</f>
        <v>0</v>
      </c>
      <c r="EI242" s="336">
        <f t="shared" ref="EI242:EI281" si="1679">IF(BQ242=1,($BC242*BQ242),0)</f>
        <v>0</v>
      </c>
      <c r="EJ242" s="336">
        <f t="shared" ref="EJ242:EJ281" si="1680">IF(BR242=1,($BC242*BR242),0)</f>
        <v>0</v>
      </c>
      <c r="EK242" s="336">
        <f t="shared" ref="EK242:EK281" si="1681">IF(BS242=1,($BC242*BS242),0)</f>
        <v>0</v>
      </c>
      <c r="EL242" s="336">
        <f t="shared" ref="EL242:EL281" si="1682">IF(BT242=1,($BC242*BT242),0)</f>
        <v>0</v>
      </c>
      <c r="EM242" s="336">
        <f t="shared" ref="EM242:EM281" si="1683">IF(BU242=1,($BC242*BU242),0)</f>
        <v>0</v>
      </c>
      <c r="EN242" s="336">
        <f t="shared" ref="EN242:EN281" si="1684">IF(BV242=1,($BC242*BV242),0)</f>
        <v>0</v>
      </c>
      <c r="EO242" s="336">
        <f t="shared" ref="EO242:EO281" si="1685">IF(BW242=1,($BC242*BW242),0)</f>
        <v>0</v>
      </c>
      <c r="EP242" s="336">
        <f t="shared" ref="EP242:EP281" si="1686">IF(BX242=1,($BC242*BX242),0)</f>
        <v>0</v>
      </c>
      <c r="EQ242" s="336">
        <f t="shared" ref="EQ242:EQ281" si="1687">IF(BY242=1,($BC242*BY242),0)</f>
        <v>0</v>
      </c>
      <c r="ER242" s="336">
        <f t="shared" ref="ER242:ER281" si="1688">IF(BZ242=1,($BC242*BZ242),0)</f>
        <v>0</v>
      </c>
      <c r="ES242" s="336">
        <f t="shared" ref="ES242:ET281" si="1689">IF(CA242=1,($BC242*CA242),0)</f>
        <v>0</v>
      </c>
      <c r="ET242" s="336">
        <f t="shared" si="1689"/>
        <v>0</v>
      </c>
      <c r="EU242" s="336">
        <f t="shared" ref="EU242:EU281" si="1690">IF(CC242=1,($BC242*CC242),0)</f>
        <v>0</v>
      </c>
      <c r="EV242" s="336">
        <f t="shared" ref="EV242:EV281" si="1691">IF(CD242=1,($BC242*CD242),0)</f>
        <v>0</v>
      </c>
      <c r="EW242" s="336">
        <f t="shared" ref="EW242:EW281" si="1692">IF(CE242=1,($BC242*CE242),0)</f>
        <v>0</v>
      </c>
      <c r="EX242" s="336">
        <f t="shared" ref="EX242:EX281" si="1693">IF(CF242=1,($BC242*CF242),0)</f>
        <v>0</v>
      </c>
      <c r="EY242" s="336">
        <f t="shared" ref="EY242:EY281" si="1694">IF(CG242=1,($BC242*CG242),0)</f>
        <v>0</v>
      </c>
      <c r="EZ242" s="336">
        <f t="shared" ref="EZ242:EZ281" si="1695">IF(CH242=1,($BC242*CH242),0)</f>
        <v>0</v>
      </c>
      <c r="FA242" s="336">
        <f t="shared" ref="FA242:FA281" si="1696">IF(CI242=1,($BC242*CI242),0)</f>
        <v>0</v>
      </c>
      <c r="FB242" s="336">
        <f t="shared" ref="FB242:FB281" si="1697">IF(CJ242=1,($BC242*CJ242),0)</f>
        <v>0</v>
      </c>
      <c r="FC242" s="336">
        <f t="shared" ref="FC242:FC281" si="1698">IF(CK242=1,($BC242*CK242),0)</f>
        <v>0</v>
      </c>
      <c r="FD242" s="336">
        <f t="shared" ref="FD242:FD281" si="1699">IF(CL242=1,($BC242*CL242),0)</f>
        <v>0</v>
      </c>
      <c r="FE242" s="336">
        <f t="shared" ref="FE242:FE281" si="1700">IF(CM242=1,($BC242*CM242),0)</f>
        <v>0</v>
      </c>
      <c r="FF242" s="336">
        <f t="shared" ref="FF242:FF281" si="1701">IF(CN242=1,($BC242*CN242),0)</f>
        <v>0</v>
      </c>
      <c r="FG242" s="336">
        <f t="shared" ref="FG242:FG281" si="1702">IF(CO242=1,($BC242*CO242),0)</f>
        <v>0</v>
      </c>
      <c r="FH242" s="336">
        <f t="shared" ref="FH242:FH281" si="1703">IF(CP242=1,($BC242*CP242),0)</f>
        <v>0</v>
      </c>
      <c r="FI242" s="336">
        <f t="shared" ref="FI242:FI281" si="1704">IF(CQ242=1,($BC242*CQ242),0)</f>
        <v>0</v>
      </c>
      <c r="FJ242" s="336">
        <f t="shared" ref="FJ242:FJ281" si="1705">IF(CR242=1,($BC242*CR242),0)</f>
        <v>0</v>
      </c>
      <c r="FK242" s="336">
        <f t="shared" ref="FK242:FK281" si="1706">IF(CS242=1,($BC242*CS242),0)</f>
        <v>0</v>
      </c>
      <c r="FL242" s="336">
        <f t="shared" ref="FL242:FL281" si="1707">IF(CT242=1,($BC242*CT242),0)</f>
        <v>0</v>
      </c>
      <c r="FM242" s="336">
        <f t="shared" ref="FM242:FM281" si="1708">IF(CU242=1,($BC242*CU242),0)</f>
        <v>0</v>
      </c>
      <c r="FN242" s="336">
        <f t="shared" ref="FN242:FN281" si="1709">IF(CV242=1,($BC242*CV242),0)</f>
        <v>0</v>
      </c>
      <c r="FO242" s="336">
        <f t="shared" ref="FO242:FO281" si="1710">IF(CW242=1,($BC242*CW242),0)</f>
        <v>0</v>
      </c>
      <c r="FP242" s="336">
        <f t="shared" ref="FP242:FP281" si="1711">IF(CX242=1,($BC242*CX242),0)</f>
        <v>0</v>
      </c>
      <c r="FQ242" s="336">
        <f t="shared" ref="FQ242:FQ281" si="1712">IF(CY242=1,($BC242*CY242),0)</f>
        <v>0</v>
      </c>
      <c r="FR242" s="336">
        <f t="shared" ref="FR242:FR281" si="1713">IF(CZ242=1,($BC242*CZ242),0)</f>
        <v>0</v>
      </c>
      <c r="FS242" s="336">
        <f t="shared" ref="FS242:FS281" si="1714">IF(DA242=1,($BC242*DA242),0)</f>
        <v>0</v>
      </c>
      <c r="FT242" s="336">
        <f t="shared" ref="FT242:FT281" si="1715">IF(DB242=1,($BC242*DB242),0)</f>
        <v>0</v>
      </c>
      <c r="FU242" s="336">
        <f t="shared" si="1662"/>
        <v>0</v>
      </c>
      <c r="FV242" s="336">
        <f t="shared" si="1663"/>
        <v>0</v>
      </c>
      <c r="FW242" s="336">
        <f t="shared" si="1664"/>
        <v>0</v>
      </c>
      <c r="FX242" s="336">
        <f t="shared" si="1665"/>
        <v>0</v>
      </c>
      <c r="FY242" s="336">
        <f t="shared" ref="FY242:FY246" si="1716">IF(DG242=1,($BC242*DG242),0)</f>
        <v>0</v>
      </c>
      <c r="FZ242" s="336">
        <f t="shared" ref="FZ242:FZ246" si="1717">IF(DH242=1,($BC242*DH242),0)</f>
        <v>0</v>
      </c>
      <c r="GA242" s="336">
        <f t="shared" ref="GA242:GA246" si="1718">IF(DI242=1,($BC242*DI242),0)</f>
        <v>0</v>
      </c>
      <c r="GB242" s="336">
        <f t="shared" ref="GB242:GB246" si="1719">IF(DJ242=1,($BC242*DJ242),0)</f>
        <v>0</v>
      </c>
      <c r="GC242" s="336">
        <f t="shared" ref="GC242:GC246" si="1720">IF(DK242=1,($BC242*DK242),0)</f>
        <v>0</v>
      </c>
      <c r="GD242" s="336">
        <f t="shared" ref="GD242:GD246" si="1721">IF(DL242=1,($BC242*DL242),0)</f>
        <v>0</v>
      </c>
      <c r="GE242" s="336">
        <f t="shared" ref="GE242:GE246" si="1722">IF(DM242=1,($BC242*DM242),0)</f>
        <v>0</v>
      </c>
      <c r="GF242" s="336">
        <f t="shared" ref="GF242:GF246" si="1723">IF(DN242=1,($BC242*DN242),0)</f>
        <v>0</v>
      </c>
      <c r="GG242" s="336">
        <f t="shared" ref="GG242:GG246" si="1724">IF(DO242=1,($BC242*DO242),0)</f>
        <v>0</v>
      </c>
      <c r="GH242" s="336">
        <f t="shared" ref="GH242:GH246" si="1725">IF(DP242=1,($BC242*DP242),0)</f>
        <v>0</v>
      </c>
      <c r="GI242" s="336">
        <f t="shared" ref="GI242:GI246" si="1726">IF(DQ242=1,($BC242*DQ242),0)</f>
        <v>0</v>
      </c>
      <c r="GJ242" s="336">
        <f t="shared" ref="GJ242:GJ246" si="1727">IF(DR242=1,($BC242*DR242),0)</f>
        <v>0</v>
      </c>
      <c r="GK242" s="336">
        <f t="shared" ref="GK242:GK246" si="1728">IF(DS242=1,($BC242*DS242),0)</f>
        <v>0</v>
      </c>
      <c r="GL242" s="336">
        <f t="shared" si="1666"/>
        <v>0</v>
      </c>
      <c r="GM242" s="336">
        <f t="shared" ref="GM242:GM246" si="1729">IF(DU242=1,($BC242*DU242),0)</f>
        <v>0</v>
      </c>
    </row>
    <row r="243" spans="1:195" ht="27.75" customHeight="1">
      <c r="A243" s="337">
        <f t="shared" si="1643"/>
        <v>194</v>
      </c>
      <c r="B243" s="453"/>
      <c r="C243" s="372" t="str">
        <f t="shared" si="1641"/>
        <v xml:space="preserve">STORES HVAC DB </v>
      </c>
      <c r="D243" s="444" t="s">
        <v>1390</v>
      </c>
      <c r="E243" s="567" t="s">
        <v>1188</v>
      </c>
      <c r="F243" s="444"/>
      <c r="G243" s="337" t="s">
        <v>329</v>
      </c>
      <c r="H243" s="583">
        <v>2.2000000000000002</v>
      </c>
      <c r="I243" s="337" t="s">
        <v>330</v>
      </c>
      <c r="J243" s="349" t="s">
        <v>331</v>
      </c>
      <c r="K243" s="349">
        <v>400</v>
      </c>
      <c r="L243" s="343">
        <v>0.95</v>
      </c>
      <c r="M243" s="350">
        <v>0.85</v>
      </c>
      <c r="N243" s="342">
        <f t="shared" si="1596"/>
        <v>3.9325320501362091</v>
      </c>
      <c r="O243" s="342">
        <f t="shared" si="1630"/>
        <v>0</v>
      </c>
      <c r="P243" s="343" t="str">
        <f t="shared" si="1598"/>
        <v>0.00</v>
      </c>
      <c r="Q243" s="350">
        <v>65</v>
      </c>
      <c r="R243" s="350">
        <v>0</v>
      </c>
      <c r="S243" s="350">
        <f t="shared" si="1582"/>
        <v>0</v>
      </c>
      <c r="T243" s="343" t="s">
        <v>131</v>
      </c>
      <c r="U243" s="350" t="s">
        <v>522</v>
      </c>
      <c r="V243" s="343">
        <v>4</v>
      </c>
      <c r="W243" s="343" t="str">
        <f t="shared" si="1583"/>
        <v>4C X 4</v>
      </c>
      <c r="X243" s="343" t="str">
        <f t="shared" si="1631"/>
        <v>4C X 4</v>
      </c>
      <c r="Y243" s="343" t="s">
        <v>358</v>
      </c>
      <c r="Z243" s="344">
        <f>IF(T243="AIR",VLOOKUP(W243,'Catalogue Aluminium'!$B$9:$G$93,2,FALSE),IF(T243="GROUND",VLOOKUP(W243,'Catalogue Aluminium'!$B$9:$G$93,3,FALSE),IF(T243="DUCT",VLOOKUP(W243,'Catalogue Aluminium'!$B$9:$G$93,4,FALSE),IF(T243="TRENCH",VLOOKUP(W243,'Catalogue Aluminium'!$B$9:$G$93,2,FALSE)))))</f>
        <v>38</v>
      </c>
      <c r="AA243" s="345">
        <f>VLOOKUP(W243,'Catalogue Aluminium'!$B$9:$G$93,5,FALSE)</f>
        <v>5.9</v>
      </c>
      <c r="AB243" s="345">
        <f>VLOOKUP(W243,'Catalogue Aluminium'!$B$9:$G$93,6,FALSE)</f>
        <v>9.4700000000000006E-2</v>
      </c>
      <c r="AC243" s="343">
        <f t="shared" si="1667"/>
        <v>51</v>
      </c>
      <c r="AD243" s="343">
        <v>0</v>
      </c>
      <c r="AE243" s="343">
        <v>10</v>
      </c>
      <c r="AF243" s="343">
        <v>5</v>
      </c>
      <c r="AG243" s="343">
        <f t="shared" si="1462"/>
        <v>7</v>
      </c>
      <c r="AH243" s="347">
        <f t="shared" si="1632"/>
        <v>73</v>
      </c>
      <c r="AI243" s="344">
        <f>IF(T243="AIR",'Catalogue Aluminium'!$K$9,IF(T243="TRENCH",'Catalogue Aluminium'!$K$12,"NA"))</f>
        <v>0.89</v>
      </c>
      <c r="AJ243" s="342">
        <f>IF(T243="Air",(IF(U243="1C",'Catalogue Aluminium'!$L$9,'Catalogue Aluminium'!$M$9)),IF(T243="DUCT",(IF($U243="1C",'Catalogue Aluminium'!$L$10,'Catalogue Aluminium'!$M$10)),IF(T243="GROUND",(IF($U243="1C",'Catalogue Aluminium'!$L$11,'Catalogue Aluminium'!$M$11)),IF(T243="TRENCH",(IF($U243="1C",'Catalogue Aluminium'!$L$12,'Catalogue Aluminium'!$M$12))))))</f>
        <v>0.66</v>
      </c>
      <c r="AK243" s="344" t="str">
        <f>IF(T243="Air",'Catalogue Aluminium'!$N$9,IF(T243="GROUND",'Catalogue Aluminium'!$N$10,IF(T243="DUCT",'Catalogue Aluminium'!$N$11,IF(T243="TRENCH",'Catalogue Aluminium'!$N$12,"NA"))))</f>
        <v>NA</v>
      </c>
      <c r="AL243" s="344" t="str">
        <f>IF(T243="Air",(IF(U243="1C",'Catalogue Aluminium'!$O$9,'Catalogue Aluminium'!$P$9)),IF(T243="DUCT",(IF($U243="1C",'Catalogue Aluminium'!$O$10,'Catalogue Aluminium'!$P$10)),IF(T243="GROUND",(IF($U243="1C",'Catalogue Aluminium'!$O$11,'Catalogue Aluminium'!$P$11)),IF(T243="TRENCH",(IF($U243="1C",'Catalogue Aluminium'!$O$12,'Catalogue Aluminium'!$P$12))))))</f>
        <v>NA</v>
      </c>
      <c r="AM243" s="344" t="str">
        <f>IF(T243="AIR","NA",IF(T243="TRENCH","NA",IF(T243="DUCT",IF(U243="1C",VLOOKUP(V243,'Catalogue Aluminium'!$Q$9:$S$28,2,FALSE),VLOOKUP(V243,'Catalogue Aluminium'!$Q$9:$S$28,3)),IF(T243="GROUND",IF(U243="1C",VLOOKUP(V243,'Catalogue Aluminium'!$Q$9:$S$28,2,FALSE),VLOOKUP(V243,'Catalogue Aluminium'!$Q$9:$S$28,3))))))</f>
        <v>NA</v>
      </c>
      <c r="AN243" s="351">
        <f t="shared" si="1633"/>
        <v>0.58740000000000003</v>
      </c>
      <c r="AO243" s="350">
        <f t="shared" si="1634"/>
        <v>22.321200000000001</v>
      </c>
      <c r="AP243" s="349">
        <f t="shared" si="1635"/>
        <v>1</v>
      </c>
      <c r="AQ243" s="350" t="str">
        <f t="shared" si="1636"/>
        <v>YES</v>
      </c>
      <c r="AR243" s="351">
        <f t="shared" si="1463"/>
        <v>0.70041679394337275</v>
      </c>
      <c r="AS243" s="343" t="str">
        <f t="shared" si="1464"/>
        <v>YES</v>
      </c>
      <c r="AT243" s="351" t="str">
        <f t="shared" si="1658"/>
        <v>NA</v>
      </c>
      <c r="AU243" s="343" t="str">
        <f t="shared" si="1637"/>
        <v>NA</v>
      </c>
      <c r="AV243" s="354" t="str">
        <f t="shared" si="1638"/>
        <v>1R x 0.6/1kV x 4C x 4 Sqmm</v>
      </c>
      <c r="AW243" s="354" t="str">
        <f t="shared" si="1639"/>
        <v>1R x 0.6/1kV x 4C x 4 Sqmm</v>
      </c>
      <c r="AX243" s="343">
        <f t="shared" si="1659"/>
        <v>73</v>
      </c>
      <c r="AY243" s="355"/>
      <c r="AZ243" s="355">
        <f t="shared" si="1660"/>
        <v>2</v>
      </c>
      <c r="BA243" s="356" t="str">
        <f t="shared" si="1640"/>
        <v/>
      </c>
      <c r="BB243" s="501">
        <f>VLOOKUP(W243,'Catalogue Aluminium'!$B$9:$H$93,7,FALSE)</f>
        <v>16</v>
      </c>
      <c r="BC243" s="328">
        <f t="shared" si="1661"/>
        <v>16</v>
      </c>
      <c r="BE243" s="336"/>
      <c r="BF243" s="336"/>
      <c r="BG243" s="336"/>
      <c r="BH243" s="336"/>
      <c r="BI243" s="336"/>
      <c r="BJ243" s="336"/>
      <c r="BK243" s="336"/>
      <c r="BL243" s="336"/>
      <c r="BM243" s="336"/>
      <c r="BN243" s="336"/>
      <c r="BO243" s="336"/>
      <c r="BP243" s="336"/>
      <c r="BQ243" s="336"/>
      <c r="BR243" s="336"/>
      <c r="BS243" s="336"/>
      <c r="BT243" s="336"/>
      <c r="BU243" s="336"/>
      <c r="BV243" s="336"/>
      <c r="BW243" s="336"/>
      <c r="BX243" s="336"/>
      <c r="BY243" s="336"/>
      <c r="BZ243" s="336"/>
      <c r="CA243" s="336"/>
      <c r="CB243" s="336"/>
      <c r="CC243" s="336"/>
      <c r="CD243" s="336"/>
      <c r="CE243" s="336"/>
      <c r="CF243" s="336"/>
      <c r="CG243" s="336"/>
      <c r="CH243" s="336"/>
      <c r="CI243" s="336"/>
      <c r="CJ243" s="336"/>
      <c r="CK243" s="336"/>
      <c r="CL243" s="336"/>
      <c r="CM243" s="336"/>
      <c r="CN243" s="336"/>
      <c r="CO243" s="336"/>
      <c r="CP243" s="336"/>
      <c r="CQ243" s="336"/>
      <c r="CR243" s="336"/>
      <c r="CS243" s="336"/>
      <c r="CT243" s="336"/>
      <c r="CU243" s="336"/>
      <c r="CV243" s="336"/>
      <c r="CW243" s="336"/>
      <c r="CX243" s="336"/>
      <c r="CY243" s="336"/>
      <c r="CZ243" s="336"/>
      <c r="DA243" s="336"/>
      <c r="DB243" s="336"/>
      <c r="DC243" s="336"/>
      <c r="DD243" s="336"/>
      <c r="DE243" s="336"/>
      <c r="DF243" s="336"/>
      <c r="DG243" s="336"/>
      <c r="DH243" s="336"/>
      <c r="DI243" s="336"/>
      <c r="DJ243" s="336"/>
      <c r="DK243" s="336"/>
      <c r="DL243" s="336"/>
      <c r="DM243" s="336"/>
      <c r="DN243" s="336"/>
      <c r="DO243" s="336"/>
      <c r="DP243" s="336"/>
      <c r="DQ243" s="336"/>
      <c r="DR243" s="336"/>
      <c r="DS243" s="336"/>
      <c r="DT243" s="336"/>
      <c r="DU243" s="336"/>
      <c r="DW243" s="336">
        <f t="shared" si="1529"/>
        <v>0</v>
      </c>
      <c r="DX243" s="336">
        <f t="shared" si="1668"/>
        <v>0</v>
      </c>
      <c r="DY243" s="336">
        <f t="shared" si="1669"/>
        <v>0</v>
      </c>
      <c r="DZ243" s="336">
        <f t="shared" si="1670"/>
        <v>0</v>
      </c>
      <c r="EA243" s="336">
        <f t="shared" si="1671"/>
        <v>0</v>
      </c>
      <c r="EB243" s="336">
        <f t="shared" si="1672"/>
        <v>0</v>
      </c>
      <c r="EC243" s="336">
        <f t="shared" si="1673"/>
        <v>0</v>
      </c>
      <c r="ED243" s="336">
        <f t="shared" si="1674"/>
        <v>0</v>
      </c>
      <c r="EE243" s="336">
        <f t="shared" si="1675"/>
        <v>0</v>
      </c>
      <c r="EF243" s="336">
        <f t="shared" si="1676"/>
        <v>0</v>
      </c>
      <c r="EG243" s="336">
        <f t="shared" si="1677"/>
        <v>0</v>
      </c>
      <c r="EH243" s="336">
        <f t="shared" si="1678"/>
        <v>0</v>
      </c>
      <c r="EI243" s="336">
        <f t="shared" si="1679"/>
        <v>0</v>
      </c>
      <c r="EJ243" s="336">
        <f t="shared" si="1680"/>
        <v>0</v>
      </c>
      <c r="EK243" s="336">
        <f t="shared" si="1681"/>
        <v>0</v>
      </c>
      <c r="EL243" s="336">
        <f t="shared" si="1682"/>
        <v>0</v>
      </c>
      <c r="EM243" s="336">
        <f t="shared" si="1683"/>
        <v>0</v>
      </c>
      <c r="EN243" s="336">
        <f t="shared" si="1684"/>
        <v>0</v>
      </c>
      <c r="EO243" s="336">
        <f t="shared" si="1685"/>
        <v>0</v>
      </c>
      <c r="EP243" s="336">
        <f t="shared" si="1686"/>
        <v>0</v>
      </c>
      <c r="EQ243" s="336">
        <f t="shared" si="1687"/>
        <v>0</v>
      </c>
      <c r="ER243" s="336">
        <f t="shared" si="1688"/>
        <v>0</v>
      </c>
      <c r="ES243" s="336">
        <f t="shared" si="1689"/>
        <v>0</v>
      </c>
      <c r="ET243" s="336">
        <f t="shared" si="1689"/>
        <v>0</v>
      </c>
      <c r="EU243" s="336">
        <f t="shared" si="1690"/>
        <v>0</v>
      </c>
      <c r="EV243" s="336">
        <f t="shared" si="1691"/>
        <v>0</v>
      </c>
      <c r="EW243" s="336">
        <f t="shared" si="1692"/>
        <v>0</v>
      </c>
      <c r="EX243" s="336">
        <f t="shared" si="1693"/>
        <v>0</v>
      </c>
      <c r="EY243" s="336">
        <f t="shared" si="1694"/>
        <v>0</v>
      </c>
      <c r="EZ243" s="336">
        <f t="shared" si="1695"/>
        <v>0</v>
      </c>
      <c r="FA243" s="336">
        <f t="shared" si="1696"/>
        <v>0</v>
      </c>
      <c r="FB243" s="336">
        <f t="shared" si="1697"/>
        <v>0</v>
      </c>
      <c r="FC243" s="336">
        <f t="shared" si="1698"/>
        <v>0</v>
      </c>
      <c r="FD243" s="336">
        <f t="shared" si="1699"/>
        <v>0</v>
      </c>
      <c r="FE243" s="336">
        <f t="shared" si="1700"/>
        <v>0</v>
      </c>
      <c r="FF243" s="336">
        <f t="shared" si="1701"/>
        <v>0</v>
      </c>
      <c r="FG243" s="336">
        <f t="shared" si="1702"/>
        <v>0</v>
      </c>
      <c r="FH243" s="336">
        <f t="shared" si="1703"/>
        <v>0</v>
      </c>
      <c r="FI243" s="336">
        <f t="shared" si="1704"/>
        <v>0</v>
      </c>
      <c r="FJ243" s="336">
        <f t="shared" si="1705"/>
        <v>0</v>
      </c>
      <c r="FK243" s="336">
        <f t="shared" si="1706"/>
        <v>0</v>
      </c>
      <c r="FL243" s="336">
        <f t="shared" si="1707"/>
        <v>0</v>
      </c>
      <c r="FM243" s="336">
        <f t="shared" si="1708"/>
        <v>0</v>
      </c>
      <c r="FN243" s="336">
        <f t="shared" si="1709"/>
        <v>0</v>
      </c>
      <c r="FO243" s="336">
        <f t="shared" si="1710"/>
        <v>0</v>
      </c>
      <c r="FP243" s="336">
        <f t="shared" si="1711"/>
        <v>0</v>
      </c>
      <c r="FQ243" s="336">
        <f t="shared" si="1712"/>
        <v>0</v>
      </c>
      <c r="FR243" s="336">
        <f t="shared" si="1713"/>
        <v>0</v>
      </c>
      <c r="FS243" s="336">
        <f t="shared" si="1714"/>
        <v>0</v>
      </c>
      <c r="FT243" s="336">
        <f t="shared" si="1715"/>
        <v>0</v>
      </c>
      <c r="FU243" s="336">
        <f t="shared" si="1662"/>
        <v>0</v>
      </c>
      <c r="FV243" s="336">
        <f t="shared" si="1663"/>
        <v>0</v>
      </c>
      <c r="FW243" s="336">
        <f t="shared" si="1664"/>
        <v>0</v>
      </c>
      <c r="FX243" s="336">
        <f t="shared" si="1665"/>
        <v>0</v>
      </c>
      <c r="FY243" s="336">
        <f t="shared" si="1716"/>
        <v>0</v>
      </c>
      <c r="FZ243" s="336">
        <f t="shared" si="1717"/>
        <v>0</v>
      </c>
      <c r="GA243" s="336">
        <f t="shared" si="1718"/>
        <v>0</v>
      </c>
      <c r="GB243" s="336">
        <f t="shared" si="1719"/>
        <v>0</v>
      </c>
      <c r="GC243" s="336">
        <f t="shared" si="1720"/>
        <v>0</v>
      </c>
      <c r="GD243" s="336">
        <f t="shared" si="1721"/>
        <v>0</v>
      </c>
      <c r="GE243" s="336">
        <f t="shared" si="1722"/>
        <v>0</v>
      </c>
      <c r="GF243" s="336">
        <f t="shared" si="1723"/>
        <v>0</v>
      </c>
      <c r="GG243" s="336">
        <f t="shared" si="1724"/>
        <v>0</v>
      </c>
      <c r="GH243" s="336">
        <f t="shared" si="1725"/>
        <v>0</v>
      </c>
      <c r="GI243" s="336">
        <f t="shared" si="1726"/>
        <v>0</v>
      </c>
      <c r="GJ243" s="336">
        <f t="shared" si="1727"/>
        <v>0</v>
      </c>
      <c r="GK243" s="336">
        <f t="shared" si="1728"/>
        <v>0</v>
      </c>
      <c r="GL243" s="336">
        <f t="shared" si="1666"/>
        <v>0</v>
      </c>
      <c r="GM243" s="336">
        <f t="shared" si="1729"/>
        <v>0</v>
      </c>
    </row>
    <row r="244" spans="1:195" ht="27.75" customHeight="1">
      <c r="A244" s="337">
        <f t="shared" si="1643"/>
        <v>195</v>
      </c>
      <c r="B244" s="453"/>
      <c r="C244" s="372" t="str">
        <f t="shared" si="1641"/>
        <v xml:space="preserve">STORES HVAC DB </v>
      </c>
      <c r="D244" s="444" t="s">
        <v>1391</v>
      </c>
      <c r="E244" s="567" t="s">
        <v>1188</v>
      </c>
      <c r="F244" s="444"/>
      <c r="G244" s="337" t="s">
        <v>329</v>
      </c>
      <c r="H244" s="583">
        <v>2.2000000000000002</v>
      </c>
      <c r="I244" s="337" t="s">
        <v>330</v>
      </c>
      <c r="J244" s="349" t="s">
        <v>331</v>
      </c>
      <c r="K244" s="349">
        <v>400</v>
      </c>
      <c r="L244" s="343">
        <v>0.95</v>
      </c>
      <c r="M244" s="350">
        <v>0.85</v>
      </c>
      <c r="N244" s="342">
        <f t="shared" si="1596"/>
        <v>3.9325320501362091</v>
      </c>
      <c r="O244" s="342">
        <f t="shared" si="1630"/>
        <v>0</v>
      </c>
      <c r="P244" s="343" t="str">
        <f t="shared" si="1598"/>
        <v>0.00</v>
      </c>
      <c r="Q244" s="350">
        <v>65</v>
      </c>
      <c r="R244" s="350">
        <v>0</v>
      </c>
      <c r="S244" s="350">
        <f t="shared" si="1582"/>
        <v>0</v>
      </c>
      <c r="T244" s="343" t="s">
        <v>131</v>
      </c>
      <c r="U244" s="350" t="s">
        <v>522</v>
      </c>
      <c r="V244" s="343">
        <v>4</v>
      </c>
      <c r="W244" s="343" t="str">
        <f t="shared" si="1583"/>
        <v>4C X 4</v>
      </c>
      <c r="X244" s="343" t="str">
        <f t="shared" si="1631"/>
        <v>4C X 4</v>
      </c>
      <c r="Y244" s="343" t="s">
        <v>358</v>
      </c>
      <c r="Z244" s="344">
        <f>IF(T244="AIR",VLOOKUP(W244,'Catalogue Aluminium'!$B$9:$G$93,2,FALSE),IF(T244="GROUND",VLOOKUP(W244,'Catalogue Aluminium'!$B$9:$G$93,3,FALSE),IF(T244="DUCT",VLOOKUP(W244,'Catalogue Aluminium'!$B$9:$G$93,4,FALSE),IF(T244="TRENCH",VLOOKUP(W244,'Catalogue Aluminium'!$B$9:$G$93,2,FALSE)))))</f>
        <v>38</v>
      </c>
      <c r="AA244" s="345">
        <f>VLOOKUP(W244,'Catalogue Aluminium'!$B$9:$G$93,5,FALSE)</f>
        <v>5.9</v>
      </c>
      <c r="AB244" s="345">
        <f>VLOOKUP(W244,'Catalogue Aluminium'!$B$9:$G$93,6,FALSE)</f>
        <v>9.4700000000000006E-2</v>
      </c>
      <c r="AC244" s="343">
        <f t="shared" si="1667"/>
        <v>51</v>
      </c>
      <c r="AD244" s="343">
        <v>0</v>
      </c>
      <c r="AE244" s="343">
        <v>10</v>
      </c>
      <c r="AF244" s="343">
        <v>5</v>
      </c>
      <c r="AG244" s="343">
        <f t="shared" ref="AG244:AG279" si="1730">ROUNDUP((SUM(AC244:AF244)*0.1),0)</f>
        <v>7</v>
      </c>
      <c r="AH244" s="347">
        <f t="shared" si="1632"/>
        <v>73</v>
      </c>
      <c r="AI244" s="344">
        <f>IF(T244="AIR",'Catalogue Aluminium'!$K$9,IF(T244="TRENCH",'Catalogue Aluminium'!$K$12,"NA"))</f>
        <v>0.89</v>
      </c>
      <c r="AJ244" s="342">
        <f>IF(T244="Air",(IF(U244="1C",'Catalogue Aluminium'!$L$9,'Catalogue Aluminium'!$M$9)),IF(T244="DUCT",(IF($U244="1C",'Catalogue Aluminium'!$L$10,'Catalogue Aluminium'!$M$10)),IF(T244="GROUND",(IF($U244="1C",'Catalogue Aluminium'!$L$11,'Catalogue Aluminium'!$M$11)),IF(T244="TRENCH",(IF($U244="1C",'Catalogue Aluminium'!$L$12,'Catalogue Aluminium'!$M$12))))))</f>
        <v>0.66</v>
      </c>
      <c r="AK244" s="344" t="str">
        <f>IF(T244="Air",'Catalogue Aluminium'!$N$9,IF(T244="GROUND",'Catalogue Aluminium'!$N$10,IF(T244="DUCT",'Catalogue Aluminium'!$N$11,IF(T244="TRENCH",'Catalogue Aluminium'!$N$12,"NA"))))</f>
        <v>NA</v>
      </c>
      <c r="AL244" s="344" t="str">
        <f>IF(T244="Air",(IF(U244="1C",'Catalogue Aluminium'!$O$9,'Catalogue Aluminium'!$P$9)),IF(T244="DUCT",(IF($U244="1C",'Catalogue Aluminium'!$O$10,'Catalogue Aluminium'!$P$10)),IF(T244="GROUND",(IF($U244="1C",'Catalogue Aluminium'!$O$11,'Catalogue Aluminium'!$P$11)),IF(T244="TRENCH",(IF($U244="1C",'Catalogue Aluminium'!$O$12,'Catalogue Aluminium'!$P$12))))))</f>
        <v>NA</v>
      </c>
      <c r="AM244" s="344" t="str">
        <f>IF(T244="AIR","NA",IF(T244="TRENCH","NA",IF(T244="DUCT",IF(U244="1C",VLOOKUP(V244,'Catalogue Aluminium'!$Q$9:$S$28,2,FALSE),VLOOKUP(V244,'Catalogue Aluminium'!$Q$9:$S$28,3)),IF(T244="GROUND",IF(U244="1C",VLOOKUP(V244,'Catalogue Aluminium'!$Q$9:$S$28,2,FALSE),VLOOKUP(V244,'Catalogue Aluminium'!$Q$9:$S$28,3))))))</f>
        <v>NA</v>
      </c>
      <c r="AN244" s="351">
        <f t="shared" si="1633"/>
        <v>0.58740000000000003</v>
      </c>
      <c r="AO244" s="350">
        <f t="shared" si="1634"/>
        <v>22.321200000000001</v>
      </c>
      <c r="AP244" s="349">
        <f t="shared" si="1635"/>
        <v>1</v>
      </c>
      <c r="AQ244" s="350" t="str">
        <f t="shared" si="1636"/>
        <v>YES</v>
      </c>
      <c r="AR244" s="351">
        <f t="shared" ref="AR244:AR280" si="1731">SQRT(3)*AH244*N244*((AA244*L244)+(AB244*SIN(ACOS(L244))))*100/(AP244*K244*1000)</f>
        <v>0.70041679394337275</v>
      </c>
      <c r="AS244" s="343" t="str">
        <f t="shared" ref="AS244:AS280" si="1732">IF(G244="INCOMER",(IF(AR244&lt;=2,"YES","NO")),IF(G244="POWER",(IF(AR244&lt;=2.5,"YES","NO")),IF(G244="MOTOR",(IF(AR244&lt;=3,"YES","NO")))))</f>
        <v>YES</v>
      </c>
      <c r="AT244" s="351" t="str">
        <f t="shared" si="1658"/>
        <v>NA</v>
      </c>
      <c r="AU244" s="343" t="str">
        <f t="shared" si="1637"/>
        <v>NA</v>
      </c>
      <c r="AV244" s="354" t="str">
        <f t="shared" si="1638"/>
        <v>1R x 0.6/1kV x 4C x 4 Sqmm</v>
      </c>
      <c r="AW244" s="354" t="str">
        <f t="shared" si="1639"/>
        <v>1R x 0.6/1kV x 4C x 4 Sqmm</v>
      </c>
      <c r="AX244" s="343">
        <f t="shared" si="1659"/>
        <v>73</v>
      </c>
      <c r="AY244" s="355"/>
      <c r="AZ244" s="355">
        <f t="shared" si="1660"/>
        <v>2</v>
      </c>
      <c r="BA244" s="356" t="str">
        <f t="shared" si="1640"/>
        <v/>
      </c>
      <c r="BB244" s="501">
        <f>VLOOKUP(W244,'Catalogue Aluminium'!$B$9:$H$93,7,FALSE)</f>
        <v>16</v>
      </c>
      <c r="BC244" s="328">
        <f t="shared" si="1661"/>
        <v>16</v>
      </c>
      <c r="BE244" s="336"/>
      <c r="BF244" s="336"/>
      <c r="BG244" s="336"/>
      <c r="BH244" s="336"/>
      <c r="BI244" s="336"/>
      <c r="BJ244" s="336"/>
      <c r="BK244" s="336"/>
      <c r="BL244" s="336"/>
      <c r="BM244" s="336"/>
      <c r="BN244" s="336"/>
      <c r="BO244" s="336"/>
      <c r="BP244" s="336"/>
      <c r="BQ244" s="336"/>
      <c r="BR244" s="336"/>
      <c r="BS244" s="336"/>
      <c r="BT244" s="336"/>
      <c r="BU244" s="336"/>
      <c r="BV244" s="336"/>
      <c r="BW244" s="336"/>
      <c r="BX244" s="336"/>
      <c r="BY244" s="336"/>
      <c r="BZ244" s="336"/>
      <c r="CA244" s="336"/>
      <c r="CB244" s="336"/>
      <c r="CC244" s="336"/>
      <c r="CD244" s="336"/>
      <c r="CE244" s="336"/>
      <c r="CF244" s="336"/>
      <c r="CG244" s="336"/>
      <c r="CH244" s="336"/>
      <c r="CI244" s="336"/>
      <c r="CJ244" s="336"/>
      <c r="CK244" s="336"/>
      <c r="CL244" s="336"/>
      <c r="CM244" s="336"/>
      <c r="CN244" s="336"/>
      <c r="CO244" s="336"/>
      <c r="CP244" s="336"/>
      <c r="CQ244" s="336"/>
      <c r="CR244" s="336"/>
      <c r="CS244" s="336"/>
      <c r="CT244" s="336"/>
      <c r="CU244" s="336"/>
      <c r="CV244" s="336"/>
      <c r="CW244" s="336"/>
      <c r="CX244" s="336"/>
      <c r="CY244" s="336"/>
      <c r="CZ244" s="336"/>
      <c r="DA244" s="336"/>
      <c r="DB244" s="336"/>
      <c r="DC244" s="336"/>
      <c r="DD244" s="336"/>
      <c r="DE244" s="336"/>
      <c r="DF244" s="336"/>
      <c r="DG244" s="336"/>
      <c r="DH244" s="336"/>
      <c r="DI244" s="336"/>
      <c r="DJ244" s="336"/>
      <c r="DK244" s="336"/>
      <c r="DL244" s="336"/>
      <c r="DM244" s="336"/>
      <c r="DN244" s="336"/>
      <c r="DO244" s="336"/>
      <c r="DP244" s="336"/>
      <c r="DQ244" s="336"/>
      <c r="DR244" s="336"/>
      <c r="DS244" s="336"/>
      <c r="DT244" s="336"/>
      <c r="DU244" s="336"/>
      <c r="DW244" s="336">
        <f t="shared" si="1529"/>
        <v>0</v>
      </c>
      <c r="DX244" s="336">
        <f t="shared" si="1668"/>
        <v>0</v>
      </c>
      <c r="DY244" s="336">
        <f t="shared" si="1669"/>
        <v>0</v>
      </c>
      <c r="DZ244" s="336">
        <f t="shared" si="1670"/>
        <v>0</v>
      </c>
      <c r="EA244" s="336">
        <f t="shared" si="1671"/>
        <v>0</v>
      </c>
      <c r="EB244" s="336">
        <f t="shared" si="1672"/>
        <v>0</v>
      </c>
      <c r="EC244" s="336">
        <f t="shared" si="1673"/>
        <v>0</v>
      </c>
      <c r="ED244" s="336">
        <f t="shared" si="1674"/>
        <v>0</v>
      </c>
      <c r="EE244" s="336">
        <f t="shared" si="1675"/>
        <v>0</v>
      </c>
      <c r="EF244" s="336">
        <f t="shared" si="1676"/>
        <v>0</v>
      </c>
      <c r="EG244" s="336">
        <f t="shared" si="1677"/>
        <v>0</v>
      </c>
      <c r="EH244" s="336">
        <f t="shared" si="1678"/>
        <v>0</v>
      </c>
      <c r="EI244" s="336">
        <f t="shared" si="1679"/>
        <v>0</v>
      </c>
      <c r="EJ244" s="336">
        <f t="shared" si="1680"/>
        <v>0</v>
      </c>
      <c r="EK244" s="336">
        <f t="shared" si="1681"/>
        <v>0</v>
      </c>
      <c r="EL244" s="336">
        <f t="shared" si="1682"/>
        <v>0</v>
      </c>
      <c r="EM244" s="336">
        <f t="shared" si="1683"/>
        <v>0</v>
      </c>
      <c r="EN244" s="336">
        <f t="shared" si="1684"/>
        <v>0</v>
      </c>
      <c r="EO244" s="336">
        <f t="shared" si="1685"/>
        <v>0</v>
      </c>
      <c r="EP244" s="336">
        <f t="shared" si="1686"/>
        <v>0</v>
      </c>
      <c r="EQ244" s="336">
        <f t="shared" si="1687"/>
        <v>0</v>
      </c>
      <c r="ER244" s="336">
        <f t="shared" si="1688"/>
        <v>0</v>
      </c>
      <c r="ES244" s="336">
        <f t="shared" si="1689"/>
        <v>0</v>
      </c>
      <c r="ET244" s="336">
        <f t="shared" si="1689"/>
        <v>0</v>
      </c>
      <c r="EU244" s="336">
        <f t="shared" si="1690"/>
        <v>0</v>
      </c>
      <c r="EV244" s="336">
        <f t="shared" si="1691"/>
        <v>0</v>
      </c>
      <c r="EW244" s="336">
        <f t="shared" si="1692"/>
        <v>0</v>
      </c>
      <c r="EX244" s="336">
        <f t="shared" si="1693"/>
        <v>0</v>
      </c>
      <c r="EY244" s="336">
        <f t="shared" si="1694"/>
        <v>0</v>
      </c>
      <c r="EZ244" s="336">
        <f t="shared" si="1695"/>
        <v>0</v>
      </c>
      <c r="FA244" s="336">
        <f t="shared" si="1696"/>
        <v>0</v>
      </c>
      <c r="FB244" s="336">
        <f t="shared" si="1697"/>
        <v>0</v>
      </c>
      <c r="FC244" s="336">
        <f t="shared" si="1698"/>
        <v>0</v>
      </c>
      <c r="FD244" s="336">
        <f t="shared" si="1699"/>
        <v>0</v>
      </c>
      <c r="FE244" s="336">
        <f t="shared" si="1700"/>
        <v>0</v>
      </c>
      <c r="FF244" s="336">
        <f t="shared" si="1701"/>
        <v>0</v>
      </c>
      <c r="FG244" s="336">
        <f t="shared" si="1702"/>
        <v>0</v>
      </c>
      <c r="FH244" s="336">
        <f t="shared" si="1703"/>
        <v>0</v>
      </c>
      <c r="FI244" s="336">
        <f t="shared" si="1704"/>
        <v>0</v>
      </c>
      <c r="FJ244" s="336">
        <f t="shared" si="1705"/>
        <v>0</v>
      </c>
      <c r="FK244" s="336">
        <f t="shared" si="1706"/>
        <v>0</v>
      </c>
      <c r="FL244" s="336">
        <f t="shared" si="1707"/>
        <v>0</v>
      </c>
      <c r="FM244" s="336">
        <f t="shared" si="1708"/>
        <v>0</v>
      </c>
      <c r="FN244" s="336">
        <f t="shared" si="1709"/>
        <v>0</v>
      </c>
      <c r="FO244" s="336">
        <f t="shared" si="1710"/>
        <v>0</v>
      </c>
      <c r="FP244" s="336">
        <f t="shared" si="1711"/>
        <v>0</v>
      </c>
      <c r="FQ244" s="336">
        <f t="shared" si="1712"/>
        <v>0</v>
      </c>
      <c r="FR244" s="336">
        <f t="shared" si="1713"/>
        <v>0</v>
      </c>
      <c r="FS244" s="336">
        <f t="shared" si="1714"/>
        <v>0</v>
      </c>
      <c r="FT244" s="336">
        <f t="shared" si="1715"/>
        <v>0</v>
      </c>
      <c r="FU244" s="336">
        <f t="shared" si="1662"/>
        <v>0</v>
      </c>
      <c r="FV244" s="336">
        <f t="shared" si="1663"/>
        <v>0</v>
      </c>
      <c r="FW244" s="336">
        <f t="shared" si="1664"/>
        <v>0</v>
      </c>
      <c r="FX244" s="336">
        <f t="shared" si="1665"/>
        <v>0</v>
      </c>
      <c r="FY244" s="336">
        <f t="shared" si="1716"/>
        <v>0</v>
      </c>
      <c r="FZ244" s="336">
        <f t="shared" si="1717"/>
        <v>0</v>
      </c>
      <c r="GA244" s="336">
        <f t="shared" si="1718"/>
        <v>0</v>
      </c>
      <c r="GB244" s="336">
        <f t="shared" si="1719"/>
        <v>0</v>
      </c>
      <c r="GC244" s="336">
        <f t="shared" si="1720"/>
        <v>0</v>
      </c>
      <c r="GD244" s="336">
        <f t="shared" si="1721"/>
        <v>0</v>
      </c>
      <c r="GE244" s="336">
        <f t="shared" si="1722"/>
        <v>0</v>
      </c>
      <c r="GF244" s="336">
        <f t="shared" si="1723"/>
        <v>0</v>
      </c>
      <c r="GG244" s="336">
        <f t="shared" si="1724"/>
        <v>0</v>
      </c>
      <c r="GH244" s="336">
        <f t="shared" si="1725"/>
        <v>0</v>
      </c>
      <c r="GI244" s="336">
        <f t="shared" si="1726"/>
        <v>0</v>
      </c>
      <c r="GJ244" s="336">
        <f t="shared" si="1727"/>
        <v>0</v>
      </c>
      <c r="GK244" s="336">
        <f t="shared" si="1728"/>
        <v>0</v>
      </c>
      <c r="GL244" s="336">
        <f t="shared" si="1666"/>
        <v>0</v>
      </c>
      <c r="GM244" s="336">
        <f t="shared" si="1729"/>
        <v>0</v>
      </c>
    </row>
    <row r="245" spans="1:195" ht="27.75" customHeight="1">
      <c r="A245" s="337">
        <f t="shared" si="1643"/>
        <v>196</v>
      </c>
      <c r="B245" s="453"/>
      <c r="C245" s="372" t="str">
        <f t="shared" si="1641"/>
        <v xml:space="preserve">STORES HVAC DB </v>
      </c>
      <c r="D245" s="444" t="s">
        <v>1392</v>
      </c>
      <c r="E245" s="567" t="s">
        <v>1188</v>
      </c>
      <c r="F245" s="444"/>
      <c r="G245" s="337" t="s">
        <v>329</v>
      </c>
      <c r="H245" s="583">
        <v>2.2000000000000002</v>
      </c>
      <c r="I245" s="337" t="s">
        <v>330</v>
      </c>
      <c r="J245" s="349" t="s">
        <v>331</v>
      </c>
      <c r="K245" s="349">
        <v>400</v>
      </c>
      <c r="L245" s="343">
        <v>0.95</v>
      </c>
      <c r="M245" s="350">
        <v>0.85</v>
      </c>
      <c r="N245" s="342">
        <f t="shared" si="1596"/>
        <v>3.9325320501362091</v>
      </c>
      <c r="O245" s="342">
        <f t="shared" si="1630"/>
        <v>0</v>
      </c>
      <c r="P245" s="343" t="str">
        <f t="shared" si="1598"/>
        <v>0.00</v>
      </c>
      <c r="Q245" s="350">
        <v>65</v>
      </c>
      <c r="R245" s="350">
        <v>0</v>
      </c>
      <c r="S245" s="350">
        <f t="shared" si="1582"/>
        <v>0</v>
      </c>
      <c r="T245" s="343" t="s">
        <v>131</v>
      </c>
      <c r="U245" s="350" t="s">
        <v>522</v>
      </c>
      <c r="V245" s="343">
        <v>4</v>
      </c>
      <c r="W245" s="343" t="str">
        <f t="shared" si="1583"/>
        <v>4C X 4</v>
      </c>
      <c r="X245" s="343" t="str">
        <f t="shared" si="1631"/>
        <v>4C X 4</v>
      </c>
      <c r="Y245" s="343" t="s">
        <v>358</v>
      </c>
      <c r="Z245" s="344">
        <f>IF(T245="AIR",VLOOKUP(W245,'Catalogue Aluminium'!$B$9:$G$93,2,FALSE),IF(T245="GROUND",VLOOKUP(W245,'Catalogue Aluminium'!$B$9:$G$93,3,FALSE),IF(T245="DUCT",VLOOKUP(W245,'Catalogue Aluminium'!$B$9:$G$93,4,FALSE),IF(T245="TRENCH",VLOOKUP(W245,'Catalogue Aluminium'!$B$9:$G$93,2,FALSE)))))</f>
        <v>38</v>
      </c>
      <c r="AA245" s="345">
        <f>VLOOKUP(W245,'Catalogue Aluminium'!$B$9:$G$93,5,FALSE)</f>
        <v>5.9</v>
      </c>
      <c r="AB245" s="345">
        <f>VLOOKUP(W245,'Catalogue Aluminium'!$B$9:$G$93,6,FALSE)</f>
        <v>9.4700000000000006E-2</v>
      </c>
      <c r="AC245" s="343">
        <f t="shared" si="1667"/>
        <v>51</v>
      </c>
      <c r="AD245" s="343">
        <v>0</v>
      </c>
      <c r="AE245" s="343">
        <v>10</v>
      </c>
      <c r="AF245" s="343">
        <v>5</v>
      </c>
      <c r="AG245" s="343">
        <f t="shared" si="1730"/>
        <v>7</v>
      </c>
      <c r="AH245" s="347">
        <f t="shared" si="1632"/>
        <v>73</v>
      </c>
      <c r="AI245" s="344">
        <f>IF(T245="AIR",'Catalogue Aluminium'!$K$9,IF(T245="TRENCH",'Catalogue Aluminium'!$K$12,"NA"))</f>
        <v>0.89</v>
      </c>
      <c r="AJ245" s="342">
        <f>IF(T245="Air",(IF(U245="1C",'Catalogue Aluminium'!$L$9,'Catalogue Aluminium'!$M$9)),IF(T245="DUCT",(IF($U245="1C",'Catalogue Aluminium'!$L$10,'Catalogue Aluminium'!$M$10)),IF(T245="GROUND",(IF($U245="1C",'Catalogue Aluminium'!$L$11,'Catalogue Aluminium'!$M$11)),IF(T245="TRENCH",(IF($U245="1C",'Catalogue Aluminium'!$L$12,'Catalogue Aluminium'!$M$12))))))</f>
        <v>0.66</v>
      </c>
      <c r="AK245" s="344" t="str">
        <f>IF(T245="Air",'Catalogue Aluminium'!$N$9,IF(T245="GROUND",'Catalogue Aluminium'!$N$10,IF(T245="DUCT",'Catalogue Aluminium'!$N$11,IF(T245="TRENCH",'Catalogue Aluminium'!$N$12,"NA"))))</f>
        <v>NA</v>
      </c>
      <c r="AL245" s="344" t="str">
        <f>IF(T245="Air",(IF(U245="1C",'Catalogue Aluminium'!$O$9,'Catalogue Aluminium'!$P$9)),IF(T245="DUCT",(IF($U245="1C",'Catalogue Aluminium'!$O$10,'Catalogue Aluminium'!$P$10)),IF(T245="GROUND",(IF($U245="1C",'Catalogue Aluminium'!$O$11,'Catalogue Aluminium'!$P$11)),IF(T245="TRENCH",(IF($U245="1C",'Catalogue Aluminium'!$O$12,'Catalogue Aluminium'!$P$12))))))</f>
        <v>NA</v>
      </c>
      <c r="AM245" s="344" t="str">
        <f>IF(T245="AIR","NA",IF(T245="TRENCH","NA",IF(T245="DUCT",IF(U245="1C",VLOOKUP(V245,'Catalogue Aluminium'!$Q$9:$S$28,2,FALSE),VLOOKUP(V245,'Catalogue Aluminium'!$Q$9:$S$28,3)),IF(T245="GROUND",IF(U245="1C",VLOOKUP(V245,'Catalogue Aluminium'!$Q$9:$S$28,2,FALSE),VLOOKUP(V245,'Catalogue Aluminium'!$Q$9:$S$28,3))))))</f>
        <v>NA</v>
      </c>
      <c r="AN245" s="351">
        <f t="shared" si="1633"/>
        <v>0.58740000000000003</v>
      </c>
      <c r="AO245" s="350">
        <f t="shared" si="1634"/>
        <v>22.321200000000001</v>
      </c>
      <c r="AP245" s="349">
        <f t="shared" si="1635"/>
        <v>1</v>
      </c>
      <c r="AQ245" s="350" t="str">
        <f t="shared" si="1636"/>
        <v>YES</v>
      </c>
      <c r="AR245" s="351">
        <f t="shared" si="1731"/>
        <v>0.70041679394337275</v>
      </c>
      <c r="AS245" s="343" t="str">
        <f t="shared" si="1732"/>
        <v>YES</v>
      </c>
      <c r="AT245" s="351" t="str">
        <f t="shared" si="1658"/>
        <v>NA</v>
      </c>
      <c r="AU245" s="343" t="str">
        <f t="shared" si="1637"/>
        <v>NA</v>
      </c>
      <c r="AV245" s="354" t="str">
        <f t="shared" si="1638"/>
        <v>1R x 0.6/1kV x 4C x 4 Sqmm</v>
      </c>
      <c r="AW245" s="354" t="str">
        <f t="shared" si="1639"/>
        <v>1R x 0.6/1kV x 4C x 4 Sqmm</v>
      </c>
      <c r="AX245" s="343">
        <f t="shared" si="1659"/>
        <v>73</v>
      </c>
      <c r="AY245" s="355"/>
      <c r="AZ245" s="355">
        <f t="shared" si="1660"/>
        <v>2</v>
      </c>
      <c r="BA245" s="356" t="str">
        <f t="shared" si="1640"/>
        <v/>
      </c>
      <c r="BB245" s="501">
        <f>VLOOKUP(W245,'Catalogue Aluminium'!$B$9:$H$93,7,FALSE)</f>
        <v>16</v>
      </c>
      <c r="BC245" s="328">
        <f t="shared" si="1661"/>
        <v>16</v>
      </c>
      <c r="BE245" s="336"/>
      <c r="BF245" s="336"/>
      <c r="BG245" s="336"/>
      <c r="BH245" s="336"/>
      <c r="BI245" s="336"/>
      <c r="BJ245" s="336"/>
      <c r="BK245" s="336"/>
      <c r="BL245" s="336"/>
      <c r="BM245" s="336"/>
      <c r="BN245" s="336"/>
      <c r="BO245" s="336"/>
      <c r="BP245" s="336"/>
      <c r="BQ245" s="336"/>
      <c r="BR245" s="336"/>
      <c r="BS245" s="336"/>
      <c r="BT245" s="336"/>
      <c r="BU245" s="336"/>
      <c r="BV245" s="336"/>
      <c r="BW245" s="336"/>
      <c r="BX245" s="336"/>
      <c r="BY245" s="336"/>
      <c r="BZ245" s="336"/>
      <c r="CA245" s="336"/>
      <c r="CB245" s="336"/>
      <c r="CC245" s="336"/>
      <c r="CD245" s="336"/>
      <c r="CE245" s="336"/>
      <c r="CF245" s="336"/>
      <c r="CG245" s="336"/>
      <c r="CH245" s="336"/>
      <c r="CI245" s="336"/>
      <c r="CJ245" s="336"/>
      <c r="CK245" s="336"/>
      <c r="CL245" s="336"/>
      <c r="CM245" s="336"/>
      <c r="CN245" s="336"/>
      <c r="CO245" s="336"/>
      <c r="CP245" s="336"/>
      <c r="CQ245" s="336"/>
      <c r="CR245" s="336"/>
      <c r="CS245" s="336"/>
      <c r="CT245" s="336"/>
      <c r="CU245" s="336"/>
      <c r="CV245" s="336"/>
      <c r="CW245" s="336"/>
      <c r="CX245" s="336"/>
      <c r="CY245" s="336"/>
      <c r="CZ245" s="336"/>
      <c r="DA245" s="336"/>
      <c r="DB245" s="336"/>
      <c r="DC245" s="336"/>
      <c r="DD245" s="336"/>
      <c r="DE245" s="336"/>
      <c r="DF245" s="336"/>
      <c r="DG245" s="336"/>
      <c r="DH245" s="336"/>
      <c r="DI245" s="336"/>
      <c r="DJ245" s="336"/>
      <c r="DK245" s="336"/>
      <c r="DL245" s="336"/>
      <c r="DM245" s="336"/>
      <c r="DN245" s="336"/>
      <c r="DO245" s="336"/>
      <c r="DP245" s="336"/>
      <c r="DQ245" s="336"/>
      <c r="DR245" s="336"/>
      <c r="DS245" s="336"/>
      <c r="DT245" s="336"/>
      <c r="DU245" s="336"/>
      <c r="DW245" s="336">
        <f t="shared" ref="DW245:DW281" si="1733">IF(BE245=1,($BC245*BE245),0)</f>
        <v>0</v>
      </c>
      <c r="DX245" s="336">
        <f t="shared" si="1668"/>
        <v>0</v>
      </c>
      <c r="DY245" s="336">
        <f t="shared" si="1669"/>
        <v>0</v>
      </c>
      <c r="DZ245" s="336">
        <f t="shared" si="1670"/>
        <v>0</v>
      </c>
      <c r="EA245" s="336">
        <f t="shared" si="1671"/>
        <v>0</v>
      </c>
      <c r="EB245" s="336">
        <f t="shared" si="1672"/>
        <v>0</v>
      </c>
      <c r="EC245" s="336">
        <f t="shared" si="1673"/>
        <v>0</v>
      </c>
      <c r="ED245" s="336">
        <f t="shared" si="1674"/>
        <v>0</v>
      </c>
      <c r="EE245" s="336">
        <f t="shared" si="1675"/>
        <v>0</v>
      </c>
      <c r="EF245" s="336">
        <f t="shared" si="1676"/>
        <v>0</v>
      </c>
      <c r="EG245" s="336">
        <f t="shared" si="1677"/>
        <v>0</v>
      </c>
      <c r="EH245" s="336">
        <f t="shared" si="1678"/>
        <v>0</v>
      </c>
      <c r="EI245" s="336">
        <f t="shared" si="1679"/>
        <v>0</v>
      </c>
      <c r="EJ245" s="336">
        <f t="shared" si="1680"/>
        <v>0</v>
      </c>
      <c r="EK245" s="336">
        <f t="shared" si="1681"/>
        <v>0</v>
      </c>
      <c r="EL245" s="336">
        <f t="shared" si="1682"/>
        <v>0</v>
      </c>
      <c r="EM245" s="336">
        <f t="shared" si="1683"/>
        <v>0</v>
      </c>
      <c r="EN245" s="336">
        <f t="shared" si="1684"/>
        <v>0</v>
      </c>
      <c r="EO245" s="336">
        <f t="shared" si="1685"/>
        <v>0</v>
      </c>
      <c r="EP245" s="336">
        <f t="shared" si="1686"/>
        <v>0</v>
      </c>
      <c r="EQ245" s="336">
        <f t="shared" si="1687"/>
        <v>0</v>
      </c>
      <c r="ER245" s="336">
        <f t="shared" si="1688"/>
        <v>0</v>
      </c>
      <c r="ES245" s="336">
        <f t="shared" si="1689"/>
        <v>0</v>
      </c>
      <c r="ET245" s="336">
        <f t="shared" si="1689"/>
        <v>0</v>
      </c>
      <c r="EU245" s="336">
        <f t="shared" si="1690"/>
        <v>0</v>
      </c>
      <c r="EV245" s="336">
        <f t="shared" si="1691"/>
        <v>0</v>
      </c>
      <c r="EW245" s="336">
        <f t="shared" si="1692"/>
        <v>0</v>
      </c>
      <c r="EX245" s="336">
        <f t="shared" si="1693"/>
        <v>0</v>
      </c>
      <c r="EY245" s="336">
        <f t="shared" si="1694"/>
        <v>0</v>
      </c>
      <c r="EZ245" s="336">
        <f t="shared" si="1695"/>
        <v>0</v>
      </c>
      <c r="FA245" s="336">
        <f t="shared" si="1696"/>
        <v>0</v>
      </c>
      <c r="FB245" s="336">
        <f t="shared" si="1697"/>
        <v>0</v>
      </c>
      <c r="FC245" s="336">
        <f t="shared" si="1698"/>
        <v>0</v>
      </c>
      <c r="FD245" s="336">
        <f t="shared" si="1699"/>
        <v>0</v>
      </c>
      <c r="FE245" s="336">
        <f t="shared" si="1700"/>
        <v>0</v>
      </c>
      <c r="FF245" s="336">
        <f t="shared" si="1701"/>
        <v>0</v>
      </c>
      <c r="FG245" s="336">
        <f t="shared" si="1702"/>
        <v>0</v>
      </c>
      <c r="FH245" s="336">
        <f t="shared" si="1703"/>
        <v>0</v>
      </c>
      <c r="FI245" s="336">
        <f t="shared" si="1704"/>
        <v>0</v>
      </c>
      <c r="FJ245" s="336">
        <f t="shared" si="1705"/>
        <v>0</v>
      </c>
      <c r="FK245" s="336">
        <f t="shared" si="1706"/>
        <v>0</v>
      </c>
      <c r="FL245" s="336">
        <f t="shared" si="1707"/>
        <v>0</v>
      </c>
      <c r="FM245" s="336">
        <f t="shared" si="1708"/>
        <v>0</v>
      </c>
      <c r="FN245" s="336">
        <f t="shared" si="1709"/>
        <v>0</v>
      </c>
      <c r="FO245" s="336">
        <f t="shared" si="1710"/>
        <v>0</v>
      </c>
      <c r="FP245" s="336">
        <f t="shared" si="1711"/>
        <v>0</v>
      </c>
      <c r="FQ245" s="336">
        <f t="shared" si="1712"/>
        <v>0</v>
      </c>
      <c r="FR245" s="336">
        <f t="shared" si="1713"/>
        <v>0</v>
      </c>
      <c r="FS245" s="336">
        <f t="shared" si="1714"/>
        <v>0</v>
      </c>
      <c r="FT245" s="336">
        <f t="shared" si="1715"/>
        <v>0</v>
      </c>
      <c r="FU245" s="336">
        <f t="shared" si="1662"/>
        <v>0</v>
      </c>
      <c r="FV245" s="336">
        <f t="shared" si="1663"/>
        <v>0</v>
      </c>
      <c r="FW245" s="336">
        <f t="shared" si="1664"/>
        <v>0</v>
      </c>
      <c r="FX245" s="336">
        <f t="shared" si="1665"/>
        <v>0</v>
      </c>
      <c r="FY245" s="336">
        <f t="shared" si="1716"/>
        <v>0</v>
      </c>
      <c r="FZ245" s="336">
        <f t="shared" si="1717"/>
        <v>0</v>
      </c>
      <c r="GA245" s="336">
        <f t="shared" si="1718"/>
        <v>0</v>
      </c>
      <c r="GB245" s="336">
        <f t="shared" si="1719"/>
        <v>0</v>
      </c>
      <c r="GC245" s="336">
        <f t="shared" si="1720"/>
        <v>0</v>
      </c>
      <c r="GD245" s="336">
        <f t="shared" si="1721"/>
        <v>0</v>
      </c>
      <c r="GE245" s="336">
        <f t="shared" si="1722"/>
        <v>0</v>
      </c>
      <c r="GF245" s="336">
        <f t="shared" si="1723"/>
        <v>0</v>
      </c>
      <c r="GG245" s="336">
        <f t="shared" si="1724"/>
        <v>0</v>
      </c>
      <c r="GH245" s="336">
        <f t="shared" si="1725"/>
        <v>0</v>
      </c>
      <c r="GI245" s="336">
        <f t="shared" si="1726"/>
        <v>0</v>
      </c>
      <c r="GJ245" s="336">
        <f t="shared" si="1727"/>
        <v>0</v>
      </c>
      <c r="GK245" s="336">
        <f t="shared" si="1728"/>
        <v>0</v>
      </c>
      <c r="GL245" s="336">
        <f t="shared" si="1666"/>
        <v>0</v>
      </c>
      <c r="GM245" s="336">
        <f t="shared" si="1729"/>
        <v>0</v>
      </c>
    </row>
    <row r="246" spans="1:195" ht="27.75" customHeight="1">
      <c r="A246" s="337">
        <f t="shared" si="1643"/>
        <v>197</v>
      </c>
      <c r="B246" s="453"/>
      <c r="C246" s="372" t="str">
        <f t="shared" si="1641"/>
        <v xml:space="preserve">STORES HVAC DB </v>
      </c>
      <c r="D246" s="444" t="s">
        <v>1393</v>
      </c>
      <c r="E246" s="567" t="s">
        <v>1188</v>
      </c>
      <c r="F246" s="444"/>
      <c r="G246" s="337" t="s">
        <v>329</v>
      </c>
      <c r="H246" s="583">
        <v>2.2000000000000002</v>
      </c>
      <c r="I246" s="337" t="s">
        <v>330</v>
      </c>
      <c r="J246" s="349" t="s">
        <v>331</v>
      </c>
      <c r="K246" s="349">
        <v>400</v>
      </c>
      <c r="L246" s="343">
        <v>0.95</v>
      </c>
      <c r="M246" s="350">
        <v>0.85</v>
      </c>
      <c r="N246" s="342">
        <f t="shared" si="1596"/>
        <v>3.9325320501362091</v>
      </c>
      <c r="O246" s="342">
        <f t="shared" si="1630"/>
        <v>0</v>
      </c>
      <c r="P246" s="343" t="str">
        <f t="shared" si="1598"/>
        <v>0.00</v>
      </c>
      <c r="Q246" s="350">
        <v>65</v>
      </c>
      <c r="R246" s="350">
        <v>0</v>
      </c>
      <c r="S246" s="350">
        <f t="shared" si="1582"/>
        <v>0</v>
      </c>
      <c r="T246" s="343" t="s">
        <v>131</v>
      </c>
      <c r="U246" s="350" t="s">
        <v>522</v>
      </c>
      <c r="V246" s="343">
        <v>4</v>
      </c>
      <c r="W246" s="343" t="str">
        <f t="shared" si="1583"/>
        <v>4C X 4</v>
      </c>
      <c r="X246" s="343" t="str">
        <f t="shared" si="1631"/>
        <v>4C X 4</v>
      </c>
      <c r="Y246" s="343" t="s">
        <v>358</v>
      </c>
      <c r="Z246" s="344">
        <f>IF(T246="AIR",VLOOKUP(W246,'Catalogue Aluminium'!$B$9:$G$93,2,FALSE),IF(T246="GROUND",VLOOKUP(W246,'Catalogue Aluminium'!$B$9:$G$93,3,FALSE),IF(T246="DUCT",VLOOKUP(W246,'Catalogue Aluminium'!$B$9:$G$93,4,FALSE),IF(T246="TRENCH",VLOOKUP(W246,'Catalogue Aluminium'!$B$9:$G$93,2,FALSE)))))</f>
        <v>38</v>
      </c>
      <c r="AA246" s="345">
        <f>VLOOKUP(W246,'Catalogue Aluminium'!$B$9:$G$93,5,FALSE)</f>
        <v>5.9</v>
      </c>
      <c r="AB246" s="345">
        <f>VLOOKUP(W246,'Catalogue Aluminium'!$B$9:$G$93,6,FALSE)</f>
        <v>9.4700000000000006E-2</v>
      </c>
      <c r="AC246" s="343">
        <f t="shared" si="1667"/>
        <v>51</v>
      </c>
      <c r="AD246" s="343">
        <v>0</v>
      </c>
      <c r="AE246" s="343">
        <v>10</v>
      </c>
      <c r="AF246" s="343">
        <v>5</v>
      </c>
      <c r="AG246" s="343">
        <f t="shared" si="1730"/>
        <v>7</v>
      </c>
      <c r="AH246" s="347">
        <f t="shared" si="1632"/>
        <v>73</v>
      </c>
      <c r="AI246" s="344">
        <f>IF(T246="AIR",'Catalogue Aluminium'!$K$9,IF(T246="TRENCH",'Catalogue Aluminium'!$K$12,"NA"))</f>
        <v>0.89</v>
      </c>
      <c r="AJ246" s="342">
        <f>IF(T246="Air",(IF(U246="1C",'Catalogue Aluminium'!$L$9,'Catalogue Aluminium'!$M$9)),IF(T246="DUCT",(IF($U246="1C",'Catalogue Aluminium'!$L$10,'Catalogue Aluminium'!$M$10)),IF(T246="GROUND",(IF($U246="1C",'Catalogue Aluminium'!$L$11,'Catalogue Aluminium'!$M$11)),IF(T246="TRENCH",(IF($U246="1C",'Catalogue Aluminium'!$L$12,'Catalogue Aluminium'!$M$12))))))</f>
        <v>0.66</v>
      </c>
      <c r="AK246" s="344" t="str">
        <f>IF(T246="Air",'Catalogue Aluminium'!$N$9,IF(T246="GROUND",'Catalogue Aluminium'!$N$10,IF(T246="DUCT",'Catalogue Aluminium'!$N$11,IF(T246="TRENCH",'Catalogue Aluminium'!$N$12,"NA"))))</f>
        <v>NA</v>
      </c>
      <c r="AL246" s="344" t="str">
        <f>IF(T246="Air",(IF(U246="1C",'Catalogue Aluminium'!$O$9,'Catalogue Aluminium'!$P$9)),IF(T246="DUCT",(IF($U246="1C",'Catalogue Aluminium'!$O$10,'Catalogue Aluminium'!$P$10)),IF(T246="GROUND",(IF($U246="1C",'Catalogue Aluminium'!$O$11,'Catalogue Aluminium'!$P$11)),IF(T246="TRENCH",(IF($U246="1C",'Catalogue Aluminium'!$O$12,'Catalogue Aluminium'!$P$12))))))</f>
        <v>NA</v>
      </c>
      <c r="AM246" s="344" t="str">
        <f>IF(T246="AIR","NA",IF(T246="TRENCH","NA",IF(T246="DUCT",IF(U246="1C",VLOOKUP(V246,'Catalogue Aluminium'!$Q$9:$S$28,2,FALSE),VLOOKUP(V246,'Catalogue Aluminium'!$Q$9:$S$28,3)),IF(T246="GROUND",IF(U246="1C",VLOOKUP(V246,'Catalogue Aluminium'!$Q$9:$S$28,2,FALSE),VLOOKUP(V246,'Catalogue Aluminium'!$Q$9:$S$28,3))))))</f>
        <v>NA</v>
      </c>
      <c r="AN246" s="351">
        <f t="shared" si="1633"/>
        <v>0.58740000000000003</v>
      </c>
      <c r="AO246" s="350">
        <f t="shared" si="1634"/>
        <v>22.321200000000001</v>
      </c>
      <c r="AP246" s="349">
        <f t="shared" si="1635"/>
        <v>1</v>
      </c>
      <c r="AQ246" s="350" t="str">
        <f t="shared" si="1636"/>
        <v>YES</v>
      </c>
      <c r="AR246" s="351">
        <f t="shared" si="1731"/>
        <v>0.70041679394337275</v>
      </c>
      <c r="AS246" s="343" t="str">
        <f t="shared" si="1732"/>
        <v>YES</v>
      </c>
      <c r="AT246" s="351" t="str">
        <f t="shared" si="1658"/>
        <v>NA</v>
      </c>
      <c r="AU246" s="343" t="str">
        <f t="shared" si="1637"/>
        <v>NA</v>
      </c>
      <c r="AV246" s="354" t="str">
        <f t="shared" si="1638"/>
        <v>1R x 0.6/1kV x 4C x 4 Sqmm</v>
      </c>
      <c r="AW246" s="354" t="str">
        <f t="shared" si="1639"/>
        <v>1R x 0.6/1kV x 4C x 4 Sqmm</v>
      </c>
      <c r="AX246" s="343">
        <f t="shared" si="1659"/>
        <v>73</v>
      </c>
      <c r="AY246" s="355"/>
      <c r="AZ246" s="355">
        <f t="shared" si="1660"/>
        <v>2</v>
      </c>
      <c r="BA246" s="356" t="str">
        <f t="shared" si="1640"/>
        <v/>
      </c>
      <c r="BB246" s="501">
        <f>VLOOKUP(W246,'Catalogue Aluminium'!$B$9:$H$93,7,FALSE)</f>
        <v>16</v>
      </c>
      <c r="BC246" s="328">
        <f t="shared" si="1661"/>
        <v>16</v>
      </c>
      <c r="BE246" s="336"/>
      <c r="BF246" s="336"/>
      <c r="BG246" s="336"/>
      <c r="BH246" s="336"/>
      <c r="BI246" s="336"/>
      <c r="BJ246" s="336"/>
      <c r="BK246" s="336"/>
      <c r="BL246" s="336"/>
      <c r="BM246" s="336"/>
      <c r="BN246" s="336"/>
      <c r="BO246" s="336"/>
      <c r="BP246" s="336"/>
      <c r="BQ246" s="336"/>
      <c r="BR246" s="336"/>
      <c r="BS246" s="336"/>
      <c r="BT246" s="336"/>
      <c r="BU246" s="336"/>
      <c r="BV246" s="336"/>
      <c r="BW246" s="336"/>
      <c r="BX246" s="336"/>
      <c r="BY246" s="336"/>
      <c r="BZ246" s="336"/>
      <c r="CA246" s="336"/>
      <c r="CB246" s="336"/>
      <c r="CC246" s="336"/>
      <c r="CD246" s="336"/>
      <c r="CE246" s="336"/>
      <c r="CF246" s="336"/>
      <c r="CG246" s="336"/>
      <c r="CH246" s="336"/>
      <c r="CI246" s="336"/>
      <c r="CJ246" s="336"/>
      <c r="CK246" s="336"/>
      <c r="CL246" s="336"/>
      <c r="CM246" s="336"/>
      <c r="CN246" s="336"/>
      <c r="CO246" s="336"/>
      <c r="CP246" s="336"/>
      <c r="CQ246" s="336"/>
      <c r="CR246" s="336"/>
      <c r="CS246" s="336"/>
      <c r="CT246" s="336"/>
      <c r="CU246" s="336"/>
      <c r="CV246" s="336"/>
      <c r="CW246" s="336"/>
      <c r="CX246" s="336"/>
      <c r="CY246" s="336"/>
      <c r="CZ246" s="336"/>
      <c r="DA246" s="336"/>
      <c r="DB246" s="336"/>
      <c r="DC246" s="336"/>
      <c r="DD246" s="336"/>
      <c r="DE246" s="336"/>
      <c r="DF246" s="336"/>
      <c r="DG246" s="336"/>
      <c r="DH246" s="336"/>
      <c r="DI246" s="336"/>
      <c r="DJ246" s="336"/>
      <c r="DK246" s="336"/>
      <c r="DL246" s="336"/>
      <c r="DM246" s="336"/>
      <c r="DN246" s="336"/>
      <c r="DO246" s="336"/>
      <c r="DP246" s="336"/>
      <c r="DQ246" s="336"/>
      <c r="DR246" s="336"/>
      <c r="DS246" s="336"/>
      <c r="DT246" s="336"/>
      <c r="DU246" s="336"/>
      <c r="DW246" s="336">
        <f t="shared" si="1733"/>
        <v>0</v>
      </c>
      <c r="DX246" s="336">
        <f t="shared" si="1668"/>
        <v>0</v>
      </c>
      <c r="DY246" s="336">
        <f t="shared" si="1669"/>
        <v>0</v>
      </c>
      <c r="DZ246" s="336">
        <f t="shared" si="1670"/>
        <v>0</v>
      </c>
      <c r="EA246" s="336">
        <f t="shared" si="1671"/>
        <v>0</v>
      </c>
      <c r="EB246" s="336">
        <f t="shared" si="1672"/>
        <v>0</v>
      </c>
      <c r="EC246" s="336">
        <f t="shared" si="1673"/>
        <v>0</v>
      </c>
      <c r="ED246" s="336">
        <f t="shared" si="1674"/>
        <v>0</v>
      </c>
      <c r="EE246" s="336">
        <f t="shared" si="1675"/>
        <v>0</v>
      </c>
      <c r="EF246" s="336">
        <f t="shared" si="1676"/>
        <v>0</v>
      </c>
      <c r="EG246" s="336">
        <f t="shared" si="1677"/>
        <v>0</v>
      </c>
      <c r="EH246" s="336">
        <f t="shared" si="1678"/>
        <v>0</v>
      </c>
      <c r="EI246" s="336">
        <f t="shared" si="1679"/>
        <v>0</v>
      </c>
      <c r="EJ246" s="336">
        <f t="shared" si="1680"/>
        <v>0</v>
      </c>
      <c r="EK246" s="336">
        <f t="shared" si="1681"/>
        <v>0</v>
      </c>
      <c r="EL246" s="336">
        <f t="shared" si="1682"/>
        <v>0</v>
      </c>
      <c r="EM246" s="336">
        <f t="shared" si="1683"/>
        <v>0</v>
      </c>
      <c r="EN246" s="336">
        <f t="shared" si="1684"/>
        <v>0</v>
      </c>
      <c r="EO246" s="336">
        <f t="shared" si="1685"/>
        <v>0</v>
      </c>
      <c r="EP246" s="336">
        <f t="shared" si="1686"/>
        <v>0</v>
      </c>
      <c r="EQ246" s="336">
        <f t="shared" si="1687"/>
        <v>0</v>
      </c>
      <c r="ER246" s="336">
        <f t="shared" si="1688"/>
        <v>0</v>
      </c>
      <c r="ES246" s="336">
        <f t="shared" si="1689"/>
        <v>0</v>
      </c>
      <c r="ET246" s="336">
        <f t="shared" si="1689"/>
        <v>0</v>
      </c>
      <c r="EU246" s="336">
        <f t="shared" si="1690"/>
        <v>0</v>
      </c>
      <c r="EV246" s="336">
        <f t="shared" si="1691"/>
        <v>0</v>
      </c>
      <c r="EW246" s="336">
        <f t="shared" si="1692"/>
        <v>0</v>
      </c>
      <c r="EX246" s="336">
        <f t="shared" si="1693"/>
        <v>0</v>
      </c>
      <c r="EY246" s="336">
        <f t="shared" si="1694"/>
        <v>0</v>
      </c>
      <c r="EZ246" s="336">
        <f t="shared" si="1695"/>
        <v>0</v>
      </c>
      <c r="FA246" s="336">
        <f t="shared" si="1696"/>
        <v>0</v>
      </c>
      <c r="FB246" s="336">
        <f t="shared" si="1697"/>
        <v>0</v>
      </c>
      <c r="FC246" s="336">
        <f t="shared" si="1698"/>
        <v>0</v>
      </c>
      <c r="FD246" s="336">
        <f t="shared" si="1699"/>
        <v>0</v>
      </c>
      <c r="FE246" s="336">
        <f t="shared" si="1700"/>
        <v>0</v>
      </c>
      <c r="FF246" s="336">
        <f t="shared" si="1701"/>
        <v>0</v>
      </c>
      <c r="FG246" s="336">
        <f t="shared" si="1702"/>
        <v>0</v>
      </c>
      <c r="FH246" s="336">
        <f t="shared" si="1703"/>
        <v>0</v>
      </c>
      <c r="FI246" s="336">
        <f t="shared" si="1704"/>
        <v>0</v>
      </c>
      <c r="FJ246" s="336">
        <f t="shared" si="1705"/>
        <v>0</v>
      </c>
      <c r="FK246" s="336">
        <f t="shared" si="1706"/>
        <v>0</v>
      </c>
      <c r="FL246" s="336">
        <f t="shared" si="1707"/>
        <v>0</v>
      </c>
      <c r="FM246" s="336">
        <f t="shared" si="1708"/>
        <v>0</v>
      </c>
      <c r="FN246" s="336">
        <f t="shared" si="1709"/>
        <v>0</v>
      </c>
      <c r="FO246" s="336">
        <f t="shared" si="1710"/>
        <v>0</v>
      </c>
      <c r="FP246" s="336">
        <f t="shared" si="1711"/>
        <v>0</v>
      </c>
      <c r="FQ246" s="336">
        <f t="shared" si="1712"/>
        <v>0</v>
      </c>
      <c r="FR246" s="336">
        <f t="shared" si="1713"/>
        <v>0</v>
      </c>
      <c r="FS246" s="336">
        <f t="shared" si="1714"/>
        <v>0</v>
      </c>
      <c r="FT246" s="336">
        <f t="shared" si="1715"/>
        <v>0</v>
      </c>
      <c r="FU246" s="336">
        <f t="shared" si="1662"/>
        <v>0</v>
      </c>
      <c r="FV246" s="336">
        <f t="shared" si="1663"/>
        <v>0</v>
      </c>
      <c r="FW246" s="336">
        <f t="shared" si="1664"/>
        <v>0</v>
      </c>
      <c r="FX246" s="336">
        <f t="shared" si="1665"/>
        <v>0</v>
      </c>
      <c r="FY246" s="336">
        <f t="shared" si="1716"/>
        <v>0</v>
      </c>
      <c r="FZ246" s="336">
        <f t="shared" si="1717"/>
        <v>0</v>
      </c>
      <c r="GA246" s="336">
        <f t="shared" si="1718"/>
        <v>0</v>
      </c>
      <c r="GB246" s="336">
        <f t="shared" si="1719"/>
        <v>0</v>
      </c>
      <c r="GC246" s="336">
        <f t="shared" si="1720"/>
        <v>0</v>
      </c>
      <c r="GD246" s="336">
        <f t="shared" si="1721"/>
        <v>0</v>
      </c>
      <c r="GE246" s="336">
        <f t="shared" si="1722"/>
        <v>0</v>
      </c>
      <c r="GF246" s="336">
        <f t="shared" si="1723"/>
        <v>0</v>
      </c>
      <c r="GG246" s="336">
        <f t="shared" si="1724"/>
        <v>0</v>
      </c>
      <c r="GH246" s="336">
        <f t="shared" si="1725"/>
        <v>0</v>
      </c>
      <c r="GI246" s="336">
        <f t="shared" si="1726"/>
        <v>0</v>
      </c>
      <c r="GJ246" s="336">
        <f t="shared" si="1727"/>
        <v>0</v>
      </c>
      <c r="GK246" s="336">
        <f t="shared" si="1728"/>
        <v>0</v>
      </c>
      <c r="GL246" s="336">
        <f t="shared" si="1666"/>
        <v>0</v>
      </c>
      <c r="GM246" s="336">
        <f t="shared" si="1729"/>
        <v>0</v>
      </c>
    </row>
    <row r="247" spans="1:195" s="83" customFormat="1" ht="27.75" hidden="1" customHeight="1">
      <c r="A247" s="357" t="s">
        <v>334</v>
      </c>
      <c r="B247" s="421"/>
      <c r="C247" s="395" t="str">
        <f t="shared" si="1641"/>
        <v xml:space="preserve">STORES HVAC DB </v>
      </c>
      <c r="D247" s="565" t="s">
        <v>1394</v>
      </c>
      <c r="E247" s="783" t="s">
        <v>1188</v>
      </c>
      <c r="F247" s="565"/>
      <c r="G247" s="357" t="s">
        <v>329</v>
      </c>
      <c r="H247" s="352"/>
      <c r="I247" s="357" t="s">
        <v>330</v>
      </c>
      <c r="J247" s="353" t="s">
        <v>357</v>
      </c>
      <c r="K247" s="353">
        <v>230</v>
      </c>
      <c r="L247" s="360">
        <v>0.95</v>
      </c>
      <c r="M247" s="352">
        <v>0.85</v>
      </c>
      <c r="N247" s="359">
        <f t="shared" si="1596"/>
        <v>0</v>
      </c>
      <c r="O247" s="359">
        <f t="shared" si="1630"/>
        <v>0</v>
      </c>
      <c r="P247" s="360" t="str">
        <f t="shared" si="1598"/>
        <v>0.00</v>
      </c>
      <c r="Q247" s="352">
        <v>65</v>
      </c>
      <c r="R247" s="352">
        <v>0</v>
      </c>
      <c r="S247" s="352">
        <f t="shared" si="1582"/>
        <v>0</v>
      </c>
      <c r="T247" s="360" t="s">
        <v>131</v>
      </c>
      <c r="U247" s="352" t="s">
        <v>333</v>
      </c>
      <c r="V247" s="360">
        <v>4</v>
      </c>
      <c r="W247" s="360" t="str">
        <f t="shared" si="1583"/>
        <v>3C X 4</v>
      </c>
      <c r="X247" s="360" t="str">
        <f t="shared" si="1631"/>
        <v>3C X 4</v>
      </c>
      <c r="Y247" s="360" t="s">
        <v>358</v>
      </c>
      <c r="Z247" s="361">
        <f>IF(T247="AIR",VLOOKUP(W247,'Catalogue Aluminium'!$B$9:$G$93,2,FALSE),IF(T247="GROUND",VLOOKUP(W247,'Catalogue Aluminium'!$B$9:$G$93,3,FALSE),IF(T247="DUCT",VLOOKUP(W247,'Catalogue Aluminium'!$B$9:$G$93,4,FALSE),IF(T247="TRENCH",VLOOKUP(W247,'Catalogue Aluminium'!$B$9:$G$93,2,FALSE)))))</f>
        <v>38</v>
      </c>
      <c r="AA247" s="362">
        <f>VLOOKUP(W247,'Catalogue Aluminium'!$B$9:$G$93,5,FALSE)</f>
        <v>5.9</v>
      </c>
      <c r="AB247" s="362">
        <f>VLOOKUP(W247,'Catalogue Aluminium'!$B$9:$G$93,6,FALSE)</f>
        <v>9.4700000000000006E-2</v>
      </c>
      <c r="AC247" s="360">
        <f t="shared" si="1667"/>
        <v>51</v>
      </c>
      <c r="AD247" s="360">
        <v>0</v>
      </c>
      <c r="AE247" s="360">
        <v>10</v>
      </c>
      <c r="AF247" s="360">
        <v>5</v>
      </c>
      <c r="AG247" s="360">
        <f t="shared" si="1730"/>
        <v>7</v>
      </c>
      <c r="AH247" s="363"/>
      <c r="AI247" s="361">
        <f>IF(T247="AIR",'Catalogue Aluminium'!$K$9,IF(T247="TRENCH",'Catalogue Aluminium'!$K$12,"NA"))</f>
        <v>0.89</v>
      </c>
      <c r="AJ247" s="359">
        <f>IF(T247="Air",(IF(U247="1C",'Catalogue Aluminium'!$L$9,'Catalogue Aluminium'!$M$9)),IF(T247="DUCT",(IF($U247="1C",'Catalogue Aluminium'!$L$10,'Catalogue Aluminium'!$M$10)),IF(T247="GROUND",(IF($U247="1C",'Catalogue Aluminium'!$L$11,'Catalogue Aluminium'!$M$11)),IF(T247="TRENCH",(IF($U247="1C",'Catalogue Aluminium'!$L$12,'Catalogue Aluminium'!$M$12))))))</f>
        <v>0.66</v>
      </c>
      <c r="AK247" s="361" t="str">
        <f>IF(T247="Air",'Catalogue Aluminium'!$N$9,IF(T247="GROUND",'Catalogue Aluminium'!$N$10,IF(T247="DUCT",'Catalogue Aluminium'!$N$11,IF(T247="TRENCH",'Catalogue Aluminium'!$N$12,"NA"))))</f>
        <v>NA</v>
      </c>
      <c r="AL247" s="361" t="str">
        <f>IF(T247="Air",(IF(U247="1C",'Catalogue Aluminium'!$O$9,'Catalogue Aluminium'!$P$9)),IF(T247="DUCT",(IF($U247="1C",'Catalogue Aluminium'!$O$10,'Catalogue Aluminium'!$P$10)),IF(T247="GROUND",(IF($U247="1C",'Catalogue Aluminium'!$O$11,'Catalogue Aluminium'!$P$11)),IF(T247="TRENCH",(IF($U247="1C",'Catalogue Aluminium'!$O$12,'Catalogue Aluminium'!$P$12))))))</f>
        <v>NA</v>
      </c>
      <c r="AM247" s="361" t="str">
        <f>IF(T247="AIR","NA",IF(T247="TRENCH","NA",IF(T247="DUCT",IF(U247="1C",VLOOKUP(V247,'Catalogue Aluminium'!$Q$9:$S$28,2,FALSE),VLOOKUP(V247,'Catalogue Aluminium'!$Q$9:$S$28,3)),IF(T247="GROUND",IF(U247="1C",VLOOKUP(V247,'Catalogue Aluminium'!$Q$9:$S$28,2,FALSE),VLOOKUP(V247,'Catalogue Aluminium'!$Q$9:$S$28,3))))))</f>
        <v>NA</v>
      </c>
      <c r="AN247" s="365">
        <f t="shared" si="1633"/>
        <v>0.58740000000000003</v>
      </c>
      <c r="AO247" s="352">
        <f t="shared" si="1634"/>
        <v>22.321200000000001</v>
      </c>
      <c r="AP247" s="353">
        <f t="shared" si="1635"/>
        <v>0</v>
      </c>
      <c r="AQ247" s="352" t="str">
        <f t="shared" si="1636"/>
        <v>YES</v>
      </c>
      <c r="AR247" s="365" t="e">
        <f t="shared" si="1731"/>
        <v>#DIV/0!</v>
      </c>
      <c r="AS247" s="360" t="e">
        <f t="shared" si="1732"/>
        <v>#DIV/0!</v>
      </c>
      <c r="AT247" s="365" t="str">
        <f>IF(G247="MOTOR",(SQRT(3)*AH247*O247*((AA247*L247)+(AB247*SIN(ACOS(L247))))*100/(AP247*K247*1000)),"NA")</f>
        <v>NA</v>
      </c>
      <c r="AU247" s="360" t="str">
        <f t="shared" si="1637"/>
        <v>NA</v>
      </c>
      <c r="AV247" s="366" t="str">
        <f t="shared" si="1638"/>
        <v>0R x 0.6/1kV x 3C x 4 Sqmm</v>
      </c>
      <c r="AW247" s="366" t="str">
        <f t="shared" si="1639"/>
        <v>0R x 0.6/1kV x 3C x 4 Sqmm</v>
      </c>
      <c r="AX247" s="360"/>
      <c r="AY247" s="367"/>
      <c r="AZ247" s="367"/>
      <c r="BA247" s="751" t="str">
        <f t="shared" si="1640"/>
        <v/>
      </c>
      <c r="BB247" s="498"/>
      <c r="BC247" s="426"/>
      <c r="BE247" s="368"/>
      <c r="BF247" s="368"/>
      <c r="BG247" s="368"/>
      <c r="BH247" s="368"/>
      <c r="BI247" s="368"/>
      <c r="BJ247" s="368"/>
      <c r="BK247" s="368"/>
      <c r="BL247" s="368"/>
      <c r="BM247" s="368"/>
      <c r="BN247" s="368"/>
      <c r="BO247" s="368"/>
      <c r="BP247" s="368"/>
      <c r="BQ247" s="368"/>
      <c r="BR247" s="368"/>
      <c r="BS247" s="368"/>
      <c r="BT247" s="368"/>
      <c r="BU247" s="368"/>
      <c r="BV247" s="368"/>
      <c r="BW247" s="368"/>
      <c r="BX247" s="368"/>
      <c r="BY247" s="368"/>
      <c r="BZ247" s="368"/>
      <c r="CA247" s="368"/>
      <c r="CB247" s="368"/>
      <c r="CC247" s="368"/>
      <c r="CD247" s="368"/>
      <c r="CE247" s="368"/>
      <c r="CF247" s="368"/>
      <c r="CG247" s="368"/>
      <c r="CH247" s="368"/>
      <c r="CI247" s="368"/>
      <c r="CJ247" s="368"/>
      <c r="CK247" s="368"/>
      <c r="CL247" s="368"/>
      <c r="CM247" s="368"/>
      <c r="CN247" s="368"/>
      <c r="CO247" s="368"/>
      <c r="CP247" s="368"/>
      <c r="CQ247" s="368"/>
      <c r="CR247" s="368"/>
      <c r="CS247" s="368"/>
      <c r="CT247" s="368"/>
      <c r="CU247" s="368"/>
      <c r="CV247" s="368"/>
      <c r="CW247" s="368"/>
      <c r="CX247" s="368"/>
      <c r="CY247" s="368"/>
      <c r="CZ247" s="368"/>
      <c r="DA247" s="368"/>
      <c r="DB247" s="368"/>
      <c r="DC247" s="368"/>
      <c r="DD247" s="368"/>
      <c r="DE247" s="368"/>
      <c r="DF247" s="368"/>
      <c r="DG247" s="368"/>
      <c r="DH247" s="368"/>
      <c r="DI247" s="368"/>
      <c r="DJ247" s="368"/>
      <c r="DK247" s="368"/>
      <c r="DL247" s="368"/>
      <c r="DM247" s="368"/>
      <c r="DN247" s="368"/>
      <c r="DO247" s="368"/>
      <c r="DP247" s="368"/>
      <c r="DQ247" s="368"/>
      <c r="DR247" s="368"/>
      <c r="DS247" s="368"/>
      <c r="DT247" s="368"/>
      <c r="DU247" s="368"/>
      <c r="DW247" s="336">
        <f t="shared" si="1733"/>
        <v>0</v>
      </c>
      <c r="DX247" s="336">
        <f t="shared" si="1668"/>
        <v>0</v>
      </c>
      <c r="DY247" s="336">
        <f t="shared" si="1669"/>
        <v>0</v>
      </c>
      <c r="DZ247" s="336">
        <f t="shared" si="1670"/>
        <v>0</v>
      </c>
      <c r="EA247" s="336">
        <f t="shared" si="1671"/>
        <v>0</v>
      </c>
      <c r="EB247" s="336">
        <f t="shared" si="1672"/>
        <v>0</v>
      </c>
      <c r="EC247" s="336">
        <f t="shared" si="1673"/>
        <v>0</v>
      </c>
      <c r="ED247" s="336">
        <f t="shared" si="1674"/>
        <v>0</v>
      </c>
      <c r="EE247" s="336">
        <f t="shared" si="1675"/>
        <v>0</v>
      </c>
      <c r="EF247" s="336">
        <f t="shared" si="1676"/>
        <v>0</v>
      </c>
      <c r="EG247" s="336">
        <f t="shared" si="1677"/>
        <v>0</v>
      </c>
      <c r="EH247" s="336">
        <f t="shared" si="1678"/>
        <v>0</v>
      </c>
      <c r="EI247" s="336">
        <f t="shared" si="1679"/>
        <v>0</v>
      </c>
      <c r="EJ247" s="336">
        <f t="shared" si="1680"/>
        <v>0</v>
      </c>
      <c r="EK247" s="336">
        <f t="shared" si="1681"/>
        <v>0</v>
      </c>
      <c r="EL247" s="336">
        <f t="shared" si="1682"/>
        <v>0</v>
      </c>
      <c r="EM247" s="336">
        <f t="shared" si="1683"/>
        <v>0</v>
      </c>
      <c r="EN247" s="336">
        <f t="shared" si="1684"/>
        <v>0</v>
      </c>
      <c r="EO247" s="336">
        <f t="shared" si="1685"/>
        <v>0</v>
      </c>
      <c r="EP247" s="336">
        <f t="shared" si="1686"/>
        <v>0</v>
      </c>
      <c r="EQ247" s="336">
        <f t="shared" si="1687"/>
        <v>0</v>
      </c>
      <c r="ER247" s="336">
        <f t="shared" si="1688"/>
        <v>0</v>
      </c>
      <c r="ES247" s="336">
        <f t="shared" si="1689"/>
        <v>0</v>
      </c>
      <c r="ET247" s="336">
        <f t="shared" si="1689"/>
        <v>0</v>
      </c>
      <c r="EU247" s="336">
        <f t="shared" si="1690"/>
        <v>0</v>
      </c>
      <c r="EV247" s="336">
        <f t="shared" si="1691"/>
        <v>0</v>
      </c>
      <c r="EW247" s="336">
        <f t="shared" si="1692"/>
        <v>0</v>
      </c>
      <c r="EX247" s="336">
        <f t="shared" si="1693"/>
        <v>0</v>
      </c>
      <c r="EY247" s="336">
        <f t="shared" si="1694"/>
        <v>0</v>
      </c>
      <c r="EZ247" s="336">
        <f t="shared" si="1695"/>
        <v>0</v>
      </c>
      <c r="FA247" s="336">
        <f t="shared" si="1696"/>
        <v>0</v>
      </c>
      <c r="FB247" s="336">
        <f t="shared" si="1697"/>
        <v>0</v>
      </c>
      <c r="FC247" s="336">
        <f t="shared" si="1698"/>
        <v>0</v>
      </c>
      <c r="FD247" s="336">
        <f t="shared" si="1699"/>
        <v>0</v>
      </c>
      <c r="FE247" s="336">
        <f t="shared" si="1700"/>
        <v>0</v>
      </c>
      <c r="FF247" s="336">
        <f t="shared" si="1701"/>
        <v>0</v>
      </c>
      <c r="FG247" s="336">
        <f t="shared" si="1702"/>
        <v>0</v>
      </c>
      <c r="FH247" s="336">
        <f t="shared" si="1703"/>
        <v>0</v>
      </c>
      <c r="FI247" s="336">
        <f t="shared" si="1704"/>
        <v>0</v>
      </c>
      <c r="FJ247" s="336">
        <f t="shared" si="1705"/>
        <v>0</v>
      </c>
      <c r="FK247" s="336">
        <f t="shared" si="1706"/>
        <v>0</v>
      </c>
      <c r="FL247" s="336">
        <f t="shared" si="1707"/>
        <v>0</v>
      </c>
      <c r="FM247" s="336">
        <f t="shared" si="1708"/>
        <v>0</v>
      </c>
      <c r="FN247" s="336">
        <f t="shared" si="1709"/>
        <v>0</v>
      </c>
      <c r="FO247" s="336">
        <f t="shared" si="1710"/>
        <v>0</v>
      </c>
      <c r="FP247" s="336">
        <f t="shared" si="1711"/>
        <v>0</v>
      </c>
      <c r="FQ247" s="336">
        <f t="shared" si="1712"/>
        <v>0</v>
      </c>
      <c r="FR247" s="336">
        <f t="shared" si="1713"/>
        <v>0</v>
      </c>
      <c r="FS247" s="336">
        <f t="shared" si="1714"/>
        <v>0</v>
      </c>
      <c r="FT247" s="336">
        <f t="shared" si="1715"/>
        <v>0</v>
      </c>
      <c r="FU247" s="336"/>
      <c r="FV247" s="336"/>
      <c r="FW247" s="336"/>
      <c r="FX247" s="336"/>
      <c r="FY247" s="336">
        <f t="shared" ref="FY247:FY281" si="1734">IF(DG247=1,($BC247*DG247),0)</f>
        <v>0</v>
      </c>
      <c r="FZ247" s="336">
        <f t="shared" ref="FZ247:FZ281" si="1735">IF(DH247=1,($BC247*DH247),0)</f>
        <v>0</v>
      </c>
      <c r="GA247" s="336">
        <f t="shared" ref="GA247:GA281" si="1736">IF(DI247=1,($BC247*DI247),0)</f>
        <v>0</v>
      </c>
      <c r="GB247" s="336">
        <f t="shared" ref="GB247:GB281" si="1737">IF(DJ247=1,($BC247*DJ247),0)</f>
        <v>0</v>
      </c>
      <c r="GC247" s="336">
        <f t="shared" ref="GC247:GC281" si="1738">IF(DK247=1,($BC247*DK247),0)</f>
        <v>0</v>
      </c>
      <c r="GD247" s="336">
        <f t="shared" ref="GD247:GD281" si="1739">IF(DL247=1,($BC247*DL247),0)</f>
        <v>0</v>
      </c>
      <c r="GE247" s="336">
        <f t="shared" ref="GE247:GE281" si="1740">IF(DM247=1,($BC247*DM247),0)</f>
        <v>0</v>
      </c>
      <c r="GF247" s="336">
        <f t="shared" ref="GF247:GF281" si="1741">IF(DN247=1,($BC247*DN247),0)</f>
        <v>0</v>
      </c>
      <c r="GG247" s="336">
        <f t="shared" ref="GG247:GG281" si="1742">IF(DO247=1,($BC247*DO247),0)</f>
        <v>0</v>
      </c>
      <c r="GH247" s="336">
        <f t="shared" ref="GH247:GH281" si="1743">IF(DP247=1,($BC247*DP247),0)</f>
        <v>0</v>
      </c>
      <c r="GI247" s="336">
        <f t="shared" ref="GI247:GI281" si="1744">IF(DQ247=1,($BC247*DQ247),0)</f>
        <v>0</v>
      </c>
      <c r="GJ247" s="336">
        <f t="shared" ref="GJ247:GJ281" si="1745">IF(DR247=1,($BC247*DR247),0)</f>
        <v>0</v>
      </c>
      <c r="GK247" s="336">
        <f t="shared" ref="GK247:GK281" si="1746">IF(DS247=1,($BC247*DS247),0)</f>
        <v>0</v>
      </c>
      <c r="GL247" s="336"/>
      <c r="GM247" s="336">
        <f t="shared" ref="GM247:GM281" si="1747">IF(DU247=1,($BC247*DU247),0)</f>
        <v>0</v>
      </c>
    </row>
    <row r="248" spans="1:195" ht="27.75" customHeight="1">
      <c r="A248" s="337">
        <f>A246+1</f>
        <v>198</v>
      </c>
      <c r="B248" s="453"/>
      <c r="C248" s="372" t="s">
        <v>1380</v>
      </c>
      <c r="D248" s="444" t="s">
        <v>1377</v>
      </c>
      <c r="E248" s="567" t="s">
        <v>1188</v>
      </c>
      <c r="F248" s="444"/>
      <c r="G248" s="337" t="s">
        <v>329</v>
      </c>
      <c r="H248" s="583">
        <v>0.25</v>
      </c>
      <c r="I248" s="337" t="s">
        <v>330</v>
      </c>
      <c r="J248" s="349" t="s">
        <v>331</v>
      </c>
      <c r="K248" s="349">
        <v>400</v>
      </c>
      <c r="L248" s="343">
        <v>0.75</v>
      </c>
      <c r="M248" s="350">
        <v>0.85299999999999998</v>
      </c>
      <c r="N248" s="342">
        <f t="shared" si="1596"/>
        <v>0.56405549584088044</v>
      </c>
      <c r="O248" s="342">
        <f t="shared" si="1630"/>
        <v>0</v>
      </c>
      <c r="P248" s="343" t="str">
        <f t="shared" si="1598"/>
        <v>0.00</v>
      </c>
      <c r="Q248" s="350">
        <v>65</v>
      </c>
      <c r="R248" s="350">
        <v>0</v>
      </c>
      <c r="S248" s="350">
        <f t="shared" si="1582"/>
        <v>0</v>
      </c>
      <c r="T248" s="343" t="s">
        <v>131</v>
      </c>
      <c r="U248" s="350" t="s">
        <v>522</v>
      </c>
      <c r="V248" s="343">
        <v>4</v>
      </c>
      <c r="W248" s="343" t="str">
        <f t="shared" si="1583"/>
        <v>4C X 4</v>
      </c>
      <c r="X248" s="343" t="str">
        <f t="shared" si="1631"/>
        <v>4C X 4</v>
      </c>
      <c r="Y248" s="343" t="s">
        <v>358</v>
      </c>
      <c r="Z248" s="344">
        <f>IF(T248="AIR",VLOOKUP(W248,'Catalogue Aluminium'!$B$9:$G$93,2,FALSE),IF(T248="GROUND",VLOOKUP(W248,'Catalogue Aluminium'!$B$9:$G$93,3,FALSE),IF(T248="DUCT",VLOOKUP(W248,'Catalogue Aluminium'!$B$9:$G$93,4,FALSE),IF(T248="TRENCH",VLOOKUP(W248,'Catalogue Aluminium'!$B$9:$G$93,2,FALSE)))))</f>
        <v>38</v>
      </c>
      <c r="AA248" s="345">
        <f>VLOOKUP(W248,'Catalogue Aluminium'!$B$9:$G$93,5,FALSE)</f>
        <v>5.9</v>
      </c>
      <c r="AB248" s="345">
        <f>VLOOKUP(W248,'Catalogue Aluminium'!$B$9:$G$93,6,FALSE)</f>
        <v>9.4700000000000006E-2</v>
      </c>
      <c r="AC248" s="343">
        <f t="shared" ref="AC248:AC249" si="1748">9.5+2.5</f>
        <v>12</v>
      </c>
      <c r="AD248" s="346">
        <f t="shared" ref="AD248:AD249" si="1749">(9+16+33+25)</f>
        <v>83</v>
      </c>
      <c r="AE248" s="343">
        <v>20</v>
      </c>
      <c r="AF248" s="343">
        <v>8</v>
      </c>
      <c r="AG248" s="343">
        <f t="shared" ref="AG248:AG249" si="1750">ROUNDUP((SUM(AC248:AF248)*0.1),0)</f>
        <v>13</v>
      </c>
      <c r="AH248" s="347">
        <f t="shared" si="1632"/>
        <v>136</v>
      </c>
      <c r="AI248" s="344">
        <f>IF(T248="AIR",'Catalogue Aluminium'!$K$9,IF(T248="TRENCH",'Catalogue Aluminium'!$K$12,"NA"))</f>
        <v>0.89</v>
      </c>
      <c r="AJ248" s="342">
        <f>IF(T248="Air",(IF(U248="1C",'Catalogue Aluminium'!$L$9,'Catalogue Aluminium'!$M$9)),IF(T248="DUCT",(IF($U248="1C",'Catalogue Aluminium'!$L$10,'Catalogue Aluminium'!$M$10)),IF(T248="GROUND",(IF($U248="1C",'Catalogue Aluminium'!$L$11,'Catalogue Aluminium'!$M$11)),IF(T248="TRENCH",(IF($U248="1C",'Catalogue Aluminium'!$L$12,'Catalogue Aluminium'!$M$12))))))</f>
        <v>0.66</v>
      </c>
      <c r="AK248" s="344" t="str">
        <f>IF(T248="Air",'Catalogue Aluminium'!$N$9,IF(T248="GROUND",'Catalogue Aluminium'!$N$10,IF(T248="DUCT",'Catalogue Aluminium'!$N$11,IF(T248="TRENCH",'Catalogue Aluminium'!$N$12,"NA"))))</f>
        <v>NA</v>
      </c>
      <c r="AL248" s="344" t="str">
        <f>IF(T248="Air",(IF(U248="1C",'Catalogue Aluminium'!$O$9,'Catalogue Aluminium'!$P$9)),IF(T248="DUCT",(IF($U248="1C",'Catalogue Aluminium'!$O$10,'Catalogue Aluminium'!$P$10)),IF(T248="GROUND",(IF($U248="1C",'Catalogue Aluminium'!$O$11,'Catalogue Aluminium'!$P$11)),IF(T248="TRENCH",(IF($U248="1C",'Catalogue Aluminium'!$O$12,'Catalogue Aluminium'!$P$12))))))</f>
        <v>NA</v>
      </c>
      <c r="AM248" s="344" t="str">
        <f>IF(T248="AIR","NA",IF(T248="TRENCH","NA",IF(T248="DUCT",IF(U248="1C",VLOOKUP(V248,'Catalogue Aluminium'!$Q$9:$S$28,2,FALSE),VLOOKUP(V248,'Catalogue Aluminium'!$Q$9:$S$28,3)),IF(T248="GROUND",IF(U248="1C",VLOOKUP(V248,'Catalogue Aluminium'!$Q$9:$S$28,2,FALSE),VLOOKUP(V248,'Catalogue Aluminium'!$Q$9:$S$28,3))))))</f>
        <v>NA</v>
      </c>
      <c r="AN248" s="351">
        <f t="shared" si="1633"/>
        <v>0.58740000000000003</v>
      </c>
      <c r="AO248" s="350">
        <f t="shared" si="1634"/>
        <v>22.321200000000001</v>
      </c>
      <c r="AP248" s="349">
        <f t="shared" si="1635"/>
        <v>1</v>
      </c>
      <c r="AQ248" s="350" t="str">
        <f t="shared" si="1636"/>
        <v>YES</v>
      </c>
      <c r="AR248" s="351">
        <f t="shared" si="1731"/>
        <v>0.14906621081077359</v>
      </c>
      <c r="AS248" s="343" t="str">
        <f t="shared" si="1732"/>
        <v>YES</v>
      </c>
      <c r="AT248" s="351" t="str">
        <f>IF(G248="MOTOR",(SQRT(3)*AH248*O248*((AA248*P248)+(AB248*SIN(ACOS(P248))))*100/(AP248*K248*1000)),"NA")</f>
        <v>NA</v>
      </c>
      <c r="AU248" s="343" t="str">
        <f t="shared" si="1637"/>
        <v>NA</v>
      </c>
      <c r="AV248" s="354" t="str">
        <f t="shared" si="1638"/>
        <v>1R x 0.6/1kV x 4C x 4 Sqmm</v>
      </c>
      <c r="AW248" s="354" t="str">
        <f t="shared" si="1639"/>
        <v>1R x 0.6/1kV x 4C x 4 Sqmm</v>
      </c>
      <c r="AX248" s="343">
        <f>(IF(K248=400,(IF(U248="1C",(4*AH248*AP248),(AH248*AP248))),IF(K248=230,(AH248*AP248))))</f>
        <v>136</v>
      </c>
      <c r="AY248" s="355"/>
      <c r="AZ248" s="355">
        <f>IF(U248="1C",(3*AP248*2),(AP248*2))</f>
        <v>2</v>
      </c>
      <c r="BA248" s="356" t="str">
        <f t="shared" si="1640"/>
        <v/>
      </c>
      <c r="BB248" s="501">
        <f>VLOOKUP(W248,'Catalogue Aluminium'!$B$9:$H$93,7,FALSE)</f>
        <v>16</v>
      </c>
      <c r="BC248" s="328">
        <f>AP248*BB248</f>
        <v>16</v>
      </c>
      <c r="BE248" s="336"/>
      <c r="BF248" s="336"/>
      <c r="BG248" s="336"/>
      <c r="BH248" s="336"/>
      <c r="BI248" s="336"/>
      <c r="BJ248" s="336"/>
      <c r="BK248" s="336"/>
      <c r="BL248" s="336"/>
      <c r="BM248" s="336"/>
      <c r="BN248" s="336"/>
      <c r="BO248" s="336"/>
      <c r="BP248" s="336"/>
      <c r="BQ248" s="336"/>
      <c r="BR248" s="336"/>
      <c r="BS248" s="336"/>
      <c r="BT248" s="336"/>
      <c r="BU248" s="336"/>
      <c r="BV248" s="336"/>
      <c r="BW248" s="336"/>
      <c r="BX248" s="336"/>
      <c r="BY248" s="336"/>
      <c r="BZ248" s="336"/>
      <c r="CA248" s="336"/>
      <c r="CB248" s="336"/>
      <c r="CC248" s="336"/>
      <c r="CD248" s="336"/>
      <c r="CE248" s="336"/>
      <c r="CF248" s="336"/>
      <c r="CG248" s="336"/>
      <c r="CH248" s="336"/>
      <c r="CI248" s="336"/>
      <c r="CJ248" s="336"/>
      <c r="CK248" s="336"/>
      <c r="CL248" s="336"/>
      <c r="CM248" s="336"/>
      <c r="CN248" s="336"/>
      <c r="CO248" s="336"/>
      <c r="CP248" s="336"/>
      <c r="CQ248" s="336"/>
      <c r="CR248" s="336"/>
      <c r="CS248" s="336"/>
      <c r="CT248" s="336"/>
      <c r="CU248" s="336"/>
      <c r="CV248" s="336"/>
      <c r="CW248" s="336"/>
      <c r="CX248" s="336"/>
      <c r="CY248" s="336"/>
      <c r="CZ248" s="336"/>
      <c r="DA248" s="336"/>
      <c r="DB248" s="336"/>
      <c r="DC248" s="336"/>
      <c r="DD248" s="336"/>
      <c r="DE248" s="336"/>
      <c r="DF248" s="336"/>
      <c r="DG248" s="336"/>
      <c r="DH248" s="336"/>
      <c r="DI248" s="336"/>
      <c r="DJ248" s="336"/>
      <c r="DK248" s="336"/>
      <c r="DL248" s="336"/>
      <c r="DM248" s="336"/>
      <c r="DN248" s="336"/>
      <c r="DO248" s="336"/>
      <c r="DP248" s="336"/>
      <c r="DQ248" s="336"/>
      <c r="DR248" s="336"/>
      <c r="DS248" s="336"/>
      <c r="DT248" s="336"/>
      <c r="DU248" s="336"/>
      <c r="DW248" s="336">
        <f t="shared" si="1733"/>
        <v>0</v>
      </c>
      <c r="DX248" s="336">
        <f t="shared" si="1668"/>
        <v>0</v>
      </c>
      <c r="DY248" s="336">
        <f t="shared" si="1669"/>
        <v>0</v>
      </c>
      <c r="DZ248" s="336">
        <f t="shared" si="1670"/>
        <v>0</v>
      </c>
      <c r="EA248" s="336">
        <f t="shared" si="1671"/>
        <v>0</v>
      </c>
      <c r="EB248" s="336">
        <f t="shared" si="1672"/>
        <v>0</v>
      </c>
      <c r="EC248" s="336">
        <f t="shared" si="1673"/>
        <v>0</v>
      </c>
      <c r="ED248" s="336">
        <f t="shared" si="1674"/>
        <v>0</v>
      </c>
      <c r="EE248" s="336">
        <f t="shared" si="1675"/>
        <v>0</v>
      </c>
      <c r="EF248" s="336">
        <f t="shared" si="1676"/>
        <v>0</v>
      </c>
      <c r="EG248" s="336">
        <f t="shared" si="1677"/>
        <v>0</v>
      </c>
      <c r="EH248" s="336">
        <f t="shared" si="1678"/>
        <v>0</v>
      </c>
      <c r="EI248" s="336">
        <f t="shared" si="1679"/>
        <v>0</v>
      </c>
      <c r="EJ248" s="336">
        <f t="shared" si="1680"/>
        <v>0</v>
      </c>
      <c r="EK248" s="336">
        <f t="shared" si="1681"/>
        <v>0</v>
      </c>
      <c r="EL248" s="336">
        <f t="shared" si="1682"/>
        <v>0</v>
      </c>
      <c r="EM248" s="336">
        <f t="shared" si="1683"/>
        <v>0</v>
      </c>
      <c r="EN248" s="336">
        <f t="shared" si="1684"/>
        <v>0</v>
      </c>
      <c r="EO248" s="336">
        <f t="shared" si="1685"/>
        <v>0</v>
      </c>
      <c r="EP248" s="336">
        <f t="shared" si="1686"/>
        <v>0</v>
      </c>
      <c r="EQ248" s="336">
        <f t="shared" si="1687"/>
        <v>0</v>
      </c>
      <c r="ER248" s="336">
        <f t="shared" si="1688"/>
        <v>0</v>
      </c>
      <c r="ES248" s="336">
        <f t="shared" si="1689"/>
        <v>0</v>
      </c>
      <c r="ET248" s="336">
        <f t="shared" si="1689"/>
        <v>0</v>
      </c>
      <c r="EU248" s="336">
        <f t="shared" si="1690"/>
        <v>0</v>
      </c>
      <c r="EV248" s="336">
        <f t="shared" si="1691"/>
        <v>0</v>
      </c>
      <c r="EW248" s="336">
        <f t="shared" si="1692"/>
        <v>0</v>
      </c>
      <c r="EX248" s="336">
        <f t="shared" si="1693"/>
        <v>0</v>
      </c>
      <c r="EY248" s="336">
        <f t="shared" si="1694"/>
        <v>0</v>
      </c>
      <c r="EZ248" s="336">
        <f t="shared" si="1695"/>
        <v>0</v>
      </c>
      <c r="FA248" s="336">
        <f t="shared" si="1696"/>
        <v>0</v>
      </c>
      <c r="FB248" s="336">
        <f t="shared" si="1697"/>
        <v>0</v>
      </c>
      <c r="FC248" s="336">
        <f t="shared" si="1698"/>
        <v>0</v>
      </c>
      <c r="FD248" s="336">
        <f t="shared" si="1699"/>
        <v>0</v>
      </c>
      <c r="FE248" s="336">
        <f t="shared" si="1700"/>
        <v>0</v>
      </c>
      <c r="FF248" s="336">
        <f t="shared" si="1701"/>
        <v>0</v>
      </c>
      <c r="FG248" s="336">
        <f t="shared" si="1702"/>
        <v>0</v>
      </c>
      <c r="FH248" s="336">
        <f t="shared" si="1703"/>
        <v>0</v>
      </c>
      <c r="FI248" s="336">
        <f t="shared" si="1704"/>
        <v>0</v>
      </c>
      <c r="FJ248" s="336">
        <f t="shared" si="1705"/>
        <v>0</v>
      </c>
      <c r="FK248" s="336">
        <f t="shared" si="1706"/>
        <v>0</v>
      </c>
      <c r="FL248" s="336">
        <f t="shared" si="1707"/>
        <v>0</v>
      </c>
      <c r="FM248" s="336">
        <f t="shared" si="1708"/>
        <v>0</v>
      </c>
      <c r="FN248" s="336">
        <f t="shared" si="1709"/>
        <v>0</v>
      </c>
      <c r="FO248" s="336">
        <f t="shared" si="1710"/>
        <v>0</v>
      </c>
      <c r="FP248" s="336">
        <f t="shared" si="1711"/>
        <v>0</v>
      </c>
      <c r="FQ248" s="336">
        <f t="shared" si="1712"/>
        <v>0</v>
      </c>
      <c r="FR248" s="336">
        <f t="shared" si="1713"/>
        <v>0</v>
      </c>
      <c r="FS248" s="336">
        <f t="shared" si="1714"/>
        <v>0</v>
      </c>
      <c r="FT248" s="336">
        <f t="shared" si="1715"/>
        <v>0</v>
      </c>
      <c r="FU248" s="336">
        <f t="shared" ref="FU248:FU258" si="1751">IF(DC248=1,($BC248*DC248),0)</f>
        <v>0</v>
      </c>
      <c r="FV248" s="336">
        <f t="shared" ref="FV248:FV258" si="1752">IF(DD248=1,($BC248*DD248),0)</f>
        <v>0</v>
      </c>
      <c r="FW248" s="336">
        <f t="shared" ref="FW248:FW258" si="1753">IF(DE248=1,($BC248*DE248),0)</f>
        <v>0</v>
      </c>
      <c r="FX248" s="336">
        <f t="shared" ref="FX248:FX258" si="1754">IF(DF248=1,($BC248*DF248),0)</f>
        <v>0</v>
      </c>
      <c r="FY248" s="336">
        <f t="shared" si="1734"/>
        <v>0</v>
      </c>
      <c r="FZ248" s="336">
        <f t="shared" si="1735"/>
        <v>0</v>
      </c>
      <c r="GA248" s="336">
        <f t="shared" si="1736"/>
        <v>0</v>
      </c>
      <c r="GB248" s="336">
        <f t="shared" si="1737"/>
        <v>0</v>
      </c>
      <c r="GC248" s="336">
        <f t="shared" si="1738"/>
        <v>0</v>
      </c>
      <c r="GD248" s="336">
        <f t="shared" si="1739"/>
        <v>0</v>
      </c>
      <c r="GE248" s="336">
        <f t="shared" si="1740"/>
        <v>0</v>
      </c>
      <c r="GF248" s="336">
        <f t="shared" si="1741"/>
        <v>0</v>
      </c>
      <c r="GG248" s="336">
        <f t="shared" si="1742"/>
        <v>0</v>
      </c>
      <c r="GH248" s="336">
        <f t="shared" si="1743"/>
        <v>0</v>
      </c>
      <c r="GI248" s="336">
        <f t="shared" si="1744"/>
        <v>0</v>
      </c>
      <c r="GJ248" s="336">
        <f t="shared" si="1745"/>
        <v>0</v>
      </c>
      <c r="GK248" s="336">
        <f t="shared" si="1746"/>
        <v>0</v>
      </c>
      <c r="GL248" s="336">
        <f t="shared" ref="GL248:GL258" si="1755">IF(DT248=1,($BC248*DT248),0)</f>
        <v>0</v>
      </c>
      <c r="GM248" s="336">
        <f t="shared" si="1747"/>
        <v>0</v>
      </c>
    </row>
    <row r="249" spans="1:195" ht="27.75" customHeight="1">
      <c r="A249" s="337">
        <f>A248+1</f>
        <v>199</v>
      </c>
      <c r="B249" s="453"/>
      <c r="C249" s="372" t="s">
        <v>1380</v>
      </c>
      <c r="D249" s="444" t="s">
        <v>1395</v>
      </c>
      <c r="E249" s="567" t="s">
        <v>1188</v>
      </c>
      <c r="F249" s="444"/>
      <c r="G249" s="337" t="s">
        <v>329</v>
      </c>
      <c r="H249" s="583">
        <v>0.55000000000000004</v>
      </c>
      <c r="I249" s="337" t="s">
        <v>330</v>
      </c>
      <c r="J249" s="349" t="s">
        <v>331</v>
      </c>
      <c r="K249" s="349">
        <v>400</v>
      </c>
      <c r="L249" s="343">
        <v>0.75</v>
      </c>
      <c r="M249" s="350">
        <v>0.85299999999999998</v>
      </c>
      <c r="N249" s="342">
        <f t="shared" si="1596"/>
        <v>1.240922090849937</v>
      </c>
      <c r="O249" s="342">
        <f t="shared" si="1630"/>
        <v>0</v>
      </c>
      <c r="P249" s="343" t="str">
        <f t="shared" si="1598"/>
        <v>0.00</v>
      </c>
      <c r="Q249" s="350">
        <v>65</v>
      </c>
      <c r="R249" s="350">
        <v>0</v>
      </c>
      <c r="S249" s="350">
        <f t="shared" si="1582"/>
        <v>0</v>
      </c>
      <c r="T249" s="343" t="s">
        <v>131</v>
      </c>
      <c r="U249" s="350" t="s">
        <v>522</v>
      </c>
      <c r="V249" s="343">
        <v>4</v>
      </c>
      <c r="W249" s="343" t="str">
        <f t="shared" si="1583"/>
        <v>4C X 4</v>
      </c>
      <c r="X249" s="343" t="str">
        <f t="shared" si="1631"/>
        <v>4C X 4</v>
      </c>
      <c r="Y249" s="343" t="s">
        <v>358</v>
      </c>
      <c r="Z249" s="344">
        <f>IF(T249="AIR",VLOOKUP(W249,'Catalogue Aluminium'!$B$9:$G$93,2,FALSE),IF(T249="GROUND",VLOOKUP(W249,'Catalogue Aluminium'!$B$9:$G$93,3,FALSE),IF(T249="DUCT",VLOOKUP(W249,'Catalogue Aluminium'!$B$9:$G$93,4,FALSE),IF(T249="TRENCH",VLOOKUP(W249,'Catalogue Aluminium'!$B$9:$G$93,2,FALSE)))))</f>
        <v>38</v>
      </c>
      <c r="AA249" s="345">
        <f>VLOOKUP(W249,'Catalogue Aluminium'!$B$9:$G$93,5,FALSE)</f>
        <v>5.9</v>
      </c>
      <c r="AB249" s="345">
        <f>VLOOKUP(W249,'Catalogue Aluminium'!$B$9:$G$93,6,FALSE)</f>
        <v>9.4700000000000006E-2</v>
      </c>
      <c r="AC249" s="343">
        <f t="shared" si="1748"/>
        <v>12</v>
      </c>
      <c r="AD249" s="346">
        <f t="shared" si="1749"/>
        <v>83</v>
      </c>
      <c r="AE249" s="343">
        <v>20</v>
      </c>
      <c r="AF249" s="343">
        <v>8</v>
      </c>
      <c r="AG249" s="343">
        <f t="shared" si="1750"/>
        <v>13</v>
      </c>
      <c r="AH249" s="347">
        <f t="shared" si="1632"/>
        <v>136</v>
      </c>
      <c r="AI249" s="344">
        <f>IF(T249="AIR",'Catalogue Aluminium'!$K$9,IF(T249="TRENCH",'Catalogue Aluminium'!$K$12,"NA"))</f>
        <v>0.89</v>
      </c>
      <c r="AJ249" s="342">
        <f>IF(T249="Air",(IF(U249="1C",'Catalogue Aluminium'!$L$9,'Catalogue Aluminium'!$M$9)),IF(T249="DUCT",(IF($U249="1C",'Catalogue Aluminium'!$L$10,'Catalogue Aluminium'!$M$10)),IF(T249="GROUND",(IF($U249="1C",'Catalogue Aluminium'!$L$11,'Catalogue Aluminium'!$M$11)),IF(T249="TRENCH",(IF($U249="1C",'Catalogue Aluminium'!$L$12,'Catalogue Aluminium'!$M$12))))))</f>
        <v>0.66</v>
      </c>
      <c r="AK249" s="344" t="str">
        <f>IF(T249="Air",'Catalogue Aluminium'!$N$9,IF(T249="GROUND",'Catalogue Aluminium'!$N$10,IF(T249="DUCT",'Catalogue Aluminium'!$N$11,IF(T249="TRENCH",'Catalogue Aluminium'!$N$12,"NA"))))</f>
        <v>NA</v>
      </c>
      <c r="AL249" s="344" t="str">
        <f>IF(T249="Air",(IF(U249="1C",'Catalogue Aluminium'!$O$9,'Catalogue Aluminium'!$P$9)),IF(T249="DUCT",(IF($U249="1C",'Catalogue Aluminium'!$O$10,'Catalogue Aluminium'!$P$10)),IF(T249="GROUND",(IF($U249="1C",'Catalogue Aluminium'!$O$11,'Catalogue Aluminium'!$P$11)),IF(T249="TRENCH",(IF($U249="1C",'Catalogue Aluminium'!$O$12,'Catalogue Aluminium'!$P$12))))))</f>
        <v>NA</v>
      </c>
      <c r="AM249" s="344" t="str">
        <f>IF(T249="AIR","NA",IF(T249="TRENCH","NA",IF(T249="DUCT",IF(U249="1C",VLOOKUP(V249,'Catalogue Aluminium'!$Q$9:$S$28,2,FALSE),VLOOKUP(V249,'Catalogue Aluminium'!$Q$9:$S$28,3)),IF(T249="GROUND",IF(U249="1C",VLOOKUP(V249,'Catalogue Aluminium'!$Q$9:$S$28,2,FALSE),VLOOKUP(V249,'Catalogue Aluminium'!$Q$9:$S$28,3))))))</f>
        <v>NA</v>
      </c>
      <c r="AN249" s="351">
        <f t="shared" si="1633"/>
        <v>0.58740000000000003</v>
      </c>
      <c r="AO249" s="350">
        <f t="shared" si="1634"/>
        <v>22.321200000000001</v>
      </c>
      <c r="AP249" s="349">
        <f t="shared" si="1635"/>
        <v>1</v>
      </c>
      <c r="AQ249" s="350" t="str">
        <f t="shared" si="1636"/>
        <v>YES</v>
      </c>
      <c r="AR249" s="351">
        <f t="shared" si="1731"/>
        <v>0.32794566378370188</v>
      </c>
      <c r="AS249" s="343" t="str">
        <f t="shared" si="1732"/>
        <v>YES</v>
      </c>
      <c r="AT249" s="351" t="str">
        <f>IF(G249="MOTOR",(SQRT(3)*AH249*O249*((AA249*P249)+(AB249*SIN(ACOS(P249))))*100/(AP249*K249*1000)),"NA")</f>
        <v>NA</v>
      </c>
      <c r="AU249" s="343" t="str">
        <f t="shared" si="1637"/>
        <v>NA</v>
      </c>
      <c r="AV249" s="354" t="str">
        <f t="shared" si="1638"/>
        <v>1R x 0.6/1kV x 4C x 4 Sqmm</v>
      </c>
      <c r="AW249" s="354" t="str">
        <f t="shared" si="1639"/>
        <v>1R x 0.6/1kV x 4C x 4 Sqmm</v>
      </c>
      <c r="AX249" s="343">
        <f>(IF(K249=400,(IF(U249="1C",(4*AH249*AP249),(AH249*AP249))),IF(K249=230,(AH249*AP249))))</f>
        <v>136</v>
      </c>
      <c r="AY249" s="355"/>
      <c r="AZ249" s="355">
        <f>IF(U249="1C",(3*AP249*2),(AP249*2))</f>
        <v>2</v>
      </c>
      <c r="BA249" s="356" t="str">
        <f t="shared" si="1640"/>
        <v/>
      </c>
      <c r="BB249" s="501">
        <f>VLOOKUP(W249,'Catalogue Aluminium'!$B$9:$H$93,7,FALSE)</f>
        <v>16</v>
      </c>
      <c r="BC249" s="328">
        <f>AP249*BB249</f>
        <v>16</v>
      </c>
      <c r="BE249" s="336"/>
      <c r="BF249" s="336"/>
      <c r="BG249" s="336"/>
      <c r="BH249" s="336"/>
      <c r="BI249" s="336"/>
      <c r="BJ249" s="336"/>
      <c r="BK249" s="336"/>
      <c r="BL249" s="336"/>
      <c r="BM249" s="336"/>
      <c r="BN249" s="336"/>
      <c r="BO249" s="336"/>
      <c r="BP249" s="336"/>
      <c r="BQ249" s="336"/>
      <c r="BR249" s="336"/>
      <c r="BS249" s="336"/>
      <c r="BT249" s="336"/>
      <c r="BU249" s="336"/>
      <c r="BV249" s="336"/>
      <c r="BW249" s="336"/>
      <c r="BX249" s="336"/>
      <c r="BY249" s="336"/>
      <c r="BZ249" s="336"/>
      <c r="CA249" s="336"/>
      <c r="CB249" s="336"/>
      <c r="CC249" s="336"/>
      <c r="CD249" s="336"/>
      <c r="CE249" s="336"/>
      <c r="CF249" s="336"/>
      <c r="CG249" s="336"/>
      <c r="CH249" s="336"/>
      <c r="CI249" s="336"/>
      <c r="CJ249" s="336"/>
      <c r="CK249" s="336"/>
      <c r="CL249" s="336"/>
      <c r="CM249" s="336"/>
      <c r="CN249" s="336"/>
      <c r="CO249" s="336"/>
      <c r="CP249" s="336"/>
      <c r="CQ249" s="336"/>
      <c r="CR249" s="336"/>
      <c r="CS249" s="336"/>
      <c r="CT249" s="336"/>
      <c r="CU249" s="336"/>
      <c r="CV249" s="336"/>
      <c r="CW249" s="336"/>
      <c r="CX249" s="336"/>
      <c r="CY249" s="336"/>
      <c r="CZ249" s="336"/>
      <c r="DA249" s="336"/>
      <c r="DB249" s="336"/>
      <c r="DC249" s="336"/>
      <c r="DD249" s="336"/>
      <c r="DE249" s="336"/>
      <c r="DF249" s="336"/>
      <c r="DG249" s="336"/>
      <c r="DH249" s="336"/>
      <c r="DI249" s="336"/>
      <c r="DJ249" s="336"/>
      <c r="DK249" s="336"/>
      <c r="DL249" s="336"/>
      <c r="DM249" s="336"/>
      <c r="DN249" s="336"/>
      <c r="DO249" s="336"/>
      <c r="DP249" s="336"/>
      <c r="DQ249" s="336"/>
      <c r="DR249" s="336"/>
      <c r="DS249" s="336"/>
      <c r="DT249" s="336"/>
      <c r="DU249" s="336"/>
      <c r="DW249" s="336">
        <f t="shared" si="1733"/>
        <v>0</v>
      </c>
      <c r="DX249" s="336">
        <f t="shared" si="1668"/>
        <v>0</v>
      </c>
      <c r="DY249" s="336">
        <f t="shared" si="1669"/>
        <v>0</v>
      </c>
      <c r="DZ249" s="336">
        <f t="shared" si="1670"/>
        <v>0</v>
      </c>
      <c r="EA249" s="336">
        <f t="shared" si="1671"/>
        <v>0</v>
      </c>
      <c r="EB249" s="336">
        <f t="shared" si="1672"/>
        <v>0</v>
      </c>
      <c r="EC249" s="336">
        <f t="shared" si="1673"/>
        <v>0</v>
      </c>
      <c r="ED249" s="336">
        <f t="shared" si="1674"/>
        <v>0</v>
      </c>
      <c r="EE249" s="336">
        <f t="shared" si="1675"/>
        <v>0</v>
      </c>
      <c r="EF249" s="336">
        <f t="shared" si="1676"/>
        <v>0</v>
      </c>
      <c r="EG249" s="336">
        <f t="shared" si="1677"/>
        <v>0</v>
      </c>
      <c r="EH249" s="336">
        <f t="shared" si="1678"/>
        <v>0</v>
      </c>
      <c r="EI249" s="336">
        <f t="shared" si="1679"/>
        <v>0</v>
      </c>
      <c r="EJ249" s="336">
        <f t="shared" si="1680"/>
        <v>0</v>
      </c>
      <c r="EK249" s="336">
        <f t="shared" si="1681"/>
        <v>0</v>
      </c>
      <c r="EL249" s="336">
        <f t="shared" si="1682"/>
        <v>0</v>
      </c>
      <c r="EM249" s="336">
        <f t="shared" si="1683"/>
        <v>0</v>
      </c>
      <c r="EN249" s="336">
        <f t="shared" si="1684"/>
        <v>0</v>
      </c>
      <c r="EO249" s="336">
        <f t="shared" si="1685"/>
        <v>0</v>
      </c>
      <c r="EP249" s="336">
        <f t="shared" si="1686"/>
        <v>0</v>
      </c>
      <c r="EQ249" s="336">
        <f t="shared" si="1687"/>
        <v>0</v>
      </c>
      <c r="ER249" s="336">
        <f t="shared" si="1688"/>
        <v>0</v>
      </c>
      <c r="ES249" s="336">
        <f t="shared" si="1689"/>
        <v>0</v>
      </c>
      <c r="ET249" s="336">
        <f t="shared" si="1689"/>
        <v>0</v>
      </c>
      <c r="EU249" s="336">
        <f t="shared" si="1690"/>
        <v>0</v>
      </c>
      <c r="EV249" s="336">
        <f t="shared" si="1691"/>
        <v>0</v>
      </c>
      <c r="EW249" s="336">
        <f t="shared" si="1692"/>
        <v>0</v>
      </c>
      <c r="EX249" s="336">
        <f t="shared" si="1693"/>
        <v>0</v>
      </c>
      <c r="EY249" s="336">
        <f t="shared" si="1694"/>
        <v>0</v>
      </c>
      <c r="EZ249" s="336">
        <f t="shared" si="1695"/>
        <v>0</v>
      </c>
      <c r="FA249" s="336">
        <f t="shared" si="1696"/>
        <v>0</v>
      </c>
      <c r="FB249" s="336">
        <f t="shared" si="1697"/>
        <v>0</v>
      </c>
      <c r="FC249" s="336">
        <f t="shared" si="1698"/>
        <v>0</v>
      </c>
      <c r="FD249" s="336">
        <f t="shared" si="1699"/>
        <v>0</v>
      </c>
      <c r="FE249" s="336">
        <f t="shared" si="1700"/>
        <v>0</v>
      </c>
      <c r="FF249" s="336">
        <f t="shared" si="1701"/>
        <v>0</v>
      </c>
      <c r="FG249" s="336">
        <f t="shared" si="1702"/>
        <v>0</v>
      </c>
      <c r="FH249" s="336">
        <f t="shared" si="1703"/>
        <v>0</v>
      </c>
      <c r="FI249" s="336">
        <f t="shared" si="1704"/>
        <v>0</v>
      </c>
      <c r="FJ249" s="336">
        <f t="shared" si="1705"/>
        <v>0</v>
      </c>
      <c r="FK249" s="336">
        <f t="shared" si="1706"/>
        <v>0</v>
      </c>
      <c r="FL249" s="336">
        <f t="shared" si="1707"/>
        <v>0</v>
      </c>
      <c r="FM249" s="336">
        <f t="shared" si="1708"/>
        <v>0</v>
      </c>
      <c r="FN249" s="336">
        <f t="shared" si="1709"/>
        <v>0</v>
      </c>
      <c r="FO249" s="336">
        <f t="shared" si="1710"/>
        <v>0</v>
      </c>
      <c r="FP249" s="336">
        <f t="shared" si="1711"/>
        <v>0</v>
      </c>
      <c r="FQ249" s="336">
        <f t="shared" si="1712"/>
        <v>0</v>
      </c>
      <c r="FR249" s="336">
        <f t="shared" si="1713"/>
        <v>0</v>
      </c>
      <c r="FS249" s="336">
        <f t="shared" si="1714"/>
        <v>0</v>
      </c>
      <c r="FT249" s="336">
        <f t="shared" si="1715"/>
        <v>0</v>
      </c>
      <c r="FU249" s="336">
        <f t="shared" si="1751"/>
        <v>0</v>
      </c>
      <c r="FV249" s="336">
        <f t="shared" si="1752"/>
        <v>0</v>
      </c>
      <c r="FW249" s="336">
        <f t="shared" si="1753"/>
        <v>0</v>
      </c>
      <c r="FX249" s="336">
        <f t="shared" si="1754"/>
        <v>0</v>
      </c>
      <c r="FY249" s="336">
        <f t="shared" si="1734"/>
        <v>0</v>
      </c>
      <c r="FZ249" s="336">
        <f t="shared" si="1735"/>
        <v>0</v>
      </c>
      <c r="GA249" s="336">
        <f t="shared" si="1736"/>
        <v>0</v>
      </c>
      <c r="GB249" s="336">
        <f t="shared" si="1737"/>
        <v>0</v>
      </c>
      <c r="GC249" s="336">
        <f t="shared" si="1738"/>
        <v>0</v>
      </c>
      <c r="GD249" s="336">
        <f t="shared" si="1739"/>
        <v>0</v>
      </c>
      <c r="GE249" s="336">
        <f t="shared" si="1740"/>
        <v>0</v>
      </c>
      <c r="GF249" s="336">
        <f t="shared" si="1741"/>
        <v>0</v>
      </c>
      <c r="GG249" s="336">
        <f t="shared" si="1742"/>
        <v>0</v>
      </c>
      <c r="GH249" s="336">
        <f t="shared" si="1743"/>
        <v>0</v>
      </c>
      <c r="GI249" s="336">
        <f t="shared" si="1744"/>
        <v>0</v>
      </c>
      <c r="GJ249" s="336">
        <f t="shared" si="1745"/>
        <v>0</v>
      </c>
      <c r="GK249" s="336">
        <f t="shared" si="1746"/>
        <v>0</v>
      </c>
      <c r="GL249" s="336">
        <f t="shared" si="1755"/>
        <v>0</v>
      </c>
      <c r="GM249" s="336">
        <f t="shared" si="1747"/>
        <v>0</v>
      </c>
    </row>
    <row r="250" spans="1:195" ht="27.75" customHeight="1">
      <c r="A250" s="337">
        <f>A249+1</f>
        <v>200</v>
      </c>
      <c r="B250" s="453" t="s">
        <v>1186</v>
      </c>
      <c r="C250" s="372" t="str">
        <f>$C$85</f>
        <v>PDB-2</v>
      </c>
      <c r="D250" s="440" t="s">
        <v>1396</v>
      </c>
      <c r="E250" s="567" t="s">
        <v>1188</v>
      </c>
      <c r="F250" s="444"/>
      <c r="G250" s="337" t="s">
        <v>337</v>
      </c>
      <c r="H250" s="350">
        <v>18.842105263157901</v>
      </c>
      <c r="I250" s="337" t="s">
        <v>330</v>
      </c>
      <c r="J250" s="349" t="s">
        <v>331</v>
      </c>
      <c r="K250" s="349">
        <v>400</v>
      </c>
      <c r="L250" s="343">
        <v>0.95</v>
      </c>
      <c r="M250" s="350">
        <v>0.85</v>
      </c>
      <c r="N250" s="342">
        <f t="shared" si="1596"/>
        <v>33.680537654276634</v>
      </c>
      <c r="O250" s="926"/>
      <c r="P250" s="927"/>
      <c r="Q250" s="927"/>
      <c r="R250" s="927"/>
      <c r="S250" s="927"/>
      <c r="T250" s="927"/>
      <c r="U250" s="927"/>
      <c r="V250" s="927"/>
      <c r="W250" s="927"/>
      <c r="X250" s="927"/>
      <c r="Y250" s="927"/>
      <c r="Z250" s="927"/>
      <c r="AA250" s="927"/>
      <c r="AB250" s="927"/>
      <c r="AC250" s="927"/>
      <c r="AD250" s="927"/>
      <c r="AE250" s="927"/>
      <c r="AF250" s="927"/>
      <c r="AG250" s="927"/>
      <c r="AH250" s="927"/>
      <c r="AI250" s="927"/>
      <c r="AJ250" s="927"/>
      <c r="AK250" s="927"/>
      <c r="AL250" s="927"/>
      <c r="AM250" s="927"/>
      <c r="AN250" s="927"/>
      <c r="AO250" s="927"/>
      <c r="AP250" s="927"/>
      <c r="AQ250" s="927"/>
      <c r="AR250" s="927"/>
      <c r="AS250" s="927"/>
      <c r="AT250" s="927"/>
      <c r="AU250" s="927"/>
      <c r="AV250" s="927"/>
      <c r="AW250" s="927"/>
      <c r="AX250" s="927"/>
      <c r="AY250" s="927"/>
      <c r="AZ250" s="927"/>
      <c r="BA250" s="927"/>
      <c r="BB250" s="927"/>
      <c r="BC250" s="1020"/>
      <c r="BE250" s="336"/>
      <c r="BF250" s="336"/>
      <c r="BG250" s="336"/>
      <c r="BH250" s="336"/>
      <c r="BI250" s="336"/>
      <c r="BJ250" s="336"/>
      <c r="BK250" s="336"/>
      <c r="BL250" s="336"/>
      <c r="BM250" s="336"/>
      <c r="BN250" s="336"/>
      <c r="BO250" s="336"/>
      <c r="BP250" s="336"/>
      <c r="BQ250" s="336"/>
      <c r="BR250" s="336"/>
      <c r="BS250" s="336"/>
      <c r="BT250" s="336"/>
      <c r="BU250" s="336"/>
      <c r="BV250" s="336"/>
      <c r="BW250" s="336"/>
      <c r="BX250" s="336"/>
      <c r="BY250" s="336"/>
      <c r="BZ250" s="336"/>
      <c r="CA250" s="336"/>
      <c r="CB250" s="336"/>
      <c r="CC250" s="336"/>
      <c r="CD250" s="336"/>
      <c r="CE250" s="336"/>
      <c r="CF250" s="336"/>
      <c r="CG250" s="336"/>
      <c r="CH250" s="336"/>
      <c r="CI250" s="336"/>
      <c r="CJ250" s="336"/>
      <c r="CK250" s="336"/>
      <c r="CL250" s="336"/>
      <c r="CM250" s="336"/>
      <c r="CN250" s="336"/>
      <c r="CO250" s="336"/>
      <c r="CP250" s="336"/>
      <c r="CQ250" s="336"/>
      <c r="CR250" s="336"/>
      <c r="CS250" s="336"/>
      <c r="CT250" s="336"/>
      <c r="CU250" s="336"/>
      <c r="CV250" s="336"/>
      <c r="CW250" s="336"/>
      <c r="CX250" s="336"/>
      <c r="CY250" s="336"/>
      <c r="CZ250" s="336"/>
      <c r="DA250" s="336"/>
      <c r="DB250" s="336"/>
      <c r="DC250" s="336"/>
      <c r="DD250" s="336"/>
      <c r="DE250" s="336"/>
      <c r="DF250" s="336"/>
      <c r="DG250" s="336"/>
      <c r="DH250" s="336"/>
      <c r="DI250" s="336"/>
      <c r="DJ250" s="336"/>
      <c r="DK250" s="336"/>
      <c r="DL250" s="336"/>
      <c r="DM250" s="336"/>
      <c r="DN250" s="336"/>
      <c r="DO250" s="336"/>
      <c r="DP250" s="336"/>
      <c r="DQ250" s="336"/>
      <c r="DR250" s="336"/>
      <c r="DS250" s="336"/>
      <c r="DT250" s="336"/>
      <c r="DU250" s="336"/>
      <c r="DW250" s="336">
        <f t="shared" si="1733"/>
        <v>0</v>
      </c>
      <c r="DX250" s="336">
        <f t="shared" si="1668"/>
        <v>0</v>
      </c>
      <c r="DY250" s="336">
        <f t="shared" si="1669"/>
        <v>0</v>
      </c>
      <c r="DZ250" s="336">
        <f t="shared" si="1670"/>
        <v>0</v>
      </c>
      <c r="EA250" s="336">
        <f t="shared" si="1671"/>
        <v>0</v>
      </c>
      <c r="EB250" s="336">
        <f t="shared" si="1672"/>
        <v>0</v>
      </c>
      <c r="EC250" s="336">
        <f t="shared" si="1673"/>
        <v>0</v>
      </c>
      <c r="ED250" s="336">
        <f t="shared" si="1674"/>
        <v>0</v>
      </c>
      <c r="EE250" s="336">
        <f t="shared" si="1675"/>
        <v>0</v>
      </c>
      <c r="EF250" s="336">
        <f t="shared" si="1676"/>
        <v>0</v>
      </c>
      <c r="EG250" s="336">
        <f t="shared" si="1677"/>
        <v>0</v>
      </c>
      <c r="EH250" s="336">
        <f t="shared" si="1678"/>
        <v>0</v>
      </c>
      <c r="EI250" s="336">
        <f t="shared" si="1679"/>
        <v>0</v>
      </c>
      <c r="EJ250" s="336">
        <f t="shared" si="1680"/>
        <v>0</v>
      </c>
      <c r="EK250" s="336">
        <f t="shared" si="1681"/>
        <v>0</v>
      </c>
      <c r="EL250" s="336">
        <f t="shared" si="1682"/>
        <v>0</v>
      </c>
      <c r="EM250" s="336">
        <f t="shared" si="1683"/>
        <v>0</v>
      </c>
      <c r="EN250" s="336">
        <f t="shared" si="1684"/>
        <v>0</v>
      </c>
      <c r="EO250" s="336">
        <f t="shared" si="1685"/>
        <v>0</v>
      </c>
      <c r="EP250" s="336">
        <f t="shared" si="1686"/>
        <v>0</v>
      </c>
      <c r="EQ250" s="336">
        <f t="shared" si="1687"/>
        <v>0</v>
      </c>
      <c r="ER250" s="336">
        <f t="shared" si="1688"/>
        <v>0</v>
      </c>
      <c r="ES250" s="336">
        <f t="shared" si="1689"/>
        <v>0</v>
      </c>
      <c r="ET250" s="336">
        <f t="shared" si="1689"/>
        <v>0</v>
      </c>
      <c r="EU250" s="336">
        <f t="shared" si="1690"/>
        <v>0</v>
      </c>
      <c r="EV250" s="336">
        <f t="shared" si="1691"/>
        <v>0</v>
      </c>
      <c r="EW250" s="336">
        <f t="shared" si="1692"/>
        <v>0</v>
      </c>
      <c r="EX250" s="336">
        <f t="shared" si="1693"/>
        <v>0</v>
      </c>
      <c r="EY250" s="336">
        <f t="shared" si="1694"/>
        <v>0</v>
      </c>
      <c r="EZ250" s="336">
        <f t="shared" si="1695"/>
        <v>0</v>
      </c>
      <c r="FA250" s="336">
        <f t="shared" si="1696"/>
        <v>0</v>
      </c>
      <c r="FB250" s="336">
        <f t="shared" si="1697"/>
        <v>0</v>
      </c>
      <c r="FC250" s="336">
        <f t="shared" si="1698"/>
        <v>0</v>
      </c>
      <c r="FD250" s="336">
        <f t="shared" si="1699"/>
        <v>0</v>
      </c>
      <c r="FE250" s="336">
        <f t="shared" si="1700"/>
        <v>0</v>
      </c>
      <c r="FF250" s="336">
        <f t="shared" si="1701"/>
        <v>0</v>
      </c>
      <c r="FG250" s="336">
        <f t="shared" si="1702"/>
        <v>0</v>
      </c>
      <c r="FH250" s="336">
        <f t="shared" si="1703"/>
        <v>0</v>
      </c>
      <c r="FI250" s="336">
        <f t="shared" si="1704"/>
        <v>0</v>
      </c>
      <c r="FJ250" s="336">
        <f t="shared" si="1705"/>
        <v>0</v>
      </c>
      <c r="FK250" s="336">
        <f t="shared" si="1706"/>
        <v>0</v>
      </c>
      <c r="FL250" s="336">
        <f t="shared" si="1707"/>
        <v>0</v>
      </c>
      <c r="FM250" s="336">
        <f t="shared" si="1708"/>
        <v>0</v>
      </c>
      <c r="FN250" s="336">
        <f t="shared" si="1709"/>
        <v>0</v>
      </c>
      <c r="FO250" s="336">
        <f t="shared" si="1710"/>
        <v>0</v>
      </c>
      <c r="FP250" s="336">
        <f t="shared" si="1711"/>
        <v>0</v>
      </c>
      <c r="FQ250" s="336">
        <f t="shared" si="1712"/>
        <v>0</v>
      </c>
      <c r="FR250" s="336">
        <f t="shared" si="1713"/>
        <v>0</v>
      </c>
      <c r="FS250" s="336">
        <f t="shared" si="1714"/>
        <v>0</v>
      </c>
      <c r="FT250" s="336">
        <f t="shared" si="1715"/>
        <v>0</v>
      </c>
      <c r="FU250" s="336">
        <f t="shared" si="1751"/>
        <v>0</v>
      </c>
      <c r="FV250" s="336">
        <f t="shared" si="1752"/>
        <v>0</v>
      </c>
      <c r="FW250" s="336">
        <f t="shared" si="1753"/>
        <v>0</v>
      </c>
      <c r="FX250" s="336">
        <f t="shared" si="1754"/>
        <v>0</v>
      </c>
      <c r="FY250" s="336">
        <f t="shared" si="1734"/>
        <v>0</v>
      </c>
      <c r="FZ250" s="336">
        <f t="shared" si="1735"/>
        <v>0</v>
      </c>
      <c r="GA250" s="336">
        <f t="shared" si="1736"/>
        <v>0</v>
      </c>
      <c r="GB250" s="336">
        <f t="shared" si="1737"/>
        <v>0</v>
      </c>
      <c r="GC250" s="336">
        <f t="shared" si="1738"/>
        <v>0</v>
      </c>
      <c r="GD250" s="336">
        <f t="shared" si="1739"/>
        <v>0</v>
      </c>
      <c r="GE250" s="336">
        <f t="shared" si="1740"/>
        <v>0</v>
      </c>
      <c r="GF250" s="336">
        <f t="shared" si="1741"/>
        <v>0</v>
      </c>
      <c r="GG250" s="336">
        <f t="shared" si="1742"/>
        <v>0</v>
      </c>
      <c r="GH250" s="336">
        <f t="shared" si="1743"/>
        <v>0</v>
      </c>
      <c r="GI250" s="336">
        <f t="shared" si="1744"/>
        <v>0</v>
      </c>
      <c r="GJ250" s="336">
        <f t="shared" si="1745"/>
        <v>0</v>
      </c>
      <c r="GK250" s="336">
        <f t="shared" si="1746"/>
        <v>0</v>
      </c>
      <c r="GL250" s="336">
        <f t="shared" si="1755"/>
        <v>0</v>
      </c>
      <c r="GM250" s="336">
        <f t="shared" si="1747"/>
        <v>0</v>
      </c>
    </row>
    <row r="251" spans="1:195" s="60" customFormat="1" ht="33.75" customHeight="1">
      <c r="A251" s="710"/>
      <c r="B251" s="710"/>
      <c r="C251" s="711"/>
      <c r="D251" s="477" t="s">
        <v>1397</v>
      </c>
      <c r="E251" s="712"/>
      <c r="F251" s="710"/>
      <c r="G251" s="713"/>
      <c r="H251" s="714"/>
      <c r="I251" s="715"/>
      <c r="J251" s="715"/>
      <c r="K251" s="715"/>
      <c r="L251" s="714"/>
      <c r="M251" s="714"/>
      <c r="N251" s="716"/>
      <c r="O251" s="716"/>
      <c r="P251" s="717"/>
      <c r="Q251" s="714"/>
      <c r="R251" s="714"/>
      <c r="S251" s="714"/>
      <c r="T251" s="717"/>
      <c r="U251" s="714"/>
      <c r="V251" s="717"/>
      <c r="W251" s="717"/>
      <c r="X251" s="717"/>
      <c r="Y251" s="717"/>
      <c r="Z251" s="718"/>
      <c r="AA251" s="719"/>
      <c r="AB251" s="719"/>
      <c r="AC251" s="719"/>
      <c r="AD251" s="719"/>
      <c r="AE251" s="719"/>
      <c r="AF251" s="719"/>
      <c r="AG251" s="719"/>
      <c r="AH251" s="720"/>
      <c r="AI251" s="718"/>
      <c r="AJ251" s="716"/>
      <c r="AK251" s="718"/>
      <c r="AL251" s="718"/>
      <c r="AM251" s="718"/>
      <c r="AN251" s="721"/>
      <c r="AO251" s="714"/>
      <c r="AP251" s="722"/>
      <c r="AQ251" s="714"/>
      <c r="AR251" s="721"/>
      <c r="AS251" s="717"/>
      <c r="AT251" s="721"/>
      <c r="AU251" s="721"/>
      <c r="AV251" s="723"/>
      <c r="AW251" s="723"/>
      <c r="AX251" s="717"/>
      <c r="AY251" s="724"/>
      <c r="AZ251" s="724"/>
      <c r="BA251" s="724"/>
      <c r="BB251" s="753"/>
      <c r="BC251" s="754"/>
      <c r="BE251" s="527"/>
      <c r="BF251" s="527"/>
      <c r="BG251" s="527"/>
      <c r="BH251" s="527"/>
      <c r="BI251" s="527"/>
      <c r="BJ251" s="527"/>
      <c r="BK251" s="527"/>
      <c r="BL251" s="527"/>
      <c r="BM251" s="527"/>
      <c r="BN251" s="527"/>
      <c r="BO251" s="527"/>
      <c r="BP251" s="527"/>
      <c r="BQ251" s="527"/>
      <c r="BR251" s="527"/>
      <c r="BS251" s="527"/>
      <c r="BT251" s="527"/>
      <c r="BU251" s="527"/>
      <c r="BV251" s="527"/>
      <c r="BW251" s="527"/>
      <c r="BX251" s="527"/>
      <c r="BY251" s="527"/>
      <c r="BZ251" s="527"/>
      <c r="CA251" s="527"/>
      <c r="CB251" s="527"/>
      <c r="CC251" s="527"/>
      <c r="CD251" s="527"/>
      <c r="CE251" s="527"/>
      <c r="CF251" s="527"/>
      <c r="CG251" s="527"/>
      <c r="CH251" s="527"/>
      <c r="CI251" s="527"/>
      <c r="CJ251" s="527"/>
      <c r="CK251" s="527"/>
      <c r="CL251" s="527"/>
      <c r="CM251" s="527"/>
      <c r="CN251" s="527"/>
      <c r="CO251" s="527"/>
      <c r="CP251" s="527"/>
      <c r="CQ251" s="527"/>
      <c r="CR251" s="527"/>
      <c r="CS251" s="527"/>
      <c r="CT251" s="527"/>
      <c r="CU251" s="527"/>
      <c r="CV251" s="527"/>
      <c r="CW251" s="527"/>
      <c r="CX251" s="527"/>
      <c r="CY251" s="527"/>
      <c r="CZ251" s="784"/>
      <c r="DA251" s="784"/>
      <c r="DB251" s="784"/>
      <c r="DC251" s="784"/>
      <c r="DD251" s="784"/>
      <c r="DE251" s="784"/>
      <c r="DF251" s="784"/>
      <c r="DG251" s="784"/>
      <c r="DH251" s="784"/>
      <c r="DI251" s="784"/>
      <c r="DJ251" s="784"/>
      <c r="DK251" s="784"/>
      <c r="DL251" s="784"/>
      <c r="DM251" s="784"/>
      <c r="DN251" s="784"/>
      <c r="DO251" s="784"/>
      <c r="DP251" s="784"/>
      <c r="DQ251" s="785"/>
      <c r="DR251" s="784"/>
      <c r="DS251" s="784"/>
      <c r="DT251" s="784"/>
      <c r="DU251" s="785"/>
      <c r="DV251" s="61"/>
      <c r="DW251" s="336">
        <f t="shared" si="1733"/>
        <v>0</v>
      </c>
      <c r="DX251" s="336">
        <f t="shared" si="1668"/>
        <v>0</v>
      </c>
      <c r="DY251" s="336">
        <f t="shared" si="1669"/>
        <v>0</v>
      </c>
      <c r="DZ251" s="336">
        <f t="shared" si="1670"/>
        <v>0</v>
      </c>
      <c r="EA251" s="336">
        <f t="shared" si="1671"/>
        <v>0</v>
      </c>
      <c r="EB251" s="336">
        <f t="shared" si="1672"/>
        <v>0</v>
      </c>
      <c r="EC251" s="336">
        <f t="shared" si="1673"/>
        <v>0</v>
      </c>
      <c r="ED251" s="336">
        <f t="shared" si="1674"/>
        <v>0</v>
      </c>
      <c r="EE251" s="336">
        <f t="shared" si="1675"/>
        <v>0</v>
      </c>
      <c r="EF251" s="336">
        <f t="shared" si="1676"/>
        <v>0</v>
      </c>
      <c r="EG251" s="336">
        <f t="shared" si="1677"/>
        <v>0</v>
      </c>
      <c r="EH251" s="336">
        <f t="shared" si="1678"/>
        <v>0</v>
      </c>
      <c r="EI251" s="336">
        <f t="shared" si="1679"/>
        <v>0</v>
      </c>
      <c r="EJ251" s="336">
        <f t="shared" si="1680"/>
        <v>0</v>
      </c>
      <c r="EK251" s="336">
        <f t="shared" si="1681"/>
        <v>0</v>
      </c>
      <c r="EL251" s="336">
        <f t="shared" si="1682"/>
        <v>0</v>
      </c>
      <c r="EM251" s="336">
        <f t="shared" si="1683"/>
        <v>0</v>
      </c>
      <c r="EN251" s="336">
        <f t="shared" si="1684"/>
        <v>0</v>
      </c>
      <c r="EO251" s="336">
        <f t="shared" si="1685"/>
        <v>0</v>
      </c>
      <c r="EP251" s="336">
        <f t="shared" si="1686"/>
        <v>0</v>
      </c>
      <c r="EQ251" s="336">
        <f t="shared" si="1687"/>
        <v>0</v>
      </c>
      <c r="ER251" s="336">
        <f t="shared" si="1688"/>
        <v>0</v>
      </c>
      <c r="ES251" s="336">
        <f t="shared" si="1689"/>
        <v>0</v>
      </c>
      <c r="ET251" s="336">
        <f t="shared" si="1689"/>
        <v>0</v>
      </c>
      <c r="EU251" s="336">
        <f t="shared" si="1690"/>
        <v>0</v>
      </c>
      <c r="EV251" s="336">
        <f t="shared" si="1691"/>
        <v>0</v>
      </c>
      <c r="EW251" s="336">
        <f t="shared" si="1692"/>
        <v>0</v>
      </c>
      <c r="EX251" s="336">
        <f t="shared" si="1693"/>
        <v>0</v>
      </c>
      <c r="EY251" s="336">
        <f t="shared" si="1694"/>
        <v>0</v>
      </c>
      <c r="EZ251" s="336">
        <f t="shared" si="1695"/>
        <v>0</v>
      </c>
      <c r="FA251" s="336">
        <f t="shared" si="1696"/>
        <v>0</v>
      </c>
      <c r="FB251" s="336">
        <f t="shared" si="1697"/>
        <v>0</v>
      </c>
      <c r="FC251" s="336">
        <f t="shared" si="1698"/>
        <v>0</v>
      </c>
      <c r="FD251" s="336">
        <f t="shared" si="1699"/>
        <v>0</v>
      </c>
      <c r="FE251" s="336">
        <f t="shared" si="1700"/>
        <v>0</v>
      </c>
      <c r="FF251" s="336">
        <f t="shared" si="1701"/>
        <v>0</v>
      </c>
      <c r="FG251" s="336">
        <f t="shared" si="1702"/>
        <v>0</v>
      </c>
      <c r="FH251" s="336">
        <f t="shared" si="1703"/>
        <v>0</v>
      </c>
      <c r="FI251" s="336">
        <f t="shared" si="1704"/>
        <v>0</v>
      </c>
      <c r="FJ251" s="336">
        <f t="shared" si="1705"/>
        <v>0</v>
      </c>
      <c r="FK251" s="336">
        <f t="shared" si="1706"/>
        <v>0</v>
      </c>
      <c r="FL251" s="336">
        <f t="shared" si="1707"/>
        <v>0</v>
      </c>
      <c r="FM251" s="336">
        <f t="shared" si="1708"/>
        <v>0</v>
      </c>
      <c r="FN251" s="336">
        <f t="shared" si="1709"/>
        <v>0</v>
      </c>
      <c r="FO251" s="336">
        <f t="shared" si="1710"/>
        <v>0</v>
      </c>
      <c r="FP251" s="336">
        <f t="shared" si="1711"/>
        <v>0</v>
      </c>
      <c r="FQ251" s="336">
        <f t="shared" si="1712"/>
        <v>0</v>
      </c>
      <c r="FR251" s="336">
        <f t="shared" si="1713"/>
        <v>0</v>
      </c>
      <c r="FS251" s="336">
        <f t="shared" si="1714"/>
        <v>0</v>
      </c>
      <c r="FT251" s="336">
        <f t="shared" si="1715"/>
        <v>0</v>
      </c>
      <c r="FU251" s="336">
        <f t="shared" si="1751"/>
        <v>0</v>
      </c>
      <c r="FV251" s="336">
        <f t="shared" si="1752"/>
        <v>0</v>
      </c>
      <c r="FW251" s="336">
        <f t="shared" si="1753"/>
        <v>0</v>
      </c>
      <c r="FX251" s="336">
        <f t="shared" si="1754"/>
        <v>0</v>
      </c>
      <c r="FY251" s="336">
        <f t="shared" si="1734"/>
        <v>0</v>
      </c>
      <c r="FZ251" s="336">
        <f t="shared" si="1735"/>
        <v>0</v>
      </c>
      <c r="GA251" s="336">
        <f t="shared" si="1736"/>
        <v>0</v>
      </c>
      <c r="GB251" s="336">
        <f t="shared" si="1737"/>
        <v>0</v>
      </c>
      <c r="GC251" s="336">
        <f t="shared" si="1738"/>
        <v>0</v>
      </c>
      <c r="GD251" s="336">
        <f t="shared" si="1739"/>
        <v>0</v>
      </c>
      <c r="GE251" s="336">
        <f t="shared" si="1740"/>
        <v>0</v>
      </c>
      <c r="GF251" s="336">
        <f t="shared" si="1741"/>
        <v>0</v>
      </c>
      <c r="GG251" s="336">
        <f t="shared" si="1742"/>
        <v>0</v>
      </c>
      <c r="GH251" s="336">
        <f t="shared" si="1743"/>
        <v>0</v>
      </c>
      <c r="GI251" s="336">
        <f t="shared" si="1744"/>
        <v>0</v>
      </c>
      <c r="GJ251" s="336">
        <f t="shared" si="1745"/>
        <v>0</v>
      </c>
      <c r="GK251" s="336">
        <f t="shared" si="1746"/>
        <v>0</v>
      </c>
      <c r="GL251" s="336">
        <f t="shared" si="1755"/>
        <v>0</v>
      </c>
      <c r="GM251" s="336">
        <f t="shared" si="1747"/>
        <v>0</v>
      </c>
    </row>
    <row r="252" spans="1:195" ht="27.75" customHeight="1">
      <c r="A252" s="337">
        <f>A250+1</f>
        <v>201</v>
      </c>
      <c r="B252" s="453"/>
      <c r="C252" s="372" t="str">
        <f>$D$251</f>
        <v>CANTEEN BUILDING HVAC DB</v>
      </c>
      <c r="D252" s="444" t="s">
        <v>1398</v>
      </c>
      <c r="E252" s="569"/>
      <c r="F252" s="500"/>
      <c r="G252" s="337" t="s">
        <v>329</v>
      </c>
      <c r="H252" s="583">
        <v>3.5</v>
      </c>
      <c r="I252" s="337" t="s">
        <v>330</v>
      </c>
      <c r="J252" s="349" t="s">
        <v>357</v>
      </c>
      <c r="K252" s="349">
        <v>230</v>
      </c>
      <c r="L252" s="343">
        <v>0.95</v>
      </c>
      <c r="M252" s="350">
        <v>0.85</v>
      </c>
      <c r="N252" s="342">
        <f t="shared" si="1596"/>
        <v>18.845066630771303</v>
      </c>
      <c r="O252" s="342">
        <f t="shared" ref="O252:O269" si="1756">IF(G252="MOTOR",(6*N252),IF(G252="VFD",(1*N252),0))</f>
        <v>0</v>
      </c>
      <c r="P252" s="343" t="str">
        <f t="shared" si="1598"/>
        <v>0.00</v>
      </c>
      <c r="Q252" s="350">
        <v>65</v>
      </c>
      <c r="R252" s="350">
        <v>0</v>
      </c>
      <c r="S252" s="350">
        <f t="shared" si="1582"/>
        <v>0</v>
      </c>
      <c r="T252" s="343" t="s">
        <v>332</v>
      </c>
      <c r="U252" s="350" t="s">
        <v>333</v>
      </c>
      <c r="V252" s="343">
        <v>16</v>
      </c>
      <c r="W252" s="343" t="str">
        <f t="shared" si="1583"/>
        <v>3C X 16</v>
      </c>
      <c r="X252" s="343" t="str">
        <f t="shared" ref="X252:X269" si="1757">(IF(J252="1Ph",W252,IF(J252="3Ph",(IF(G252="MOTOR",(CONCATENATE(W252,"+PE")),W252)))))</f>
        <v>3C X 16</v>
      </c>
      <c r="Y252" s="343" t="s">
        <v>358</v>
      </c>
      <c r="Z252" s="344">
        <f>IF(T252="AIR",VLOOKUP(W252,'Catalogue Aluminium'!$B$9:$G$93,2,FALSE),IF(T252="GROUND",VLOOKUP(W252,'Catalogue Aluminium'!$B$9:$G$93,3,FALSE),IF(T252="DUCT",VLOOKUP(W252,'Catalogue Aluminium'!$B$9:$G$93,4,FALSE),IF(T252="TRENCH",VLOOKUP(W252,'Catalogue Aluminium'!$B$9:$G$93,2,FALSE)))))</f>
        <v>70</v>
      </c>
      <c r="AA252" s="345">
        <f>VLOOKUP(W252,'Catalogue Aluminium'!$B$9:$G$93,5,FALSE)</f>
        <v>2.44</v>
      </c>
      <c r="AB252" s="345">
        <f>VLOOKUP(W252,'Catalogue Aluminium'!$B$9:$G$93,6,FALSE)</f>
        <v>8.1500000000000003E-2</v>
      </c>
      <c r="AC252" s="343">
        <f>22+8</f>
        <v>30</v>
      </c>
      <c r="AD252" s="343">
        <v>0</v>
      </c>
      <c r="AE252" s="343">
        <v>10</v>
      </c>
      <c r="AF252" s="343">
        <v>5</v>
      </c>
      <c r="AG252" s="343">
        <f t="shared" si="1730"/>
        <v>5</v>
      </c>
      <c r="AH252" s="347">
        <f t="shared" ref="AH252:AH269" si="1758">SUM(AC252:AG252)</f>
        <v>50</v>
      </c>
      <c r="AI252" s="344">
        <f>IF(T252="AIR",'Catalogue Aluminium'!$K$9,IF(T252="TRENCH",'Catalogue Aluminium'!$K$12,"NA"))</f>
        <v>0.89</v>
      </c>
      <c r="AJ252" s="342">
        <f>IF(T252="Air",(IF(U252="1C",'Catalogue Aluminium'!$L$9,'Catalogue Aluminium'!$M$9)),IF(T252="DUCT",(IF($U252="1C",'Catalogue Aluminium'!$L$10,'Catalogue Aluminium'!$M$10)),IF(T252="GROUND",(IF($U252="1C",'Catalogue Aluminium'!$L$11,'Catalogue Aluminium'!$M$11)),IF(T252="TRENCH",(IF($U252="1C",'Catalogue Aluminium'!$L$12,'Catalogue Aluminium'!$M$12))))))</f>
        <v>0.66</v>
      </c>
      <c r="AK252" s="344" t="str">
        <f>IF(T252="Air",'Catalogue Aluminium'!$N$9,IF(T252="GROUND",'Catalogue Aluminium'!$N$10,IF(T252="DUCT",'Catalogue Aluminium'!$N$11,IF(T252="TRENCH",'Catalogue Aluminium'!$N$12,"NA"))))</f>
        <v>NA</v>
      </c>
      <c r="AL252" s="344" t="str">
        <f>IF(T252="Air",(IF(U252="1C",'Catalogue Aluminium'!$O$9,'Catalogue Aluminium'!$P$9)),IF(T252="DUCT",(IF($U252="1C",'Catalogue Aluminium'!$O$10,'Catalogue Aluminium'!$P$10)),IF(T252="GROUND",(IF($U252="1C",'Catalogue Aluminium'!$O$11,'Catalogue Aluminium'!$P$11)),IF(T252="TRENCH",(IF($U252="1C",'Catalogue Aluminium'!$O$12,'Catalogue Aluminium'!$P$12))))))</f>
        <v>NA</v>
      </c>
      <c r="AM252" s="344" t="str">
        <f>IF(T252="AIR","NA",IF(T252="TRENCH","NA",IF(T252="DUCT",IF(U252="1C",VLOOKUP(V252,'Catalogue Aluminium'!$Q$9:$S$28,2,FALSE),VLOOKUP(V252,'Catalogue Aluminium'!$Q$9:$S$28,3)),IF(T252="GROUND",IF(U252="1C",VLOOKUP(V252,'Catalogue Aluminium'!$Q$9:$S$28,2,FALSE),VLOOKUP(V252,'Catalogue Aluminium'!$Q$9:$S$28,3))))))</f>
        <v>NA</v>
      </c>
      <c r="AN252" s="351">
        <f t="shared" ref="AN252:AN269" si="1759">IF(T252="AIR",AI252*AJ252,IF(T252="TRENCH",AI252*AJ252,IF(T252="DUCT",AJ252*AK252*AL252*AM252,IF(T252="GROUND",AJ252*AK252*AL252*AM252))))</f>
        <v>0.58740000000000003</v>
      </c>
      <c r="AO252" s="350">
        <f t="shared" ref="AO252:AO269" si="1760">Z252*AN252</f>
        <v>41.118000000000002</v>
      </c>
      <c r="AP252" s="349">
        <f t="shared" ref="AP252:AP269" si="1761">CEILING(((N252)/AO252),1)</f>
        <v>1</v>
      </c>
      <c r="AQ252" s="350" t="str">
        <f t="shared" ref="AQ252:AQ269" si="1762">IF(AO252*AP252&gt;=N252,"YES","NO")</f>
        <v>YES</v>
      </c>
      <c r="AR252" s="351">
        <f t="shared" si="1731"/>
        <v>1.6628606725705042</v>
      </c>
      <c r="AS252" s="343" t="str">
        <f t="shared" si="1732"/>
        <v>YES</v>
      </c>
      <c r="AT252" s="351" t="str">
        <f t="shared" ref="AT252:AT258" si="1763">IF(G252="MOTOR",(SQRT(3)*AH252*O252*((AA252*P252)+(AB252*SIN(ACOS(P252))))*100/(AP252*K252*1000)),"NA")</f>
        <v>NA</v>
      </c>
      <c r="AU252" s="343" t="str">
        <f t="shared" ref="AU252:AU269" si="1764">IF(G252="MOTOR",IF(AT252&lt;=15,"YES","NO"),"NA")</f>
        <v>NA</v>
      </c>
      <c r="AV252" s="354" t="str">
        <f t="shared" ref="AV252:AV269" si="1765">IF(U252="1C",CONCATENATE(AP252,"R x ",Y252,"kV x ",U252," x ",V252," Sqmm/Phase"),CONCATENATE(AP252,"R x ",0.6,"/1kV x ",U252," x ",V252," Sqmm"))</f>
        <v>1R x 0.6/1kV x 3C x 16 Sqmm</v>
      </c>
      <c r="AW252" s="354" t="str">
        <f t="shared" ref="AW252:AW269" si="1766">IF(U252="1C",CONCATENATE(AP252,"R x ",Y252,"kV x ",U252," x ",V252," Sqmm/Phase"),CONCATENATE(AP252,"R x ",0.6,"/1kV x ",U252," x ",V252,(IF(G252="MOTOR","+PE",""))," Sqmm"))</f>
        <v>1R x 0.6/1kV x 3C x 16 Sqmm</v>
      </c>
      <c r="AX252" s="343">
        <f t="shared" ref="AX252:AX258" si="1767">(IF(K252=400,(IF(U252="1C",(4*AH252*AP252),(AH252*AP252))),IF(K252=230,(AH252*AP252))))</f>
        <v>50</v>
      </c>
      <c r="AY252" s="355"/>
      <c r="AZ252" s="355">
        <f t="shared" ref="AZ252:AZ258" si="1768">IF(U252="1C",(3*AP252*2),(AP252*2))</f>
        <v>2</v>
      </c>
      <c r="BA252" s="356" t="str">
        <f t="shared" ref="BA252:BA269" si="1769">CONCATENATE(IF(BE252=1,BE$4,""),IF(BF252=1,BF$4,""),IF(BG252=1,BG$4,""),IF(BH252=1,BH$4,""),IF(BI252=1,BI$4,""),IF(BJ252=1,BJ$4,""),IF(BK252=1,BK$4,""),IF(BL252=1,BL$4,""),IF(BM252=1,BM$4,""),IF(BN252=1,BN$4,""),IF(BO252=1,BO$4,""),IF(BP252=1,BP$4,""),IF(BQ252=1,BQ$4,""),IF(BR252=1,BR$4,""),IF(BS252=1,BS$4,""),IF(BT252=1,BT$4,""),IF(BU252=1,BU$4,""),IF(BV252=1,BV$4,""),IF(BW252=1,BW$4,""),IF(BX252=1,BX$4,""),IF(BY252=1,BY$4,""),IF(BZ252=1,BZ$4,""),IF(CA252=1,CA$4,""),IF(CB252=1,CB$4,""),IF(CC252=1,CC$4,""),IF(CD252=1,CD$4,""),IF(CE252=1,CE$4,""),IF(CF252=1,CF$4,""),IF(CG252=1,CG$4,""),IF(CH252=1,CH$4,""),IF(CI252=1,CI$4,""),IF(CJ252=1,CJ$4,""),IF(CK252=1,CK$4,""),IF(CL252=1,CL$4,""),IF(CM252=1,CM$4,""),IF(CN252=1,CN$4,""),IF(CO252=1,CO$4,""),IF(CP252=1,CP$4,""),IF(CQ252=1,CQ$4,""),IF(CR252=1,CR$4,""),IF(CS252=1,CS$4,""),IF(CT252=1,CT$4,""),IF(CU252=1,CU$4,""),IF(CV252=1,CV$4,""),IF(CW252=1,CW$4,""),IF(CX252=1,CX$4,""),IF(CY252=1,CY$4,""),IF(CZ252=1,CZ$4,""),IF(DA252=1,DA$4,""),IF(DB252=1,DB$4,""),IF(DC252=1,DC$4,""),IF(DD252=1,DD$4,""),IF(DE252=1,DE$4,""),IF(DF252=1,DF$4,""),IF(DG252=1,DG$4,""),IF(DH252=1,DH$4,""),IF(DI252=1,DI$4,""),IF(DJ252=1,DJ$4,""),IF(DK252=1,DK$4,""),IF(DL252=1,DL$4,""),IF(DM252=1,DM$4,""),IF(DN252=1,DN$4,""),IF(DO252=1,DO$4,""),IF(DP252=1,DP$4,""),IF(DQ252=1,DQ$4,""),IF(DR252=1,DR$4,""),IF(DS252=1,DS$4,""),IF(DT252=1,DT$4,""),IF(DU252=1,DU$4,""))</f>
        <v/>
      </c>
      <c r="BB252" s="501">
        <f>VLOOKUP(W252,'Catalogue Aluminium'!$B$9:$H$93,7,FALSE)</f>
        <v>19</v>
      </c>
      <c r="BC252" s="328">
        <f t="shared" ref="BC252:BC258" si="1770">AP252*BB252</f>
        <v>19</v>
      </c>
      <c r="BE252" s="758"/>
      <c r="BF252" s="758"/>
      <c r="BG252" s="758"/>
      <c r="BH252" s="758"/>
      <c r="BI252" s="758"/>
      <c r="BJ252" s="758"/>
      <c r="BK252" s="758"/>
      <c r="BL252" s="758"/>
      <c r="BM252" s="758"/>
      <c r="BN252" s="758"/>
      <c r="BO252" s="758"/>
      <c r="BP252" s="758"/>
      <c r="BQ252" s="758"/>
      <c r="BR252" s="758"/>
      <c r="BS252" s="758"/>
      <c r="BT252" s="758"/>
      <c r="BU252" s="758"/>
      <c r="BV252" s="758"/>
      <c r="BW252" s="758"/>
      <c r="BX252" s="758"/>
      <c r="BY252" s="758"/>
      <c r="BZ252" s="758"/>
      <c r="CA252" s="758"/>
      <c r="CB252" s="758"/>
      <c r="CC252" s="758"/>
      <c r="CD252" s="758"/>
      <c r="CE252" s="758"/>
      <c r="CF252" s="758"/>
      <c r="CG252" s="758"/>
      <c r="CH252" s="758"/>
      <c r="CI252" s="758"/>
      <c r="CJ252" s="758"/>
      <c r="CK252" s="758"/>
      <c r="CL252" s="758"/>
      <c r="CM252" s="758"/>
      <c r="CN252" s="758"/>
      <c r="CO252" s="758"/>
      <c r="CP252" s="758"/>
      <c r="CQ252" s="758"/>
      <c r="CR252" s="758"/>
      <c r="CS252" s="758"/>
      <c r="CT252" s="758"/>
      <c r="CU252" s="758"/>
      <c r="CV252" s="758"/>
      <c r="CW252" s="758"/>
      <c r="CX252" s="758"/>
      <c r="CY252" s="758"/>
      <c r="CZ252" s="336"/>
      <c r="DA252" s="336"/>
      <c r="DB252" s="336"/>
      <c r="DC252" s="336"/>
      <c r="DD252" s="336"/>
      <c r="DE252" s="336"/>
      <c r="DF252" s="336"/>
      <c r="DG252" s="336"/>
      <c r="DH252" s="336"/>
      <c r="DI252" s="336"/>
      <c r="DJ252" s="336"/>
      <c r="DK252" s="336"/>
      <c r="DL252" s="336"/>
      <c r="DM252" s="336"/>
      <c r="DN252" s="336"/>
      <c r="DO252" s="336"/>
      <c r="DP252" s="336"/>
      <c r="DQ252" s="336"/>
      <c r="DR252" s="336"/>
      <c r="DS252" s="336"/>
      <c r="DT252" s="336"/>
      <c r="DU252" s="336"/>
      <c r="DW252" s="336">
        <f t="shared" si="1733"/>
        <v>0</v>
      </c>
      <c r="DX252" s="336">
        <f t="shared" si="1668"/>
        <v>0</v>
      </c>
      <c r="DY252" s="336">
        <f t="shared" si="1669"/>
        <v>0</v>
      </c>
      <c r="DZ252" s="336">
        <f t="shared" si="1670"/>
        <v>0</v>
      </c>
      <c r="EA252" s="336">
        <f t="shared" si="1671"/>
        <v>0</v>
      </c>
      <c r="EB252" s="336">
        <f t="shared" si="1672"/>
        <v>0</v>
      </c>
      <c r="EC252" s="336">
        <f t="shared" si="1673"/>
        <v>0</v>
      </c>
      <c r="ED252" s="336">
        <f t="shared" si="1674"/>
        <v>0</v>
      </c>
      <c r="EE252" s="336">
        <f t="shared" si="1675"/>
        <v>0</v>
      </c>
      <c r="EF252" s="336">
        <f t="shared" si="1676"/>
        <v>0</v>
      </c>
      <c r="EG252" s="336">
        <f t="shared" si="1677"/>
        <v>0</v>
      </c>
      <c r="EH252" s="336">
        <f t="shared" si="1678"/>
        <v>0</v>
      </c>
      <c r="EI252" s="336">
        <f t="shared" si="1679"/>
        <v>0</v>
      </c>
      <c r="EJ252" s="336">
        <f t="shared" si="1680"/>
        <v>0</v>
      </c>
      <c r="EK252" s="336">
        <f t="shared" si="1681"/>
        <v>0</v>
      </c>
      <c r="EL252" s="336">
        <f t="shared" si="1682"/>
        <v>0</v>
      </c>
      <c r="EM252" s="336">
        <f t="shared" si="1683"/>
        <v>0</v>
      </c>
      <c r="EN252" s="336">
        <f t="shared" si="1684"/>
        <v>0</v>
      </c>
      <c r="EO252" s="336">
        <f t="shared" si="1685"/>
        <v>0</v>
      </c>
      <c r="EP252" s="336">
        <f t="shared" si="1686"/>
        <v>0</v>
      </c>
      <c r="EQ252" s="336">
        <f t="shared" si="1687"/>
        <v>0</v>
      </c>
      <c r="ER252" s="336">
        <f t="shared" si="1688"/>
        <v>0</v>
      </c>
      <c r="ES252" s="336">
        <f t="shared" si="1689"/>
        <v>0</v>
      </c>
      <c r="ET252" s="336">
        <f t="shared" si="1689"/>
        <v>0</v>
      </c>
      <c r="EU252" s="336">
        <f t="shared" si="1690"/>
        <v>0</v>
      </c>
      <c r="EV252" s="336">
        <f t="shared" si="1691"/>
        <v>0</v>
      </c>
      <c r="EW252" s="336">
        <f t="shared" si="1692"/>
        <v>0</v>
      </c>
      <c r="EX252" s="336">
        <f t="shared" si="1693"/>
        <v>0</v>
      </c>
      <c r="EY252" s="336">
        <f t="shared" si="1694"/>
        <v>0</v>
      </c>
      <c r="EZ252" s="336">
        <f t="shared" si="1695"/>
        <v>0</v>
      </c>
      <c r="FA252" s="336">
        <f t="shared" si="1696"/>
        <v>0</v>
      </c>
      <c r="FB252" s="336">
        <f t="shared" si="1697"/>
        <v>0</v>
      </c>
      <c r="FC252" s="336">
        <f t="shared" si="1698"/>
        <v>0</v>
      </c>
      <c r="FD252" s="336">
        <f t="shared" si="1699"/>
        <v>0</v>
      </c>
      <c r="FE252" s="336">
        <f t="shared" si="1700"/>
        <v>0</v>
      </c>
      <c r="FF252" s="336">
        <f t="shared" si="1701"/>
        <v>0</v>
      </c>
      <c r="FG252" s="336">
        <f t="shared" si="1702"/>
        <v>0</v>
      </c>
      <c r="FH252" s="336">
        <f t="shared" si="1703"/>
        <v>0</v>
      </c>
      <c r="FI252" s="336">
        <f t="shared" si="1704"/>
        <v>0</v>
      </c>
      <c r="FJ252" s="336">
        <f t="shared" si="1705"/>
        <v>0</v>
      </c>
      <c r="FK252" s="336">
        <f t="shared" si="1706"/>
        <v>0</v>
      </c>
      <c r="FL252" s="336">
        <f t="shared" si="1707"/>
        <v>0</v>
      </c>
      <c r="FM252" s="336">
        <f t="shared" si="1708"/>
        <v>0</v>
      </c>
      <c r="FN252" s="336">
        <f t="shared" si="1709"/>
        <v>0</v>
      </c>
      <c r="FO252" s="336">
        <f t="shared" si="1710"/>
        <v>0</v>
      </c>
      <c r="FP252" s="336">
        <f t="shared" si="1711"/>
        <v>0</v>
      </c>
      <c r="FQ252" s="336">
        <f t="shared" si="1712"/>
        <v>0</v>
      </c>
      <c r="FR252" s="336">
        <f t="shared" si="1713"/>
        <v>0</v>
      </c>
      <c r="FS252" s="336">
        <f t="shared" si="1714"/>
        <v>0</v>
      </c>
      <c r="FT252" s="336">
        <f t="shared" si="1715"/>
        <v>0</v>
      </c>
      <c r="FU252" s="336">
        <f t="shared" si="1751"/>
        <v>0</v>
      </c>
      <c r="FV252" s="336">
        <f t="shared" si="1752"/>
        <v>0</v>
      </c>
      <c r="FW252" s="336">
        <f t="shared" si="1753"/>
        <v>0</v>
      </c>
      <c r="FX252" s="336">
        <f t="shared" si="1754"/>
        <v>0</v>
      </c>
      <c r="FY252" s="336">
        <f t="shared" si="1734"/>
        <v>0</v>
      </c>
      <c r="FZ252" s="336">
        <f t="shared" si="1735"/>
        <v>0</v>
      </c>
      <c r="GA252" s="336">
        <f t="shared" si="1736"/>
        <v>0</v>
      </c>
      <c r="GB252" s="336">
        <f t="shared" si="1737"/>
        <v>0</v>
      </c>
      <c r="GC252" s="336">
        <f t="shared" si="1738"/>
        <v>0</v>
      </c>
      <c r="GD252" s="336">
        <f t="shared" si="1739"/>
        <v>0</v>
      </c>
      <c r="GE252" s="336">
        <f t="shared" si="1740"/>
        <v>0</v>
      </c>
      <c r="GF252" s="336">
        <f t="shared" si="1741"/>
        <v>0</v>
      </c>
      <c r="GG252" s="336">
        <f t="shared" si="1742"/>
        <v>0</v>
      </c>
      <c r="GH252" s="336">
        <f t="shared" si="1743"/>
        <v>0</v>
      </c>
      <c r="GI252" s="336">
        <f t="shared" si="1744"/>
        <v>0</v>
      </c>
      <c r="GJ252" s="336">
        <f t="shared" si="1745"/>
        <v>0</v>
      </c>
      <c r="GK252" s="336">
        <f t="shared" si="1746"/>
        <v>0</v>
      </c>
      <c r="GL252" s="336">
        <f t="shared" si="1755"/>
        <v>0</v>
      </c>
      <c r="GM252" s="336">
        <f t="shared" si="1747"/>
        <v>0</v>
      </c>
    </row>
    <row r="253" spans="1:195" ht="27.75" customHeight="1">
      <c r="A253" s="337">
        <f>A252+1</f>
        <v>202</v>
      </c>
      <c r="B253" s="453"/>
      <c r="C253" s="372" t="str">
        <f t="shared" ref="C253:C269" si="1771">$D$251</f>
        <v>CANTEEN BUILDING HVAC DB</v>
      </c>
      <c r="D253" s="444" t="s">
        <v>1399</v>
      </c>
      <c r="E253" s="569"/>
      <c r="F253" s="500"/>
      <c r="G253" s="337" t="s">
        <v>329</v>
      </c>
      <c r="H253" s="583">
        <v>3.5</v>
      </c>
      <c r="I253" s="337" t="s">
        <v>330</v>
      </c>
      <c r="J253" s="349" t="s">
        <v>357</v>
      </c>
      <c r="K253" s="349">
        <v>230</v>
      </c>
      <c r="L253" s="343">
        <v>0.95</v>
      </c>
      <c r="M253" s="350">
        <v>0.85</v>
      </c>
      <c r="N253" s="342">
        <f t="shared" si="1596"/>
        <v>18.845066630771303</v>
      </c>
      <c r="O253" s="342">
        <f t="shared" si="1756"/>
        <v>0</v>
      </c>
      <c r="P253" s="343" t="str">
        <f t="shared" si="1598"/>
        <v>0.00</v>
      </c>
      <c r="Q253" s="350">
        <v>65</v>
      </c>
      <c r="R253" s="350">
        <v>0</v>
      </c>
      <c r="S253" s="350">
        <f t="shared" si="1582"/>
        <v>0</v>
      </c>
      <c r="T253" s="343" t="s">
        <v>332</v>
      </c>
      <c r="U253" s="350" t="s">
        <v>333</v>
      </c>
      <c r="V253" s="343">
        <v>16</v>
      </c>
      <c r="W253" s="343" t="str">
        <f t="shared" si="1583"/>
        <v>3C X 16</v>
      </c>
      <c r="X253" s="343" t="str">
        <f t="shared" si="1757"/>
        <v>3C X 16</v>
      </c>
      <c r="Y253" s="343" t="s">
        <v>358</v>
      </c>
      <c r="Z253" s="344">
        <f>IF(T253="AIR",VLOOKUP(W253,'Catalogue Aluminium'!$B$9:$G$93,2,FALSE),IF(T253="GROUND",VLOOKUP(W253,'Catalogue Aluminium'!$B$9:$G$93,3,FALSE),IF(T253="DUCT",VLOOKUP(W253,'Catalogue Aluminium'!$B$9:$G$93,4,FALSE),IF(T253="TRENCH",VLOOKUP(W253,'Catalogue Aluminium'!$B$9:$G$93,2,FALSE)))))</f>
        <v>70</v>
      </c>
      <c r="AA253" s="345">
        <f>VLOOKUP(W253,'Catalogue Aluminium'!$B$9:$G$93,5,FALSE)</f>
        <v>2.44</v>
      </c>
      <c r="AB253" s="345">
        <f>VLOOKUP(W253,'Catalogue Aluminium'!$B$9:$G$93,6,FALSE)</f>
        <v>8.1500000000000003E-2</v>
      </c>
      <c r="AC253" s="343">
        <f t="shared" ref="AC253:AC269" si="1772">22+8</f>
        <v>30</v>
      </c>
      <c r="AD253" s="343">
        <v>0</v>
      </c>
      <c r="AE253" s="343">
        <v>10</v>
      </c>
      <c r="AF253" s="343">
        <v>5</v>
      </c>
      <c r="AG253" s="343">
        <f t="shared" si="1730"/>
        <v>5</v>
      </c>
      <c r="AH253" s="347">
        <f t="shared" si="1758"/>
        <v>50</v>
      </c>
      <c r="AI253" s="344">
        <f>IF(T253="AIR",'Catalogue Aluminium'!$K$9,IF(T253="TRENCH",'Catalogue Aluminium'!$K$12,"NA"))</f>
        <v>0.89</v>
      </c>
      <c r="AJ253" s="342">
        <f>IF(T253="Air",(IF(U253="1C",'Catalogue Aluminium'!$L$9,'Catalogue Aluminium'!$M$9)),IF(T253="DUCT",(IF($U253="1C",'Catalogue Aluminium'!$L$10,'Catalogue Aluminium'!$M$10)),IF(T253="GROUND",(IF($U253="1C",'Catalogue Aluminium'!$L$11,'Catalogue Aluminium'!$M$11)),IF(T253="TRENCH",(IF($U253="1C",'Catalogue Aluminium'!$L$12,'Catalogue Aluminium'!$M$12))))))</f>
        <v>0.66</v>
      </c>
      <c r="AK253" s="344" t="str">
        <f>IF(T253="Air",'Catalogue Aluminium'!$N$9,IF(T253="GROUND",'Catalogue Aluminium'!$N$10,IF(T253="DUCT",'Catalogue Aluminium'!$N$11,IF(T253="TRENCH",'Catalogue Aluminium'!$N$12,"NA"))))</f>
        <v>NA</v>
      </c>
      <c r="AL253" s="344" t="str">
        <f>IF(T253="Air",(IF(U253="1C",'Catalogue Aluminium'!$O$9,'Catalogue Aluminium'!$P$9)),IF(T253="DUCT",(IF($U253="1C",'Catalogue Aluminium'!$O$10,'Catalogue Aluminium'!$P$10)),IF(T253="GROUND",(IF($U253="1C",'Catalogue Aluminium'!$O$11,'Catalogue Aluminium'!$P$11)),IF(T253="TRENCH",(IF($U253="1C",'Catalogue Aluminium'!$O$12,'Catalogue Aluminium'!$P$12))))))</f>
        <v>NA</v>
      </c>
      <c r="AM253" s="344" t="str">
        <f>IF(T253="AIR","NA",IF(T253="TRENCH","NA",IF(T253="DUCT",IF(U253="1C",VLOOKUP(V253,'Catalogue Aluminium'!$Q$9:$S$28,2,FALSE),VLOOKUP(V253,'Catalogue Aluminium'!$Q$9:$S$28,3)),IF(T253="GROUND",IF(U253="1C",VLOOKUP(V253,'Catalogue Aluminium'!$Q$9:$S$28,2,FALSE),VLOOKUP(V253,'Catalogue Aluminium'!$Q$9:$S$28,3))))))</f>
        <v>NA</v>
      </c>
      <c r="AN253" s="351">
        <f t="shared" si="1759"/>
        <v>0.58740000000000003</v>
      </c>
      <c r="AO253" s="350">
        <f t="shared" si="1760"/>
        <v>41.118000000000002</v>
      </c>
      <c r="AP253" s="349">
        <f t="shared" si="1761"/>
        <v>1</v>
      </c>
      <c r="AQ253" s="350" t="str">
        <f t="shared" si="1762"/>
        <v>YES</v>
      </c>
      <c r="AR253" s="351">
        <f t="shared" si="1731"/>
        <v>1.6628606725705042</v>
      </c>
      <c r="AS253" s="343" t="str">
        <f t="shared" si="1732"/>
        <v>YES</v>
      </c>
      <c r="AT253" s="351" t="str">
        <f t="shared" si="1763"/>
        <v>NA</v>
      </c>
      <c r="AU253" s="343" t="str">
        <f t="shared" si="1764"/>
        <v>NA</v>
      </c>
      <c r="AV253" s="354" t="str">
        <f t="shared" si="1765"/>
        <v>1R x 0.6/1kV x 3C x 16 Sqmm</v>
      </c>
      <c r="AW253" s="354" t="str">
        <f t="shared" si="1766"/>
        <v>1R x 0.6/1kV x 3C x 16 Sqmm</v>
      </c>
      <c r="AX253" s="343">
        <f t="shared" si="1767"/>
        <v>50</v>
      </c>
      <c r="AY253" s="355"/>
      <c r="AZ253" s="355">
        <f t="shared" si="1768"/>
        <v>2</v>
      </c>
      <c r="BA253" s="356" t="str">
        <f t="shared" si="1769"/>
        <v/>
      </c>
      <c r="BB253" s="501">
        <f>VLOOKUP(W253,'Catalogue Aluminium'!$B$9:$H$93,7,FALSE)</f>
        <v>19</v>
      </c>
      <c r="BC253" s="328">
        <f t="shared" si="1770"/>
        <v>19</v>
      </c>
      <c r="BE253" s="336"/>
      <c r="BF253" s="336"/>
      <c r="BG253" s="336"/>
      <c r="BH253" s="336"/>
      <c r="BI253" s="336"/>
      <c r="BJ253" s="336"/>
      <c r="BK253" s="336"/>
      <c r="BL253" s="336"/>
      <c r="BM253" s="336"/>
      <c r="BN253" s="336"/>
      <c r="BO253" s="336"/>
      <c r="BP253" s="336"/>
      <c r="BQ253" s="336"/>
      <c r="BR253" s="336"/>
      <c r="BS253" s="336"/>
      <c r="BT253" s="336"/>
      <c r="BU253" s="336"/>
      <c r="BV253" s="336"/>
      <c r="BW253" s="336"/>
      <c r="BX253" s="336"/>
      <c r="BY253" s="336"/>
      <c r="BZ253" s="336"/>
      <c r="CA253" s="336"/>
      <c r="CB253" s="336"/>
      <c r="CC253" s="336"/>
      <c r="CD253" s="336"/>
      <c r="CE253" s="336"/>
      <c r="CF253" s="336"/>
      <c r="CG253" s="336"/>
      <c r="CH253" s="336"/>
      <c r="CI253" s="336"/>
      <c r="CJ253" s="336"/>
      <c r="CK253" s="336"/>
      <c r="CL253" s="336"/>
      <c r="CM253" s="336"/>
      <c r="CN253" s="336"/>
      <c r="CO253" s="336"/>
      <c r="CP253" s="336"/>
      <c r="CQ253" s="336"/>
      <c r="CR253" s="336"/>
      <c r="CS253" s="336"/>
      <c r="CT253" s="336"/>
      <c r="CU253" s="336"/>
      <c r="CV253" s="336"/>
      <c r="CW253" s="336"/>
      <c r="CX253" s="336"/>
      <c r="CY253" s="336"/>
      <c r="CZ253" s="336"/>
      <c r="DA253" s="336"/>
      <c r="DB253" s="336"/>
      <c r="DC253" s="336"/>
      <c r="DD253" s="336"/>
      <c r="DE253" s="336"/>
      <c r="DF253" s="336"/>
      <c r="DG253" s="336"/>
      <c r="DH253" s="336"/>
      <c r="DI253" s="336"/>
      <c r="DJ253" s="336"/>
      <c r="DK253" s="336"/>
      <c r="DL253" s="336"/>
      <c r="DM253" s="336"/>
      <c r="DN253" s="336"/>
      <c r="DO253" s="336"/>
      <c r="DP253" s="336"/>
      <c r="DQ253" s="336"/>
      <c r="DR253" s="336"/>
      <c r="DS253" s="336"/>
      <c r="DT253" s="336"/>
      <c r="DU253" s="336"/>
      <c r="DW253" s="336">
        <f t="shared" si="1733"/>
        <v>0</v>
      </c>
      <c r="DX253" s="336">
        <f t="shared" si="1668"/>
        <v>0</v>
      </c>
      <c r="DY253" s="336">
        <f t="shared" si="1669"/>
        <v>0</v>
      </c>
      <c r="DZ253" s="336">
        <f t="shared" si="1670"/>
        <v>0</v>
      </c>
      <c r="EA253" s="336">
        <f t="shared" si="1671"/>
        <v>0</v>
      </c>
      <c r="EB253" s="336">
        <f t="shared" si="1672"/>
        <v>0</v>
      </c>
      <c r="EC253" s="336">
        <f t="shared" si="1673"/>
        <v>0</v>
      </c>
      <c r="ED253" s="336">
        <f t="shared" si="1674"/>
        <v>0</v>
      </c>
      <c r="EE253" s="336">
        <f t="shared" si="1675"/>
        <v>0</v>
      </c>
      <c r="EF253" s="336">
        <f t="shared" si="1676"/>
        <v>0</v>
      </c>
      <c r="EG253" s="336">
        <f t="shared" si="1677"/>
        <v>0</v>
      </c>
      <c r="EH253" s="336">
        <f t="shared" si="1678"/>
        <v>0</v>
      </c>
      <c r="EI253" s="336">
        <f t="shared" si="1679"/>
        <v>0</v>
      </c>
      <c r="EJ253" s="336">
        <f t="shared" si="1680"/>
        <v>0</v>
      </c>
      <c r="EK253" s="336">
        <f t="shared" si="1681"/>
        <v>0</v>
      </c>
      <c r="EL253" s="336">
        <f t="shared" si="1682"/>
        <v>0</v>
      </c>
      <c r="EM253" s="336">
        <f t="shared" si="1683"/>
        <v>0</v>
      </c>
      <c r="EN253" s="336">
        <f t="shared" si="1684"/>
        <v>0</v>
      </c>
      <c r="EO253" s="336">
        <f t="shared" si="1685"/>
        <v>0</v>
      </c>
      <c r="EP253" s="336">
        <f t="shared" si="1686"/>
        <v>0</v>
      </c>
      <c r="EQ253" s="336">
        <f t="shared" si="1687"/>
        <v>0</v>
      </c>
      <c r="ER253" s="336">
        <f t="shared" si="1688"/>
        <v>0</v>
      </c>
      <c r="ES253" s="336">
        <f t="shared" si="1689"/>
        <v>0</v>
      </c>
      <c r="ET253" s="336">
        <f t="shared" si="1689"/>
        <v>0</v>
      </c>
      <c r="EU253" s="336">
        <f t="shared" si="1690"/>
        <v>0</v>
      </c>
      <c r="EV253" s="336">
        <f t="shared" si="1691"/>
        <v>0</v>
      </c>
      <c r="EW253" s="336">
        <f t="shared" si="1692"/>
        <v>0</v>
      </c>
      <c r="EX253" s="336">
        <f t="shared" si="1693"/>
        <v>0</v>
      </c>
      <c r="EY253" s="336">
        <f t="shared" si="1694"/>
        <v>0</v>
      </c>
      <c r="EZ253" s="336">
        <f t="shared" si="1695"/>
        <v>0</v>
      </c>
      <c r="FA253" s="336">
        <f t="shared" si="1696"/>
        <v>0</v>
      </c>
      <c r="FB253" s="336">
        <f t="shared" si="1697"/>
        <v>0</v>
      </c>
      <c r="FC253" s="336">
        <f t="shared" si="1698"/>
        <v>0</v>
      </c>
      <c r="FD253" s="336">
        <f t="shared" si="1699"/>
        <v>0</v>
      </c>
      <c r="FE253" s="336">
        <f t="shared" si="1700"/>
        <v>0</v>
      </c>
      <c r="FF253" s="336">
        <f t="shared" si="1701"/>
        <v>0</v>
      </c>
      <c r="FG253" s="336">
        <f t="shared" si="1702"/>
        <v>0</v>
      </c>
      <c r="FH253" s="336">
        <f t="shared" si="1703"/>
        <v>0</v>
      </c>
      <c r="FI253" s="336">
        <f t="shared" si="1704"/>
        <v>0</v>
      </c>
      <c r="FJ253" s="336">
        <f t="shared" si="1705"/>
        <v>0</v>
      </c>
      <c r="FK253" s="336">
        <f t="shared" si="1706"/>
        <v>0</v>
      </c>
      <c r="FL253" s="336">
        <f t="shared" si="1707"/>
        <v>0</v>
      </c>
      <c r="FM253" s="336">
        <f t="shared" si="1708"/>
        <v>0</v>
      </c>
      <c r="FN253" s="336">
        <f t="shared" si="1709"/>
        <v>0</v>
      </c>
      <c r="FO253" s="336">
        <f t="shared" si="1710"/>
        <v>0</v>
      </c>
      <c r="FP253" s="336">
        <f t="shared" si="1711"/>
        <v>0</v>
      </c>
      <c r="FQ253" s="336">
        <f t="shared" si="1712"/>
        <v>0</v>
      </c>
      <c r="FR253" s="336">
        <f t="shared" si="1713"/>
        <v>0</v>
      </c>
      <c r="FS253" s="336">
        <f t="shared" si="1714"/>
        <v>0</v>
      </c>
      <c r="FT253" s="336">
        <f t="shared" si="1715"/>
        <v>0</v>
      </c>
      <c r="FU253" s="336">
        <f t="shared" si="1751"/>
        <v>0</v>
      </c>
      <c r="FV253" s="336">
        <f t="shared" si="1752"/>
        <v>0</v>
      </c>
      <c r="FW253" s="336">
        <f t="shared" si="1753"/>
        <v>0</v>
      </c>
      <c r="FX253" s="336">
        <f t="shared" si="1754"/>
        <v>0</v>
      </c>
      <c r="FY253" s="336">
        <f t="shared" si="1734"/>
        <v>0</v>
      </c>
      <c r="FZ253" s="336">
        <f t="shared" si="1735"/>
        <v>0</v>
      </c>
      <c r="GA253" s="336">
        <f t="shared" si="1736"/>
        <v>0</v>
      </c>
      <c r="GB253" s="336">
        <f t="shared" si="1737"/>
        <v>0</v>
      </c>
      <c r="GC253" s="336">
        <f t="shared" si="1738"/>
        <v>0</v>
      </c>
      <c r="GD253" s="336">
        <f t="shared" si="1739"/>
        <v>0</v>
      </c>
      <c r="GE253" s="336">
        <f t="shared" si="1740"/>
        <v>0</v>
      </c>
      <c r="GF253" s="336">
        <f t="shared" si="1741"/>
        <v>0</v>
      </c>
      <c r="GG253" s="336">
        <f t="shared" si="1742"/>
        <v>0</v>
      </c>
      <c r="GH253" s="336">
        <f t="shared" si="1743"/>
        <v>0</v>
      </c>
      <c r="GI253" s="336">
        <f t="shared" si="1744"/>
        <v>0</v>
      </c>
      <c r="GJ253" s="336">
        <f t="shared" si="1745"/>
        <v>0</v>
      </c>
      <c r="GK253" s="336">
        <f t="shared" si="1746"/>
        <v>0</v>
      </c>
      <c r="GL253" s="336">
        <f t="shared" si="1755"/>
        <v>0</v>
      </c>
      <c r="GM253" s="336">
        <f t="shared" si="1747"/>
        <v>0</v>
      </c>
    </row>
    <row r="254" spans="1:195" ht="27.75" customHeight="1">
      <c r="A254" s="337">
        <f t="shared" ref="A254:A257" si="1773">A253+1</f>
        <v>203</v>
      </c>
      <c r="B254" s="453"/>
      <c r="C254" s="372" t="str">
        <f t="shared" si="1771"/>
        <v>CANTEEN BUILDING HVAC DB</v>
      </c>
      <c r="D254" s="444" t="s">
        <v>1400</v>
      </c>
      <c r="E254" s="569"/>
      <c r="F254" s="500"/>
      <c r="G254" s="337" t="s">
        <v>329</v>
      </c>
      <c r="H254" s="583">
        <v>3.5</v>
      </c>
      <c r="I254" s="337" t="s">
        <v>330</v>
      </c>
      <c r="J254" s="349" t="s">
        <v>357</v>
      </c>
      <c r="K254" s="349">
        <v>230</v>
      </c>
      <c r="L254" s="343">
        <v>0.95</v>
      </c>
      <c r="M254" s="350">
        <v>0.85</v>
      </c>
      <c r="N254" s="342">
        <f t="shared" si="1596"/>
        <v>18.845066630771303</v>
      </c>
      <c r="O254" s="342">
        <f t="shared" si="1756"/>
        <v>0</v>
      </c>
      <c r="P254" s="343" t="str">
        <f t="shared" si="1598"/>
        <v>0.00</v>
      </c>
      <c r="Q254" s="350">
        <v>65</v>
      </c>
      <c r="R254" s="350">
        <v>0</v>
      </c>
      <c r="S254" s="350">
        <f t="shared" si="1582"/>
        <v>0</v>
      </c>
      <c r="T254" s="343" t="s">
        <v>332</v>
      </c>
      <c r="U254" s="350" t="s">
        <v>333</v>
      </c>
      <c r="V254" s="343">
        <v>16</v>
      </c>
      <c r="W254" s="343" t="str">
        <f t="shared" si="1583"/>
        <v>3C X 16</v>
      </c>
      <c r="X254" s="343" t="str">
        <f t="shared" si="1757"/>
        <v>3C X 16</v>
      </c>
      <c r="Y254" s="343" t="s">
        <v>358</v>
      </c>
      <c r="Z254" s="344">
        <f>IF(T254="AIR",VLOOKUP(W254,'Catalogue Aluminium'!$B$9:$G$93,2,FALSE),IF(T254="GROUND",VLOOKUP(W254,'Catalogue Aluminium'!$B$9:$G$93,3,FALSE),IF(T254="DUCT",VLOOKUP(W254,'Catalogue Aluminium'!$B$9:$G$93,4,FALSE),IF(T254="TRENCH",VLOOKUP(W254,'Catalogue Aluminium'!$B$9:$G$93,2,FALSE)))))</f>
        <v>70</v>
      </c>
      <c r="AA254" s="345">
        <f>VLOOKUP(W254,'Catalogue Aluminium'!$B$9:$G$93,5,FALSE)</f>
        <v>2.44</v>
      </c>
      <c r="AB254" s="345">
        <f>VLOOKUP(W254,'Catalogue Aluminium'!$B$9:$G$93,6,FALSE)</f>
        <v>8.1500000000000003E-2</v>
      </c>
      <c r="AC254" s="343">
        <f t="shared" si="1772"/>
        <v>30</v>
      </c>
      <c r="AD254" s="343">
        <v>0</v>
      </c>
      <c r="AE254" s="343">
        <v>10</v>
      </c>
      <c r="AF254" s="343">
        <v>5</v>
      </c>
      <c r="AG254" s="343">
        <f t="shared" si="1730"/>
        <v>5</v>
      </c>
      <c r="AH254" s="347">
        <f t="shared" si="1758"/>
        <v>50</v>
      </c>
      <c r="AI254" s="344">
        <f>IF(T254="AIR",'Catalogue Aluminium'!$K$9,IF(T254="TRENCH",'Catalogue Aluminium'!$K$12,"NA"))</f>
        <v>0.89</v>
      </c>
      <c r="AJ254" s="342">
        <f>IF(T254="Air",(IF(U254="1C",'Catalogue Aluminium'!$L$9,'Catalogue Aluminium'!$M$9)),IF(T254="DUCT",(IF($U254="1C",'Catalogue Aluminium'!$L$10,'Catalogue Aluminium'!$M$10)),IF(T254="GROUND",(IF($U254="1C",'Catalogue Aluminium'!$L$11,'Catalogue Aluminium'!$M$11)),IF(T254="TRENCH",(IF($U254="1C",'Catalogue Aluminium'!$L$12,'Catalogue Aluminium'!$M$12))))))</f>
        <v>0.66</v>
      </c>
      <c r="AK254" s="344" t="str">
        <f>IF(T254="Air",'Catalogue Aluminium'!$N$9,IF(T254="GROUND",'Catalogue Aluminium'!$N$10,IF(T254="DUCT",'Catalogue Aluminium'!$N$11,IF(T254="TRENCH",'Catalogue Aluminium'!$N$12,"NA"))))</f>
        <v>NA</v>
      </c>
      <c r="AL254" s="344" t="str">
        <f>IF(T254="Air",(IF(U254="1C",'Catalogue Aluminium'!$O$9,'Catalogue Aluminium'!$P$9)),IF(T254="DUCT",(IF($U254="1C",'Catalogue Aluminium'!$O$10,'Catalogue Aluminium'!$P$10)),IF(T254="GROUND",(IF($U254="1C",'Catalogue Aluminium'!$O$11,'Catalogue Aluminium'!$P$11)),IF(T254="TRENCH",(IF($U254="1C",'Catalogue Aluminium'!$O$12,'Catalogue Aluminium'!$P$12))))))</f>
        <v>NA</v>
      </c>
      <c r="AM254" s="344" t="str">
        <f>IF(T254="AIR","NA",IF(T254="TRENCH","NA",IF(T254="DUCT",IF(U254="1C",VLOOKUP(V254,'Catalogue Aluminium'!$Q$9:$S$28,2,FALSE),VLOOKUP(V254,'Catalogue Aluminium'!$Q$9:$S$28,3)),IF(T254="GROUND",IF(U254="1C",VLOOKUP(V254,'Catalogue Aluminium'!$Q$9:$S$28,2,FALSE),VLOOKUP(V254,'Catalogue Aluminium'!$Q$9:$S$28,3))))))</f>
        <v>NA</v>
      </c>
      <c r="AN254" s="351">
        <f t="shared" si="1759"/>
        <v>0.58740000000000003</v>
      </c>
      <c r="AO254" s="350">
        <f t="shared" si="1760"/>
        <v>41.118000000000002</v>
      </c>
      <c r="AP254" s="349">
        <f t="shared" si="1761"/>
        <v>1</v>
      </c>
      <c r="AQ254" s="350" t="str">
        <f t="shared" si="1762"/>
        <v>YES</v>
      </c>
      <c r="AR254" s="351">
        <f t="shared" si="1731"/>
        <v>1.6628606725705042</v>
      </c>
      <c r="AS254" s="343" t="str">
        <f t="shared" si="1732"/>
        <v>YES</v>
      </c>
      <c r="AT254" s="351" t="str">
        <f t="shared" si="1763"/>
        <v>NA</v>
      </c>
      <c r="AU254" s="343" t="str">
        <f t="shared" si="1764"/>
        <v>NA</v>
      </c>
      <c r="AV254" s="354" t="str">
        <f t="shared" si="1765"/>
        <v>1R x 0.6/1kV x 3C x 16 Sqmm</v>
      </c>
      <c r="AW254" s="354" t="str">
        <f t="shared" si="1766"/>
        <v>1R x 0.6/1kV x 3C x 16 Sqmm</v>
      </c>
      <c r="AX254" s="343">
        <f t="shared" si="1767"/>
        <v>50</v>
      </c>
      <c r="AY254" s="355"/>
      <c r="AZ254" s="355">
        <f t="shared" si="1768"/>
        <v>2</v>
      </c>
      <c r="BA254" s="356" t="str">
        <f t="shared" si="1769"/>
        <v/>
      </c>
      <c r="BB254" s="501">
        <f>VLOOKUP(W254,'Catalogue Aluminium'!$B$9:$H$93,7,FALSE)</f>
        <v>19</v>
      </c>
      <c r="BC254" s="328">
        <f t="shared" si="1770"/>
        <v>19</v>
      </c>
      <c r="BE254" s="336"/>
      <c r="BF254" s="336"/>
      <c r="BG254" s="336"/>
      <c r="BH254" s="336"/>
      <c r="BI254" s="336"/>
      <c r="BJ254" s="336"/>
      <c r="BK254" s="336"/>
      <c r="BL254" s="336"/>
      <c r="BM254" s="336"/>
      <c r="BN254" s="336"/>
      <c r="BO254" s="336"/>
      <c r="BP254" s="336"/>
      <c r="BQ254" s="336"/>
      <c r="BR254" s="336"/>
      <c r="BS254" s="336"/>
      <c r="BT254" s="336"/>
      <c r="BU254" s="336"/>
      <c r="BV254" s="336"/>
      <c r="BW254" s="336"/>
      <c r="BX254" s="336"/>
      <c r="BY254" s="336"/>
      <c r="BZ254" s="336"/>
      <c r="CA254" s="336"/>
      <c r="CB254" s="336"/>
      <c r="CC254" s="336"/>
      <c r="CD254" s="336"/>
      <c r="CE254" s="336"/>
      <c r="CF254" s="336"/>
      <c r="CG254" s="336"/>
      <c r="CH254" s="336"/>
      <c r="CI254" s="336"/>
      <c r="CJ254" s="336"/>
      <c r="CK254" s="336"/>
      <c r="CL254" s="336"/>
      <c r="CM254" s="336"/>
      <c r="CN254" s="336"/>
      <c r="CO254" s="336"/>
      <c r="CP254" s="336"/>
      <c r="CQ254" s="336"/>
      <c r="CR254" s="336"/>
      <c r="CS254" s="336"/>
      <c r="CT254" s="336"/>
      <c r="CU254" s="336"/>
      <c r="CV254" s="336"/>
      <c r="CW254" s="336"/>
      <c r="CX254" s="336"/>
      <c r="CY254" s="336"/>
      <c r="CZ254" s="336"/>
      <c r="DA254" s="336"/>
      <c r="DB254" s="336"/>
      <c r="DC254" s="336"/>
      <c r="DD254" s="336"/>
      <c r="DE254" s="336"/>
      <c r="DF254" s="336"/>
      <c r="DG254" s="336"/>
      <c r="DH254" s="336"/>
      <c r="DI254" s="336"/>
      <c r="DJ254" s="336"/>
      <c r="DK254" s="336"/>
      <c r="DL254" s="336"/>
      <c r="DM254" s="336"/>
      <c r="DN254" s="336"/>
      <c r="DO254" s="336"/>
      <c r="DP254" s="336"/>
      <c r="DQ254" s="336"/>
      <c r="DR254" s="336"/>
      <c r="DS254" s="336"/>
      <c r="DT254" s="336"/>
      <c r="DU254" s="336"/>
      <c r="DW254" s="336">
        <f t="shared" si="1733"/>
        <v>0</v>
      </c>
      <c r="DX254" s="336">
        <f t="shared" si="1668"/>
        <v>0</v>
      </c>
      <c r="DY254" s="336">
        <f t="shared" si="1669"/>
        <v>0</v>
      </c>
      <c r="DZ254" s="336">
        <f t="shared" si="1670"/>
        <v>0</v>
      </c>
      <c r="EA254" s="336">
        <f t="shared" si="1671"/>
        <v>0</v>
      </c>
      <c r="EB254" s="336">
        <f t="shared" si="1672"/>
        <v>0</v>
      </c>
      <c r="EC254" s="336">
        <f t="shared" si="1673"/>
        <v>0</v>
      </c>
      <c r="ED254" s="336">
        <f t="shared" si="1674"/>
        <v>0</v>
      </c>
      <c r="EE254" s="336">
        <f t="shared" si="1675"/>
        <v>0</v>
      </c>
      <c r="EF254" s="336">
        <f t="shared" si="1676"/>
        <v>0</v>
      </c>
      <c r="EG254" s="336">
        <f t="shared" si="1677"/>
        <v>0</v>
      </c>
      <c r="EH254" s="336">
        <f t="shared" si="1678"/>
        <v>0</v>
      </c>
      <c r="EI254" s="336">
        <f t="shared" si="1679"/>
        <v>0</v>
      </c>
      <c r="EJ254" s="336">
        <f t="shared" si="1680"/>
        <v>0</v>
      </c>
      <c r="EK254" s="336">
        <f t="shared" si="1681"/>
        <v>0</v>
      </c>
      <c r="EL254" s="336">
        <f t="shared" si="1682"/>
        <v>0</v>
      </c>
      <c r="EM254" s="336">
        <f t="shared" si="1683"/>
        <v>0</v>
      </c>
      <c r="EN254" s="336">
        <f t="shared" si="1684"/>
        <v>0</v>
      </c>
      <c r="EO254" s="336">
        <f t="shared" si="1685"/>
        <v>0</v>
      </c>
      <c r="EP254" s="336">
        <f t="shared" si="1686"/>
        <v>0</v>
      </c>
      <c r="EQ254" s="336">
        <f t="shared" si="1687"/>
        <v>0</v>
      </c>
      <c r="ER254" s="336">
        <f t="shared" si="1688"/>
        <v>0</v>
      </c>
      <c r="ES254" s="336">
        <f t="shared" si="1689"/>
        <v>0</v>
      </c>
      <c r="ET254" s="336">
        <f t="shared" si="1689"/>
        <v>0</v>
      </c>
      <c r="EU254" s="336">
        <f t="shared" si="1690"/>
        <v>0</v>
      </c>
      <c r="EV254" s="336">
        <f t="shared" si="1691"/>
        <v>0</v>
      </c>
      <c r="EW254" s="336">
        <f t="shared" si="1692"/>
        <v>0</v>
      </c>
      <c r="EX254" s="336">
        <f t="shared" si="1693"/>
        <v>0</v>
      </c>
      <c r="EY254" s="336">
        <f t="shared" si="1694"/>
        <v>0</v>
      </c>
      <c r="EZ254" s="336">
        <f t="shared" si="1695"/>
        <v>0</v>
      </c>
      <c r="FA254" s="336">
        <f t="shared" si="1696"/>
        <v>0</v>
      </c>
      <c r="FB254" s="336">
        <f t="shared" si="1697"/>
        <v>0</v>
      </c>
      <c r="FC254" s="336">
        <f t="shared" si="1698"/>
        <v>0</v>
      </c>
      <c r="FD254" s="336">
        <f t="shared" si="1699"/>
        <v>0</v>
      </c>
      <c r="FE254" s="336">
        <f t="shared" si="1700"/>
        <v>0</v>
      </c>
      <c r="FF254" s="336">
        <f t="shared" si="1701"/>
        <v>0</v>
      </c>
      <c r="FG254" s="336">
        <f t="shared" si="1702"/>
        <v>0</v>
      </c>
      <c r="FH254" s="336">
        <f t="shared" si="1703"/>
        <v>0</v>
      </c>
      <c r="FI254" s="336">
        <f t="shared" si="1704"/>
        <v>0</v>
      </c>
      <c r="FJ254" s="336">
        <f t="shared" si="1705"/>
        <v>0</v>
      </c>
      <c r="FK254" s="336">
        <f t="shared" si="1706"/>
        <v>0</v>
      </c>
      <c r="FL254" s="336">
        <f t="shared" si="1707"/>
        <v>0</v>
      </c>
      <c r="FM254" s="336">
        <f t="shared" si="1708"/>
        <v>0</v>
      </c>
      <c r="FN254" s="336">
        <f t="shared" si="1709"/>
        <v>0</v>
      </c>
      <c r="FO254" s="336">
        <f t="shared" si="1710"/>
        <v>0</v>
      </c>
      <c r="FP254" s="336">
        <f t="shared" si="1711"/>
        <v>0</v>
      </c>
      <c r="FQ254" s="336">
        <f t="shared" si="1712"/>
        <v>0</v>
      </c>
      <c r="FR254" s="336">
        <f t="shared" si="1713"/>
        <v>0</v>
      </c>
      <c r="FS254" s="336">
        <f t="shared" si="1714"/>
        <v>0</v>
      </c>
      <c r="FT254" s="336">
        <f t="shared" si="1715"/>
        <v>0</v>
      </c>
      <c r="FU254" s="336">
        <f t="shared" si="1751"/>
        <v>0</v>
      </c>
      <c r="FV254" s="336">
        <f t="shared" si="1752"/>
        <v>0</v>
      </c>
      <c r="FW254" s="336">
        <f t="shared" si="1753"/>
        <v>0</v>
      </c>
      <c r="FX254" s="336">
        <f t="shared" si="1754"/>
        <v>0</v>
      </c>
      <c r="FY254" s="336">
        <f t="shared" si="1734"/>
        <v>0</v>
      </c>
      <c r="FZ254" s="336">
        <f t="shared" si="1735"/>
        <v>0</v>
      </c>
      <c r="GA254" s="336">
        <f t="shared" si="1736"/>
        <v>0</v>
      </c>
      <c r="GB254" s="336">
        <f t="shared" si="1737"/>
        <v>0</v>
      </c>
      <c r="GC254" s="336">
        <f t="shared" si="1738"/>
        <v>0</v>
      </c>
      <c r="GD254" s="336">
        <f t="shared" si="1739"/>
        <v>0</v>
      </c>
      <c r="GE254" s="336">
        <f t="shared" si="1740"/>
        <v>0</v>
      </c>
      <c r="GF254" s="336">
        <f t="shared" si="1741"/>
        <v>0</v>
      </c>
      <c r="GG254" s="336">
        <f t="shared" si="1742"/>
        <v>0</v>
      </c>
      <c r="GH254" s="336">
        <f t="shared" si="1743"/>
        <v>0</v>
      </c>
      <c r="GI254" s="336">
        <f t="shared" si="1744"/>
        <v>0</v>
      </c>
      <c r="GJ254" s="336">
        <f t="shared" si="1745"/>
        <v>0</v>
      </c>
      <c r="GK254" s="336">
        <f t="shared" si="1746"/>
        <v>0</v>
      </c>
      <c r="GL254" s="336">
        <f t="shared" si="1755"/>
        <v>0</v>
      </c>
      <c r="GM254" s="336">
        <f t="shared" si="1747"/>
        <v>0</v>
      </c>
    </row>
    <row r="255" spans="1:195" ht="27.75" customHeight="1">
      <c r="A255" s="337">
        <f t="shared" si="1773"/>
        <v>204</v>
      </c>
      <c r="B255" s="453"/>
      <c r="C255" s="372" t="str">
        <f t="shared" si="1771"/>
        <v>CANTEEN BUILDING HVAC DB</v>
      </c>
      <c r="D255" s="444" t="s">
        <v>1401</v>
      </c>
      <c r="E255" s="569"/>
      <c r="F255" s="500"/>
      <c r="G255" s="337" t="s">
        <v>329</v>
      </c>
      <c r="H255" s="583">
        <v>3.5</v>
      </c>
      <c r="I255" s="337" t="s">
        <v>330</v>
      </c>
      <c r="J255" s="349" t="s">
        <v>357</v>
      </c>
      <c r="K255" s="349">
        <v>230</v>
      </c>
      <c r="L255" s="343">
        <v>0.95</v>
      </c>
      <c r="M255" s="350">
        <v>0.85</v>
      </c>
      <c r="N255" s="342">
        <f t="shared" si="1596"/>
        <v>18.845066630771303</v>
      </c>
      <c r="O255" s="342">
        <f t="shared" si="1756"/>
        <v>0</v>
      </c>
      <c r="P255" s="343" t="str">
        <f t="shared" si="1598"/>
        <v>0.00</v>
      </c>
      <c r="Q255" s="350">
        <v>65</v>
      </c>
      <c r="R255" s="350">
        <v>0</v>
      </c>
      <c r="S255" s="350">
        <f t="shared" si="1582"/>
        <v>0</v>
      </c>
      <c r="T255" s="343" t="s">
        <v>332</v>
      </c>
      <c r="U255" s="350" t="s">
        <v>333</v>
      </c>
      <c r="V255" s="343">
        <v>16</v>
      </c>
      <c r="W255" s="343" t="str">
        <f t="shared" si="1583"/>
        <v>3C X 16</v>
      </c>
      <c r="X255" s="343" t="str">
        <f t="shared" si="1757"/>
        <v>3C X 16</v>
      </c>
      <c r="Y255" s="343" t="s">
        <v>358</v>
      </c>
      <c r="Z255" s="344">
        <f>IF(T255="AIR",VLOOKUP(W255,'Catalogue Aluminium'!$B$9:$G$93,2,FALSE),IF(T255="GROUND",VLOOKUP(W255,'Catalogue Aluminium'!$B$9:$G$93,3,FALSE),IF(T255="DUCT",VLOOKUP(W255,'Catalogue Aluminium'!$B$9:$G$93,4,FALSE),IF(T255="TRENCH",VLOOKUP(W255,'Catalogue Aluminium'!$B$9:$G$93,2,FALSE)))))</f>
        <v>70</v>
      </c>
      <c r="AA255" s="345">
        <f>VLOOKUP(W255,'Catalogue Aluminium'!$B$9:$G$93,5,FALSE)</f>
        <v>2.44</v>
      </c>
      <c r="AB255" s="345">
        <f>VLOOKUP(W255,'Catalogue Aluminium'!$B$9:$G$93,6,FALSE)</f>
        <v>8.1500000000000003E-2</v>
      </c>
      <c r="AC255" s="343">
        <f t="shared" si="1772"/>
        <v>30</v>
      </c>
      <c r="AD255" s="343">
        <v>0</v>
      </c>
      <c r="AE255" s="343">
        <v>10</v>
      </c>
      <c r="AF255" s="343">
        <v>5</v>
      </c>
      <c r="AG255" s="343">
        <f t="shared" si="1730"/>
        <v>5</v>
      </c>
      <c r="AH255" s="347">
        <f t="shared" si="1758"/>
        <v>50</v>
      </c>
      <c r="AI255" s="344">
        <f>IF(T255="AIR",'Catalogue Aluminium'!$K$9,IF(T255="TRENCH",'Catalogue Aluminium'!$K$12,"NA"))</f>
        <v>0.89</v>
      </c>
      <c r="AJ255" s="342">
        <f>IF(T255="Air",(IF(U255="1C",'Catalogue Aluminium'!$L$9,'Catalogue Aluminium'!$M$9)),IF(T255="DUCT",(IF($U255="1C",'Catalogue Aluminium'!$L$10,'Catalogue Aluminium'!$M$10)),IF(T255="GROUND",(IF($U255="1C",'Catalogue Aluminium'!$L$11,'Catalogue Aluminium'!$M$11)),IF(T255="TRENCH",(IF($U255="1C",'Catalogue Aluminium'!$L$12,'Catalogue Aluminium'!$M$12))))))</f>
        <v>0.66</v>
      </c>
      <c r="AK255" s="344" t="str">
        <f>IF(T255="Air",'Catalogue Aluminium'!$N$9,IF(T255="GROUND",'Catalogue Aluminium'!$N$10,IF(T255="DUCT",'Catalogue Aluminium'!$N$11,IF(T255="TRENCH",'Catalogue Aluminium'!$N$12,"NA"))))</f>
        <v>NA</v>
      </c>
      <c r="AL255" s="344" t="str">
        <f>IF(T255="Air",(IF(U255="1C",'Catalogue Aluminium'!$O$9,'Catalogue Aluminium'!$P$9)),IF(T255="DUCT",(IF($U255="1C",'Catalogue Aluminium'!$O$10,'Catalogue Aluminium'!$P$10)),IF(T255="GROUND",(IF($U255="1C",'Catalogue Aluminium'!$O$11,'Catalogue Aluminium'!$P$11)),IF(T255="TRENCH",(IF($U255="1C",'Catalogue Aluminium'!$O$12,'Catalogue Aluminium'!$P$12))))))</f>
        <v>NA</v>
      </c>
      <c r="AM255" s="344" t="str">
        <f>IF(T255="AIR","NA",IF(T255="TRENCH","NA",IF(T255="DUCT",IF(U255="1C",VLOOKUP(V255,'Catalogue Aluminium'!$Q$9:$S$28,2,FALSE),VLOOKUP(V255,'Catalogue Aluminium'!$Q$9:$S$28,3)),IF(T255="GROUND",IF(U255="1C",VLOOKUP(V255,'Catalogue Aluminium'!$Q$9:$S$28,2,FALSE),VLOOKUP(V255,'Catalogue Aluminium'!$Q$9:$S$28,3))))))</f>
        <v>NA</v>
      </c>
      <c r="AN255" s="351">
        <f t="shared" si="1759"/>
        <v>0.58740000000000003</v>
      </c>
      <c r="AO255" s="350">
        <f t="shared" si="1760"/>
        <v>41.118000000000002</v>
      </c>
      <c r="AP255" s="349">
        <f t="shared" si="1761"/>
        <v>1</v>
      </c>
      <c r="AQ255" s="350" t="str">
        <f t="shared" si="1762"/>
        <v>YES</v>
      </c>
      <c r="AR255" s="351">
        <f t="shared" si="1731"/>
        <v>1.6628606725705042</v>
      </c>
      <c r="AS255" s="343" t="str">
        <f t="shared" si="1732"/>
        <v>YES</v>
      </c>
      <c r="AT255" s="351" t="str">
        <f t="shared" si="1763"/>
        <v>NA</v>
      </c>
      <c r="AU255" s="343" t="str">
        <f t="shared" si="1764"/>
        <v>NA</v>
      </c>
      <c r="AV255" s="354" t="str">
        <f t="shared" si="1765"/>
        <v>1R x 0.6/1kV x 3C x 16 Sqmm</v>
      </c>
      <c r="AW255" s="354" t="str">
        <f t="shared" si="1766"/>
        <v>1R x 0.6/1kV x 3C x 16 Sqmm</v>
      </c>
      <c r="AX255" s="343">
        <f t="shared" si="1767"/>
        <v>50</v>
      </c>
      <c r="AY255" s="355"/>
      <c r="AZ255" s="355">
        <f t="shared" si="1768"/>
        <v>2</v>
      </c>
      <c r="BA255" s="356" t="str">
        <f t="shared" si="1769"/>
        <v/>
      </c>
      <c r="BB255" s="501">
        <f>VLOOKUP(W255,'Catalogue Aluminium'!$B$9:$H$93,7,FALSE)</f>
        <v>19</v>
      </c>
      <c r="BC255" s="328">
        <f t="shared" si="1770"/>
        <v>19</v>
      </c>
      <c r="BE255" s="336"/>
      <c r="BF255" s="336"/>
      <c r="BG255" s="336"/>
      <c r="BH255" s="336"/>
      <c r="BI255" s="336"/>
      <c r="BJ255" s="336"/>
      <c r="BK255" s="336"/>
      <c r="BL255" s="336"/>
      <c r="BM255" s="336"/>
      <c r="BN255" s="336"/>
      <c r="BO255" s="336"/>
      <c r="BP255" s="336"/>
      <c r="BQ255" s="336"/>
      <c r="BR255" s="336"/>
      <c r="BS255" s="336"/>
      <c r="BT255" s="336"/>
      <c r="BU255" s="336"/>
      <c r="BV255" s="336"/>
      <c r="BW255" s="336"/>
      <c r="BX255" s="336"/>
      <c r="BY255" s="336"/>
      <c r="BZ255" s="336"/>
      <c r="CA255" s="336"/>
      <c r="CB255" s="336"/>
      <c r="CC255" s="336"/>
      <c r="CD255" s="336"/>
      <c r="CE255" s="336"/>
      <c r="CF255" s="336"/>
      <c r="CG255" s="336"/>
      <c r="CH255" s="336"/>
      <c r="CI255" s="336"/>
      <c r="CJ255" s="336"/>
      <c r="CK255" s="336"/>
      <c r="CL255" s="336"/>
      <c r="CM255" s="336"/>
      <c r="CN255" s="336"/>
      <c r="CO255" s="336"/>
      <c r="CP255" s="336"/>
      <c r="CQ255" s="336"/>
      <c r="CR255" s="336"/>
      <c r="CS255" s="336"/>
      <c r="CT255" s="336"/>
      <c r="CU255" s="336"/>
      <c r="CV255" s="336"/>
      <c r="CW255" s="336"/>
      <c r="CX255" s="336"/>
      <c r="CY255" s="336"/>
      <c r="CZ255" s="336"/>
      <c r="DA255" s="336"/>
      <c r="DB255" s="336"/>
      <c r="DC255" s="336"/>
      <c r="DD255" s="336"/>
      <c r="DE255" s="336"/>
      <c r="DF255" s="336"/>
      <c r="DG255" s="336"/>
      <c r="DH255" s="336"/>
      <c r="DI255" s="336"/>
      <c r="DJ255" s="336"/>
      <c r="DK255" s="336"/>
      <c r="DL255" s="336"/>
      <c r="DM255" s="336"/>
      <c r="DN255" s="336"/>
      <c r="DO255" s="336"/>
      <c r="DP255" s="336"/>
      <c r="DQ255" s="336"/>
      <c r="DR255" s="336"/>
      <c r="DS255" s="336"/>
      <c r="DT255" s="336"/>
      <c r="DU255" s="336"/>
      <c r="DW255" s="336">
        <f t="shared" si="1733"/>
        <v>0</v>
      </c>
      <c r="DX255" s="336">
        <f t="shared" si="1668"/>
        <v>0</v>
      </c>
      <c r="DY255" s="336">
        <f t="shared" si="1669"/>
        <v>0</v>
      </c>
      <c r="DZ255" s="336">
        <f t="shared" si="1670"/>
        <v>0</v>
      </c>
      <c r="EA255" s="336">
        <f t="shared" si="1671"/>
        <v>0</v>
      </c>
      <c r="EB255" s="336">
        <f t="shared" si="1672"/>
        <v>0</v>
      </c>
      <c r="EC255" s="336">
        <f t="shared" si="1673"/>
        <v>0</v>
      </c>
      <c r="ED255" s="336">
        <f t="shared" si="1674"/>
        <v>0</v>
      </c>
      <c r="EE255" s="336">
        <f t="shared" si="1675"/>
        <v>0</v>
      </c>
      <c r="EF255" s="336">
        <f t="shared" si="1676"/>
        <v>0</v>
      </c>
      <c r="EG255" s="336">
        <f t="shared" si="1677"/>
        <v>0</v>
      </c>
      <c r="EH255" s="336">
        <f t="shared" si="1678"/>
        <v>0</v>
      </c>
      <c r="EI255" s="336">
        <f t="shared" si="1679"/>
        <v>0</v>
      </c>
      <c r="EJ255" s="336">
        <f t="shared" si="1680"/>
        <v>0</v>
      </c>
      <c r="EK255" s="336">
        <f t="shared" si="1681"/>
        <v>0</v>
      </c>
      <c r="EL255" s="336">
        <f t="shared" si="1682"/>
        <v>0</v>
      </c>
      <c r="EM255" s="336">
        <f t="shared" si="1683"/>
        <v>0</v>
      </c>
      <c r="EN255" s="336">
        <f t="shared" si="1684"/>
        <v>0</v>
      </c>
      <c r="EO255" s="336">
        <f t="shared" si="1685"/>
        <v>0</v>
      </c>
      <c r="EP255" s="336">
        <f t="shared" si="1686"/>
        <v>0</v>
      </c>
      <c r="EQ255" s="336">
        <f t="shared" si="1687"/>
        <v>0</v>
      </c>
      <c r="ER255" s="336">
        <f t="shared" si="1688"/>
        <v>0</v>
      </c>
      <c r="ES255" s="336">
        <f t="shared" si="1689"/>
        <v>0</v>
      </c>
      <c r="ET255" s="336">
        <f t="shared" si="1689"/>
        <v>0</v>
      </c>
      <c r="EU255" s="336">
        <f t="shared" si="1690"/>
        <v>0</v>
      </c>
      <c r="EV255" s="336">
        <f t="shared" si="1691"/>
        <v>0</v>
      </c>
      <c r="EW255" s="336">
        <f t="shared" si="1692"/>
        <v>0</v>
      </c>
      <c r="EX255" s="336">
        <f t="shared" si="1693"/>
        <v>0</v>
      </c>
      <c r="EY255" s="336">
        <f t="shared" si="1694"/>
        <v>0</v>
      </c>
      <c r="EZ255" s="336">
        <f t="shared" si="1695"/>
        <v>0</v>
      </c>
      <c r="FA255" s="336">
        <f t="shared" si="1696"/>
        <v>0</v>
      </c>
      <c r="FB255" s="336">
        <f t="shared" si="1697"/>
        <v>0</v>
      </c>
      <c r="FC255" s="336">
        <f t="shared" si="1698"/>
        <v>0</v>
      </c>
      <c r="FD255" s="336">
        <f t="shared" si="1699"/>
        <v>0</v>
      </c>
      <c r="FE255" s="336">
        <f t="shared" si="1700"/>
        <v>0</v>
      </c>
      <c r="FF255" s="336">
        <f t="shared" si="1701"/>
        <v>0</v>
      </c>
      <c r="FG255" s="336">
        <f t="shared" si="1702"/>
        <v>0</v>
      </c>
      <c r="FH255" s="336">
        <f t="shared" si="1703"/>
        <v>0</v>
      </c>
      <c r="FI255" s="336">
        <f t="shared" si="1704"/>
        <v>0</v>
      </c>
      <c r="FJ255" s="336">
        <f t="shared" si="1705"/>
        <v>0</v>
      </c>
      <c r="FK255" s="336">
        <f t="shared" si="1706"/>
        <v>0</v>
      </c>
      <c r="FL255" s="336">
        <f t="shared" si="1707"/>
        <v>0</v>
      </c>
      <c r="FM255" s="336">
        <f t="shared" si="1708"/>
        <v>0</v>
      </c>
      <c r="FN255" s="336">
        <f t="shared" si="1709"/>
        <v>0</v>
      </c>
      <c r="FO255" s="336">
        <f t="shared" si="1710"/>
        <v>0</v>
      </c>
      <c r="FP255" s="336">
        <f t="shared" si="1711"/>
        <v>0</v>
      </c>
      <c r="FQ255" s="336">
        <f t="shared" si="1712"/>
        <v>0</v>
      </c>
      <c r="FR255" s="336">
        <f t="shared" si="1713"/>
        <v>0</v>
      </c>
      <c r="FS255" s="336">
        <f t="shared" si="1714"/>
        <v>0</v>
      </c>
      <c r="FT255" s="336">
        <f t="shared" si="1715"/>
        <v>0</v>
      </c>
      <c r="FU255" s="336">
        <f t="shared" si="1751"/>
        <v>0</v>
      </c>
      <c r="FV255" s="336">
        <f t="shared" si="1752"/>
        <v>0</v>
      </c>
      <c r="FW255" s="336">
        <f t="shared" si="1753"/>
        <v>0</v>
      </c>
      <c r="FX255" s="336">
        <f t="shared" si="1754"/>
        <v>0</v>
      </c>
      <c r="FY255" s="336">
        <f t="shared" si="1734"/>
        <v>0</v>
      </c>
      <c r="FZ255" s="336">
        <f t="shared" si="1735"/>
        <v>0</v>
      </c>
      <c r="GA255" s="336">
        <f t="shared" si="1736"/>
        <v>0</v>
      </c>
      <c r="GB255" s="336">
        <f t="shared" si="1737"/>
        <v>0</v>
      </c>
      <c r="GC255" s="336">
        <f t="shared" si="1738"/>
        <v>0</v>
      </c>
      <c r="GD255" s="336">
        <f t="shared" si="1739"/>
        <v>0</v>
      </c>
      <c r="GE255" s="336">
        <f t="shared" si="1740"/>
        <v>0</v>
      </c>
      <c r="GF255" s="336">
        <f t="shared" si="1741"/>
        <v>0</v>
      </c>
      <c r="GG255" s="336">
        <f t="shared" si="1742"/>
        <v>0</v>
      </c>
      <c r="GH255" s="336">
        <f t="shared" si="1743"/>
        <v>0</v>
      </c>
      <c r="GI255" s="336">
        <f t="shared" si="1744"/>
        <v>0</v>
      </c>
      <c r="GJ255" s="336">
        <f t="shared" si="1745"/>
        <v>0</v>
      </c>
      <c r="GK255" s="336">
        <f t="shared" si="1746"/>
        <v>0</v>
      </c>
      <c r="GL255" s="336">
        <f t="shared" si="1755"/>
        <v>0</v>
      </c>
      <c r="GM255" s="336">
        <f t="shared" si="1747"/>
        <v>0</v>
      </c>
    </row>
    <row r="256" spans="1:195" ht="27.75" customHeight="1">
      <c r="A256" s="337">
        <f t="shared" si="1773"/>
        <v>205</v>
      </c>
      <c r="B256" s="453"/>
      <c r="C256" s="372" t="str">
        <f t="shared" si="1771"/>
        <v>CANTEEN BUILDING HVAC DB</v>
      </c>
      <c r="D256" s="444" t="s">
        <v>1402</v>
      </c>
      <c r="E256" s="569"/>
      <c r="F256" s="500"/>
      <c r="G256" s="337" t="s">
        <v>329</v>
      </c>
      <c r="H256" s="583">
        <v>3.5</v>
      </c>
      <c r="I256" s="337" t="s">
        <v>330</v>
      </c>
      <c r="J256" s="349" t="s">
        <v>357</v>
      </c>
      <c r="K256" s="349">
        <v>230</v>
      </c>
      <c r="L256" s="343">
        <v>0.95</v>
      </c>
      <c r="M256" s="350">
        <v>0.85</v>
      </c>
      <c r="N256" s="342">
        <f t="shared" si="1596"/>
        <v>18.845066630771303</v>
      </c>
      <c r="O256" s="342">
        <f t="shared" si="1756"/>
        <v>0</v>
      </c>
      <c r="P256" s="343" t="str">
        <f t="shared" si="1598"/>
        <v>0.00</v>
      </c>
      <c r="Q256" s="350">
        <v>65</v>
      </c>
      <c r="R256" s="350">
        <v>0</v>
      </c>
      <c r="S256" s="350">
        <f t="shared" si="1582"/>
        <v>0</v>
      </c>
      <c r="T256" s="343" t="s">
        <v>332</v>
      </c>
      <c r="U256" s="350" t="s">
        <v>333</v>
      </c>
      <c r="V256" s="343">
        <v>16</v>
      </c>
      <c r="W256" s="343" t="str">
        <f t="shared" si="1583"/>
        <v>3C X 16</v>
      </c>
      <c r="X256" s="343" t="str">
        <f t="shared" si="1757"/>
        <v>3C X 16</v>
      </c>
      <c r="Y256" s="343" t="s">
        <v>358</v>
      </c>
      <c r="Z256" s="344">
        <f>IF(T256="AIR",VLOOKUP(W256,'Catalogue Aluminium'!$B$9:$G$93,2,FALSE),IF(T256="GROUND",VLOOKUP(W256,'Catalogue Aluminium'!$B$9:$G$93,3,FALSE),IF(T256="DUCT",VLOOKUP(W256,'Catalogue Aluminium'!$B$9:$G$93,4,FALSE),IF(T256="TRENCH",VLOOKUP(W256,'Catalogue Aluminium'!$B$9:$G$93,2,FALSE)))))</f>
        <v>70</v>
      </c>
      <c r="AA256" s="345">
        <f>VLOOKUP(W256,'Catalogue Aluminium'!$B$9:$G$93,5,FALSE)</f>
        <v>2.44</v>
      </c>
      <c r="AB256" s="345">
        <f>VLOOKUP(W256,'Catalogue Aluminium'!$B$9:$G$93,6,FALSE)</f>
        <v>8.1500000000000003E-2</v>
      </c>
      <c r="AC256" s="343">
        <f t="shared" si="1772"/>
        <v>30</v>
      </c>
      <c r="AD256" s="343">
        <v>0</v>
      </c>
      <c r="AE256" s="343">
        <v>10</v>
      </c>
      <c r="AF256" s="343">
        <v>5</v>
      </c>
      <c r="AG256" s="343">
        <f t="shared" si="1730"/>
        <v>5</v>
      </c>
      <c r="AH256" s="347">
        <f t="shared" si="1758"/>
        <v>50</v>
      </c>
      <c r="AI256" s="344">
        <f>IF(T256="AIR",'Catalogue Aluminium'!$K$9,IF(T256="TRENCH",'Catalogue Aluminium'!$K$12,"NA"))</f>
        <v>0.89</v>
      </c>
      <c r="AJ256" s="342">
        <f>IF(T256="Air",(IF(U256="1C",'Catalogue Aluminium'!$L$9,'Catalogue Aluminium'!$M$9)),IF(T256="DUCT",(IF($U256="1C",'Catalogue Aluminium'!$L$10,'Catalogue Aluminium'!$M$10)),IF(T256="GROUND",(IF($U256="1C",'Catalogue Aluminium'!$L$11,'Catalogue Aluminium'!$M$11)),IF(T256="TRENCH",(IF($U256="1C",'Catalogue Aluminium'!$L$12,'Catalogue Aluminium'!$M$12))))))</f>
        <v>0.66</v>
      </c>
      <c r="AK256" s="344" t="str">
        <f>IF(T256="Air",'Catalogue Aluminium'!$N$9,IF(T256="GROUND",'Catalogue Aluminium'!$N$10,IF(T256="DUCT",'Catalogue Aluminium'!$N$11,IF(T256="TRENCH",'Catalogue Aluminium'!$N$12,"NA"))))</f>
        <v>NA</v>
      </c>
      <c r="AL256" s="344" t="str">
        <f>IF(T256="Air",(IF(U256="1C",'Catalogue Aluminium'!$O$9,'Catalogue Aluminium'!$P$9)),IF(T256="DUCT",(IF($U256="1C",'Catalogue Aluminium'!$O$10,'Catalogue Aluminium'!$P$10)),IF(T256="GROUND",(IF($U256="1C",'Catalogue Aluminium'!$O$11,'Catalogue Aluminium'!$P$11)),IF(T256="TRENCH",(IF($U256="1C",'Catalogue Aluminium'!$O$12,'Catalogue Aluminium'!$P$12))))))</f>
        <v>NA</v>
      </c>
      <c r="AM256" s="344" t="str">
        <f>IF(T256="AIR","NA",IF(T256="TRENCH","NA",IF(T256="DUCT",IF(U256="1C",VLOOKUP(V256,'Catalogue Aluminium'!$Q$9:$S$28,2,FALSE),VLOOKUP(V256,'Catalogue Aluminium'!$Q$9:$S$28,3)),IF(T256="GROUND",IF(U256="1C",VLOOKUP(V256,'Catalogue Aluminium'!$Q$9:$S$28,2,FALSE),VLOOKUP(V256,'Catalogue Aluminium'!$Q$9:$S$28,3))))))</f>
        <v>NA</v>
      </c>
      <c r="AN256" s="351">
        <f t="shared" si="1759"/>
        <v>0.58740000000000003</v>
      </c>
      <c r="AO256" s="350">
        <f t="shared" si="1760"/>
        <v>41.118000000000002</v>
      </c>
      <c r="AP256" s="349">
        <f t="shared" si="1761"/>
        <v>1</v>
      </c>
      <c r="AQ256" s="350" t="str">
        <f t="shared" si="1762"/>
        <v>YES</v>
      </c>
      <c r="AR256" s="351">
        <f t="shared" si="1731"/>
        <v>1.6628606725705042</v>
      </c>
      <c r="AS256" s="343" t="str">
        <f t="shared" si="1732"/>
        <v>YES</v>
      </c>
      <c r="AT256" s="351" t="str">
        <f t="shared" si="1763"/>
        <v>NA</v>
      </c>
      <c r="AU256" s="343" t="str">
        <f t="shared" si="1764"/>
        <v>NA</v>
      </c>
      <c r="AV256" s="354" t="str">
        <f t="shared" si="1765"/>
        <v>1R x 0.6/1kV x 3C x 16 Sqmm</v>
      </c>
      <c r="AW256" s="354" t="str">
        <f t="shared" si="1766"/>
        <v>1R x 0.6/1kV x 3C x 16 Sqmm</v>
      </c>
      <c r="AX256" s="343">
        <f t="shared" si="1767"/>
        <v>50</v>
      </c>
      <c r="AY256" s="355"/>
      <c r="AZ256" s="355">
        <f t="shared" si="1768"/>
        <v>2</v>
      </c>
      <c r="BA256" s="356" t="str">
        <f t="shared" si="1769"/>
        <v/>
      </c>
      <c r="BB256" s="501">
        <f>VLOOKUP(W256,'Catalogue Aluminium'!$B$9:$H$93,7,FALSE)</f>
        <v>19</v>
      </c>
      <c r="BC256" s="328">
        <f t="shared" si="1770"/>
        <v>19</v>
      </c>
      <c r="BE256" s="336"/>
      <c r="BF256" s="336"/>
      <c r="BG256" s="336"/>
      <c r="BH256" s="336"/>
      <c r="BI256" s="336"/>
      <c r="BJ256" s="336"/>
      <c r="BK256" s="336"/>
      <c r="BL256" s="336"/>
      <c r="BM256" s="336"/>
      <c r="BN256" s="336"/>
      <c r="BO256" s="336"/>
      <c r="BP256" s="336"/>
      <c r="BQ256" s="336"/>
      <c r="BR256" s="336"/>
      <c r="BS256" s="336"/>
      <c r="BT256" s="336"/>
      <c r="BU256" s="336"/>
      <c r="BV256" s="336"/>
      <c r="BW256" s="336"/>
      <c r="BX256" s="336"/>
      <c r="BY256" s="336"/>
      <c r="BZ256" s="336"/>
      <c r="CA256" s="336"/>
      <c r="CB256" s="336"/>
      <c r="CC256" s="336"/>
      <c r="CD256" s="336"/>
      <c r="CE256" s="336"/>
      <c r="CF256" s="336"/>
      <c r="CG256" s="336"/>
      <c r="CH256" s="336"/>
      <c r="CI256" s="336"/>
      <c r="CJ256" s="336"/>
      <c r="CK256" s="336"/>
      <c r="CL256" s="336"/>
      <c r="CM256" s="336"/>
      <c r="CN256" s="336"/>
      <c r="CO256" s="336"/>
      <c r="CP256" s="336"/>
      <c r="CQ256" s="336"/>
      <c r="CR256" s="336"/>
      <c r="CS256" s="336"/>
      <c r="CT256" s="336"/>
      <c r="CU256" s="336"/>
      <c r="CV256" s="336"/>
      <c r="CW256" s="336"/>
      <c r="CX256" s="336"/>
      <c r="CY256" s="336"/>
      <c r="CZ256" s="336"/>
      <c r="DA256" s="336"/>
      <c r="DB256" s="336"/>
      <c r="DC256" s="336"/>
      <c r="DD256" s="336"/>
      <c r="DE256" s="336"/>
      <c r="DF256" s="336"/>
      <c r="DG256" s="336"/>
      <c r="DH256" s="336"/>
      <c r="DI256" s="336"/>
      <c r="DJ256" s="336"/>
      <c r="DK256" s="336"/>
      <c r="DL256" s="336"/>
      <c r="DM256" s="336"/>
      <c r="DN256" s="336"/>
      <c r="DO256" s="336"/>
      <c r="DP256" s="336"/>
      <c r="DQ256" s="336"/>
      <c r="DR256" s="336"/>
      <c r="DS256" s="336"/>
      <c r="DT256" s="336"/>
      <c r="DU256" s="336"/>
      <c r="DW256" s="336">
        <f t="shared" si="1733"/>
        <v>0</v>
      </c>
      <c r="DX256" s="336">
        <f t="shared" si="1668"/>
        <v>0</v>
      </c>
      <c r="DY256" s="336">
        <f t="shared" si="1669"/>
        <v>0</v>
      </c>
      <c r="DZ256" s="336">
        <f t="shared" si="1670"/>
        <v>0</v>
      </c>
      <c r="EA256" s="336">
        <f t="shared" si="1671"/>
        <v>0</v>
      </c>
      <c r="EB256" s="336">
        <f t="shared" si="1672"/>
        <v>0</v>
      </c>
      <c r="EC256" s="336">
        <f t="shared" si="1673"/>
        <v>0</v>
      </c>
      <c r="ED256" s="336">
        <f t="shared" si="1674"/>
        <v>0</v>
      </c>
      <c r="EE256" s="336">
        <f t="shared" si="1675"/>
        <v>0</v>
      </c>
      <c r="EF256" s="336">
        <f t="shared" si="1676"/>
        <v>0</v>
      </c>
      <c r="EG256" s="336">
        <f t="shared" si="1677"/>
        <v>0</v>
      </c>
      <c r="EH256" s="336">
        <f t="shared" si="1678"/>
        <v>0</v>
      </c>
      <c r="EI256" s="336">
        <f t="shared" si="1679"/>
        <v>0</v>
      </c>
      <c r="EJ256" s="336">
        <f t="shared" si="1680"/>
        <v>0</v>
      </c>
      <c r="EK256" s="336">
        <f t="shared" si="1681"/>
        <v>0</v>
      </c>
      <c r="EL256" s="336">
        <f t="shared" si="1682"/>
        <v>0</v>
      </c>
      <c r="EM256" s="336">
        <f t="shared" si="1683"/>
        <v>0</v>
      </c>
      <c r="EN256" s="336">
        <f t="shared" si="1684"/>
        <v>0</v>
      </c>
      <c r="EO256" s="336">
        <f t="shared" si="1685"/>
        <v>0</v>
      </c>
      <c r="EP256" s="336">
        <f t="shared" si="1686"/>
        <v>0</v>
      </c>
      <c r="EQ256" s="336">
        <f t="shared" si="1687"/>
        <v>0</v>
      </c>
      <c r="ER256" s="336">
        <f t="shared" si="1688"/>
        <v>0</v>
      </c>
      <c r="ES256" s="336">
        <f t="shared" si="1689"/>
        <v>0</v>
      </c>
      <c r="ET256" s="336">
        <f t="shared" si="1689"/>
        <v>0</v>
      </c>
      <c r="EU256" s="336">
        <f t="shared" si="1690"/>
        <v>0</v>
      </c>
      <c r="EV256" s="336">
        <f t="shared" si="1691"/>
        <v>0</v>
      </c>
      <c r="EW256" s="336">
        <f t="shared" si="1692"/>
        <v>0</v>
      </c>
      <c r="EX256" s="336">
        <f t="shared" si="1693"/>
        <v>0</v>
      </c>
      <c r="EY256" s="336">
        <f t="shared" si="1694"/>
        <v>0</v>
      </c>
      <c r="EZ256" s="336">
        <f t="shared" si="1695"/>
        <v>0</v>
      </c>
      <c r="FA256" s="336">
        <f t="shared" si="1696"/>
        <v>0</v>
      </c>
      <c r="FB256" s="336">
        <f t="shared" si="1697"/>
        <v>0</v>
      </c>
      <c r="FC256" s="336">
        <f t="shared" si="1698"/>
        <v>0</v>
      </c>
      <c r="FD256" s="336">
        <f t="shared" si="1699"/>
        <v>0</v>
      </c>
      <c r="FE256" s="336">
        <f t="shared" si="1700"/>
        <v>0</v>
      </c>
      <c r="FF256" s="336">
        <f t="shared" si="1701"/>
        <v>0</v>
      </c>
      <c r="FG256" s="336">
        <f t="shared" si="1702"/>
        <v>0</v>
      </c>
      <c r="FH256" s="336">
        <f t="shared" si="1703"/>
        <v>0</v>
      </c>
      <c r="FI256" s="336">
        <f t="shared" si="1704"/>
        <v>0</v>
      </c>
      <c r="FJ256" s="336">
        <f t="shared" si="1705"/>
        <v>0</v>
      </c>
      <c r="FK256" s="336">
        <f t="shared" si="1706"/>
        <v>0</v>
      </c>
      <c r="FL256" s="336">
        <f t="shared" si="1707"/>
        <v>0</v>
      </c>
      <c r="FM256" s="336">
        <f t="shared" si="1708"/>
        <v>0</v>
      </c>
      <c r="FN256" s="336">
        <f t="shared" si="1709"/>
        <v>0</v>
      </c>
      <c r="FO256" s="336">
        <f t="shared" si="1710"/>
        <v>0</v>
      </c>
      <c r="FP256" s="336">
        <f t="shared" si="1711"/>
        <v>0</v>
      </c>
      <c r="FQ256" s="336">
        <f t="shared" si="1712"/>
        <v>0</v>
      </c>
      <c r="FR256" s="336">
        <f t="shared" si="1713"/>
        <v>0</v>
      </c>
      <c r="FS256" s="336">
        <f t="shared" si="1714"/>
        <v>0</v>
      </c>
      <c r="FT256" s="336">
        <f t="shared" si="1715"/>
        <v>0</v>
      </c>
      <c r="FU256" s="336">
        <f t="shared" si="1751"/>
        <v>0</v>
      </c>
      <c r="FV256" s="336">
        <f t="shared" si="1752"/>
        <v>0</v>
      </c>
      <c r="FW256" s="336">
        <f t="shared" si="1753"/>
        <v>0</v>
      </c>
      <c r="FX256" s="336">
        <f t="shared" si="1754"/>
        <v>0</v>
      </c>
      <c r="FY256" s="336">
        <f t="shared" si="1734"/>
        <v>0</v>
      </c>
      <c r="FZ256" s="336">
        <f t="shared" si="1735"/>
        <v>0</v>
      </c>
      <c r="GA256" s="336">
        <f t="shared" si="1736"/>
        <v>0</v>
      </c>
      <c r="GB256" s="336">
        <f t="shared" si="1737"/>
        <v>0</v>
      </c>
      <c r="GC256" s="336">
        <f t="shared" si="1738"/>
        <v>0</v>
      </c>
      <c r="GD256" s="336">
        <f t="shared" si="1739"/>
        <v>0</v>
      </c>
      <c r="GE256" s="336">
        <f t="shared" si="1740"/>
        <v>0</v>
      </c>
      <c r="GF256" s="336">
        <f t="shared" si="1741"/>
        <v>0</v>
      </c>
      <c r="GG256" s="336">
        <f t="shared" si="1742"/>
        <v>0</v>
      </c>
      <c r="GH256" s="336">
        <f t="shared" si="1743"/>
        <v>0</v>
      </c>
      <c r="GI256" s="336">
        <f t="shared" si="1744"/>
        <v>0</v>
      </c>
      <c r="GJ256" s="336">
        <f t="shared" si="1745"/>
        <v>0</v>
      </c>
      <c r="GK256" s="336">
        <f t="shared" si="1746"/>
        <v>0</v>
      </c>
      <c r="GL256" s="336">
        <f t="shared" si="1755"/>
        <v>0</v>
      </c>
      <c r="GM256" s="336">
        <f t="shared" si="1747"/>
        <v>0</v>
      </c>
    </row>
    <row r="257" spans="1:195" ht="27.75" customHeight="1">
      <c r="A257" s="337">
        <f t="shared" si="1773"/>
        <v>206</v>
      </c>
      <c r="B257" s="453"/>
      <c r="C257" s="372" t="str">
        <f t="shared" si="1771"/>
        <v>CANTEEN BUILDING HVAC DB</v>
      </c>
      <c r="D257" s="444" t="s">
        <v>1403</v>
      </c>
      <c r="E257" s="569"/>
      <c r="F257" s="500"/>
      <c r="G257" s="337" t="s">
        <v>329</v>
      </c>
      <c r="H257" s="583">
        <v>3.5</v>
      </c>
      <c r="I257" s="337" t="s">
        <v>330</v>
      </c>
      <c r="J257" s="349" t="s">
        <v>357</v>
      </c>
      <c r="K257" s="349">
        <v>230</v>
      </c>
      <c r="L257" s="343">
        <v>0.95</v>
      </c>
      <c r="M257" s="350">
        <v>0.85</v>
      </c>
      <c r="N257" s="342">
        <f t="shared" si="1596"/>
        <v>18.845066630771303</v>
      </c>
      <c r="O257" s="342">
        <f t="shared" si="1756"/>
        <v>0</v>
      </c>
      <c r="P257" s="343" t="str">
        <f t="shared" si="1598"/>
        <v>0.00</v>
      </c>
      <c r="Q257" s="350">
        <v>65</v>
      </c>
      <c r="R257" s="350">
        <v>0</v>
      </c>
      <c r="S257" s="350">
        <f t="shared" si="1582"/>
        <v>0</v>
      </c>
      <c r="T257" s="343" t="s">
        <v>332</v>
      </c>
      <c r="U257" s="350" t="s">
        <v>333</v>
      </c>
      <c r="V257" s="343">
        <v>16</v>
      </c>
      <c r="W257" s="343" t="str">
        <f t="shared" si="1583"/>
        <v>3C X 16</v>
      </c>
      <c r="X257" s="343" t="str">
        <f t="shared" si="1757"/>
        <v>3C X 16</v>
      </c>
      <c r="Y257" s="343" t="s">
        <v>358</v>
      </c>
      <c r="Z257" s="344">
        <f>IF(T257="AIR",VLOOKUP(W257,'Catalogue Aluminium'!$B$9:$G$93,2,FALSE),IF(T257="GROUND",VLOOKUP(W257,'Catalogue Aluminium'!$B$9:$G$93,3,FALSE),IF(T257="DUCT",VLOOKUP(W257,'Catalogue Aluminium'!$B$9:$G$93,4,FALSE),IF(T257="TRENCH",VLOOKUP(W257,'Catalogue Aluminium'!$B$9:$G$93,2,FALSE)))))</f>
        <v>70</v>
      </c>
      <c r="AA257" s="345">
        <f>VLOOKUP(W257,'Catalogue Aluminium'!$B$9:$G$93,5,FALSE)</f>
        <v>2.44</v>
      </c>
      <c r="AB257" s="345">
        <f>VLOOKUP(W257,'Catalogue Aluminium'!$B$9:$G$93,6,FALSE)</f>
        <v>8.1500000000000003E-2</v>
      </c>
      <c r="AC257" s="343">
        <f t="shared" si="1772"/>
        <v>30</v>
      </c>
      <c r="AD257" s="343">
        <v>0</v>
      </c>
      <c r="AE257" s="343">
        <v>10</v>
      </c>
      <c r="AF257" s="343">
        <v>5</v>
      </c>
      <c r="AG257" s="343">
        <f t="shared" si="1730"/>
        <v>5</v>
      </c>
      <c r="AH257" s="347">
        <f t="shared" si="1758"/>
        <v>50</v>
      </c>
      <c r="AI257" s="344">
        <f>IF(T257="AIR",'Catalogue Aluminium'!$K$9,IF(T257="TRENCH",'Catalogue Aluminium'!$K$12,"NA"))</f>
        <v>0.89</v>
      </c>
      <c r="AJ257" s="342">
        <f>IF(T257="Air",(IF(U257="1C",'Catalogue Aluminium'!$L$9,'Catalogue Aluminium'!$M$9)),IF(T257="DUCT",(IF($U257="1C",'Catalogue Aluminium'!$L$10,'Catalogue Aluminium'!$M$10)),IF(T257="GROUND",(IF($U257="1C",'Catalogue Aluminium'!$L$11,'Catalogue Aluminium'!$M$11)),IF(T257="TRENCH",(IF($U257="1C",'Catalogue Aluminium'!$L$12,'Catalogue Aluminium'!$M$12))))))</f>
        <v>0.66</v>
      </c>
      <c r="AK257" s="344" t="str">
        <f>IF(T257="Air",'Catalogue Aluminium'!$N$9,IF(T257="GROUND",'Catalogue Aluminium'!$N$10,IF(T257="DUCT",'Catalogue Aluminium'!$N$11,IF(T257="TRENCH",'Catalogue Aluminium'!$N$12,"NA"))))</f>
        <v>NA</v>
      </c>
      <c r="AL257" s="344" t="str">
        <f>IF(T257="Air",(IF(U257="1C",'Catalogue Aluminium'!$O$9,'Catalogue Aluminium'!$P$9)),IF(T257="DUCT",(IF($U257="1C",'Catalogue Aluminium'!$O$10,'Catalogue Aluminium'!$P$10)),IF(T257="GROUND",(IF($U257="1C",'Catalogue Aluminium'!$O$11,'Catalogue Aluminium'!$P$11)),IF(T257="TRENCH",(IF($U257="1C",'Catalogue Aluminium'!$O$12,'Catalogue Aluminium'!$P$12))))))</f>
        <v>NA</v>
      </c>
      <c r="AM257" s="344" t="str">
        <f>IF(T257="AIR","NA",IF(T257="TRENCH","NA",IF(T257="DUCT",IF(U257="1C",VLOOKUP(V257,'Catalogue Aluminium'!$Q$9:$S$28,2,FALSE),VLOOKUP(V257,'Catalogue Aluminium'!$Q$9:$S$28,3)),IF(T257="GROUND",IF(U257="1C",VLOOKUP(V257,'Catalogue Aluminium'!$Q$9:$S$28,2,FALSE),VLOOKUP(V257,'Catalogue Aluminium'!$Q$9:$S$28,3))))))</f>
        <v>NA</v>
      </c>
      <c r="AN257" s="351">
        <f t="shared" si="1759"/>
        <v>0.58740000000000003</v>
      </c>
      <c r="AO257" s="350">
        <f t="shared" si="1760"/>
        <v>41.118000000000002</v>
      </c>
      <c r="AP257" s="349">
        <f t="shared" si="1761"/>
        <v>1</v>
      </c>
      <c r="AQ257" s="350" t="str">
        <f t="shared" si="1762"/>
        <v>YES</v>
      </c>
      <c r="AR257" s="351">
        <f t="shared" si="1731"/>
        <v>1.6628606725705042</v>
      </c>
      <c r="AS257" s="343" t="str">
        <f t="shared" si="1732"/>
        <v>YES</v>
      </c>
      <c r="AT257" s="351" t="str">
        <f t="shared" si="1763"/>
        <v>NA</v>
      </c>
      <c r="AU257" s="343" t="str">
        <f t="shared" si="1764"/>
        <v>NA</v>
      </c>
      <c r="AV257" s="354" t="str">
        <f t="shared" si="1765"/>
        <v>1R x 0.6/1kV x 3C x 16 Sqmm</v>
      </c>
      <c r="AW257" s="354" t="str">
        <f t="shared" si="1766"/>
        <v>1R x 0.6/1kV x 3C x 16 Sqmm</v>
      </c>
      <c r="AX257" s="343">
        <f t="shared" si="1767"/>
        <v>50</v>
      </c>
      <c r="AY257" s="355"/>
      <c r="AZ257" s="355">
        <f t="shared" si="1768"/>
        <v>2</v>
      </c>
      <c r="BA257" s="356" t="str">
        <f t="shared" si="1769"/>
        <v/>
      </c>
      <c r="BB257" s="501">
        <f>VLOOKUP(W257,'Catalogue Aluminium'!$B$9:$H$93,7,FALSE)</f>
        <v>19</v>
      </c>
      <c r="BC257" s="328">
        <f t="shared" si="1770"/>
        <v>19</v>
      </c>
      <c r="BE257" s="336"/>
      <c r="BF257" s="336"/>
      <c r="BG257" s="336"/>
      <c r="BH257" s="336"/>
      <c r="BI257" s="336"/>
      <c r="BJ257" s="336"/>
      <c r="BK257" s="336"/>
      <c r="BL257" s="336"/>
      <c r="BM257" s="336"/>
      <c r="BN257" s="336"/>
      <c r="BO257" s="336"/>
      <c r="BP257" s="336"/>
      <c r="BQ257" s="336"/>
      <c r="BR257" s="336"/>
      <c r="BS257" s="336"/>
      <c r="BT257" s="336"/>
      <c r="BU257" s="336"/>
      <c r="BV257" s="336"/>
      <c r="BW257" s="336"/>
      <c r="BX257" s="336"/>
      <c r="BY257" s="336"/>
      <c r="BZ257" s="336"/>
      <c r="CA257" s="336"/>
      <c r="CB257" s="336"/>
      <c r="CC257" s="336"/>
      <c r="CD257" s="336"/>
      <c r="CE257" s="336"/>
      <c r="CF257" s="336"/>
      <c r="CG257" s="336"/>
      <c r="CH257" s="336"/>
      <c r="CI257" s="336"/>
      <c r="CJ257" s="336"/>
      <c r="CK257" s="336"/>
      <c r="CL257" s="336"/>
      <c r="CM257" s="336"/>
      <c r="CN257" s="336"/>
      <c r="CO257" s="336"/>
      <c r="CP257" s="336"/>
      <c r="CQ257" s="336"/>
      <c r="CR257" s="336"/>
      <c r="CS257" s="336"/>
      <c r="CT257" s="336"/>
      <c r="CU257" s="336"/>
      <c r="CV257" s="336"/>
      <c r="CW257" s="336"/>
      <c r="CX257" s="336"/>
      <c r="CY257" s="336"/>
      <c r="CZ257" s="336"/>
      <c r="DA257" s="336"/>
      <c r="DB257" s="336"/>
      <c r="DC257" s="336"/>
      <c r="DD257" s="336"/>
      <c r="DE257" s="336"/>
      <c r="DF257" s="336"/>
      <c r="DG257" s="336"/>
      <c r="DH257" s="336"/>
      <c r="DI257" s="336"/>
      <c r="DJ257" s="336"/>
      <c r="DK257" s="336"/>
      <c r="DL257" s="336"/>
      <c r="DM257" s="336"/>
      <c r="DN257" s="336"/>
      <c r="DO257" s="336"/>
      <c r="DP257" s="336"/>
      <c r="DQ257" s="336"/>
      <c r="DR257" s="336"/>
      <c r="DS257" s="336"/>
      <c r="DT257" s="336"/>
      <c r="DU257" s="336"/>
      <c r="DW257" s="336">
        <f t="shared" si="1733"/>
        <v>0</v>
      </c>
      <c r="DX257" s="336">
        <f t="shared" si="1668"/>
        <v>0</v>
      </c>
      <c r="DY257" s="336">
        <f t="shared" si="1669"/>
        <v>0</v>
      </c>
      <c r="DZ257" s="336">
        <f t="shared" si="1670"/>
        <v>0</v>
      </c>
      <c r="EA257" s="336">
        <f t="shared" si="1671"/>
        <v>0</v>
      </c>
      <c r="EB257" s="336">
        <f t="shared" si="1672"/>
        <v>0</v>
      </c>
      <c r="EC257" s="336">
        <f t="shared" si="1673"/>
        <v>0</v>
      </c>
      <c r="ED257" s="336">
        <f t="shared" si="1674"/>
        <v>0</v>
      </c>
      <c r="EE257" s="336">
        <f t="shared" si="1675"/>
        <v>0</v>
      </c>
      <c r="EF257" s="336">
        <f t="shared" si="1676"/>
        <v>0</v>
      </c>
      <c r="EG257" s="336">
        <f t="shared" si="1677"/>
        <v>0</v>
      </c>
      <c r="EH257" s="336">
        <f t="shared" si="1678"/>
        <v>0</v>
      </c>
      <c r="EI257" s="336">
        <f t="shared" si="1679"/>
        <v>0</v>
      </c>
      <c r="EJ257" s="336">
        <f t="shared" si="1680"/>
        <v>0</v>
      </c>
      <c r="EK257" s="336">
        <f t="shared" si="1681"/>
        <v>0</v>
      </c>
      <c r="EL257" s="336">
        <f t="shared" si="1682"/>
        <v>0</v>
      </c>
      <c r="EM257" s="336">
        <f t="shared" si="1683"/>
        <v>0</v>
      </c>
      <c r="EN257" s="336">
        <f t="shared" si="1684"/>
        <v>0</v>
      </c>
      <c r="EO257" s="336">
        <f t="shared" si="1685"/>
        <v>0</v>
      </c>
      <c r="EP257" s="336">
        <f t="shared" si="1686"/>
        <v>0</v>
      </c>
      <c r="EQ257" s="336">
        <f t="shared" si="1687"/>
        <v>0</v>
      </c>
      <c r="ER257" s="336">
        <f t="shared" si="1688"/>
        <v>0</v>
      </c>
      <c r="ES257" s="336">
        <f t="shared" si="1689"/>
        <v>0</v>
      </c>
      <c r="ET257" s="336">
        <f t="shared" si="1689"/>
        <v>0</v>
      </c>
      <c r="EU257" s="336">
        <f t="shared" si="1690"/>
        <v>0</v>
      </c>
      <c r="EV257" s="336">
        <f t="shared" si="1691"/>
        <v>0</v>
      </c>
      <c r="EW257" s="336">
        <f t="shared" si="1692"/>
        <v>0</v>
      </c>
      <c r="EX257" s="336">
        <f t="shared" si="1693"/>
        <v>0</v>
      </c>
      <c r="EY257" s="336">
        <f t="shared" si="1694"/>
        <v>0</v>
      </c>
      <c r="EZ257" s="336">
        <f t="shared" si="1695"/>
        <v>0</v>
      </c>
      <c r="FA257" s="336">
        <f t="shared" si="1696"/>
        <v>0</v>
      </c>
      <c r="FB257" s="336">
        <f t="shared" si="1697"/>
        <v>0</v>
      </c>
      <c r="FC257" s="336">
        <f t="shared" si="1698"/>
        <v>0</v>
      </c>
      <c r="FD257" s="336">
        <f t="shared" si="1699"/>
        <v>0</v>
      </c>
      <c r="FE257" s="336">
        <f t="shared" si="1700"/>
        <v>0</v>
      </c>
      <c r="FF257" s="336">
        <f t="shared" si="1701"/>
        <v>0</v>
      </c>
      <c r="FG257" s="336">
        <f t="shared" si="1702"/>
        <v>0</v>
      </c>
      <c r="FH257" s="336">
        <f t="shared" si="1703"/>
        <v>0</v>
      </c>
      <c r="FI257" s="336">
        <f t="shared" si="1704"/>
        <v>0</v>
      </c>
      <c r="FJ257" s="336">
        <f t="shared" si="1705"/>
        <v>0</v>
      </c>
      <c r="FK257" s="336">
        <f t="shared" si="1706"/>
        <v>0</v>
      </c>
      <c r="FL257" s="336">
        <f t="shared" si="1707"/>
        <v>0</v>
      </c>
      <c r="FM257" s="336">
        <f t="shared" si="1708"/>
        <v>0</v>
      </c>
      <c r="FN257" s="336">
        <f t="shared" si="1709"/>
        <v>0</v>
      </c>
      <c r="FO257" s="336">
        <f t="shared" si="1710"/>
        <v>0</v>
      </c>
      <c r="FP257" s="336">
        <f t="shared" si="1711"/>
        <v>0</v>
      </c>
      <c r="FQ257" s="336">
        <f t="shared" si="1712"/>
        <v>0</v>
      </c>
      <c r="FR257" s="336">
        <f t="shared" si="1713"/>
        <v>0</v>
      </c>
      <c r="FS257" s="336">
        <f t="shared" si="1714"/>
        <v>0</v>
      </c>
      <c r="FT257" s="336">
        <f t="shared" si="1715"/>
        <v>0</v>
      </c>
      <c r="FU257" s="336">
        <f t="shared" si="1751"/>
        <v>0</v>
      </c>
      <c r="FV257" s="336">
        <f t="shared" si="1752"/>
        <v>0</v>
      </c>
      <c r="FW257" s="336">
        <f t="shared" si="1753"/>
        <v>0</v>
      </c>
      <c r="FX257" s="336">
        <f t="shared" si="1754"/>
        <v>0</v>
      </c>
      <c r="FY257" s="336">
        <f t="shared" si="1734"/>
        <v>0</v>
      </c>
      <c r="FZ257" s="336">
        <f t="shared" si="1735"/>
        <v>0</v>
      </c>
      <c r="GA257" s="336">
        <f t="shared" si="1736"/>
        <v>0</v>
      </c>
      <c r="GB257" s="336">
        <f t="shared" si="1737"/>
        <v>0</v>
      </c>
      <c r="GC257" s="336">
        <f t="shared" si="1738"/>
        <v>0</v>
      </c>
      <c r="GD257" s="336">
        <f t="shared" si="1739"/>
        <v>0</v>
      </c>
      <c r="GE257" s="336">
        <f t="shared" si="1740"/>
        <v>0</v>
      </c>
      <c r="GF257" s="336">
        <f t="shared" si="1741"/>
        <v>0</v>
      </c>
      <c r="GG257" s="336">
        <f t="shared" si="1742"/>
        <v>0</v>
      </c>
      <c r="GH257" s="336">
        <f t="shared" si="1743"/>
        <v>0</v>
      </c>
      <c r="GI257" s="336">
        <f t="shared" si="1744"/>
        <v>0</v>
      </c>
      <c r="GJ257" s="336">
        <f t="shared" si="1745"/>
        <v>0</v>
      </c>
      <c r="GK257" s="336">
        <f t="shared" si="1746"/>
        <v>0</v>
      </c>
      <c r="GL257" s="336">
        <f t="shared" si="1755"/>
        <v>0</v>
      </c>
      <c r="GM257" s="336">
        <f t="shared" si="1747"/>
        <v>0</v>
      </c>
    </row>
    <row r="258" spans="1:195" ht="27.75" customHeight="1">
      <c r="A258" s="337">
        <f>A257+1</f>
        <v>207</v>
      </c>
      <c r="B258" s="453"/>
      <c r="C258" s="372" t="str">
        <f t="shared" si="1771"/>
        <v>CANTEEN BUILDING HVAC DB</v>
      </c>
      <c r="D258" s="444" t="s">
        <v>1404</v>
      </c>
      <c r="E258" s="569"/>
      <c r="F258" s="500"/>
      <c r="G258" s="337" t="s">
        <v>329</v>
      </c>
      <c r="H258" s="583">
        <v>3.5</v>
      </c>
      <c r="I258" s="337" t="s">
        <v>330</v>
      </c>
      <c r="J258" s="349" t="s">
        <v>357</v>
      </c>
      <c r="K258" s="349">
        <v>230</v>
      </c>
      <c r="L258" s="343">
        <v>0.95</v>
      </c>
      <c r="M258" s="350">
        <v>0.85</v>
      </c>
      <c r="N258" s="342">
        <f t="shared" si="1596"/>
        <v>18.845066630771303</v>
      </c>
      <c r="O258" s="342">
        <f t="shared" si="1756"/>
        <v>0</v>
      </c>
      <c r="P258" s="343" t="str">
        <f t="shared" si="1598"/>
        <v>0.00</v>
      </c>
      <c r="Q258" s="350">
        <v>65</v>
      </c>
      <c r="R258" s="350">
        <v>0</v>
      </c>
      <c r="S258" s="350">
        <f t="shared" si="1582"/>
        <v>0</v>
      </c>
      <c r="T258" s="343" t="s">
        <v>332</v>
      </c>
      <c r="U258" s="350" t="s">
        <v>333</v>
      </c>
      <c r="V258" s="343">
        <v>16</v>
      </c>
      <c r="W258" s="343" t="str">
        <f t="shared" si="1583"/>
        <v>3C X 16</v>
      </c>
      <c r="X258" s="343" t="str">
        <f t="shared" si="1757"/>
        <v>3C X 16</v>
      </c>
      <c r="Y258" s="343" t="s">
        <v>358</v>
      </c>
      <c r="Z258" s="344">
        <f>IF(T258="AIR",VLOOKUP(W258,'Catalogue Aluminium'!$B$9:$G$93,2,FALSE),IF(T258="GROUND",VLOOKUP(W258,'Catalogue Aluminium'!$B$9:$G$93,3,FALSE),IF(T258="DUCT",VLOOKUP(W258,'Catalogue Aluminium'!$B$9:$G$93,4,FALSE),IF(T258="TRENCH",VLOOKUP(W258,'Catalogue Aluminium'!$B$9:$G$93,2,FALSE)))))</f>
        <v>70</v>
      </c>
      <c r="AA258" s="345">
        <f>VLOOKUP(W258,'Catalogue Aluminium'!$B$9:$G$93,5,FALSE)</f>
        <v>2.44</v>
      </c>
      <c r="AB258" s="345">
        <f>VLOOKUP(W258,'Catalogue Aluminium'!$B$9:$G$93,6,FALSE)</f>
        <v>8.1500000000000003E-2</v>
      </c>
      <c r="AC258" s="343">
        <f t="shared" si="1772"/>
        <v>30</v>
      </c>
      <c r="AD258" s="343">
        <v>0</v>
      </c>
      <c r="AE258" s="343">
        <v>10</v>
      </c>
      <c r="AF258" s="343">
        <v>5</v>
      </c>
      <c r="AG258" s="343">
        <f t="shared" si="1730"/>
        <v>5</v>
      </c>
      <c r="AH258" s="347">
        <f t="shared" si="1758"/>
        <v>50</v>
      </c>
      <c r="AI258" s="344">
        <f>IF(T258="AIR",'Catalogue Aluminium'!$K$9,IF(T258="TRENCH",'Catalogue Aluminium'!$K$12,"NA"))</f>
        <v>0.89</v>
      </c>
      <c r="AJ258" s="342">
        <f>IF(T258="Air",(IF(U258="1C",'Catalogue Aluminium'!$L$9,'Catalogue Aluminium'!$M$9)),IF(T258="DUCT",(IF($U258="1C",'Catalogue Aluminium'!$L$10,'Catalogue Aluminium'!$M$10)),IF(T258="GROUND",(IF($U258="1C",'Catalogue Aluminium'!$L$11,'Catalogue Aluminium'!$M$11)),IF(T258="TRENCH",(IF($U258="1C",'Catalogue Aluminium'!$L$12,'Catalogue Aluminium'!$M$12))))))</f>
        <v>0.66</v>
      </c>
      <c r="AK258" s="344" t="str">
        <f>IF(T258="Air",'Catalogue Aluminium'!$N$9,IF(T258="GROUND",'Catalogue Aluminium'!$N$10,IF(T258="DUCT",'Catalogue Aluminium'!$N$11,IF(T258="TRENCH",'Catalogue Aluminium'!$N$12,"NA"))))</f>
        <v>NA</v>
      </c>
      <c r="AL258" s="344" t="str">
        <f>IF(T258="Air",(IF(U258="1C",'Catalogue Aluminium'!$O$9,'Catalogue Aluminium'!$P$9)),IF(T258="DUCT",(IF($U258="1C",'Catalogue Aluminium'!$O$10,'Catalogue Aluminium'!$P$10)),IF(T258="GROUND",(IF($U258="1C",'Catalogue Aluminium'!$O$11,'Catalogue Aluminium'!$P$11)),IF(T258="TRENCH",(IF($U258="1C",'Catalogue Aluminium'!$O$12,'Catalogue Aluminium'!$P$12))))))</f>
        <v>NA</v>
      </c>
      <c r="AM258" s="344" t="str">
        <f>IF(T258="AIR","NA",IF(T258="TRENCH","NA",IF(T258="DUCT",IF(U258="1C",VLOOKUP(V258,'Catalogue Aluminium'!$Q$9:$S$28,2,FALSE),VLOOKUP(V258,'Catalogue Aluminium'!$Q$9:$S$28,3)),IF(T258="GROUND",IF(U258="1C",VLOOKUP(V258,'Catalogue Aluminium'!$Q$9:$S$28,2,FALSE),VLOOKUP(V258,'Catalogue Aluminium'!$Q$9:$S$28,3))))))</f>
        <v>NA</v>
      </c>
      <c r="AN258" s="351">
        <f t="shared" si="1759"/>
        <v>0.58740000000000003</v>
      </c>
      <c r="AO258" s="350">
        <f t="shared" si="1760"/>
        <v>41.118000000000002</v>
      </c>
      <c r="AP258" s="349">
        <f t="shared" si="1761"/>
        <v>1</v>
      </c>
      <c r="AQ258" s="350" t="str">
        <f t="shared" si="1762"/>
        <v>YES</v>
      </c>
      <c r="AR258" s="351">
        <f t="shared" si="1731"/>
        <v>1.6628606725705042</v>
      </c>
      <c r="AS258" s="343" t="str">
        <f t="shared" si="1732"/>
        <v>YES</v>
      </c>
      <c r="AT258" s="351" t="str">
        <f t="shared" si="1763"/>
        <v>NA</v>
      </c>
      <c r="AU258" s="343" t="str">
        <f t="shared" si="1764"/>
        <v>NA</v>
      </c>
      <c r="AV258" s="354" t="str">
        <f t="shared" si="1765"/>
        <v>1R x 0.6/1kV x 3C x 16 Sqmm</v>
      </c>
      <c r="AW258" s="354" t="str">
        <f t="shared" si="1766"/>
        <v>1R x 0.6/1kV x 3C x 16 Sqmm</v>
      </c>
      <c r="AX258" s="343">
        <f t="shared" si="1767"/>
        <v>50</v>
      </c>
      <c r="AY258" s="355"/>
      <c r="AZ258" s="355">
        <f t="shared" si="1768"/>
        <v>2</v>
      </c>
      <c r="BA258" s="356" t="str">
        <f t="shared" si="1769"/>
        <v/>
      </c>
      <c r="BB258" s="501">
        <f>VLOOKUP(W258,'Catalogue Aluminium'!$B$9:$H$93,7,FALSE)</f>
        <v>19</v>
      </c>
      <c r="BC258" s="328">
        <f t="shared" si="1770"/>
        <v>19</v>
      </c>
      <c r="BE258" s="336"/>
      <c r="BF258" s="336"/>
      <c r="BG258" s="336"/>
      <c r="BH258" s="336"/>
      <c r="BI258" s="336"/>
      <c r="BJ258" s="336"/>
      <c r="BK258" s="336"/>
      <c r="BL258" s="336"/>
      <c r="BM258" s="336"/>
      <c r="BN258" s="336"/>
      <c r="BO258" s="336"/>
      <c r="BP258" s="336"/>
      <c r="BQ258" s="336"/>
      <c r="BR258" s="336"/>
      <c r="BS258" s="336"/>
      <c r="BT258" s="336"/>
      <c r="BU258" s="336"/>
      <c r="BV258" s="336"/>
      <c r="BW258" s="336"/>
      <c r="BX258" s="336"/>
      <c r="BY258" s="336"/>
      <c r="BZ258" s="336"/>
      <c r="CA258" s="336"/>
      <c r="CB258" s="336"/>
      <c r="CC258" s="336"/>
      <c r="CD258" s="336"/>
      <c r="CE258" s="336"/>
      <c r="CF258" s="336"/>
      <c r="CG258" s="336"/>
      <c r="CH258" s="336"/>
      <c r="CI258" s="336"/>
      <c r="CJ258" s="336"/>
      <c r="CK258" s="336"/>
      <c r="CL258" s="336"/>
      <c r="CM258" s="336"/>
      <c r="CN258" s="336"/>
      <c r="CO258" s="336"/>
      <c r="CP258" s="336"/>
      <c r="CQ258" s="336"/>
      <c r="CR258" s="336"/>
      <c r="CS258" s="336"/>
      <c r="CT258" s="336"/>
      <c r="CU258" s="336"/>
      <c r="CV258" s="336"/>
      <c r="CW258" s="336"/>
      <c r="CX258" s="336"/>
      <c r="CY258" s="336"/>
      <c r="CZ258" s="336"/>
      <c r="DA258" s="336"/>
      <c r="DB258" s="336"/>
      <c r="DC258" s="336"/>
      <c r="DD258" s="336"/>
      <c r="DE258" s="336"/>
      <c r="DF258" s="336"/>
      <c r="DG258" s="336"/>
      <c r="DH258" s="336"/>
      <c r="DI258" s="336"/>
      <c r="DJ258" s="336"/>
      <c r="DK258" s="336"/>
      <c r="DL258" s="336"/>
      <c r="DM258" s="336"/>
      <c r="DN258" s="336"/>
      <c r="DO258" s="336"/>
      <c r="DP258" s="336"/>
      <c r="DQ258" s="336"/>
      <c r="DR258" s="336"/>
      <c r="DS258" s="336"/>
      <c r="DT258" s="336"/>
      <c r="DU258" s="336"/>
      <c r="DW258" s="336">
        <f t="shared" si="1733"/>
        <v>0</v>
      </c>
      <c r="DX258" s="336">
        <f t="shared" si="1668"/>
        <v>0</v>
      </c>
      <c r="DY258" s="336">
        <f t="shared" si="1669"/>
        <v>0</v>
      </c>
      <c r="DZ258" s="336">
        <f t="shared" si="1670"/>
        <v>0</v>
      </c>
      <c r="EA258" s="336">
        <f t="shared" si="1671"/>
        <v>0</v>
      </c>
      <c r="EB258" s="336">
        <f t="shared" si="1672"/>
        <v>0</v>
      </c>
      <c r="EC258" s="336">
        <f t="shared" si="1673"/>
        <v>0</v>
      </c>
      <c r="ED258" s="336">
        <f t="shared" si="1674"/>
        <v>0</v>
      </c>
      <c r="EE258" s="336">
        <f t="shared" si="1675"/>
        <v>0</v>
      </c>
      <c r="EF258" s="336">
        <f t="shared" si="1676"/>
        <v>0</v>
      </c>
      <c r="EG258" s="336">
        <f t="shared" si="1677"/>
        <v>0</v>
      </c>
      <c r="EH258" s="336">
        <f t="shared" si="1678"/>
        <v>0</v>
      </c>
      <c r="EI258" s="336">
        <f t="shared" si="1679"/>
        <v>0</v>
      </c>
      <c r="EJ258" s="336">
        <f t="shared" si="1680"/>
        <v>0</v>
      </c>
      <c r="EK258" s="336">
        <f t="shared" si="1681"/>
        <v>0</v>
      </c>
      <c r="EL258" s="336">
        <f t="shared" si="1682"/>
        <v>0</v>
      </c>
      <c r="EM258" s="336">
        <f t="shared" si="1683"/>
        <v>0</v>
      </c>
      <c r="EN258" s="336">
        <f t="shared" si="1684"/>
        <v>0</v>
      </c>
      <c r="EO258" s="336">
        <f t="shared" si="1685"/>
        <v>0</v>
      </c>
      <c r="EP258" s="336">
        <f t="shared" si="1686"/>
        <v>0</v>
      </c>
      <c r="EQ258" s="336">
        <f t="shared" si="1687"/>
        <v>0</v>
      </c>
      <c r="ER258" s="336">
        <f t="shared" si="1688"/>
        <v>0</v>
      </c>
      <c r="ES258" s="336">
        <f t="shared" si="1689"/>
        <v>0</v>
      </c>
      <c r="ET258" s="336">
        <f t="shared" si="1689"/>
        <v>0</v>
      </c>
      <c r="EU258" s="336">
        <f t="shared" si="1690"/>
        <v>0</v>
      </c>
      <c r="EV258" s="336">
        <f t="shared" si="1691"/>
        <v>0</v>
      </c>
      <c r="EW258" s="336">
        <f t="shared" si="1692"/>
        <v>0</v>
      </c>
      <c r="EX258" s="336">
        <f t="shared" si="1693"/>
        <v>0</v>
      </c>
      <c r="EY258" s="336">
        <f t="shared" si="1694"/>
        <v>0</v>
      </c>
      <c r="EZ258" s="336">
        <f t="shared" si="1695"/>
        <v>0</v>
      </c>
      <c r="FA258" s="336">
        <f t="shared" si="1696"/>
        <v>0</v>
      </c>
      <c r="FB258" s="336">
        <f t="shared" si="1697"/>
        <v>0</v>
      </c>
      <c r="FC258" s="336">
        <f t="shared" si="1698"/>
        <v>0</v>
      </c>
      <c r="FD258" s="336">
        <f t="shared" si="1699"/>
        <v>0</v>
      </c>
      <c r="FE258" s="336">
        <f t="shared" si="1700"/>
        <v>0</v>
      </c>
      <c r="FF258" s="336">
        <f t="shared" si="1701"/>
        <v>0</v>
      </c>
      <c r="FG258" s="336">
        <f t="shared" si="1702"/>
        <v>0</v>
      </c>
      <c r="FH258" s="336">
        <f t="shared" si="1703"/>
        <v>0</v>
      </c>
      <c r="FI258" s="336">
        <f t="shared" si="1704"/>
        <v>0</v>
      </c>
      <c r="FJ258" s="336">
        <f t="shared" si="1705"/>
        <v>0</v>
      </c>
      <c r="FK258" s="336">
        <f t="shared" si="1706"/>
        <v>0</v>
      </c>
      <c r="FL258" s="336">
        <f t="shared" si="1707"/>
        <v>0</v>
      </c>
      <c r="FM258" s="336">
        <f t="shared" si="1708"/>
        <v>0</v>
      </c>
      <c r="FN258" s="336">
        <f t="shared" si="1709"/>
        <v>0</v>
      </c>
      <c r="FO258" s="336">
        <f t="shared" si="1710"/>
        <v>0</v>
      </c>
      <c r="FP258" s="336">
        <f t="shared" si="1711"/>
        <v>0</v>
      </c>
      <c r="FQ258" s="336">
        <f t="shared" si="1712"/>
        <v>0</v>
      </c>
      <c r="FR258" s="336">
        <f t="shared" si="1713"/>
        <v>0</v>
      </c>
      <c r="FS258" s="336">
        <f t="shared" si="1714"/>
        <v>0</v>
      </c>
      <c r="FT258" s="336">
        <f t="shared" si="1715"/>
        <v>0</v>
      </c>
      <c r="FU258" s="336">
        <f t="shared" si="1751"/>
        <v>0</v>
      </c>
      <c r="FV258" s="336">
        <f t="shared" si="1752"/>
        <v>0</v>
      </c>
      <c r="FW258" s="336">
        <f t="shared" si="1753"/>
        <v>0</v>
      </c>
      <c r="FX258" s="336">
        <f t="shared" si="1754"/>
        <v>0</v>
      </c>
      <c r="FY258" s="336">
        <f t="shared" si="1734"/>
        <v>0</v>
      </c>
      <c r="FZ258" s="336">
        <f t="shared" si="1735"/>
        <v>0</v>
      </c>
      <c r="GA258" s="336">
        <f t="shared" si="1736"/>
        <v>0</v>
      </c>
      <c r="GB258" s="336">
        <f t="shared" si="1737"/>
        <v>0</v>
      </c>
      <c r="GC258" s="336">
        <f t="shared" si="1738"/>
        <v>0</v>
      </c>
      <c r="GD258" s="336">
        <f t="shared" si="1739"/>
        <v>0</v>
      </c>
      <c r="GE258" s="336">
        <f t="shared" si="1740"/>
        <v>0</v>
      </c>
      <c r="GF258" s="336">
        <f t="shared" si="1741"/>
        <v>0</v>
      </c>
      <c r="GG258" s="336">
        <f t="shared" si="1742"/>
        <v>0</v>
      </c>
      <c r="GH258" s="336">
        <f t="shared" si="1743"/>
        <v>0</v>
      </c>
      <c r="GI258" s="336">
        <f t="shared" si="1744"/>
        <v>0</v>
      </c>
      <c r="GJ258" s="336">
        <f t="shared" si="1745"/>
        <v>0</v>
      </c>
      <c r="GK258" s="336">
        <f t="shared" si="1746"/>
        <v>0</v>
      </c>
      <c r="GL258" s="336">
        <f t="shared" si="1755"/>
        <v>0</v>
      </c>
      <c r="GM258" s="336">
        <f t="shared" si="1747"/>
        <v>0</v>
      </c>
    </row>
    <row r="259" spans="1:195" s="83" customFormat="1" ht="27.75" hidden="1" customHeight="1">
      <c r="A259" s="357" t="s">
        <v>334</v>
      </c>
      <c r="B259" s="421"/>
      <c r="C259" s="395" t="str">
        <f t="shared" si="1771"/>
        <v>CANTEEN BUILDING HVAC DB</v>
      </c>
      <c r="D259" s="565" t="s">
        <v>1405</v>
      </c>
      <c r="E259" s="780"/>
      <c r="F259" s="493"/>
      <c r="G259" s="357" t="s">
        <v>329</v>
      </c>
      <c r="H259" s="352"/>
      <c r="I259" s="357" t="s">
        <v>330</v>
      </c>
      <c r="J259" s="353" t="s">
        <v>357</v>
      </c>
      <c r="K259" s="353">
        <v>230</v>
      </c>
      <c r="L259" s="360">
        <v>0.95</v>
      </c>
      <c r="M259" s="352">
        <v>0.85</v>
      </c>
      <c r="N259" s="359">
        <f t="shared" si="1596"/>
        <v>0</v>
      </c>
      <c r="O259" s="359">
        <f t="shared" si="1756"/>
        <v>0</v>
      </c>
      <c r="P259" s="360" t="str">
        <f t="shared" si="1598"/>
        <v>0.00</v>
      </c>
      <c r="Q259" s="352">
        <v>65</v>
      </c>
      <c r="R259" s="352">
        <v>0</v>
      </c>
      <c r="S259" s="352">
        <f t="shared" si="1582"/>
        <v>0</v>
      </c>
      <c r="T259" s="360" t="s">
        <v>131</v>
      </c>
      <c r="U259" s="352" t="s">
        <v>333</v>
      </c>
      <c r="V259" s="360">
        <v>6</v>
      </c>
      <c r="W259" s="360" t="str">
        <f t="shared" si="1583"/>
        <v>3C X 6</v>
      </c>
      <c r="X259" s="360" t="str">
        <f t="shared" si="1757"/>
        <v>3C X 6</v>
      </c>
      <c r="Y259" s="360" t="s">
        <v>358</v>
      </c>
      <c r="Z259" s="361">
        <f>IF(T259="AIR",VLOOKUP(W259,'Catalogue Aluminium'!$B$9:$G$93,2,FALSE),IF(T259="GROUND",VLOOKUP(W259,'Catalogue Aluminium'!$B$9:$G$93,3,FALSE),IF(T259="DUCT",VLOOKUP(W259,'Catalogue Aluminium'!$B$9:$G$93,4,FALSE),IF(T259="TRENCH",VLOOKUP(W259,'Catalogue Aluminium'!$B$9:$G$93,2,FALSE)))))</f>
        <v>51</v>
      </c>
      <c r="AA259" s="362">
        <f>VLOOKUP(W259,'Catalogue Aluminium'!$B$9:$G$93,5,FALSE)</f>
        <v>3.94</v>
      </c>
      <c r="AB259" s="362">
        <f>VLOOKUP(W259,'Catalogue Aluminium'!$B$9:$G$93,6,FALSE)</f>
        <v>9.0200000000000002E-2</v>
      </c>
      <c r="AC259" s="360">
        <f t="shared" si="1772"/>
        <v>30</v>
      </c>
      <c r="AD259" s="360">
        <v>0</v>
      </c>
      <c r="AE259" s="360">
        <v>10</v>
      </c>
      <c r="AF259" s="360">
        <v>5</v>
      </c>
      <c r="AG259" s="360">
        <f t="shared" si="1730"/>
        <v>5</v>
      </c>
      <c r="AH259" s="363"/>
      <c r="AI259" s="361">
        <f>IF(T259="AIR",'Catalogue Aluminium'!$K$9,IF(T259="TRENCH",'Catalogue Aluminium'!$K$12,"NA"))</f>
        <v>0.89</v>
      </c>
      <c r="AJ259" s="359">
        <f>IF(T259="Air",(IF(U259="1C",'Catalogue Aluminium'!$L$9,'Catalogue Aluminium'!$M$9)),IF(T259="DUCT",(IF($U259="1C",'Catalogue Aluminium'!$L$10,'Catalogue Aluminium'!$M$10)),IF(T259="GROUND",(IF($U259="1C",'Catalogue Aluminium'!$L$11,'Catalogue Aluminium'!$M$11)),IF(T259="TRENCH",(IF($U259="1C",'Catalogue Aluminium'!$L$12,'Catalogue Aluminium'!$M$12))))))</f>
        <v>0.66</v>
      </c>
      <c r="AK259" s="361" t="str">
        <f>IF(T259="Air",'Catalogue Aluminium'!$N$9,IF(T259="GROUND",'Catalogue Aluminium'!$N$10,IF(T259="DUCT",'Catalogue Aluminium'!$N$11,IF(T259="TRENCH",'Catalogue Aluminium'!$N$12,"NA"))))</f>
        <v>NA</v>
      </c>
      <c r="AL259" s="361" t="str">
        <f>IF(T259="Air",(IF(U259="1C",'Catalogue Aluminium'!$O$9,'Catalogue Aluminium'!$P$9)),IF(T259="DUCT",(IF($U259="1C",'Catalogue Aluminium'!$O$10,'Catalogue Aluminium'!$P$10)),IF(T259="GROUND",(IF($U259="1C",'Catalogue Aluminium'!$O$11,'Catalogue Aluminium'!$P$11)),IF(T259="TRENCH",(IF($U259="1C",'Catalogue Aluminium'!$O$12,'Catalogue Aluminium'!$P$12))))))</f>
        <v>NA</v>
      </c>
      <c r="AM259" s="361" t="str">
        <f>IF(T259="AIR","NA",IF(T259="TRENCH","NA",IF(T259="DUCT",IF(U259="1C",VLOOKUP(V259,'Catalogue Aluminium'!$Q$9:$S$28,2,FALSE),VLOOKUP(V259,'Catalogue Aluminium'!$Q$9:$S$28,3)),IF(T259="GROUND",IF(U259="1C",VLOOKUP(V259,'Catalogue Aluminium'!$Q$9:$S$28,2,FALSE),VLOOKUP(V259,'Catalogue Aluminium'!$Q$9:$S$28,3))))))</f>
        <v>NA</v>
      </c>
      <c r="AN259" s="365">
        <f t="shared" si="1759"/>
        <v>0.58740000000000003</v>
      </c>
      <c r="AO259" s="352">
        <f t="shared" si="1760"/>
        <v>29.957400000000003</v>
      </c>
      <c r="AP259" s="353"/>
      <c r="AQ259" s="352" t="str">
        <f t="shared" si="1762"/>
        <v>YES</v>
      </c>
      <c r="AR259" s="365" t="e">
        <f t="shared" si="1731"/>
        <v>#DIV/0!</v>
      </c>
      <c r="AS259" s="360" t="e">
        <f t="shared" si="1732"/>
        <v>#DIV/0!</v>
      </c>
      <c r="AT259" s="365" t="str">
        <f>IF(G259="MOTOR",(SQRT(3)*AH259*O259*((AA259*L259)+(AB259*SIN(ACOS(L259))))*100/(AP259*K259*1000)),"NA")</f>
        <v>NA</v>
      </c>
      <c r="AU259" s="360" t="str">
        <f t="shared" si="1764"/>
        <v>NA</v>
      </c>
      <c r="AV259" s="366" t="str">
        <f t="shared" si="1765"/>
        <v>R x 0.6/1kV x 3C x 6 Sqmm</v>
      </c>
      <c r="AW259" s="366" t="str">
        <f t="shared" si="1766"/>
        <v>R x 0.6/1kV x 3C x 6 Sqmm</v>
      </c>
      <c r="AX259" s="360"/>
      <c r="AY259" s="367"/>
      <c r="AZ259" s="367"/>
      <c r="BA259" s="751" t="str">
        <f t="shared" si="1769"/>
        <v/>
      </c>
      <c r="BB259" s="498"/>
      <c r="BC259" s="426"/>
      <c r="BE259" s="368"/>
      <c r="BF259" s="368"/>
      <c r="BG259" s="368"/>
      <c r="BH259" s="368"/>
      <c r="BI259" s="368"/>
      <c r="BJ259" s="368"/>
      <c r="BK259" s="368"/>
      <c r="BL259" s="368"/>
      <c r="BM259" s="368"/>
      <c r="BN259" s="368"/>
      <c r="BO259" s="368"/>
      <c r="BP259" s="368"/>
      <c r="BQ259" s="368"/>
      <c r="BR259" s="368"/>
      <c r="BS259" s="368"/>
      <c r="BT259" s="368"/>
      <c r="BU259" s="368"/>
      <c r="BV259" s="368"/>
      <c r="BW259" s="368"/>
      <c r="BX259" s="368"/>
      <c r="BY259" s="368"/>
      <c r="BZ259" s="368"/>
      <c r="CA259" s="368"/>
      <c r="CB259" s="368"/>
      <c r="CC259" s="368"/>
      <c r="CD259" s="368"/>
      <c r="CE259" s="368"/>
      <c r="CF259" s="368"/>
      <c r="CG259" s="368"/>
      <c r="CH259" s="368"/>
      <c r="CI259" s="368"/>
      <c r="CJ259" s="368"/>
      <c r="CK259" s="368"/>
      <c r="CL259" s="368"/>
      <c r="CM259" s="368"/>
      <c r="CN259" s="368"/>
      <c r="CO259" s="368"/>
      <c r="CP259" s="368"/>
      <c r="CQ259" s="368"/>
      <c r="CR259" s="368"/>
      <c r="CS259" s="368"/>
      <c r="CT259" s="368"/>
      <c r="CU259" s="368"/>
      <c r="CV259" s="368"/>
      <c r="CW259" s="368"/>
      <c r="CX259" s="368"/>
      <c r="CY259" s="368"/>
      <c r="CZ259" s="368"/>
      <c r="DA259" s="368"/>
      <c r="DB259" s="368"/>
      <c r="DC259" s="368"/>
      <c r="DD259" s="368"/>
      <c r="DE259" s="368"/>
      <c r="DF259" s="368"/>
      <c r="DG259" s="368"/>
      <c r="DH259" s="368"/>
      <c r="DI259" s="368"/>
      <c r="DJ259" s="368"/>
      <c r="DK259" s="368"/>
      <c r="DL259" s="368"/>
      <c r="DM259" s="368"/>
      <c r="DN259" s="368"/>
      <c r="DO259" s="368"/>
      <c r="DP259" s="368"/>
      <c r="DQ259" s="368"/>
      <c r="DR259" s="368"/>
      <c r="DS259" s="368"/>
      <c r="DT259" s="368"/>
      <c r="DU259" s="368"/>
      <c r="DW259" s="336">
        <f t="shared" si="1733"/>
        <v>0</v>
      </c>
      <c r="DX259" s="336">
        <f t="shared" si="1668"/>
        <v>0</v>
      </c>
      <c r="DY259" s="336">
        <f t="shared" si="1669"/>
        <v>0</v>
      </c>
      <c r="DZ259" s="336">
        <f t="shared" si="1670"/>
        <v>0</v>
      </c>
      <c r="EA259" s="336">
        <f t="shared" si="1671"/>
        <v>0</v>
      </c>
      <c r="EB259" s="336">
        <f t="shared" si="1672"/>
        <v>0</v>
      </c>
      <c r="EC259" s="336">
        <f t="shared" si="1673"/>
        <v>0</v>
      </c>
      <c r="ED259" s="336">
        <f t="shared" si="1674"/>
        <v>0</v>
      </c>
      <c r="EE259" s="336">
        <f t="shared" si="1675"/>
        <v>0</v>
      </c>
      <c r="EF259" s="336">
        <f t="shared" si="1676"/>
        <v>0</v>
      </c>
      <c r="EG259" s="336">
        <f t="shared" si="1677"/>
        <v>0</v>
      </c>
      <c r="EH259" s="336">
        <f t="shared" si="1678"/>
        <v>0</v>
      </c>
      <c r="EI259" s="336">
        <f t="shared" si="1679"/>
        <v>0</v>
      </c>
      <c r="EJ259" s="336">
        <f t="shared" si="1680"/>
        <v>0</v>
      </c>
      <c r="EK259" s="336">
        <f t="shared" si="1681"/>
        <v>0</v>
      </c>
      <c r="EL259" s="336">
        <f t="shared" si="1682"/>
        <v>0</v>
      </c>
      <c r="EM259" s="336">
        <f t="shared" si="1683"/>
        <v>0</v>
      </c>
      <c r="EN259" s="336">
        <f t="shared" si="1684"/>
        <v>0</v>
      </c>
      <c r="EO259" s="336">
        <f t="shared" si="1685"/>
        <v>0</v>
      </c>
      <c r="EP259" s="336">
        <f t="shared" si="1686"/>
        <v>0</v>
      </c>
      <c r="EQ259" s="336">
        <f t="shared" si="1687"/>
        <v>0</v>
      </c>
      <c r="ER259" s="336">
        <f t="shared" si="1688"/>
        <v>0</v>
      </c>
      <c r="ES259" s="336">
        <f t="shared" si="1689"/>
        <v>0</v>
      </c>
      <c r="ET259" s="336">
        <f t="shared" si="1689"/>
        <v>0</v>
      </c>
      <c r="EU259" s="336">
        <f t="shared" si="1690"/>
        <v>0</v>
      </c>
      <c r="EV259" s="336">
        <f t="shared" si="1691"/>
        <v>0</v>
      </c>
      <c r="EW259" s="336">
        <f t="shared" si="1692"/>
        <v>0</v>
      </c>
      <c r="EX259" s="336">
        <f t="shared" si="1693"/>
        <v>0</v>
      </c>
      <c r="EY259" s="336">
        <f t="shared" si="1694"/>
        <v>0</v>
      </c>
      <c r="EZ259" s="336">
        <f t="shared" si="1695"/>
        <v>0</v>
      </c>
      <c r="FA259" s="336">
        <f t="shared" si="1696"/>
        <v>0</v>
      </c>
      <c r="FB259" s="336">
        <f t="shared" si="1697"/>
        <v>0</v>
      </c>
      <c r="FC259" s="336">
        <f t="shared" si="1698"/>
        <v>0</v>
      </c>
      <c r="FD259" s="336">
        <f t="shared" si="1699"/>
        <v>0</v>
      </c>
      <c r="FE259" s="336">
        <f t="shared" si="1700"/>
        <v>0</v>
      </c>
      <c r="FF259" s="336">
        <f t="shared" si="1701"/>
        <v>0</v>
      </c>
      <c r="FG259" s="336">
        <f t="shared" si="1702"/>
        <v>0</v>
      </c>
      <c r="FH259" s="336">
        <f t="shared" si="1703"/>
        <v>0</v>
      </c>
      <c r="FI259" s="336">
        <f t="shared" si="1704"/>
        <v>0</v>
      </c>
      <c r="FJ259" s="336">
        <f t="shared" si="1705"/>
        <v>0</v>
      </c>
      <c r="FK259" s="336">
        <f t="shared" si="1706"/>
        <v>0</v>
      </c>
      <c r="FL259" s="336">
        <f t="shared" si="1707"/>
        <v>0</v>
      </c>
      <c r="FM259" s="336">
        <f t="shared" si="1708"/>
        <v>0</v>
      </c>
      <c r="FN259" s="336">
        <f t="shared" si="1709"/>
        <v>0</v>
      </c>
      <c r="FO259" s="336">
        <f t="shared" si="1710"/>
        <v>0</v>
      </c>
      <c r="FP259" s="336">
        <f t="shared" si="1711"/>
        <v>0</v>
      </c>
      <c r="FQ259" s="336">
        <f t="shared" si="1712"/>
        <v>0</v>
      </c>
      <c r="FR259" s="336">
        <f t="shared" si="1713"/>
        <v>0</v>
      </c>
      <c r="FS259" s="336">
        <f t="shared" si="1714"/>
        <v>0</v>
      </c>
      <c r="FT259" s="336">
        <f t="shared" si="1715"/>
        <v>0</v>
      </c>
      <c r="FU259" s="336"/>
      <c r="FV259" s="336"/>
      <c r="FW259" s="336"/>
      <c r="FX259" s="336"/>
      <c r="FY259" s="336">
        <f t="shared" si="1734"/>
        <v>0</v>
      </c>
      <c r="FZ259" s="336">
        <f t="shared" si="1735"/>
        <v>0</v>
      </c>
      <c r="GA259" s="336">
        <f t="shared" si="1736"/>
        <v>0</v>
      </c>
      <c r="GB259" s="336">
        <f t="shared" si="1737"/>
        <v>0</v>
      </c>
      <c r="GC259" s="336">
        <f t="shared" si="1738"/>
        <v>0</v>
      </c>
      <c r="GD259" s="336">
        <f t="shared" si="1739"/>
        <v>0</v>
      </c>
      <c r="GE259" s="336">
        <f t="shared" si="1740"/>
        <v>0</v>
      </c>
      <c r="GF259" s="336">
        <f t="shared" si="1741"/>
        <v>0</v>
      </c>
      <c r="GG259" s="336">
        <f t="shared" si="1742"/>
        <v>0</v>
      </c>
      <c r="GH259" s="336">
        <f t="shared" si="1743"/>
        <v>0</v>
      </c>
      <c r="GI259" s="336">
        <f t="shared" si="1744"/>
        <v>0</v>
      </c>
      <c r="GJ259" s="336">
        <f t="shared" si="1745"/>
        <v>0</v>
      </c>
      <c r="GK259" s="336">
        <f t="shared" si="1746"/>
        <v>0</v>
      </c>
      <c r="GL259" s="336"/>
      <c r="GM259" s="336">
        <f t="shared" si="1747"/>
        <v>0</v>
      </c>
    </row>
    <row r="260" spans="1:195" s="83" customFormat="1" ht="27.75" hidden="1" customHeight="1">
      <c r="A260" s="357" t="s">
        <v>334</v>
      </c>
      <c r="B260" s="421"/>
      <c r="C260" s="395" t="str">
        <f t="shared" si="1771"/>
        <v>CANTEEN BUILDING HVAC DB</v>
      </c>
      <c r="D260" s="565" t="s">
        <v>1406</v>
      </c>
      <c r="E260" s="780"/>
      <c r="F260" s="493"/>
      <c r="G260" s="357" t="s">
        <v>329</v>
      </c>
      <c r="H260" s="352"/>
      <c r="I260" s="357" t="s">
        <v>330</v>
      </c>
      <c r="J260" s="353" t="s">
        <v>357</v>
      </c>
      <c r="K260" s="353">
        <v>230</v>
      </c>
      <c r="L260" s="360">
        <v>0.95</v>
      </c>
      <c r="M260" s="352">
        <v>0.85</v>
      </c>
      <c r="N260" s="359">
        <f t="shared" si="1596"/>
        <v>0</v>
      </c>
      <c r="O260" s="359">
        <f t="shared" si="1756"/>
        <v>0</v>
      </c>
      <c r="P260" s="360" t="str">
        <f t="shared" si="1598"/>
        <v>0.00</v>
      </c>
      <c r="Q260" s="352">
        <v>65</v>
      </c>
      <c r="R260" s="352">
        <v>0</v>
      </c>
      <c r="S260" s="352">
        <f t="shared" si="1582"/>
        <v>0</v>
      </c>
      <c r="T260" s="360" t="s">
        <v>131</v>
      </c>
      <c r="U260" s="352" t="s">
        <v>333</v>
      </c>
      <c r="V260" s="360">
        <v>6</v>
      </c>
      <c r="W260" s="360" t="str">
        <f t="shared" si="1583"/>
        <v>3C X 6</v>
      </c>
      <c r="X260" s="360" t="str">
        <f t="shared" si="1757"/>
        <v>3C X 6</v>
      </c>
      <c r="Y260" s="360" t="s">
        <v>358</v>
      </c>
      <c r="Z260" s="361">
        <f>IF(T260="AIR",VLOOKUP(W260,'Catalogue Aluminium'!$B$9:$G$93,2,FALSE),IF(T260="GROUND",VLOOKUP(W260,'Catalogue Aluminium'!$B$9:$G$93,3,FALSE),IF(T260="DUCT",VLOOKUP(W260,'Catalogue Aluminium'!$B$9:$G$93,4,FALSE),IF(T260="TRENCH",VLOOKUP(W260,'Catalogue Aluminium'!$B$9:$G$93,2,FALSE)))))</f>
        <v>51</v>
      </c>
      <c r="AA260" s="362">
        <f>VLOOKUP(W260,'Catalogue Aluminium'!$B$9:$G$93,5,FALSE)</f>
        <v>3.94</v>
      </c>
      <c r="AB260" s="362">
        <f>VLOOKUP(W260,'Catalogue Aluminium'!$B$9:$G$93,6,FALSE)</f>
        <v>9.0200000000000002E-2</v>
      </c>
      <c r="AC260" s="360">
        <f t="shared" si="1772"/>
        <v>30</v>
      </c>
      <c r="AD260" s="360">
        <v>0</v>
      </c>
      <c r="AE260" s="360">
        <v>10</v>
      </c>
      <c r="AF260" s="360">
        <v>5</v>
      </c>
      <c r="AG260" s="360">
        <f t="shared" si="1730"/>
        <v>5</v>
      </c>
      <c r="AH260" s="363"/>
      <c r="AI260" s="361">
        <f>IF(T260="AIR",'Catalogue Aluminium'!$K$9,IF(T260="TRENCH",'Catalogue Aluminium'!$K$12,"NA"))</f>
        <v>0.89</v>
      </c>
      <c r="AJ260" s="359">
        <f>IF(T260="Air",(IF(U260="1C",'Catalogue Aluminium'!$L$9,'Catalogue Aluminium'!$M$9)),IF(T260="DUCT",(IF($U260="1C",'Catalogue Aluminium'!$L$10,'Catalogue Aluminium'!$M$10)),IF(T260="GROUND",(IF($U260="1C",'Catalogue Aluminium'!$L$11,'Catalogue Aluminium'!$M$11)),IF(T260="TRENCH",(IF($U260="1C",'Catalogue Aluminium'!$L$12,'Catalogue Aluminium'!$M$12))))))</f>
        <v>0.66</v>
      </c>
      <c r="AK260" s="361" t="str">
        <f>IF(T260="Air",'Catalogue Aluminium'!$N$9,IF(T260="GROUND",'Catalogue Aluminium'!$N$10,IF(T260="DUCT",'Catalogue Aluminium'!$N$11,IF(T260="TRENCH",'Catalogue Aluminium'!$N$12,"NA"))))</f>
        <v>NA</v>
      </c>
      <c r="AL260" s="361" t="str">
        <f>IF(T260="Air",(IF(U260="1C",'Catalogue Aluminium'!$O$9,'Catalogue Aluminium'!$P$9)),IF(T260="DUCT",(IF($U260="1C",'Catalogue Aluminium'!$O$10,'Catalogue Aluminium'!$P$10)),IF(T260="GROUND",(IF($U260="1C",'Catalogue Aluminium'!$O$11,'Catalogue Aluminium'!$P$11)),IF(T260="TRENCH",(IF($U260="1C",'Catalogue Aluminium'!$O$12,'Catalogue Aluminium'!$P$12))))))</f>
        <v>NA</v>
      </c>
      <c r="AM260" s="361" t="str">
        <f>IF(T260="AIR","NA",IF(T260="TRENCH","NA",IF(T260="DUCT",IF(U260="1C",VLOOKUP(V260,'Catalogue Aluminium'!$Q$9:$S$28,2,FALSE),VLOOKUP(V260,'Catalogue Aluminium'!$Q$9:$S$28,3)),IF(T260="GROUND",IF(U260="1C",VLOOKUP(V260,'Catalogue Aluminium'!$Q$9:$S$28,2,FALSE),VLOOKUP(V260,'Catalogue Aluminium'!$Q$9:$S$28,3))))))</f>
        <v>NA</v>
      </c>
      <c r="AN260" s="365">
        <f t="shared" si="1759"/>
        <v>0.58740000000000003</v>
      </c>
      <c r="AO260" s="352">
        <f t="shared" si="1760"/>
        <v>29.957400000000003</v>
      </c>
      <c r="AP260" s="353"/>
      <c r="AQ260" s="352" t="str">
        <f t="shared" si="1762"/>
        <v>YES</v>
      </c>
      <c r="AR260" s="365" t="e">
        <f t="shared" si="1731"/>
        <v>#DIV/0!</v>
      </c>
      <c r="AS260" s="360" t="e">
        <f t="shared" si="1732"/>
        <v>#DIV/0!</v>
      </c>
      <c r="AT260" s="365" t="str">
        <f>IF(G260="MOTOR",(SQRT(3)*AH260*O260*((AA260*L260)+(AB260*SIN(ACOS(L260))))*100/(AP260*K260*1000)),"NA")</f>
        <v>NA</v>
      </c>
      <c r="AU260" s="360" t="str">
        <f t="shared" si="1764"/>
        <v>NA</v>
      </c>
      <c r="AV260" s="366" t="str">
        <f t="shared" si="1765"/>
        <v>R x 0.6/1kV x 3C x 6 Sqmm</v>
      </c>
      <c r="AW260" s="366" t="str">
        <f t="shared" si="1766"/>
        <v>R x 0.6/1kV x 3C x 6 Sqmm</v>
      </c>
      <c r="AX260" s="360"/>
      <c r="AY260" s="367"/>
      <c r="AZ260" s="367"/>
      <c r="BA260" s="751" t="str">
        <f t="shared" si="1769"/>
        <v/>
      </c>
      <c r="BB260" s="498"/>
      <c r="BC260" s="426"/>
      <c r="BE260" s="368"/>
      <c r="BF260" s="368"/>
      <c r="BG260" s="368"/>
      <c r="BH260" s="368"/>
      <c r="BI260" s="368"/>
      <c r="BJ260" s="368"/>
      <c r="BK260" s="368"/>
      <c r="BL260" s="368"/>
      <c r="BM260" s="368"/>
      <c r="BN260" s="368"/>
      <c r="BO260" s="368"/>
      <c r="BP260" s="368"/>
      <c r="BQ260" s="368"/>
      <c r="BR260" s="368"/>
      <c r="BS260" s="368"/>
      <c r="BT260" s="368"/>
      <c r="BU260" s="368"/>
      <c r="BV260" s="368"/>
      <c r="BW260" s="368"/>
      <c r="BX260" s="368"/>
      <c r="BY260" s="368"/>
      <c r="BZ260" s="368"/>
      <c r="CA260" s="368"/>
      <c r="CB260" s="368"/>
      <c r="CC260" s="368"/>
      <c r="CD260" s="368"/>
      <c r="CE260" s="368"/>
      <c r="CF260" s="368"/>
      <c r="CG260" s="368"/>
      <c r="CH260" s="368"/>
      <c r="CI260" s="368"/>
      <c r="CJ260" s="368"/>
      <c r="CK260" s="368"/>
      <c r="CL260" s="368"/>
      <c r="CM260" s="368"/>
      <c r="CN260" s="368"/>
      <c r="CO260" s="368"/>
      <c r="CP260" s="368"/>
      <c r="CQ260" s="368"/>
      <c r="CR260" s="368"/>
      <c r="CS260" s="368"/>
      <c r="CT260" s="368"/>
      <c r="CU260" s="368"/>
      <c r="CV260" s="368"/>
      <c r="CW260" s="368"/>
      <c r="CX260" s="368"/>
      <c r="CY260" s="368"/>
      <c r="CZ260" s="368"/>
      <c r="DA260" s="368"/>
      <c r="DB260" s="368"/>
      <c r="DC260" s="368"/>
      <c r="DD260" s="368"/>
      <c r="DE260" s="368"/>
      <c r="DF260" s="368"/>
      <c r="DG260" s="368"/>
      <c r="DH260" s="368"/>
      <c r="DI260" s="368"/>
      <c r="DJ260" s="368"/>
      <c r="DK260" s="368"/>
      <c r="DL260" s="368"/>
      <c r="DM260" s="368"/>
      <c r="DN260" s="368"/>
      <c r="DO260" s="368"/>
      <c r="DP260" s="368"/>
      <c r="DQ260" s="368"/>
      <c r="DR260" s="368"/>
      <c r="DS260" s="368"/>
      <c r="DT260" s="368"/>
      <c r="DU260" s="368"/>
      <c r="DW260" s="336">
        <f t="shared" si="1733"/>
        <v>0</v>
      </c>
      <c r="DX260" s="336">
        <f t="shared" si="1668"/>
        <v>0</v>
      </c>
      <c r="DY260" s="336">
        <f t="shared" si="1669"/>
        <v>0</v>
      </c>
      <c r="DZ260" s="336">
        <f t="shared" si="1670"/>
        <v>0</v>
      </c>
      <c r="EA260" s="336">
        <f t="shared" si="1671"/>
        <v>0</v>
      </c>
      <c r="EB260" s="336">
        <f t="shared" si="1672"/>
        <v>0</v>
      </c>
      <c r="EC260" s="336">
        <f t="shared" si="1673"/>
        <v>0</v>
      </c>
      <c r="ED260" s="336">
        <f t="shared" si="1674"/>
        <v>0</v>
      </c>
      <c r="EE260" s="336">
        <f t="shared" si="1675"/>
        <v>0</v>
      </c>
      <c r="EF260" s="336">
        <f t="shared" si="1676"/>
        <v>0</v>
      </c>
      <c r="EG260" s="336">
        <f t="shared" si="1677"/>
        <v>0</v>
      </c>
      <c r="EH260" s="336">
        <f t="shared" si="1678"/>
        <v>0</v>
      </c>
      <c r="EI260" s="336">
        <f t="shared" si="1679"/>
        <v>0</v>
      </c>
      <c r="EJ260" s="336">
        <f t="shared" si="1680"/>
        <v>0</v>
      </c>
      <c r="EK260" s="336">
        <f t="shared" si="1681"/>
        <v>0</v>
      </c>
      <c r="EL260" s="336">
        <f t="shared" si="1682"/>
        <v>0</v>
      </c>
      <c r="EM260" s="336">
        <f t="shared" si="1683"/>
        <v>0</v>
      </c>
      <c r="EN260" s="336">
        <f t="shared" si="1684"/>
        <v>0</v>
      </c>
      <c r="EO260" s="336">
        <f t="shared" si="1685"/>
        <v>0</v>
      </c>
      <c r="EP260" s="336">
        <f t="shared" si="1686"/>
        <v>0</v>
      </c>
      <c r="EQ260" s="336">
        <f t="shared" si="1687"/>
        <v>0</v>
      </c>
      <c r="ER260" s="336">
        <f t="shared" si="1688"/>
        <v>0</v>
      </c>
      <c r="ES260" s="336">
        <f t="shared" si="1689"/>
        <v>0</v>
      </c>
      <c r="ET260" s="336">
        <f t="shared" si="1689"/>
        <v>0</v>
      </c>
      <c r="EU260" s="336">
        <f t="shared" si="1690"/>
        <v>0</v>
      </c>
      <c r="EV260" s="336">
        <f t="shared" si="1691"/>
        <v>0</v>
      </c>
      <c r="EW260" s="336">
        <f t="shared" si="1692"/>
        <v>0</v>
      </c>
      <c r="EX260" s="336">
        <f t="shared" si="1693"/>
        <v>0</v>
      </c>
      <c r="EY260" s="336">
        <f t="shared" si="1694"/>
        <v>0</v>
      </c>
      <c r="EZ260" s="336">
        <f t="shared" si="1695"/>
        <v>0</v>
      </c>
      <c r="FA260" s="336">
        <f t="shared" si="1696"/>
        <v>0</v>
      </c>
      <c r="FB260" s="336">
        <f t="shared" si="1697"/>
        <v>0</v>
      </c>
      <c r="FC260" s="336">
        <f t="shared" si="1698"/>
        <v>0</v>
      </c>
      <c r="FD260" s="336">
        <f t="shared" si="1699"/>
        <v>0</v>
      </c>
      <c r="FE260" s="336">
        <f t="shared" si="1700"/>
        <v>0</v>
      </c>
      <c r="FF260" s="336">
        <f t="shared" si="1701"/>
        <v>0</v>
      </c>
      <c r="FG260" s="336">
        <f t="shared" si="1702"/>
        <v>0</v>
      </c>
      <c r="FH260" s="336">
        <f t="shared" si="1703"/>
        <v>0</v>
      </c>
      <c r="FI260" s="336">
        <f t="shared" si="1704"/>
        <v>0</v>
      </c>
      <c r="FJ260" s="336">
        <f t="shared" si="1705"/>
        <v>0</v>
      </c>
      <c r="FK260" s="336">
        <f t="shared" si="1706"/>
        <v>0</v>
      </c>
      <c r="FL260" s="336">
        <f t="shared" si="1707"/>
        <v>0</v>
      </c>
      <c r="FM260" s="336">
        <f t="shared" si="1708"/>
        <v>0</v>
      </c>
      <c r="FN260" s="336">
        <f t="shared" si="1709"/>
        <v>0</v>
      </c>
      <c r="FO260" s="336">
        <f t="shared" si="1710"/>
        <v>0</v>
      </c>
      <c r="FP260" s="336">
        <f t="shared" si="1711"/>
        <v>0</v>
      </c>
      <c r="FQ260" s="336">
        <f t="shared" si="1712"/>
        <v>0</v>
      </c>
      <c r="FR260" s="336">
        <f t="shared" si="1713"/>
        <v>0</v>
      </c>
      <c r="FS260" s="336">
        <f t="shared" si="1714"/>
        <v>0</v>
      </c>
      <c r="FT260" s="336">
        <f t="shared" si="1715"/>
        <v>0</v>
      </c>
      <c r="FU260" s="336"/>
      <c r="FV260" s="336"/>
      <c r="FW260" s="336"/>
      <c r="FX260" s="336"/>
      <c r="FY260" s="336">
        <f t="shared" si="1734"/>
        <v>0</v>
      </c>
      <c r="FZ260" s="336">
        <f t="shared" si="1735"/>
        <v>0</v>
      </c>
      <c r="GA260" s="336">
        <f t="shared" si="1736"/>
        <v>0</v>
      </c>
      <c r="GB260" s="336">
        <f t="shared" si="1737"/>
        <v>0</v>
      </c>
      <c r="GC260" s="336">
        <f t="shared" si="1738"/>
        <v>0</v>
      </c>
      <c r="GD260" s="336">
        <f t="shared" si="1739"/>
        <v>0</v>
      </c>
      <c r="GE260" s="336">
        <f t="shared" si="1740"/>
        <v>0</v>
      </c>
      <c r="GF260" s="336">
        <f t="shared" si="1741"/>
        <v>0</v>
      </c>
      <c r="GG260" s="336">
        <f t="shared" si="1742"/>
        <v>0</v>
      </c>
      <c r="GH260" s="336">
        <f t="shared" si="1743"/>
        <v>0</v>
      </c>
      <c r="GI260" s="336">
        <f t="shared" si="1744"/>
        <v>0</v>
      </c>
      <c r="GJ260" s="336">
        <f t="shared" si="1745"/>
        <v>0</v>
      </c>
      <c r="GK260" s="336">
        <f t="shared" si="1746"/>
        <v>0</v>
      </c>
      <c r="GL260" s="336"/>
      <c r="GM260" s="336">
        <f t="shared" si="1747"/>
        <v>0</v>
      </c>
    </row>
    <row r="261" spans="1:195" ht="27.75" customHeight="1">
      <c r="A261" s="337">
        <f>A258+1</f>
        <v>208</v>
      </c>
      <c r="B261" s="453"/>
      <c r="C261" s="372" t="str">
        <f t="shared" si="1771"/>
        <v>CANTEEN BUILDING HVAC DB</v>
      </c>
      <c r="D261" s="444" t="s">
        <v>1407</v>
      </c>
      <c r="E261" s="569"/>
      <c r="F261" s="500"/>
      <c r="G261" s="337" t="s">
        <v>329</v>
      </c>
      <c r="H261" s="583">
        <v>3.5</v>
      </c>
      <c r="I261" s="337" t="s">
        <v>330</v>
      </c>
      <c r="J261" s="349" t="s">
        <v>357</v>
      </c>
      <c r="K261" s="349">
        <v>230</v>
      </c>
      <c r="L261" s="343">
        <v>0.95</v>
      </c>
      <c r="M261" s="350">
        <v>0.85</v>
      </c>
      <c r="N261" s="342">
        <f t="shared" ref="N261:N281" si="1774">IF(I261="kVA",IF(J261="3Ph",(H261*1000/(1.732*M261*K261)),(H261*1000/(M261*K261))),IF(I261="kW",IF(J261="3Ph",(H261*1000/(1.732*M261*K261*L261)),(H261*1000/(M261*K261*L261)))))</f>
        <v>18.845066630771303</v>
      </c>
      <c r="O261" s="342">
        <f t="shared" si="1756"/>
        <v>0</v>
      </c>
      <c r="P261" s="343" t="str">
        <f t="shared" ref="P261:P280" si="1775">IF(G261="MOTOR",0.2,"0.00")</f>
        <v>0.00</v>
      </c>
      <c r="Q261" s="350">
        <v>65</v>
      </c>
      <c r="R261" s="350">
        <v>0</v>
      </c>
      <c r="S261" s="350">
        <f t="shared" ref="S261:S280" si="1776">(Q261*1000*SQRT(R261)/143)</f>
        <v>0</v>
      </c>
      <c r="T261" s="343" t="s">
        <v>332</v>
      </c>
      <c r="U261" s="350" t="s">
        <v>333</v>
      </c>
      <c r="V261" s="343">
        <v>16</v>
      </c>
      <c r="W261" s="343" t="str">
        <f t="shared" ref="W261:W280" si="1777">CONCATENATE(U261," X ",V261)</f>
        <v>3C X 16</v>
      </c>
      <c r="X261" s="343" t="str">
        <f t="shared" si="1757"/>
        <v>3C X 16</v>
      </c>
      <c r="Y261" s="343" t="s">
        <v>358</v>
      </c>
      <c r="Z261" s="344">
        <f>IF(T261="AIR",VLOOKUP(W261,'Catalogue Aluminium'!$B$9:$G$93,2,FALSE),IF(T261="GROUND",VLOOKUP(W261,'Catalogue Aluminium'!$B$9:$G$93,3,FALSE),IF(T261="DUCT",VLOOKUP(W261,'Catalogue Aluminium'!$B$9:$G$93,4,FALSE),IF(T261="TRENCH",VLOOKUP(W261,'Catalogue Aluminium'!$B$9:$G$93,2,FALSE)))))</f>
        <v>70</v>
      </c>
      <c r="AA261" s="345">
        <f>VLOOKUP(W261,'Catalogue Aluminium'!$B$9:$G$93,5,FALSE)</f>
        <v>2.44</v>
      </c>
      <c r="AB261" s="345">
        <f>VLOOKUP(W261,'Catalogue Aluminium'!$B$9:$G$93,6,FALSE)</f>
        <v>8.1500000000000003E-2</v>
      </c>
      <c r="AC261" s="343">
        <f t="shared" si="1772"/>
        <v>30</v>
      </c>
      <c r="AD261" s="343">
        <v>0</v>
      </c>
      <c r="AE261" s="343">
        <v>10</v>
      </c>
      <c r="AF261" s="343">
        <v>5</v>
      </c>
      <c r="AG261" s="343">
        <f t="shared" si="1730"/>
        <v>5</v>
      </c>
      <c r="AH261" s="347">
        <f t="shared" si="1758"/>
        <v>50</v>
      </c>
      <c r="AI261" s="344">
        <f>IF(T261="AIR",'Catalogue Aluminium'!$K$9,IF(T261="TRENCH",'Catalogue Aluminium'!$K$12,"NA"))</f>
        <v>0.89</v>
      </c>
      <c r="AJ261" s="342">
        <f>IF(T261="Air",(IF(U261="1C",'Catalogue Aluminium'!$L$9,'Catalogue Aluminium'!$M$9)),IF(T261="DUCT",(IF($U261="1C",'Catalogue Aluminium'!$L$10,'Catalogue Aluminium'!$M$10)),IF(T261="GROUND",(IF($U261="1C",'Catalogue Aluminium'!$L$11,'Catalogue Aluminium'!$M$11)),IF(T261="TRENCH",(IF($U261="1C",'Catalogue Aluminium'!$L$12,'Catalogue Aluminium'!$M$12))))))</f>
        <v>0.66</v>
      </c>
      <c r="AK261" s="344" t="str">
        <f>IF(T261="Air",'Catalogue Aluminium'!$N$9,IF(T261="GROUND",'Catalogue Aluminium'!$N$10,IF(T261="DUCT",'Catalogue Aluminium'!$N$11,IF(T261="TRENCH",'Catalogue Aluminium'!$N$12,"NA"))))</f>
        <v>NA</v>
      </c>
      <c r="AL261" s="344" t="str">
        <f>IF(T261="Air",(IF(U261="1C",'Catalogue Aluminium'!$O$9,'Catalogue Aluminium'!$P$9)),IF(T261="DUCT",(IF($U261="1C",'Catalogue Aluminium'!$O$10,'Catalogue Aluminium'!$P$10)),IF(T261="GROUND",(IF($U261="1C",'Catalogue Aluminium'!$O$11,'Catalogue Aluminium'!$P$11)),IF(T261="TRENCH",(IF($U261="1C",'Catalogue Aluminium'!$O$12,'Catalogue Aluminium'!$P$12))))))</f>
        <v>NA</v>
      </c>
      <c r="AM261" s="344" t="str">
        <f>IF(T261="AIR","NA",IF(T261="TRENCH","NA",IF(T261="DUCT",IF(U261="1C",VLOOKUP(V261,'Catalogue Aluminium'!$Q$9:$S$28,2,FALSE),VLOOKUP(V261,'Catalogue Aluminium'!$Q$9:$S$28,3)),IF(T261="GROUND",IF(U261="1C",VLOOKUP(V261,'Catalogue Aluminium'!$Q$9:$S$28,2,FALSE),VLOOKUP(V261,'Catalogue Aluminium'!$Q$9:$S$28,3))))))</f>
        <v>NA</v>
      </c>
      <c r="AN261" s="351">
        <f t="shared" si="1759"/>
        <v>0.58740000000000003</v>
      </c>
      <c r="AO261" s="350">
        <f t="shared" si="1760"/>
        <v>41.118000000000002</v>
      </c>
      <c r="AP261" s="349">
        <f t="shared" si="1761"/>
        <v>1</v>
      </c>
      <c r="AQ261" s="350" t="str">
        <f t="shared" si="1762"/>
        <v>YES</v>
      </c>
      <c r="AR261" s="351">
        <f t="shared" si="1731"/>
        <v>1.6628606725705042</v>
      </c>
      <c r="AS261" s="343" t="str">
        <f t="shared" si="1732"/>
        <v>YES</v>
      </c>
      <c r="AT261" s="351" t="str">
        <f t="shared" ref="AT261:AT269" si="1778">IF(G261="MOTOR",(SQRT(3)*AH261*O261*((AA261*P261)+(AB261*SIN(ACOS(P261))))*100/(AP261*K261*1000)),"NA")</f>
        <v>NA</v>
      </c>
      <c r="AU261" s="343" t="str">
        <f t="shared" si="1764"/>
        <v>NA</v>
      </c>
      <c r="AV261" s="354" t="str">
        <f t="shared" si="1765"/>
        <v>1R x 0.6/1kV x 3C x 16 Sqmm</v>
      </c>
      <c r="AW261" s="354" t="str">
        <f t="shared" si="1766"/>
        <v>1R x 0.6/1kV x 3C x 16 Sqmm</v>
      </c>
      <c r="AX261" s="343">
        <f t="shared" ref="AX261:AX269" si="1779">(IF(K261=400,(IF(U261="1C",(4*AH261*AP261),(AH261*AP261))),IF(K261=230,(AH261*AP261))))</f>
        <v>50</v>
      </c>
      <c r="AY261" s="355"/>
      <c r="AZ261" s="355">
        <f t="shared" ref="AZ261:AZ269" si="1780">IF(U261="1C",(3*AP261*2),(AP261*2))</f>
        <v>2</v>
      </c>
      <c r="BA261" s="356" t="str">
        <f t="shared" si="1769"/>
        <v/>
      </c>
      <c r="BB261" s="501">
        <f>VLOOKUP(W261,'Catalogue Aluminium'!$B$9:$H$93,7,FALSE)</f>
        <v>19</v>
      </c>
      <c r="BC261" s="328">
        <f t="shared" ref="BC261:BC269" si="1781">AP261*BB261</f>
        <v>19</v>
      </c>
      <c r="BE261" s="527"/>
      <c r="BF261" s="527"/>
      <c r="BG261" s="527"/>
      <c r="BH261" s="527"/>
      <c r="BI261" s="527"/>
      <c r="BJ261" s="527"/>
      <c r="BK261" s="527"/>
      <c r="BL261" s="527"/>
      <c r="BM261" s="527"/>
      <c r="BN261" s="527"/>
      <c r="BO261" s="527"/>
      <c r="BP261" s="527"/>
      <c r="BQ261" s="527"/>
      <c r="BR261" s="527"/>
      <c r="BS261" s="527"/>
      <c r="BT261" s="527"/>
      <c r="BU261" s="527"/>
      <c r="BV261" s="527"/>
      <c r="BW261" s="527"/>
      <c r="BX261" s="527"/>
      <c r="BY261" s="527"/>
      <c r="BZ261" s="527"/>
      <c r="CA261" s="527"/>
      <c r="CB261" s="527"/>
      <c r="CC261" s="527"/>
      <c r="CD261" s="527"/>
      <c r="CE261" s="527"/>
      <c r="CF261" s="527"/>
      <c r="CG261" s="527"/>
      <c r="CH261" s="527"/>
      <c r="CI261" s="527"/>
      <c r="CJ261" s="527"/>
      <c r="CK261" s="527"/>
      <c r="CL261" s="527"/>
      <c r="CM261" s="527"/>
      <c r="CN261" s="527"/>
      <c r="CO261" s="527"/>
      <c r="CP261" s="527"/>
      <c r="CQ261" s="527"/>
      <c r="CR261" s="527"/>
      <c r="CS261" s="527"/>
      <c r="CT261" s="527"/>
      <c r="CU261" s="527"/>
      <c r="CV261" s="527"/>
      <c r="CW261" s="527"/>
      <c r="CX261" s="527"/>
      <c r="CY261" s="527"/>
      <c r="CZ261" s="336"/>
      <c r="DA261" s="336"/>
      <c r="DB261" s="336"/>
      <c r="DC261" s="336"/>
      <c r="DD261" s="336"/>
      <c r="DE261" s="336"/>
      <c r="DF261" s="336"/>
      <c r="DG261" s="336"/>
      <c r="DH261" s="336"/>
      <c r="DI261" s="336"/>
      <c r="DJ261" s="336"/>
      <c r="DK261" s="336"/>
      <c r="DL261" s="336"/>
      <c r="DM261" s="336"/>
      <c r="DN261" s="336"/>
      <c r="DO261" s="336"/>
      <c r="DP261" s="336"/>
      <c r="DQ261" s="336"/>
      <c r="DR261" s="336"/>
      <c r="DS261" s="336"/>
      <c r="DT261" s="336"/>
      <c r="DU261" s="336"/>
      <c r="DW261" s="336">
        <f t="shared" si="1733"/>
        <v>0</v>
      </c>
      <c r="DX261" s="336">
        <f t="shared" si="1668"/>
        <v>0</v>
      </c>
      <c r="DY261" s="336">
        <f t="shared" si="1669"/>
        <v>0</v>
      </c>
      <c r="DZ261" s="336">
        <f t="shared" si="1670"/>
        <v>0</v>
      </c>
      <c r="EA261" s="336">
        <f t="shared" si="1671"/>
        <v>0</v>
      </c>
      <c r="EB261" s="336">
        <f t="shared" si="1672"/>
        <v>0</v>
      </c>
      <c r="EC261" s="336">
        <f t="shared" si="1673"/>
        <v>0</v>
      </c>
      <c r="ED261" s="336">
        <f t="shared" si="1674"/>
        <v>0</v>
      </c>
      <c r="EE261" s="336">
        <f t="shared" si="1675"/>
        <v>0</v>
      </c>
      <c r="EF261" s="336">
        <f t="shared" si="1676"/>
        <v>0</v>
      </c>
      <c r="EG261" s="336">
        <f t="shared" si="1677"/>
        <v>0</v>
      </c>
      <c r="EH261" s="336">
        <f t="shared" si="1678"/>
        <v>0</v>
      </c>
      <c r="EI261" s="336">
        <f t="shared" si="1679"/>
        <v>0</v>
      </c>
      <c r="EJ261" s="336">
        <f t="shared" si="1680"/>
        <v>0</v>
      </c>
      <c r="EK261" s="336">
        <f t="shared" si="1681"/>
        <v>0</v>
      </c>
      <c r="EL261" s="336">
        <f t="shared" si="1682"/>
        <v>0</v>
      </c>
      <c r="EM261" s="336">
        <f t="shared" si="1683"/>
        <v>0</v>
      </c>
      <c r="EN261" s="336">
        <f t="shared" si="1684"/>
        <v>0</v>
      </c>
      <c r="EO261" s="336">
        <f t="shared" si="1685"/>
        <v>0</v>
      </c>
      <c r="EP261" s="336">
        <f t="shared" si="1686"/>
        <v>0</v>
      </c>
      <c r="EQ261" s="336">
        <f t="shared" si="1687"/>
        <v>0</v>
      </c>
      <c r="ER261" s="336">
        <f t="shared" si="1688"/>
        <v>0</v>
      </c>
      <c r="ES261" s="336">
        <f t="shared" si="1689"/>
        <v>0</v>
      </c>
      <c r="ET261" s="336">
        <f t="shared" si="1689"/>
        <v>0</v>
      </c>
      <c r="EU261" s="336">
        <f t="shared" si="1690"/>
        <v>0</v>
      </c>
      <c r="EV261" s="336">
        <f t="shared" si="1691"/>
        <v>0</v>
      </c>
      <c r="EW261" s="336">
        <f t="shared" si="1692"/>
        <v>0</v>
      </c>
      <c r="EX261" s="336">
        <f t="shared" si="1693"/>
        <v>0</v>
      </c>
      <c r="EY261" s="336">
        <f t="shared" si="1694"/>
        <v>0</v>
      </c>
      <c r="EZ261" s="336">
        <f t="shared" si="1695"/>
        <v>0</v>
      </c>
      <c r="FA261" s="336">
        <f t="shared" si="1696"/>
        <v>0</v>
      </c>
      <c r="FB261" s="336">
        <f t="shared" si="1697"/>
        <v>0</v>
      </c>
      <c r="FC261" s="336">
        <f t="shared" si="1698"/>
        <v>0</v>
      </c>
      <c r="FD261" s="336">
        <f t="shared" si="1699"/>
        <v>0</v>
      </c>
      <c r="FE261" s="336">
        <f t="shared" si="1700"/>
        <v>0</v>
      </c>
      <c r="FF261" s="336">
        <f t="shared" si="1701"/>
        <v>0</v>
      </c>
      <c r="FG261" s="336">
        <f t="shared" si="1702"/>
        <v>0</v>
      </c>
      <c r="FH261" s="336">
        <f t="shared" si="1703"/>
        <v>0</v>
      </c>
      <c r="FI261" s="336">
        <f t="shared" si="1704"/>
        <v>0</v>
      </c>
      <c r="FJ261" s="336">
        <f t="shared" si="1705"/>
        <v>0</v>
      </c>
      <c r="FK261" s="336">
        <f t="shared" si="1706"/>
        <v>0</v>
      </c>
      <c r="FL261" s="336">
        <f t="shared" si="1707"/>
        <v>0</v>
      </c>
      <c r="FM261" s="336">
        <f t="shared" si="1708"/>
        <v>0</v>
      </c>
      <c r="FN261" s="336">
        <f t="shared" si="1709"/>
        <v>0</v>
      </c>
      <c r="FO261" s="336">
        <f t="shared" si="1710"/>
        <v>0</v>
      </c>
      <c r="FP261" s="336">
        <f t="shared" si="1711"/>
        <v>0</v>
      </c>
      <c r="FQ261" s="336">
        <f t="shared" si="1712"/>
        <v>0</v>
      </c>
      <c r="FR261" s="336">
        <f t="shared" si="1713"/>
        <v>0</v>
      </c>
      <c r="FS261" s="336">
        <f t="shared" si="1714"/>
        <v>0</v>
      </c>
      <c r="FT261" s="336">
        <f t="shared" si="1715"/>
        <v>0</v>
      </c>
      <c r="FU261" s="336">
        <f t="shared" ref="FU261:FU281" si="1782">IF(DC261=1,($BC261*DC261),0)</f>
        <v>0</v>
      </c>
      <c r="FV261" s="336">
        <f t="shared" ref="FV261:FV281" si="1783">IF(DD261=1,($BC261*DD261),0)</f>
        <v>0</v>
      </c>
      <c r="FW261" s="336">
        <f t="shared" ref="FW261:FW281" si="1784">IF(DE261=1,($BC261*DE261),0)</f>
        <v>0</v>
      </c>
      <c r="FX261" s="336">
        <f t="shared" ref="FX261:FX281" si="1785">IF(DF261=1,($BC261*DF261),0)</f>
        <v>0</v>
      </c>
      <c r="FY261" s="336">
        <f t="shared" si="1734"/>
        <v>0</v>
      </c>
      <c r="FZ261" s="336">
        <f t="shared" si="1735"/>
        <v>0</v>
      </c>
      <c r="GA261" s="336">
        <f t="shared" si="1736"/>
        <v>0</v>
      </c>
      <c r="GB261" s="336">
        <f t="shared" si="1737"/>
        <v>0</v>
      </c>
      <c r="GC261" s="336">
        <f t="shared" si="1738"/>
        <v>0</v>
      </c>
      <c r="GD261" s="336">
        <f t="shared" si="1739"/>
        <v>0</v>
      </c>
      <c r="GE261" s="336">
        <f t="shared" si="1740"/>
        <v>0</v>
      </c>
      <c r="GF261" s="336">
        <f t="shared" si="1741"/>
        <v>0</v>
      </c>
      <c r="GG261" s="336">
        <f t="shared" si="1742"/>
        <v>0</v>
      </c>
      <c r="GH261" s="336">
        <f t="shared" si="1743"/>
        <v>0</v>
      </c>
      <c r="GI261" s="336">
        <f t="shared" si="1744"/>
        <v>0</v>
      </c>
      <c r="GJ261" s="336">
        <f t="shared" si="1745"/>
        <v>0</v>
      </c>
      <c r="GK261" s="336">
        <f t="shared" si="1746"/>
        <v>0</v>
      </c>
      <c r="GL261" s="336">
        <f t="shared" ref="GL261:GL281" si="1786">IF(DT261=1,($BC261*DT261),0)</f>
        <v>0</v>
      </c>
      <c r="GM261" s="336">
        <f t="shared" si="1747"/>
        <v>0</v>
      </c>
    </row>
    <row r="262" spans="1:195" ht="27.75" customHeight="1">
      <c r="A262" s="337">
        <f>A261+1</f>
        <v>209</v>
      </c>
      <c r="B262" s="453"/>
      <c r="C262" s="372" t="str">
        <f t="shared" si="1771"/>
        <v>CANTEEN BUILDING HVAC DB</v>
      </c>
      <c r="D262" s="444" t="s">
        <v>1408</v>
      </c>
      <c r="E262" s="569"/>
      <c r="F262" s="500"/>
      <c r="G262" s="337" t="s">
        <v>329</v>
      </c>
      <c r="H262" s="583">
        <v>3.5</v>
      </c>
      <c r="I262" s="337" t="s">
        <v>330</v>
      </c>
      <c r="J262" s="349" t="s">
        <v>357</v>
      </c>
      <c r="K262" s="349">
        <v>230</v>
      </c>
      <c r="L262" s="343">
        <v>0.95</v>
      </c>
      <c r="M262" s="350">
        <v>0.85</v>
      </c>
      <c r="N262" s="342">
        <f t="shared" si="1774"/>
        <v>18.845066630771303</v>
      </c>
      <c r="O262" s="342">
        <f t="shared" si="1756"/>
        <v>0</v>
      </c>
      <c r="P262" s="343" t="str">
        <f t="shared" si="1775"/>
        <v>0.00</v>
      </c>
      <c r="Q262" s="350">
        <v>65</v>
      </c>
      <c r="R262" s="350">
        <v>0</v>
      </c>
      <c r="S262" s="350">
        <f t="shared" si="1776"/>
        <v>0</v>
      </c>
      <c r="T262" s="343" t="s">
        <v>332</v>
      </c>
      <c r="U262" s="350" t="s">
        <v>333</v>
      </c>
      <c r="V262" s="343">
        <v>16</v>
      </c>
      <c r="W262" s="343" t="str">
        <f t="shared" si="1777"/>
        <v>3C X 16</v>
      </c>
      <c r="X262" s="343" t="str">
        <f t="shared" si="1757"/>
        <v>3C X 16</v>
      </c>
      <c r="Y262" s="343" t="s">
        <v>358</v>
      </c>
      <c r="Z262" s="344">
        <f>IF(T262="AIR",VLOOKUP(W262,'Catalogue Aluminium'!$B$9:$G$93,2,FALSE),IF(T262="GROUND",VLOOKUP(W262,'Catalogue Aluminium'!$B$9:$G$93,3,FALSE),IF(T262="DUCT",VLOOKUP(W262,'Catalogue Aluminium'!$B$9:$G$93,4,FALSE),IF(T262="TRENCH",VLOOKUP(W262,'Catalogue Aluminium'!$B$9:$G$93,2,FALSE)))))</f>
        <v>70</v>
      </c>
      <c r="AA262" s="345">
        <f>VLOOKUP(W262,'Catalogue Aluminium'!$B$9:$G$93,5,FALSE)</f>
        <v>2.44</v>
      </c>
      <c r="AB262" s="345">
        <f>VLOOKUP(W262,'Catalogue Aluminium'!$B$9:$G$93,6,FALSE)</f>
        <v>8.1500000000000003E-2</v>
      </c>
      <c r="AC262" s="343">
        <f t="shared" si="1772"/>
        <v>30</v>
      </c>
      <c r="AD262" s="343">
        <v>0</v>
      </c>
      <c r="AE262" s="343">
        <v>10</v>
      </c>
      <c r="AF262" s="343">
        <v>5</v>
      </c>
      <c r="AG262" s="343">
        <f t="shared" si="1730"/>
        <v>5</v>
      </c>
      <c r="AH262" s="347">
        <f t="shared" si="1758"/>
        <v>50</v>
      </c>
      <c r="AI262" s="344">
        <f>IF(T262="AIR",'Catalogue Aluminium'!$K$9,IF(T262="TRENCH",'Catalogue Aluminium'!$K$12,"NA"))</f>
        <v>0.89</v>
      </c>
      <c r="AJ262" s="342">
        <f>IF(T262="Air",(IF(U262="1C",'Catalogue Aluminium'!$L$9,'Catalogue Aluminium'!$M$9)),IF(T262="DUCT",(IF($U262="1C",'Catalogue Aluminium'!$L$10,'Catalogue Aluminium'!$M$10)),IF(T262="GROUND",(IF($U262="1C",'Catalogue Aluminium'!$L$11,'Catalogue Aluminium'!$M$11)),IF(T262="TRENCH",(IF($U262="1C",'Catalogue Aluminium'!$L$12,'Catalogue Aluminium'!$M$12))))))</f>
        <v>0.66</v>
      </c>
      <c r="AK262" s="344" t="str">
        <f>IF(T262="Air",'Catalogue Aluminium'!$N$9,IF(T262="GROUND",'Catalogue Aluminium'!$N$10,IF(T262="DUCT",'Catalogue Aluminium'!$N$11,IF(T262="TRENCH",'Catalogue Aluminium'!$N$12,"NA"))))</f>
        <v>NA</v>
      </c>
      <c r="AL262" s="344" t="str">
        <f>IF(T262="Air",(IF(U262="1C",'Catalogue Aluminium'!$O$9,'Catalogue Aluminium'!$P$9)),IF(T262="DUCT",(IF($U262="1C",'Catalogue Aluminium'!$O$10,'Catalogue Aluminium'!$P$10)),IF(T262="GROUND",(IF($U262="1C",'Catalogue Aluminium'!$O$11,'Catalogue Aluminium'!$P$11)),IF(T262="TRENCH",(IF($U262="1C",'Catalogue Aluminium'!$O$12,'Catalogue Aluminium'!$P$12))))))</f>
        <v>NA</v>
      </c>
      <c r="AM262" s="344" t="str">
        <f>IF(T262="AIR","NA",IF(T262="TRENCH","NA",IF(T262="DUCT",IF(U262="1C",VLOOKUP(V262,'Catalogue Aluminium'!$Q$9:$S$28,2,FALSE),VLOOKUP(V262,'Catalogue Aluminium'!$Q$9:$S$28,3)),IF(T262="GROUND",IF(U262="1C",VLOOKUP(V262,'Catalogue Aluminium'!$Q$9:$S$28,2,FALSE),VLOOKUP(V262,'Catalogue Aluminium'!$Q$9:$S$28,3))))))</f>
        <v>NA</v>
      </c>
      <c r="AN262" s="351">
        <f t="shared" si="1759"/>
        <v>0.58740000000000003</v>
      </c>
      <c r="AO262" s="350">
        <f t="shared" si="1760"/>
        <v>41.118000000000002</v>
      </c>
      <c r="AP262" s="349">
        <f t="shared" si="1761"/>
        <v>1</v>
      </c>
      <c r="AQ262" s="350" t="str">
        <f t="shared" si="1762"/>
        <v>YES</v>
      </c>
      <c r="AR262" s="351">
        <f t="shared" si="1731"/>
        <v>1.6628606725705042</v>
      </c>
      <c r="AS262" s="343" t="str">
        <f t="shared" si="1732"/>
        <v>YES</v>
      </c>
      <c r="AT262" s="351" t="str">
        <f t="shared" si="1778"/>
        <v>NA</v>
      </c>
      <c r="AU262" s="343" t="str">
        <f t="shared" si="1764"/>
        <v>NA</v>
      </c>
      <c r="AV262" s="354" t="str">
        <f t="shared" si="1765"/>
        <v>1R x 0.6/1kV x 3C x 16 Sqmm</v>
      </c>
      <c r="AW262" s="354" t="str">
        <f t="shared" si="1766"/>
        <v>1R x 0.6/1kV x 3C x 16 Sqmm</v>
      </c>
      <c r="AX262" s="343">
        <f t="shared" si="1779"/>
        <v>50</v>
      </c>
      <c r="AY262" s="355"/>
      <c r="AZ262" s="355">
        <f t="shared" si="1780"/>
        <v>2</v>
      </c>
      <c r="BA262" s="356" t="str">
        <f t="shared" si="1769"/>
        <v/>
      </c>
      <c r="BB262" s="501">
        <f>VLOOKUP(W262,'Catalogue Aluminium'!$B$9:$H$93,7,FALSE)</f>
        <v>19</v>
      </c>
      <c r="BC262" s="328">
        <f t="shared" si="1781"/>
        <v>19</v>
      </c>
      <c r="BE262" s="527"/>
      <c r="BF262" s="527"/>
      <c r="BG262" s="527"/>
      <c r="BH262" s="527"/>
      <c r="BI262" s="527"/>
      <c r="BJ262" s="527"/>
      <c r="BK262" s="527"/>
      <c r="BL262" s="527"/>
      <c r="BM262" s="527"/>
      <c r="BN262" s="527"/>
      <c r="BO262" s="527"/>
      <c r="BP262" s="527"/>
      <c r="BQ262" s="527"/>
      <c r="BR262" s="527"/>
      <c r="BS262" s="527"/>
      <c r="BT262" s="527"/>
      <c r="BU262" s="527"/>
      <c r="BV262" s="527"/>
      <c r="BW262" s="527"/>
      <c r="BX262" s="527"/>
      <c r="BY262" s="527"/>
      <c r="BZ262" s="527"/>
      <c r="CA262" s="527"/>
      <c r="CB262" s="527"/>
      <c r="CC262" s="527"/>
      <c r="CD262" s="527"/>
      <c r="CE262" s="527"/>
      <c r="CF262" s="527"/>
      <c r="CG262" s="527"/>
      <c r="CH262" s="527"/>
      <c r="CI262" s="527"/>
      <c r="CJ262" s="527"/>
      <c r="CK262" s="527"/>
      <c r="CL262" s="527"/>
      <c r="CM262" s="527"/>
      <c r="CN262" s="527"/>
      <c r="CO262" s="527"/>
      <c r="CP262" s="527"/>
      <c r="CQ262" s="527"/>
      <c r="CR262" s="527"/>
      <c r="CS262" s="527"/>
      <c r="CT262" s="527"/>
      <c r="CU262" s="527"/>
      <c r="CV262" s="527"/>
      <c r="CW262" s="527"/>
      <c r="CX262" s="527"/>
      <c r="CY262" s="527"/>
      <c r="CZ262" s="336"/>
      <c r="DA262" s="336"/>
      <c r="DB262" s="336"/>
      <c r="DC262" s="336"/>
      <c r="DD262" s="336"/>
      <c r="DE262" s="336"/>
      <c r="DF262" s="336"/>
      <c r="DG262" s="336"/>
      <c r="DH262" s="336"/>
      <c r="DI262" s="336"/>
      <c r="DJ262" s="336"/>
      <c r="DK262" s="336"/>
      <c r="DL262" s="336"/>
      <c r="DM262" s="336"/>
      <c r="DN262" s="336"/>
      <c r="DO262" s="336"/>
      <c r="DP262" s="336"/>
      <c r="DQ262" s="336"/>
      <c r="DR262" s="336"/>
      <c r="DS262" s="336"/>
      <c r="DT262" s="336"/>
      <c r="DU262" s="336"/>
      <c r="DW262" s="336">
        <f t="shared" si="1733"/>
        <v>0</v>
      </c>
      <c r="DX262" s="336">
        <f t="shared" si="1668"/>
        <v>0</v>
      </c>
      <c r="DY262" s="336">
        <f t="shared" si="1669"/>
        <v>0</v>
      </c>
      <c r="DZ262" s="336">
        <f t="shared" si="1670"/>
        <v>0</v>
      </c>
      <c r="EA262" s="336">
        <f t="shared" si="1671"/>
        <v>0</v>
      </c>
      <c r="EB262" s="336">
        <f t="shared" si="1672"/>
        <v>0</v>
      </c>
      <c r="EC262" s="336">
        <f t="shared" si="1673"/>
        <v>0</v>
      </c>
      <c r="ED262" s="336">
        <f t="shared" si="1674"/>
        <v>0</v>
      </c>
      <c r="EE262" s="336">
        <f t="shared" si="1675"/>
        <v>0</v>
      </c>
      <c r="EF262" s="336">
        <f t="shared" si="1676"/>
        <v>0</v>
      </c>
      <c r="EG262" s="336">
        <f t="shared" si="1677"/>
        <v>0</v>
      </c>
      <c r="EH262" s="336">
        <f t="shared" si="1678"/>
        <v>0</v>
      </c>
      <c r="EI262" s="336">
        <f t="shared" si="1679"/>
        <v>0</v>
      </c>
      <c r="EJ262" s="336">
        <f t="shared" si="1680"/>
        <v>0</v>
      </c>
      <c r="EK262" s="336">
        <f t="shared" si="1681"/>
        <v>0</v>
      </c>
      <c r="EL262" s="336">
        <f t="shared" si="1682"/>
        <v>0</v>
      </c>
      <c r="EM262" s="336">
        <f t="shared" si="1683"/>
        <v>0</v>
      </c>
      <c r="EN262" s="336">
        <f t="shared" si="1684"/>
        <v>0</v>
      </c>
      <c r="EO262" s="336">
        <f t="shared" si="1685"/>
        <v>0</v>
      </c>
      <c r="EP262" s="336">
        <f t="shared" si="1686"/>
        <v>0</v>
      </c>
      <c r="EQ262" s="336">
        <f t="shared" si="1687"/>
        <v>0</v>
      </c>
      <c r="ER262" s="336">
        <f t="shared" si="1688"/>
        <v>0</v>
      </c>
      <c r="ES262" s="336">
        <f t="shared" si="1689"/>
        <v>0</v>
      </c>
      <c r="ET262" s="336">
        <f t="shared" si="1689"/>
        <v>0</v>
      </c>
      <c r="EU262" s="336">
        <f t="shared" si="1690"/>
        <v>0</v>
      </c>
      <c r="EV262" s="336">
        <f t="shared" si="1691"/>
        <v>0</v>
      </c>
      <c r="EW262" s="336">
        <f t="shared" si="1692"/>
        <v>0</v>
      </c>
      <c r="EX262" s="336">
        <f t="shared" si="1693"/>
        <v>0</v>
      </c>
      <c r="EY262" s="336">
        <f t="shared" si="1694"/>
        <v>0</v>
      </c>
      <c r="EZ262" s="336">
        <f t="shared" si="1695"/>
        <v>0</v>
      </c>
      <c r="FA262" s="336">
        <f t="shared" si="1696"/>
        <v>0</v>
      </c>
      <c r="FB262" s="336">
        <f t="shared" si="1697"/>
        <v>0</v>
      </c>
      <c r="FC262" s="336">
        <f t="shared" si="1698"/>
        <v>0</v>
      </c>
      <c r="FD262" s="336">
        <f t="shared" si="1699"/>
        <v>0</v>
      </c>
      <c r="FE262" s="336">
        <f t="shared" si="1700"/>
        <v>0</v>
      </c>
      <c r="FF262" s="336">
        <f t="shared" si="1701"/>
        <v>0</v>
      </c>
      <c r="FG262" s="336">
        <f t="shared" si="1702"/>
        <v>0</v>
      </c>
      <c r="FH262" s="336">
        <f t="shared" si="1703"/>
        <v>0</v>
      </c>
      <c r="FI262" s="336">
        <f t="shared" si="1704"/>
        <v>0</v>
      </c>
      <c r="FJ262" s="336">
        <f t="shared" si="1705"/>
        <v>0</v>
      </c>
      <c r="FK262" s="336">
        <f t="shared" si="1706"/>
        <v>0</v>
      </c>
      <c r="FL262" s="336">
        <f t="shared" si="1707"/>
        <v>0</v>
      </c>
      <c r="FM262" s="336">
        <f t="shared" si="1708"/>
        <v>0</v>
      </c>
      <c r="FN262" s="336">
        <f t="shared" si="1709"/>
        <v>0</v>
      </c>
      <c r="FO262" s="336">
        <f t="shared" si="1710"/>
        <v>0</v>
      </c>
      <c r="FP262" s="336">
        <f t="shared" si="1711"/>
        <v>0</v>
      </c>
      <c r="FQ262" s="336">
        <f t="shared" si="1712"/>
        <v>0</v>
      </c>
      <c r="FR262" s="336">
        <f t="shared" si="1713"/>
        <v>0</v>
      </c>
      <c r="FS262" s="336">
        <f t="shared" si="1714"/>
        <v>0</v>
      </c>
      <c r="FT262" s="336">
        <f t="shared" si="1715"/>
        <v>0</v>
      </c>
      <c r="FU262" s="336">
        <f t="shared" si="1782"/>
        <v>0</v>
      </c>
      <c r="FV262" s="336">
        <f t="shared" si="1783"/>
        <v>0</v>
      </c>
      <c r="FW262" s="336">
        <f t="shared" si="1784"/>
        <v>0</v>
      </c>
      <c r="FX262" s="336">
        <f t="shared" si="1785"/>
        <v>0</v>
      </c>
      <c r="FY262" s="336">
        <f t="shared" si="1734"/>
        <v>0</v>
      </c>
      <c r="FZ262" s="336">
        <f t="shared" si="1735"/>
        <v>0</v>
      </c>
      <c r="GA262" s="336">
        <f t="shared" si="1736"/>
        <v>0</v>
      </c>
      <c r="GB262" s="336">
        <f t="shared" si="1737"/>
        <v>0</v>
      </c>
      <c r="GC262" s="336">
        <f t="shared" si="1738"/>
        <v>0</v>
      </c>
      <c r="GD262" s="336">
        <f t="shared" si="1739"/>
        <v>0</v>
      </c>
      <c r="GE262" s="336">
        <f t="shared" si="1740"/>
        <v>0</v>
      </c>
      <c r="GF262" s="336">
        <f t="shared" si="1741"/>
        <v>0</v>
      </c>
      <c r="GG262" s="336">
        <f t="shared" si="1742"/>
        <v>0</v>
      </c>
      <c r="GH262" s="336">
        <f t="shared" si="1743"/>
        <v>0</v>
      </c>
      <c r="GI262" s="336">
        <f t="shared" si="1744"/>
        <v>0</v>
      </c>
      <c r="GJ262" s="336">
        <f t="shared" si="1745"/>
        <v>0</v>
      </c>
      <c r="GK262" s="336">
        <f t="shared" si="1746"/>
        <v>0</v>
      </c>
      <c r="GL262" s="336">
        <f t="shared" si="1786"/>
        <v>0</v>
      </c>
      <c r="GM262" s="336">
        <f t="shared" si="1747"/>
        <v>0</v>
      </c>
    </row>
    <row r="263" spans="1:195" ht="27.75" customHeight="1">
      <c r="A263" s="337">
        <f t="shared" ref="A263:A270" si="1787">A262+1</f>
        <v>210</v>
      </c>
      <c r="B263" s="453"/>
      <c r="C263" s="372" t="str">
        <f t="shared" si="1771"/>
        <v>CANTEEN BUILDING HVAC DB</v>
      </c>
      <c r="D263" s="444" t="s">
        <v>1409</v>
      </c>
      <c r="E263" s="569"/>
      <c r="F263" s="500"/>
      <c r="G263" s="337" t="s">
        <v>329</v>
      </c>
      <c r="H263" s="583">
        <v>0.25</v>
      </c>
      <c r="I263" s="337" t="s">
        <v>330</v>
      </c>
      <c r="J263" s="349" t="s">
        <v>357</v>
      </c>
      <c r="K263" s="349">
        <v>230</v>
      </c>
      <c r="L263" s="343">
        <v>0.95</v>
      </c>
      <c r="M263" s="350">
        <v>0.85</v>
      </c>
      <c r="N263" s="342">
        <f t="shared" si="1774"/>
        <v>1.3460761879122358</v>
      </c>
      <c r="O263" s="342">
        <f t="shared" si="1756"/>
        <v>0</v>
      </c>
      <c r="P263" s="343" t="str">
        <f t="shared" si="1775"/>
        <v>0.00</v>
      </c>
      <c r="Q263" s="350">
        <v>65</v>
      </c>
      <c r="R263" s="350">
        <v>0</v>
      </c>
      <c r="S263" s="350">
        <f t="shared" si="1776"/>
        <v>0</v>
      </c>
      <c r="T263" s="343" t="s">
        <v>332</v>
      </c>
      <c r="U263" s="350" t="s">
        <v>333</v>
      </c>
      <c r="V263" s="343">
        <v>4</v>
      </c>
      <c r="W263" s="343" t="str">
        <f t="shared" si="1777"/>
        <v>3C X 4</v>
      </c>
      <c r="X263" s="343" t="str">
        <f t="shared" si="1757"/>
        <v>3C X 4</v>
      </c>
      <c r="Y263" s="343" t="s">
        <v>358</v>
      </c>
      <c r="Z263" s="344">
        <f>IF(T263="AIR",VLOOKUP(W263,'Catalogue Aluminium'!$B$9:$G$93,2,FALSE),IF(T263="GROUND",VLOOKUP(W263,'Catalogue Aluminium'!$B$9:$G$93,3,FALSE),IF(T263="DUCT",VLOOKUP(W263,'Catalogue Aluminium'!$B$9:$G$93,4,FALSE),IF(T263="TRENCH",VLOOKUP(W263,'Catalogue Aluminium'!$B$9:$G$93,2,FALSE)))))</f>
        <v>38</v>
      </c>
      <c r="AA263" s="345">
        <f>VLOOKUP(W263,'Catalogue Aluminium'!$B$9:$G$93,5,FALSE)</f>
        <v>5.9</v>
      </c>
      <c r="AB263" s="345">
        <f>VLOOKUP(W263,'Catalogue Aluminium'!$B$9:$G$93,6,FALSE)</f>
        <v>9.4700000000000006E-2</v>
      </c>
      <c r="AC263" s="343">
        <f t="shared" si="1772"/>
        <v>30</v>
      </c>
      <c r="AD263" s="343">
        <v>0</v>
      </c>
      <c r="AE263" s="343">
        <v>10</v>
      </c>
      <c r="AF263" s="343">
        <v>5</v>
      </c>
      <c r="AG263" s="343">
        <f t="shared" si="1730"/>
        <v>5</v>
      </c>
      <c r="AH263" s="347">
        <f t="shared" si="1758"/>
        <v>50</v>
      </c>
      <c r="AI263" s="344">
        <f>IF(T263="AIR",'Catalogue Aluminium'!$K$9,IF(T263="TRENCH",'Catalogue Aluminium'!$K$12,"NA"))</f>
        <v>0.89</v>
      </c>
      <c r="AJ263" s="342">
        <f>IF(T263="Air",(IF(U263="1C",'Catalogue Aluminium'!$L$9,'Catalogue Aluminium'!$M$9)),IF(T263="DUCT",(IF($U263="1C",'Catalogue Aluminium'!$L$10,'Catalogue Aluminium'!$M$10)),IF(T263="GROUND",(IF($U263="1C",'Catalogue Aluminium'!$L$11,'Catalogue Aluminium'!$M$11)),IF(T263="TRENCH",(IF($U263="1C",'Catalogue Aluminium'!$L$12,'Catalogue Aluminium'!$M$12))))))</f>
        <v>0.66</v>
      </c>
      <c r="AK263" s="344" t="str">
        <f>IF(T263="Air",'Catalogue Aluminium'!$N$9,IF(T263="GROUND",'Catalogue Aluminium'!$N$10,IF(T263="DUCT",'Catalogue Aluminium'!$N$11,IF(T263="TRENCH",'Catalogue Aluminium'!$N$12,"NA"))))</f>
        <v>NA</v>
      </c>
      <c r="AL263" s="344" t="str">
        <f>IF(T263="Air",(IF(U263="1C",'Catalogue Aluminium'!$O$9,'Catalogue Aluminium'!$P$9)),IF(T263="DUCT",(IF($U263="1C",'Catalogue Aluminium'!$O$10,'Catalogue Aluminium'!$P$10)),IF(T263="GROUND",(IF($U263="1C",'Catalogue Aluminium'!$O$11,'Catalogue Aluminium'!$P$11)),IF(T263="TRENCH",(IF($U263="1C",'Catalogue Aluminium'!$O$12,'Catalogue Aluminium'!$P$12))))))</f>
        <v>NA</v>
      </c>
      <c r="AM263" s="344" t="str">
        <f>IF(T263="AIR","NA",IF(T263="TRENCH","NA",IF(T263="DUCT",IF(U263="1C",VLOOKUP(V263,'Catalogue Aluminium'!$Q$9:$S$28,2,FALSE),VLOOKUP(V263,'Catalogue Aluminium'!$Q$9:$S$28,3)),IF(T263="GROUND",IF(U263="1C",VLOOKUP(V263,'Catalogue Aluminium'!$Q$9:$S$28,2,FALSE),VLOOKUP(V263,'Catalogue Aluminium'!$Q$9:$S$28,3))))))</f>
        <v>NA</v>
      </c>
      <c r="AN263" s="351">
        <f t="shared" si="1759"/>
        <v>0.58740000000000003</v>
      </c>
      <c r="AO263" s="350">
        <f t="shared" si="1760"/>
        <v>22.321200000000001</v>
      </c>
      <c r="AP263" s="349">
        <f t="shared" si="1761"/>
        <v>1</v>
      </c>
      <c r="AQ263" s="350" t="str">
        <f t="shared" si="1762"/>
        <v>YES</v>
      </c>
      <c r="AR263" s="351">
        <f t="shared" si="1731"/>
        <v>0.28558357179243282</v>
      </c>
      <c r="AS263" s="343" t="str">
        <f t="shared" si="1732"/>
        <v>YES</v>
      </c>
      <c r="AT263" s="351" t="str">
        <f t="shared" si="1778"/>
        <v>NA</v>
      </c>
      <c r="AU263" s="343" t="str">
        <f t="shared" si="1764"/>
        <v>NA</v>
      </c>
      <c r="AV263" s="354" t="str">
        <f t="shared" si="1765"/>
        <v>1R x 0.6/1kV x 3C x 4 Sqmm</v>
      </c>
      <c r="AW263" s="354" t="str">
        <f t="shared" si="1766"/>
        <v>1R x 0.6/1kV x 3C x 4 Sqmm</v>
      </c>
      <c r="AX263" s="343">
        <f t="shared" si="1779"/>
        <v>50</v>
      </c>
      <c r="AY263" s="355"/>
      <c r="AZ263" s="355">
        <f t="shared" si="1780"/>
        <v>2</v>
      </c>
      <c r="BA263" s="356" t="str">
        <f t="shared" si="1769"/>
        <v/>
      </c>
      <c r="BB263" s="501">
        <f>VLOOKUP(W263,'Catalogue Aluminium'!$B$9:$H$93,7,FALSE)</f>
        <v>15</v>
      </c>
      <c r="BC263" s="328">
        <f t="shared" si="1781"/>
        <v>15</v>
      </c>
      <c r="BE263" s="758"/>
      <c r="BF263" s="758"/>
      <c r="BG263" s="758"/>
      <c r="BH263" s="758"/>
      <c r="BI263" s="758"/>
      <c r="BJ263" s="758"/>
      <c r="BK263" s="758"/>
      <c r="BL263" s="758"/>
      <c r="BM263" s="758"/>
      <c r="BN263" s="758"/>
      <c r="BO263" s="758"/>
      <c r="BP263" s="758"/>
      <c r="BQ263" s="758"/>
      <c r="BR263" s="758"/>
      <c r="BS263" s="758"/>
      <c r="BT263" s="758"/>
      <c r="BU263" s="758"/>
      <c r="BV263" s="758"/>
      <c r="BW263" s="758"/>
      <c r="BX263" s="758"/>
      <c r="BY263" s="758"/>
      <c r="BZ263" s="758"/>
      <c r="CA263" s="758"/>
      <c r="CB263" s="758"/>
      <c r="CC263" s="758"/>
      <c r="CD263" s="758"/>
      <c r="CE263" s="758"/>
      <c r="CF263" s="758"/>
      <c r="CG263" s="758"/>
      <c r="CH263" s="758"/>
      <c r="CI263" s="758"/>
      <c r="CJ263" s="758"/>
      <c r="CK263" s="758"/>
      <c r="CL263" s="758"/>
      <c r="CM263" s="758"/>
      <c r="CN263" s="758"/>
      <c r="CO263" s="758"/>
      <c r="CP263" s="758"/>
      <c r="CQ263" s="758"/>
      <c r="CR263" s="758"/>
      <c r="CS263" s="758"/>
      <c r="CT263" s="758"/>
      <c r="CU263" s="758"/>
      <c r="CV263" s="758"/>
      <c r="CW263" s="758"/>
      <c r="CX263" s="758"/>
      <c r="CY263" s="758"/>
      <c r="CZ263" s="336"/>
      <c r="DA263" s="336"/>
      <c r="DB263" s="336"/>
      <c r="DC263" s="336"/>
      <c r="DD263" s="336"/>
      <c r="DE263" s="336"/>
      <c r="DF263" s="336"/>
      <c r="DG263" s="336"/>
      <c r="DH263" s="336"/>
      <c r="DI263" s="336"/>
      <c r="DJ263" s="336"/>
      <c r="DK263" s="336"/>
      <c r="DL263" s="336"/>
      <c r="DM263" s="336"/>
      <c r="DN263" s="336"/>
      <c r="DO263" s="336"/>
      <c r="DP263" s="336"/>
      <c r="DQ263" s="336"/>
      <c r="DR263" s="336"/>
      <c r="DS263" s="336"/>
      <c r="DT263" s="336"/>
      <c r="DU263" s="336"/>
      <c r="DW263" s="336">
        <f t="shared" si="1733"/>
        <v>0</v>
      </c>
      <c r="DX263" s="336">
        <f t="shared" si="1668"/>
        <v>0</v>
      </c>
      <c r="DY263" s="336">
        <f t="shared" si="1669"/>
        <v>0</v>
      </c>
      <c r="DZ263" s="336">
        <f t="shared" si="1670"/>
        <v>0</v>
      </c>
      <c r="EA263" s="336">
        <f t="shared" si="1671"/>
        <v>0</v>
      </c>
      <c r="EB263" s="336">
        <f t="shared" si="1672"/>
        <v>0</v>
      </c>
      <c r="EC263" s="336">
        <f t="shared" si="1673"/>
        <v>0</v>
      </c>
      <c r="ED263" s="336">
        <f t="shared" si="1674"/>
        <v>0</v>
      </c>
      <c r="EE263" s="336">
        <f t="shared" si="1675"/>
        <v>0</v>
      </c>
      <c r="EF263" s="336">
        <f t="shared" si="1676"/>
        <v>0</v>
      </c>
      <c r="EG263" s="336">
        <f t="shared" si="1677"/>
        <v>0</v>
      </c>
      <c r="EH263" s="336">
        <f t="shared" si="1678"/>
        <v>0</v>
      </c>
      <c r="EI263" s="336">
        <f t="shared" si="1679"/>
        <v>0</v>
      </c>
      <c r="EJ263" s="336">
        <f t="shared" si="1680"/>
        <v>0</v>
      </c>
      <c r="EK263" s="336">
        <f t="shared" si="1681"/>
        <v>0</v>
      </c>
      <c r="EL263" s="336">
        <f t="shared" si="1682"/>
        <v>0</v>
      </c>
      <c r="EM263" s="336">
        <f t="shared" si="1683"/>
        <v>0</v>
      </c>
      <c r="EN263" s="336">
        <f t="shared" si="1684"/>
        <v>0</v>
      </c>
      <c r="EO263" s="336">
        <f t="shared" si="1685"/>
        <v>0</v>
      </c>
      <c r="EP263" s="336">
        <f t="shared" si="1686"/>
        <v>0</v>
      </c>
      <c r="EQ263" s="336">
        <f t="shared" si="1687"/>
        <v>0</v>
      </c>
      <c r="ER263" s="336">
        <f t="shared" si="1688"/>
        <v>0</v>
      </c>
      <c r="ES263" s="336">
        <f t="shared" si="1689"/>
        <v>0</v>
      </c>
      <c r="ET263" s="336">
        <f t="shared" si="1689"/>
        <v>0</v>
      </c>
      <c r="EU263" s="336">
        <f t="shared" si="1690"/>
        <v>0</v>
      </c>
      <c r="EV263" s="336">
        <f t="shared" si="1691"/>
        <v>0</v>
      </c>
      <c r="EW263" s="336">
        <f t="shared" si="1692"/>
        <v>0</v>
      </c>
      <c r="EX263" s="336">
        <f t="shared" si="1693"/>
        <v>0</v>
      </c>
      <c r="EY263" s="336">
        <f t="shared" si="1694"/>
        <v>0</v>
      </c>
      <c r="EZ263" s="336">
        <f t="shared" si="1695"/>
        <v>0</v>
      </c>
      <c r="FA263" s="336">
        <f t="shared" si="1696"/>
        <v>0</v>
      </c>
      <c r="FB263" s="336">
        <f t="shared" si="1697"/>
        <v>0</v>
      </c>
      <c r="FC263" s="336">
        <f t="shared" si="1698"/>
        <v>0</v>
      </c>
      <c r="FD263" s="336">
        <f t="shared" si="1699"/>
        <v>0</v>
      </c>
      <c r="FE263" s="336">
        <f t="shared" si="1700"/>
        <v>0</v>
      </c>
      <c r="FF263" s="336">
        <f t="shared" si="1701"/>
        <v>0</v>
      </c>
      <c r="FG263" s="336">
        <f t="shared" si="1702"/>
        <v>0</v>
      </c>
      <c r="FH263" s="336">
        <f t="shared" si="1703"/>
        <v>0</v>
      </c>
      <c r="FI263" s="336">
        <f t="shared" si="1704"/>
        <v>0</v>
      </c>
      <c r="FJ263" s="336">
        <f t="shared" si="1705"/>
        <v>0</v>
      </c>
      <c r="FK263" s="336">
        <f t="shared" si="1706"/>
        <v>0</v>
      </c>
      <c r="FL263" s="336">
        <f t="shared" si="1707"/>
        <v>0</v>
      </c>
      <c r="FM263" s="336">
        <f t="shared" si="1708"/>
        <v>0</v>
      </c>
      <c r="FN263" s="336">
        <f t="shared" si="1709"/>
        <v>0</v>
      </c>
      <c r="FO263" s="336">
        <f t="shared" si="1710"/>
        <v>0</v>
      </c>
      <c r="FP263" s="336">
        <f t="shared" si="1711"/>
        <v>0</v>
      </c>
      <c r="FQ263" s="336">
        <f t="shared" si="1712"/>
        <v>0</v>
      </c>
      <c r="FR263" s="336">
        <f t="shared" si="1713"/>
        <v>0</v>
      </c>
      <c r="FS263" s="336">
        <f t="shared" si="1714"/>
        <v>0</v>
      </c>
      <c r="FT263" s="336">
        <f t="shared" si="1715"/>
        <v>0</v>
      </c>
      <c r="FU263" s="336">
        <f t="shared" si="1782"/>
        <v>0</v>
      </c>
      <c r="FV263" s="336">
        <f t="shared" si="1783"/>
        <v>0</v>
      </c>
      <c r="FW263" s="336">
        <f t="shared" si="1784"/>
        <v>0</v>
      </c>
      <c r="FX263" s="336">
        <f t="shared" si="1785"/>
        <v>0</v>
      </c>
      <c r="FY263" s="336">
        <f t="shared" si="1734"/>
        <v>0</v>
      </c>
      <c r="FZ263" s="336">
        <f t="shared" si="1735"/>
        <v>0</v>
      </c>
      <c r="GA263" s="336">
        <f t="shared" si="1736"/>
        <v>0</v>
      </c>
      <c r="GB263" s="336">
        <f t="shared" si="1737"/>
        <v>0</v>
      </c>
      <c r="GC263" s="336">
        <f t="shared" si="1738"/>
        <v>0</v>
      </c>
      <c r="GD263" s="336">
        <f t="shared" si="1739"/>
        <v>0</v>
      </c>
      <c r="GE263" s="336">
        <f t="shared" si="1740"/>
        <v>0</v>
      </c>
      <c r="GF263" s="336">
        <f t="shared" si="1741"/>
        <v>0</v>
      </c>
      <c r="GG263" s="336">
        <f t="shared" si="1742"/>
        <v>0</v>
      </c>
      <c r="GH263" s="336">
        <f t="shared" si="1743"/>
        <v>0</v>
      </c>
      <c r="GI263" s="336">
        <f t="shared" si="1744"/>
        <v>0</v>
      </c>
      <c r="GJ263" s="336">
        <f t="shared" si="1745"/>
        <v>0</v>
      </c>
      <c r="GK263" s="336">
        <f t="shared" si="1746"/>
        <v>0</v>
      </c>
      <c r="GL263" s="336">
        <f t="shared" si="1786"/>
        <v>0</v>
      </c>
      <c r="GM263" s="336">
        <f t="shared" si="1747"/>
        <v>0</v>
      </c>
    </row>
    <row r="264" spans="1:195" ht="27.75" customHeight="1">
      <c r="A264" s="337">
        <f t="shared" si="1787"/>
        <v>211</v>
      </c>
      <c r="B264" s="453"/>
      <c r="C264" s="372" t="str">
        <f t="shared" si="1771"/>
        <v>CANTEEN BUILDING HVAC DB</v>
      </c>
      <c r="D264" s="444" t="s">
        <v>1410</v>
      </c>
      <c r="E264" s="569"/>
      <c r="F264" s="500"/>
      <c r="G264" s="337" t="s">
        <v>329</v>
      </c>
      <c r="H264" s="583">
        <v>0.25</v>
      </c>
      <c r="I264" s="337" t="s">
        <v>330</v>
      </c>
      <c r="J264" s="349" t="s">
        <v>357</v>
      </c>
      <c r="K264" s="349">
        <v>230</v>
      </c>
      <c r="L264" s="343">
        <v>0.95</v>
      </c>
      <c r="M264" s="350">
        <v>0.85</v>
      </c>
      <c r="N264" s="342">
        <f t="shared" si="1774"/>
        <v>1.3460761879122358</v>
      </c>
      <c r="O264" s="342">
        <f t="shared" si="1756"/>
        <v>0</v>
      </c>
      <c r="P264" s="343" t="str">
        <f t="shared" si="1775"/>
        <v>0.00</v>
      </c>
      <c r="Q264" s="350">
        <v>65</v>
      </c>
      <c r="R264" s="350">
        <v>0</v>
      </c>
      <c r="S264" s="350">
        <f t="shared" si="1776"/>
        <v>0</v>
      </c>
      <c r="T264" s="343" t="s">
        <v>332</v>
      </c>
      <c r="U264" s="350" t="s">
        <v>333</v>
      </c>
      <c r="V264" s="343">
        <v>4</v>
      </c>
      <c r="W264" s="343" t="str">
        <f t="shared" si="1777"/>
        <v>3C X 4</v>
      </c>
      <c r="X264" s="343" t="str">
        <f t="shared" si="1757"/>
        <v>3C X 4</v>
      </c>
      <c r="Y264" s="343" t="s">
        <v>358</v>
      </c>
      <c r="Z264" s="344">
        <f>IF(T264="AIR",VLOOKUP(W264,'Catalogue Aluminium'!$B$9:$G$93,2,FALSE),IF(T264="GROUND",VLOOKUP(W264,'Catalogue Aluminium'!$B$9:$G$93,3,FALSE),IF(T264="DUCT",VLOOKUP(W264,'Catalogue Aluminium'!$B$9:$G$93,4,FALSE),IF(T264="TRENCH",VLOOKUP(W264,'Catalogue Aluminium'!$B$9:$G$93,2,FALSE)))))</f>
        <v>38</v>
      </c>
      <c r="AA264" s="345">
        <f>VLOOKUP(W264,'Catalogue Aluminium'!$B$9:$G$93,5,FALSE)</f>
        <v>5.9</v>
      </c>
      <c r="AB264" s="345">
        <f>VLOOKUP(W264,'Catalogue Aluminium'!$B$9:$G$93,6,FALSE)</f>
        <v>9.4700000000000006E-2</v>
      </c>
      <c r="AC264" s="343">
        <f t="shared" si="1772"/>
        <v>30</v>
      </c>
      <c r="AD264" s="343">
        <v>0</v>
      </c>
      <c r="AE264" s="343">
        <v>10</v>
      </c>
      <c r="AF264" s="343">
        <v>5</v>
      </c>
      <c r="AG264" s="343">
        <f t="shared" si="1730"/>
        <v>5</v>
      </c>
      <c r="AH264" s="347">
        <f t="shared" si="1758"/>
        <v>50</v>
      </c>
      <c r="AI264" s="344">
        <f>IF(T264="AIR",'Catalogue Aluminium'!$K$9,IF(T264="TRENCH",'Catalogue Aluminium'!$K$12,"NA"))</f>
        <v>0.89</v>
      </c>
      <c r="AJ264" s="342">
        <f>IF(T264="Air",(IF(U264="1C",'Catalogue Aluminium'!$L$9,'Catalogue Aluminium'!$M$9)),IF(T264="DUCT",(IF($U264="1C",'Catalogue Aluminium'!$L$10,'Catalogue Aluminium'!$M$10)),IF(T264="GROUND",(IF($U264="1C",'Catalogue Aluminium'!$L$11,'Catalogue Aluminium'!$M$11)),IF(T264="TRENCH",(IF($U264="1C",'Catalogue Aluminium'!$L$12,'Catalogue Aluminium'!$M$12))))))</f>
        <v>0.66</v>
      </c>
      <c r="AK264" s="344" t="str">
        <f>IF(T264="Air",'Catalogue Aluminium'!$N$9,IF(T264="GROUND",'Catalogue Aluminium'!$N$10,IF(T264="DUCT",'Catalogue Aluminium'!$N$11,IF(T264="TRENCH",'Catalogue Aluminium'!$N$12,"NA"))))</f>
        <v>NA</v>
      </c>
      <c r="AL264" s="344" t="str">
        <f>IF(T264="Air",(IF(U264="1C",'Catalogue Aluminium'!$O$9,'Catalogue Aluminium'!$P$9)),IF(T264="DUCT",(IF($U264="1C",'Catalogue Aluminium'!$O$10,'Catalogue Aluminium'!$P$10)),IF(T264="GROUND",(IF($U264="1C",'Catalogue Aluminium'!$O$11,'Catalogue Aluminium'!$P$11)),IF(T264="TRENCH",(IF($U264="1C",'Catalogue Aluminium'!$O$12,'Catalogue Aluminium'!$P$12))))))</f>
        <v>NA</v>
      </c>
      <c r="AM264" s="344" t="str">
        <f>IF(T264="AIR","NA",IF(T264="TRENCH","NA",IF(T264="DUCT",IF(U264="1C",VLOOKUP(V264,'Catalogue Aluminium'!$Q$9:$S$28,2,FALSE),VLOOKUP(V264,'Catalogue Aluminium'!$Q$9:$S$28,3)),IF(T264="GROUND",IF(U264="1C",VLOOKUP(V264,'Catalogue Aluminium'!$Q$9:$S$28,2,FALSE),VLOOKUP(V264,'Catalogue Aluminium'!$Q$9:$S$28,3))))))</f>
        <v>NA</v>
      </c>
      <c r="AN264" s="351">
        <f t="shared" si="1759"/>
        <v>0.58740000000000003</v>
      </c>
      <c r="AO264" s="350">
        <f t="shared" si="1760"/>
        <v>22.321200000000001</v>
      </c>
      <c r="AP264" s="349">
        <f t="shared" si="1761"/>
        <v>1</v>
      </c>
      <c r="AQ264" s="350" t="str">
        <f t="shared" si="1762"/>
        <v>YES</v>
      </c>
      <c r="AR264" s="351">
        <f t="shared" si="1731"/>
        <v>0.28558357179243282</v>
      </c>
      <c r="AS264" s="343" t="str">
        <f t="shared" si="1732"/>
        <v>YES</v>
      </c>
      <c r="AT264" s="351" t="str">
        <f t="shared" si="1778"/>
        <v>NA</v>
      </c>
      <c r="AU264" s="343" t="str">
        <f t="shared" si="1764"/>
        <v>NA</v>
      </c>
      <c r="AV264" s="354" t="str">
        <f t="shared" si="1765"/>
        <v>1R x 0.6/1kV x 3C x 4 Sqmm</v>
      </c>
      <c r="AW264" s="354" t="str">
        <f t="shared" si="1766"/>
        <v>1R x 0.6/1kV x 3C x 4 Sqmm</v>
      </c>
      <c r="AX264" s="343">
        <f t="shared" si="1779"/>
        <v>50</v>
      </c>
      <c r="AY264" s="355"/>
      <c r="AZ264" s="355">
        <f t="shared" si="1780"/>
        <v>2</v>
      </c>
      <c r="BA264" s="356" t="str">
        <f t="shared" si="1769"/>
        <v/>
      </c>
      <c r="BB264" s="501">
        <f>VLOOKUP(W264,'Catalogue Aluminium'!$B$9:$H$93,7,FALSE)</f>
        <v>15</v>
      </c>
      <c r="BC264" s="328">
        <f t="shared" si="1781"/>
        <v>15</v>
      </c>
      <c r="BE264" s="336"/>
      <c r="BF264" s="336"/>
      <c r="BG264" s="336"/>
      <c r="BH264" s="336"/>
      <c r="BI264" s="336"/>
      <c r="BJ264" s="336"/>
      <c r="BK264" s="336"/>
      <c r="BL264" s="336"/>
      <c r="BM264" s="336"/>
      <c r="BN264" s="336"/>
      <c r="BO264" s="336"/>
      <c r="BP264" s="336"/>
      <c r="BQ264" s="336"/>
      <c r="BR264" s="336"/>
      <c r="BS264" s="336"/>
      <c r="BT264" s="336"/>
      <c r="BU264" s="336"/>
      <c r="BV264" s="336"/>
      <c r="BW264" s="336"/>
      <c r="BX264" s="336"/>
      <c r="BY264" s="336"/>
      <c r="BZ264" s="336"/>
      <c r="CA264" s="336"/>
      <c r="CB264" s="336"/>
      <c r="CC264" s="336"/>
      <c r="CD264" s="336"/>
      <c r="CE264" s="336"/>
      <c r="CF264" s="336"/>
      <c r="CG264" s="336"/>
      <c r="CH264" s="336"/>
      <c r="CI264" s="336"/>
      <c r="CJ264" s="336"/>
      <c r="CK264" s="336"/>
      <c r="CL264" s="336"/>
      <c r="CM264" s="336"/>
      <c r="CN264" s="336"/>
      <c r="CO264" s="336"/>
      <c r="CP264" s="336"/>
      <c r="CQ264" s="336"/>
      <c r="CR264" s="336"/>
      <c r="CS264" s="336"/>
      <c r="CT264" s="336"/>
      <c r="CU264" s="336"/>
      <c r="CV264" s="336"/>
      <c r="CW264" s="336"/>
      <c r="CX264" s="336"/>
      <c r="CY264" s="336"/>
      <c r="CZ264" s="336"/>
      <c r="DA264" s="336"/>
      <c r="DB264" s="336"/>
      <c r="DC264" s="336"/>
      <c r="DD264" s="336"/>
      <c r="DE264" s="336"/>
      <c r="DF264" s="336"/>
      <c r="DG264" s="336"/>
      <c r="DH264" s="336"/>
      <c r="DI264" s="336"/>
      <c r="DJ264" s="336"/>
      <c r="DK264" s="336"/>
      <c r="DL264" s="336"/>
      <c r="DM264" s="336"/>
      <c r="DN264" s="336"/>
      <c r="DO264" s="336"/>
      <c r="DP264" s="336"/>
      <c r="DQ264" s="336"/>
      <c r="DR264" s="336"/>
      <c r="DS264" s="336"/>
      <c r="DT264" s="336"/>
      <c r="DU264" s="336"/>
      <c r="DW264" s="336">
        <f t="shared" si="1733"/>
        <v>0</v>
      </c>
      <c r="DX264" s="336">
        <f t="shared" si="1668"/>
        <v>0</v>
      </c>
      <c r="DY264" s="336">
        <f t="shared" si="1669"/>
        <v>0</v>
      </c>
      <c r="DZ264" s="336">
        <f t="shared" si="1670"/>
        <v>0</v>
      </c>
      <c r="EA264" s="336">
        <f t="shared" si="1671"/>
        <v>0</v>
      </c>
      <c r="EB264" s="336">
        <f t="shared" si="1672"/>
        <v>0</v>
      </c>
      <c r="EC264" s="336">
        <f t="shared" si="1673"/>
        <v>0</v>
      </c>
      <c r="ED264" s="336">
        <f t="shared" si="1674"/>
        <v>0</v>
      </c>
      <c r="EE264" s="336">
        <f t="shared" si="1675"/>
        <v>0</v>
      </c>
      <c r="EF264" s="336">
        <f t="shared" si="1676"/>
        <v>0</v>
      </c>
      <c r="EG264" s="336">
        <f t="shared" si="1677"/>
        <v>0</v>
      </c>
      <c r="EH264" s="336">
        <f t="shared" si="1678"/>
        <v>0</v>
      </c>
      <c r="EI264" s="336">
        <f t="shared" si="1679"/>
        <v>0</v>
      </c>
      <c r="EJ264" s="336">
        <f t="shared" si="1680"/>
        <v>0</v>
      </c>
      <c r="EK264" s="336">
        <f t="shared" si="1681"/>
        <v>0</v>
      </c>
      <c r="EL264" s="336">
        <f t="shared" si="1682"/>
        <v>0</v>
      </c>
      <c r="EM264" s="336">
        <f t="shared" si="1683"/>
        <v>0</v>
      </c>
      <c r="EN264" s="336">
        <f t="shared" si="1684"/>
        <v>0</v>
      </c>
      <c r="EO264" s="336">
        <f t="shared" si="1685"/>
        <v>0</v>
      </c>
      <c r="EP264" s="336">
        <f t="shared" si="1686"/>
        <v>0</v>
      </c>
      <c r="EQ264" s="336">
        <f t="shared" si="1687"/>
        <v>0</v>
      </c>
      <c r="ER264" s="336">
        <f t="shared" si="1688"/>
        <v>0</v>
      </c>
      <c r="ES264" s="336">
        <f t="shared" si="1689"/>
        <v>0</v>
      </c>
      <c r="ET264" s="336">
        <f t="shared" si="1689"/>
        <v>0</v>
      </c>
      <c r="EU264" s="336">
        <f t="shared" si="1690"/>
        <v>0</v>
      </c>
      <c r="EV264" s="336">
        <f t="shared" si="1691"/>
        <v>0</v>
      </c>
      <c r="EW264" s="336">
        <f t="shared" si="1692"/>
        <v>0</v>
      </c>
      <c r="EX264" s="336">
        <f t="shared" si="1693"/>
        <v>0</v>
      </c>
      <c r="EY264" s="336">
        <f t="shared" si="1694"/>
        <v>0</v>
      </c>
      <c r="EZ264" s="336">
        <f t="shared" si="1695"/>
        <v>0</v>
      </c>
      <c r="FA264" s="336">
        <f t="shared" si="1696"/>
        <v>0</v>
      </c>
      <c r="FB264" s="336">
        <f t="shared" si="1697"/>
        <v>0</v>
      </c>
      <c r="FC264" s="336">
        <f t="shared" si="1698"/>
        <v>0</v>
      </c>
      <c r="FD264" s="336">
        <f t="shared" si="1699"/>
        <v>0</v>
      </c>
      <c r="FE264" s="336">
        <f t="shared" si="1700"/>
        <v>0</v>
      </c>
      <c r="FF264" s="336">
        <f t="shared" si="1701"/>
        <v>0</v>
      </c>
      <c r="FG264" s="336">
        <f t="shared" si="1702"/>
        <v>0</v>
      </c>
      <c r="FH264" s="336">
        <f t="shared" si="1703"/>
        <v>0</v>
      </c>
      <c r="FI264" s="336">
        <f t="shared" si="1704"/>
        <v>0</v>
      </c>
      <c r="FJ264" s="336">
        <f t="shared" si="1705"/>
        <v>0</v>
      </c>
      <c r="FK264" s="336">
        <f t="shared" si="1706"/>
        <v>0</v>
      </c>
      <c r="FL264" s="336">
        <f t="shared" si="1707"/>
        <v>0</v>
      </c>
      <c r="FM264" s="336">
        <f t="shared" si="1708"/>
        <v>0</v>
      </c>
      <c r="FN264" s="336">
        <f t="shared" si="1709"/>
        <v>0</v>
      </c>
      <c r="FO264" s="336">
        <f t="shared" si="1710"/>
        <v>0</v>
      </c>
      <c r="FP264" s="336">
        <f t="shared" si="1711"/>
        <v>0</v>
      </c>
      <c r="FQ264" s="336">
        <f t="shared" si="1712"/>
        <v>0</v>
      </c>
      <c r="FR264" s="336">
        <f t="shared" si="1713"/>
        <v>0</v>
      </c>
      <c r="FS264" s="336">
        <f t="shared" si="1714"/>
        <v>0</v>
      </c>
      <c r="FT264" s="336">
        <f t="shared" si="1715"/>
        <v>0</v>
      </c>
      <c r="FU264" s="336">
        <f t="shared" si="1782"/>
        <v>0</v>
      </c>
      <c r="FV264" s="336">
        <f t="shared" si="1783"/>
        <v>0</v>
      </c>
      <c r="FW264" s="336">
        <f t="shared" si="1784"/>
        <v>0</v>
      </c>
      <c r="FX264" s="336">
        <f t="shared" si="1785"/>
        <v>0</v>
      </c>
      <c r="FY264" s="336">
        <f t="shared" si="1734"/>
        <v>0</v>
      </c>
      <c r="FZ264" s="336">
        <f t="shared" si="1735"/>
        <v>0</v>
      </c>
      <c r="GA264" s="336">
        <f t="shared" si="1736"/>
        <v>0</v>
      </c>
      <c r="GB264" s="336">
        <f t="shared" si="1737"/>
        <v>0</v>
      </c>
      <c r="GC264" s="336">
        <f t="shared" si="1738"/>
        <v>0</v>
      </c>
      <c r="GD264" s="336">
        <f t="shared" si="1739"/>
        <v>0</v>
      </c>
      <c r="GE264" s="336">
        <f t="shared" si="1740"/>
        <v>0</v>
      </c>
      <c r="GF264" s="336">
        <f t="shared" si="1741"/>
        <v>0</v>
      </c>
      <c r="GG264" s="336">
        <f t="shared" si="1742"/>
        <v>0</v>
      </c>
      <c r="GH264" s="336">
        <f t="shared" si="1743"/>
        <v>0</v>
      </c>
      <c r="GI264" s="336">
        <f t="shared" si="1744"/>
        <v>0</v>
      </c>
      <c r="GJ264" s="336">
        <f t="shared" si="1745"/>
        <v>0</v>
      </c>
      <c r="GK264" s="336">
        <f t="shared" si="1746"/>
        <v>0</v>
      </c>
      <c r="GL264" s="336">
        <f t="shared" si="1786"/>
        <v>0</v>
      </c>
      <c r="GM264" s="336">
        <f t="shared" si="1747"/>
        <v>0</v>
      </c>
    </row>
    <row r="265" spans="1:195" ht="27.75" customHeight="1">
      <c r="A265" s="337">
        <f t="shared" si="1787"/>
        <v>212</v>
      </c>
      <c r="B265" s="453"/>
      <c r="C265" s="372" t="str">
        <f t="shared" si="1771"/>
        <v>CANTEEN BUILDING HVAC DB</v>
      </c>
      <c r="D265" s="444" t="s">
        <v>1411</v>
      </c>
      <c r="E265" s="569"/>
      <c r="F265" s="500"/>
      <c r="G265" s="337" t="s">
        <v>329</v>
      </c>
      <c r="H265" s="583">
        <v>0.25</v>
      </c>
      <c r="I265" s="337" t="s">
        <v>330</v>
      </c>
      <c r="J265" s="349" t="s">
        <v>357</v>
      </c>
      <c r="K265" s="349">
        <v>230</v>
      </c>
      <c r="L265" s="343">
        <v>0.95</v>
      </c>
      <c r="M265" s="350">
        <v>0.85</v>
      </c>
      <c r="N265" s="342">
        <f t="shared" si="1774"/>
        <v>1.3460761879122358</v>
      </c>
      <c r="O265" s="342">
        <f t="shared" si="1756"/>
        <v>0</v>
      </c>
      <c r="P265" s="343" t="str">
        <f t="shared" si="1775"/>
        <v>0.00</v>
      </c>
      <c r="Q265" s="350">
        <v>65</v>
      </c>
      <c r="R265" s="350">
        <v>0</v>
      </c>
      <c r="S265" s="350">
        <f t="shared" si="1776"/>
        <v>0</v>
      </c>
      <c r="T265" s="343" t="s">
        <v>332</v>
      </c>
      <c r="U265" s="350" t="s">
        <v>333</v>
      </c>
      <c r="V265" s="343">
        <v>4</v>
      </c>
      <c r="W265" s="343" t="str">
        <f t="shared" si="1777"/>
        <v>3C X 4</v>
      </c>
      <c r="X265" s="343" t="str">
        <f t="shared" si="1757"/>
        <v>3C X 4</v>
      </c>
      <c r="Y265" s="343" t="s">
        <v>358</v>
      </c>
      <c r="Z265" s="344">
        <f>IF(T265="AIR",VLOOKUP(W265,'Catalogue Aluminium'!$B$9:$G$93,2,FALSE),IF(T265="GROUND",VLOOKUP(W265,'Catalogue Aluminium'!$B$9:$G$93,3,FALSE),IF(T265="DUCT",VLOOKUP(W265,'Catalogue Aluminium'!$B$9:$G$93,4,FALSE),IF(T265="TRENCH",VLOOKUP(W265,'Catalogue Aluminium'!$B$9:$G$93,2,FALSE)))))</f>
        <v>38</v>
      </c>
      <c r="AA265" s="345">
        <f>VLOOKUP(W265,'Catalogue Aluminium'!$B$9:$G$93,5,FALSE)</f>
        <v>5.9</v>
      </c>
      <c r="AB265" s="345">
        <f>VLOOKUP(W265,'Catalogue Aluminium'!$B$9:$G$93,6,FALSE)</f>
        <v>9.4700000000000006E-2</v>
      </c>
      <c r="AC265" s="343">
        <f t="shared" si="1772"/>
        <v>30</v>
      </c>
      <c r="AD265" s="343">
        <v>0</v>
      </c>
      <c r="AE265" s="343">
        <v>10</v>
      </c>
      <c r="AF265" s="343">
        <v>5</v>
      </c>
      <c r="AG265" s="343">
        <f t="shared" si="1730"/>
        <v>5</v>
      </c>
      <c r="AH265" s="347">
        <f t="shared" si="1758"/>
        <v>50</v>
      </c>
      <c r="AI265" s="344">
        <f>IF(T265="AIR",'Catalogue Aluminium'!$K$9,IF(T265="TRENCH",'Catalogue Aluminium'!$K$12,"NA"))</f>
        <v>0.89</v>
      </c>
      <c r="AJ265" s="342">
        <f>IF(T265="Air",(IF(U265="1C",'Catalogue Aluminium'!$L$9,'Catalogue Aluminium'!$M$9)),IF(T265="DUCT",(IF($U265="1C",'Catalogue Aluminium'!$L$10,'Catalogue Aluminium'!$M$10)),IF(T265="GROUND",(IF($U265="1C",'Catalogue Aluminium'!$L$11,'Catalogue Aluminium'!$M$11)),IF(T265="TRENCH",(IF($U265="1C",'Catalogue Aluminium'!$L$12,'Catalogue Aluminium'!$M$12))))))</f>
        <v>0.66</v>
      </c>
      <c r="AK265" s="344" t="str">
        <f>IF(T265="Air",'Catalogue Aluminium'!$N$9,IF(T265="GROUND",'Catalogue Aluminium'!$N$10,IF(T265="DUCT",'Catalogue Aluminium'!$N$11,IF(T265="TRENCH",'Catalogue Aluminium'!$N$12,"NA"))))</f>
        <v>NA</v>
      </c>
      <c r="AL265" s="344" t="str">
        <f>IF(T265="Air",(IF(U265="1C",'Catalogue Aluminium'!$O$9,'Catalogue Aluminium'!$P$9)),IF(T265="DUCT",(IF($U265="1C",'Catalogue Aluminium'!$O$10,'Catalogue Aluminium'!$P$10)),IF(T265="GROUND",(IF($U265="1C",'Catalogue Aluminium'!$O$11,'Catalogue Aluminium'!$P$11)),IF(T265="TRENCH",(IF($U265="1C",'Catalogue Aluminium'!$O$12,'Catalogue Aluminium'!$P$12))))))</f>
        <v>NA</v>
      </c>
      <c r="AM265" s="344" t="str">
        <f>IF(T265="AIR","NA",IF(T265="TRENCH","NA",IF(T265="DUCT",IF(U265="1C",VLOOKUP(V265,'Catalogue Aluminium'!$Q$9:$S$28,2,FALSE),VLOOKUP(V265,'Catalogue Aluminium'!$Q$9:$S$28,3)),IF(T265="GROUND",IF(U265="1C",VLOOKUP(V265,'Catalogue Aluminium'!$Q$9:$S$28,2,FALSE),VLOOKUP(V265,'Catalogue Aluminium'!$Q$9:$S$28,3))))))</f>
        <v>NA</v>
      </c>
      <c r="AN265" s="351">
        <f t="shared" si="1759"/>
        <v>0.58740000000000003</v>
      </c>
      <c r="AO265" s="350">
        <f t="shared" si="1760"/>
        <v>22.321200000000001</v>
      </c>
      <c r="AP265" s="349">
        <f t="shared" si="1761"/>
        <v>1</v>
      </c>
      <c r="AQ265" s="350" t="str">
        <f t="shared" si="1762"/>
        <v>YES</v>
      </c>
      <c r="AR265" s="351">
        <f t="shared" si="1731"/>
        <v>0.28558357179243282</v>
      </c>
      <c r="AS265" s="343" t="str">
        <f t="shared" si="1732"/>
        <v>YES</v>
      </c>
      <c r="AT265" s="351" t="str">
        <f t="shared" si="1778"/>
        <v>NA</v>
      </c>
      <c r="AU265" s="343" t="str">
        <f t="shared" si="1764"/>
        <v>NA</v>
      </c>
      <c r="AV265" s="354" t="str">
        <f t="shared" si="1765"/>
        <v>1R x 0.6/1kV x 3C x 4 Sqmm</v>
      </c>
      <c r="AW265" s="354" t="str">
        <f t="shared" si="1766"/>
        <v>1R x 0.6/1kV x 3C x 4 Sqmm</v>
      </c>
      <c r="AX265" s="343">
        <f t="shared" si="1779"/>
        <v>50</v>
      </c>
      <c r="AY265" s="355"/>
      <c r="AZ265" s="355">
        <f t="shared" si="1780"/>
        <v>2</v>
      </c>
      <c r="BA265" s="356" t="str">
        <f t="shared" si="1769"/>
        <v/>
      </c>
      <c r="BB265" s="501">
        <f>VLOOKUP(W265,'Catalogue Aluminium'!$B$9:$H$93,7,FALSE)</f>
        <v>15</v>
      </c>
      <c r="BC265" s="328">
        <f t="shared" si="1781"/>
        <v>15</v>
      </c>
      <c r="BE265" s="336"/>
      <c r="BF265" s="336"/>
      <c r="BG265" s="336"/>
      <c r="BH265" s="336"/>
      <c r="BI265" s="336"/>
      <c r="BJ265" s="336"/>
      <c r="BK265" s="336"/>
      <c r="BL265" s="336"/>
      <c r="BM265" s="336"/>
      <c r="BN265" s="336"/>
      <c r="BO265" s="336"/>
      <c r="BP265" s="336"/>
      <c r="BQ265" s="336"/>
      <c r="BR265" s="336"/>
      <c r="BS265" s="336"/>
      <c r="BT265" s="336"/>
      <c r="BU265" s="336"/>
      <c r="BV265" s="336"/>
      <c r="BW265" s="336"/>
      <c r="BX265" s="336"/>
      <c r="BY265" s="336"/>
      <c r="BZ265" s="336"/>
      <c r="CA265" s="336"/>
      <c r="CB265" s="336"/>
      <c r="CC265" s="336"/>
      <c r="CD265" s="336"/>
      <c r="CE265" s="336"/>
      <c r="CF265" s="336"/>
      <c r="CG265" s="336"/>
      <c r="CH265" s="336"/>
      <c r="CI265" s="336"/>
      <c r="CJ265" s="336"/>
      <c r="CK265" s="336"/>
      <c r="CL265" s="336"/>
      <c r="CM265" s="336"/>
      <c r="CN265" s="336"/>
      <c r="CO265" s="336"/>
      <c r="CP265" s="336"/>
      <c r="CQ265" s="336"/>
      <c r="CR265" s="336"/>
      <c r="CS265" s="336"/>
      <c r="CT265" s="336"/>
      <c r="CU265" s="336"/>
      <c r="CV265" s="336"/>
      <c r="CW265" s="336"/>
      <c r="CX265" s="336"/>
      <c r="CY265" s="336"/>
      <c r="CZ265" s="336"/>
      <c r="DA265" s="336"/>
      <c r="DB265" s="336"/>
      <c r="DC265" s="336"/>
      <c r="DD265" s="336"/>
      <c r="DE265" s="336"/>
      <c r="DF265" s="336"/>
      <c r="DG265" s="336"/>
      <c r="DH265" s="336"/>
      <c r="DI265" s="336"/>
      <c r="DJ265" s="336"/>
      <c r="DK265" s="336"/>
      <c r="DL265" s="336"/>
      <c r="DM265" s="336"/>
      <c r="DN265" s="336"/>
      <c r="DO265" s="336"/>
      <c r="DP265" s="336"/>
      <c r="DQ265" s="336"/>
      <c r="DR265" s="336"/>
      <c r="DS265" s="336"/>
      <c r="DT265" s="336"/>
      <c r="DU265" s="336"/>
      <c r="DW265" s="336">
        <f t="shared" si="1733"/>
        <v>0</v>
      </c>
      <c r="DX265" s="336">
        <f t="shared" si="1668"/>
        <v>0</v>
      </c>
      <c r="DY265" s="336">
        <f t="shared" si="1669"/>
        <v>0</v>
      </c>
      <c r="DZ265" s="336">
        <f t="shared" si="1670"/>
        <v>0</v>
      </c>
      <c r="EA265" s="336">
        <f t="shared" si="1671"/>
        <v>0</v>
      </c>
      <c r="EB265" s="336">
        <f t="shared" si="1672"/>
        <v>0</v>
      </c>
      <c r="EC265" s="336">
        <f t="shared" si="1673"/>
        <v>0</v>
      </c>
      <c r="ED265" s="336">
        <f t="shared" si="1674"/>
        <v>0</v>
      </c>
      <c r="EE265" s="336">
        <f t="shared" si="1675"/>
        <v>0</v>
      </c>
      <c r="EF265" s="336">
        <f t="shared" si="1676"/>
        <v>0</v>
      </c>
      <c r="EG265" s="336">
        <f t="shared" si="1677"/>
        <v>0</v>
      </c>
      <c r="EH265" s="336">
        <f t="shared" si="1678"/>
        <v>0</v>
      </c>
      <c r="EI265" s="336">
        <f t="shared" si="1679"/>
        <v>0</v>
      </c>
      <c r="EJ265" s="336">
        <f t="shared" si="1680"/>
        <v>0</v>
      </c>
      <c r="EK265" s="336">
        <f t="shared" si="1681"/>
        <v>0</v>
      </c>
      <c r="EL265" s="336">
        <f t="shared" si="1682"/>
        <v>0</v>
      </c>
      <c r="EM265" s="336">
        <f t="shared" si="1683"/>
        <v>0</v>
      </c>
      <c r="EN265" s="336">
        <f t="shared" si="1684"/>
        <v>0</v>
      </c>
      <c r="EO265" s="336">
        <f t="shared" si="1685"/>
        <v>0</v>
      </c>
      <c r="EP265" s="336">
        <f t="shared" si="1686"/>
        <v>0</v>
      </c>
      <c r="EQ265" s="336">
        <f t="shared" si="1687"/>
        <v>0</v>
      </c>
      <c r="ER265" s="336">
        <f t="shared" si="1688"/>
        <v>0</v>
      </c>
      <c r="ES265" s="336">
        <f t="shared" si="1689"/>
        <v>0</v>
      </c>
      <c r="ET265" s="336">
        <f t="shared" si="1689"/>
        <v>0</v>
      </c>
      <c r="EU265" s="336">
        <f t="shared" si="1690"/>
        <v>0</v>
      </c>
      <c r="EV265" s="336">
        <f t="shared" si="1691"/>
        <v>0</v>
      </c>
      <c r="EW265" s="336">
        <f t="shared" si="1692"/>
        <v>0</v>
      </c>
      <c r="EX265" s="336">
        <f t="shared" si="1693"/>
        <v>0</v>
      </c>
      <c r="EY265" s="336">
        <f t="shared" si="1694"/>
        <v>0</v>
      </c>
      <c r="EZ265" s="336">
        <f t="shared" si="1695"/>
        <v>0</v>
      </c>
      <c r="FA265" s="336">
        <f t="shared" si="1696"/>
        <v>0</v>
      </c>
      <c r="FB265" s="336">
        <f t="shared" si="1697"/>
        <v>0</v>
      </c>
      <c r="FC265" s="336">
        <f t="shared" si="1698"/>
        <v>0</v>
      </c>
      <c r="FD265" s="336">
        <f t="shared" si="1699"/>
        <v>0</v>
      </c>
      <c r="FE265" s="336">
        <f t="shared" si="1700"/>
        <v>0</v>
      </c>
      <c r="FF265" s="336">
        <f t="shared" si="1701"/>
        <v>0</v>
      </c>
      <c r="FG265" s="336">
        <f t="shared" si="1702"/>
        <v>0</v>
      </c>
      <c r="FH265" s="336">
        <f t="shared" si="1703"/>
        <v>0</v>
      </c>
      <c r="FI265" s="336">
        <f t="shared" si="1704"/>
        <v>0</v>
      </c>
      <c r="FJ265" s="336">
        <f t="shared" si="1705"/>
        <v>0</v>
      </c>
      <c r="FK265" s="336">
        <f t="shared" si="1706"/>
        <v>0</v>
      </c>
      <c r="FL265" s="336">
        <f t="shared" si="1707"/>
        <v>0</v>
      </c>
      <c r="FM265" s="336">
        <f t="shared" si="1708"/>
        <v>0</v>
      </c>
      <c r="FN265" s="336">
        <f t="shared" si="1709"/>
        <v>0</v>
      </c>
      <c r="FO265" s="336">
        <f t="shared" si="1710"/>
        <v>0</v>
      </c>
      <c r="FP265" s="336">
        <f t="shared" si="1711"/>
        <v>0</v>
      </c>
      <c r="FQ265" s="336">
        <f t="shared" si="1712"/>
        <v>0</v>
      </c>
      <c r="FR265" s="336">
        <f t="shared" si="1713"/>
        <v>0</v>
      </c>
      <c r="FS265" s="336">
        <f t="shared" si="1714"/>
        <v>0</v>
      </c>
      <c r="FT265" s="336">
        <f t="shared" si="1715"/>
        <v>0</v>
      </c>
      <c r="FU265" s="336">
        <f t="shared" si="1782"/>
        <v>0</v>
      </c>
      <c r="FV265" s="336">
        <f t="shared" si="1783"/>
        <v>0</v>
      </c>
      <c r="FW265" s="336">
        <f t="shared" si="1784"/>
        <v>0</v>
      </c>
      <c r="FX265" s="336">
        <f t="shared" si="1785"/>
        <v>0</v>
      </c>
      <c r="FY265" s="336">
        <f t="shared" si="1734"/>
        <v>0</v>
      </c>
      <c r="FZ265" s="336">
        <f t="shared" si="1735"/>
        <v>0</v>
      </c>
      <c r="GA265" s="336">
        <f t="shared" si="1736"/>
        <v>0</v>
      </c>
      <c r="GB265" s="336">
        <f t="shared" si="1737"/>
        <v>0</v>
      </c>
      <c r="GC265" s="336">
        <f t="shared" si="1738"/>
        <v>0</v>
      </c>
      <c r="GD265" s="336">
        <f t="shared" si="1739"/>
        <v>0</v>
      </c>
      <c r="GE265" s="336">
        <f t="shared" si="1740"/>
        <v>0</v>
      </c>
      <c r="GF265" s="336">
        <f t="shared" si="1741"/>
        <v>0</v>
      </c>
      <c r="GG265" s="336">
        <f t="shared" si="1742"/>
        <v>0</v>
      </c>
      <c r="GH265" s="336">
        <f t="shared" si="1743"/>
        <v>0</v>
      </c>
      <c r="GI265" s="336">
        <f t="shared" si="1744"/>
        <v>0</v>
      </c>
      <c r="GJ265" s="336">
        <f t="shared" si="1745"/>
        <v>0</v>
      </c>
      <c r="GK265" s="336">
        <f t="shared" si="1746"/>
        <v>0</v>
      </c>
      <c r="GL265" s="336">
        <f t="shared" si="1786"/>
        <v>0</v>
      </c>
      <c r="GM265" s="336">
        <f t="shared" si="1747"/>
        <v>0</v>
      </c>
    </row>
    <row r="266" spans="1:195" ht="27.75" customHeight="1">
      <c r="A266" s="337">
        <f t="shared" si="1787"/>
        <v>213</v>
      </c>
      <c r="B266" s="453"/>
      <c r="C266" s="372" t="str">
        <f t="shared" si="1771"/>
        <v>CANTEEN BUILDING HVAC DB</v>
      </c>
      <c r="D266" s="444" t="s">
        <v>1412</v>
      </c>
      <c r="E266" s="569" t="s">
        <v>1413</v>
      </c>
      <c r="F266" s="500"/>
      <c r="G266" s="337" t="s">
        <v>329</v>
      </c>
      <c r="H266" s="583">
        <v>0.25</v>
      </c>
      <c r="I266" s="337" t="s">
        <v>330</v>
      </c>
      <c r="J266" s="585" t="s">
        <v>331</v>
      </c>
      <c r="K266" s="349">
        <v>400</v>
      </c>
      <c r="L266" s="343">
        <v>0.95</v>
      </c>
      <c r="M266" s="350">
        <v>0.85</v>
      </c>
      <c r="N266" s="342">
        <f t="shared" si="1774"/>
        <v>0.44687864206093286</v>
      </c>
      <c r="O266" s="342">
        <f t="shared" si="1756"/>
        <v>0</v>
      </c>
      <c r="P266" s="343" t="str">
        <f t="shared" si="1775"/>
        <v>0.00</v>
      </c>
      <c r="Q266" s="350">
        <v>65</v>
      </c>
      <c r="R266" s="350">
        <v>0</v>
      </c>
      <c r="S266" s="350">
        <f t="shared" si="1776"/>
        <v>0</v>
      </c>
      <c r="T266" s="343" t="s">
        <v>332</v>
      </c>
      <c r="U266" s="350" t="s">
        <v>522</v>
      </c>
      <c r="V266" s="343">
        <v>4</v>
      </c>
      <c r="W266" s="343" t="str">
        <f t="shared" si="1777"/>
        <v>4C X 4</v>
      </c>
      <c r="X266" s="343" t="str">
        <f t="shared" si="1757"/>
        <v>4C X 4</v>
      </c>
      <c r="Y266" s="343" t="s">
        <v>358</v>
      </c>
      <c r="Z266" s="344">
        <f>IF(T266="AIR",VLOOKUP(W266,'Catalogue Aluminium'!$B$9:$G$93,2,FALSE),IF(T266="GROUND",VLOOKUP(W266,'Catalogue Aluminium'!$B$9:$G$93,3,FALSE),IF(T266="DUCT",VLOOKUP(W266,'Catalogue Aluminium'!$B$9:$G$93,4,FALSE),IF(T266="TRENCH",VLOOKUP(W266,'Catalogue Aluminium'!$B$9:$G$93,2,FALSE)))))</f>
        <v>38</v>
      </c>
      <c r="AA266" s="345">
        <f>VLOOKUP(W266,'Catalogue Aluminium'!$B$9:$G$93,5,FALSE)</f>
        <v>5.9</v>
      </c>
      <c r="AB266" s="345">
        <f>VLOOKUP(W266,'Catalogue Aluminium'!$B$9:$G$93,6,FALSE)</f>
        <v>9.4700000000000006E-2</v>
      </c>
      <c r="AC266" s="343">
        <f t="shared" si="1772"/>
        <v>30</v>
      </c>
      <c r="AD266" s="343">
        <v>0</v>
      </c>
      <c r="AE266" s="343">
        <v>10</v>
      </c>
      <c r="AF266" s="343">
        <v>5</v>
      </c>
      <c r="AG266" s="343">
        <f t="shared" si="1730"/>
        <v>5</v>
      </c>
      <c r="AH266" s="347">
        <f t="shared" si="1758"/>
        <v>50</v>
      </c>
      <c r="AI266" s="344">
        <f>IF(T266="AIR",'Catalogue Aluminium'!$K$9,IF(T266="TRENCH",'Catalogue Aluminium'!$K$12,"NA"))</f>
        <v>0.89</v>
      </c>
      <c r="AJ266" s="342">
        <f>IF(T266="Air",(IF(U266="1C",'Catalogue Aluminium'!$L$9,'Catalogue Aluminium'!$M$9)),IF(T266="DUCT",(IF($U266="1C",'Catalogue Aluminium'!$L$10,'Catalogue Aluminium'!$M$10)),IF(T266="GROUND",(IF($U266="1C",'Catalogue Aluminium'!$L$11,'Catalogue Aluminium'!$M$11)),IF(T266="TRENCH",(IF($U266="1C",'Catalogue Aluminium'!$L$12,'Catalogue Aluminium'!$M$12))))))</f>
        <v>0.66</v>
      </c>
      <c r="AK266" s="344" t="str">
        <f>IF(T266="Air",'Catalogue Aluminium'!$N$9,IF(T266="GROUND",'Catalogue Aluminium'!$N$10,IF(T266="DUCT",'Catalogue Aluminium'!$N$11,IF(T266="TRENCH",'Catalogue Aluminium'!$N$12,"NA"))))</f>
        <v>NA</v>
      </c>
      <c r="AL266" s="344" t="str">
        <f>IF(T266="Air",(IF(U266="1C",'Catalogue Aluminium'!$O$9,'Catalogue Aluminium'!$P$9)),IF(T266="DUCT",(IF($U266="1C",'Catalogue Aluminium'!$O$10,'Catalogue Aluminium'!$P$10)),IF(T266="GROUND",(IF($U266="1C",'Catalogue Aluminium'!$O$11,'Catalogue Aluminium'!$P$11)),IF(T266="TRENCH",(IF($U266="1C",'Catalogue Aluminium'!$O$12,'Catalogue Aluminium'!$P$12))))))</f>
        <v>NA</v>
      </c>
      <c r="AM266" s="344" t="str">
        <f>IF(T266="AIR","NA",IF(T266="TRENCH","NA",IF(T266="DUCT",IF(U266="1C",VLOOKUP(V266,'Catalogue Aluminium'!$Q$9:$S$28,2,FALSE),VLOOKUP(V266,'Catalogue Aluminium'!$Q$9:$S$28,3)),IF(T266="GROUND",IF(U266="1C",VLOOKUP(V266,'Catalogue Aluminium'!$Q$9:$S$28,2,FALSE),VLOOKUP(V266,'Catalogue Aluminium'!$Q$9:$S$28,3))))))</f>
        <v>NA</v>
      </c>
      <c r="AN266" s="351">
        <f t="shared" si="1759"/>
        <v>0.58740000000000003</v>
      </c>
      <c r="AO266" s="350">
        <f t="shared" si="1760"/>
        <v>22.321200000000001</v>
      </c>
      <c r="AP266" s="349">
        <f t="shared" si="1761"/>
        <v>1</v>
      </c>
      <c r="AQ266" s="350" t="str">
        <f t="shared" si="1762"/>
        <v>YES</v>
      </c>
      <c r="AR266" s="351">
        <f t="shared" si="1731"/>
        <v>5.4515628420250067E-2</v>
      </c>
      <c r="AS266" s="343" t="str">
        <f t="shared" si="1732"/>
        <v>YES</v>
      </c>
      <c r="AT266" s="351" t="str">
        <f t="shared" si="1778"/>
        <v>NA</v>
      </c>
      <c r="AU266" s="343" t="str">
        <f t="shared" si="1764"/>
        <v>NA</v>
      </c>
      <c r="AV266" s="354" t="str">
        <f t="shared" si="1765"/>
        <v>1R x 0.6/1kV x 4C x 4 Sqmm</v>
      </c>
      <c r="AW266" s="354" t="str">
        <f t="shared" si="1766"/>
        <v>1R x 0.6/1kV x 4C x 4 Sqmm</v>
      </c>
      <c r="AX266" s="343">
        <f t="shared" si="1779"/>
        <v>50</v>
      </c>
      <c r="AY266" s="355"/>
      <c r="AZ266" s="355">
        <f t="shared" si="1780"/>
        <v>2</v>
      </c>
      <c r="BA266" s="356" t="str">
        <f t="shared" si="1769"/>
        <v/>
      </c>
      <c r="BB266" s="501">
        <f>VLOOKUP(W266,'Catalogue Aluminium'!$B$9:$H$93,7,FALSE)</f>
        <v>16</v>
      </c>
      <c r="BC266" s="328">
        <f t="shared" si="1781"/>
        <v>16</v>
      </c>
      <c r="BE266" s="336"/>
      <c r="BF266" s="336"/>
      <c r="BG266" s="336"/>
      <c r="BH266" s="336"/>
      <c r="BI266" s="336"/>
      <c r="BJ266" s="336"/>
      <c r="BK266" s="336"/>
      <c r="BL266" s="336"/>
      <c r="BM266" s="336"/>
      <c r="BN266" s="336"/>
      <c r="BO266" s="336"/>
      <c r="BP266" s="336"/>
      <c r="BQ266" s="336"/>
      <c r="BR266" s="336"/>
      <c r="BS266" s="336"/>
      <c r="BT266" s="336"/>
      <c r="BU266" s="336"/>
      <c r="BV266" s="336"/>
      <c r="BW266" s="336"/>
      <c r="BX266" s="336"/>
      <c r="BY266" s="336"/>
      <c r="BZ266" s="336"/>
      <c r="CA266" s="336"/>
      <c r="CB266" s="336"/>
      <c r="CC266" s="336"/>
      <c r="CD266" s="336"/>
      <c r="CE266" s="336"/>
      <c r="CF266" s="336"/>
      <c r="CG266" s="336"/>
      <c r="CH266" s="336"/>
      <c r="CI266" s="336"/>
      <c r="CJ266" s="336"/>
      <c r="CK266" s="336"/>
      <c r="CL266" s="336"/>
      <c r="CM266" s="336"/>
      <c r="CN266" s="336"/>
      <c r="CO266" s="336"/>
      <c r="CP266" s="336"/>
      <c r="CQ266" s="336"/>
      <c r="CR266" s="336"/>
      <c r="CS266" s="336"/>
      <c r="CT266" s="336"/>
      <c r="CU266" s="336"/>
      <c r="CV266" s="336"/>
      <c r="CW266" s="336"/>
      <c r="CX266" s="336"/>
      <c r="CY266" s="336"/>
      <c r="CZ266" s="336"/>
      <c r="DA266" s="336"/>
      <c r="DB266" s="336"/>
      <c r="DC266" s="336"/>
      <c r="DD266" s="336"/>
      <c r="DE266" s="336"/>
      <c r="DF266" s="336"/>
      <c r="DG266" s="336"/>
      <c r="DH266" s="336"/>
      <c r="DI266" s="336"/>
      <c r="DJ266" s="336"/>
      <c r="DK266" s="336"/>
      <c r="DL266" s="336"/>
      <c r="DM266" s="336"/>
      <c r="DN266" s="336"/>
      <c r="DO266" s="336"/>
      <c r="DP266" s="336"/>
      <c r="DQ266" s="336"/>
      <c r="DR266" s="336"/>
      <c r="DS266" s="336"/>
      <c r="DT266" s="336"/>
      <c r="DU266" s="336"/>
      <c r="DW266" s="336">
        <f t="shared" si="1733"/>
        <v>0</v>
      </c>
      <c r="DX266" s="336">
        <f t="shared" si="1668"/>
        <v>0</v>
      </c>
      <c r="DY266" s="336">
        <f t="shared" si="1669"/>
        <v>0</v>
      </c>
      <c r="DZ266" s="336">
        <f t="shared" si="1670"/>
        <v>0</v>
      </c>
      <c r="EA266" s="336">
        <f t="shared" si="1671"/>
        <v>0</v>
      </c>
      <c r="EB266" s="336">
        <f t="shared" si="1672"/>
        <v>0</v>
      </c>
      <c r="EC266" s="336">
        <f t="shared" si="1673"/>
        <v>0</v>
      </c>
      <c r="ED266" s="336">
        <f t="shared" si="1674"/>
        <v>0</v>
      </c>
      <c r="EE266" s="336">
        <f t="shared" si="1675"/>
        <v>0</v>
      </c>
      <c r="EF266" s="336">
        <f t="shared" si="1676"/>
        <v>0</v>
      </c>
      <c r="EG266" s="336">
        <f t="shared" si="1677"/>
        <v>0</v>
      </c>
      <c r="EH266" s="336">
        <f t="shared" si="1678"/>
        <v>0</v>
      </c>
      <c r="EI266" s="336">
        <f t="shared" si="1679"/>
        <v>0</v>
      </c>
      <c r="EJ266" s="336">
        <f t="shared" si="1680"/>
        <v>0</v>
      </c>
      <c r="EK266" s="336">
        <f t="shared" si="1681"/>
        <v>0</v>
      </c>
      <c r="EL266" s="336">
        <f t="shared" si="1682"/>
        <v>0</v>
      </c>
      <c r="EM266" s="336">
        <f t="shared" si="1683"/>
        <v>0</v>
      </c>
      <c r="EN266" s="336">
        <f t="shared" si="1684"/>
        <v>0</v>
      </c>
      <c r="EO266" s="336">
        <f t="shared" si="1685"/>
        <v>0</v>
      </c>
      <c r="EP266" s="336">
        <f t="shared" si="1686"/>
        <v>0</v>
      </c>
      <c r="EQ266" s="336">
        <f t="shared" si="1687"/>
        <v>0</v>
      </c>
      <c r="ER266" s="336">
        <f t="shared" si="1688"/>
        <v>0</v>
      </c>
      <c r="ES266" s="336">
        <f t="shared" si="1689"/>
        <v>0</v>
      </c>
      <c r="ET266" s="336">
        <f t="shared" si="1689"/>
        <v>0</v>
      </c>
      <c r="EU266" s="336">
        <f t="shared" si="1690"/>
        <v>0</v>
      </c>
      <c r="EV266" s="336">
        <f t="shared" si="1691"/>
        <v>0</v>
      </c>
      <c r="EW266" s="336">
        <f t="shared" si="1692"/>
        <v>0</v>
      </c>
      <c r="EX266" s="336">
        <f t="shared" si="1693"/>
        <v>0</v>
      </c>
      <c r="EY266" s="336">
        <f t="shared" si="1694"/>
        <v>0</v>
      </c>
      <c r="EZ266" s="336">
        <f t="shared" si="1695"/>
        <v>0</v>
      </c>
      <c r="FA266" s="336">
        <f t="shared" si="1696"/>
        <v>0</v>
      </c>
      <c r="FB266" s="336">
        <f t="shared" si="1697"/>
        <v>0</v>
      </c>
      <c r="FC266" s="336">
        <f t="shared" si="1698"/>
        <v>0</v>
      </c>
      <c r="FD266" s="336">
        <f t="shared" si="1699"/>
        <v>0</v>
      </c>
      <c r="FE266" s="336">
        <f t="shared" si="1700"/>
        <v>0</v>
      </c>
      <c r="FF266" s="336">
        <f t="shared" si="1701"/>
        <v>0</v>
      </c>
      <c r="FG266" s="336">
        <f t="shared" si="1702"/>
        <v>0</v>
      </c>
      <c r="FH266" s="336">
        <f t="shared" si="1703"/>
        <v>0</v>
      </c>
      <c r="FI266" s="336">
        <f t="shared" si="1704"/>
        <v>0</v>
      </c>
      <c r="FJ266" s="336">
        <f t="shared" si="1705"/>
        <v>0</v>
      </c>
      <c r="FK266" s="336">
        <f t="shared" si="1706"/>
        <v>0</v>
      </c>
      <c r="FL266" s="336">
        <f t="shared" si="1707"/>
        <v>0</v>
      </c>
      <c r="FM266" s="336">
        <f t="shared" si="1708"/>
        <v>0</v>
      </c>
      <c r="FN266" s="336">
        <f t="shared" si="1709"/>
        <v>0</v>
      </c>
      <c r="FO266" s="336">
        <f t="shared" si="1710"/>
        <v>0</v>
      </c>
      <c r="FP266" s="336">
        <f t="shared" si="1711"/>
        <v>0</v>
      </c>
      <c r="FQ266" s="336">
        <f t="shared" si="1712"/>
        <v>0</v>
      </c>
      <c r="FR266" s="336">
        <f t="shared" si="1713"/>
        <v>0</v>
      </c>
      <c r="FS266" s="336">
        <f t="shared" si="1714"/>
        <v>0</v>
      </c>
      <c r="FT266" s="336">
        <f t="shared" si="1715"/>
        <v>0</v>
      </c>
      <c r="FU266" s="336">
        <f t="shared" si="1782"/>
        <v>0</v>
      </c>
      <c r="FV266" s="336">
        <f t="shared" si="1783"/>
        <v>0</v>
      </c>
      <c r="FW266" s="336">
        <f t="shared" si="1784"/>
        <v>0</v>
      </c>
      <c r="FX266" s="336">
        <f t="shared" si="1785"/>
        <v>0</v>
      </c>
      <c r="FY266" s="336">
        <f t="shared" si="1734"/>
        <v>0</v>
      </c>
      <c r="FZ266" s="336">
        <f t="shared" si="1735"/>
        <v>0</v>
      </c>
      <c r="GA266" s="336">
        <f t="shared" si="1736"/>
        <v>0</v>
      </c>
      <c r="GB266" s="336">
        <f t="shared" si="1737"/>
        <v>0</v>
      </c>
      <c r="GC266" s="336">
        <f t="shared" si="1738"/>
        <v>0</v>
      </c>
      <c r="GD266" s="336">
        <f t="shared" si="1739"/>
        <v>0</v>
      </c>
      <c r="GE266" s="336">
        <f t="shared" si="1740"/>
        <v>0</v>
      </c>
      <c r="GF266" s="336">
        <f t="shared" si="1741"/>
        <v>0</v>
      </c>
      <c r="GG266" s="336">
        <f t="shared" si="1742"/>
        <v>0</v>
      </c>
      <c r="GH266" s="336">
        <f t="shared" si="1743"/>
        <v>0</v>
      </c>
      <c r="GI266" s="336">
        <f t="shared" si="1744"/>
        <v>0</v>
      </c>
      <c r="GJ266" s="336">
        <f t="shared" si="1745"/>
        <v>0</v>
      </c>
      <c r="GK266" s="336">
        <f t="shared" si="1746"/>
        <v>0</v>
      </c>
      <c r="GL266" s="336">
        <f t="shared" si="1786"/>
        <v>0</v>
      </c>
      <c r="GM266" s="336">
        <f t="shared" si="1747"/>
        <v>0</v>
      </c>
    </row>
    <row r="267" spans="1:195" ht="27.75" customHeight="1">
      <c r="A267" s="337">
        <f t="shared" si="1787"/>
        <v>214</v>
      </c>
      <c r="B267" s="453"/>
      <c r="C267" s="372" t="str">
        <f t="shared" si="1771"/>
        <v>CANTEEN BUILDING HVAC DB</v>
      </c>
      <c r="D267" s="444" t="s">
        <v>1414</v>
      </c>
      <c r="E267" s="569" t="s">
        <v>1413</v>
      </c>
      <c r="F267" s="500"/>
      <c r="G267" s="337" t="s">
        <v>329</v>
      </c>
      <c r="H267" s="583">
        <v>0.25</v>
      </c>
      <c r="I267" s="337" t="s">
        <v>330</v>
      </c>
      <c r="J267" s="585" t="s">
        <v>331</v>
      </c>
      <c r="K267" s="349">
        <v>400</v>
      </c>
      <c r="L267" s="343">
        <v>0.95</v>
      </c>
      <c r="M267" s="350">
        <v>0.85</v>
      </c>
      <c r="N267" s="342">
        <f t="shared" si="1774"/>
        <v>0.44687864206093286</v>
      </c>
      <c r="O267" s="342">
        <f t="shared" si="1756"/>
        <v>0</v>
      </c>
      <c r="P267" s="343" t="str">
        <f t="shared" si="1775"/>
        <v>0.00</v>
      </c>
      <c r="Q267" s="350">
        <v>65</v>
      </c>
      <c r="R267" s="350">
        <v>0</v>
      </c>
      <c r="S267" s="350">
        <f t="shared" si="1776"/>
        <v>0</v>
      </c>
      <c r="T267" s="343" t="s">
        <v>332</v>
      </c>
      <c r="U267" s="350" t="s">
        <v>522</v>
      </c>
      <c r="V267" s="343">
        <v>4</v>
      </c>
      <c r="W267" s="343" t="str">
        <f t="shared" si="1777"/>
        <v>4C X 4</v>
      </c>
      <c r="X267" s="343" t="str">
        <f t="shared" si="1757"/>
        <v>4C X 4</v>
      </c>
      <c r="Y267" s="343" t="s">
        <v>358</v>
      </c>
      <c r="Z267" s="344">
        <f>IF(T267="AIR",VLOOKUP(W267,'Catalogue Aluminium'!$B$9:$G$93,2,FALSE),IF(T267="GROUND",VLOOKUP(W267,'Catalogue Aluminium'!$B$9:$G$93,3,FALSE),IF(T267="DUCT",VLOOKUP(W267,'Catalogue Aluminium'!$B$9:$G$93,4,FALSE),IF(T267="TRENCH",VLOOKUP(W267,'Catalogue Aluminium'!$B$9:$G$93,2,FALSE)))))</f>
        <v>38</v>
      </c>
      <c r="AA267" s="345">
        <f>VLOOKUP(W267,'Catalogue Aluminium'!$B$9:$G$93,5,FALSE)</f>
        <v>5.9</v>
      </c>
      <c r="AB267" s="345">
        <f>VLOOKUP(W267,'Catalogue Aluminium'!$B$9:$G$93,6,FALSE)</f>
        <v>9.4700000000000006E-2</v>
      </c>
      <c r="AC267" s="343">
        <f t="shared" si="1772"/>
        <v>30</v>
      </c>
      <c r="AD267" s="343">
        <v>0</v>
      </c>
      <c r="AE267" s="343">
        <v>10</v>
      </c>
      <c r="AF267" s="343">
        <v>5</v>
      </c>
      <c r="AG267" s="343">
        <f t="shared" si="1730"/>
        <v>5</v>
      </c>
      <c r="AH267" s="347">
        <f t="shared" si="1758"/>
        <v>50</v>
      </c>
      <c r="AI267" s="344">
        <f>IF(T267="AIR",'Catalogue Aluminium'!$K$9,IF(T267="TRENCH",'Catalogue Aluminium'!$K$12,"NA"))</f>
        <v>0.89</v>
      </c>
      <c r="AJ267" s="342">
        <f>IF(T267="Air",(IF(U267="1C",'Catalogue Aluminium'!$L$9,'Catalogue Aluminium'!$M$9)),IF(T267="DUCT",(IF($U267="1C",'Catalogue Aluminium'!$L$10,'Catalogue Aluminium'!$M$10)),IF(T267="GROUND",(IF($U267="1C",'Catalogue Aluminium'!$L$11,'Catalogue Aluminium'!$M$11)),IF(T267="TRENCH",(IF($U267="1C",'Catalogue Aluminium'!$L$12,'Catalogue Aluminium'!$M$12))))))</f>
        <v>0.66</v>
      </c>
      <c r="AK267" s="344" t="str">
        <f>IF(T267="Air",'Catalogue Aluminium'!$N$9,IF(T267="GROUND",'Catalogue Aluminium'!$N$10,IF(T267="DUCT",'Catalogue Aluminium'!$N$11,IF(T267="TRENCH",'Catalogue Aluminium'!$N$12,"NA"))))</f>
        <v>NA</v>
      </c>
      <c r="AL267" s="344" t="str">
        <f>IF(T267="Air",(IF(U267="1C",'Catalogue Aluminium'!$O$9,'Catalogue Aluminium'!$P$9)),IF(T267="DUCT",(IF($U267="1C",'Catalogue Aluminium'!$O$10,'Catalogue Aluminium'!$P$10)),IF(T267="GROUND",(IF($U267="1C",'Catalogue Aluminium'!$O$11,'Catalogue Aluminium'!$P$11)),IF(T267="TRENCH",(IF($U267="1C",'Catalogue Aluminium'!$O$12,'Catalogue Aluminium'!$P$12))))))</f>
        <v>NA</v>
      </c>
      <c r="AM267" s="344" t="str">
        <f>IF(T267="AIR","NA",IF(T267="TRENCH","NA",IF(T267="DUCT",IF(U267="1C",VLOOKUP(V267,'Catalogue Aluminium'!$Q$9:$S$28,2,FALSE),VLOOKUP(V267,'Catalogue Aluminium'!$Q$9:$S$28,3)),IF(T267="GROUND",IF(U267="1C",VLOOKUP(V267,'Catalogue Aluminium'!$Q$9:$S$28,2,FALSE),VLOOKUP(V267,'Catalogue Aluminium'!$Q$9:$S$28,3))))))</f>
        <v>NA</v>
      </c>
      <c r="AN267" s="351">
        <f t="shared" si="1759"/>
        <v>0.58740000000000003</v>
      </c>
      <c r="AO267" s="350">
        <f t="shared" si="1760"/>
        <v>22.321200000000001</v>
      </c>
      <c r="AP267" s="349">
        <f t="shared" si="1761"/>
        <v>1</v>
      </c>
      <c r="AQ267" s="350" t="str">
        <f t="shared" si="1762"/>
        <v>YES</v>
      </c>
      <c r="AR267" s="351">
        <f t="shared" si="1731"/>
        <v>5.4515628420250067E-2</v>
      </c>
      <c r="AS267" s="343" t="str">
        <f t="shared" si="1732"/>
        <v>YES</v>
      </c>
      <c r="AT267" s="351" t="str">
        <f t="shared" si="1778"/>
        <v>NA</v>
      </c>
      <c r="AU267" s="343" t="str">
        <f t="shared" si="1764"/>
        <v>NA</v>
      </c>
      <c r="AV267" s="354" t="str">
        <f t="shared" si="1765"/>
        <v>1R x 0.6/1kV x 4C x 4 Sqmm</v>
      </c>
      <c r="AW267" s="354" t="str">
        <f t="shared" si="1766"/>
        <v>1R x 0.6/1kV x 4C x 4 Sqmm</v>
      </c>
      <c r="AX267" s="343">
        <f t="shared" si="1779"/>
        <v>50</v>
      </c>
      <c r="AY267" s="355"/>
      <c r="AZ267" s="355">
        <f t="shared" si="1780"/>
        <v>2</v>
      </c>
      <c r="BA267" s="356" t="str">
        <f t="shared" si="1769"/>
        <v/>
      </c>
      <c r="BB267" s="501">
        <f>VLOOKUP(W267,'Catalogue Aluminium'!$B$9:$H$93,7,FALSE)</f>
        <v>16</v>
      </c>
      <c r="BC267" s="328">
        <f t="shared" si="1781"/>
        <v>16</v>
      </c>
      <c r="BE267" s="336"/>
      <c r="BF267" s="336"/>
      <c r="BG267" s="336"/>
      <c r="BH267" s="336"/>
      <c r="BI267" s="336"/>
      <c r="BJ267" s="336"/>
      <c r="BK267" s="336"/>
      <c r="BL267" s="336"/>
      <c r="BM267" s="336"/>
      <c r="BN267" s="336"/>
      <c r="BO267" s="336"/>
      <c r="BP267" s="336"/>
      <c r="BQ267" s="336"/>
      <c r="BR267" s="336"/>
      <c r="BS267" s="336"/>
      <c r="BT267" s="336"/>
      <c r="BU267" s="336"/>
      <c r="BV267" s="336"/>
      <c r="BW267" s="336"/>
      <c r="BX267" s="336"/>
      <c r="BY267" s="336"/>
      <c r="BZ267" s="336"/>
      <c r="CA267" s="336"/>
      <c r="CB267" s="336"/>
      <c r="CC267" s="336"/>
      <c r="CD267" s="336"/>
      <c r="CE267" s="336"/>
      <c r="CF267" s="336"/>
      <c r="CG267" s="336"/>
      <c r="CH267" s="336"/>
      <c r="CI267" s="336"/>
      <c r="CJ267" s="336"/>
      <c r="CK267" s="336"/>
      <c r="CL267" s="336"/>
      <c r="CM267" s="336"/>
      <c r="CN267" s="336"/>
      <c r="CO267" s="336"/>
      <c r="CP267" s="336"/>
      <c r="CQ267" s="336"/>
      <c r="CR267" s="336"/>
      <c r="CS267" s="336"/>
      <c r="CT267" s="336"/>
      <c r="CU267" s="336"/>
      <c r="CV267" s="336"/>
      <c r="CW267" s="336"/>
      <c r="CX267" s="336"/>
      <c r="CY267" s="336"/>
      <c r="CZ267" s="336"/>
      <c r="DA267" s="336"/>
      <c r="DB267" s="336"/>
      <c r="DC267" s="336"/>
      <c r="DD267" s="336"/>
      <c r="DE267" s="336"/>
      <c r="DF267" s="336"/>
      <c r="DG267" s="336"/>
      <c r="DH267" s="336"/>
      <c r="DI267" s="336"/>
      <c r="DJ267" s="336"/>
      <c r="DK267" s="336"/>
      <c r="DL267" s="336"/>
      <c r="DM267" s="336"/>
      <c r="DN267" s="336"/>
      <c r="DO267" s="336"/>
      <c r="DP267" s="336"/>
      <c r="DQ267" s="336"/>
      <c r="DR267" s="336"/>
      <c r="DS267" s="336"/>
      <c r="DT267" s="336"/>
      <c r="DU267" s="336"/>
      <c r="DW267" s="336">
        <f t="shared" si="1733"/>
        <v>0</v>
      </c>
      <c r="DX267" s="336">
        <f t="shared" si="1668"/>
        <v>0</v>
      </c>
      <c r="DY267" s="336">
        <f t="shared" si="1669"/>
        <v>0</v>
      </c>
      <c r="DZ267" s="336">
        <f t="shared" si="1670"/>
        <v>0</v>
      </c>
      <c r="EA267" s="336">
        <f t="shared" si="1671"/>
        <v>0</v>
      </c>
      <c r="EB267" s="336">
        <f t="shared" si="1672"/>
        <v>0</v>
      </c>
      <c r="EC267" s="336">
        <f t="shared" si="1673"/>
        <v>0</v>
      </c>
      <c r="ED267" s="336">
        <f t="shared" si="1674"/>
        <v>0</v>
      </c>
      <c r="EE267" s="336">
        <f t="shared" si="1675"/>
        <v>0</v>
      </c>
      <c r="EF267" s="336">
        <f t="shared" si="1676"/>
        <v>0</v>
      </c>
      <c r="EG267" s="336">
        <f t="shared" si="1677"/>
        <v>0</v>
      </c>
      <c r="EH267" s="336">
        <f t="shared" si="1678"/>
        <v>0</v>
      </c>
      <c r="EI267" s="336">
        <f t="shared" si="1679"/>
        <v>0</v>
      </c>
      <c r="EJ267" s="336">
        <f t="shared" si="1680"/>
        <v>0</v>
      </c>
      <c r="EK267" s="336">
        <f t="shared" si="1681"/>
        <v>0</v>
      </c>
      <c r="EL267" s="336">
        <f t="shared" si="1682"/>
        <v>0</v>
      </c>
      <c r="EM267" s="336">
        <f t="shared" si="1683"/>
        <v>0</v>
      </c>
      <c r="EN267" s="336">
        <f t="shared" si="1684"/>
        <v>0</v>
      </c>
      <c r="EO267" s="336">
        <f t="shared" si="1685"/>
        <v>0</v>
      </c>
      <c r="EP267" s="336">
        <f t="shared" si="1686"/>
        <v>0</v>
      </c>
      <c r="EQ267" s="336">
        <f t="shared" si="1687"/>
        <v>0</v>
      </c>
      <c r="ER267" s="336">
        <f t="shared" si="1688"/>
        <v>0</v>
      </c>
      <c r="ES267" s="336">
        <f t="shared" si="1689"/>
        <v>0</v>
      </c>
      <c r="ET267" s="336">
        <f t="shared" si="1689"/>
        <v>0</v>
      </c>
      <c r="EU267" s="336">
        <f t="shared" si="1690"/>
        <v>0</v>
      </c>
      <c r="EV267" s="336">
        <f t="shared" si="1691"/>
        <v>0</v>
      </c>
      <c r="EW267" s="336">
        <f t="shared" si="1692"/>
        <v>0</v>
      </c>
      <c r="EX267" s="336">
        <f t="shared" si="1693"/>
        <v>0</v>
      </c>
      <c r="EY267" s="336">
        <f t="shared" si="1694"/>
        <v>0</v>
      </c>
      <c r="EZ267" s="336">
        <f t="shared" si="1695"/>
        <v>0</v>
      </c>
      <c r="FA267" s="336">
        <f t="shared" si="1696"/>
        <v>0</v>
      </c>
      <c r="FB267" s="336">
        <f t="shared" si="1697"/>
        <v>0</v>
      </c>
      <c r="FC267" s="336">
        <f t="shared" si="1698"/>
        <v>0</v>
      </c>
      <c r="FD267" s="336">
        <f t="shared" si="1699"/>
        <v>0</v>
      </c>
      <c r="FE267" s="336">
        <f t="shared" si="1700"/>
        <v>0</v>
      </c>
      <c r="FF267" s="336">
        <f t="shared" si="1701"/>
        <v>0</v>
      </c>
      <c r="FG267" s="336">
        <f t="shared" si="1702"/>
        <v>0</v>
      </c>
      <c r="FH267" s="336">
        <f t="shared" si="1703"/>
        <v>0</v>
      </c>
      <c r="FI267" s="336">
        <f t="shared" si="1704"/>
        <v>0</v>
      </c>
      <c r="FJ267" s="336">
        <f t="shared" si="1705"/>
        <v>0</v>
      </c>
      <c r="FK267" s="336">
        <f t="shared" si="1706"/>
        <v>0</v>
      </c>
      <c r="FL267" s="336">
        <f t="shared" si="1707"/>
        <v>0</v>
      </c>
      <c r="FM267" s="336">
        <f t="shared" si="1708"/>
        <v>0</v>
      </c>
      <c r="FN267" s="336">
        <f t="shared" si="1709"/>
        <v>0</v>
      </c>
      <c r="FO267" s="336">
        <f t="shared" si="1710"/>
        <v>0</v>
      </c>
      <c r="FP267" s="336">
        <f t="shared" si="1711"/>
        <v>0</v>
      </c>
      <c r="FQ267" s="336">
        <f t="shared" si="1712"/>
        <v>0</v>
      </c>
      <c r="FR267" s="336">
        <f t="shared" si="1713"/>
        <v>0</v>
      </c>
      <c r="FS267" s="336">
        <f t="shared" si="1714"/>
        <v>0</v>
      </c>
      <c r="FT267" s="336">
        <f t="shared" si="1715"/>
        <v>0</v>
      </c>
      <c r="FU267" s="336">
        <f t="shared" si="1782"/>
        <v>0</v>
      </c>
      <c r="FV267" s="336">
        <f t="shared" si="1783"/>
        <v>0</v>
      </c>
      <c r="FW267" s="336">
        <f t="shared" si="1784"/>
        <v>0</v>
      </c>
      <c r="FX267" s="336">
        <f t="shared" si="1785"/>
        <v>0</v>
      </c>
      <c r="FY267" s="336">
        <f t="shared" si="1734"/>
        <v>0</v>
      </c>
      <c r="FZ267" s="336">
        <f t="shared" si="1735"/>
        <v>0</v>
      </c>
      <c r="GA267" s="336">
        <f t="shared" si="1736"/>
        <v>0</v>
      </c>
      <c r="GB267" s="336">
        <f t="shared" si="1737"/>
        <v>0</v>
      </c>
      <c r="GC267" s="336">
        <f t="shared" si="1738"/>
        <v>0</v>
      </c>
      <c r="GD267" s="336">
        <f t="shared" si="1739"/>
        <v>0</v>
      </c>
      <c r="GE267" s="336">
        <f t="shared" si="1740"/>
        <v>0</v>
      </c>
      <c r="GF267" s="336">
        <f t="shared" si="1741"/>
        <v>0</v>
      </c>
      <c r="GG267" s="336">
        <f t="shared" si="1742"/>
        <v>0</v>
      </c>
      <c r="GH267" s="336">
        <f t="shared" si="1743"/>
        <v>0</v>
      </c>
      <c r="GI267" s="336">
        <f t="shared" si="1744"/>
        <v>0</v>
      </c>
      <c r="GJ267" s="336">
        <f t="shared" si="1745"/>
        <v>0</v>
      </c>
      <c r="GK267" s="336">
        <f t="shared" si="1746"/>
        <v>0</v>
      </c>
      <c r="GL267" s="336">
        <f t="shared" si="1786"/>
        <v>0</v>
      </c>
      <c r="GM267" s="336">
        <f t="shared" si="1747"/>
        <v>0</v>
      </c>
    </row>
    <row r="268" spans="1:195" ht="27.75" customHeight="1">
      <c r="A268" s="337">
        <f t="shared" si="1787"/>
        <v>215</v>
      </c>
      <c r="B268" s="453"/>
      <c r="C268" s="372" t="str">
        <f t="shared" si="1771"/>
        <v>CANTEEN BUILDING HVAC DB</v>
      </c>
      <c r="D268" s="444" t="s">
        <v>1415</v>
      </c>
      <c r="E268" s="569"/>
      <c r="F268" s="500"/>
      <c r="G268" s="337" t="s">
        <v>329</v>
      </c>
      <c r="H268" s="583">
        <v>0.25</v>
      </c>
      <c r="I268" s="337" t="s">
        <v>330</v>
      </c>
      <c r="J268" s="349" t="s">
        <v>357</v>
      </c>
      <c r="K268" s="349">
        <v>230</v>
      </c>
      <c r="L268" s="343">
        <v>0.95</v>
      </c>
      <c r="M268" s="350">
        <v>0.85</v>
      </c>
      <c r="N268" s="342">
        <f t="shared" si="1774"/>
        <v>1.3460761879122358</v>
      </c>
      <c r="O268" s="342">
        <f t="shared" si="1756"/>
        <v>0</v>
      </c>
      <c r="P268" s="343" t="str">
        <f t="shared" si="1775"/>
        <v>0.00</v>
      </c>
      <c r="Q268" s="350">
        <v>65</v>
      </c>
      <c r="R268" s="350">
        <v>0</v>
      </c>
      <c r="S268" s="350">
        <f t="shared" si="1776"/>
        <v>0</v>
      </c>
      <c r="T268" s="343" t="s">
        <v>332</v>
      </c>
      <c r="U268" s="350" t="s">
        <v>333</v>
      </c>
      <c r="V268" s="343">
        <v>4</v>
      </c>
      <c r="W268" s="343" t="str">
        <f t="shared" si="1777"/>
        <v>3C X 4</v>
      </c>
      <c r="X268" s="343" t="str">
        <f t="shared" si="1757"/>
        <v>3C X 4</v>
      </c>
      <c r="Y268" s="343" t="s">
        <v>358</v>
      </c>
      <c r="Z268" s="344">
        <f>IF(T268="AIR",VLOOKUP(W268,'Catalogue Aluminium'!$B$9:$G$93,2,FALSE),IF(T268="GROUND",VLOOKUP(W268,'Catalogue Aluminium'!$B$9:$G$93,3,FALSE),IF(T268="DUCT",VLOOKUP(W268,'Catalogue Aluminium'!$B$9:$G$93,4,FALSE),IF(T268="TRENCH",VLOOKUP(W268,'Catalogue Aluminium'!$B$9:$G$93,2,FALSE)))))</f>
        <v>38</v>
      </c>
      <c r="AA268" s="345">
        <f>VLOOKUP(W268,'Catalogue Aluminium'!$B$9:$G$93,5,FALSE)</f>
        <v>5.9</v>
      </c>
      <c r="AB268" s="345">
        <f>VLOOKUP(W268,'Catalogue Aluminium'!$B$9:$G$93,6,FALSE)</f>
        <v>9.4700000000000006E-2</v>
      </c>
      <c r="AC268" s="343">
        <f t="shared" si="1772"/>
        <v>30</v>
      </c>
      <c r="AD268" s="343">
        <v>0</v>
      </c>
      <c r="AE268" s="343">
        <v>10</v>
      </c>
      <c r="AF268" s="343">
        <v>5</v>
      </c>
      <c r="AG268" s="343">
        <f t="shared" si="1730"/>
        <v>5</v>
      </c>
      <c r="AH268" s="347">
        <f t="shared" si="1758"/>
        <v>50</v>
      </c>
      <c r="AI268" s="344">
        <f>IF(T268="AIR",'Catalogue Aluminium'!$K$9,IF(T268="TRENCH",'Catalogue Aluminium'!$K$12,"NA"))</f>
        <v>0.89</v>
      </c>
      <c r="AJ268" s="342">
        <f>IF(T268="Air",(IF(U268="1C",'Catalogue Aluminium'!$L$9,'Catalogue Aluminium'!$M$9)),IF(T268="DUCT",(IF($U268="1C",'Catalogue Aluminium'!$L$10,'Catalogue Aluminium'!$M$10)),IF(T268="GROUND",(IF($U268="1C",'Catalogue Aluminium'!$L$11,'Catalogue Aluminium'!$M$11)),IF(T268="TRENCH",(IF($U268="1C",'Catalogue Aluminium'!$L$12,'Catalogue Aluminium'!$M$12))))))</f>
        <v>0.66</v>
      </c>
      <c r="AK268" s="344" t="str">
        <f>IF(T268="Air",'Catalogue Aluminium'!$N$9,IF(T268="GROUND",'Catalogue Aluminium'!$N$10,IF(T268="DUCT",'Catalogue Aluminium'!$N$11,IF(T268="TRENCH",'Catalogue Aluminium'!$N$12,"NA"))))</f>
        <v>NA</v>
      </c>
      <c r="AL268" s="344" t="str">
        <f>IF(T268="Air",(IF(U268="1C",'Catalogue Aluminium'!$O$9,'Catalogue Aluminium'!$P$9)),IF(T268="DUCT",(IF($U268="1C",'Catalogue Aluminium'!$O$10,'Catalogue Aluminium'!$P$10)),IF(T268="GROUND",(IF($U268="1C",'Catalogue Aluminium'!$O$11,'Catalogue Aluminium'!$P$11)),IF(T268="TRENCH",(IF($U268="1C",'Catalogue Aluminium'!$O$12,'Catalogue Aluminium'!$P$12))))))</f>
        <v>NA</v>
      </c>
      <c r="AM268" s="344" t="str">
        <f>IF(T268="AIR","NA",IF(T268="TRENCH","NA",IF(T268="DUCT",IF(U268="1C",VLOOKUP(V268,'Catalogue Aluminium'!$Q$9:$S$28,2,FALSE),VLOOKUP(V268,'Catalogue Aluminium'!$Q$9:$S$28,3)),IF(T268="GROUND",IF(U268="1C",VLOOKUP(V268,'Catalogue Aluminium'!$Q$9:$S$28,2,FALSE),VLOOKUP(V268,'Catalogue Aluminium'!$Q$9:$S$28,3))))))</f>
        <v>NA</v>
      </c>
      <c r="AN268" s="351">
        <f t="shared" si="1759"/>
        <v>0.58740000000000003</v>
      </c>
      <c r="AO268" s="350">
        <f t="shared" si="1760"/>
        <v>22.321200000000001</v>
      </c>
      <c r="AP268" s="349">
        <f t="shared" si="1761"/>
        <v>1</v>
      </c>
      <c r="AQ268" s="350" t="str">
        <f t="shared" si="1762"/>
        <v>YES</v>
      </c>
      <c r="AR268" s="351">
        <f t="shared" si="1731"/>
        <v>0.28558357179243282</v>
      </c>
      <c r="AS268" s="343" t="str">
        <f t="shared" si="1732"/>
        <v>YES</v>
      </c>
      <c r="AT268" s="351" t="str">
        <f t="shared" si="1778"/>
        <v>NA</v>
      </c>
      <c r="AU268" s="343" t="str">
        <f t="shared" si="1764"/>
        <v>NA</v>
      </c>
      <c r="AV268" s="354" t="str">
        <f t="shared" si="1765"/>
        <v>1R x 0.6/1kV x 3C x 4 Sqmm</v>
      </c>
      <c r="AW268" s="354" t="str">
        <f t="shared" si="1766"/>
        <v>1R x 0.6/1kV x 3C x 4 Sqmm</v>
      </c>
      <c r="AX268" s="343">
        <f>(IF(K268=400,(IF(U268="1C",(4*AH268*AP268),(AH268*AP268))),IF(K268=230,(AH268*AP268))))</f>
        <v>50</v>
      </c>
      <c r="AY268" s="355"/>
      <c r="AZ268" s="355">
        <f t="shared" si="1780"/>
        <v>2</v>
      </c>
      <c r="BA268" s="356" t="str">
        <f t="shared" si="1769"/>
        <v/>
      </c>
      <c r="BB268" s="501">
        <f>VLOOKUP(W268,'Catalogue Aluminium'!$B$9:$H$93,7,FALSE)</f>
        <v>15</v>
      </c>
      <c r="BC268" s="328">
        <f t="shared" si="1781"/>
        <v>15</v>
      </c>
      <c r="BE268" s="336"/>
      <c r="BF268" s="336"/>
      <c r="BG268" s="336"/>
      <c r="BH268" s="336"/>
      <c r="BI268" s="336"/>
      <c r="BJ268" s="336"/>
      <c r="BK268" s="336"/>
      <c r="BL268" s="336"/>
      <c r="BM268" s="336"/>
      <c r="BN268" s="336"/>
      <c r="BO268" s="336"/>
      <c r="BP268" s="336"/>
      <c r="BQ268" s="336"/>
      <c r="BR268" s="336"/>
      <c r="BS268" s="336"/>
      <c r="BT268" s="336"/>
      <c r="BU268" s="336"/>
      <c r="BV268" s="336"/>
      <c r="BW268" s="336"/>
      <c r="BX268" s="336"/>
      <c r="BY268" s="336"/>
      <c r="BZ268" s="336"/>
      <c r="CA268" s="336"/>
      <c r="CB268" s="336"/>
      <c r="CC268" s="336"/>
      <c r="CD268" s="336"/>
      <c r="CE268" s="336"/>
      <c r="CF268" s="336"/>
      <c r="CG268" s="336"/>
      <c r="CH268" s="336"/>
      <c r="CI268" s="336"/>
      <c r="CJ268" s="336"/>
      <c r="CK268" s="336"/>
      <c r="CL268" s="336"/>
      <c r="CM268" s="336"/>
      <c r="CN268" s="336"/>
      <c r="CO268" s="336"/>
      <c r="CP268" s="336"/>
      <c r="CQ268" s="336"/>
      <c r="CR268" s="336"/>
      <c r="CS268" s="336"/>
      <c r="CT268" s="336"/>
      <c r="CU268" s="336"/>
      <c r="CV268" s="336"/>
      <c r="CW268" s="336"/>
      <c r="CX268" s="336"/>
      <c r="CY268" s="336"/>
      <c r="CZ268" s="336"/>
      <c r="DA268" s="336"/>
      <c r="DB268" s="336"/>
      <c r="DC268" s="336"/>
      <c r="DD268" s="336"/>
      <c r="DE268" s="336"/>
      <c r="DF268" s="336"/>
      <c r="DG268" s="336"/>
      <c r="DH268" s="336"/>
      <c r="DI268" s="336"/>
      <c r="DJ268" s="336"/>
      <c r="DK268" s="336"/>
      <c r="DL268" s="336"/>
      <c r="DM268" s="336"/>
      <c r="DN268" s="336"/>
      <c r="DO268" s="336"/>
      <c r="DP268" s="336"/>
      <c r="DQ268" s="336"/>
      <c r="DR268" s="336"/>
      <c r="DS268" s="336"/>
      <c r="DT268" s="336"/>
      <c r="DU268" s="336"/>
      <c r="DW268" s="336">
        <f t="shared" si="1733"/>
        <v>0</v>
      </c>
      <c r="DX268" s="336">
        <f t="shared" si="1668"/>
        <v>0</v>
      </c>
      <c r="DY268" s="336">
        <f t="shared" si="1669"/>
        <v>0</v>
      </c>
      <c r="DZ268" s="336">
        <f t="shared" si="1670"/>
        <v>0</v>
      </c>
      <c r="EA268" s="336">
        <f t="shared" si="1671"/>
        <v>0</v>
      </c>
      <c r="EB268" s="336">
        <f t="shared" si="1672"/>
        <v>0</v>
      </c>
      <c r="EC268" s="336">
        <f t="shared" si="1673"/>
        <v>0</v>
      </c>
      <c r="ED268" s="336">
        <f t="shared" si="1674"/>
        <v>0</v>
      </c>
      <c r="EE268" s="336">
        <f t="shared" si="1675"/>
        <v>0</v>
      </c>
      <c r="EF268" s="336">
        <f t="shared" si="1676"/>
        <v>0</v>
      </c>
      <c r="EG268" s="336">
        <f t="shared" si="1677"/>
        <v>0</v>
      </c>
      <c r="EH268" s="336">
        <f t="shared" si="1678"/>
        <v>0</v>
      </c>
      <c r="EI268" s="336">
        <f t="shared" si="1679"/>
        <v>0</v>
      </c>
      <c r="EJ268" s="336">
        <f t="shared" si="1680"/>
        <v>0</v>
      </c>
      <c r="EK268" s="336">
        <f t="shared" si="1681"/>
        <v>0</v>
      </c>
      <c r="EL268" s="336">
        <f t="shared" si="1682"/>
        <v>0</v>
      </c>
      <c r="EM268" s="336">
        <f t="shared" si="1683"/>
        <v>0</v>
      </c>
      <c r="EN268" s="336">
        <f t="shared" si="1684"/>
        <v>0</v>
      </c>
      <c r="EO268" s="336">
        <f t="shared" si="1685"/>
        <v>0</v>
      </c>
      <c r="EP268" s="336">
        <f t="shared" si="1686"/>
        <v>0</v>
      </c>
      <c r="EQ268" s="336">
        <f t="shared" si="1687"/>
        <v>0</v>
      </c>
      <c r="ER268" s="336">
        <f t="shared" si="1688"/>
        <v>0</v>
      </c>
      <c r="ES268" s="336">
        <f t="shared" si="1689"/>
        <v>0</v>
      </c>
      <c r="ET268" s="336">
        <f t="shared" si="1689"/>
        <v>0</v>
      </c>
      <c r="EU268" s="336">
        <f t="shared" si="1690"/>
        <v>0</v>
      </c>
      <c r="EV268" s="336">
        <f t="shared" si="1691"/>
        <v>0</v>
      </c>
      <c r="EW268" s="336">
        <f t="shared" si="1692"/>
        <v>0</v>
      </c>
      <c r="EX268" s="336">
        <f t="shared" si="1693"/>
        <v>0</v>
      </c>
      <c r="EY268" s="336">
        <f t="shared" si="1694"/>
        <v>0</v>
      </c>
      <c r="EZ268" s="336">
        <f t="shared" si="1695"/>
        <v>0</v>
      </c>
      <c r="FA268" s="336">
        <f t="shared" si="1696"/>
        <v>0</v>
      </c>
      <c r="FB268" s="336">
        <f t="shared" si="1697"/>
        <v>0</v>
      </c>
      <c r="FC268" s="336">
        <f t="shared" si="1698"/>
        <v>0</v>
      </c>
      <c r="FD268" s="336">
        <f t="shared" si="1699"/>
        <v>0</v>
      </c>
      <c r="FE268" s="336">
        <f t="shared" si="1700"/>
        <v>0</v>
      </c>
      <c r="FF268" s="336">
        <f t="shared" si="1701"/>
        <v>0</v>
      </c>
      <c r="FG268" s="336">
        <f t="shared" si="1702"/>
        <v>0</v>
      </c>
      <c r="FH268" s="336">
        <f t="shared" si="1703"/>
        <v>0</v>
      </c>
      <c r="FI268" s="336">
        <f t="shared" si="1704"/>
        <v>0</v>
      </c>
      <c r="FJ268" s="336">
        <f t="shared" si="1705"/>
        <v>0</v>
      </c>
      <c r="FK268" s="336">
        <f t="shared" si="1706"/>
        <v>0</v>
      </c>
      <c r="FL268" s="336">
        <f t="shared" si="1707"/>
        <v>0</v>
      </c>
      <c r="FM268" s="336">
        <f t="shared" si="1708"/>
        <v>0</v>
      </c>
      <c r="FN268" s="336">
        <f t="shared" si="1709"/>
        <v>0</v>
      </c>
      <c r="FO268" s="336">
        <f t="shared" si="1710"/>
        <v>0</v>
      </c>
      <c r="FP268" s="336">
        <f t="shared" si="1711"/>
        <v>0</v>
      </c>
      <c r="FQ268" s="336">
        <f t="shared" si="1712"/>
        <v>0</v>
      </c>
      <c r="FR268" s="336">
        <f t="shared" si="1713"/>
        <v>0</v>
      </c>
      <c r="FS268" s="336">
        <f t="shared" si="1714"/>
        <v>0</v>
      </c>
      <c r="FT268" s="336">
        <f t="shared" si="1715"/>
        <v>0</v>
      </c>
      <c r="FU268" s="336">
        <f t="shared" si="1782"/>
        <v>0</v>
      </c>
      <c r="FV268" s="336">
        <f t="shared" si="1783"/>
        <v>0</v>
      </c>
      <c r="FW268" s="336">
        <f t="shared" si="1784"/>
        <v>0</v>
      </c>
      <c r="FX268" s="336">
        <f t="shared" si="1785"/>
        <v>0</v>
      </c>
      <c r="FY268" s="336">
        <f t="shared" si="1734"/>
        <v>0</v>
      </c>
      <c r="FZ268" s="336">
        <f t="shared" si="1735"/>
        <v>0</v>
      </c>
      <c r="GA268" s="336">
        <f t="shared" si="1736"/>
        <v>0</v>
      </c>
      <c r="GB268" s="336">
        <f t="shared" si="1737"/>
        <v>0</v>
      </c>
      <c r="GC268" s="336">
        <f t="shared" si="1738"/>
        <v>0</v>
      </c>
      <c r="GD268" s="336">
        <f t="shared" si="1739"/>
        <v>0</v>
      </c>
      <c r="GE268" s="336">
        <f t="shared" si="1740"/>
        <v>0</v>
      </c>
      <c r="GF268" s="336">
        <f t="shared" si="1741"/>
        <v>0</v>
      </c>
      <c r="GG268" s="336">
        <f t="shared" si="1742"/>
        <v>0</v>
      </c>
      <c r="GH268" s="336">
        <f t="shared" si="1743"/>
        <v>0</v>
      </c>
      <c r="GI268" s="336">
        <f t="shared" si="1744"/>
        <v>0</v>
      </c>
      <c r="GJ268" s="336">
        <f t="shared" si="1745"/>
        <v>0</v>
      </c>
      <c r="GK268" s="336">
        <f t="shared" si="1746"/>
        <v>0</v>
      </c>
      <c r="GL268" s="336">
        <f t="shared" si="1786"/>
        <v>0</v>
      </c>
      <c r="GM268" s="336">
        <f t="shared" si="1747"/>
        <v>0</v>
      </c>
    </row>
    <row r="269" spans="1:195" ht="27.75" customHeight="1">
      <c r="A269" s="337">
        <f t="shared" si="1787"/>
        <v>216</v>
      </c>
      <c r="B269" s="453"/>
      <c r="C269" s="372" t="str">
        <f t="shared" si="1771"/>
        <v>CANTEEN BUILDING HVAC DB</v>
      </c>
      <c r="D269" s="444" t="s">
        <v>1416</v>
      </c>
      <c r="E269" s="569"/>
      <c r="F269" s="500"/>
      <c r="G269" s="337" t="s">
        <v>329</v>
      </c>
      <c r="H269" s="583">
        <v>0.25</v>
      </c>
      <c r="I269" s="337" t="s">
        <v>330</v>
      </c>
      <c r="J269" s="349" t="s">
        <v>357</v>
      </c>
      <c r="K269" s="349">
        <v>230</v>
      </c>
      <c r="L269" s="343">
        <v>0.95</v>
      </c>
      <c r="M269" s="350">
        <v>0.85</v>
      </c>
      <c r="N269" s="342">
        <f t="shared" si="1774"/>
        <v>1.3460761879122358</v>
      </c>
      <c r="O269" s="342">
        <f t="shared" si="1756"/>
        <v>0</v>
      </c>
      <c r="P269" s="343" t="str">
        <f t="shared" si="1775"/>
        <v>0.00</v>
      </c>
      <c r="Q269" s="350">
        <v>65</v>
      </c>
      <c r="R269" s="350">
        <v>0</v>
      </c>
      <c r="S269" s="350">
        <f t="shared" si="1776"/>
        <v>0</v>
      </c>
      <c r="T269" s="343" t="s">
        <v>332</v>
      </c>
      <c r="U269" s="350" t="s">
        <v>333</v>
      </c>
      <c r="V269" s="343">
        <v>4</v>
      </c>
      <c r="W269" s="343" t="str">
        <f t="shared" si="1777"/>
        <v>3C X 4</v>
      </c>
      <c r="X269" s="343" t="str">
        <f t="shared" si="1757"/>
        <v>3C X 4</v>
      </c>
      <c r="Y269" s="343" t="s">
        <v>358</v>
      </c>
      <c r="Z269" s="344">
        <f>IF(T269="AIR",VLOOKUP(W269,'Catalogue Aluminium'!$B$9:$G$93,2,FALSE),IF(T269="GROUND",VLOOKUP(W269,'Catalogue Aluminium'!$B$9:$G$93,3,FALSE),IF(T269="DUCT",VLOOKUP(W269,'Catalogue Aluminium'!$B$9:$G$93,4,FALSE),IF(T269="TRENCH",VLOOKUP(W269,'Catalogue Aluminium'!$B$9:$G$93,2,FALSE)))))</f>
        <v>38</v>
      </c>
      <c r="AA269" s="345">
        <f>VLOOKUP(W269,'Catalogue Aluminium'!$B$9:$G$93,5,FALSE)</f>
        <v>5.9</v>
      </c>
      <c r="AB269" s="345">
        <f>VLOOKUP(W269,'Catalogue Aluminium'!$B$9:$G$93,6,FALSE)</f>
        <v>9.4700000000000006E-2</v>
      </c>
      <c r="AC269" s="343">
        <f t="shared" si="1772"/>
        <v>30</v>
      </c>
      <c r="AD269" s="343">
        <v>0</v>
      </c>
      <c r="AE269" s="343">
        <v>10</v>
      </c>
      <c r="AF269" s="343">
        <v>5</v>
      </c>
      <c r="AG269" s="343">
        <f t="shared" si="1730"/>
        <v>5</v>
      </c>
      <c r="AH269" s="347">
        <f t="shared" si="1758"/>
        <v>50</v>
      </c>
      <c r="AI269" s="344">
        <f>IF(T269="AIR",'Catalogue Aluminium'!$K$9,IF(T269="TRENCH",'Catalogue Aluminium'!$K$12,"NA"))</f>
        <v>0.89</v>
      </c>
      <c r="AJ269" s="342">
        <f>IF(T269="Air",(IF(U269="1C",'Catalogue Aluminium'!$L$9,'Catalogue Aluminium'!$M$9)),IF(T269="DUCT",(IF($U269="1C",'Catalogue Aluminium'!$L$10,'Catalogue Aluminium'!$M$10)),IF(T269="GROUND",(IF($U269="1C",'Catalogue Aluminium'!$L$11,'Catalogue Aluminium'!$M$11)),IF(T269="TRENCH",(IF($U269="1C",'Catalogue Aluminium'!$L$12,'Catalogue Aluminium'!$M$12))))))</f>
        <v>0.66</v>
      </c>
      <c r="AK269" s="344" t="str">
        <f>IF(T269="Air",'Catalogue Aluminium'!$N$9,IF(T269="GROUND",'Catalogue Aluminium'!$N$10,IF(T269="DUCT",'Catalogue Aluminium'!$N$11,IF(T269="TRENCH",'Catalogue Aluminium'!$N$12,"NA"))))</f>
        <v>NA</v>
      </c>
      <c r="AL269" s="344" t="str">
        <f>IF(T269="Air",(IF(U269="1C",'Catalogue Aluminium'!$O$9,'Catalogue Aluminium'!$P$9)),IF(T269="DUCT",(IF($U269="1C",'Catalogue Aluminium'!$O$10,'Catalogue Aluminium'!$P$10)),IF(T269="GROUND",(IF($U269="1C",'Catalogue Aluminium'!$O$11,'Catalogue Aluminium'!$P$11)),IF(T269="TRENCH",(IF($U269="1C",'Catalogue Aluminium'!$O$12,'Catalogue Aluminium'!$P$12))))))</f>
        <v>NA</v>
      </c>
      <c r="AM269" s="344" t="str">
        <f>IF(T269="AIR","NA",IF(T269="TRENCH","NA",IF(T269="DUCT",IF(U269="1C",VLOOKUP(V269,'Catalogue Aluminium'!$Q$9:$S$28,2,FALSE),VLOOKUP(V269,'Catalogue Aluminium'!$Q$9:$S$28,3)),IF(T269="GROUND",IF(U269="1C",VLOOKUP(V269,'Catalogue Aluminium'!$Q$9:$S$28,2,FALSE),VLOOKUP(V269,'Catalogue Aluminium'!$Q$9:$S$28,3))))))</f>
        <v>NA</v>
      </c>
      <c r="AN269" s="351">
        <f t="shared" si="1759"/>
        <v>0.58740000000000003</v>
      </c>
      <c r="AO269" s="350">
        <f t="shared" si="1760"/>
        <v>22.321200000000001</v>
      </c>
      <c r="AP269" s="349">
        <f t="shared" si="1761"/>
        <v>1</v>
      </c>
      <c r="AQ269" s="350" t="str">
        <f t="shared" si="1762"/>
        <v>YES</v>
      </c>
      <c r="AR269" s="351">
        <f t="shared" si="1731"/>
        <v>0.28558357179243282</v>
      </c>
      <c r="AS269" s="343" t="str">
        <f t="shared" si="1732"/>
        <v>YES</v>
      </c>
      <c r="AT269" s="351" t="str">
        <f t="shared" si="1778"/>
        <v>NA</v>
      </c>
      <c r="AU269" s="343" t="str">
        <f t="shared" si="1764"/>
        <v>NA</v>
      </c>
      <c r="AV269" s="354" t="str">
        <f t="shared" si="1765"/>
        <v>1R x 0.6/1kV x 3C x 4 Sqmm</v>
      </c>
      <c r="AW269" s="354" t="str">
        <f t="shared" si="1766"/>
        <v>1R x 0.6/1kV x 3C x 4 Sqmm</v>
      </c>
      <c r="AX269" s="343">
        <f t="shared" si="1779"/>
        <v>50</v>
      </c>
      <c r="AY269" s="355"/>
      <c r="AZ269" s="355">
        <f t="shared" si="1780"/>
        <v>2</v>
      </c>
      <c r="BA269" s="356" t="str">
        <f t="shared" si="1769"/>
        <v/>
      </c>
      <c r="BB269" s="501">
        <f>VLOOKUP(W269,'Catalogue Aluminium'!$B$9:$H$93,7,FALSE)</f>
        <v>15</v>
      </c>
      <c r="BC269" s="328">
        <f t="shared" si="1781"/>
        <v>15</v>
      </c>
      <c r="BE269" s="336"/>
      <c r="BF269" s="336"/>
      <c r="BG269" s="336"/>
      <c r="BH269" s="336"/>
      <c r="BI269" s="336"/>
      <c r="BJ269" s="336"/>
      <c r="BK269" s="336"/>
      <c r="BL269" s="336"/>
      <c r="BM269" s="336"/>
      <c r="BN269" s="336"/>
      <c r="BO269" s="336"/>
      <c r="BP269" s="336"/>
      <c r="BQ269" s="336"/>
      <c r="BR269" s="336"/>
      <c r="BS269" s="336"/>
      <c r="BT269" s="336"/>
      <c r="BU269" s="336"/>
      <c r="BV269" s="336"/>
      <c r="BW269" s="336"/>
      <c r="BX269" s="336"/>
      <c r="BY269" s="336"/>
      <c r="BZ269" s="336"/>
      <c r="CA269" s="336"/>
      <c r="CB269" s="336"/>
      <c r="CC269" s="336"/>
      <c r="CD269" s="336"/>
      <c r="CE269" s="336"/>
      <c r="CF269" s="336"/>
      <c r="CG269" s="336"/>
      <c r="CH269" s="336"/>
      <c r="CI269" s="336"/>
      <c r="CJ269" s="336"/>
      <c r="CK269" s="336"/>
      <c r="CL269" s="336"/>
      <c r="CM269" s="336"/>
      <c r="CN269" s="336"/>
      <c r="CO269" s="336"/>
      <c r="CP269" s="336"/>
      <c r="CQ269" s="336"/>
      <c r="CR269" s="336"/>
      <c r="CS269" s="336"/>
      <c r="CT269" s="336"/>
      <c r="CU269" s="336"/>
      <c r="CV269" s="336"/>
      <c r="CW269" s="336"/>
      <c r="CX269" s="336"/>
      <c r="CY269" s="336"/>
      <c r="CZ269" s="336"/>
      <c r="DA269" s="336"/>
      <c r="DB269" s="336"/>
      <c r="DC269" s="336"/>
      <c r="DD269" s="336"/>
      <c r="DE269" s="336"/>
      <c r="DF269" s="336"/>
      <c r="DG269" s="336"/>
      <c r="DH269" s="336"/>
      <c r="DI269" s="336"/>
      <c r="DJ269" s="336"/>
      <c r="DK269" s="336"/>
      <c r="DL269" s="336"/>
      <c r="DM269" s="336"/>
      <c r="DN269" s="336"/>
      <c r="DO269" s="336"/>
      <c r="DP269" s="336"/>
      <c r="DQ269" s="336"/>
      <c r="DR269" s="336"/>
      <c r="DS269" s="336"/>
      <c r="DT269" s="336"/>
      <c r="DU269" s="336"/>
      <c r="DW269" s="336">
        <f t="shared" si="1733"/>
        <v>0</v>
      </c>
      <c r="DX269" s="336">
        <f t="shared" si="1668"/>
        <v>0</v>
      </c>
      <c r="DY269" s="336">
        <f t="shared" si="1669"/>
        <v>0</v>
      </c>
      <c r="DZ269" s="336">
        <f t="shared" si="1670"/>
        <v>0</v>
      </c>
      <c r="EA269" s="336">
        <f t="shared" si="1671"/>
        <v>0</v>
      </c>
      <c r="EB269" s="336">
        <f t="shared" si="1672"/>
        <v>0</v>
      </c>
      <c r="EC269" s="336">
        <f t="shared" si="1673"/>
        <v>0</v>
      </c>
      <c r="ED269" s="336">
        <f t="shared" si="1674"/>
        <v>0</v>
      </c>
      <c r="EE269" s="336">
        <f t="shared" si="1675"/>
        <v>0</v>
      </c>
      <c r="EF269" s="336">
        <f t="shared" si="1676"/>
        <v>0</v>
      </c>
      <c r="EG269" s="336">
        <f t="shared" si="1677"/>
        <v>0</v>
      </c>
      <c r="EH269" s="336">
        <f t="shared" si="1678"/>
        <v>0</v>
      </c>
      <c r="EI269" s="336">
        <f t="shared" si="1679"/>
        <v>0</v>
      </c>
      <c r="EJ269" s="336">
        <f t="shared" si="1680"/>
        <v>0</v>
      </c>
      <c r="EK269" s="336">
        <f t="shared" si="1681"/>
        <v>0</v>
      </c>
      <c r="EL269" s="336">
        <f t="shared" si="1682"/>
        <v>0</v>
      </c>
      <c r="EM269" s="336">
        <f t="shared" si="1683"/>
        <v>0</v>
      </c>
      <c r="EN269" s="336">
        <f t="shared" si="1684"/>
        <v>0</v>
      </c>
      <c r="EO269" s="336">
        <f t="shared" si="1685"/>
        <v>0</v>
      </c>
      <c r="EP269" s="336">
        <f t="shared" si="1686"/>
        <v>0</v>
      </c>
      <c r="EQ269" s="336">
        <f t="shared" si="1687"/>
        <v>0</v>
      </c>
      <c r="ER269" s="336">
        <f t="shared" si="1688"/>
        <v>0</v>
      </c>
      <c r="ES269" s="336">
        <f t="shared" si="1689"/>
        <v>0</v>
      </c>
      <c r="ET269" s="336">
        <f t="shared" si="1689"/>
        <v>0</v>
      </c>
      <c r="EU269" s="336">
        <f t="shared" si="1690"/>
        <v>0</v>
      </c>
      <c r="EV269" s="336">
        <f t="shared" si="1691"/>
        <v>0</v>
      </c>
      <c r="EW269" s="336">
        <f t="shared" si="1692"/>
        <v>0</v>
      </c>
      <c r="EX269" s="336">
        <f t="shared" si="1693"/>
        <v>0</v>
      </c>
      <c r="EY269" s="336">
        <f t="shared" si="1694"/>
        <v>0</v>
      </c>
      <c r="EZ269" s="336">
        <f t="shared" si="1695"/>
        <v>0</v>
      </c>
      <c r="FA269" s="336">
        <f t="shared" si="1696"/>
        <v>0</v>
      </c>
      <c r="FB269" s="336">
        <f t="shared" si="1697"/>
        <v>0</v>
      </c>
      <c r="FC269" s="336">
        <f t="shared" si="1698"/>
        <v>0</v>
      </c>
      <c r="FD269" s="336">
        <f t="shared" si="1699"/>
        <v>0</v>
      </c>
      <c r="FE269" s="336">
        <f t="shared" si="1700"/>
        <v>0</v>
      </c>
      <c r="FF269" s="336">
        <f t="shared" si="1701"/>
        <v>0</v>
      </c>
      <c r="FG269" s="336">
        <f t="shared" si="1702"/>
        <v>0</v>
      </c>
      <c r="FH269" s="336">
        <f t="shared" si="1703"/>
        <v>0</v>
      </c>
      <c r="FI269" s="336">
        <f t="shared" si="1704"/>
        <v>0</v>
      </c>
      <c r="FJ269" s="336">
        <f t="shared" si="1705"/>
        <v>0</v>
      </c>
      <c r="FK269" s="336">
        <f t="shared" si="1706"/>
        <v>0</v>
      </c>
      <c r="FL269" s="336">
        <f t="shared" si="1707"/>
        <v>0</v>
      </c>
      <c r="FM269" s="336">
        <f t="shared" si="1708"/>
        <v>0</v>
      </c>
      <c r="FN269" s="336">
        <f t="shared" si="1709"/>
        <v>0</v>
      </c>
      <c r="FO269" s="336">
        <f t="shared" si="1710"/>
        <v>0</v>
      </c>
      <c r="FP269" s="336">
        <f t="shared" si="1711"/>
        <v>0</v>
      </c>
      <c r="FQ269" s="336">
        <f t="shared" si="1712"/>
        <v>0</v>
      </c>
      <c r="FR269" s="336">
        <f t="shared" si="1713"/>
        <v>0</v>
      </c>
      <c r="FS269" s="336">
        <f t="shared" si="1714"/>
        <v>0</v>
      </c>
      <c r="FT269" s="336">
        <f t="shared" si="1715"/>
        <v>0</v>
      </c>
      <c r="FU269" s="336">
        <f t="shared" si="1782"/>
        <v>0</v>
      </c>
      <c r="FV269" s="336">
        <f t="shared" si="1783"/>
        <v>0</v>
      </c>
      <c r="FW269" s="336">
        <f t="shared" si="1784"/>
        <v>0</v>
      </c>
      <c r="FX269" s="336">
        <f t="shared" si="1785"/>
        <v>0</v>
      </c>
      <c r="FY269" s="336">
        <f t="shared" si="1734"/>
        <v>0</v>
      </c>
      <c r="FZ269" s="336">
        <f t="shared" si="1735"/>
        <v>0</v>
      </c>
      <c r="GA269" s="336">
        <f t="shared" si="1736"/>
        <v>0</v>
      </c>
      <c r="GB269" s="336">
        <f t="shared" si="1737"/>
        <v>0</v>
      </c>
      <c r="GC269" s="336">
        <f t="shared" si="1738"/>
        <v>0</v>
      </c>
      <c r="GD269" s="336">
        <f t="shared" si="1739"/>
        <v>0</v>
      </c>
      <c r="GE269" s="336">
        <f t="shared" si="1740"/>
        <v>0</v>
      </c>
      <c r="GF269" s="336">
        <f t="shared" si="1741"/>
        <v>0</v>
      </c>
      <c r="GG269" s="336">
        <f t="shared" si="1742"/>
        <v>0</v>
      </c>
      <c r="GH269" s="336">
        <f t="shared" si="1743"/>
        <v>0</v>
      </c>
      <c r="GI269" s="336">
        <f t="shared" si="1744"/>
        <v>0</v>
      </c>
      <c r="GJ269" s="336">
        <f t="shared" si="1745"/>
        <v>0</v>
      </c>
      <c r="GK269" s="336">
        <f t="shared" si="1746"/>
        <v>0</v>
      </c>
      <c r="GL269" s="336">
        <f t="shared" si="1786"/>
        <v>0</v>
      </c>
      <c r="GM269" s="336">
        <f t="shared" si="1747"/>
        <v>0</v>
      </c>
    </row>
    <row r="270" spans="1:195" ht="27.75" customHeight="1">
      <c r="A270" s="337">
        <f t="shared" si="1787"/>
        <v>217</v>
      </c>
      <c r="B270" s="453" t="s">
        <v>1189</v>
      </c>
      <c r="C270" s="372" t="str">
        <f>$C$85</f>
        <v>PDB-2</v>
      </c>
      <c r="D270" s="440" t="s">
        <v>1417</v>
      </c>
      <c r="E270" s="569"/>
      <c r="F270" s="500"/>
      <c r="G270" s="337" t="s">
        <v>337</v>
      </c>
      <c r="H270" s="350">
        <v>29.694736842105275</v>
      </c>
      <c r="I270" s="337" t="s">
        <v>330</v>
      </c>
      <c r="J270" s="349" t="s">
        <v>331</v>
      </c>
      <c r="K270" s="349">
        <v>400</v>
      </c>
      <c r="L270" s="343">
        <v>0.95</v>
      </c>
      <c r="M270" s="350">
        <v>0.85</v>
      </c>
      <c r="N270" s="342">
        <f t="shared" si="1774"/>
        <v>53.079774705427035</v>
      </c>
      <c r="O270" s="926"/>
      <c r="P270" s="927"/>
      <c r="Q270" s="927"/>
      <c r="R270" s="927"/>
      <c r="S270" s="927"/>
      <c r="T270" s="927"/>
      <c r="U270" s="927"/>
      <c r="V270" s="927"/>
      <c r="W270" s="927"/>
      <c r="X270" s="927"/>
      <c r="Y270" s="927"/>
      <c r="Z270" s="927"/>
      <c r="AA270" s="927"/>
      <c r="AB270" s="927"/>
      <c r="AC270" s="927"/>
      <c r="AD270" s="927"/>
      <c r="AE270" s="927"/>
      <c r="AF270" s="927"/>
      <c r="AG270" s="927"/>
      <c r="AH270" s="927"/>
      <c r="AI270" s="927"/>
      <c r="AJ270" s="927"/>
      <c r="AK270" s="927"/>
      <c r="AL270" s="927"/>
      <c r="AM270" s="927"/>
      <c r="AN270" s="927"/>
      <c r="AO270" s="927"/>
      <c r="AP270" s="927"/>
      <c r="AQ270" s="927"/>
      <c r="AR270" s="927"/>
      <c r="AS270" s="927"/>
      <c r="AT270" s="927"/>
      <c r="AU270" s="927"/>
      <c r="AV270" s="927"/>
      <c r="AW270" s="927"/>
      <c r="AX270" s="927"/>
      <c r="AY270" s="927"/>
      <c r="AZ270" s="927"/>
      <c r="BA270" s="927"/>
      <c r="BB270" s="927"/>
      <c r="BC270" s="1020"/>
      <c r="BE270" s="336"/>
      <c r="BF270" s="336"/>
      <c r="BG270" s="336"/>
      <c r="BH270" s="336"/>
      <c r="BI270" s="336"/>
      <c r="BJ270" s="336"/>
      <c r="BK270" s="336"/>
      <c r="BL270" s="336"/>
      <c r="BM270" s="336"/>
      <c r="BN270" s="336"/>
      <c r="BO270" s="336"/>
      <c r="BP270" s="336"/>
      <c r="BQ270" s="336"/>
      <c r="BR270" s="336"/>
      <c r="BS270" s="336"/>
      <c r="BT270" s="336"/>
      <c r="BU270" s="336"/>
      <c r="BV270" s="336"/>
      <c r="BW270" s="336"/>
      <c r="BX270" s="336"/>
      <c r="BY270" s="336"/>
      <c r="BZ270" s="336"/>
      <c r="CA270" s="336"/>
      <c r="CB270" s="336"/>
      <c r="CC270" s="336"/>
      <c r="CD270" s="336"/>
      <c r="CE270" s="336"/>
      <c r="CF270" s="336"/>
      <c r="CG270" s="336"/>
      <c r="CH270" s="336"/>
      <c r="CI270" s="336"/>
      <c r="CJ270" s="336"/>
      <c r="CK270" s="336"/>
      <c r="CL270" s="336"/>
      <c r="CM270" s="336"/>
      <c r="CN270" s="336"/>
      <c r="CO270" s="336"/>
      <c r="CP270" s="336"/>
      <c r="CQ270" s="336"/>
      <c r="CR270" s="336"/>
      <c r="CS270" s="336"/>
      <c r="CT270" s="336"/>
      <c r="CU270" s="336"/>
      <c r="CV270" s="336"/>
      <c r="CW270" s="336"/>
      <c r="CX270" s="336"/>
      <c r="CY270" s="336"/>
      <c r="CZ270" s="336"/>
      <c r="DA270" s="336"/>
      <c r="DB270" s="336"/>
      <c r="DC270" s="336"/>
      <c r="DD270" s="336"/>
      <c r="DE270" s="336"/>
      <c r="DF270" s="336"/>
      <c r="DG270" s="336"/>
      <c r="DH270" s="336"/>
      <c r="DI270" s="336"/>
      <c r="DJ270" s="336"/>
      <c r="DK270" s="336"/>
      <c r="DL270" s="336"/>
      <c r="DM270" s="336"/>
      <c r="DN270" s="336"/>
      <c r="DO270" s="336"/>
      <c r="DP270" s="336"/>
      <c r="DQ270" s="336"/>
      <c r="DR270" s="336"/>
      <c r="DS270" s="336"/>
      <c r="DT270" s="336"/>
      <c r="DU270" s="336"/>
      <c r="DW270" s="336">
        <f t="shared" si="1733"/>
        <v>0</v>
      </c>
      <c r="DX270" s="336">
        <f t="shared" si="1668"/>
        <v>0</v>
      </c>
      <c r="DY270" s="336">
        <f t="shared" si="1669"/>
        <v>0</v>
      </c>
      <c r="DZ270" s="336">
        <f t="shared" si="1670"/>
        <v>0</v>
      </c>
      <c r="EA270" s="336">
        <f t="shared" si="1671"/>
        <v>0</v>
      </c>
      <c r="EB270" s="336">
        <f t="shared" si="1672"/>
        <v>0</v>
      </c>
      <c r="EC270" s="336">
        <f t="shared" si="1673"/>
        <v>0</v>
      </c>
      <c r="ED270" s="336">
        <f t="shared" si="1674"/>
        <v>0</v>
      </c>
      <c r="EE270" s="336">
        <f t="shared" si="1675"/>
        <v>0</v>
      </c>
      <c r="EF270" s="336">
        <f t="shared" si="1676"/>
        <v>0</v>
      </c>
      <c r="EG270" s="336">
        <f t="shared" si="1677"/>
        <v>0</v>
      </c>
      <c r="EH270" s="336">
        <f t="shared" si="1678"/>
        <v>0</v>
      </c>
      <c r="EI270" s="336">
        <f t="shared" si="1679"/>
        <v>0</v>
      </c>
      <c r="EJ270" s="336">
        <f t="shared" si="1680"/>
        <v>0</v>
      </c>
      <c r="EK270" s="336">
        <f t="shared" si="1681"/>
        <v>0</v>
      </c>
      <c r="EL270" s="336">
        <f t="shared" si="1682"/>
        <v>0</v>
      </c>
      <c r="EM270" s="336">
        <f t="shared" si="1683"/>
        <v>0</v>
      </c>
      <c r="EN270" s="336">
        <f t="shared" si="1684"/>
        <v>0</v>
      </c>
      <c r="EO270" s="336">
        <f t="shared" si="1685"/>
        <v>0</v>
      </c>
      <c r="EP270" s="336">
        <f t="shared" si="1686"/>
        <v>0</v>
      </c>
      <c r="EQ270" s="336">
        <f t="shared" si="1687"/>
        <v>0</v>
      </c>
      <c r="ER270" s="336">
        <f t="shared" si="1688"/>
        <v>0</v>
      </c>
      <c r="ES270" s="336">
        <f t="shared" si="1689"/>
        <v>0</v>
      </c>
      <c r="ET270" s="336">
        <f t="shared" si="1689"/>
        <v>0</v>
      </c>
      <c r="EU270" s="336">
        <f t="shared" si="1690"/>
        <v>0</v>
      </c>
      <c r="EV270" s="336">
        <f t="shared" si="1691"/>
        <v>0</v>
      </c>
      <c r="EW270" s="336">
        <f t="shared" si="1692"/>
        <v>0</v>
      </c>
      <c r="EX270" s="336">
        <f t="shared" si="1693"/>
        <v>0</v>
      </c>
      <c r="EY270" s="336">
        <f t="shared" si="1694"/>
        <v>0</v>
      </c>
      <c r="EZ270" s="336">
        <f t="shared" si="1695"/>
        <v>0</v>
      </c>
      <c r="FA270" s="336">
        <f t="shared" si="1696"/>
        <v>0</v>
      </c>
      <c r="FB270" s="336">
        <f t="shared" si="1697"/>
        <v>0</v>
      </c>
      <c r="FC270" s="336">
        <f t="shared" si="1698"/>
        <v>0</v>
      </c>
      <c r="FD270" s="336">
        <f t="shared" si="1699"/>
        <v>0</v>
      </c>
      <c r="FE270" s="336">
        <f t="shared" si="1700"/>
        <v>0</v>
      </c>
      <c r="FF270" s="336">
        <f t="shared" si="1701"/>
        <v>0</v>
      </c>
      <c r="FG270" s="336">
        <f t="shared" si="1702"/>
        <v>0</v>
      </c>
      <c r="FH270" s="336">
        <f t="shared" si="1703"/>
        <v>0</v>
      </c>
      <c r="FI270" s="336">
        <f t="shared" si="1704"/>
        <v>0</v>
      </c>
      <c r="FJ270" s="336">
        <f t="shared" si="1705"/>
        <v>0</v>
      </c>
      <c r="FK270" s="336">
        <f t="shared" si="1706"/>
        <v>0</v>
      </c>
      <c r="FL270" s="336">
        <f t="shared" si="1707"/>
        <v>0</v>
      </c>
      <c r="FM270" s="336">
        <f t="shared" si="1708"/>
        <v>0</v>
      </c>
      <c r="FN270" s="336">
        <f t="shared" si="1709"/>
        <v>0</v>
      </c>
      <c r="FO270" s="336">
        <f t="shared" si="1710"/>
        <v>0</v>
      </c>
      <c r="FP270" s="336">
        <f t="shared" si="1711"/>
        <v>0</v>
      </c>
      <c r="FQ270" s="336">
        <f t="shared" si="1712"/>
        <v>0</v>
      </c>
      <c r="FR270" s="336">
        <f t="shared" si="1713"/>
        <v>0</v>
      </c>
      <c r="FS270" s="336">
        <f t="shared" si="1714"/>
        <v>0</v>
      </c>
      <c r="FT270" s="336">
        <f t="shared" si="1715"/>
        <v>0</v>
      </c>
      <c r="FU270" s="336">
        <f t="shared" si="1782"/>
        <v>0</v>
      </c>
      <c r="FV270" s="336">
        <f t="shared" si="1783"/>
        <v>0</v>
      </c>
      <c r="FW270" s="336">
        <f t="shared" si="1784"/>
        <v>0</v>
      </c>
      <c r="FX270" s="336">
        <f t="shared" si="1785"/>
        <v>0</v>
      </c>
      <c r="FY270" s="336">
        <f t="shared" si="1734"/>
        <v>0</v>
      </c>
      <c r="FZ270" s="336">
        <f t="shared" si="1735"/>
        <v>0</v>
      </c>
      <c r="GA270" s="336">
        <f t="shared" si="1736"/>
        <v>0</v>
      </c>
      <c r="GB270" s="336">
        <f t="shared" si="1737"/>
        <v>0</v>
      </c>
      <c r="GC270" s="336">
        <f t="shared" si="1738"/>
        <v>0</v>
      </c>
      <c r="GD270" s="336">
        <f t="shared" si="1739"/>
        <v>0</v>
      </c>
      <c r="GE270" s="336">
        <f t="shared" si="1740"/>
        <v>0</v>
      </c>
      <c r="GF270" s="336">
        <f t="shared" si="1741"/>
        <v>0</v>
      </c>
      <c r="GG270" s="336">
        <f t="shared" si="1742"/>
        <v>0</v>
      </c>
      <c r="GH270" s="336">
        <f t="shared" si="1743"/>
        <v>0</v>
      </c>
      <c r="GI270" s="336">
        <f t="shared" si="1744"/>
        <v>0</v>
      </c>
      <c r="GJ270" s="336">
        <f t="shared" si="1745"/>
        <v>0</v>
      </c>
      <c r="GK270" s="336">
        <f t="shared" si="1746"/>
        <v>0</v>
      </c>
      <c r="GL270" s="336">
        <f t="shared" si="1786"/>
        <v>0</v>
      </c>
      <c r="GM270" s="336">
        <f t="shared" si="1747"/>
        <v>0</v>
      </c>
    </row>
    <row r="271" spans="1:195" s="60" customFormat="1" ht="33.75" customHeight="1">
      <c r="A271" s="710"/>
      <c r="B271" s="710"/>
      <c r="C271" s="711"/>
      <c r="D271" s="477" t="s">
        <v>1418</v>
      </c>
      <c r="E271" s="712"/>
      <c r="F271" s="710"/>
      <c r="G271" s="713"/>
      <c r="H271" s="714"/>
      <c r="I271" s="715"/>
      <c r="J271" s="715"/>
      <c r="K271" s="715"/>
      <c r="L271" s="714"/>
      <c r="M271" s="714"/>
      <c r="N271" s="716"/>
      <c r="O271" s="716"/>
      <c r="P271" s="717"/>
      <c r="Q271" s="714"/>
      <c r="R271" s="714"/>
      <c r="S271" s="714"/>
      <c r="T271" s="717"/>
      <c r="U271" s="714"/>
      <c r="V271" s="717"/>
      <c r="W271" s="717"/>
      <c r="X271" s="717"/>
      <c r="Y271" s="717"/>
      <c r="Z271" s="718"/>
      <c r="AA271" s="719"/>
      <c r="AB271" s="719"/>
      <c r="AC271" s="719"/>
      <c r="AD271" s="719"/>
      <c r="AE271" s="719"/>
      <c r="AF271" s="719"/>
      <c r="AG271" s="719"/>
      <c r="AH271" s="720"/>
      <c r="AI271" s="718"/>
      <c r="AJ271" s="716"/>
      <c r="AK271" s="718"/>
      <c r="AL271" s="718"/>
      <c r="AM271" s="718"/>
      <c r="AN271" s="721"/>
      <c r="AO271" s="714"/>
      <c r="AP271" s="722"/>
      <c r="AQ271" s="714"/>
      <c r="AR271" s="721"/>
      <c r="AS271" s="717"/>
      <c r="AT271" s="721"/>
      <c r="AU271" s="721"/>
      <c r="AV271" s="723"/>
      <c r="AW271" s="723"/>
      <c r="AX271" s="717"/>
      <c r="AY271" s="724"/>
      <c r="AZ271" s="724"/>
      <c r="BA271" s="724"/>
      <c r="BB271" s="753"/>
      <c r="BC271" s="754"/>
      <c r="BE271" s="336"/>
      <c r="BF271" s="336"/>
      <c r="BG271" s="336"/>
      <c r="BH271" s="336"/>
      <c r="BI271" s="336"/>
      <c r="BJ271" s="336"/>
      <c r="BK271" s="336"/>
      <c r="BL271" s="336"/>
      <c r="BM271" s="336"/>
      <c r="BN271" s="336"/>
      <c r="BO271" s="336"/>
      <c r="BP271" s="336"/>
      <c r="BQ271" s="336"/>
      <c r="BR271" s="336"/>
      <c r="BS271" s="336"/>
      <c r="BT271" s="336"/>
      <c r="BU271" s="336"/>
      <c r="BV271" s="336"/>
      <c r="BW271" s="336"/>
      <c r="BX271" s="336"/>
      <c r="BY271" s="336"/>
      <c r="BZ271" s="336"/>
      <c r="CA271" s="336"/>
      <c r="CB271" s="336"/>
      <c r="CC271" s="336"/>
      <c r="CD271" s="336"/>
      <c r="CE271" s="336"/>
      <c r="CF271" s="336"/>
      <c r="CG271" s="336"/>
      <c r="CH271" s="336"/>
      <c r="CI271" s="336"/>
      <c r="CJ271" s="336"/>
      <c r="CK271" s="336"/>
      <c r="CL271" s="336"/>
      <c r="CM271" s="336"/>
      <c r="CN271" s="336"/>
      <c r="CO271" s="336"/>
      <c r="CP271" s="336"/>
      <c r="CQ271" s="336"/>
      <c r="CR271" s="336"/>
      <c r="CS271" s="336"/>
      <c r="CT271" s="336"/>
      <c r="CU271" s="336"/>
      <c r="CV271" s="336"/>
      <c r="CW271" s="336"/>
      <c r="CX271" s="336"/>
      <c r="CY271" s="336"/>
      <c r="CZ271" s="784"/>
      <c r="DA271" s="784"/>
      <c r="DB271" s="784"/>
      <c r="DC271" s="784"/>
      <c r="DD271" s="784"/>
      <c r="DE271" s="784"/>
      <c r="DF271" s="784"/>
      <c r="DG271" s="784"/>
      <c r="DH271" s="784"/>
      <c r="DI271" s="784"/>
      <c r="DJ271" s="784"/>
      <c r="DK271" s="784"/>
      <c r="DL271" s="784"/>
      <c r="DM271" s="784"/>
      <c r="DN271" s="784"/>
      <c r="DO271" s="784"/>
      <c r="DP271" s="784"/>
      <c r="DQ271" s="785"/>
      <c r="DR271" s="784"/>
      <c r="DS271" s="784"/>
      <c r="DT271" s="784"/>
      <c r="DU271" s="785"/>
      <c r="DV271" s="61"/>
      <c r="DW271" s="336">
        <f t="shared" si="1733"/>
        <v>0</v>
      </c>
      <c r="DX271" s="336">
        <f t="shared" si="1668"/>
        <v>0</v>
      </c>
      <c r="DY271" s="336">
        <f t="shared" si="1669"/>
        <v>0</v>
      </c>
      <c r="DZ271" s="336">
        <f t="shared" si="1670"/>
        <v>0</v>
      </c>
      <c r="EA271" s="336">
        <f t="shared" si="1671"/>
        <v>0</v>
      </c>
      <c r="EB271" s="336">
        <f t="shared" si="1672"/>
        <v>0</v>
      </c>
      <c r="EC271" s="336">
        <f t="shared" si="1673"/>
        <v>0</v>
      </c>
      <c r="ED271" s="336">
        <f t="shared" si="1674"/>
        <v>0</v>
      </c>
      <c r="EE271" s="336">
        <f t="shared" si="1675"/>
        <v>0</v>
      </c>
      <c r="EF271" s="336">
        <f t="shared" si="1676"/>
        <v>0</v>
      </c>
      <c r="EG271" s="336">
        <f t="shared" si="1677"/>
        <v>0</v>
      </c>
      <c r="EH271" s="336">
        <f t="shared" si="1678"/>
        <v>0</v>
      </c>
      <c r="EI271" s="336">
        <f t="shared" si="1679"/>
        <v>0</v>
      </c>
      <c r="EJ271" s="336">
        <f t="shared" si="1680"/>
        <v>0</v>
      </c>
      <c r="EK271" s="336">
        <f t="shared" si="1681"/>
        <v>0</v>
      </c>
      <c r="EL271" s="336">
        <f t="shared" si="1682"/>
        <v>0</v>
      </c>
      <c r="EM271" s="336">
        <f t="shared" si="1683"/>
        <v>0</v>
      </c>
      <c r="EN271" s="336">
        <f t="shared" si="1684"/>
        <v>0</v>
      </c>
      <c r="EO271" s="336">
        <f t="shared" si="1685"/>
        <v>0</v>
      </c>
      <c r="EP271" s="336">
        <f t="shared" si="1686"/>
        <v>0</v>
      </c>
      <c r="EQ271" s="336">
        <f t="shared" si="1687"/>
        <v>0</v>
      </c>
      <c r="ER271" s="336">
        <f t="shared" si="1688"/>
        <v>0</v>
      </c>
      <c r="ES271" s="336">
        <f t="shared" si="1689"/>
        <v>0</v>
      </c>
      <c r="ET271" s="336">
        <f t="shared" si="1689"/>
        <v>0</v>
      </c>
      <c r="EU271" s="336">
        <f t="shared" si="1690"/>
        <v>0</v>
      </c>
      <c r="EV271" s="336">
        <f t="shared" si="1691"/>
        <v>0</v>
      </c>
      <c r="EW271" s="336">
        <f t="shared" si="1692"/>
        <v>0</v>
      </c>
      <c r="EX271" s="336">
        <f t="shared" si="1693"/>
        <v>0</v>
      </c>
      <c r="EY271" s="336">
        <f t="shared" si="1694"/>
        <v>0</v>
      </c>
      <c r="EZ271" s="336">
        <f t="shared" si="1695"/>
        <v>0</v>
      </c>
      <c r="FA271" s="336">
        <f t="shared" si="1696"/>
        <v>0</v>
      </c>
      <c r="FB271" s="336">
        <f t="shared" si="1697"/>
        <v>0</v>
      </c>
      <c r="FC271" s="336">
        <f t="shared" si="1698"/>
        <v>0</v>
      </c>
      <c r="FD271" s="336">
        <f t="shared" si="1699"/>
        <v>0</v>
      </c>
      <c r="FE271" s="336">
        <f t="shared" si="1700"/>
        <v>0</v>
      </c>
      <c r="FF271" s="336">
        <f t="shared" si="1701"/>
        <v>0</v>
      </c>
      <c r="FG271" s="336">
        <f t="shared" si="1702"/>
        <v>0</v>
      </c>
      <c r="FH271" s="336">
        <f t="shared" si="1703"/>
        <v>0</v>
      </c>
      <c r="FI271" s="336">
        <f t="shared" si="1704"/>
        <v>0</v>
      </c>
      <c r="FJ271" s="336">
        <f t="shared" si="1705"/>
        <v>0</v>
      </c>
      <c r="FK271" s="336">
        <f t="shared" si="1706"/>
        <v>0</v>
      </c>
      <c r="FL271" s="336">
        <f t="shared" si="1707"/>
        <v>0</v>
      </c>
      <c r="FM271" s="336">
        <f t="shared" si="1708"/>
        <v>0</v>
      </c>
      <c r="FN271" s="336">
        <f t="shared" si="1709"/>
        <v>0</v>
      </c>
      <c r="FO271" s="336">
        <f t="shared" si="1710"/>
        <v>0</v>
      </c>
      <c r="FP271" s="336">
        <f t="shared" si="1711"/>
        <v>0</v>
      </c>
      <c r="FQ271" s="336">
        <f t="shared" si="1712"/>
        <v>0</v>
      </c>
      <c r="FR271" s="336">
        <f t="shared" si="1713"/>
        <v>0</v>
      </c>
      <c r="FS271" s="336">
        <f t="shared" si="1714"/>
        <v>0</v>
      </c>
      <c r="FT271" s="336">
        <f t="shared" si="1715"/>
        <v>0</v>
      </c>
      <c r="FU271" s="336">
        <f t="shared" si="1782"/>
        <v>0</v>
      </c>
      <c r="FV271" s="336">
        <f t="shared" si="1783"/>
        <v>0</v>
      </c>
      <c r="FW271" s="336">
        <f t="shared" si="1784"/>
        <v>0</v>
      </c>
      <c r="FX271" s="336">
        <f t="shared" si="1785"/>
        <v>0</v>
      </c>
      <c r="FY271" s="336">
        <f t="shared" si="1734"/>
        <v>0</v>
      </c>
      <c r="FZ271" s="336">
        <f t="shared" si="1735"/>
        <v>0</v>
      </c>
      <c r="GA271" s="336">
        <f t="shared" si="1736"/>
        <v>0</v>
      </c>
      <c r="GB271" s="336">
        <f t="shared" si="1737"/>
        <v>0</v>
      </c>
      <c r="GC271" s="336">
        <f t="shared" si="1738"/>
        <v>0</v>
      </c>
      <c r="GD271" s="336">
        <f t="shared" si="1739"/>
        <v>0</v>
      </c>
      <c r="GE271" s="336">
        <f t="shared" si="1740"/>
        <v>0</v>
      </c>
      <c r="GF271" s="336">
        <f t="shared" si="1741"/>
        <v>0</v>
      </c>
      <c r="GG271" s="336">
        <f t="shared" si="1742"/>
        <v>0</v>
      </c>
      <c r="GH271" s="336">
        <f t="shared" si="1743"/>
        <v>0</v>
      </c>
      <c r="GI271" s="336">
        <f t="shared" si="1744"/>
        <v>0</v>
      </c>
      <c r="GJ271" s="336">
        <f t="shared" si="1745"/>
        <v>0</v>
      </c>
      <c r="GK271" s="336">
        <f t="shared" si="1746"/>
        <v>0</v>
      </c>
      <c r="GL271" s="336">
        <f t="shared" si="1786"/>
        <v>0</v>
      </c>
      <c r="GM271" s="336">
        <f t="shared" si="1747"/>
        <v>0</v>
      </c>
    </row>
    <row r="272" spans="1:195" ht="27.75" customHeight="1">
      <c r="A272" s="337">
        <f>A270+1</f>
        <v>218</v>
      </c>
      <c r="B272" s="453"/>
      <c r="C272" s="372" t="str">
        <f>$D$271</f>
        <v>OCCUPATIONAL HEALTH CENTER HVAC DB</v>
      </c>
      <c r="D272" s="444" t="s">
        <v>1419</v>
      </c>
      <c r="E272" s="569"/>
      <c r="F272" s="500"/>
      <c r="G272" s="337" t="s">
        <v>329</v>
      </c>
      <c r="H272" s="350">
        <v>3.5</v>
      </c>
      <c r="I272" s="337" t="s">
        <v>330</v>
      </c>
      <c r="J272" s="349" t="s">
        <v>331</v>
      </c>
      <c r="K272" s="349">
        <v>400</v>
      </c>
      <c r="L272" s="343">
        <v>0.95</v>
      </c>
      <c r="M272" s="350">
        <v>0.85</v>
      </c>
      <c r="N272" s="342">
        <f t="shared" si="1774"/>
        <v>6.2563009888530603</v>
      </c>
      <c r="O272" s="342">
        <f t="shared" ref="O272:O280" si="1788">IF(G272="MOTOR",(6*N272),IF(G272="VFD",(1*N272),0))</f>
        <v>0</v>
      </c>
      <c r="P272" s="343" t="str">
        <f t="shared" si="1775"/>
        <v>0.00</v>
      </c>
      <c r="Q272" s="350">
        <v>65</v>
      </c>
      <c r="R272" s="350">
        <v>0</v>
      </c>
      <c r="S272" s="350">
        <f t="shared" si="1776"/>
        <v>0</v>
      </c>
      <c r="T272" s="343" t="s">
        <v>332</v>
      </c>
      <c r="U272" s="350" t="s">
        <v>522</v>
      </c>
      <c r="V272" s="343">
        <v>4</v>
      </c>
      <c r="W272" s="343" t="str">
        <f t="shared" si="1777"/>
        <v>4C X 4</v>
      </c>
      <c r="X272" s="343" t="str">
        <f t="shared" ref="X272:X280" si="1789">(IF(J272="1Ph",W272,IF(J272="3Ph",(IF(G272="MOTOR",(CONCATENATE(W272,"+PE")),W272)))))</f>
        <v>4C X 4</v>
      </c>
      <c r="Y272" s="343" t="s">
        <v>358</v>
      </c>
      <c r="Z272" s="344">
        <f>IF(T272="AIR",VLOOKUP(W272,'Catalogue Aluminium'!$B$9:$G$93,2,FALSE),IF(T272="GROUND",VLOOKUP(W272,'Catalogue Aluminium'!$B$9:$G$93,3,FALSE),IF(T272="DUCT",VLOOKUP(W272,'Catalogue Aluminium'!$B$9:$G$93,4,FALSE),IF(T272="TRENCH",VLOOKUP(W272,'Catalogue Aluminium'!$B$9:$G$93,2,FALSE)))))</f>
        <v>38</v>
      </c>
      <c r="AA272" s="345">
        <f>VLOOKUP(W272,'Catalogue Aluminium'!$B$9:$G$93,5,FALSE)</f>
        <v>5.9</v>
      </c>
      <c r="AB272" s="345">
        <f>VLOOKUP(W272,'Catalogue Aluminium'!$B$9:$G$93,6,FALSE)</f>
        <v>9.4700000000000006E-2</v>
      </c>
      <c r="AC272" s="343">
        <f>10+5</f>
        <v>15</v>
      </c>
      <c r="AD272" s="343">
        <v>0</v>
      </c>
      <c r="AE272" s="343">
        <v>10</v>
      </c>
      <c r="AF272" s="343">
        <v>5</v>
      </c>
      <c r="AG272" s="343">
        <f t="shared" si="1730"/>
        <v>3</v>
      </c>
      <c r="AH272" s="347">
        <f t="shared" ref="AH272:AH280" si="1790">SUM(AC272:AG272)</f>
        <v>33</v>
      </c>
      <c r="AI272" s="344">
        <f>IF(T272="AIR",'Catalogue Aluminium'!$K$9,IF(T272="TRENCH",'Catalogue Aluminium'!$K$12,"NA"))</f>
        <v>0.89</v>
      </c>
      <c r="AJ272" s="342">
        <f>IF(T272="Air",(IF(U272="1C",'Catalogue Aluminium'!$L$9,'Catalogue Aluminium'!$M$9)),IF(T272="DUCT",(IF($U272="1C",'Catalogue Aluminium'!$L$10,'Catalogue Aluminium'!$M$10)),IF(T272="GROUND",(IF($U272="1C",'Catalogue Aluminium'!$L$11,'Catalogue Aluminium'!$M$11)),IF(T272="TRENCH",(IF($U272="1C",'Catalogue Aluminium'!$L$12,'Catalogue Aluminium'!$M$12))))))</f>
        <v>0.66</v>
      </c>
      <c r="AK272" s="344" t="str">
        <f>IF(T272="Air",'Catalogue Aluminium'!$N$9,IF(T272="GROUND",'Catalogue Aluminium'!$N$10,IF(T272="DUCT",'Catalogue Aluminium'!$N$11,IF(T272="TRENCH",'Catalogue Aluminium'!$N$12,"NA"))))</f>
        <v>NA</v>
      </c>
      <c r="AL272" s="344" t="str">
        <f>IF(T272="Air",(IF(U272="1C",'Catalogue Aluminium'!$O$9,'Catalogue Aluminium'!$P$9)),IF(T272="DUCT",(IF($U272="1C",'Catalogue Aluminium'!$O$10,'Catalogue Aluminium'!$P$10)),IF(T272="GROUND",(IF($U272="1C",'Catalogue Aluminium'!$O$11,'Catalogue Aluminium'!$P$11)),IF(T272="TRENCH",(IF($U272="1C",'Catalogue Aluminium'!$O$12,'Catalogue Aluminium'!$P$12))))))</f>
        <v>NA</v>
      </c>
      <c r="AM272" s="344" t="str">
        <f>IF(T272="AIR","NA",IF(T272="TRENCH","NA",IF(T272="DUCT",IF(U272="1C",VLOOKUP(V272,'Catalogue Aluminium'!$Q$9:$S$28,2,FALSE),VLOOKUP(V272,'Catalogue Aluminium'!$Q$9:$S$28,3)),IF(T272="GROUND",IF(U272="1C",VLOOKUP(V272,'Catalogue Aluminium'!$Q$9:$S$28,2,FALSE),VLOOKUP(V272,'Catalogue Aluminium'!$Q$9:$S$28,3))))))</f>
        <v>NA</v>
      </c>
      <c r="AN272" s="351">
        <f t="shared" ref="AN272:AN280" si="1791">IF(T272="AIR",AI272*AJ272,IF(T272="TRENCH",AI272*AJ272,IF(T272="DUCT",AJ272*AK272*AL272*AM272,IF(T272="GROUND",AJ272*AK272*AL272*AM272))))</f>
        <v>0.58740000000000003</v>
      </c>
      <c r="AO272" s="350">
        <f t="shared" ref="AO272:AO280" si="1792">Z272*AN272</f>
        <v>22.321200000000001</v>
      </c>
      <c r="AP272" s="349">
        <f t="shared" ref="AP272:AP280" si="1793">CEILING(((N272)/AO272),1)</f>
        <v>1</v>
      </c>
      <c r="AQ272" s="350" t="str">
        <f t="shared" ref="AQ272:AQ280" si="1794">IF(AO272*AP272&gt;=N272,"YES","NO")</f>
        <v>YES</v>
      </c>
      <c r="AR272" s="351">
        <f t="shared" si="1731"/>
        <v>0.50372440660311057</v>
      </c>
      <c r="AS272" s="343" t="str">
        <f t="shared" si="1732"/>
        <v>YES</v>
      </c>
      <c r="AT272" s="351" t="str">
        <f t="shared" ref="AT272:AT280" si="1795">IF(G272="MOTOR",(SQRT(3)*AH272*O272*((AA272*P272)+(AB272*SIN(ACOS(P272))))*100/(AP272*K272*1000)),"NA")</f>
        <v>NA</v>
      </c>
      <c r="AU272" s="343" t="str">
        <f t="shared" ref="AU272:AU280" si="1796">IF(G272="MOTOR",IF(AT272&lt;=15,"YES","NO"),"NA")</f>
        <v>NA</v>
      </c>
      <c r="AV272" s="354" t="str">
        <f t="shared" ref="AV272:AV280" si="1797">IF(U272="1C",CONCATENATE(AP272,"R x ",Y272,"kV x ",U272," x ",V272," Sqmm/Phase"),CONCATENATE(AP272,"R x ",0.6,"/1kV x ",U272," x ",V272," Sqmm"))</f>
        <v>1R x 0.6/1kV x 4C x 4 Sqmm</v>
      </c>
      <c r="AW272" s="354" t="str">
        <f t="shared" ref="AW272:AW280" si="1798">IF(U272="1C",CONCATENATE(AP272,"R x ",Y272,"kV x ",U272," x ",V272," Sqmm/Phase"),CONCATENATE(AP272,"R x ",0.6,"/1kV x ",U272," x ",V272,(IF(G272="MOTOR","+PE",""))," Sqmm"))</f>
        <v>1R x 0.6/1kV x 4C x 4 Sqmm</v>
      </c>
      <c r="AX272" s="343">
        <f t="shared" ref="AX272:AX280" si="1799">(IF(K272=400,(IF(U272="1C",(4*AH272*AP272),(AH272*AP272))),IF(K272=230,(AH272*AP272))))</f>
        <v>33</v>
      </c>
      <c r="AY272" s="355"/>
      <c r="AZ272" s="355">
        <f t="shared" ref="AZ272:AZ280" si="1800">IF(U272="1C",(3*AP272*2),(AP272*2))</f>
        <v>2</v>
      </c>
      <c r="BA272" s="356" t="str">
        <f t="shared" ref="BA272:BA280" si="1801">CONCATENATE(IF(BE272=1,BE$4,""),IF(BF272=1,BF$4,""),IF(BG272=1,BG$4,""),IF(BH272=1,BH$4,""),IF(BI272=1,BI$4,""),IF(BJ272=1,BJ$4,""),IF(BK272=1,BK$4,""),IF(BL272=1,BL$4,""),IF(BM272=1,BM$4,""),IF(BN272=1,BN$4,""),IF(BO272=1,BO$4,""),IF(BP272=1,BP$4,""),IF(BQ272=1,BQ$4,""),IF(BR272=1,BR$4,""),IF(BS272=1,BS$4,""),IF(BT272=1,BT$4,""),IF(BU272=1,BU$4,""),IF(BV272=1,BV$4,""),IF(BW272=1,BW$4,""),IF(BX272=1,BX$4,""),IF(BY272=1,BY$4,""),IF(BZ272=1,BZ$4,""),IF(CA272=1,CA$4,""),IF(CB272=1,CB$4,""),IF(CC272=1,CC$4,""),IF(CD272=1,CD$4,""),IF(CE272=1,CE$4,""),IF(CF272=1,CF$4,""),IF(CG272=1,CG$4,""),IF(CH272=1,CH$4,""),IF(CI272=1,CI$4,""),IF(CJ272=1,CJ$4,""),IF(CK272=1,CK$4,""),IF(CL272=1,CL$4,""),IF(CM272=1,CM$4,""),IF(CN272=1,CN$4,""),IF(CO272=1,CO$4,""),IF(CP272=1,CP$4,""),IF(CQ272=1,CQ$4,""),IF(CR272=1,CR$4,""),IF(CS272=1,CS$4,""),IF(CT272=1,CT$4,""),IF(CU272=1,CU$4,""),IF(CV272=1,CV$4,""),IF(CW272=1,CW$4,""),IF(CX272=1,CX$4,""),IF(CY272=1,CY$4,""),IF(CZ272=1,CZ$4,""),IF(DA272=1,DA$4,""),IF(DB272=1,DB$4,""),IF(DC272=1,DC$4,""),IF(DD272=1,DD$4,""),IF(DE272=1,DE$4,""),IF(DF272=1,DF$4,""),IF(DG272=1,DG$4,""),IF(DH272=1,DH$4,""),IF(DI272=1,DI$4,""),IF(DJ272=1,DJ$4,""),IF(DK272=1,DK$4,""),IF(DL272=1,DL$4,""),IF(DM272=1,DM$4,""),IF(DN272=1,DN$4,""),IF(DO272=1,DO$4,""),IF(DP272=1,DP$4,""),IF(DQ272=1,DQ$4,""),IF(DR272=1,DR$4,""),IF(DS272=1,DS$4,""),IF(DT272=1,DT$4,""),IF(DU272=1,DU$4,""))</f>
        <v/>
      </c>
      <c r="BB272" s="501">
        <f>VLOOKUP(W272,'Catalogue Aluminium'!$B$9:$H$93,7,FALSE)</f>
        <v>16</v>
      </c>
      <c r="BC272" s="328">
        <f t="shared" ref="BC272:BC280" si="1802">AP272*BB272</f>
        <v>16</v>
      </c>
      <c r="BE272" s="527"/>
      <c r="BF272" s="527"/>
      <c r="BG272" s="527"/>
      <c r="BH272" s="527"/>
      <c r="BI272" s="527"/>
      <c r="BJ272" s="527"/>
      <c r="BK272" s="527"/>
      <c r="BL272" s="527"/>
      <c r="BM272" s="527"/>
      <c r="BN272" s="527"/>
      <c r="BO272" s="527"/>
      <c r="BP272" s="527"/>
      <c r="BQ272" s="527"/>
      <c r="BR272" s="527"/>
      <c r="BS272" s="527"/>
      <c r="BT272" s="527"/>
      <c r="BU272" s="527"/>
      <c r="BV272" s="527"/>
      <c r="BW272" s="527"/>
      <c r="BX272" s="527"/>
      <c r="BY272" s="527"/>
      <c r="BZ272" s="527"/>
      <c r="CA272" s="527"/>
      <c r="CB272" s="527"/>
      <c r="CC272" s="527"/>
      <c r="CD272" s="527"/>
      <c r="CE272" s="527"/>
      <c r="CF272" s="527"/>
      <c r="CG272" s="527"/>
      <c r="CH272" s="527"/>
      <c r="CI272" s="527"/>
      <c r="CJ272" s="527"/>
      <c r="CK272" s="527"/>
      <c r="CL272" s="527"/>
      <c r="CM272" s="527"/>
      <c r="CN272" s="527"/>
      <c r="CO272" s="527"/>
      <c r="CP272" s="527"/>
      <c r="CQ272" s="527"/>
      <c r="CR272" s="527"/>
      <c r="CS272" s="527"/>
      <c r="CT272" s="527"/>
      <c r="CU272" s="527"/>
      <c r="CV272" s="527"/>
      <c r="CW272" s="527"/>
      <c r="CX272" s="527"/>
      <c r="CY272" s="527"/>
      <c r="CZ272" s="336"/>
      <c r="DA272" s="336"/>
      <c r="DB272" s="336"/>
      <c r="DC272" s="336"/>
      <c r="DD272" s="336"/>
      <c r="DE272" s="336"/>
      <c r="DF272" s="336"/>
      <c r="DG272" s="336"/>
      <c r="DH272" s="336"/>
      <c r="DI272" s="336"/>
      <c r="DJ272" s="336"/>
      <c r="DK272" s="336"/>
      <c r="DL272" s="336"/>
      <c r="DM272" s="336"/>
      <c r="DN272" s="336"/>
      <c r="DO272" s="336"/>
      <c r="DP272" s="336"/>
      <c r="DQ272" s="336"/>
      <c r="DR272" s="336"/>
      <c r="DS272" s="336"/>
      <c r="DT272" s="336"/>
      <c r="DU272" s="336"/>
      <c r="DW272" s="336">
        <f t="shared" si="1733"/>
        <v>0</v>
      </c>
      <c r="DX272" s="336">
        <f t="shared" si="1668"/>
        <v>0</v>
      </c>
      <c r="DY272" s="336">
        <f t="shared" si="1669"/>
        <v>0</v>
      </c>
      <c r="DZ272" s="336">
        <f t="shared" si="1670"/>
        <v>0</v>
      </c>
      <c r="EA272" s="336">
        <f t="shared" si="1671"/>
        <v>0</v>
      </c>
      <c r="EB272" s="336">
        <f t="shared" si="1672"/>
        <v>0</v>
      </c>
      <c r="EC272" s="336">
        <f t="shared" si="1673"/>
        <v>0</v>
      </c>
      <c r="ED272" s="336">
        <f t="shared" si="1674"/>
        <v>0</v>
      </c>
      <c r="EE272" s="336">
        <f t="shared" si="1675"/>
        <v>0</v>
      </c>
      <c r="EF272" s="336">
        <f t="shared" si="1676"/>
        <v>0</v>
      </c>
      <c r="EG272" s="336">
        <f t="shared" si="1677"/>
        <v>0</v>
      </c>
      <c r="EH272" s="336">
        <f t="shared" si="1678"/>
        <v>0</v>
      </c>
      <c r="EI272" s="336">
        <f t="shared" si="1679"/>
        <v>0</v>
      </c>
      <c r="EJ272" s="336">
        <f t="shared" si="1680"/>
        <v>0</v>
      </c>
      <c r="EK272" s="336">
        <f t="shared" si="1681"/>
        <v>0</v>
      </c>
      <c r="EL272" s="336">
        <f t="shared" si="1682"/>
        <v>0</v>
      </c>
      <c r="EM272" s="336">
        <f t="shared" si="1683"/>
        <v>0</v>
      </c>
      <c r="EN272" s="336">
        <f t="shared" si="1684"/>
        <v>0</v>
      </c>
      <c r="EO272" s="336">
        <f t="shared" si="1685"/>
        <v>0</v>
      </c>
      <c r="EP272" s="336">
        <f t="shared" si="1686"/>
        <v>0</v>
      </c>
      <c r="EQ272" s="336">
        <f t="shared" si="1687"/>
        <v>0</v>
      </c>
      <c r="ER272" s="336">
        <f t="shared" si="1688"/>
        <v>0</v>
      </c>
      <c r="ES272" s="336">
        <f t="shared" si="1689"/>
        <v>0</v>
      </c>
      <c r="ET272" s="336">
        <f t="shared" si="1689"/>
        <v>0</v>
      </c>
      <c r="EU272" s="336">
        <f t="shared" si="1690"/>
        <v>0</v>
      </c>
      <c r="EV272" s="336">
        <f t="shared" si="1691"/>
        <v>0</v>
      </c>
      <c r="EW272" s="336">
        <f t="shared" si="1692"/>
        <v>0</v>
      </c>
      <c r="EX272" s="336">
        <f t="shared" si="1693"/>
        <v>0</v>
      </c>
      <c r="EY272" s="336">
        <f t="shared" si="1694"/>
        <v>0</v>
      </c>
      <c r="EZ272" s="336">
        <f t="shared" si="1695"/>
        <v>0</v>
      </c>
      <c r="FA272" s="336">
        <f t="shared" si="1696"/>
        <v>0</v>
      </c>
      <c r="FB272" s="336">
        <f t="shared" si="1697"/>
        <v>0</v>
      </c>
      <c r="FC272" s="336">
        <f t="shared" si="1698"/>
        <v>0</v>
      </c>
      <c r="FD272" s="336">
        <f t="shared" si="1699"/>
        <v>0</v>
      </c>
      <c r="FE272" s="336">
        <f t="shared" si="1700"/>
        <v>0</v>
      </c>
      <c r="FF272" s="336">
        <f t="shared" si="1701"/>
        <v>0</v>
      </c>
      <c r="FG272" s="336">
        <f t="shared" si="1702"/>
        <v>0</v>
      </c>
      <c r="FH272" s="336">
        <f t="shared" si="1703"/>
        <v>0</v>
      </c>
      <c r="FI272" s="336">
        <f t="shared" si="1704"/>
        <v>0</v>
      </c>
      <c r="FJ272" s="336">
        <f t="shared" si="1705"/>
        <v>0</v>
      </c>
      <c r="FK272" s="336">
        <f t="shared" si="1706"/>
        <v>0</v>
      </c>
      <c r="FL272" s="336">
        <f t="shared" si="1707"/>
        <v>0</v>
      </c>
      <c r="FM272" s="336">
        <f t="shared" si="1708"/>
        <v>0</v>
      </c>
      <c r="FN272" s="336">
        <f t="shared" si="1709"/>
        <v>0</v>
      </c>
      <c r="FO272" s="336">
        <f t="shared" si="1710"/>
        <v>0</v>
      </c>
      <c r="FP272" s="336">
        <f t="shared" si="1711"/>
        <v>0</v>
      </c>
      <c r="FQ272" s="336">
        <f t="shared" si="1712"/>
        <v>0</v>
      </c>
      <c r="FR272" s="336">
        <f t="shared" si="1713"/>
        <v>0</v>
      </c>
      <c r="FS272" s="336">
        <f t="shared" si="1714"/>
        <v>0</v>
      </c>
      <c r="FT272" s="336">
        <f t="shared" si="1715"/>
        <v>0</v>
      </c>
      <c r="FU272" s="336">
        <f t="shared" si="1782"/>
        <v>0</v>
      </c>
      <c r="FV272" s="336">
        <f t="shared" si="1783"/>
        <v>0</v>
      </c>
      <c r="FW272" s="336">
        <f t="shared" si="1784"/>
        <v>0</v>
      </c>
      <c r="FX272" s="336">
        <f t="shared" si="1785"/>
        <v>0</v>
      </c>
      <c r="FY272" s="336">
        <f t="shared" si="1734"/>
        <v>0</v>
      </c>
      <c r="FZ272" s="336">
        <f t="shared" si="1735"/>
        <v>0</v>
      </c>
      <c r="GA272" s="336">
        <f t="shared" si="1736"/>
        <v>0</v>
      </c>
      <c r="GB272" s="336">
        <f t="shared" si="1737"/>
        <v>0</v>
      </c>
      <c r="GC272" s="336">
        <f t="shared" si="1738"/>
        <v>0</v>
      </c>
      <c r="GD272" s="336">
        <f t="shared" si="1739"/>
        <v>0</v>
      </c>
      <c r="GE272" s="336">
        <f t="shared" si="1740"/>
        <v>0</v>
      </c>
      <c r="GF272" s="336">
        <f t="shared" si="1741"/>
        <v>0</v>
      </c>
      <c r="GG272" s="336">
        <f t="shared" si="1742"/>
        <v>0</v>
      </c>
      <c r="GH272" s="336">
        <f t="shared" si="1743"/>
        <v>0</v>
      </c>
      <c r="GI272" s="336">
        <f t="shared" si="1744"/>
        <v>0</v>
      </c>
      <c r="GJ272" s="336">
        <f t="shared" si="1745"/>
        <v>0</v>
      </c>
      <c r="GK272" s="336">
        <f t="shared" si="1746"/>
        <v>0</v>
      </c>
      <c r="GL272" s="336">
        <f t="shared" si="1786"/>
        <v>0</v>
      </c>
      <c r="GM272" s="336">
        <f t="shared" si="1747"/>
        <v>0</v>
      </c>
    </row>
    <row r="273" spans="1:195" ht="27.75" customHeight="1">
      <c r="A273" s="337">
        <f>A272+1</f>
        <v>219</v>
      </c>
      <c r="B273" s="453"/>
      <c r="C273" s="372" t="str">
        <f t="shared" ref="C273:C279" si="1803">$D$271</f>
        <v>OCCUPATIONAL HEALTH CENTER HVAC DB</v>
      </c>
      <c r="D273" s="444" t="s">
        <v>1420</v>
      </c>
      <c r="E273" s="569"/>
      <c r="F273" s="500"/>
      <c r="G273" s="337" t="s">
        <v>329</v>
      </c>
      <c r="H273" s="350">
        <v>1.5</v>
      </c>
      <c r="I273" s="337" t="s">
        <v>330</v>
      </c>
      <c r="J273" s="349" t="s">
        <v>331</v>
      </c>
      <c r="K273" s="349">
        <v>400</v>
      </c>
      <c r="L273" s="343">
        <v>0.95</v>
      </c>
      <c r="M273" s="350">
        <v>0.85</v>
      </c>
      <c r="N273" s="342">
        <f t="shared" si="1774"/>
        <v>2.681271852365597</v>
      </c>
      <c r="O273" s="342">
        <f t="shared" si="1788"/>
        <v>0</v>
      </c>
      <c r="P273" s="343" t="str">
        <f t="shared" si="1775"/>
        <v>0.00</v>
      </c>
      <c r="Q273" s="350">
        <v>65</v>
      </c>
      <c r="R273" s="350">
        <v>0</v>
      </c>
      <c r="S273" s="350">
        <f t="shared" si="1776"/>
        <v>0</v>
      </c>
      <c r="T273" s="343" t="s">
        <v>332</v>
      </c>
      <c r="U273" s="350" t="s">
        <v>522</v>
      </c>
      <c r="V273" s="343">
        <v>4</v>
      </c>
      <c r="W273" s="343" t="str">
        <f t="shared" si="1777"/>
        <v>4C X 4</v>
      </c>
      <c r="X273" s="343" t="str">
        <f t="shared" si="1789"/>
        <v>4C X 4</v>
      </c>
      <c r="Y273" s="343" t="s">
        <v>358</v>
      </c>
      <c r="Z273" s="344">
        <f>IF(T273="AIR",VLOOKUP(W273,'Catalogue Aluminium'!$B$9:$G$93,2,FALSE),IF(T273="GROUND",VLOOKUP(W273,'Catalogue Aluminium'!$B$9:$G$93,3,FALSE),IF(T273="DUCT",VLOOKUP(W273,'Catalogue Aluminium'!$B$9:$G$93,4,FALSE),IF(T273="TRENCH",VLOOKUP(W273,'Catalogue Aluminium'!$B$9:$G$93,2,FALSE)))))</f>
        <v>38</v>
      </c>
      <c r="AA273" s="345">
        <f>VLOOKUP(W273,'Catalogue Aluminium'!$B$9:$G$93,5,FALSE)</f>
        <v>5.9</v>
      </c>
      <c r="AB273" s="345">
        <f>VLOOKUP(W273,'Catalogue Aluminium'!$B$9:$G$93,6,FALSE)</f>
        <v>9.4700000000000006E-2</v>
      </c>
      <c r="AC273" s="343">
        <f t="shared" ref="AC273:AC279" si="1804">10+5</f>
        <v>15</v>
      </c>
      <c r="AD273" s="343">
        <v>0</v>
      </c>
      <c r="AE273" s="343">
        <v>10</v>
      </c>
      <c r="AF273" s="343">
        <v>5</v>
      </c>
      <c r="AG273" s="343">
        <f t="shared" si="1730"/>
        <v>3</v>
      </c>
      <c r="AH273" s="347">
        <f t="shared" si="1790"/>
        <v>33</v>
      </c>
      <c r="AI273" s="344">
        <f>IF(T273="AIR",'Catalogue Aluminium'!$K$9,IF(T273="TRENCH",'Catalogue Aluminium'!$K$12,"NA"))</f>
        <v>0.89</v>
      </c>
      <c r="AJ273" s="342">
        <f>IF(T273="Air",(IF(U273="1C",'Catalogue Aluminium'!$L$9,'Catalogue Aluminium'!$M$9)),IF(T273="DUCT",(IF($U273="1C",'Catalogue Aluminium'!$L$10,'Catalogue Aluminium'!$M$10)),IF(T273="GROUND",(IF($U273="1C",'Catalogue Aluminium'!$L$11,'Catalogue Aluminium'!$M$11)),IF(T273="TRENCH",(IF($U273="1C",'Catalogue Aluminium'!$L$12,'Catalogue Aluminium'!$M$12))))))</f>
        <v>0.66</v>
      </c>
      <c r="AK273" s="344" t="str">
        <f>IF(T273="Air",'Catalogue Aluminium'!$N$9,IF(T273="GROUND",'Catalogue Aluminium'!$N$10,IF(T273="DUCT",'Catalogue Aluminium'!$N$11,IF(T273="TRENCH",'Catalogue Aluminium'!$N$12,"NA"))))</f>
        <v>NA</v>
      </c>
      <c r="AL273" s="344" t="str">
        <f>IF(T273="Air",(IF(U273="1C",'Catalogue Aluminium'!$O$9,'Catalogue Aluminium'!$P$9)),IF(T273="DUCT",(IF($U273="1C",'Catalogue Aluminium'!$O$10,'Catalogue Aluminium'!$P$10)),IF(T273="GROUND",(IF($U273="1C",'Catalogue Aluminium'!$O$11,'Catalogue Aluminium'!$P$11)),IF(T273="TRENCH",(IF($U273="1C",'Catalogue Aluminium'!$O$12,'Catalogue Aluminium'!$P$12))))))</f>
        <v>NA</v>
      </c>
      <c r="AM273" s="344" t="str">
        <f>IF(T273="AIR","NA",IF(T273="TRENCH","NA",IF(T273="DUCT",IF(U273="1C",VLOOKUP(V273,'Catalogue Aluminium'!$Q$9:$S$28,2,FALSE),VLOOKUP(V273,'Catalogue Aluminium'!$Q$9:$S$28,3)),IF(T273="GROUND",IF(U273="1C",VLOOKUP(V273,'Catalogue Aluminium'!$Q$9:$S$28,2,FALSE),VLOOKUP(V273,'Catalogue Aluminium'!$Q$9:$S$28,3))))))</f>
        <v>NA</v>
      </c>
      <c r="AN273" s="351">
        <f t="shared" si="1791"/>
        <v>0.58740000000000003</v>
      </c>
      <c r="AO273" s="350">
        <f t="shared" si="1792"/>
        <v>22.321200000000001</v>
      </c>
      <c r="AP273" s="349">
        <f t="shared" si="1793"/>
        <v>1</v>
      </c>
      <c r="AQ273" s="350" t="str">
        <f t="shared" si="1794"/>
        <v>YES</v>
      </c>
      <c r="AR273" s="351">
        <f t="shared" si="1731"/>
        <v>0.21588188854419021</v>
      </c>
      <c r="AS273" s="343" t="str">
        <f t="shared" si="1732"/>
        <v>YES</v>
      </c>
      <c r="AT273" s="351" t="str">
        <f t="shared" si="1795"/>
        <v>NA</v>
      </c>
      <c r="AU273" s="343" t="str">
        <f t="shared" si="1796"/>
        <v>NA</v>
      </c>
      <c r="AV273" s="354" t="str">
        <f t="shared" si="1797"/>
        <v>1R x 0.6/1kV x 4C x 4 Sqmm</v>
      </c>
      <c r="AW273" s="354" t="str">
        <f t="shared" si="1798"/>
        <v>1R x 0.6/1kV x 4C x 4 Sqmm</v>
      </c>
      <c r="AX273" s="343">
        <f t="shared" si="1799"/>
        <v>33</v>
      </c>
      <c r="AY273" s="355"/>
      <c r="AZ273" s="355">
        <f t="shared" si="1800"/>
        <v>2</v>
      </c>
      <c r="BA273" s="356" t="str">
        <f t="shared" si="1801"/>
        <v/>
      </c>
      <c r="BB273" s="501">
        <f>VLOOKUP(W273,'Catalogue Aluminium'!$B$9:$H$93,7,FALSE)</f>
        <v>16</v>
      </c>
      <c r="BC273" s="328">
        <f t="shared" si="1802"/>
        <v>16</v>
      </c>
      <c r="BE273" s="336"/>
      <c r="BF273" s="336"/>
      <c r="BG273" s="336"/>
      <c r="BH273" s="336"/>
      <c r="BI273" s="336"/>
      <c r="BJ273" s="336"/>
      <c r="BK273" s="336"/>
      <c r="BL273" s="336"/>
      <c r="BM273" s="336"/>
      <c r="BN273" s="336"/>
      <c r="BO273" s="336"/>
      <c r="BP273" s="336"/>
      <c r="BQ273" s="336"/>
      <c r="BR273" s="336"/>
      <c r="BS273" s="336"/>
      <c r="BT273" s="336"/>
      <c r="BU273" s="336"/>
      <c r="BV273" s="336"/>
      <c r="BW273" s="336"/>
      <c r="BX273" s="336"/>
      <c r="BY273" s="336"/>
      <c r="BZ273" s="336"/>
      <c r="CA273" s="336"/>
      <c r="CB273" s="336"/>
      <c r="CC273" s="336"/>
      <c r="CD273" s="336"/>
      <c r="CE273" s="336"/>
      <c r="CF273" s="336"/>
      <c r="CG273" s="336"/>
      <c r="CH273" s="336"/>
      <c r="CI273" s="336"/>
      <c r="CJ273" s="336"/>
      <c r="CK273" s="336"/>
      <c r="CL273" s="336"/>
      <c r="CM273" s="336"/>
      <c r="CN273" s="336"/>
      <c r="CO273" s="336"/>
      <c r="CP273" s="336"/>
      <c r="CQ273" s="336"/>
      <c r="CR273" s="336"/>
      <c r="CS273" s="336"/>
      <c r="CT273" s="336"/>
      <c r="CU273" s="336"/>
      <c r="CV273" s="336"/>
      <c r="CW273" s="336"/>
      <c r="CX273" s="336"/>
      <c r="CY273" s="336"/>
      <c r="CZ273" s="336"/>
      <c r="DA273" s="336"/>
      <c r="DB273" s="336"/>
      <c r="DC273" s="336"/>
      <c r="DD273" s="336"/>
      <c r="DE273" s="336"/>
      <c r="DF273" s="336"/>
      <c r="DG273" s="336"/>
      <c r="DH273" s="336"/>
      <c r="DI273" s="336"/>
      <c r="DJ273" s="336"/>
      <c r="DK273" s="336"/>
      <c r="DL273" s="336"/>
      <c r="DM273" s="336"/>
      <c r="DN273" s="336"/>
      <c r="DO273" s="336"/>
      <c r="DP273" s="336"/>
      <c r="DQ273" s="336"/>
      <c r="DR273" s="336"/>
      <c r="DS273" s="336"/>
      <c r="DT273" s="336"/>
      <c r="DU273" s="336"/>
      <c r="DW273" s="336">
        <f t="shared" si="1733"/>
        <v>0</v>
      </c>
      <c r="DX273" s="336">
        <f t="shared" si="1668"/>
        <v>0</v>
      </c>
      <c r="DY273" s="336">
        <f t="shared" si="1669"/>
        <v>0</v>
      </c>
      <c r="DZ273" s="336">
        <f t="shared" si="1670"/>
        <v>0</v>
      </c>
      <c r="EA273" s="336">
        <f t="shared" si="1671"/>
        <v>0</v>
      </c>
      <c r="EB273" s="336">
        <f t="shared" si="1672"/>
        <v>0</v>
      </c>
      <c r="EC273" s="336">
        <f t="shared" si="1673"/>
        <v>0</v>
      </c>
      <c r="ED273" s="336">
        <f t="shared" si="1674"/>
        <v>0</v>
      </c>
      <c r="EE273" s="336">
        <f t="shared" si="1675"/>
        <v>0</v>
      </c>
      <c r="EF273" s="336">
        <f t="shared" si="1676"/>
        <v>0</v>
      </c>
      <c r="EG273" s="336">
        <f t="shared" si="1677"/>
        <v>0</v>
      </c>
      <c r="EH273" s="336">
        <f t="shared" si="1678"/>
        <v>0</v>
      </c>
      <c r="EI273" s="336">
        <f t="shared" si="1679"/>
        <v>0</v>
      </c>
      <c r="EJ273" s="336">
        <f t="shared" si="1680"/>
        <v>0</v>
      </c>
      <c r="EK273" s="336">
        <f t="shared" si="1681"/>
        <v>0</v>
      </c>
      <c r="EL273" s="336">
        <f t="shared" si="1682"/>
        <v>0</v>
      </c>
      <c r="EM273" s="336">
        <f t="shared" si="1683"/>
        <v>0</v>
      </c>
      <c r="EN273" s="336">
        <f t="shared" si="1684"/>
        <v>0</v>
      </c>
      <c r="EO273" s="336">
        <f t="shared" si="1685"/>
        <v>0</v>
      </c>
      <c r="EP273" s="336">
        <f t="shared" si="1686"/>
        <v>0</v>
      </c>
      <c r="EQ273" s="336">
        <f t="shared" si="1687"/>
        <v>0</v>
      </c>
      <c r="ER273" s="336">
        <f t="shared" si="1688"/>
        <v>0</v>
      </c>
      <c r="ES273" s="336">
        <f t="shared" si="1689"/>
        <v>0</v>
      </c>
      <c r="ET273" s="336">
        <f t="shared" si="1689"/>
        <v>0</v>
      </c>
      <c r="EU273" s="336">
        <f t="shared" si="1690"/>
        <v>0</v>
      </c>
      <c r="EV273" s="336">
        <f t="shared" si="1691"/>
        <v>0</v>
      </c>
      <c r="EW273" s="336">
        <f t="shared" si="1692"/>
        <v>0</v>
      </c>
      <c r="EX273" s="336">
        <f t="shared" si="1693"/>
        <v>0</v>
      </c>
      <c r="EY273" s="336">
        <f t="shared" si="1694"/>
        <v>0</v>
      </c>
      <c r="EZ273" s="336">
        <f t="shared" si="1695"/>
        <v>0</v>
      </c>
      <c r="FA273" s="336">
        <f t="shared" si="1696"/>
        <v>0</v>
      </c>
      <c r="FB273" s="336">
        <f t="shared" si="1697"/>
        <v>0</v>
      </c>
      <c r="FC273" s="336">
        <f t="shared" si="1698"/>
        <v>0</v>
      </c>
      <c r="FD273" s="336">
        <f t="shared" si="1699"/>
        <v>0</v>
      </c>
      <c r="FE273" s="336">
        <f t="shared" si="1700"/>
        <v>0</v>
      </c>
      <c r="FF273" s="336">
        <f t="shared" si="1701"/>
        <v>0</v>
      </c>
      <c r="FG273" s="336">
        <f t="shared" si="1702"/>
        <v>0</v>
      </c>
      <c r="FH273" s="336">
        <f t="shared" si="1703"/>
        <v>0</v>
      </c>
      <c r="FI273" s="336">
        <f t="shared" si="1704"/>
        <v>0</v>
      </c>
      <c r="FJ273" s="336">
        <f t="shared" si="1705"/>
        <v>0</v>
      </c>
      <c r="FK273" s="336">
        <f t="shared" si="1706"/>
        <v>0</v>
      </c>
      <c r="FL273" s="336">
        <f t="shared" si="1707"/>
        <v>0</v>
      </c>
      <c r="FM273" s="336">
        <f t="shared" si="1708"/>
        <v>0</v>
      </c>
      <c r="FN273" s="336">
        <f t="shared" si="1709"/>
        <v>0</v>
      </c>
      <c r="FO273" s="336">
        <f t="shared" si="1710"/>
        <v>0</v>
      </c>
      <c r="FP273" s="336">
        <f t="shared" si="1711"/>
        <v>0</v>
      </c>
      <c r="FQ273" s="336">
        <f t="shared" si="1712"/>
        <v>0</v>
      </c>
      <c r="FR273" s="336">
        <f t="shared" si="1713"/>
        <v>0</v>
      </c>
      <c r="FS273" s="336">
        <f t="shared" si="1714"/>
        <v>0</v>
      </c>
      <c r="FT273" s="336">
        <f t="shared" si="1715"/>
        <v>0</v>
      </c>
      <c r="FU273" s="336">
        <f t="shared" si="1782"/>
        <v>0</v>
      </c>
      <c r="FV273" s="336">
        <f t="shared" si="1783"/>
        <v>0</v>
      </c>
      <c r="FW273" s="336">
        <f t="shared" si="1784"/>
        <v>0</v>
      </c>
      <c r="FX273" s="336">
        <f t="shared" si="1785"/>
        <v>0</v>
      </c>
      <c r="FY273" s="336">
        <f t="shared" si="1734"/>
        <v>0</v>
      </c>
      <c r="FZ273" s="336">
        <f t="shared" si="1735"/>
        <v>0</v>
      </c>
      <c r="GA273" s="336">
        <f t="shared" si="1736"/>
        <v>0</v>
      </c>
      <c r="GB273" s="336">
        <f t="shared" si="1737"/>
        <v>0</v>
      </c>
      <c r="GC273" s="336">
        <f t="shared" si="1738"/>
        <v>0</v>
      </c>
      <c r="GD273" s="336">
        <f t="shared" si="1739"/>
        <v>0</v>
      </c>
      <c r="GE273" s="336">
        <f t="shared" si="1740"/>
        <v>0</v>
      </c>
      <c r="GF273" s="336">
        <f t="shared" si="1741"/>
        <v>0</v>
      </c>
      <c r="GG273" s="336">
        <f t="shared" si="1742"/>
        <v>0</v>
      </c>
      <c r="GH273" s="336">
        <f t="shared" si="1743"/>
        <v>0</v>
      </c>
      <c r="GI273" s="336">
        <f t="shared" si="1744"/>
        <v>0</v>
      </c>
      <c r="GJ273" s="336">
        <f t="shared" si="1745"/>
        <v>0</v>
      </c>
      <c r="GK273" s="336">
        <f t="shared" si="1746"/>
        <v>0</v>
      </c>
      <c r="GL273" s="336">
        <f t="shared" si="1786"/>
        <v>0</v>
      </c>
      <c r="GM273" s="336">
        <f t="shared" si="1747"/>
        <v>0</v>
      </c>
    </row>
    <row r="274" spans="1:195" ht="27.75" customHeight="1">
      <c r="A274" s="337">
        <f t="shared" ref="A274:A281" si="1805">A273+1</f>
        <v>220</v>
      </c>
      <c r="B274" s="453"/>
      <c r="C274" s="372" t="str">
        <f t="shared" si="1803"/>
        <v>OCCUPATIONAL HEALTH CENTER HVAC DB</v>
      </c>
      <c r="D274" s="444" t="s">
        <v>1421</v>
      </c>
      <c r="E274" s="569"/>
      <c r="F274" s="500"/>
      <c r="G274" s="337" t="s">
        <v>329</v>
      </c>
      <c r="H274" s="583">
        <v>3.5</v>
      </c>
      <c r="I274" s="337" t="s">
        <v>330</v>
      </c>
      <c r="J274" s="349" t="s">
        <v>331</v>
      </c>
      <c r="K274" s="349">
        <v>400</v>
      </c>
      <c r="L274" s="343">
        <v>0.95</v>
      </c>
      <c r="M274" s="350">
        <v>0.85</v>
      </c>
      <c r="N274" s="342">
        <f t="shared" si="1774"/>
        <v>6.2563009888530603</v>
      </c>
      <c r="O274" s="342">
        <f t="shared" si="1788"/>
        <v>0</v>
      </c>
      <c r="P274" s="343" t="str">
        <f t="shared" si="1775"/>
        <v>0.00</v>
      </c>
      <c r="Q274" s="350">
        <v>65</v>
      </c>
      <c r="R274" s="350">
        <v>0</v>
      </c>
      <c r="S274" s="350">
        <f t="shared" si="1776"/>
        <v>0</v>
      </c>
      <c r="T274" s="343" t="s">
        <v>332</v>
      </c>
      <c r="U274" s="350" t="s">
        <v>522</v>
      </c>
      <c r="V274" s="343">
        <v>4</v>
      </c>
      <c r="W274" s="343" t="str">
        <f t="shared" si="1777"/>
        <v>4C X 4</v>
      </c>
      <c r="X274" s="343" t="str">
        <f t="shared" si="1789"/>
        <v>4C X 4</v>
      </c>
      <c r="Y274" s="343" t="s">
        <v>358</v>
      </c>
      <c r="Z274" s="344">
        <f>IF(T274="AIR",VLOOKUP(W274,'Catalogue Aluminium'!$B$9:$G$93,2,FALSE),IF(T274="GROUND",VLOOKUP(W274,'Catalogue Aluminium'!$B$9:$G$93,3,FALSE),IF(T274="DUCT",VLOOKUP(W274,'Catalogue Aluminium'!$B$9:$G$93,4,FALSE),IF(T274="TRENCH",VLOOKUP(W274,'Catalogue Aluminium'!$B$9:$G$93,2,FALSE)))))</f>
        <v>38</v>
      </c>
      <c r="AA274" s="345">
        <f>VLOOKUP(W274,'Catalogue Aluminium'!$B$9:$G$93,5,FALSE)</f>
        <v>5.9</v>
      </c>
      <c r="AB274" s="345">
        <f>VLOOKUP(W274,'Catalogue Aluminium'!$B$9:$G$93,6,FALSE)</f>
        <v>9.4700000000000006E-2</v>
      </c>
      <c r="AC274" s="343">
        <f t="shared" si="1804"/>
        <v>15</v>
      </c>
      <c r="AD274" s="343">
        <v>0</v>
      </c>
      <c r="AE274" s="343">
        <v>10</v>
      </c>
      <c r="AF274" s="343">
        <v>5</v>
      </c>
      <c r="AG274" s="343">
        <f t="shared" si="1730"/>
        <v>3</v>
      </c>
      <c r="AH274" s="347">
        <f t="shared" si="1790"/>
        <v>33</v>
      </c>
      <c r="AI274" s="344">
        <f>IF(T274="AIR",'Catalogue Aluminium'!$K$9,IF(T274="TRENCH",'Catalogue Aluminium'!$K$12,"NA"))</f>
        <v>0.89</v>
      </c>
      <c r="AJ274" s="342">
        <f>IF(T274="Air",(IF(U274="1C",'Catalogue Aluminium'!$L$9,'Catalogue Aluminium'!$M$9)),IF(T274="DUCT",(IF($U274="1C",'Catalogue Aluminium'!$L$10,'Catalogue Aluminium'!$M$10)),IF(T274="GROUND",(IF($U274="1C",'Catalogue Aluminium'!$L$11,'Catalogue Aluminium'!$M$11)),IF(T274="TRENCH",(IF($U274="1C",'Catalogue Aluminium'!$L$12,'Catalogue Aluminium'!$M$12))))))</f>
        <v>0.66</v>
      </c>
      <c r="AK274" s="344" t="str">
        <f>IF(T274="Air",'Catalogue Aluminium'!$N$9,IF(T274="GROUND",'Catalogue Aluminium'!$N$10,IF(T274="DUCT",'Catalogue Aluminium'!$N$11,IF(T274="TRENCH",'Catalogue Aluminium'!$N$12,"NA"))))</f>
        <v>NA</v>
      </c>
      <c r="AL274" s="344" t="str">
        <f>IF(T274="Air",(IF(U274="1C",'Catalogue Aluminium'!$O$9,'Catalogue Aluminium'!$P$9)),IF(T274="DUCT",(IF($U274="1C",'Catalogue Aluminium'!$O$10,'Catalogue Aluminium'!$P$10)),IF(T274="GROUND",(IF($U274="1C",'Catalogue Aluminium'!$O$11,'Catalogue Aluminium'!$P$11)),IF(T274="TRENCH",(IF($U274="1C",'Catalogue Aluminium'!$O$12,'Catalogue Aluminium'!$P$12))))))</f>
        <v>NA</v>
      </c>
      <c r="AM274" s="344" t="str">
        <f>IF(T274="AIR","NA",IF(T274="TRENCH","NA",IF(T274="DUCT",IF(U274="1C",VLOOKUP(V274,'Catalogue Aluminium'!$Q$9:$S$28,2,FALSE),VLOOKUP(V274,'Catalogue Aluminium'!$Q$9:$S$28,3)),IF(T274="GROUND",IF(U274="1C",VLOOKUP(V274,'Catalogue Aluminium'!$Q$9:$S$28,2,FALSE),VLOOKUP(V274,'Catalogue Aluminium'!$Q$9:$S$28,3))))))</f>
        <v>NA</v>
      </c>
      <c r="AN274" s="351">
        <f t="shared" si="1791"/>
        <v>0.58740000000000003</v>
      </c>
      <c r="AO274" s="350">
        <f t="shared" si="1792"/>
        <v>22.321200000000001</v>
      </c>
      <c r="AP274" s="349">
        <f t="shared" si="1793"/>
        <v>1</v>
      </c>
      <c r="AQ274" s="350" t="str">
        <f t="shared" si="1794"/>
        <v>YES</v>
      </c>
      <c r="AR274" s="351">
        <f t="shared" si="1731"/>
        <v>0.50372440660311057</v>
      </c>
      <c r="AS274" s="343" t="str">
        <f t="shared" si="1732"/>
        <v>YES</v>
      </c>
      <c r="AT274" s="351" t="str">
        <f t="shared" si="1795"/>
        <v>NA</v>
      </c>
      <c r="AU274" s="343" t="str">
        <f t="shared" si="1796"/>
        <v>NA</v>
      </c>
      <c r="AV274" s="354" t="str">
        <f t="shared" si="1797"/>
        <v>1R x 0.6/1kV x 4C x 4 Sqmm</v>
      </c>
      <c r="AW274" s="354" t="str">
        <f t="shared" si="1798"/>
        <v>1R x 0.6/1kV x 4C x 4 Sqmm</v>
      </c>
      <c r="AX274" s="343">
        <f t="shared" si="1799"/>
        <v>33</v>
      </c>
      <c r="AY274" s="355"/>
      <c r="AZ274" s="355">
        <f t="shared" si="1800"/>
        <v>2</v>
      </c>
      <c r="BA274" s="356" t="str">
        <f t="shared" si="1801"/>
        <v/>
      </c>
      <c r="BB274" s="501">
        <f>VLOOKUP(W274,'Catalogue Aluminium'!$B$9:$H$93,7,FALSE)</f>
        <v>16</v>
      </c>
      <c r="BC274" s="328">
        <f t="shared" si="1802"/>
        <v>16</v>
      </c>
      <c r="BE274" s="336"/>
      <c r="BF274" s="336"/>
      <c r="BG274" s="336"/>
      <c r="BH274" s="336"/>
      <c r="BI274" s="336"/>
      <c r="BJ274" s="336"/>
      <c r="BK274" s="336"/>
      <c r="BL274" s="336"/>
      <c r="BM274" s="336"/>
      <c r="BN274" s="336"/>
      <c r="BO274" s="336"/>
      <c r="BP274" s="336"/>
      <c r="BQ274" s="336"/>
      <c r="BR274" s="336"/>
      <c r="BS274" s="336"/>
      <c r="BT274" s="336"/>
      <c r="BU274" s="336"/>
      <c r="BV274" s="336"/>
      <c r="BW274" s="336"/>
      <c r="BX274" s="336"/>
      <c r="BY274" s="336"/>
      <c r="BZ274" s="336"/>
      <c r="CA274" s="336"/>
      <c r="CB274" s="336"/>
      <c r="CC274" s="336"/>
      <c r="CD274" s="336"/>
      <c r="CE274" s="336"/>
      <c r="CF274" s="336"/>
      <c r="CG274" s="336"/>
      <c r="CH274" s="336"/>
      <c r="CI274" s="336"/>
      <c r="CJ274" s="336"/>
      <c r="CK274" s="336"/>
      <c r="CL274" s="336"/>
      <c r="CM274" s="336"/>
      <c r="CN274" s="336"/>
      <c r="CO274" s="336"/>
      <c r="CP274" s="336"/>
      <c r="CQ274" s="336"/>
      <c r="CR274" s="336"/>
      <c r="CS274" s="336"/>
      <c r="CT274" s="336"/>
      <c r="CU274" s="336"/>
      <c r="CV274" s="336"/>
      <c r="CW274" s="336"/>
      <c r="CX274" s="336"/>
      <c r="CY274" s="336"/>
      <c r="CZ274" s="336"/>
      <c r="DA274" s="336"/>
      <c r="DB274" s="336"/>
      <c r="DC274" s="336"/>
      <c r="DD274" s="336"/>
      <c r="DE274" s="336"/>
      <c r="DF274" s="336"/>
      <c r="DG274" s="336"/>
      <c r="DH274" s="336"/>
      <c r="DI274" s="336"/>
      <c r="DJ274" s="336"/>
      <c r="DK274" s="336"/>
      <c r="DL274" s="336"/>
      <c r="DM274" s="336"/>
      <c r="DN274" s="336"/>
      <c r="DO274" s="336"/>
      <c r="DP274" s="336"/>
      <c r="DQ274" s="336"/>
      <c r="DR274" s="336"/>
      <c r="DS274" s="336"/>
      <c r="DT274" s="336"/>
      <c r="DU274" s="336"/>
      <c r="DW274" s="336">
        <f t="shared" si="1733"/>
        <v>0</v>
      </c>
      <c r="DX274" s="336">
        <f t="shared" si="1668"/>
        <v>0</v>
      </c>
      <c r="DY274" s="336">
        <f t="shared" si="1669"/>
        <v>0</v>
      </c>
      <c r="DZ274" s="336">
        <f t="shared" si="1670"/>
        <v>0</v>
      </c>
      <c r="EA274" s="336">
        <f t="shared" si="1671"/>
        <v>0</v>
      </c>
      <c r="EB274" s="336">
        <f t="shared" si="1672"/>
        <v>0</v>
      </c>
      <c r="EC274" s="336">
        <f t="shared" si="1673"/>
        <v>0</v>
      </c>
      <c r="ED274" s="336">
        <f t="shared" si="1674"/>
        <v>0</v>
      </c>
      <c r="EE274" s="336">
        <f t="shared" si="1675"/>
        <v>0</v>
      </c>
      <c r="EF274" s="336">
        <f t="shared" si="1676"/>
        <v>0</v>
      </c>
      <c r="EG274" s="336">
        <f t="shared" si="1677"/>
        <v>0</v>
      </c>
      <c r="EH274" s="336">
        <f t="shared" si="1678"/>
        <v>0</v>
      </c>
      <c r="EI274" s="336">
        <f t="shared" si="1679"/>
        <v>0</v>
      </c>
      <c r="EJ274" s="336">
        <f t="shared" si="1680"/>
        <v>0</v>
      </c>
      <c r="EK274" s="336">
        <f t="shared" si="1681"/>
        <v>0</v>
      </c>
      <c r="EL274" s="336">
        <f t="shared" si="1682"/>
        <v>0</v>
      </c>
      <c r="EM274" s="336">
        <f t="shared" si="1683"/>
        <v>0</v>
      </c>
      <c r="EN274" s="336">
        <f t="shared" si="1684"/>
        <v>0</v>
      </c>
      <c r="EO274" s="336">
        <f t="shared" si="1685"/>
        <v>0</v>
      </c>
      <c r="EP274" s="336">
        <f t="shared" si="1686"/>
        <v>0</v>
      </c>
      <c r="EQ274" s="336">
        <f t="shared" si="1687"/>
        <v>0</v>
      </c>
      <c r="ER274" s="336">
        <f t="shared" si="1688"/>
        <v>0</v>
      </c>
      <c r="ES274" s="336">
        <f t="shared" si="1689"/>
        <v>0</v>
      </c>
      <c r="ET274" s="336">
        <f t="shared" si="1689"/>
        <v>0</v>
      </c>
      <c r="EU274" s="336">
        <f t="shared" si="1690"/>
        <v>0</v>
      </c>
      <c r="EV274" s="336">
        <f t="shared" si="1691"/>
        <v>0</v>
      </c>
      <c r="EW274" s="336">
        <f t="shared" si="1692"/>
        <v>0</v>
      </c>
      <c r="EX274" s="336">
        <f t="shared" si="1693"/>
        <v>0</v>
      </c>
      <c r="EY274" s="336">
        <f t="shared" si="1694"/>
        <v>0</v>
      </c>
      <c r="EZ274" s="336">
        <f t="shared" si="1695"/>
        <v>0</v>
      </c>
      <c r="FA274" s="336">
        <f t="shared" si="1696"/>
        <v>0</v>
      </c>
      <c r="FB274" s="336">
        <f t="shared" si="1697"/>
        <v>0</v>
      </c>
      <c r="FC274" s="336">
        <f t="shared" si="1698"/>
        <v>0</v>
      </c>
      <c r="FD274" s="336">
        <f t="shared" si="1699"/>
        <v>0</v>
      </c>
      <c r="FE274" s="336">
        <f t="shared" si="1700"/>
        <v>0</v>
      </c>
      <c r="FF274" s="336">
        <f t="shared" si="1701"/>
        <v>0</v>
      </c>
      <c r="FG274" s="336">
        <f t="shared" si="1702"/>
        <v>0</v>
      </c>
      <c r="FH274" s="336">
        <f t="shared" si="1703"/>
        <v>0</v>
      </c>
      <c r="FI274" s="336">
        <f t="shared" si="1704"/>
        <v>0</v>
      </c>
      <c r="FJ274" s="336">
        <f t="shared" si="1705"/>
        <v>0</v>
      </c>
      <c r="FK274" s="336">
        <f t="shared" si="1706"/>
        <v>0</v>
      </c>
      <c r="FL274" s="336">
        <f t="shared" si="1707"/>
        <v>0</v>
      </c>
      <c r="FM274" s="336">
        <f t="shared" si="1708"/>
        <v>0</v>
      </c>
      <c r="FN274" s="336">
        <f t="shared" si="1709"/>
        <v>0</v>
      </c>
      <c r="FO274" s="336">
        <f t="shared" si="1710"/>
        <v>0</v>
      </c>
      <c r="FP274" s="336">
        <f t="shared" si="1711"/>
        <v>0</v>
      </c>
      <c r="FQ274" s="336">
        <f t="shared" si="1712"/>
        <v>0</v>
      </c>
      <c r="FR274" s="336">
        <f t="shared" si="1713"/>
        <v>0</v>
      </c>
      <c r="FS274" s="336">
        <f t="shared" si="1714"/>
        <v>0</v>
      </c>
      <c r="FT274" s="336">
        <f t="shared" si="1715"/>
        <v>0</v>
      </c>
      <c r="FU274" s="336">
        <f t="shared" si="1782"/>
        <v>0</v>
      </c>
      <c r="FV274" s="336">
        <f t="shared" si="1783"/>
        <v>0</v>
      </c>
      <c r="FW274" s="336">
        <f t="shared" si="1784"/>
        <v>0</v>
      </c>
      <c r="FX274" s="336">
        <f t="shared" si="1785"/>
        <v>0</v>
      </c>
      <c r="FY274" s="336">
        <f t="shared" si="1734"/>
        <v>0</v>
      </c>
      <c r="FZ274" s="336">
        <f t="shared" si="1735"/>
        <v>0</v>
      </c>
      <c r="GA274" s="336">
        <f t="shared" si="1736"/>
        <v>0</v>
      </c>
      <c r="GB274" s="336">
        <f t="shared" si="1737"/>
        <v>0</v>
      </c>
      <c r="GC274" s="336">
        <f t="shared" si="1738"/>
        <v>0</v>
      </c>
      <c r="GD274" s="336">
        <f t="shared" si="1739"/>
        <v>0</v>
      </c>
      <c r="GE274" s="336">
        <f t="shared" si="1740"/>
        <v>0</v>
      </c>
      <c r="GF274" s="336">
        <f t="shared" si="1741"/>
        <v>0</v>
      </c>
      <c r="GG274" s="336">
        <f t="shared" si="1742"/>
        <v>0</v>
      </c>
      <c r="GH274" s="336">
        <f t="shared" si="1743"/>
        <v>0</v>
      </c>
      <c r="GI274" s="336">
        <f t="shared" si="1744"/>
        <v>0</v>
      </c>
      <c r="GJ274" s="336">
        <f t="shared" si="1745"/>
        <v>0</v>
      </c>
      <c r="GK274" s="336">
        <f t="shared" si="1746"/>
        <v>0</v>
      </c>
      <c r="GL274" s="336">
        <f t="shared" si="1786"/>
        <v>0</v>
      </c>
      <c r="GM274" s="336">
        <f t="shared" si="1747"/>
        <v>0</v>
      </c>
    </row>
    <row r="275" spans="1:195" ht="27.75" customHeight="1">
      <c r="A275" s="337">
        <f t="shared" si="1805"/>
        <v>221</v>
      </c>
      <c r="B275" s="453"/>
      <c r="C275" s="372" t="str">
        <f t="shared" si="1803"/>
        <v>OCCUPATIONAL HEALTH CENTER HVAC DB</v>
      </c>
      <c r="D275" s="444" t="s">
        <v>1422</v>
      </c>
      <c r="E275" s="569"/>
      <c r="F275" s="500"/>
      <c r="G275" s="337" t="s">
        <v>329</v>
      </c>
      <c r="H275" s="583">
        <v>3.5</v>
      </c>
      <c r="I275" s="337" t="s">
        <v>330</v>
      </c>
      <c r="J275" s="349" t="s">
        <v>331</v>
      </c>
      <c r="K275" s="349">
        <v>400</v>
      </c>
      <c r="L275" s="343">
        <v>0.95</v>
      </c>
      <c r="M275" s="350">
        <v>0.85</v>
      </c>
      <c r="N275" s="342">
        <f t="shared" si="1774"/>
        <v>6.2563009888530603</v>
      </c>
      <c r="O275" s="342">
        <f t="shared" si="1788"/>
        <v>0</v>
      </c>
      <c r="P275" s="343" t="str">
        <f t="shared" si="1775"/>
        <v>0.00</v>
      </c>
      <c r="Q275" s="350">
        <v>65</v>
      </c>
      <c r="R275" s="350">
        <v>0</v>
      </c>
      <c r="S275" s="350">
        <f t="shared" si="1776"/>
        <v>0</v>
      </c>
      <c r="T275" s="343" t="s">
        <v>332</v>
      </c>
      <c r="U275" s="350" t="s">
        <v>522</v>
      </c>
      <c r="V275" s="343">
        <v>4</v>
      </c>
      <c r="W275" s="343" t="str">
        <f t="shared" si="1777"/>
        <v>4C X 4</v>
      </c>
      <c r="X275" s="343" t="str">
        <f t="shared" si="1789"/>
        <v>4C X 4</v>
      </c>
      <c r="Y275" s="343" t="s">
        <v>358</v>
      </c>
      <c r="Z275" s="344">
        <f>IF(T275="AIR",VLOOKUP(W275,'Catalogue Aluminium'!$B$9:$G$93,2,FALSE),IF(T275="GROUND",VLOOKUP(W275,'Catalogue Aluminium'!$B$9:$G$93,3,FALSE),IF(T275="DUCT",VLOOKUP(W275,'Catalogue Aluminium'!$B$9:$G$93,4,FALSE),IF(T275="TRENCH",VLOOKUP(W275,'Catalogue Aluminium'!$B$9:$G$93,2,FALSE)))))</f>
        <v>38</v>
      </c>
      <c r="AA275" s="345">
        <f>VLOOKUP(W275,'Catalogue Aluminium'!$B$9:$G$93,5,FALSE)</f>
        <v>5.9</v>
      </c>
      <c r="AB275" s="345">
        <f>VLOOKUP(W275,'Catalogue Aluminium'!$B$9:$G$93,6,FALSE)</f>
        <v>9.4700000000000006E-2</v>
      </c>
      <c r="AC275" s="343">
        <f t="shared" si="1804"/>
        <v>15</v>
      </c>
      <c r="AD275" s="343">
        <v>0</v>
      </c>
      <c r="AE275" s="343">
        <v>10</v>
      </c>
      <c r="AF275" s="343">
        <v>5</v>
      </c>
      <c r="AG275" s="343">
        <f t="shared" si="1730"/>
        <v>3</v>
      </c>
      <c r="AH275" s="347">
        <f t="shared" si="1790"/>
        <v>33</v>
      </c>
      <c r="AI275" s="344">
        <f>IF(T275="AIR",'Catalogue Aluminium'!$K$9,IF(T275="TRENCH",'Catalogue Aluminium'!$K$12,"NA"))</f>
        <v>0.89</v>
      </c>
      <c r="AJ275" s="342">
        <f>IF(T275="Air",(IF(U275="1C",'Catalogue Aluminium'!$L$9,'Catalogue Aluminium'!$M$9)),IF(T275="DUCT",(IF($U275="1C",'Catalogue Aluminium'!$L$10,'Catalogue Aluminium'!$M$10)),IF(T275="GROUND",(IF($U275="1C",'Catalogue Aluminium'!$L$11,'Catalogue Aluminium'!$M$11)),IF(T275="TRENCH",(IF($U275="1C",'Catalogue Aluminium'!$L$12,'Catalogue Aluminium'!$M$12))))))</f>
        <v>0.66</v>
      </c>
      <c r="AK275" s="344" t="str">
        <f>IF(T275="Air",'Catalogue Aluminium'!$N$9,IF(T275="GROUND",'Catalogue Aluminium'!$N$10,IF(T275="DUCT",'Catalogue Aluminium'!$N$11,IF(T275="TRENCH",'Catalogue Aluminium'!$N$12,"NA"))))</f>
        <v>NA</v>
      </c>
      <c r="AL275" s="344" t="str">
        <f>IF(T275="Air",(IF(U275="1C",'Catalogue Aluminium'!$O$9,'Catalogue Aluminium'!$P$9)),IF(T275="DUCT",(IF($U275="1C",'Catalogue Aluminium'!$O$10,'Catalogue Aluminium'!$P$10)),IF(T275="GROUND",(IF($U275="1C",'Catalogue Aluminium'!$O$11,'Catalogue Aluminium'!$P$11)),IF(T275="TRENCH",(IF($U275="1C",'Catalogue Aluminium'!$O$12,'Catalogue Aluminium'!$P$12))))))</f>
        <v>NA</v>
      </c>
      <c r="AM275" s="344" t="str">
        <f>IF(T275="AIR","NA",IF(T275="TRENCH","NA",IF(T275="DUCT",IF(U275="1C",VLOOKUP(V275,'Catalogue Aluminium'!$Q$9:$S$28,2,FALSE),VLOOKUP(V275,'Catalogue Aluminium'!$Q$9:$S$28,3)),IF(T275="GROUND",IF(U275="1C",VLOOKUP(V275,'Catalogue Aluminium'!$Q$9:$S$28,2,FALSE),VLOOKUP(V275,'Catalogue Aluminium'!$Q$9:$S$28,3))))))</f>
        <v>NA</v>
      </c>
      <c r="AN275" s="351">
        <f t="shared" si="1791"/>
        <v>0.58740000000000003</v>
      </c>
      <c r="AO275" s="350">
        <f t="shared" si="1792"/>
        <v>22.321200000000001</v>
      </c>
      <c r="AP275" s="349">
        <f t="shared" si="1793"/>
        <v>1</v>
      </c>
      <c r="AQ275" s="350" t="str">
        <f t="shared" si="1794"/>
        <v>YES</v>
      </c>
      <c r="AR275" s="351">
        <f t="shared" si="1731"/>
        <v>0.50372440660311057</v>
      </c>
      <c r="AS275" s="343" t="str">
        <f t="shared" si="1732"/>
        <v>YES</v>
      </c>
      <c r="AT275" s="351" t="str">
        <f t="shared" si="1795"/>
        <v>NA</v>
      </c>
      <c r="AU275" s="343" t="str">
        <f t="shared" si="1796"/>
        <v>NA</v>
      </c>
      <c r="AV275" s="354" t="str">
        <f t="shared" si="1797"/>
        <v>1R x 0.6/1kV x 4C x 4 Sqmm</v>
      </c>
      <c r="AW275" s="354" t="str">
        <f t="shared" si="1798"/>
        <v>1R x 0.6/1kV x 4C x 4 Sqmm</v>
      </c>
      <c r="AX275" s="343">
        <f t="shared" si="1799"/>
        <v>33</v>
      </c>
      <c r="AY275" s="355"/>
      <c r="AZ275" s="355">
        <f t="shared" si="1800"/>
        <v>2</v>
      </c>
      <c r="BA275" s="356" t="str">
        <f t="shared" si="1801"/>
        <v/>
      </c>
      <c r="BB275" s="501">
        <f>VLOOKUP(W275,'Catalogue Aluminium'!$B$9:$H$93,7,FALSE)</f>
        <v>16</v>
      </c>
      <c r="BC275" s="328">
        <f t="shared" si="1802"/>
        <v>16</v>
      </c>
      <c r="BE275" s="336"/>
      <c r="BF275" s="336"/>
      <c r="BG275" s="336"/>
      <c r="BH275" s="336"/>
      <c r="BI275" s="336"/>
      <c r="BJ275" s="336"/>
      <c r="BK275" s="336"/>
      <c r="BL275" s="336"/>
      <c r="BM275" s="336"/>
      <c r="BN275" s="336"/>
      <c r="BO275" s="336"/>
      <c r="BP275" s="336"/>
      <c r="BQ275" s="336"/>
      <c r="BR275" s="336"/>
      <c r="BS275" s="336"/>
      <c r="BT275" s="336"/>
      <c r="BU275" s="336"/>
      <c r="BV275" s="336"/>
      <c r="BW275" s="336"/>
      <c r="BX275" s="336"/>
      <c r="BY275" s="336"/>
      <c r="BZ275" s="336"/>
      <c r="CA275" s="336"/>
      <c r="CB275" s="336"/>
      <c r="CC275" s="336"/>
      <c r="CD275" s="336"/>
      <c r="CE275" s="336"/>
      <c r="CF275" s="336"/>
      <c r="CG275" s="336"/>
      <c r="CH275" s="336"/>
      <c r="CI275" s="336"/>
      <c r="CJ275" s="336"/>
      <c r="CK275" s="336"/>
      <c r="CL275" s="336"/>
      <c r="CM275" s="336"/>
      <c r="CN275" s="336"/>
      <c r="CO275" s="336"/>
      <c r="CP275" s="336"/>
      <c r="CQ275" s="336"/>
      <c r="CR275" s="336"/>
      <c r="CS275" s="336"/>
      <c r="CT275" s="336"/>
      <c r="CU275" s="336"/>
      <c r="CV275" s="336"/>
      <c r="CW275" s="336"/>
      <c r="CX275" s="336"/>
      <c r="CY275" s="336"/>
      <c r="CZ275" s="336"/>
      <c r="DA275" s="336"/>
      <c r="DB275" s="336"/>
      <c r="DC275" s="336"/>
      <c r="DD275" s="336"/>
      <c r="DE275" s="336"/>
      <c r="DF275" s="336"/>
      <c r="DG275" s="336"/>
      <c r="DH275" s="336"/>
      <c r="DI275" s="336"/>
      <c r="DJ275" s="336"/>
      <c r="DK275" s="336"/>
      <c r="DL275" s="336"/>
      <c r="DM275" s="336"/>
      <c r="DN275" s="336"/>
      <c r="DO275" s="336"/>
      <c r="DP275" s="336"/>
      <c r="DQ275" s="336"/>
      <c r="DR275" s="336"/>
      <c r="DS275" s="336"/>
      <c r="DT275" s="336"/>
      <c r="DU275" s="336"/>
      <c r="DW275" s="336">
        <f t="shared" si="1733"/>
        <v>0</v>
      </c>
      <c r="DX275" s="336">
        <f t="shared" si="1668"/>
        <v>0</v>
      </c>
      <c r="DY275" s="336">
        <f t="shared" si="1669"/>
        <v>0</v>
      </c>
      <c r="DZ275" s="336">
        <f t="shared" si="1670"/>
        <v>0</v>
      </c>
      <c r="EA275" s="336">
        <f t="shared" si="1671"/>
        <v>0</v>
      </c>
      <c r="EB275" s="336">
        <f t="shared" si="1672"/>
        <v>0</v>
      </c>
      <c r="EC275" s="336">
        <f t="shared" si="1673"/>
        <v>0</v>
      </c>
      <c r="ED275" s="336">
        <f t="shared" si="1674"/>
        <v>0</v>
      </c>
      <c r="EE275" s="336">
        <f t="shared" si="1675"/>
        <v>0</v>
      </c>
      <c r="EF275" s="336">
        <f t="shared" si="1676"/>
        <v>0</v>
      </c>
      <c r="EG275" s="336">
        <f t="shared" si="1677"/>
        <v>0</v>
      </c>
      <c r="EH275" s="336">
        <f t="shared" si="1678"/>
        <v>0</v>
      </c>
      <c r="EI275" s="336">
        <f t="shared" si="1679"/>
        <v>0</v>
      </c>
      <c r="EJ275" s="336">
        <f t="shared" si="1680"/>
        <v>0</v>
      </c>
      <c r="EK275" s="336">
        <f t="shared" si="1681"/>
        <v>0</v>
      </c>
      <c r="EL275" s="336">
        <f t="shared" si="1682"/>
        <v>0</v>
      </c>
      <c r="EM275" s="336">
        <f t="shared" si="1683"/>
        <v>0</v>
      </c>
      <c r="EN275" s="336">
        <f t="shared" si="1684"/>
        <v>0</v>
      </c>
      <c r="EO275" s="336">
        <f t="shared" si="1685"/>
        <v>0</v>
      </c>
      <c r="EP275" s="336">
        <f t="shared" si="1686"/>
        <v>0</v>
      </c>
      <c r="EQ275" s="336">
        <f t="shared" si="1687"/>
        <v>0</v>
      </c>
      <c r="ER275" s="336">
        <f t="shared" si="1688"/>
        <v>0</v>
      </c>
      <c r="ES275" s="336">
        <f t="shared" si="1689"/>
        <v>0</v>
      </c>
      <c r="ET275" s="336">
        <f t="shared" si="1689"/>
        <v>0</v>
      </c>
      <c r="EU275" s="336">
        <f t="shared" si="1690"/>
        <v>0</v>
      </c>
      <c r="EV275" s="336">
        <f t="shared" si="1691"/>
        <v>0</v>
      </c>
      <c r="EW275" s="336">
        <f t="shared" si="1692"/>
        <v>0</v>
      </c>
      <c r="EX275" s="336">
        <f t="shared" si="1693"/>
        <v>0</v>
      </c>
      <c r="EY275" s="336">
        <f t="shared" si="1694"/>
        <v>0</v>
      </c>
      <c r="EZ275" s="336">
        <f t="shared" si="1695"/>
        <v>0</v>
      </c>
      <c r="FA275" s="336">
        <f t="shared" si="1696"/>
        <v>0</v>
      </c>
      <c r="FB275" s="336">
        <f t="shared" si="1697"/>
        <v>0</v>
      </c>
      <c r="FC275" s="336">
        <f t="shared" si="1698"/>
        <v>0</v>
      </c>
      <c r="FD275" s="336">
        <f t="shared" si="1699"/>
        <v>0</v>
      </c>
      <c r="FE275" s="336">
        <f t="shared" si="1700"/>
        <v>0</v>
      </c>
      <c r="FF275" s="336">
        <f t="shared" si="1701"/>
        <v>0</v>
      </c>
      <c r="FG275" s="336">
        <f t="shared" si="1702"/>
        <v>0</v>
      </c>
      <c r="FH275" s="336">
        <f t="shared" si="1703"/>
        <v>0</v>
      </c>
      <c r="FI275" s="336">
        <f t="shared" si="1704"/>
        <v>0</v>
      </c>
      <c r="FJ275" s="336">
        <f t="shared" si="1705"/>
        <v>0</v>
      </c>
      <c r="FK275" s="336">
        <f t="shared" si="1706"/>
        <v>0</v>
      </c>
      <c r="FL275" s="336">
        <f t="shared" si="1707"/>
        <v>0</v>
      </c>
      <c r="FM275" s="336">
        <f t="shared" si="1708"/>
        <v>0</v>
      </c>
      <c r="FN275" s="336">
        <f t="shared" si="1709"/>
        <v>0</v>
      </c>
      <c r="FO275" s="336">
        <f t="shared" si="1710"/>
        <v>0</v>
      </c>
      <c r="FP275" s="336">
        <f t="shared" si="1711"/>
        <v>0</v>
      </c>
      <c r="FQ275" s="336">
        <f t="shared" si="1712"/>
        <v>0</v>
      </c>
      <c r="FR275" s="336">
        <f t="shared" si="1713"/>
        <v>0</v>
      </c>
      <c r="FS275" s="336">
        <f t="shared" si="1714"/>
        <v>0</v>
      </c>
      <c r="FT275" s="336">
        <f t="shared" si="1715"/>
        <v>0</v>
      </c>
      <c r="FU275" s="336">
        <f t="shared" si="1782"/>
        <v>0</v>
      </c>
      <c r="FV275" s="336">
        <f t="shared" si="1783"/>
        <v>0</v>
      </c>
      <c r="FW275" s="336">
        <f t="shared" si="1784"/>
        <v>0</v>
      </c>
      <c r="FX275" s="336">
        <f t="shared" si="1785"/>
        <v>0</v>
      </c>
      <c r="FY275" s="336">
        <f t="shared" si="1734"/>
        <v>0</v>
      </c>
      <c r="FZ275" s="336">
        <f t="shared" si="1735"/>
        <v>0</v>
      </c>
      <c r="GA275" s="336">
        <f t="shared" si="1736"/>
        <v>0</v>
      </c>
      <c r="GB275" s="336">
        <f t="shared" si="1737"/>
        <v>0</v>
      </c>
      <c r="GC275" s="336">
        <f t="shared" si="1738"/>
        <v>0</v>
      </c>
      <c r="GD275" s="336">
        <f t="shared" si="1739"/>
        <v>0</v>
      </c>
      <c r="GE275" s="336">
        <f t="shared" si="1740"/>
        <v>0</v>
      </c>
      <c r="GF275" s="336">
        <f t="shared" si="1741"/>
        <v>0</v>
      </c>
      <c r="GG275" s="336">
        <f t="shared" si="1742"/>
        <v>0</v>
      </c>
      <c r="GH275" s="336">
        <f t="shared" si="1743"/>
        <v>0</v>
      </c>
      <c r="GI275" s="336">
        <f t="shared" si="1744"/>
        <v>0</v>
      </c>
      <c r="GJ275" s="336">
        <f t="shared" si="1745"/>
        <v>0</v>
      </c>
      <c r="GK275" s="336">
        <f t="shared" si="1746"/>
        <v>0</v>
      </c>
      <c r="GL275" s="336">
        <f t="shared" si="1786"/>
        <v>0</v>
      </c>
      <c r="GM275" s="336">
        <f t="shared" si="1747"/>
        <v>0</v>
      </c>
    </row>
    <row r="276" spans="1:195" ht="27.75" customHeight="1">
      <c r="A276" s="337">
        <f t="shared" si="1805"/>
        <v>222</v>
      </c>
      <c r="B276" s="453"/>
      <c r="C276" s="372" t="str">
        <f t="shared" si="1803"/>
        <v>OCCUPATIONAL HEALTH CENTER HVAC DB</v>
      </c>
      <c r="D276" s="444" t="s">
        <v>1423</v>
      </c>
      <c r="E276" s="569"/>
      <c r="F276" s="500"/>
      <c r="G276" s="337" t="s">
        <v>329</v>
      </c>
      <c r="H276" s="583">
        <v>3.5</v>
      </c>
      <c r="I276" s="337" t="s">
        <v>330</v>
      </c>
      <c r="J276" s="349" t="s">
        <v>331</v>
      </c>
      <c r="K276" s="349">
        <v>400</v>
      </c>
      <c r="L276" s="343">
        <v>0.95</v>
      </c>
      <c r="M276" s="350">
        <v>0.85</v>
      </c>
      <c r="N276" s="342">
        <f t="shared" si="1774"/>
        <v>6.2563009888530603</v>
      </c>
      <c r="O276" s="342">
        <f t="shared" si="1788"/>
        <v>0</v>
      </c>
      <c r="P276" s="343" t="str">
        <f t="shared" si="1775"/>
        <v>0.00</v>
      </c>
      <c r="Q276" s="350">
        <v>65</v>
      </c>
      <c r="R276" s="350">
        <v>0</v>
      </c>
      <c r="S276" s="350">
        <f t="shared" si="1776"/>
        <v>0</v>
      </c>
      <c r="T276" s="343" t="s">
        <v>332</v>
      </c>
      <c r="U276" s="350" t="s">
        <v>522</v>
      </c>
      <c r="V276" s="343">
        <v>4</v>
      </c>
      <c r="W276" s="343" t="str">
        <f t="shared" si="1777"/>
        <v>4C X 4</v>
      </c>
      <c r="X276" s="343" t="str">
        <f t="shared" si="1789"/>
        <v>4C X 4</v>
      </c>
      <c r="Y276" s="343" t="s">
        <v>358</v>
      </c>
      <c r="Z276" s="344">
        <f>IF(T276="AIR",VLOOKUP(W276,'Catalogue Aluminium'!$B$9:$G$93,2,FALSE),IF(T276="GROUND",VLOOKUP(W276,'Catalogue Aluminium'!$B$9:$G$93,3,FALSE),IF(T276="DUCT",VLOOKUP(W276,'Catalogue Aluminium'!$B$9:$G$93,4,FALSE),IF(T276="TRENCH",VLOOKUP(W276,'Catalogue Aluminium'!$B$9:$G$93,2,FALSE)))))</f>
        <v>38</v>
      </c>
      <c r="AA276" s="345">
        <f>VLOOKUP(W276,'Catalogue Aluminium'!$B$9:$G$93,5,FALSE)</f>
        <v>5.9</v>
      </c>
      <c r="AB276" s="345">
        <f>VLOOKUP(W276,'Catalogue Aluminium'!$B$9:$G$93,6,FALSE)</f>
        <v>9.4700000000000006E-2</v>
      </c>
      <c r="AC276" s="343">
        <f t="shared" si="1804"/>
        <v>15</v>
      </c>
      <c r="AD276" s="343">
        <v>0</v>
      </c>
      <c r="AE276" s="343">
        <v>10</v>
      </c>
      <c r="AF276" s="343">
        <v>5</v>
      </c>
      <c r="AG276" s="343">
        <f t="shared" si="1730"/>
        <v>3</v>
      </c>
      <c r="AH276" s="347">
        <f t="shared" si="1790"/>
        <v>33</v>
      </c>
      <c r="AI276" s="344">
        <f>IF(T276="AIR",'Catalogue Aluminium'!$K$9,IF(T276="TRENCH",'Catalogue Aluminium'!$K$12,"NA"))</f>
        <v>0.89</v>
      </c>
      <c r="AJ276" s="342">
        <f>IF(T276="Air",(IF(U276="1C",'Catalogue Aluminium'!$L$9,'Catalogue Aluminium'!$M$9)),IF(T276="DUCT",(IF($U276="1C",'Catalogue Aluminium'!$L$10,'Catalogue Aluminium'!$M$10)),IF(T276="GROUND",(IF($U276="1C",'Catalogue Aluminium'!$L$11,'Catalogue Aluminium'!$M$11)),IF(T276="TRENCH",(IF($U276="1C",'Catalogue Aluminium'!$L$12,'Catalogue Aluminium'!$M$12))))))</f>
        <v>0.66</v>
      </c>
      <c r="AK276" s="344" t="str">
        <f>IF(T276="Air",'Catalogue Aluminium'!$N$9,IF(T276="GROUND",'Catalogue Aluminium'!$N$10,IF(T276="DUCT",'Catalogue Aluminium'!$N$11,IF(T276="TRENCH",'Catalogue Aluminium'!$N$12,"NA"))))</f>
        <v>NA</v>
      </c>
      <c r="AL276" s="344" t="str">
        <f>IF(T276="Air",(IF(U276="1C",'Catalogue Aluminium'!$O$9,'Catalogue Aluminium'!$P$9)),IF(T276="DUCT",(IF($U276="1C",'Catalogue Aluminium'!$O$10,'Catalogue Aluminium'!$P$10)),IF(T276="GROUND",(IF($U276="1C",'Catalogue Aluminium'!$O$11,'Catalogue Aluminium'!$P$11)),IF(T276="TRENCH",(IF($U276="1C",'Catalogue Aluminium'!$O$12,'Catalogue Aluminium'!$P$12))))))</f>
        <v>NA</v>
      </c>
      <c r="AM276" s="344" t="str">
        <f>IF(T276="AIR","NA",IF(T276="TRENCH","NA",IF(T276="DUCT",IF(U276="1C",VLOOKUP(V276,'Catalogue Aluminium'!$Q$9:$S$28,2,FALSE),VLOOKUP(V276,'Catalogue Aluminium'!$Q$9:$S$28,3)),IF(T276="GROUND",IF(U276="1C",VLOOKUP(V276,'Catalogue Aluminium'!$Q$9:$S$28,2,FALSE),VLOOKUP(V276,'Catalogue Aluminium'!$Q$9:$S$28,3))))))</f>
        <v>NA</v>
      </c>
      <c r="AN276" s="351">
        <f t="shared" si="1791"/>
        <v>0.58740000000000003</v>
      </c>
      <c r="AO276" s="350">
        <f t="shared" si="1792"/>
        <v>22.321200000000001</v>
      </c>
      <c r="AP276" s="349">
        <f t="shared" si="1793"/>
        <v>1</v>
      </c>
      <c r="AQ276" s="350" t="str">
        <f t="shared" si="1794"/>
        <v>YES</v>
      </c>
      <c r="AR276" s="351">
        <f t="shared" si="1731"/>
        <v>0.50372440660311057</v>
      </c>
      <c r="AS276" s="343" t="str">
        <f t="shared" si="1732"/>
        <v>YES</v>
      </c>
      <c r="AT276" s="351" t="str">
        <f t="shared" si="1795"/>
        <v>NA</v>
      </c>
      <c r="AU276" s="343" t="str">
        <f t="shared" si="1796"/>
        <v>NA</v>
      </c>
      <c r="AV276" s="354" t="str">
        <f t="shared" si="1797"/>
        <v>1R x 0.6/1kV x 4C x 4 Sqmm</v>
      </c>
      <c r="AW276" s="354" t="str">
        <f t="shared" si="1798"/>
        <v>1R x 0.6/1kV x 4C x 4 Sqmm</v>
      </c>
      <c r="AX276" s="343">
        <f t="shared" si="1799"/>
        <v>33</v>
      </c>
      <c r="AY276" s="355"/>
      <c r="AZ276" s="355">
        <f t="shared" si="1800"/>
        <v>2</v>
      </c>
      <c r="BA276" s="356" t="str">
        <f t="shared" si="1801"/>
        <v/>
      </c>
      <c r="BB276" s="501">
        <f>VLOOKUP(W276,'Catalogue Aluminium'!$B$9:$H$93,7,FALSE)</f>
        <v>16</v>
      </c>
      <c r="BC276" s="328">
        <f t="shared" si="1802"/>
        <v>16</v>
      </c>
      <c r="BE276" s="336"/>
      <c r="BF276" s="336"/>
      <c r="BG276" s="336"/>
      <c r="BH276" s="336"/>
      <c r="BI276" s="336"/>
      <c r="BJ276" s="336"/>
      <c r="BK276" s="336"/>
      <c r="BL276" s="336"/>
      <c r="BM276" s="336"/>
      <c r="BN276" s="336"/>
      <c r="BO276" s="336"/>
      <c r="BP276" s="336"/>
      <c r="BQ276" s="336"/>
      <c r="BR276" s="336"/>
      <c r="BS276" s="336"/>
      <c r="BT276" s="336"/>
      <c r="BU276" s="336"/>
      <c r="BV276" s="336"/>
      <c r="BW276" s="336"/>
      <c r="BX276" s="336"/>
      <c r="BY276" s="336"/>
      <c r="BZ276" s="336"/>
      <c r="CA276" s="336"/>
      <c r="CB276" s="336"/>
      <c r="CC276" s="336"/>
      <c r="CD276" s="336"/>
      <c r="CE276" s="336"/>
      <c r="CF276" s="336"/>
      <c r="CG276" s="336"/>
      <c r="CH276" s="336"/>
      <c r="CI276" s="336"/>
      <c r="CJ276" s="336"/>
      <c r="CK276" s="336"/>
      <c r="CL276" s="336"/>
      <c r="CM276" s="336"/>
      <c r="CN276" s="336"/>
      <c r="CO276" s="336"/>
      <c r="CP276" s="336"/>
      <c r="CQ276" s="336"/>
      <c r="CR276" s="336"/>
      <c r="CS276" s="336"/>
      <c r="CT276" s="336"/>
      <c r="CU276" s="336"/>
      <c r="CV276" s="336"/>
      <c r="CW276" s="336"/>
      <c r="CX276" s="336"/>
      <c r="CY276" s="336"/>
      <c r="CZ276" s="336"/>
      <c r="DA276" s="336"/>
      <c r="DB276" s="336"/>
      <c r="DC276" s="336"/>
      <c r="DD276" s="336"/>
      <c r="DE276" s="336"/>
      <c r="DF276" s="336"/>
      <c r="DG276" s="336"/>
      <c r="DH276" s="336"/>
      <c r="DI276" s="336"/>
      <c r="DJ276" s="336"/>
      <c r="DK276" s="336"/>
      <c r="DL276" s="336"/>
      <c r="DM276" s="336"/>
      <c r="DN276" s="336"/>
      <c r="DO276" s="336"/>
      <c r="DP276" s="336"/>
      <c r="DQ276" s="336"/>
      <c r="DR276" s="336"/>
      <c r="DS276" s="336"/>
      <c r="DT276" s="336"/>
      <c r="DU276" s="336"/>
      <c r="DW276" s="336">
        <f t="shared" si="1733"/>
        <v>0</v>
      </c>
      <c r="DX276" s="336">
        <f t="shared" si="1668"/>
        <v>0</v>
      </c>
      <c r="DY276" s="336">
        <f t="shared" si="1669"/>
        <v>0</v>
      </c>
      <c r="DZ276" s="336">
        <f t="shared" si="1670"/>
        <v>0</v>
      </c>
      <c r="EA276" s="336">
        <f t="shared" si="1671"/>
        <v>0</v>
      </c>
      <c r="EB276" s="336">
        <f t="shared" si="1672"/>
        <v>0</v>
      </c>
      <c r="EC276" s="336">
        <f t="shared" si="1673"/>
        <v>0</v>
      </c>
      <c r="ED276" s="336">
        <f t="shared" si="1674"/>
        <v>0</v>
      </c>
      <c r="EE276" s="336">
        <f t="shared" si="1675"/>
        <v>0</v>
      </c>
      <c r="EF276" s="336">
        <f t="shared" si="1676"/>
        <v>0</v>
      </c>
      <c r="EG276" s="336">
        <f t="shared" si="1677"/>
        <v>0</v>
      </c>
      <c r="EH276" s="336">
        <f t="shared" si="1678"/>
        <v>0</v>
      </c>
      <c r="EI276" s="336">
        <f t="shared" si="1679"/>
        <v>0</v>
      </c>
      <c r="EJ276" s="336">
        <f t="shared" si="1680"/>
        <v>0</v>
      </c>
      <c r="EK276" s="336">
        <f t="shared" si="1681"/>
        <v>0</v>
      </c>
      <c r="EL276" s="336">
        <f t="shared" si="1682"/>
        <v>0</v>
      </c>
      <c r="EM276" s="336">
        <f t="shared" si="1683"/>
        <v>0</v>
      </c>
      <c r="EN276" s="336">
        <f t="shared" si="1684"/>
        <v>0</v>
      </c>
      <c r="EO276" s="336">
        <f t="shared" si="1685"/>
        <v>0</v>
      </c>
      <c r="EP276" s="336">
        <f t="shared" si="1686"/>
        <v>0</v>
      </c>
      <c r="EQ276" s="336">
        <f t="shared" si="1687"/>
        <v>0</v>
      </c>
      <c r="ER276" s="336">
        <f t="shared" si="1688"/>
        <v>0</v>
      </c>
      <c r="ES276" s="336">
        <f t="shared" si="1689"/>
        <v>0</v>
      </c>
      <c r="ET276" s="336">
        <f t="shared" si="1689"/>
        <v>0</v>
      </c>
      <c r="EU276" s="336">
        <f t="shared" si="1690"/>
        <v>0</v>
      </c>
      <c r="EV276" s="336">
        <f t="shared" si="1691"/>
        <v>0</v>
      </c>
      <c r="EW276" s="336">
        <f t="shared" si="1692"/>
        <v>0</v>
      </c>
      <c r="EX276" s="336">
        <f t="shared" si="1693"/>
        <v>0</v>
      </c>
      <c r="EY276" s="336">
        <f t="shared" si="1694"/>
        <v>0</v>
      </c>
      <c r="EZ276" s="336">
        <f t="shared" si="1695"/>
        <v>0</v>
      </c>
      <c r="FA276" s="336">
        <f t="shared" si="1696"/>
        <v>0</v>
      </c>
      <c r="FB276" s="336">
        <f t="shared" si="1697"/>
        <v>0</v>
      </c>
      <c r="FC276" s="336">
        <f t="shared" si="1698"/>
        <v>0</v>
      </c>
      <c r="FD276" s="336">
        <f t="shared" si="1699"/>
        <v>0</v>
      </c>
      <c r="FE276" s="336">
        <f t="shared" si="1700"/>
        <v>0</v>
      </c>
      <c r="FF276" s="336">
        <f t="shared" si="1701"/>
        <v>0</v>
      </c>
      <c r="FG276" s="336">
        <f t="shared" si="1702"/>
        <v>0</v>
      </c>
      <c r="FH276" s="336">
        <f t="shared" si="1703"/>
        <v>0</v>
      </c>
      <c r="FI276" s="336">
        <f t="shared" si="1704"/>
        <v>0</v>
      </c>
      <c r="FJ276" s="336">
        <f t="shared" si="1705"/>
        <v>0</v>
      </c>
      <c r="FK276" s="336">
        <f t="shared" si="1706"/>
        <v>0</v>
      </c>
      <c r="FL276" s="336">
        <f t="shared" si="1707"/>
        <v>0</v>
      </c>
      <c r="FM276" s="336">
        <f t="shared" si="1708"/>
        <v>0</v>
      </c>
      <c r="FN276" s="336">
        <f t="shared" si="1709"/>
        <v>0</v>
      </c>
      <c r="FO276" s="336">
        <f t="shared" si="1710"/>
        <v>0</v>
      </c>
      <c r="FP276" s="336">
        <f t="shared" si="1711"/>
        <v>0</v>
      </c>
      <c r="FQ276" s="336">
        <f t="shared" si="1712"/>
        <v>0</v>
      </c>
      <c r="FR276" s="336">
        <f t="shared" si="1713"/>
        <v>0</v>
      </c>
      <c r="FS276" s="336">
        <f t="shared" si="1714"/>
        <v>0</v>
      </c>
      <c r="FT276" s="336">
        <f t="shared" si="1715"/>
        <v>0</v>
      </c>
      <c r="FU276" s="336">
        <f t="shared" si="1782"/>
        <v>0</v>
      </c>
      <c r="FV276" s="336">
        <f t="shared" si="1783"/>
        <v>0</v>
      </c>
      <c r="FW276" s="336">
        <f t="shared" si="1784"/>
        <v>0</v>
      </c>
      <c r="FX276" s="336">
        <f t="shared" si="1785"/>
        <v>0</v>
      </c>
      <c r="FY276" s="336">
        <f t="shared" si="1734"/>
        <v>0</v>
      </c>
      <c r="FZ276" s="336">
        <f t="shared" si="1735"/>
        <v>0</v>
      </c>
      <c r="GA276" s="336">
        <f t="shared" si="1736"/>
        <v>0</v>
      </c>
      <c r="GB276" s="336">
        <f t="shared" si="1737"/>
        <v>0</v>
      </c>
      <c r="GC276" s="336">
        <f t="shared" si="1738"/>
        <v>0</v>
      </c>
      <c r="GD276" s="336">
        <f t="shared" si="1739"/>
        <v>0</v>
      </c>
      <c r="GE276" s="336">
        <f t="shared" si="1740"/>
        <v>0</v>
      </c>
      <c r="GF276" s="336">
        <f t="shared" si="1741"/>
        <v>0</v>
      </c>
      <c r="GG276" s="336">
        <f t="shared" si="1742"/>
        <v>0</v>
      </c>
      <c r="GH276" s="336">
        <f t="shared" si="1743"/>
        <v>0</v>
      </c>
      <c r="GI276" s="336">
        <f t="shared" si="1744"/>
        <v>0</v>
      </c>
      <c r="GJ276" s="336">
        <f t="shared" si="1745"/>
        <v>0</v>
      </c>
      <c r="GK276" s="336">
        <f t="shared" si="1746"/>
        <v>0</v>
      </c>
      <c r="GL276" s="336">
        <f t="shared" si="1786"/>
        <v>0</v>
      </c>
      <c r="GM276" s="336">
        <f t="shared" si="1747"/>
        <v>0</v>
      </c>
    </row>
    <row r="277" spans="1:195" ht="27.75" customHeight="1">
      <c r="A277" s="337">
        <f t="shared" si="1805"/>
        <v>223</v>
      </c>
      <c r="B277" s="453"/>
      <c r="C277" s="372" t="str">
        <f t="shared" si="1803"/>
        <v>OCCUPATIONAL HEALTH CENTER HVAC DB</v>
      </c>
      <c r="D277" s="444" t="s">
        <v>1424</v>
      </c>
      <c r="E277" s="569"/>
      <c r="F277" s="500"/>
      <c r="G277" s="337" t="s">
        <v>329</v>
      </c>
      <c r="H277" s="583">
        <v>3.5</v>
      </c>
      <c r="I277" s="337" t="s">
        <v>330</v>
      </c>
      <c r="J277" s="349" t="s">
        <v>331</v>
      </c>
      <c r="K277" s="349">
        <v>400</v>
      </c>
      <c r="L277" s="343">
        <v>0.95</v>
      </c>
      <c r="M277" s="350">
        <v>0.85</v>
      </c>
      <c r="N277" s="342">
        <f t="shared" si="1774"/>
        <v>6.2563009888530603</v>
      </c>
      <c r="O277" s="342">
        <f t="shared" si="1788"/>
        <v>0</v>
      </c>
      <c r="P277" s="343" t="str">
        <f t="shared" si="1775"/>
        <v>0.00</v>
      </c>
      <c r="Q277" s="350">
        <v>65</v>
      </c>
      <c r="R277" s="350">
        <v>0</v>
      </c>
      <c r="S277" s="350">
        <f t="shared" si="1776"/>
        <v>0</v>
      </c>
      <c r="T277" s="343" t="s">
        <v>332</v>
      </c>
      <c r="U277" s="350" t="s">
        <v>522</v>
      </c>
      <c r="V277" s="343">
        <v>4</v>
      </c>
      <c r="W277" s="343" t="str">
        <f t="shared" si="1777"/>
        <v>4C X 4</v>
      </c>
      <c r="X277" s="343" t="str">
        <f t="shared" si="1789"/>
        <v>4C X 4</v>
      </c>
      <c r="Y277" s="343" t="s">
        <v>358</v>
      </c>
      <c r="Z277" s="344">
        <f>IF(T277="AIR",VLOOKUP(W277,'Catalogue Aluminium'!$B$9:$G$93,2,FALSE),IF(T277="GROUND",VLOOKUP(W277,'Catalogue Aluminium'!$B$9:$G$93,3,FALSE),IF(T277="DUCT",VLOOKUP(W277,'Catalogue Aluminium'!$B$9:$G$93,4,FALSE),IF(T277="TRENCH",VLOOKUP(W277,'Catalogue Aluminium'!$B$9:$G$93,2,FALSE)))))</f>
        <v>38</v>
      </c>
      <c r="AA277" s="345">
        <f>VLOOKUP(W277,'Catalogue Aluminium'!$B$9:$G$93,5,FALSE)</f>
        <v>5.9</v>
      </c>
      <c r="AB277" s="345">
        <f>VLOOKUP(W277,'Catalogue Aluminium'!$B$9:$G$93,6,FALSE)</f>
        <v>9.4700000000000006E-2</v>
      </c>
      <c r="AC277" s="343">
        <f t="shared" si="1804"/>
        <v>15</v>
      </c>
      <c r="AD277" s="343">
        <v>0</v>
      </c>
      <c r="AE277" s="343">
        <v>10</v>
      </c>
      <c r="AF277" s="343">
        <v>5</v>
      </c>
      <c r="AG277" s="343">
        <f t="shared" si="1730"/>
        <v>3</v>
      </c>
      <c r="AH277" s="347">
        <f t="shared" si="1790"/>
        <v>33</v>
      </c>
      <c r="AI277" s="344">
        <f>IF(T277="AIR",'Catalogue Aluminium'!$K$9,IF(T277="TRENCH",'Catalogue Aluminium'!$K$12,"NA"))</f>
        <v>0.89</v>
      </c>
      <c r="AJ277" s="342">
        <f>IF(T277="Air",(IF(U277="1C",'Catalogue Aluminium'!$L$9,'Catalogue Aluminium'!$M$9)),IF(T277="DUCT",(IF($U277="1C",'Catalogue Aluminium'!$L$10,'Catalogue Aluminium'!$M$10)),IF(T277="GROUND",(IF($U277="1C",'Catalogue Aluminium'!$L$11,'Catalogue Aluminium'!$M$11)),IF(T277="TRENCH",(IF($U277="1C",'Catalogue Aluminium'!$L$12,'Catalogue Aluminium'!$M$12))))))</f>
        <v>0.66</v>
      </c>
      <c r="AK277" s="344" t="str">
        <f>IF(T277="Air",'Catalogue Aluminium'!$N$9,IF(T277="GROUND",'Catalogue Aluminium'!$N$10,IF(T277="DUCT",'Catalogue Aluminium'!$N$11,IF(T277="TRENCH",'Catalogue Aluminium'!$N$12,"NA"))))</f>
        <v>NA</v>
      </c>
      <c r="AL277" s="344" t="str">
        <f>IF(T277="Air",(IF(U277="1C",'Catalogue Aluminium'!$O$9,'Catalogue Aluminium'!$P$9)),IF(T277="DUCT",(IF($U277="1C",'Catalogue Aluminium'!$O$10,'Catalogue Aluminium'!$P$10)),IF(T277="GROUND",(IF($U277="1C",'Catalogue Aluminium'!$O$11,'Catalogue Aluminium'!$P$11)),IF(T277="TRENCH",(IF($U277="1C",'Catalogue Aluminium'!$O$12,'Catalogue Aluminium'!$P$12))))))</f>
        <v>NA</v>
      </c>
      <c r="AM277" s="344" t="str">
        <f>IF(T277="AIR","NA",IF(T277="TRENCH","NA",IF(T277="DUCT",IF(U277="1C",VLOOKUP(V277,'Catalogue Aluminium'!$Q$9:$S$28,2,FALSE),VLOOKUP(V277,'Catalogue Aluminium'!$Q$9:$S$28,3)),IF(T277="GROUND",IF(U277="1C",VLOOKUP(V277,'Catalogue Aluminium'!$Q$9:$S$28,2,FALSE),VLOOKUP(V277,'Catalogue Aluminium'!$Q$9:$S$28,3))))))</f>
        <v>NA</v>
      </c>
      <c r="AN277" s="351">
        <f t="shared" si="1791"/>
        <v>0.58740000000000003</v>
      </c>
      <c r="AO277" s="350">
        <f t="shared" si="1792"/>
        <v>22.321200000000001</v>
      </c>
      <c r="AP277" s="349">
        <f t="shared" si="1793"/>
        <v>1</v>
      </c>
      <c r="AQ277" s="350" t="str">
        <f t="shared" si="1794"/>
        <v>YES</v>
      </c>
      <c r="AR277" s="351">
        <f t="shared" si="1731"/>
        <v>0.50372440660311057</v>
      </c>
      <c r="AS277" s="343" t="str">
        <f t="shared" si="1732"/>
        <v>YES</v>
      </c>
      <c r="AT277" s="351" t="str">
        <f t="shared" si="1795"/>
        <v>NA</v>
      </c>
      <c r="AU277" s="343" t="str">
        <f t="shared" si="1796"/>
        <v>NA</v>
      </c>
      <c r="AV277" s="354" t="str">
        <f t="shared" si="1797"/>
        <v>1R x 0.6/1kV x 4C x 4 Sqmm</v>
      </c>
      <c r="AW277" s="354" t="str">
        <f t="shared" si="1798"/>
        <v>1R x 0.6/1kV x 4C x 4 Sqmm</v>
      </c>
      <c r="AX277" s="343">
        <f t="shared" si="1799"/>
        <v>33</v>
      </c>
      <c r="AY277" s="355"/>
      <c r="AZ277" s="355">
        <f t="shared" si="1800"/>
        <v>2</v>
      </c>
      <c r="BA277" s="356" t="str">
        <f t="shared" si="1801"/>
        <v/>
      </c>
      <c r="BB277" s="501">
        <f>VLOOKUP(W277,'Catalogue Aluminium'!$B$9:$H$93,7,FALSE)</f>
        <v>16</v>
      </c>
      <c r="BC277" s="328">
        <f t="shared" si="1802"/>
        <v>16</v>
      </c>
      <c r="BE277" s="336"/>
      <c r="BF277" s="336"/>
      <c r="BG277" s="336"/>
      <c r="BH277" s="336"/>
      <c r="BI277" s="336"/>
      <c r="BJ277" s="336"/>
      <c r="BK277" s="336"/>
      <c r="BL277" s="336"/>
      <c r="BM277" s="336"/>
      <c r="BN277" s="336"/>
      <c r="BO277" s="336"/>
      <c r="BP277" s="336"/>
      <c r="BQ277" s="336"/>
      <c r="BR277" s="336"/>
      <c r="BS277" s="336"/>
      <c r="BT277" s="336"/>
      <c r="BU277" s="336"/>
      <c r="BV277" s="336"/>
      <c r="BW277" s="336"/>
      <c r="BX277" s="336"/>
      <c r="BY277" s="336"/>
      <c r="BZ277" s="336"/>
      <c r="CA277" s="336"/>
      <c r="CB277" s="336"/>
      <c r="CC277" s="336"/>
      <c r="CD277" s="336"/>
      <c r="CE277" s="336"/>
      <c r="CF277" s="336"/>
      <c r="CG277" s="336"/>
      <c r="CH277" s="336"/>
      <c r="CI277" s="336"/>
      <c r="CJ277" s="336"/>
      <c r="CK277" s="336"/>
      <c r="CL277" s="336"/>
      <c r="CM277" s="336"/>
      <c r="CN277" s="336"/>
      <c r="CO277" s="336"/>
      <c r="CP277" s="336"/>
      <c r="CQ277" s="336"/>
      <c r="CR277" s="336"/>
      <c r="CS277" s="336"/>
      <c r="CT277" s="336"/>
      <c r="CU277" s="336"/>
      <c r="CV277" s="336"/>
      <c r="CW277" s="336"/>
      <c r="CX277" s="336"/>
      <c r="CY277" s="336"/>
      <c r="CZ277" s="336"/>
      <c r="DA277" s="336"/>
      <c r="DB277" s="336"/>
      <c r="DC277" s="336"/>
      <c r="DD277" s="336"/>
      <c r="DE277" s="336"/>
      <c r="DF277" s="336"/>
      <c r="DG277" s="336"/>
      <c r="DH277" s="336"/>
      <c r="DI277" s="336"/>
      <c r="DJ277" s="336"/>
      <c r="DK277" s="336"/>
      <c r="DL277" s="336"/>
      <c r="DM277" s="336"/>
      <c r="DN277" s="336"/>
      <c r="DO277" s="336"/>
      <c r="DP277" s="336"/>
      <c r="DQ277" s="336"/>
      <c r="DR277" s="336"/>
      <c r="DS277" s="336"/>
      <c r="DT277" s="336"/>
      <c r="DU277" s="336"/>
      <c r="DW277" s="336">
        <f t="shared" si="1733"/>
        <v>0</v>
      </c>
      <c r="DX277" s="336">
        <f t="shared" si="1668"/>
        <v>0</v>
      </c>
      <c r="DY277" s="336">
        <f t="shared" si="1669"/>
        <v>0</v>
      </c>
      <c r="DZ277" s="336">
        <f t="shared" si="1670"/>
        <v>0</v>
      </c>
      <c r="EA277" s="336">
        <f t="shared" si="1671"/>
        <v>0</v>
      </c>
      <c r="EB277" s="336">
        <f t="shared" si="1672"/>
        <v>0</v>
      </c>
      <c r="EC277" s="336">
        <f t="shared" si="1673"/>
        <v>0</v>
      </c>
      <c r="ED277" s="336">
        <f t="shared" si="1674"/>
        <v>0</v>
      </c>
      <c r="EE277" s="336">
        <f t="shared" si="1675"/>
        <v>0</v>
      </c>
      <c r="EF277" s="336">
        <f t="shared" si="1676"/>
        <v>0</v>
      </c>
      <c r="EG277" s="336">
        <f t="shared" si="1677"/>
        <v>0</v>
      </c>
      <c r="EH277" s="336">
        <f t="shared" si="1678"/>
        <v>0</v>
      </c>
      <c r="EI277" s="336">
        <f t="shared" si="1679"/>
        <v>0</v>
      </c>
      <c r="EJ277" s="336">
        <f t="shared" si="1680"/>
        <v>0</v>
      </c>
      <c r="EK277" s="336">
        <f t="shared" si="1681"/>
        <v>0</v>
      </c>
      <c r="EL277" s="336">
        <f t="shared" si="1682"/>
        <v>0</v>
      </c>
      <c r="EM277" s="336">
        <f t="shared" si="1683"/>
        <v>0</v>
      </c>
      <c r="EN277" s="336">
        <f t="shared" si="1684"/>
        <v>0</v>
      </c>
      <c r="EO277" s="336">
        <f t="shared" si="1685"/>
        <v>0</v>
      </c>
      <c r="EP277" s="336">
        <f t="shared" si="1686"/>
        <v>0</v>
      </c>
      <c r="EQ277" s="336">
        <f t="shared" si="1687"/>
        <v>0</v>
      </c>
      <c r="ER277" s="336">
        <f t="shared" si="1688"/>
        <v>0</v>
      </c>
      <c r="ES277" s="336">
        <f t="shared" si="1689"/>
        <v>0</v>
      </c>
      <c r="ET277" s="336">
        <f t="shared" si="1689"/>
        <v>0</v>
      </c>
      <c r="EU277" s="336">
        <f t="shared" si="1690"/>
        <v>0</v>
      </c>
      <c r="EV277" s="336">
        <f t="shared" si="1691"/>
        <v>0</v>
      </c>
      <c r="EW277" s="336">
        <f t="shared" si="1692"/>
        <v>0</v>
      </c>
      <c r="EX277" s="336">
        <f t="shared" si="1693"/>
        <v>0</v>
      </c>
      <c r="EY277" s="336">
        <f t="shared" si="1694"/>
        <v>0</v>
      </c>
      <c r="EZ277" s="336">
        <f t="shared" si="1695"/>
        <v>0</v>
      </c>
      <c r="FA277" s="336">
        <f t="shared" si="1696"/>
        <v>0</v>
      </c>
      <c r="FB277" s="336">
        <f t="shared" si="1697"/>
        <v>0</v>
      </c>
      <c r="FC277" s="336">
        <f t="shared" si="1698"/>
        <v>0</v>
      </c>
      <c r="FD277" s="336">
        <f t="shared" si="1699"/>
        <v>0</v>
      </c>
      <c r="FE277" s="336">
        <f t="shared" si="1700"/>
        <v>0</v>
      </c>
      <c r="FF277" s="336">
        <f t="shared" si="1701"/>
        <v>0</v>
      </c>
      <c r="FG277" s="336">
        <f t="shared" si="1702"/>
        <v>0</v>
      </c>
      <c r="FH277" s="336">
        <f t="shared" si="1703"/>
        <v>0</v>
      </c>
      <c r="FI277" s="336">
        <f t="shared" si="1704"/>
        <v>0</v>
      </c>
      <c r="FJ277" s="336">
        <f t="shared" si="1705"/>
        <v>0</v>
      </c>
      <c r="FK277" s="336">
        <f t="shared" si="1706"/>
        <v>0</v>
      </c>
      <c r="FL277" s="336">
        <f t="shared" si="1707"/>
        <v>0</v>
      </c>
      <c r="FM277" s="336">
        <f t="shared" si="1708"/>
        <v>0</v>
      </c>
      <c r="FN277" s="336">
        <f t="shared" si="1709"/>
        <v>0</v>
      </c>
      <c r="FO277" s="336">
        <f t="shared" si="1710"/>
        <v>0</v>
      </c>
      <c r="FP277" s="336">
        <f t="shared" si="1711"/>
        <v>0</v>
      </c>
      <c r="FQ277" s="336">
        <f t="shared" si="1712"/>
        <v>0</v>
      </c>
      <c r="FR277" s="336">
        <f t="shared" si="1713"/>
        <v>0</v>
      </c>
      <c r="FS277" s="336">
        <f t="shared" si="1714"/>
        <v>0</v>
      </c>
      <c r="FT277" s="336">
        <f t="shared" si="1715"/>
        <v>0</v>
      </c>
      <c r="FU277" s="336">
        <f t="shared" si="1782"/>
        <v>0</v>
      </c>
      <c r="FV277" s="336">
        <f t="shared" si="1783"/>
        <v>0</v>
      </c>
      <c r="FW277" s="336">
        <f t="shared" si="1784"/>
        <v>0</v>
      </c>
      <c r="FX277" s="336">
        <f t="shared" si="1785"/>
        <v>0</v>
      </c>
      <c r="FY277" s="336">
        <f t="shared" si="1734"/>
        <v>0</v>
      </c>
      <c r="FZ277" s="336">
        <f t="shared" si="1735"/>
        <v>0</v>
      </c>
      <c r="GA277" s="336">
        <f t="shared" si="1736"/>
        <v>0</v>
      </c>
      <c r="GB277" s="336">
        <f t="shared" si="1737"/>
        <v>0</v>
      </c>
      <c r="GC277" s="336">
        <f t="shared" si="1738"/>
        <v>0</v>
      </c>
      <c r="GD277" s="336">
        <f t="shared" si="1739"/>
        <v>0</v>
      </c>
      <c r="GE277" s="336">
        <f t="shared" si="1740"/>
        <v>0</v>
      </c>
      <c r="GF277" s="336">
        <f t="shared" si="1741"/>
        <v>0</v>
      </c>
      <c r="GG277" s="336">
        <f t="shared" si="1742"/>
        <v>0</v>
      </c>
      <c r="GH277" s="336">
        <f t="shared" si="1743"/>
        <v>0</v>
      </c>
      <c r="GI277" s="336">
        <f t="shared" si="1744"/>
        <v>0</v>
      </c>
      <c r="GJ277" s="336">
        <f t="shared" si="1745"/>
        <v>0</v>
      </c>
      <c r="GK277" s="336">
        <f t="shared" si="1746"/>
        <v>0</v>
      </c>
      <c r="GL277" s="336">
        <f t="shared" si="1786"/>
        <v>0</v>
      </c>
      <c r="GM277" s="336">
        <f t="shared" si="1747"/>
        <v>0</v>
      </c>
    </row>
    <row r="278" spans="1:195" ht="27.75" customHeight="1">
      <c r="A278" s="337">
        <f t="shared" si="1805"/>
        <v>224</v>
      </c>
      <c r="B278" s="453"/>
      <c r="C278" s="372" t="str">
        <f t="shared" si="1803"/>
        <v>OCCUPATIONAL HEALTH CENTER HVAC DB</v>
      </c>
      <c r="D278" s="444" t="s">
        <v>1425</v>
      </c>
      <c r="E278" s="569"/>
      <c r="F278" s="500"/>
      <c r="G278" s="337" t="s">
        <v>329</v>
      </c>
      <c r="H278" s="583">
        <v>0.25</v>
      </c>
      <c r="I278" s="337" t="s">
        <v>330</v>
      </c>
      <c r="J278" s="349" t="s">
        <v>331</v>
      </c>
      <c r="K278" s="349">
        <v>400</v>
      </c>
      <c r="L278" s="343">
        <v>0.95</v>
      </c>
      <c r="M278" s="350">
        <v>0.85</v>
      </c>
      <c r="N278" s="342">
        <f t="shared" si="1774"/>
        <v>0.44687864206093286</v>
      </c>
      <c r="O278" s="342">
        <f t="shared" si="1788"/>
        <v>0</v>
      </c>
      <c r="P278" s="343" t="str">
        <f t="shared" si="1775"/>
        <v>0.00</v>
      </c>
      <c r="Q278" s="350">
        <v>65</v>
      </c>
      <c r="R278" s="350">
        <v>0</v>
      </c>
      <c r="S278" s="350">
        <f t="shared" si="1776"/>
        <v>0</v>
      </c>
      <c r="T278" s="343" t="s">
        <v>332</v>
      </c>
      <c r="U278" s="350" t="s">
        <v>522</v>
      </c>
      <c r="V278" s="343">
        <v>4</v>
      </c>
      <c r="W278" s="343" t="str">
        <f t="shared" si="1777"/>
        <v>4C X 4</v>
      </c>
      <c r="X278" s="343" t="str">
        <f t="shared" si="1789"/>
        <v>4C X 4</v>
      </c>
      <c r="Y278" s="343" t="s">
        <v>358</v>
      </c>
      <c r="Z278" s="344">
        <f>IF(T278="AIR",VLOOKUP(W278,'Catalogue Aluminium'!$B$9:$G$93,2,FALSE),IF(T278="GROUND",VLOOKUP(W278,'Catalogue Aluminium'!$B$9:$G$93,3,FALSE),IF(T278="DUCT",VLOOKUP(W278,'Catalogue Aluminium'!$B$9:$G$93,4,FALSE),IF(T278="TRENCH",VLOOKUP(W278,'Catalogue Aluminium'!$B$9:$G$93,2,FALSE)))))</f>
        <v>38</v>
      </c>
      <c r="AA278" s="345">
        <f>VLOOKUP(W278,'Catalogue Aluminium'!$B$9:$G$93,5,FALSE)</f>
        <v>5.9</v>
      </c>
      <c r="AB278" s="345">
        <f>VLOOKUP(W278,'Catalogue Aluminium'!$B$9:$G$93,6,FALSE)</f>
        <v>9.4700000000000006E-2</v>
      </c>
      <c r="AC278" s="343">
        <f t="shared" si="1804"/>
        <v>15</v>
      </c>
      <c r="AD278" s="343">
        <v>0</v>
      </c>
      <c r="AE278" s="343">
        <v>10</v>
      </c>
      <c r="AF278" s="343">
        <v>5</v>
      </c>
      <c r="AG278" s="343">
        <f t="shared" si="1730"/>
        <v>3</v>
      </c>
      <c r="AH278" s="347">
        <f t="shared" si="1790"/>
        <v>33</v>
      </c>
      <c r="AI278" s="344">
        <f>IF(T278="AIR",'Catalogue Aluminium'!$K$9,IF(T278="TRENCH",'Catalogue Aluminium'!$K$12,"NA"))</f>
        <v>0.89</v>
      </c>
      <c r="AJ278" s="342">
        <f>IF(T278="Air",(IF(U278="1C",'Catalogue Aluminium'!$L$9,'Catalogue Aluminium'!$M$9)),IF(T278="DUCT",(IF($U278="1C",'Catalogue Aluminium'!$L$10,'Catalogue Aluminium'!$M$10)),IF(T278="GROUND",(IF($U278="1C",'Catalogue Aluminium'!$L$11,'Catalogue Aluminium'!$M$11)),IF(T278="TRENCH",(IF($U278="1C",'Catalogue Aluminium'!$L$12,'Catalogue Aluminium'!$M$12))))))</f>
        <v>0.66</v>
      </c>
      <c r="AK278" s="344" t="str">
        <f>IF(T278="Air",'Catalogue Aluminium'!$N$9,IF(T278="GROUND",'Catalogue Aluminium'!$N$10,IF(T278="DUCT",'Catalogue Aluminium'!$N$11,IF(T278="TRENCH",'Catalogue Aluminium'!$N$12,"NA"))))</f>
        <v>NA</v>
      </c>
      <c r="AL278" s="344" t="str">
        <f>IF(T278="Air",(IF(U278="1C",'Catalogue Aluminium'!$O$9,'Catalogue Aluminium'!$P$9)),IF(T278="DUCT",(IF($U278="1C",'Catalogue Aluminium'!$O$10,'Catalogue Aluminium'!$P$10)),IF(T278="GROUND",(IF($U278="1C",'Catalogue Aluminium'!$O$11,'Catalogue Aluminium'!$P$11)),IF(T278="TRENCH",(IF($U278="1C",'Catalogue Aluminium'!$O$12,'Catalogue Aluminium'!$P$12))))))</f>
        <v>NA</v>
      </c>
      <c r="AM278" s="344" t="str">
        <f>IF(T278="AIR","NA",IF(T278="TRENCH","NA",IF(T278="DUCT",IF(U278="1C",VLOOKUP(V278,'Catalogue Aluminium'!$Q$9:$S$28,2,FALSE),VLOOKUP(V278,'Catalogue Aluminium'!$Q$9:$S$28,3)),IF(T278="GROUND",IF(U278="1C",VLOOKUP(V278,'Catalogue Aluminium'!$Q$9:$S$28,2,FALSE),VLOOKUP(V278,'Catalogue Aluminium'!$Q$9:$S$28,3))))))</f>
        <v>NA</v>
      </c>
      <c r="AN278" s="351">
        <f t="shared" si="1791"/>
        <v>0.58740000000000003</v>
      </c>
      <c r="AO278" s="350">
        <f t="shared" si="1792"/>
        <v>22.321200000000001</v>
      </c>
      <c r="AP278" s="349">
        <f t="shared" si="1793"/>
        <v>1</v>
      </c>
      <c r="AQ278" s="350" t="str">
        <f t="shared" si="1794"/>
        <v>YES</v>
      </c>
      <c r="AR278" s="351">
        <f t="shared" si="1731"/>
        <v>3.5980314757365045E-2</v>
      </c>
      <c r="AS278" s="343" t="str">
        <f t="shared" si="1732"/>
        <v>YES</v>
      </c>
      <c r="AT278" s="351" t="str">
        <f t="shared" si="1795"/>
        <v>NA</v>
      </c>
      <c r="AU278" s="343" t="str">
        <f t="shared" si="1796"/>
        <v>NA</v>
      </c>
      <c r="AV278" s="354" t="str">
        <f t="shared" si="1797"/>
        <v>1R x 0.6/1kV x 4C x 4 Sqmm</v>
      </c>
      <c r="AW278" s="354" t="str">
        <f t="shared" si="1798"/>
        <v>1R x 0.6/1kV x 4C x 4 Sqmm</v>
      </c>
      <c r="AX278" s="343">
        <f t="shared" si="1799"/>
        <v>33</v>
      </c>
      <c r="AY278" s="355"/>
      <c r="AZ278" s="355">
        <f t="shared" si="1800"/>
        <v>2</v>
      </c>
      <c r="BA278" s="356" t="str">
        <f t="shared" si="1801"/>
        <v/>
      </c>
      <c r="BB278" s="501">
        <f>VLOOKUP(W278,'Catalogue Aluminium'!$B$9:$H$93,7,FALSE)</f>
        <v>16</v>
      </c>
      <c r="BC278" s="328">
        <f t="shared" si="1802"/>
        <v>16</v>
      </c>
      <c r="BE278" s="336"/>
      <c r="BF278" s="336"/>
      <c r="BG278" s="336"/>
      <c r="BH278" s="336"/>
      <c r="BI278" s="336"/>
      <c r="BJ278" s="336"/>
      <c r="BK278" s="336"/>
      <c r="BL278" s="336"/>
      <c r="BM278" s="336"/>
      <c r="BN278" s="336"/>
      <c r="BO278" s="336"/>
      <c r="BP278" s="336"/>
      <c r="BQ278" s="336"/>
      <c r="BR278" s="336"/>
      <c r="BS278" s="336"/>
      <c r="BT278" s="336"/>
      <c r="BU278" s="336"/>
      <c r="BV278" s="336"/>
      <c r="BW278" s="336"/>
      <c r="BX278" s="336"/>
      <c r="BY278" s="336"/>
      <c r="BZ278" s="336"/>
      <c r="CA278" s="336"/>
      <c r="CB278" s="336"/>
      <c r="CC278" s="336"/>
      <c r="CD278" s="336"/>
      <c r="CE278" s="336"/>
      <c r="CF278" s="336"/>
      <c r="CG278" s="336"/>
      <c r="CH278" s="336"/>
      <c r="CI278" s="336"/>
      <c r="CJ278" s="336"/>
      <c r="CK278" s="336"/>
      <c r="CL278" s="336"/>
      <c r="CM278" s="336"/>
      <c r="CN278" s="336"/>
      <c r="CO278" s="336"/>
      <c r="CP278" s="336"/>
      <c r="CQ278" s="336"/>
      <c r="CR278" s="336"/>
      <c r="CS278" s="336"/>
      <c r="CT278" s="336"/>
      <c r="CU278" s="336"/>
      <c r="CV278" s="336"/>
      <c r="CW278" s="336"/>
      <c r="CX278" s="336"/>
      <c r="CY278" s="336"/>
      <c r="CZ278" s="336"/>
      <c r="DA278" s="336"/>
      <c r="DB278" s="336"/>
      <c r="DC278" s="336"/>
      <c r="DD278" s="336"/>
      <c r="DE278" s="336"/>
      <c r="DF278" s="336"/>
      <c r="DG278" s="336"/>
      <c r="DH278" s="336"/>
      <c r="DI278" s="336"/>
      <c r="DJ278" s="336"/>
      <c r="DK278" s="336"/>
      <c r="DL278" s="336"/>
      <c r="DM278" s="336"/>
      <c r="DN278" s="336"/>
      <c r="DO278" s="336"/>
      <c r="DP278" s="336"/>
      <c r="DQ278" s="336"/>
      <c r="DR278" s="336"/>
      <c r="DS278" s="336"/>
      <c r="DT278" s="336"/>
      <c r="DU278" s="336"/>
      <c r="DW278" s="336">
        <f t="shared" si="1733"/>
        <v>0</v>
      </c>
      <c r="DX278" s="336">
        <f t="shared" si="1668"/>
        <v>0</v>
      </c>
      <c r="DY278" s="336">
        <f t="shared" si="1669"/>
        <v>0</v>
      </c>
      <c r="DZ278" s="336">
        <f t="shared" si="1670"/>
        <v>0</v>
      </c>
      <c r="EA278" s="336">
        <f t="shared" si="1671"/>
        <v>0</v>
      </c>
      <c r="EB278" s="336">
        <f t="shared" si="1672"/>
        <v>0</v>
      </c>
      <c r="EC278" s="336">
        <f t="shared" si="1673"/>
        <v>0</v>
      </c>
      <c r="ED278" s="336">
        <f t="shared" si="1674"/>
        <v>0</v>
      </c>
      <c r="EE278" s="336">
        <f t="shared" si="1675"/>
        <v>0</v>
      </c>
      <c r="EF278" s="336">
        <f t="shared" si="1676"/>
        <v>0</v>
      </c>
      <c r="EG278" s="336">
        <f t="shared" si="1677"/>
        <v>0</v>
      </c>
      <c r="EH278" s="336">
        <f t="shared" si="1678"/>
        <v>0</v>
      </c>
      <c r="EI278" s="336">
        <f t="shared" si="1679"/>
        <v>0</v>
      </c>
      <c r="EJ278" s="336">
        <f t="shared" si="1680"/>
        <v>0</v>
      </c>
      <c r="EK278" s="336">
        <f t="shared" si="1681"/>
        <v>0</v>
      </c>
      <c r="EL278" s="336">
        <f t="shared" si="1682"/>
        <v>0</v>
      </c>
      <c r="EM278" s="336">
        <f t="shared" si="1683"/>
        <v>0</v>
      </c>
      <c r="EN278" s="336">
        <f t="shared" si="1684"/>
        <v>0</v>
      </c>
      <c r="EO278" s="336">
        <f t="shared" si="1685"/>
        <v>0</v>
      </c>
      <c r="EP278" s="336">
        <f t="shared" si="1686"/>
        <v>0</v>
      </c>
      <c r="EQ278" s="336">
        <f t="shared" si="1687"/>
        <v>0</v>
      </c>
      <c r="ER278" s="336">
        <f t="shared" si="1688"/>
        <v>0</v>
      </c>
      <c r="ES278" s="336">
        <f t="shared" si="1689"/>
        <v>0</v>
      </c>
      <c r="ET278" s="336">
        <f t="shared" si="1689"/>
        <v>0</v>
      </c>
      <c r="EU278" s="336">
        <f t="shared" si="1690"/>
        <v>0</v>
      </c>
      <c r="EV278" s="336">
        <f t="shared" si="1691"/>
        <v>0</v>
      </c>
      <c r="EW278" s="336">
        <f t="shared" si="1692"/>
        <v>0</v>
      </c>
      <c r="EX278" s="336">
        <f t="shared" si="1693"/>
        <v>0</v>
      </c>
      <c r="EY278" s="336">
        <f t="shared" si="1694"/>
        <v>0</v>
      </c>
      <c r="EZ278" s="336">
        <f t="shared" si="1695"/>
        <v>0</v>
      </c>
      <c r="FA278" s="336">
        <f t="shared" si="1696"/>
        <v>0</v>
      </c>
      <c r="FB278" s="336">
        <f t="shared" si="1697"/>
        <v>0</v>
      </c>
      <c r="FC278" s="336">
        <f t="shared" si="1698"/>
        <v>0</v>
      </c>
      <c r="FD278" s="336">
        <f t="shared" si="1699"/>
        <v>0</v>
      </c>
      <c r="FE278" s="336">
        <f t="shared" si="1700"/>
        <v>0</v>
      </c>
      <c r="FF278" s="336">
        <f t="shared" si="1701"/>
        <v>0</v>
      </c>
      <c r="FG278" s="336">
        <f t="shared" si="1702"/>
        <v>0</v>
      </c>
      <c r="FH278" s="336">
        <f t="shared" si="1703"/>
        <v>0</v>
      </c>
      <c r="FI278" s="336">
        <f t="shared" si="1704"/>
        <v>0</v>
      </c>
      <c r="FJ278" s="336">
        <f t="shared" si="1705"/>
        <v>0</v>
      </c>
      <c r="FK278" s="336">
        <f t="shared" si="1706"/>
        <v>0</v>
      </c>
      <c r="FL278" s="336">
        <f t="shared" si="1707"/>
        <v>0</v>
      </c>
      <c r="FM278" s="336">
        <f t="shared" si="1708"/>
        <v>0</v>
      </c>
      <c r="FN278" s="336">
        <f t="shared" si="1709"/>
        <v>0</v>
      </c>
      <c r="FO278" s="336">
        <f t="shared" si="1710"/>
        <v>0</v>
      </c>
      <c r="FP278" s="336">
        <f t="shared" si="1711"/>
        <v>0</v>
      </c>
      <c r="FQ278" s="336">
        <f t="shared" si="1712"/>
        <v>0</v>
      </c>
      <c r="FR278" s="336">
        <f t="shared" si="1713"/>
        <v>0</v>
      </c>
      <c r="FS278" s="336">
        <f t="shared" si="1714"/>
        <v>0</v>
      </c>
      <c r="FT278" s="336">
        <f t="shared" si="1715"/>
        <v>0</v>
      </c>
      <c r="FU278" s="336">
        <f t="shared" si="1782"/>
        <v>0</v>
      </c>
      <c r="FV278" s="336">
        <f t="shared" si="1783"/>
        <v>0</v>
      </c>
      <c r="FW278" s="336">
        <f t="shared" si="1784"/>
        <v>0</v>
      </c>
      <c r="FX278" s="336">
        <f t="shared" si="1785"/>
        <v>0</v>
      </c>
      <c r="FY278" s="336">
        <f t="shared" si="1734"/>
        <v>0</v>
      </c>
      <c r="FZ278" s="336">
        <f t="shared" si="1735"/>
        <v>0</v>
      </c>
      <c r="GA278" s="336">
        <f t="shared" si="1736"/>
        <v>0</v>
      </c>
      <c r="GB278" s="336">
        <f t="shared" si="1737"/>
        <v>0</v>
      </c>
      <c r="GC278" s="336">
        <f t="shared" si="1738"/>
        <v>0</v>
      </c>
      <c r="GD278" s="336">
        <f t="shared" si="1739"/>
        <v>0</v>
      </c>
      <c r="GE278" s="336">
        <f t="shared" si="1740"/>
        <v>0</v>
      </c>
      <c r="GF278" s="336">
        <f t="shared" si="1741"/>
        <v>0</v>
      </c>
      <c r="GG278" s="336">
        <f t="shared" si="1742"/>
        <v>0</v>
      </c>
      <c r="GH278" s="336">
        <f t="shared" si="1743"/>
        <v>0</v>
      </c>
      <c r="GI278" s="336">
        <f t="shared" si="1744"/>
        <v>0</v>
      </c>
      <c r="GJ278" s="336">
        <f t="shared" si="1745"/>
        <v>0</v>
      </c>
      <c r="GK278" s="336">
        <f t="shared" si="1746"/>
        <v>0</v>
      </c>
      <c r="GL278" s="336">
        <f t="shared" si="1786"/>
        <v>0</v>
      </c>
      <c r="GM278" s="336">
        <f t="shared" si="1747"/>
        <v>0</v>
      </c>
    </row>
    <row r="279" spans="1:195" ht="27.75" customHeight="1">
      <c r="A279" s="337">
        <f t="shared" si="1805"/>
        <v>225</v>
      </c>
      <c r="B279" s="453"/>
      <c r="C279" s="372" t="str">
        <f t="shared" si="1803"/>
        <v>OCCUPATIONAL HEALTH CENTER HVAC DB</v>
      </c>
      <c r="D279" s="444" t="s">
        <v>1426</v>
      </c>
      <c r="E279" s="569"/>
      <c r="F279" s="500"/>
      <c r="G279" s="337" t="s">
        <v>329</v>
      </c>
      <c r="H279" s="583">
        <v>0.25</v>
      </c>
      <c r="I279" s="337" t="s">
        <v>330</v>
      </c>
      <c r="J279" s="349" t="s">
        <v>357</v>
      </c>
      <c r="K279" s="349">
        <v>230</v>
      </c>
      <c r="L279" s="343">
        <v>0.95</v>
      </c>
      <c r="M279" s="350">
        <v>0.85</v>
      </c>
      <c r="N279" s="342">
        <f t="shared" si="1774"/>
        <v>1.3460761879122358</v>
      </c>
      <c r="O279" s="342">
        <f t="shared" si="1788"/>
        <v>0</v>
      </c>
      <c r="P279" s="343" t="str">
        <f t="shared" si="1775"/>
        <v>0.00</v>
      </c>
      <c r="Q279" s="350">
        <v>65</v>
      </c>
      <c r="R279" s="350">
        <v>0</v>
      </c>
      <c r="S279" s="350">
        <f t="shared" si="1776"/>
        <v>0</v>
      </c>
      <c r="T279" s="343" t="s">
        <v>332</v>
      </c>
      <c r="U279" s="915" t="s">
        <v>522</v>
      </c>
      <c r="V279" s="343">
        <v>4</v>
      </c>
      <c r="W279" s="343" t="str">
        <f t="shared" si="1777"/>
        <v>4C X 4</v>
      </c>
      <c r="X279" s="343" t="str">
        <f t="shared" si="1789"/>
        <v>4C X 4</v>
      </c>
      <c r="Y279" s="343" t="s">
        <v>358</v>
      </c>
      <c r="Z279" s="344">
        <f>IF(T279="AIR",VLOOKUP(W279,'Catalogue Aluminium'!$B$9:$G$93,2,FALSE),IF(T279="GROUND",VLOOKUP(W279,'Catalogue Aluminium'!$B$9:$G$93,3,FALSE),IF(T279="DUCT",VLOOKUP(W279,'Catalogue Aluminium'!$B$9:$G$93,4,FALSE),IF(T279="TRENCH",VLOOKUP(W279,'Catalogue Aluminium'!$B$9:$G$93,2,FALSE)))))</f>
        <v>38</v>
      </c>
      <c r="AA279" s="345">
        <f>VLOOKUP(W279,'Catalogue Aluminium'!$B$9:$G$93,5,FALSE)</f>
        <v>5.9</v>
      </c>
      <c r="AB279" s="345">
        <f>VLOOKUP(W279,'Catalogue Aluminium'!$B$9:$G$93,6,FALSE)</f>
        <v>9.4700000000000006E-2</v>
      </c>
      <c r="AC279" s="343">
        <f t="shared" si="1804"/>
        <v>15</v>
      </c>
      <c r="AD279" s="343">
        <v>0</v>
      </c>
      <c r="AE279" s="343">
        <v>10</v>
      </c>
      <c r="AF279" s="343">
        <v>5</v>
      </c>
      <c r="AG279" s="343">
        <f t="shared" si="1730"/>
        <v>3</v>
      </c>
      <c r="AH279" s="347">
        <f t="shared" si="1790"/>
        <v>33</v>
      </c>
      <c r="AI279" s="344">
        <f>IF(T279="AIR",'Catalogue Aluminium'!$K$9,IF(T279="TRENCH",'Catalogue Aluminium'!$K$12,"NA"))</f>
        <v>0.89</v>
      </c>
      <c r="AJ279" s="342">
        <f>IF(T279="Air",(IF(U279="1C",'Catalogue Aluminium'!$L$9,'Catalogue Aluminium'!$M$9)),IF(T279="DUCT",(IF($U279="1C",'Catalogue Aluminium'!$L$10,'Catalogue Aluminium'!$M$10)),IF(T279="GROUND",(IF($U279="1C",'Catalogue Aluminium'!$L$11,'Catalogue Aluminium'!$M$11)),IF(T279="TRENCH",(IF($U279="1C",'Catalogue Aluminium'!$L$12,'Catalogue Aluminium'!$M$12))))))</f>
        <v>0.66</v>
      </c>
      <c r="AK279" s="344" t="str">
        <f>IF(T279="Air",'Catalogue Aluminium'!$N$9,IF(T279="GROUND",'Catalogue Aluminium'!$N$10,IF(T279="DUCT",'Catalogue Aluminium'!$N$11,IF(T279="TRENCH",'Catalogue Aluminium'!$N$12,"NA"))))</f>
        <v>NA</v>
      </c>
      <c r="AL279" s="344" t="str">
        <f>IF(T279="Air",(IF(U279="1C",'Catalogue Aluminium'!$O$9,'Catalogue Aluminium'!$P$9)),IF(T279="DUCT",(IF($U279="1C",'Catalogue Aluminium'!$O$10,'Catalogue Aluminium'!$P$10)),IF(T279="GROUND",(IF($U279="1C",'Catalogue Aluminium'!$O$11,'Catalogue Aluminium'!$P$11)),IF(T279="TRENCH",(IF($U279="1C",'Catalogue Aluminium'!$O$12,'Catalogue Aluminium'!$P$12))))))</f>
        <v>NA</v>
      </c>
      <c r="AM279" s="344" t="str">
        <f>IF(T279="AIR","NA",IF(T279="TRENCH","NA",IF(T279="DUCT",IF(U279="1C",VLOOKUP(V279,'Catalogue Aluminium'!$Q$9:$S$28,2,FALSE),VLOOKUP(V279,'Catalogue Aluminium'!$Q$9:$S$28,3)),IF(T279="GROUND",IF(U279="1C",VLOOKUP(V279,'Catalogue Aluminium'!$Q$9:$S$28,2,FALSE),VLOOKUP(V279,'Catalogue Aluminium'!$Q$9:$S$28,3))))))</f>
        <v>NA</v>
      </c>
      <c r="AN279" s="351">
        <f t="shared" si="1791"/>
        <v>0.58740000000000003</v>
      </c>
      <c r="AO279" s="350">
        <f t="shared" si="1792"/>
        <v>22.321200000000001</v>
      </c>
      <c r="AP279" s="349">
        <f t="shared" si="1793"/>
        <v>1</v>
      </c>
      <c r="AQ279" s="350" t="str">
        <f t="shared" si="1794"/>
        <v>YES</v>
      </c>
      <c r="AR279" s="351">
        <f t="shared" si="1731"/>
        <v>0.18848515738300567</v>
      </c>
      <c r="AS279" s="343" t="str">
        <f t="shared" si="1732"/>
        <v>YES</v>
      </c>
      <c r="AT279" s="351" t="str">
        <f t="shared" si="1795"/>
        <v>NA</v>
      </c>
      <c r="AU279" s="343" t="str">
        <f t="shared" si="1796"/>
        <v>NA</v>
      </c>
      <c r="AV279" s="354" t="str">
        <f t="shared" si="1797"/>
        <v>1R x 0.6/1kV x 4C x 4 Sqmm</v>
      </c>
      <c r="AW279" s="354" t="str">
        <f t="shared" si="1798"/>
        <v>1R x 0.6/1kV x 4C x 4 Sqmm</v>
      </c>
      <c r="AX279" s="343">
        <f t="shared" si="1799"/>
        <v>33</v>
      </c>
      <c r="AY279" s="355"/>
      <c r="AZ279" s="355">
        <f t="shared" si="1800"/>
        <v>2</v>
      </c>
      <c r="BA279" s="356" t="str">
        <f t="shared" si="1801"/>
        <v/>
      </c>
      <c r="BB279" s="501">
        <f>VLOOKUP(W279,'Catalogue Aluminium'!$B$9:$H$93,7,FALSE)</f>
        <v>16</v>
      </c>
      <c r="BC279" s="328">
        <f t="shared" si="1802"/>
        <v>16</v>
      </c>
      <c r="BE279" s="336"/>
      <c r="BF279" s="336"/>
      <c r="BG279" s="336"/>
      <c r="BH279" s="336"/>
      <c r="BI279" s="336"/>
      <c r="BJ279" s="336"/>
      <c r="BK279" s="336"/>
      <c r="BL279" s="336"/>
      <c r="BM279" s="336"/>
      <c r="BN279" s="336"/>
      <c r="BO279" s="336"/>
      <c r="BP279" s="336"/>
      <c r="BQ279" s="336"/>
      <c r="BR279" s="336"/>
      <c r="BS279" s="336"/>
      <c r="BT279" s="336"/>
      <c r="BU279" s="336"/>
      <c r="BV279" s="336"/>
      <c r="BW279" s="336"/>
      <c r="BX279" s="336"/>
      <c r="BY279" s="336"/>
      <c r="BZ279" s="336"/>
      <c r="CA279" s="336"/>
      <c r="CB279" s="336"/>
      <c r="CC279" s="336"/>
      <c r="CD279" s="336"/>
      <c r="CE279" s="336"/>
      <c r="CF279" s="336"/>
      <c r="CG279" s="336"/>
      <c r="CH279" s="336"/>
      <c r="CI279" s="336"/>
      <c r="CJ279" s="336"/>
      <c r="CK279" s="336"/>
      <c r="CL279" s="336"/>
      <c r="CM279" s="336"/>
      <c r="CN279" s="336"/>
      <c r="CO279" s="336"/>
      <c r="CP279" s="336"/>
      <c r="CQ279" s="336"/>
      <c r="CR279" s="336"/>
      <c r="CS279" s="336"/>
      <c r="CT279" s="336"/>
      <c r="CU279" s="336"/>
      <c r="CV279" s="336"/>
      <c r="CW279" s="336"/>
      <c r="CX279" s="336"/>
      <c r="CY279" s="336"/>
      <c r="CZ279" s="336"/>
      <c r="DA279" s="336"/>
      <c r="DB279" s="336"/>
      <c r="DC279" s="336"/>
      <c r="DD279" s="336"/>
      <c r="DE279" s="336"/>
      <c r="DF279" s="336"/>
      <c r="DG279" s="336"/>
      <c r="DH279" s="336"/>
      <c r="DI279" s="336"/>
      <c r="DJ279" s="336"/>
      <c r="DK279" s="336"/>
      <c r="DL279" s="336"/>
      <c r="DM279" s="336"/>
      <c r="DN279" s="336"/>
      <c r="DO279" s="336"/>
      <c r="DP279" s="336"/>
      <c r="DQ279" s="336"/>
      <c r="DR279" s="336"/>
      <c r="DS279" s="336"/>
      <c r="DT279" s="336"/>
      <c r="DU279" s="336"/>
      <c r="DW279" s="336">
        <f t="shared" si="1733"/>
        <v>0</v>
      </c>
      <c r="DX279" s="336">
        <f t="shared" si="1668"/>
        <v>0</v>
      </c>
      <c r="DY279" s="336">
        <f t="shared" si="1669"/>
        <v>0</v>
      </c>
      <c r="DZ279" s="336">
        <f t="shared" si="1670"/>
        <v>0</v>
      </c>
      <c r="EA279" s="336">
        <f t="shared" si="1671"/>
        <v>0</v>
      </c>
      <c r="EB279" s="336">
        <f t="shared" si="1672"/>
        <v>0</v>
      </c>
      <c r="EC279" s="336">
        <f t="shared" si="1673"/>
        <v>0</v>
      </c>
      <c r="ED279" s="336">
        <f t="shared" si="1674"/>
        <v>0</v>
      </c>
      <c r="EE279" s="336">
        <f t="shared" si="1675"/>
        <v>0</v>
      </c>
      <c r="EF279" s="336">
        <f t="shared" si="1676"/>
        <v>0</v>
      </c>
      <c r="EG279" s="336">
        <f t="shared" si="1677"/>
        <v>0</v>
      </c>
      <c r="EH279" s="336">
        <f t="shared" si="1678"/>
        <v>0</v>
      </c>
      <c r="EI279" s="336">
        <f t="shared" si="1679"/>
        <v>0</v>
      </c>
      <c r="EJ279" s="336">
        <f t="shared" si="1680"/>
        <v>0</v>
      </c>
      <c r="EK279" s="336">
        <f t="shared" si="1681"/>
        <v>0</v>
      </c>
      <c r="EL279" s="336">
        <f t="shared" si="1682"/>
        <v>0</v>
      </c>
      <c r="EM279" s="336">
        <f t="shared" si="1683"/>
        <v>0</v>
      </c>
      <c r="EN279" s="336">
        <f t="shared" si="1684"/>
        <v>0</v>
      </c>
      <c r="EO279" s="336">
        <f t="shared" si="1685"/>
        <v>0</v>
      </c>
      <c r="EP279" s="336">
        <f t="shared" si="1686"/>
        <v>0</v>
      </c>
      <c r="EQ279" s="336">
        <f t="shared" si="1687"/>
        <v>0</v>
      </c>
      <c r="ER279" s="336">
        <f t="shared" si="1688"/>
        <v>0</v>
      </c>
      <c r="ES279" s="336">
        <f t="shared" si="1689"/>
        <v>0</v>
      </c>
      <c r="ET279" s="336">
        <f t="shared" si="1689"/>
        <v>0</v>
      </c>
      <c r="EU279" s="336">
        <f t="shared" si="1690"/>
        <v>0</v>
      </c>
      <c r="EV279" s="336">
        <f t="shared" si="1691"/>
        <v>0</v>
      </c>
      <c r="EW279" s="336">
        <f t="shared" si="1692"/>
        <v>0</v>
      </c>
      <c r="EX279" s="336">
        <f t="shared" si="1693"/>
        <v>0</v>
      </c>
      <c r="EY279" s="336">
        <f t="shared" si="1694"/>
        <v>0</v>
      </c>
      <c r="EZ279" s="336">
        <f t="shared" si="1695"/>
        <v>0</v>
      </c>
      <c r="FA279" s="336">
        <f t="shared" si="1696"/>
        <v>0</v>
      </c>
      <c r="FB279" s="336">
        <f t="shared" si="1697"/>
        <v>0</v>
      </c>
      <c r="FC279" s="336">
        <f t="shared" si="1698"/>
        <v>0</v>
      </c>
      <c r="FD279" s="336">
        <f t="shared" si="1699"/>
        <v>0</v>
      </c>
      <c r="FE279" s="336">
        <f t="shared" si="1700"/>
        <v>0</v>
      </c>
      <c r="FF279" s="336">
        <f t="shared" si="1701"/>
        <v>0</v>
      </c>
      <c r="FG279" s="336">
        <f t="shared" si="1702"/>
        <v>0</v>
      </c>
      <c r="FH279" s="336">
        <f t="shared" si="1703"/>
        <v>0</v>
      </c>
      <c r="FI279" s="336">
        <f t="shared" si="1704"/>
        <v>0</v>
      </c>
      <c r="FJ279" s="336">
        <f t="shared" si="1705"/>
        <v>0</v>
      </c>
      <c r="FK279" s="336">
        <f t="shared" si="1706"/>
        <v>0</v>
      </c>
      <c r="FL279" s="336">
        <f t="shared" si="1707"/>
        <v>0</v>
      </c>
      <c r="FM279" s="336">
        <f t="shared" si="1708"/>
        <v>0</v>
      </c>
      <c r="FN279" s="336">
        <f t="shared" si="1709"/>
        <v>0</v>
      </c>
      <c r="FO279" s="336">
        <f t="shared" si="1710"/>
        <v>0</v>
      </c>
      <c r="FP279" s="336">
        <f t="shared" si="1711"/>
        <v>0</v>
      </c>
      <c r="FQ279" s="336">
        <f t="shared" si="1712"/>
        <v>0</v>
      </c>
      <c r="FR279" s="336">
        <f t="shared" si="1713"/>
        <v>0</v>
      </c>
      <c r="FS279" s="336">
        <f t="shared" si="1714"/>
        <v>0</v>
      </c>
      <c r="FT279" s="336">
        <f t="shared" si="1715"/>
        <v>0</v>
      </c>
      <c r="FU279" s="336">
        <f t="shared" si="1782"/>
        <v>0</v>
      </c>
      <c r="FV279" s="336">
        <f t="shared" si="1783"/>
        <v>0</v>
      </c>
      <c r="FW279" s="336">
        <f t="shared" si="1784"/>
        <v>0</v>
      </c>
      <c r="FX279" s="336">
        <f t="shared" si="1785"/>
        <v>0</v>
      </c>
      <c r="FY279" s="336">
        <f t="shared" si="1734"/>
        <v>0</v>
      </c>
      <c r="FZ279" s="336">
        <f t="shared" si="1735"/>
        <v>0</v>
      </c>
      <c r="GA279" s="336">
        <f t="shared" si="1736"/>
        <v>0</v>
      </c>
      <c r="GB279" s="336">
        <f t="shared" si="1737"/>
        <v>0</v>
      </c>
      <c r="GC279" s="336">
        <f t="shared" si="1738"/>
        <v>0</v>
      </c>
      <c r="GD279" s="336">
        <f t="shared" si="1739"/>
        <v>0</v>
      </c>
      <c r="GE279" s="336">
        <f t="shared" si="1740"/>
        <v>0</v>
      </c>
      <c r="GF279" s="336">
        <f t="shared" si="1741"/>
        <v>0</v>
      </c>
      <c r="GG279" s="336">
        <f t="shared" si="1742"/>
        <v>0</v>
      </c>
      <c r="GH279" s="336">
        <f t="shared" si="1743"/>
        <v>0</v>
      </c>
      <c r="GI279" s="336">
        <f t="shared" si="1744"/>
        <v>0</v>
      </c>
      <c r="GJ279" s="336">
        <f t="shared" si="1745"/>
        <v>0</v>
      </c>
      <c r="GK279" s="336">
        <f t="shared" si="1746"/>
        <v>0</v>
      </c>
      <c r="GL279" s="336">
        <f t="shared" si="1786"/>
        <v>0</v>
      </c>
      <c r="GM279" s="336">
        <f t="shared" si="1747"/>
        <v>0</v>
      </c>
    </row>
    <row r="280" spans="1:195" ht="45" customHeight="1">
      <c r="A280" s="337">
        <f t="shared" si="1805"/>
        <v>226</v>
      </c>
      <c r="B280" s="453"/>
      <c r="C280" s="372" t="s">
        <v>1418</v>
      </c>
      <c r="D280" s="444" t="s">
        <v>1427</v>
      </c>
      <c r="E280" s="569" t="s">
        <v>1428</v>
      </c>
      <c r="F280" s="500"/>
      <c r="G280" s="337" t="s">
        <v>329</v>
      </c>
      <c r="H280" s="583">
        <v>1.5</v>
      </c>
      <c r="I280" s="337" t="s">
        <v>330</v>
      </c>
      <c r="J280" s="349" t="s">
        <v>331</v>
      </c>
      <c r="K280" s="349">
        <v>400</v>
      </c>
      <c r="L280" s="343">
        <v>0.75</v>
      </c>
      <c r="M280" s="350">
        <v>0.85299999999999998</v>
      </c>
      <c r="N280" s="342">
        <f t="shared" si="1774"/>
        <v>3.3843329750452824</v>
      </c>
      <c r="O280" s="342">
        <f t="shared" si="1788"/>
        <v>0</v>
      </c>
      <c r="P280" s="343" t="str">
        <f t="shared" si="1775"/>
        <v>0.00</v>
      </c>
      <c r="Q280" s="350">
        <v>65</v>
      </c>
      <c r="R280" s="350">
        <v>0</v>
      </c>
      <c r="S280" s="350">
        <f t="shared" si="1776"/>
        <v>0</v>
      </c>
      <c r="T280" s="343" t="s">
        <v>332</v>
      </c>
      <c r="U280" s="350" t="s">
        <v>522</v>
      </c>
      <c r="V280" s="343">
        <v>4</v>
      </c>
      <c r="W280" s="343" t="str">
        <f t="shared" si="1777"/>
        <v>4C X 4</v>
      </c>
      <c r="X280" s="343" t="str">
        <f t="shared" si="1789"/>
        <v>4C X 4</v>
      </c>
      <c r="Y280" s="343" t="s">
        <v>358</v>
      </c>
      <c r="Z280" s="344">
        <f>IF(T280="AIR",VLOOKUP(W280,'Catalogue Aluminium'!$B$9:$G$93,2,FALSE),IF(T280="GROUND",VLOOKUP(W280,'Catalogue Aluminium'!$B$9:$G$93,3,FALSE),IF(T280="DUCT",VLOOKUP(W280,'Catalogue Aluminium'!$B$9:$G$93,4,FALSE),IF(T280="TRENCH",VLOOKUP(W280,'Catalogue Aluminium'!$B$9:$G$93,2,FALSE)))))</f>
        <v>38</v>
      </c>
      <c r="AA280" s="345">
        <f>VLOOKUP(W280,'Catalogue Aluminium'!$B$9:$G$93,5,FALSE)</f>
        <v>5.9</v>
      </c>
      <c r="AB280" s="345">
        <f>VLOOKUP(W280,'Catalogue Aluminium'!$B$9:$G$93,6,FALSE)</f>
        <v>9.4700000000000006E-2</v>
      </c>
      <c r="AC280" s="343">
        <f>9.5+2.5</f>
        <v>12</v>
      </c>
      <c r="AD280" s="346">
        <f t="shared" ref="AD280" si="1806">(9+16+33+25)</f>
        <v>83</v>
      </c>
      <c r="AE280" s="343">
        <v>20</v>
      </c>
      <c r="AF280" s="343">
        <v>8</v>
      </c>
      <c r="AG280" s="343">
        <f t="shared" ref="AG280" si="1807">ROUNDUP((SUM(AC280:AF280)*0.1),0)</f>
        <v>13</v>
      </c>
      <c r="AH280" s="347">
        <f t="shared" si="1790"/>
        <v>136</v>
      </c>
      <c r="AI280" s="344">
        <f>IF(T280="AIR",'Catalogue Aluminium'!$K$9,IF(T280="TRENCH",'Catalogue Aluminium'!$K$12,"NA"))</f>
        <v>0.89</v>
      </c>
      <c r="AJ280" s="342">
        <f>IF(T280="Air",(IF(U280="1C",'Catalogue Aluminium'!$L$9,'Catalogue Aluminium'!$M$9)),IF(T280="DUCT",(IF($U280="1C",'Catalogue Aluminium'!$L$10,'Catalogue Aluminium'!$M$10)),IF(T280="GROUND",(IF($U280="1C",'Catalogue Aluminium'!$L$11,'Catalogue Aluminium'!$M$11)),IF(T280="TRENCH",(IF($U280="1C",'Catalogue Aluminium'!$L$12,'Catalogue Aluminium'!$M$12))))))</f>
        <v>0.66</v>
      </c>
      <c r="AK280" s="344" t="str">
        <f>IF(T280="Air",'Catalogue Aluminium'!$N$9,IF(T280="GROUND",'Catalogue Aluminium'!$N$10,IF(T280="DUCT",'Catalogue Aluminium'!$N$11,IF(T280="TRENCH",'Catalogue Aluminium'!$N$12,"NA"))))</f>
        <v>NA</v>
      </c>
      <c r="AL280" s="344" t="str">
        <f>IF(T280="Air",(IF(U280="1C",'Catalogue Aluminium'!$O$9,'Catalogue Aluminium'!$P$9)),IF(T280="DUCT",(IF($U280="1C",'Catalogue Aluminium'!$O$10,'Catalogue Aluminium'!$P$10)),IF(T280="GROUND",(IF($U280="1C",'Catalogue Aluminium'!$O$11,'Catalogue Aluminium'!$P$11)),IF(T280="TRENCH",(IF($U280="1C",'Catalogue Aluminium'!$O$12,'Catalogue Aluminium'!$P$12))))))</f>
        <v>NA</v>
      </c>
      <c r="AM280" s="344" t="str">
        <f>IF(T280="AIR","NA",IF(T280="TRENCH","NA",IF(T280="DUCT",IF(U280="1C",VLOOKUP(V280,'Catalogue Aluminium'!$Q$9:$S$28,2,FALSE),VLOOKUP(V280,'Catalogue Aluminium'!$Q$9:$S$28,3)),IF(T280="GROUND",IF(U280="1C",VLOOKUP(V280,'Catalogue Aluminium'!$Q$9:$S$28,2,FALSE),VLOOKUP(V280,'Catalogue Aluminium'!$Q$9:$S$28,3))))))</f>
        <v>NA</v>
      </c>
      <c r="AN280" s="351">
        <f t="shared" si="1791"/>
        <v>0.58740000000000003</v>
      </c>
      <c r="AO280" s="350">
        <f t="shared" si="1792"/>
        <v>22.321200000000001</v>
      </c>
      <c r="AP280" s="349">
        <f t="shared" si="1793"/>
        <v>1</v>
      </c>
      <c r="AQ280" s="350" t="str">
        <f t="shared" si="1794"/>
        <v>YES</v>
      </c>
      <c r="AR280" s="351">
        <f t="shared" si="1731"/>
        <v>0.89439726486464144</v>
      </c>
      <c r="AS280" s="343" t="str">
        <f t="shared" si="1732"/>
        <v>YES</v>
      </c>
      <c r="AT280" s="351" t="str">
        <f t="shared" si="1795"/>
        <v>NA</v>
      </c>
      <c r="AU280" s="343" t="str">
        <f t="shared" si="1796"/>
        <v>NA</v>
      </c>
      <c r="AV280" s="354" t="str">
        <f t="shared" si="1797"/>
        <v>1R x 0.6/1kV x 4C x 4 Sqmm</v>
      </c>
      <c r="AW280" s="354" t="str">
        <f t="shared" si="1798"/>
        <v>1R x 0.6/1kV x 4C x 4 Sqmm</v>
      </c>
      <c r="AX280" s="343">
        <f t="shared" si="1799"/>
        <v>136</v>
      </c>
      <c r="AY280" s="355"/>
      <c r="AZ280" s="355">
        <f t="shared" si="1800"/>
        <v>2</v>
      </c>
      <c r="BA280" s="356" t="str">
        <f t="shared" si="1801"/>
        <v/>
      </c>
      <c r="BB280" s="501">
        <f>VLOOKUP(W280,'Catalogue Aluminium'!$B$9:$H$93,7,FALSE)</f>
        <v>16</v>
      </c>
      <c r="BC280" s="328">
        <f t="shared" si="1802"/>
        <v>16</v>
      </c>
      <c r="BE280" s="336"/>
      <c r="BF280" s="336"/>
      <c r="BG280" s="336"/>
      <c r="BH280" s="336"/>
      <c r="BI280" s="336"/>
      <c r="BJ280" s="336"/>
      <c r="BK280" s="336"/>
      <c r="BL280" s="336"/>
      <c r="BM280" s="336"/>
      <c r="BN280" s="336"/>
      <c r="BO280" s="336"/>
      <c r="BP280" s="336"/>
      <c r="BQ280" s="336"/>
      <c r="BR280" s="336"/>
      <c r="BS280" s="336"/>
      <c r="BT280" s="336"/>
      <c r="BU280" s="336"/>
      <c r="BV280" s="336"/>
      <c r="BW280" s="336"/>
      <c r="BX280" s="336"/>
      <c r="BY280" s="336"/>
      <c r="BZ280" s="336"/>
      <c r="CA280" s="336"/>
      <c r="CB280" s="336"/>
      <c r="CC280" s="336"/>
      <c r="CD280" s="336"/>
      <c r="CE280" s="336"/>
      <c r="CF280" s="336"/>
      <c r="CG280" s="336"/>
      <c r="CH280" s="336"/>
      <c r="CI280" s="336"/>
      <c r="CJ280" s="336"/>
      <c r="CK280" s="336"/>
      <c r="CL280" s="336"/>
      <c r="CM280" s="336"/>
      <c r="CN280" s="336"/>
      <c r="CO280" s="336"/>
      <c r="CP280" s="336"/>
      <c r="CQ280" s="336"/>
      <c r="CR280" s="336"/>
      <c r="CS280" s="336"/>
      <c r="CT280" s="336"/>
      <c r="CU280" s="336"/>
      <c r="CV280" s="336"/>
      <c r="CW280" s="336"/>
      <c r="CX280" s="336"/>
      <c r="CY280" s="336"/>
      <c r="CZ280" s="336"/>
      <c r="DA280" s="336"/>
      <c r="DB280" s="336"/>
      <c r="DC280" s="336"/>
      <c r="DD280" s="336"/>
      <c r="DE280" s="336"/>
      <c r="DF280" s="336"/>
      <c r="DG280" s="336"/>
      <c r="DH280" s="336"/>
      <c r="DI280" s="336"/>
      <c r="DJ280" s="336"/>
      <c r="DK280" s="336"/>
      <c r="DL280" s="336"/>
      <c r="DM280" s="336"/>
      <c r="DN280" s="336"/>
      <c r="DO280" s="336"/>
      <c r="DP280" s="336"/>
      <c r="DQ280" s="336"/>
      <c r="DR280" s="336"/>
      <c r="DS280" s="336"/>
      <c r="DT280" s="336"/>
      <c r="DU280" s="336"/>
      <c r="DW280" s="336">
        <f t="shared" si="1733"/>
        <v>0</v>
      </c>
      <c r="DX280" s="336">
        <f t="shared" si="1668"/>
        <v>0</v>
      </c>
      <c r="DY280" s="336">
        <f t="shared" si="1669"/>
        <v>0</v>
      </c>
      <c r="DZ280" s="336">
        <f t="shared" si="1670"/>
        <v>0</v>
      </c>
      <c r="EA280" s="336">
        <f t="shared" si="1671"/>
        <v>0</v>
      </c>
      <c r="EB280" s="336">
        <f t="shared" si="1672"/>
        <v>0</v>
      </c>
      <c r="EC280" s="336">
        <f t="shared" si="1673"/>
        <v>0</v>
      </c>
      <c r="ED280" s="336">
        <f t="shared" si="1674"/>
        <v>0</v>
      </c>
      <c r="EE280" s="336">
        <f t="shared" si="1675"/>
        <v>0</v>
      </c>
      <c r="EF280" s="336">
        <f t="shared" si="1676"/>
        <v>0</v>
      </c>
      <c r="EG280" s="336">
        <f t="shared" si="1677"/>
        <v>0</v>
      </c>
      <c r="EH280" s="336">
        <f t="shared" si="1678"/>
        <v>0</v>
      </c>
      <c r="EI280" s="336">
        <f t="shared" si="1679"/>
        <v>0</v>
      </c>
      <c r="EJ280" s="336">
        <f t="shared" si="1680"/>
        <v>0</v>
      </c>
      <c r="EK280" s="336">
        <f t="shared" si="1681"/>
        <v>0</v>
      </c>
      <c r="EL280" s="336">
        <f t="shared" si="1682"/>
        <v>0</v>
      </c>
      <c r="EM280" s="336">
        <f t="shared" si="1683"/>
        <v>0</v>
      </c>
      <c r="EN280" s="336">
        <f t="shared" si="1684"/>
        <v>0</v>
      </c>
      <c r="EO280" s="336">
        <f t="shared" si="1685"/>
        <v>0</v>
      </c>
      <c r="EP280" s="336">
        <f t="shared" si="1686"/>
        <v>0</v>
      </c>
      <c r="EQ280" s="336">
        <f t="shared" si="1687"/>
        <v>0</v>
      </c>
      <c r="ER280" s="336">
        <f t="shared" si="1688"/>
        <v>0</v>
      </c>
      <c r="ES280" s="336">
        <f t="shared" si="1689"/>
        <v>0</v>
      </c>
      <c r="ET280" s="336">
        <f t="shared" si="1689"/>
        <v>0</v>
      </c>
      <c r="EU280" s="336">
        <f t="shared" si="1690"/>
        <v>0</v>
      </c>
      <c r="EV280" s="336">
        <f t="shared" si="1691"/>
        <v>0</v>
      </c>
      <c r="EW280" s="336">
        <f t="shared" si="1692"/>
        <v>0</v>
      </c>
      <c r="EX280" s="336">
        <f t="shared" si="1693"/>
        <v>0</v>
      </c>
      <c r="EY280" s="336">
        <f t="shared" si="1694"/>
        <v>0</v>
      </c>
      <c r="EZ280" s="336">
        <f t="shared" si="1695"/>
        <v>0</v>
      </c>
      <c r="FA280" s="336">
        <f t="shared" si="1696"/>
        <v>0</v>
      </c>
      <c r="FB280" s="336">
        <f t="shared" si="1697"/>
        <v>0</v>
      </c>
      <c r="FC280" s="336">
        <f t="shared" si="1698"/>
        <v>0</v>
      </c>
      <c r="FD280" s="336">
        <f t="shared" si="1699"/>
        <v>0</v>
      </c>
      <c r="FE280" s="336">
        <f t="shared" si="1700"/>
        <v>0</v>
      </c>
      <c r="FF280" s="336">
        <f t="shared" si="1701"/>
        <v>0</v>
      </c>
      <c r="FG280" s="336">
        <f t="shared" si="1702"/>
        <v>0</v>
      </c>
      <c r="FH280" s="336">
        <f t="shared" si="1703"/>
        <v>0</v>
      </c>
      <c r="FI280" s="336">
        <f t="shared" si="1704"/>
        <v>0</v>
      </c>
      <c r="FJ280" s="336">
        <f t="shared" si="1705"/>
        <v>0</v>
      </c>
      <c r="FK280" s="336">
        <f t="shared" si="1706"/>
        <v>0</v>
      </c>
      <c r="FL280" s="336">
        <f t="shared" si="1707"/>
        <v>0</v>
      </c>
      <c r="FM280" s="336">
        <f t="shared" si="1708"/>
        <v>0</v>
      </c>
      <c r="FN280" s="336">
        <f t="shared" si="1709"/>
        <v>0</v>
      </c>
      <c r="FO280" s="336">
        <f t="shared" si="1710"/>
        <v>0</v>
      </c>
      <c r="FP280" s="336">
        <f t="shared" si="1711"/>
        <v>0</v>
      </c>
      <c r="FQ280" s="336">
        <f t="shared" si="1712"/>
        <v>0</v>
      </c>
      <c r="FR280" s="336">
        <f t="shared" si="1713"/>
        <v>0</v>
      </c>
      <c r="FS280" s="336">
        <f t="shared" si="1714"/>
        <v>0</v>
      </c>
      <c r="FT280" s="336">
        <f t="shared" si="1715"/>
        <v>0</v>
      </c>
      <c r="FU280" s="336">
        <f t="shared" si="1782"/>
        <v>0</v>
      </c>
      <c r="FV280" s="336">
        <f t="shared" si="1783"/>
        <v>0</v>
      </c>
      <c r="FW280" s="336">
        <f t="shared" si="1784"/>
        <v>0</v>
      </c>
      <c r="FX280" s="336">
        <f t="shared" si="1785"/>
        <v>0</v>
      </c>
      <c r="FY280" s="336">
        <f t="shared" si="1734"/>
        <v>0</v>
      </c>
      <c r="FZ280" s="336">
        <f t="shared" si="1735"/>
        <v>0</v>
      </c>
      <c r="GA280" s="336">
        <f t="shared" si="1736"/>
        <v>0</v>
      </c>
      <c r="GB280" s="336">
        <f t="shared" si="1737"/>
        <v>0</v>
      </c>
      <c r="GC280" s="336">
        <f t="shared" si="1738"/>
        <v>0</v>
      </c>
      <c r="GD280" s="336">
        <f t="shared" si="1739"/>
        <v>0</v>
      </c>
      <c r="GE280" s="336">
        <f t="shared" si="1740"/>
        <v>0</v>
      </c>
      <c r="GF280" s="336">
        <f t="shared" si="1741"/>
        <v>0</v>
      </c>
      <c r="GG280" s="336">
        <f t="shared" si="1742"/>
        <v>0</v>
      </c>
      <c r="GH280" s="336">
        <f t="shared" si="1743"/>
        <v>0</v>
      </c>
      <c r="GI280" s="336">
        <f t="shared" si="1744"/>
        <v>0</v>
      </c>
      <c r="GJ280" s="336">
        <f t="shared" si="1745"/>
        <v>0</v>
      </c>
      <c r="GK280" s="336">
        <f t="shared" si="1746"/>
        <v>0</v>
      </c>
      <c r="GL280" s="336">
        <f t="shared" si="1786"/>
        <v>0</v>
      </c>
      <c r="GM280" s="336">
        <f t="shared" si="1747"/>
        <v>0</v>
      </c>
    </row>
    <row r="281" spans="1:195" ht="27.75" customHeight="1">
      <c r="A281" s="337">
        <f t="shared" si="1805"/>
        <v>227</v>
      </c>
      <c r="B281" s="453" t="s">
        <v>1192</v>
      </c>
      <c r="C281" s="372" t="str">
        <f>$C$85</f>
        <v>PDB-2</v>
      </c>
      <c r="D281" s="440" t="s">
        <v>1429</v>
      </c>
      <c r="E281" s="569"/>
      <c r="F281" s="500"/>
      <c r="G281" s="337" t="s">
        <v>337</v>
      </c>
      <c r="H281" s="350">
        <v>25.947368421052637</v>
      </c>
      <c r="I281" s="337" t="s">
        <v>330</v>
      </c>
      <c r="J281" s="349" t="s">
        <v>331</v>
      </c>
      <c r="K281" s="349">
        <v>400</v>
      </c>
      <c r="L281" s="343">
        <v>0.95</v>
      </c>
      <c r="M281" s="350">
        <v>0.85</v>
      </c>
      <c r="N281" s="342">
        <f t="shared" si="1774"/>
        <v>46.381299060218936</v>
      </c>
      <c r="O281" s="926"/>
      <c r="P281" s="927"/>
      <c r="Q281" s="927"/>
      <c r="R281" s="927"/>
      <c r="S281" s="927"/>
      <c r="T281" s="927"/>
      <c r="U281" s="927"/>
      <c r="V281" s="927"/>
      <c r="W281" s="927"/>
      <c r="X281" s="927"/>
      <c r="Y281" s="927"/>
      <c r="Z281" s="927"/>
      <c r="AA281" s="927"/>
      <c r="AB281" s="927"/>
      <c r="AC281" s="927"/>
      <c r="AD281" s="927"/>
      <c r="AE281" s="927"/>
      <c r="AF281" s="927"/>
      <c r="AG281" s="927"/>
      <c r="AH281" s="927"/>
      <c r="AI281" s="927"/>
      <c r="AJ281" s="927"/>
      <c r="AK281" s="927"/>
      <c r="AL281" s="927"/>
      <c r="AM281" s="927"/>
      <c r="AN281" s="927"/>
      <c r="AO281" s="927"/>
      <c r="AP281" s="927"/>
      <c r="AQ281" s="927"/>
      <c r="AR281" s="927"/>
      <c r="AS281" s="927"/>
      <c r="AT281" s="927"/>
      <c r="AU281" s="927"/>
      <c r="AV281" s="927"/>
      <c r="AW281" s="927"/>
      <c r="AX281" s="927"/>
      <c r="AY281" s="927"/>
      <c r="AZ281" s="927"/>
      <c r="BA281" s="927"/>
      <c r="BB281" s="927"/>
      <c r="BC281" s="1020"/>
      <c r="BE281" s="336"/>
      <c r="BF281" s="336"/>
      <c r="BG281" s="336"/>
      <c r="BH281" s="336"/>
      <c r="BI281" s="336"/>
      <c r="BJ281" s="336"/>
      <c r="BK281" s="336"/>
      <c r="BL281" s="336"/>
      <c r="BM281" s="336"/>
      <c r="BN281" s="336"/>
      <c r="BO281" s="336"/>
      <c r="BP281" s="336"/>
      <c r="BQ281" s="336"/>
      <c r="BR281" s="336"/>
      <c r="BS281" s="336"/>
      <c r="BT281" s="336"/>
      <c r="BU281" s="336"/>
      <c r="BV281" s="336"/>
      <c r="BW281" s="336"/>
      <c r="BX281" s="336"/>
      <c r="BY281" s="336"/>
      <c r="BZ281" s="336"/>
      <c r="CA281" s="336"/>
      <c r="CB281" s="336"/>
      <c r="CC281" s="336"/>
      <c r="CD281" s="336"/>
      <c r="CE281" s="336"/>
      <c r="CF281" s="336"/>
      <c r="CG281" s="336"/>
      <c r="CH281" s="336"/>
      <c r="CI281" s="336"/>
      <c r="CJ281" s="336"/>
      <c r="CK281" s="336"/>
      <c r="CL281" s="336"/>
      <c r="CM281" s="336"/>
      <c r="CN281" s="336"/>
      <c r="CO281" s="336"/>
      <c r="CP281" s="336"/>
      <c r="CQ281" s="336"/>
      <c r="CR281" s="336"/>
      <c r="CS281" s="336"/>
      <c r="CT281" s="336"/>
      <c r="CU281" s="336"/>
      <c r="CV281" s="336"/>
      <c r="CW281" s="336"/>
      <c r="CX281" s="336"/>
      <c r="CY281" s="336"/>
      <c r="CZ281" s="336"/>
      <c r="DA281" s="336"/>
      <c r="DB281" s="336"/>
      <c r="DC281" s="336"/>
      <c r="DD281" s="336"/>
      <c r="DE281" s="336"/>
      <c r="DF281" s="336"/>
      <c r="DG281" s="336"/>
      <c r="DH281" s="336"/>
      <c r="DI281" s="336"/>
      <c r="DJ281" s="336"/>
      <c r="DK281" s="336"/>
      <c r="DL281" s="336"/>
      <c r="DM281" s="336"/>
      <c r="DN281" s="336"/>
      <c r="DO281" s="336"/>
      <c r="DP281" s="336"/>
      <c r="DQ281" s="336"/>
      <c r="DR281" s="336"/>
      <c r="DS281" s="336"/>
      <c r="DT281" s="336"/>
      <c r="DU281" s="336"/>
      <c r="DW281" s="336">
        <f t="shared" si="1733"/>
        <v>0</v>
      </c>
      <c r="DX281" s="336">
        <f t="shared" si="1668"/>
        <v>0</v>
      </c>
      <c r="DY281" s="336">
        <f t="shared" si="1669"/>
        <v>0</v>
      </c>
      <c r="DZ281" s="336">
        <f t="shared" si="1670"/>
        <v>0</v>
      </c>
      <c r="EA281" s="336">
        <f t="shared" si="1671"/>
        <v>0</v>
      </c>
      <c r="EB281" s="336">
        <f t="shared" si="1672"/>
        <v>0</v>
      </c>
      <c r="EC281" s="336">
        <f t="shared" si="1673"/>
        <v>0</v>
      </c>
      <c r="ED281" s="336">
        <f t="shared" si="1674"/>
        <v>0</v>
      </c>
      <c r="EE281" s="336">
        <f t="shared" si="1675"/>
        <v>0</v>
      </c>
      <c r="EF281" s="336">
        <f t="shared" si="1676"/>
        <v>0</v>
      </c>
      <c r="EG281" s="336">
        <f t="shared" si="1677"/>
        <v>0</v>
      </c>
      <c r="EH281" s="336">
        <f t="shared" si="1678"/>
        <v>0</v>
      </c>
      <c r="EI281" s="336">
        <f t="shared" si="1679"/>
        <v>0</v>
      </c>
      <c r="EJ281" s="336">
        <f t="shared" si="1680"/>
        <v>0</v>
      </c>
      <c r="EK281" s="336">
        <f t="shared" si="1681"/>
        <v>0</v>
      </c>
      <c r="EL281" s="336">
        <f t="shared" si="1682"/>
        <v>0</v>
      </c>
      <c r="EM281" s="336">
        <f t="shared" si="1683"/>
        <v>0</v>
      </c>
      <c r="EN281" s="336">
        <f t="shared" si="1684"/>
        <v>0</v>
      </c>
      <c r="EO281" s="336">
        <f t="shared" si="1685"/>
        <v>0</v>
      </c>
      <c r="EP281" s="336">
        <f t="shared" si="1686"/>
        <v>0</v>
      </c>
      <c r="EQ281" s="336">
        <f t="shared" si="1687"/>
        <v>0</v>
      </c>
      <c r="ER281" s="336">
        <f t="shared" si="1688"/>
        <v>0</v>
      </c>
      <c r="ES281" s="336">
        <f t="shared" si="1689"/>
        <v>0</v>
      </c>
      <c r="ET281" s="336">
        <f t="shared" si="1689"/>
        <v>0</v>
      </c>
      <c r="EU281" s="336">
        <f t="shared" si="1690"/>
        <v>0</v>
      </c>
      <c r="EV281" s="336">
        <f t="shared" si="1691"/>
        <v>0</v>
      </c>
      <c r="EW281" s="336">
        <f t="shared" si="1692"/>
        <v>0</v>
      </c>
      <c r="EX281" s="336">
        <f t="shared" si="1693"/>
        <v>0</v>
      </c>
      <c r="EY281" s="336">
        <f t="shared" si="1694"/>
        <v>0</v>
      </c>
      <c r="EZ281" s="336">
        <f t="shared" si="1695"/>
        <v>0</v>
      </c>
      <c r="FA281" s="336">
        <f t="shared" si="1696"/>
        <v>0</v>
      </c>
      <c r="FB281" s="336">
        <f t="shared" si="1697"/>
        <v>0</v>
      </c>
      <c r="FC281" s="336">
        <f t="shared" si="1698"/>
        <v>0</v>
      </c>
      <c r="FD281" s="336">
        <f t="shared" si="1699"/>
        <v>0</v>
      </c>
      <c r="FE281" s="336">
        <f t="shared" si="1700"/>
        <v>0</v>
      </c>
      <c r="FF281" s="336">
        <f t="shared" si="1701"/>
        <v>0</v>
      </c>
      <c r="FG281" s="336">
        <f t="shared" si="1702"/>
        <v>0</v>
      </c>
      <c r="FH281" s="336">
        <f t="shared" si="1703"/>
        <v>0</v>
      </c>
      <c r="FI281" s="336">
        <f t="shared" si="1704"/>
        <v>0</v>
      </c>
      <c r="FJ281" s="336">
        <f t="shared" si="1705"/>
        <v>0</v>
      </c>
      <c r="FK281" s="336">
        <f t="shared" si="1706"/>
        <v>0</v>
      </c>
      <c r="FL281" s="336">
        <f t="shared" si="1707"/>
        <v>0</v>
      </c>
      <c r="FM281" s="336">
        <f t="shared" si="1708"/>
        <v>0</v>
      </c>
      <c r="FN281" s="336">
        <f t="shared" si="1709"/>
        <v>0</v>
      </c>
      <c r="FO281" s="336">
        <f t="shared" si="1710"/>
        <v>0</v>
      </c>
      <c r="FP281" s="336">
        <f t="shared" si="1711"/>
        <v>0</v>
      </c>
      <c r="FQ281" s="336">
        <f t="shared" si="1712"/>
        <v>0</v>
      </c>
      <c r="FR281" s="336">
        <f t="shared" si="1713"/>
        <v>0</v>
      </c>
      <c r="FS281" s="336">
        <f t="shared" si="1714"/>
        <v>0</v>
      </c>
      <c r="FT281" s="336">
        <f t="shared" si="1715"/>
        <v>0</v>
      </c>
      <c r="FU281" s="336">
        <f t="shared" si="1782"/>
        <v>0</v>
      </c>
      <c r="FV281" s="336">
        <f t="shared" si="1783"/>
        <v>0</v>
      </c>
      <c r="FW281" s="336">
        <f t="shared" si="1784"/>
        <v>0</v>
      </c>
      <c r="FX281" s="336">
        <f t="shared" si="1785"/>
        <v>0</v>
      </c>
      <c r="FY281" s="336">
        <f t="shared" si="1734"/>
        <v>0</v>
      </c>
      <c r="FZ281" s="336">
        <f t="shared" si="1735"/>
        <v>0</v>
      </c>
      <c r="GA281" s="336">
        <f t="shared" si="1736"/>
        <v>0</v>
      </c>
      <c r="GB281" s="336">
        <f t="shared" si="1737"/>
        <v>0</v>
      </c>
      <c r="GC281" s="336">
        <f t="shared" si="1738"/>
        <v>0</v>
      </c>
      <c r="GD281" s="336">
        <f t="shared" si="1739"/>
        <v>0</v>
      </c>
      <c r="GE281" s="336">
        <f t="shared" si="1740"/>
        <v>0</v>
      </c>
      <c r="GF281" s="336">
        <f t="shared" si="1741"/>
        <v>0</v>
      </c>
      <c r="GG281" s="336">
        <f t="shared" si="1742"/>
        <v>0</v>
      </c>
      <c r="GH281" s="336">
        <f t="shared" si="1743"/>
        <v>0</v>
      </c>
      <c r="GI281" s="336">
        <f t="shared" si="1744"/>
        <v>0</v>
      </c>
      <c r="GJ281" s="336">
        <f t="shared" si="1745"/>
        <v>0</v>
      </c>
      <c r="GK281" s="336">
        <f t="shared" si="1746"/>
        <v>0</v>
      </c>
      <c r="GL281" s="336">
        <f t="shared" si="1786"/>
        <v>0</v>
      </c>
      <c r="GM281" s="336">
        <f t="shared" si="1747"/>
        <v>0</v>
      </c>
    </row>
    <row r="282" spans="1:195" ht="14.25" customHeight="1">
      <c r="A282" s="337"/>
      <c r="B282" s="337"/>
      <c r="C282" s="372"/>
      <c r="D282" s="372"/>
      <c r="E282" s="569"/>
      <c r="F282" s="756"/>
      <c r="G282" s="337"/>
      <c r="H282" s="343"/>
      <c r="I282" s="337"/>
      <c r="J282" s="337"/>
      <c r="K282" s="343"/>
      <c r="L282" s="343"/>
      <c r="M282" s="343"/>
      <c r="N282" s="342"/>
      <c r="O282" s="342"/>
      <c r="P282" s="343"/>
      <c r="Q282" s="350"/>
      <c r="R282" s="350"/>
      <c r="S282" s="350"/>
      <c r="T282" s="343"/>
      <c r="U282" s="350"/>
      <c r="V282" s="343"/>
      <c r="W282" s="343"/>
      <c r="X282" s="343"/>
      <c r="Y282" s="343"/>
      <c r="Z282" s="344"/>
      <c r="AA282" s="345"/>
      <c r="AB282" s="345"/>
      <c r="AC282" s="345"/>
      <c r="AD282" s="345"/>
      <c r="AE282" s="345"/>
      <c r="AF282" s="345"/>
      <c r="AG282" s="345"/>
      <c r="AH282" s="786"/>
      <c r="AI282" s="344"/>
      <c r="AJ282" s="342"/>
      <c r="AK282" s="344"/>
      <c r="AL282" s="344"/>
      <c r="AM282" s="344"/>
      <c r="AN282" s="351"/>
      <c r="AO282" s="350"/>
      <c r="AP282" s="349"/>
      <c r="AQ282" s="350"/>
      <c r="AR282" s="351"/>
      <c r="AS282" s="343"/>
      <c r="AT282" s="351"/>
      <c r="AU282" s="351"/>
      <c r="AV282" s="354"/>
      <c r="AW282" s="354"/>
      <c r="AX282" s="343"/>
      <c r="AY282" s="343"/>
      <c r="AZ282" s="343"/>
      <c r="BA282" s="356" t="str">
        <f t="shared" ref="BA282" si="1808">CONCATENATE(IF(BG282=1,BG$4,""),IF(BH282=1,BH$4,""),IF(BI282=1,BI$4,""),IF(BJ282=1,BJ$4,""),IF(BK282=1,BK$4,""),IF(BL282=1,BL$4,""),IF(BM282=1,BM$4,""),IF(BN282=1,BN$4,""),IF(BO282=1,BO$4,""),IF(BP282=1,BP$4,""),IF(BQ282=1,BR$4,""),IF(BR282=1,BS$4,""),IF(BS282=1,BT$4,""),IF(BT282=1,BU$4,""),IF(BU282=1,BV$4,""),IF(BV282=1,BW$4,""),IF(BX282=1,BX$4,""),IF(BY282=1,BY$4,""),IF(BZ282=1,BZ$4,""),IF(CA282=1,CA$4,""),IF(CC282=1,CC$4,""),IF(CD282=1,CD$4,""),IF(CE282=1,CE$4,""),IF(CF282=1,CF$4,""),IF(CG282=1,CG$4,""),IF(CH282=1,CH$4,""),IF(CI282=1,CI$4,""),IF(CJ282=1,CJ$4,""),IF(CK282=1,CK$4,""),IF(CL282=1,CL$4,""),IF(CM282=1,CM$4,""),IF(CN282=1,CN$4,""),IF(CO282=1,CO$4,""),IF(CP282=1,CP$4,""),IF(CQ282=1,CQ$4,""),IF(CR282=1,CR$4,""),IF(CS282=1,CS$4,""),IF(CT282=1,CT$4,""),IF(CU282=1,CU$4,""),IF(CV282=1,CV$4,""),IF(CW282=1,CW$4,""),IF(CX282=1,CX$4,""),IF(CY282=1,CY$4,""),IF(CZ282=1,CZ$4,""),IF(DA282=1,DA$4,""),IF(DB282=1,DB$4,""),IF(DG282=1,DG$4,""),IF(DH282=1,DH$4,""),IF(DI282=1,DI$4,""),IF(DJ282=1,DJ$4,""),IF(DK282=1,DK$4,""),IF(DL282=1,DL$4,""),IF(DM282=1,DM$4,""),IF(DN282=1,DN$4,""),IF(DO282=1,DO$4,""),IF(DP282=1,DP$4,""),IF(DQ282=1,DQ$4,""),IF(DR282=1,DR$4,""),IF(DS282=1,DS$4,""),IF(DU282=1,DU$4,""))</f>
        <v/>
      </c>
      <c r="BB282" s="328"/>
      <c r="BC282" s="328"/>
      <c r="BE282" s="336"/>
      <c r="BF282" s="336"/>
      <c r="BG282" s="336"/>
      <c r="BH282" s="336"/>
      <c r="BI282" s="336"/>
      <c r="BJ282" s="336"/>
      <c r="BK282" s="336"/>
      <c r="BL282" s="336"/>
      <c r="BM282" s="336"/>
      <c r="BN282" s="336"/>
      <c r="BO282" s="336"/>
      <c r="BP282" s="336"/>
      <c r="BQ282" s="336"/>
      <c r="BR282" s="336"/>
      <c r="BS282" s="336"/>
      <c r="BT282" s="336"/>
      <c r="BU282" s="336"/>
      <c r="BV282" s="336"/>
      <c r="BW282" s="336"/>
      <c r="BX282" s="336"/>
      <c r="BY282" s="336"/>
      <c r="BZ282" s="336"/>
      <c r="CA282" s="336"/>
      <c r="CB282" s="336"/>
      <c r="CC282" s="336"/>
      <c r="CD282" s="336"/>
      <c r="CE282" s="336"/>
      <c r="CF282" s="336"/>
      <c r="CG282" s="336"/>
      <c r="CH282" s="336"/>
      <c r="CI282" s="336"/>
      <c r="CJ282" s="336"/>
      <c r="CK282" s="336"/>
      <c r="CL282" s="336"/>
      <c r="CM282" s="336"/>
      <c r="CN282" s="336"/>
      <c r="CO282" s="336"/>
      <c r="CP282" s="336"/>
      <c r="CQ282" s="336"/>
      <c r="CR282" s="336"/>
      <c r="CS282" s="336"/>
      <c r="CT282" s="336"/>
      <c r="CU282" s="336"/>
      <c r="CV282" s="336"/>
      <c r="CW282" s="336"/>
      <c r="CX282" s="336"/>
      <c r="CY282" s="336"/>
      <c r="CZ282" s="336"/>
      <c r="DA282" s="336"/>
      <c r="DB282" s="336"/>
      <c r="DC282" s="336"/>
      <c r="DD282" s="336"/>
      <c r="DE282" s="336"/>
      <c r="DF282" s="336"/>
      <c r="DG282" s="336"/>
      <c r="DH282" s="336"/>
      <c r="DI282" s="336"/>
      <c r="DJ282" s="336"/>
      <c r="DK282" s="336"/>
      <c r="DL282" s="336"/>
      <c r="DM282" s="336"/>
      <c r="DN282" s="336"/>
      <c r="DO282" s="336"/>
      <c r="DP282" s="336"/>
      <c r="DQ282" s="336"/>
      <c r="DR282" s="336"/>
      <c r="DS282" s="336"/>
      <c r="DT282" s="336"/>
      <c r="DU282" s="336"/>
      <c r="DW282" s="336"/>
      <c r="DX282" s="336"/>
      <c r="DY282" s="336"/>
      <c r="DZ282" s="336"/>
      <c r="EA282" s="336"/>
      <c r="EB282" s="336"/>
      <c r="EC282" s="336"/>
      <c r="ED282" s="336"/>
      <c r="EE282" s="336"/>
      <c r="EF282" s="336"/>
      <c r="EG282" s="336"/>
      <c r="EH282" s="336"/>
      <c r="EI282" s="336"/>
      <c r="EJ282" s="336"/>
      <c r="EK282" s="336"/>
      <c r="EL282" s="336"/>
      <c r="EM282" s="336"/>
      <c r="EN282" s="336"/>
      <c r="EO282" s="336"/>
      <c r="EP282" s="336"/>
      <c r="EQ282" s="336"/>
      <c r="ER282" s="336"/>
      <c r="ES282" s="336"/>
      <c r="ET282" s="336"/>
      <c r="EU282" s="336"/>
      <c r="EV282" s="336"/>
      <c r="EW282" s="336"/>
      <c r="EX282" s="336"/>
      <c r="EY282" s="336"/>
      <c r="EZ282" s="336"/>
      <c r="FA282" s="336"/>
      <c r="FB282" s="336"/>
      <c r="FC282" s="336"/>
      <c r="FD282" s="336"/>
      <c r="FE282" s="336"/>
      <c r="FF282" s="336"/>
      <c r="FG282" s="336"/>
      <c r="FH282" s="336"/>
      <c r="FI282" s="336"/>
      <c r="FJ282" s="336"/>
      <c r="FK282" s="336"/>
      <c r="FL282" s="336"/>
      <c r="FM282" s="336"/>
      <c r="FN282" s="336"/>
      <c r="FO282" s="336"/>
      <c r="FP282" s="336"/>
      <c r="FQ282" s="336"/>
      <c r="FR282" s="336"/>
      <c r="FS282" s="336"/>
      <c r="FT282" s="336"/>
      <c r="FU282" s="336"/>
      <c r="FV282" s="336"/>
      <c r="FW282" s="336"/>
      <c r="FX282" s="336"/>
      <c r="FY282" s="336"/>
      <c r="FZ282" s="336"/>
      <c r="GA282" s="336"/>
      <c r="GB282" s="336"/>
      <c r="GC282" s="336"/>
      <c r="GD282" s="336"/>
      <c r="GE282" s="336"/>
      <c r="GF282" s="336"/>
      <c r="GG282" s="336"/>
      <c r="GH282" s="336"/>
      <c r="GI282" s="336"/>
      <c r="GJ282" s="336"/>
      <c r="GK282" s="336"/>
      <c r="GL282" s="336"/>
      <c r="GM282" s="336"/>
    </row>
    <row r="283" spans="1:195" ht="19.5" customHeight="1">
      <c r="A283" s="406"/>
      <c r="B283" s="406"/>
      <c r="C283" s="787"/>
      <c r="D283" s="580"/>
      <c r="E283" s="788"/>
      <c r="F283" s="581"/>
      <c r="G283" s="406"/>
      <c r="H283" s="409"/>
      <c r="I283" s="409"/>
      <c r="J283" s="409"/>
      <c r="K283" s="409"/>
      <c r="L283" s="409"/>
      <c r="M283" s="409"/>
      <c r="N283" s="407"/>
      <c r="O283" s="407"/>
      <c r="P283" s="409"/>
      <c r="Q283" s="583"/>
      <c r="R283" s="583"/>
      <c r="S283" s="583"/>
      <c r="T283" s="409"/>
      <c r="U283" s="583"/>
      <c r="V283" s="409"/>
      <c r="W283" s="409"/>
      <c r="X283" s="409"/>
      <c r="Y283" s="409"/>
      <c r="Z283" s="408"/>
      <c r="AA283" s="410"/>
      <c r="AB283" s="410"/>
      <c r="AC283" s="581"/>
      <c r="AD283" s="581"/>
      <c r="AE283" s="410"/>
      <c r="AF283" s="410"/>
      <c r="AG283" s="410"/>
      <c r="AH283" s="409">
        <f>SUM(AH7:AH282)</f>
        <v>25623.19999999999</v>
      </c>
      <c r="AI283" s="408"/>
      <c r="AJ283" s="407"/>
      <c r="AK283" s="408"/>
      <c r="AL283" s="408"/>
      <c r="AM283" s="408"/>
      <c r="AN283" s="584"/>
      <c r="AO283" s="583"/>
      <c r="AP283" s="585"/>
      <c r="AQ283" s="583"/>
      <c r="AR283" s="584"/>
      <c r="AS283" s="409"/>
      <c r="AT283" s="584"/>
      <c r="AU283" s="584"/>
      <c r="AV283" s="586"/>
      <c r="AW283" s="586"/>
      <c r="AX283" s="409">
        <f>SUM(AX7:AX282)</f>
        <v>25745.799999999996</v>
      </c>
      <c r="AY283" s="409"/>
      <c r="AZ283" s="409">
        <f>SUM(AZ7:AZ282)</f>
        <v>460</v>
      </c>
      <c r="BA283" s="587"/>
      <c r="BB283" s="789"/>
      <c r="BC283" s="789"/>
      <c r="BE283" s="336"/>
      <c r="BF283" s="336"/>
      <c r="BG283" s="336"/>
      <c r="BH283" s="336"/>
      <c r="BI283" s="336"/>
      <c r="BJ283" s="336"/>
      <c r="BK283" s="336"/>
      <c r="BL283" s="336"/>
      <c r="BM283" s="336"/>
      <c r="BN283" s="336"/>
      <c r="BO283" s="336"/>
      <c r="BP283" s="336"/>
      <c r="BQ283" s="336"/>
      <c r="BR283" s="336"/>
      <c r="BS283" s="336"/>
      <c r="BT283" s="336"/>
      <c r="BU283" s="336"/>
      <c r="BV283" s="336"/>
      <c r="BW283" s="336"/>
      <c r="BX283" s="336"/>
      <c r="BY283" s="336"/>
      <c r="BZ283" s="336"/>
      <c r="CA283" s="336"/>
      <c r="CB283" s="336"/>
      <c r="CC283" s="336"/>
      <c r="CD283" s="336"/>
      <c r="CE283" s="336"/>
      <c r="CF283" s="336"/>
      <c r="CG283" s="336"/>
      <c r="CH283" s="336"/>
      <c r="CI283" s="336"/>
      <c r="CJ283" s="336"/>
      <c r="CK283" s="336"/>
      <c r="CL283" s="336"/>
      <c r="CM283" s="336"/>
      <c r="CN283" s="336"/>
      <c r="CO283" s="336"/>
      <c r="CP283" s="336"/>
      <c r="CQ283" s="336"/>
      <c r="CR283" s="336"/>
      <c r="CS283" s="336"/>
      <c r="CT283" s="336"/>
      <c r="CU283" s="336"/>
      <c r="CV283" s="336"/>
      <c r="CW283" s="336"/>
      <c r="CX283" s="336"/>
      <c r="CY283" s="336"/>
      <c r="CZ283" s="336"/>
      <c r="DA283" s="336"/>
      <c r="DB283" s="336"/>
      <c r="DC283" s="336"/>
      <c r="DD283" s="336"/>
      <c r="DE283" s="336"/>
      <c r="DF283" s="336"/>
      <c r="DG283" s="336"/>
      <c r="DH283" s="336"/>
      <c r="DI283" s="336"/>
      <c r="DJ283" s="336"/>
      <c r="DK283" s="336"/>
      <c r="DL283" s="336"/>
      <c r="DM283" s="336"/>
      <c r="DN283" s="336"/>
      <c r="DO283" s="336"/>
      <c r="DP283" s="336"/>
      <c r="DQ283" s="336"/>
      <c r="DR283" s="336"/>
      <c r="DS283" s="336"/>
      <c r="DT283" s="336"/>
      <c r="DU283" s="336"/>
      <c r="DW283" s="411">
        <f t="shared" ref="DW283:FB283" si="1809">SUM(DW7:DW282)</f>
        <v>0</v>
      </c>
      <c r="DX283" s="411">
        <f t="shared" si="1809"/>
        <v>0</v>
      </c>
      <c r="DY283" s="411">
        <f t="shared" si="1809"/>
        <v>0</v>
      </c>
      <c r="DZ283" s="411">
        <f t="shared" si="1809"/>
        <v>0</v>
      </c>
      <c r="EA283" s="411">
        <f t="shared" si="1809"/>
        <v>0</v>
      </c>
      <c r="EB283" s="411">
        <f t="shared" si="1809"/>
        <v>0</v>
      </c>
      <c r="EC283" s="411">
        <f t="shared" si="1809"/>
        <v>0</v>
      </c>
      <c r="ED283" s="411">
        <f t="shared" si="1809"/>
        <v>0</v>
      </c>
      <c r="EE283" s="411">
        <f t="shared" si="1809"/>
        <v>0</v>
      </c>
      <c r="EF283" s="411">
        <f t="shared" si="1809"/>
        <v>0</v>
      </c>
      <c r="EG283" s="411">
        <f t="shared" si="1809"/>
        <v>16</v>
      </c>
      <c r="EH283" s="411">
        <f t="shared" si="1809"/>
        <v>0</v>
      </c>
      <c r="EI283" s="411">
        <f t="shared" si="1809"/>
        <v>0</v>
      </c>
      <c r="EJ283" s="411">
        <f t="shared" si="1809"/>
        <v>0</v>
      </c>
      <c r="EK283" s="411">
        <f t="shared" si="1809"/>
        <v>0</v>
      </c>
      <c r="EL283" s="411">
        <f t="shared" si="1809"/>
        <v>0</v>
      </c>
      <c r="EM283" s="411">
        <f t="shared" si="1809"/>
        <v>0</v>
      </c>
      <c r="EN283" s="411">
        <f t="shared" si="1809"/>
        <v>0</v>
      </c>
      <c r="EO283" s="411">
        <f t="shared" si="1809"/>
        <v>0</v>
      </c>
      <c r="EP283" s="411">
        <f t="shared" si="1809"/>
        <v>0</v>
      </c>
      <c r="EQ283" s="411">
        <f t="shared" si="1809"/>
        <v>0</v>
      </c>
      <c r="ER283" s="411">
        <f t="shared" si="1809"/>
        <v>0</v>
      </c>
      <c r="ES283" s="411">
        <f t="shared" si="1809"/>
        <v>0</v>
      </c>
      <c r="ET283" s="411">
        <f t="shared" si="1809"/>
        <v>0</v>
      </c>
      <c r="EU283" s="411">
        <f t="shared" si="1809"/>
        <v>0</v>
      </c>
      <c r="EV283" s="411">
        <f t="shared" si="1809"/>
        <v>0</v>
      </c>
      <c r="EW283" s="411">
        <f t="shared" si="1809"/>
        <v>0</v>
      </c>
      <c r="EX283" s="411">
        <f t="shared" si="1809"/>
        <v>0</v>
      </c>
      <c r="EY283" s="411">
        <f t="shared" si="1809"/>
        <v>0</v>
      </c>
      <c r="EZ283" s="411">
        <f t="shared" si="1809"/>
        <v>0</v>
      </c>
      <c r="FA283" s="411">
        <f t="shared" si="1809"/>
        <v>0</v>
      </c>
      <c r="FB283" s="411">
        <f t="shared" si="1809"/>
        <v>0</v>
      </c>
      <c r="FC283" s="411">
        <f t="shared" ref="FC283:GH283" si="1810">SUM(FC7:FC282)</f>
        <v>0</v>
      </c>
      <c r="FD283" s="411">
        <f t="shared" si="1810"/>
        <v>0</v>
      </c>
      <c r="FE283" s="411">
        <f t="shared" si="1810"/>
        <v>0</v>
      </c>
      <c r="FF283" s="411">
        <f t="shared" si="1810"/>
        <v>0</v>
      </c>
      <c r="FG283" s="411">
        <f t="shared" si="1810"/>
        <v>0</v>
      </c>
      <c r="FH283" s="411">
        <f t="shared" si="1810"/>
        <v>0</v>
      </c>
      <c r="FI283" s="411">
        <f t="shared" si="1810"/>
        <v>0</v>
      </c>
      <c r="FJ283" s="411">
        <f t="shared" si="1810"/>
        <v>0</v>
      </c>
      <c r="FK283" s="411">
        <f t="shared" si="1810"/>
        <v>0</v>
      </c>
      <c r="FL283" s="411">
        <f t="shared" si="1810"/>
        <v>0</v>
      </c>
      <c r="FM283" s="411">
        <f t="shared" si="1810"/>
        <v>0</v>
      </c>
      <c r="FN283" s="411">
        <f t="shared" si="1810"/>
        <v>0</v>
      </c>
      <c r="FO283" s="411">
        <f t="shared" si="1810"/>
        <v>0</v>
      </c>
      <c r="FP283" s="411">
        <f t="shared" si="1810"/>
        <v>0</v>
      </c>
      <c r="FQ283" s="411">
        <f t="shared" si="1810"/>
        <v>16</v>
      </c>
      <c r="FR283" s="411">
        <f t="shared" si="1810"/>
        <v>0</v>
      </c>
      <c r="FS283" s="411">
        <f t="shared" si="1810"/>
        <v>2270</v>
      </c>
      <c r="FT283" s="411">
        <f t="shared" si="1810"/>
        <v>439</v>
      </c>
      <c r="FU283" s="411">
        <f t="shared" si="1810"/>
        <v>439</v>
      </c>
      <c r="FV283" s="411">
        <f t="shared" si="1810"/>
        <v>423</v>
      </c>
      <c r="FW283" s="411">
        <f t="shared" si="1810"/>
        <v>198</v>
      </c>
      <c r="FX283" s="411">
        <f t="shared" si="1810"/>
        <v>198</v>
      </c>
      <c r="FY283" s="411">
        <f t="shared" si="1810"/>
        <v>2270</v>
      </c>
      <c r="FZ283" s="411">
        <f t="shared" si="1810"/>
        <v>2249</v>
      </c>
      <c r="GA283" s="411">
        <f t="shared" si="1810"/>
        <v>1233</v>
      </c>
      <c r="GB283" s="411">
        <f t="shared" si="1810"/>
        <v>1016</v>
      </c>
      <c r="GC283" s="411">
        <f t="shared" si="1810"/>
        <v>240</v>
      </c>
      <c r="GD283" s="411">
        <f t="shared" si="1810"/>
        <v>993</v>
      </c>
      <c r="GE283" s="411">
        <f t="shared" si="1810"/>
        <v>112</v>
      </c>
      <c r="GF283" s="411">
        <f t="shared" si="1810"/>
        <v>487</v>
      </c>
      <c r="GG283" s="411">
        <f t="shared" si="1810"/>
        <v>394</v>
      </c>
      <c r="GH283" s="411">
        <f t="shared" si="1810"/>
        <v>137</v>
      </c>
      <c r="GI283" s="411">
        <f t="shared" ref="GI283:GM283" si="1811">SUM(GI7:GI282)</f>
        <v>257</v>
      </c>
      <c r="GJ283" s="411">
        <f t="shared" si="1811"/>
        <v>145</v>
      </c>
      <c r="GK283" s="411">
        <f t="shared" si="1811"/>
        <v>112</v>
      </c>
      <c r="GL283" s="411">
        <f t="shared" si="1811"/>
        <v>103</v>
      </c>
      <c r="GM283" s="411">
        <f t="shared" si="1811"/>
        <v>16</v>
      </c>
    </row>
    <row r="284" spans="1:195" ht="14.25" customHeight="1" thickBot="1">
      <c r="AD284" s="61"/>
    </row>
    <row r="285" spans="1:195" ht="15">
      <c r="AD285" s="61"/>
      <c r="AV285" s="12"/>
      <c r="AW285" s="12"/>
      <c r="AX285" s="11"/>
      <c r="AY285" s="11"/>
      <c r="AZ285" s="11"/>
      <c r="BA285" s="12"/>
      <c r="DV285" s="118">
        <v>600</v>
      </c>
      <c r="DW285" s="85">
        <f>DW283/$DV$285*1.2</f>
        <v>0</v>
      </c>
      <c r="DX285" s="85">
        <f t="shared" ref="DX285:DY285" si="1812">DX283/$DV$285*1.2</f>
        <v>0</v>
      </c>
      <c r="DY285" s="85">
        <f t="shared" si="1812"/>
        <v>0</v>
      </c>
      <c r="DZ285" s="85">
        <f t="shared" ref="DZ285:FS285" si="1813">DZ283/$DV$285*1.2</f>
        <v>0</v>
      </c>
      <c r="EA285" s="85">
        <f t="shared" si="1813"/>
        <v>0</v>
      </c>
      <c r="EB285" s="85">
        <f t="shared" si="1813"/>
        <v>0</v>
      </c>
      <c r="EC285" s="85">
        <f t="shared" si="1813"/>
        <v>0</v>
      </c>
      <c r="ED285" s="85">
        <f t="shared" si="1813"/>
        <v>0</v>
      </c>
      <c r="EE285" s="85">
        <f t="shared" si="1813"/>
        <v>0</v>
      </c>
      <c r="EF285" s="85">
        <f t="shared" si="1813"/>
        <v>0</v>
      </c>
      <c r="EG285" s="85">
        <f t="shared" si="1813"/>
        <v>3.2000000000000001E-2</v>
      </c>
      <c r="EH285" s="85">
        <f t="shared" si="1813"/>
        <v>0</v>
      </c>
      <c r="EI285" s="85">
        <f t="shared" si="1813"/>
        <v>0</v>
      </c>
      <c r="EJ285" s="85">
        <f t="shared" si="1813"/>
        <v>0</v>
      </c>
      <c r="EK285" s="85">
        <f t="shared" si="1813"/>
        <v>0</v>
      </c>
      <c r="EL285" s="85">
        <f t="shared" si="1813"/>
        <v>0</v>
      </c>
      <c r="EM285" s="85">
        <f t="shared" si="1813"/>
        <v>0</v>
      </c>
      <c r="EN285" s="85">
        <f t="shared" si="1813"/>
        <v>0</v>
      </c>
      <c r="EO285" s="85">
        <f t="shared" si="1813"/>
        <v>0</v>
      </c>
      <c r="EP285" s="85">
        <f t="shared" si="1813"/>
        <v>0</v>
      </c>
      <c r="EQ285" s="85">
        <f t="shared" si="1813"/>
        <v>0</v>
      </c>
      <c r="ER285" s="85">
        <f t="shared" si="1813"/>
        <v>0</v>
      </c>
      <c r="ES285" s="85">
        <f t="shared" si="1813"/>
        <v>0</v>
      </c>
      <c r="ET285" s="85">
        <f t="shared" ref="ET285" si="1814">ET283/$DV$285*1.2</f>
        <v>0</v>
      </c>
      <c r="EU285" s="85">
        <f t="shared" si="1813"/>
        <v>0</v>
      </c>
      <c r="EV285" s="85">
        <f t="shared" si="1813"/>
        <v>0</v>
      </c>
      <c r="EW285" s="85">
        <f t="shared" si="1813"/>
        <v>0</v>
      </c>
      <c r="EX285" s="85">
        <f t="shared" si="1813"/>
        <v>0</v>
      </c>
      <c r="EY285" s="85">
        <f t="shared" si="1813"/>
        <v>0</v>
      </c>
      <c r="EZ285" s="85">
        <f t="shared" si="1813"/>
        <v>0</v>
      </c>
      <c r="FA285" s="85">
        <f t="shared" si="1813"/>
        <v>0</v>
      </c>
      <c r="FB285" s="85">
        <f t="shared" si="1813"/>
        <v>0</v>
      </c>
      <c r="FC285" s="85">
        <f t="shared" si="1813"/>
        <v>0</v>
      </c>
      <c r="FD285" s="85">
        <f t="shared" si="1813"/>
        <v>0</v>
      </c>
      <c r="FE285" s="85">
        <f t="shared" si="1813"/>
        <v>0</v>
      </c>
      <c r="FF285" s="85">
        <f t="shared" si="1813"/>
        <v>0</v>
      </c>
      <c r="FG285" s="85">
        <f t="shared" si="1813"/>
        <v>0</v>
      </c>
      <c r="FH285" s="85">
        <f t="shared" si="1813"/>
        <v>0</v>
      </c>
      <c r="FI285" s="85">
        <f t="shared" si="1813"/>
        <v>0</v>
      </c>
      <c r="FJ285" s="85">
        <f t="shared" si="1813"/>
        <v>0</v>
      </c>
      <c r="FK285" s="85">
        <f t="shared" si="1813"/>
        <v>0</v>
      </c>
      <c r="FL285" s="85">
        <f t="shared" si="1813"/>
        <v>0</v>
      </c>
      <c r="FM285" s="85">
        <f t="shared" si="1813"/>
        <v>0</v>
      </c>
      <c r="FN285" s="85">
        <f t="shared" si="1813"/>
        <v>0</v>
      </c>
      <c r="FO285" s="85">
        <f t="shared" si="1813"/>
        <v>0</v>
      </c>
      <c r="FP285" s="85">
        <f t="shared" si="1813"/>
        <v>0</v>
      </c>
      <c r="FQ285" s="85">
        <f t="shared" si="1813"/>
        <v>3.2000000000000001E-2</v>
      </c>
      <c r="FR285" s="85">
        <f t="shared" si="1813"/>
        <v>0</v>
      </c>
      <c r="FS285" s="85">
        <f t="shared" si="1813"/>
        <v>4.54</v>
      </c>
      <c r="FT285" s="85">
        <f t="shared" ref="FT285" si="1815">FT283/$DV$285*1.2</f>
        <v>0.878</v>
      </c>
      <c r="FU285" s="85">
        <f t="shared" ref="FU285:GM285" si="1816">FU283/$DV$285*1.2</f>
        <v>0.878</v>
      </c>
      <c r="FV285" s="85">
        <f t="shared" si="1816"/>
        <v>0.84599999999999997</v>
      </c>
      <c r="FW285" s="85">
        <f t="shared" si="1816"/>
        <v>0.39600000000000002</v>
      </c>
      <c r="FX285" s="85">
        <f t="shared" si="1816"/>
        <v>0.39600000000000002</v>
      </c>
      <c r="FY285" s="85">
        <f t="shared" si="1816"/>
        <v>4.54</v>
      </c>
      <c r="FZ285" s="85">
        <f t="shared" si="1816"/>
        <v>4.4980000000000002</v>
      </c>
      <c r="GA285" s="85">
        <f t="shared" si="1816"/>
        <v>2.4660000000000002</v>
      </c>
      <c r="GB285" s="85">
        <f t="shared" si="1816"/>
        <v>2.032</v>
      </c>
      <c r="GC285" s="85">
        <f t="shared" si="1816"/>
        <v>0.48</v>
      </c>
      <c r="GD285" s="85">
        <f t="shared" si="1816"/>
        <v>1.986</v>
      </c>
      <c r="GE285" s="85">
        <f t="shared" si="1816"/>
        <v>0.224</v>
      </c>
      <c r="GF285" s="85">
        <f t="shared" si="1816"/>
        <v>0.97399999999999998</v>
      </c>
      <c r="GG285" s="85">
        <f t="shared" si="1816"/>
        <v>0.78799999999999992</v>
      </c>
      <c r="GH285" s="85">
        <f t="shared" si="1816"/>
        <v>0.27399999999999997</v>
      </c>
      <c r="GI285" s="85">
        <f t="shared" si="1816"/>
        <v>0.51400000000000001</v>
      </c>
      <c r="GJ285" s="85">
        <f t="shared" si="1816"/>
        <v>0.28999999999999998</v>
      </c>
      <c r="GK285" s="85">
        <f t="shared" si="1816"/>
        <v>0.224</v>
      </c>
      <c r="GL285" s="85">
        <f t="shared" si="1816"/>
        <v>0.20599999999999999</v>
      </c>
      <c r="GM285" s="86">
        <f t="shared" si="1816"/>
        <v>3.2000000000000001E-2</v>
      </c>
    </row>
    <row r="286" spans="1:195" ht="15" thickBot="1">
      <c r="AD286" s="61"/>
      <c r="AV286" s="12"/>
      <c r="AW286" s="12"/>
      <c r="AX286" s="11"/>
      <c r="AY286" s="11"/>
      <c r="AZ286" s="11"/>
      <c r="BA286" s="12"/>
      <c r="DV286" s="87"/>
      <c r="DW286" s="88">
        <f>IF(DW283=0,0,ROUNDUP(DW285,0))</f>
        <v>0</v>
      </c>
      <c r="DX286" s="88">
        <f t="shared" ref="DX286:FN286" si="1817">IF(DX283=0,0,ROUNDUP(DX285,0))</f>
        <v>0</v>
      </c>
      <c r="DY286" s="88">
        <f t="shared" si="1817"/>
        <v>0</v>
      </c>
      <c r="DZ286" s="88">
        <f t="shared" si="1817"/>
        <v>0</v>
      </c>
      <c r="EA286" s="88">
        <f t="shared" si="1817"/>
        <v>0</v>
      </c>
      <c r="EB286" s="88">
        <f t="shared" si="1817"/>
        <v>0</v>
      </c>
      <c r="EC286" s="88">
        <f t="shared" si="1817"/>
        <v>0</v>
      </c>
      <c r="ED286" s="88">
        <f t="shared" si="1817"/>
        <v>0</v>
      </c>
      <c r="EE286" s="88">
        <f t="shared" si="1817"/>
        <v>0</v>
      </c>
      <c r="EF286" s="88">
        <f t="shared" si="1817"/>
        <v>0</v>
      </c>
      <c r="EG286" s="88">
        <f t="shared" si="1817"/>
        <v>1</v>
      </c>
      <c r="EH286" s="88">
        <f t="shared" si="1817"/>
        <v>0</v>
      </c>
      <c r="EI286" s="88">
        <f t="shared" si="1817"/>
        <v>0</v>
      </c>
      <c r="EJ286" s="88">
        <f t="shared" si="1817"/>
        <v>0</v>
      </c>
      <c r="EK286" s="88">
        <f t="shared" si="1817"/>
        <v>0</v>
      </c>
      <c r="EL286" s="88">
        <f t="shared" si="1817"/>
        <v>0</v>
      </c>
      <c r="EM286" s="88">
        <f t="shared" si="1817"/>
        <v>0</v>
      </c>
      <c r="EN286" s="88">
        <f t="shared" si="1817"/>
        <v>0</v>
      </c>
      <c r="EO286" s="88">
        <f t="shared" si="1817"/>
        <v>0</v>
      </c>
      <c r="EP286" s="88">
        <f t="shared" si="1817"/>
        <v>0</v>
      </c>
      <c r="EQ286" s="88">
        <f t="shared" si="1817"/>
        <v>0</v>
      </c>
      <c r="ER286" s="88">
        <f t="shared" si="1817"/>
        <v>0</v>
      </c>
      <c r="ES286" s="88">
        <f t="shared" si="1817"/>
        <v>0</v>
      </c>
      <c r="ET286" s="88">
        <f t="shared" ref="ET286" si="1818">IF(ET283=0,0,ROUNDUP(ET285,0))</f>
        <v>0</v>
      </c>
      <c r="EU286" s="88">
        <f t="shared" si="1817"/>
        <v>0</v>
      </c>
      <c r="EV286" s="88">
        <f t="shared" si="1817"/>
        <v>0</v>
      </c>
      <c r="EW286" s="88">
        <f t="shared" ref="EW286" si="1819">IF(EW283=0,0,ROUNDUP(EW285,0))</f>
        <v>0</v>
      </c>
      <c r="EX286" s="88">
        <f t="shared" si="1817"/>
        <v>0</v>
      </c>
      <c r="EY286" s="88">
        <f t="shared" si="1817"/>
        <v>0</v>
      </c>
      <c r="EZ286" s="88">
        <f t="shared" si="1817"/>
        <v>0</v>
      </c>
      <c r="FA286" s="88">
        <f t="shared" si="1817"/>
        <v>0</v>
      </c>
      <c r="FB286" s="88">
        <f t="shared" si="1817"/>
        <v>0</v>
      </c>
      <c r="FC286" s="88">
        <f t="shared" si="1817"/>
        <v>0</v>
      </c>
      <c r="FD286" s="88">
        <f t="shared" si="1817"/>
        <v>0</v>
      </c>
      <c r="FE286" s="88">
        <f t="shared" si="1817"/>
        <v>0</v>
      </c>
      <c r="FF286" s="88">
        <f t="shared" si="1817"/>
        <v>0</v>
      </c>
      <c r="FG286" s="88">
        <f t="shared" si="1817"/>
        <v>0</v>
      </c>
      <c r="FH286" s="88">
        <f t="shared" si="1817"/>
        <v>0</v>
      </c>
      <c r="FI286" s="88">
        <f t="shared" si="1817"/>
        <v>0</v>
      </c>
      <c r="FJ286" s="88">
        <f t="shared" si="1817"/>
        <v>0</v>
      </c>
      <c r="FK286" s="88">
        <f t="shared" si="1817"/>
        <v>0</v>
      </c>
      <c r="FL286" s="88">
        <f t="shared" si="1817"/>
        <v>0</v>
      </c>
      <c r="FM286" s="88">
        <f t="shared" si="1817"/>
        <v>0</v>
      </c>
      <c r="FN286" s="88">
        <f t="shared" si="1817"/>
        <v>0</v>
      </c>
      <c r="FO286" s="88">
        <f t="shared" ref="FO286:FQ286" si="1820">IF(FO283=0,0,ROUNDUP(FO285,0))</f>
        <v>0</v>
      </c>
      <c r="FP286" s="88">
        <f t="shared" si="1820"/>
        <v>0</v>
      </c>
      <c r="FQ286" s="88">
        <f t="shared" si="1820"/>
        <v>1</v>
      </c>
      <c r="FR286" s="88">
        <f t="shared" ref="FR286:FS286" si="1821">IF(FR283=0,0,ROUNDUP(FR285,0))</f>
        <v>0</v>
      </c>
      <c r="FS286" s="88">
        <f t="shared" si="1821"/>
        <v>5</v>
      </c>
      <c r="FT286" s="88">
        <f t="shared" ref="FT286" si="1822">IF(FT283=0,0,ROUNDUP(FT285,0))</f>
        <v>1</v>
      </c>
      <c r="FU286" s="88">
        <f t="shared" ref="FU286:GM286" si="1823">IF(FU283=0,0,ROUNDUP(FU285,0))</f>
        <v>1</v>
      </c>
      <c r="FV286" s="88">
        <f t="shared" si="1823"/>
        <v>1</v>
      </c>
      <c r="FW286" s="88">
        <f t="shared" si="1823"/>
        <v>1</v>
      </c>
      <c r="FX286" s="88">
        <f t="shared" si="1823"/>
        <v>1</v>
      </c>
      <c r="FY286" s="88">
        <f t="shared" si="1823"/>
        <v>5</v>
      </c>
      <c r="FZ286" s="88">
        <f t="shared" si="1823"/>
        <v>5</v>
      </c>
      <c r="GA286" s="88">
        <f t="shared" si="1823"/>
        <v>3</v>
      </c>
      <c r="GB286" s="88">
        <f t="shared" si="1823"/>
        <v>3</v>
      </c>
      <c r="GC286" s="88">
        <f t="shared" si="1823"/>
        <v>1</v>
      </c>
      <c r="GD286" s="88">
        <f t="shared" si="1823"/>
        <v>2</v>
      </c>
      <c r="GE286" s="88">
        <f t="shared" si="1823"/>
        <v>1</v>
      </c>
      <c r="GF286" s="88">
        <f t="shared" si="1823"/>
        <v>1</v>
      </c>
      <c r="GG286" s="88">
        <f t="shared" si="1823"/>
        <v>1</v>
      </c>
      <c r="GH286" s="88">
        <f t="shared" si="1823"/>
        <v>1</v>
      </c>
      <c r="GI286" s="88">
        <f t="shared" si="1823"/>
        <v>1</v>
      </c>
      <c r="GJ286" s="88">
        <f t="shared" si="1823"/>
        <v>1</v>
      </c>
      <c r="GK286" s="88">
        <f t="shared" si="1823"/>
        <v>1</v>
      </c>
      <c r="GL286" s="88">
        <f t="shared" si="1823"/>
        <v>1</v>
      </c>
      <c r="GM286" s="89">
        <f t="shared" si="1823"/>
        <v>1</v>
      </c>
    </row>
    <row r="287" spans="1:195" ht="15" thickBot="1">
      <c r="AD287" s="61"/>
    </row>
    <row r="288" spans="1:195" ht="15">
      <c r="AD288" s="61"/>
      <c r="DV288" s="118">
        <v>750</v>
      </c>
      <c r="DW288" s="85">
        <f>DW283/$DV$288*1.2</f>
        <v>0</v>
      </c>
      <c r="DX288" s="85">
        <f t="shared" ref="DX288:DY288" si="1824">DX283/$DV$288*1.2</f>
        <v>0</v>
      </c>
      <c r="DY288" s="85">
        <f t="shared" si="1824"/>
        <v>0</v>
      </c>
      <c r="DZ288" s="85">
        <f t="shared" ref="DZ288:FT288" si="1825">DZ283/$DV$288*1.2</f>
        <v>0</v>
      </c>
      <c r="EA288" s="85">
        <f t="shared" si="1825"/>
        <v>0</v>
      </c>
      <c r="EB288" s="85">
        <f t="shared" si="1825"/>
        <v>0</v>
      </c>
      <c r="EC288" s="85">
        <f t="shared" si="1825"/>
        <v>0</v>
      </c>
      <c r="ED288" s="85">
        <f t="shared" si="1825"/>
        <v>0</v>
      </c>
      <c r="EE288" s="85">
        <f t="shared" si="1825"/>
        <v>0</v>
      </c>
      <c r="EF288" s="85">
        <f t="shared" si="1825"/>
        <v>0</v>
      </c>
      <c r="EG288" s="85">
        <f t="shared" si="1825"/>
        <v>2.5599999999999998E-2</v>
      </c>
      <c r="EH288" s="85">
        <f t="shared" si="1825"/>
        <v>0</v>
      </c>
      <c r="EI288" s="85">
        <f t="shared" si="1825"/>
        <v>0</v>
      </c>
      <c r="EJ288" s="85">
        <f t="shared" si="1825"/>
        <v>0</v>
      </c>
      <c r="EK288" s="85">
        <f t="shared" si="1825"/>
        <v>0</v>
      </c>
      <c r="EL288" s="85">
        <f t="shared" si="1825"/>
        <v>0</v>
      </c>
      <c r="EM288" s="85">
        <f t="shared" si="1825"/>
        <v>0</v>
      </c>
      <c r="EN288" s="85">
        <f t="shared" si="1825"/>
        <v>0</v>
      </c>
      <c r="EO288" s="85">
        <f t="shared" si="1825"/>
        <v>0</v>
      </c>
      <c r="EP288" s="85">
        <f t="shared" si="1825"/>
        <v>0</v>
      </c>
      <c r="EQ288" s="85">
        <f t="shared" si="1825"/>
        <v>0</v>
      </c>
      <c r="ER288" s="85">
        <f t="shared" si="1825"/>
        <v>0</v>
      </c>
      <c r="ES288" s="85">
        <f t="shared" si="1825"/>
        <v>0</v>
      </c>
      <c r="ET288" s="85">
        <f t="shared" ref="ET288" si="1826">ET283/$DV$288*1.2</f>
        <v>0</v>
      </c>
      <c r="EU288" s="85">
        <f t="shared" si="1825"/>
        <v>0</v>
      </c>
      <c r="EV288" s="85">
        <f t="shared" si="1825"/>
        <v>0</v>
      </c>
      <c r="EW288" s="85">
        <f t="shared" si="1825"/>
        <v>0</v>
      </c>
      <c r="EX288" s="85">
        <f t="shared" si="1825"/>
        <v>0</v>
      </c>
      <c r="EY288" s="85">
        <f t="shared" si="1825"/>
        <v>0</v>
      </c>
      <c r="EZ288" s="85">
        <f t="shared" si="1825"/>
        <v>0</v>
      </c>
      <c r="FA288" s="85">
        <f t="shared" si="1825"/>
        <v>0</v>
      </c>
      <c r="FB288" s="85">
        <f t="shared" si="1825"/>
        <v>0</v>
      </c>
      <c r="FC288" s="85">
        <f t="shared" si="1825"/>
        <v>0</v>
      </c>
      <c r="FD288" s="85">
        <f t="shared" si="1825"/>
        <v>0</v>
      </c>
      <c r="FE288" s="85">
        <f t="shared" si="1825"/>
        <v>0</v>
      </c>
      <c r="FF288" s="85">
        <f t="shared" si="1825"/>
        <v>0</v>
      </c>
      <c r="FG288" s="85">
        <f t="shared" si="1825"/>
        <v>0</v>
      </c>
      <c r="FH288" s="85">
        <f t="shared" si="1825"/>
        <v>0</v>
      </c>
      <c r="FI288" s="85">
        <f t="shared" si="1825"/>
        <v>0</v>
      </c>
      <c r="FJ288" s="85">
        <f t="shared" si="1825"/>
        <v>0</v>
      </c>
      <c r="FK288" s="85">
        <f t="shared" si="1825"/>
        <v>0</v>
      </c>
      <c r="FL288" s="85">
        <f t="shared" si="1825"/>
        <v>0</v>
      </c>
      <c r="FM288" s="85">
        <f t="shared" si="1825"/>
        <v>0</v>
      </c>
      <c r="FN288" s="85">
        <f t="shared" si="1825"/>
        <v>0</v>
      </c>
      <c r="FO288" s="85">
        <f t="shared" si="1825"/>
        <v>0</v>
      </c>
      <c r="FP288" s="85">
        <f t="shared" si="1825"/>
        <v>0</v>
      </c>
      <c r="FQ288" s="85">
        <f t="shared" si="1825"/>
        <v>2.5599999999999998E-2</v>
      </c>
      <c r="FR288" s="85">
        <f t="shared" si="1825"/>
        <v>0</v>
      </c>
      <c r="FS288" s="85">
        <f t="shared" si="1825"/>
        <v>3.6320000000000001</v>
      </c>
      <c r="FT288" s="85">
        <f t="shared" si="1825"/>
        <v>0.70240000000000002</v>
      </c>
      <c r="FU288" s="85">
        <f t="shared" ref="FU288:GM288" si="1827">FU283/$DV$288*1.2</f>
        <v>0.70240000000000002</v>
      </c>
      <c r="FV288" s="85">
        <f t="shared" si="1827"/>
        <v>0.67679999999999996</v>
      </c>
      <c r="FW288" s="85">
        <f t="shared" si="1827"/>
        <v>0.31680000000000003</v>
      </c>
      <c r="FX288" s="85">
        <f t="shared" si="1827"/>
        <v>0.31680000000000003</v>
      </c>
      <c r="FY288" s="85">
        <f t="shared" si="1827"/>
        <v>3.6320000000000001</v>
      </c>
      <c r="FZ288" s="85">
        <f t="shared" si="1827"/>
        <v>3.5983999999999998</v>
      </c>
      <c r="GA288" s="85">
        <f t="shared" si="1827"/>
        <v>1.9727999999999999</v>
      </c>
      <c r="GB288" s="85">
        <f t="shared" si="1827"/>
        <v>1.6255999999999999</v>
      </c>
      <c r="GC288" s="85">
        <f t="shared" si="1827"/>
        <v>0.38400000000000001</v>
      </c>
      <c r="GD288" s="85">
        <f t="shared" si="1827"/>
        <v>1.5888</v>
      </c>
      <c r="GE288" s="85">
        <f t="shared" si="1827"/>
        <v>0.1792</v>
      </c>
      <c r="GF288" s="85">
        <f t="shared" si="1827"/>
        <v>0.7792</v>
      </c>
      <c r="GG288" s="85">
        <f t="shared" si="1827"/>
        <v>0.63039999999999996</v>
      </c>
      <c r="GH288" s="85">
        <f t="shared" si="1827"/>
        <v>0.21920000000000001</v>
      </c>
      <c r="GI288" s="85">
        <f t="shared" si="1827"/>
        <v>0.41120000000000001</v>
      </c>
      <c r="GJ288" s="85">
        <f t="shared" si="1827"/>
        <v>0.23199999999999998</v>
      </c>
      <c r="GK288" s="85">
        <f t="shared" si="1827"/>
        <v>0.1792</v>
      </c>
      <c r="GL288" s="85">
        <f t="shared" si="1827"/>
        <v>0.1648</v>
      </c>
      <c r="GM288" s="86">
        <f t="shared" si="1827"/>
        <v>2.5599999999999998E-2</v>
      </c>
    </row>
    <row r="289" spans="30:195" ht="15" thickBot="1">
      <c r="AD289" s="61"/>
      <c r="DV289" s="87"/>
      <c r="DW289" s="88">
        <f>IF(DW283=0,0,ROUNDUP(DW288,0))</f>
        <v>0</v>
      </c>
      <c r="DX289" s="88">
        <f t="shared" ref="DX289:FN289" si="1828">IF(DX283=0,0,ROUNDUP(DX288,0))</f>
        <v>0</v>
      </c>
      <c r="DY289" s="88">
        <f t="shared" si="1828"/>
        <v>0</v>
      </c>
      <c r="DZ289" s="88">
        <f t="shared" si="1828"/>
        <v>0</v>
      </c>
      <c r="EA289" s="88">
        <f t="shared" si="1828"/>
        <v>0</v>
      </c>
      <c r="EB289" s="88">
        <f t="shared" si="1828"/>
        <v>0</v>
      </c>
      <c r="EC289" s="88">
        <f t="shared" si="1828"/>
        <v>0</v>
      </c>
      <c r="ED289" s="88">
        <f t="shared" si="1828"/>
        <v>0</v>
      </c>
      <c r="EE289" s="88">
        <f t="shared" si="1828"/>
        <v>0</v>
      </c>
      <c r="EF289" s="88">
        <f t="shared" si="1828"/>
        <v>0</v>
      </c>
      <c r="EG289" s="88">
        <f t="shared" si="1828"/>
        <v>1</v>
      </c>
      <c r="EH289" s="88">
        <f t="shared" si="1828"/>
        <v>0</v>
      </c>
      <c r="EI289" s="88">
        <f t="shared" si="1828"/>
        <v>0</v>
      </c>
      <c r="EJ289" s="88">
        <f t="shared" si="1828"/>
        <v>0</v>
      </c>
      <c r="EK289" s="88">
        <f t="shared" si="1828"/>
        <v>0</v>
      </c>
      <c r="EL289" s="88">
        <f t="shared" si="1828"/>
        <v>0</v>
      </c>
      <c r="EM289" s="88">
        <f t="shared" si="1828"/>
        <v>0</v>
      </c>
      <c r="EN289" s="88">
        <f t="shared" si="1828"/>
        <v>0</v>
      </c>
      <c r="EO289" s="88">
        <f t="shared" si="1828"/>
        <v>0</v>
      </c>
      <c r="EP289" s="88">
        <f t="shared" si="1828"/>
        <v>0</v>
      </c>
      <c r="EQ289" s="88">
        <f t="shared" si="1828"/>
        <v>0</v>
      </c>
      <c r="ER289" s="88">
        <f t="shared" si="1828"/>
        <v>0</v>
      </c>
      <c r="ES289" s="88">
        <f t="shared" si="1828"/>
        <v>0</v>
      </c>
      <c r="ET289" s="88">
        <f t="shared" ref="ET289" si="1829">IF(ET283=0,0,ROUNDUP(ET288,0))</f>
        <v>0</v>
      </c>
      <c r="EU289" s="88">
        <f t="shared" si="1828"/>
        <v>0</v>
      </c>
      <c r="EV289" s="88">
        <f t="shared" si="1828"/>
        <v>0</v>
      </c>
      <c r="EW289" s="88">
        <f t="shared" ref="EW289" si="1830">IF(EW283=0,0,ROUNDUP(EW288,0))</f>
        <v>0</v>
      </c>
      <c r="EX289" s="88">
        <f t="shared" si="1828"/>
        <v>0</v>
      </c>
      <c r="EY289" s="88">
        <f t="shared" si="1828"/>
        <v>0</v>
      </c>
      <c r="EZ289" s="88">
        <f t="shared" si="1828"/>
        <v>0</v>
      </c>
      <c r="FA289" s="88">
        <f t="shared" si="1828"/>
        <v>0</v>
      </c>
      <c r="FB289" s="88">
        <f t="shared" si="1828"/>
        <v>0</v>
      </c>
      <c r="FC289" s="88">
        <f t="shared" si="1828"/>
        <v>0</v>
      </c>
      <c r="FD289" s="88">
        <f t="shared" si="1828"/>
        <v>0</v>
      </c>
      <c r="FE289" s="88">
        <f t="shared" si="1828"/>
        <v>0</v>
      </c>
      <c r="FF289" s="88">
        <f t="shared" si="1828"/>
        <v>0</v>
      </c>
      <c r="FG289" s="88">
        <f t="shared" si="1828"/>
        <v>0</v>
      </c>
      <c r="FH289" s="88">
        <f t="shared" si="1828"/>
        <v>0</v>
      </c>
      <c r="FI289" s="88">
        <f t="shared" si="1828"/>
        <v>0</v>
      </c>
      <c r="FJ289" s="88">
        <f t="shared" si="1828"/>
        <v>0</v>
      </c>
      <c r="FK289" s="88">
        <f t="shared" si="1828"/>
        <v>0</v>
      </c>
      <c r="FL289" s="88">
        <f t="shared" si="1828"/>
        <v>0</v>
      </c>
      <c r="FM289" s="88">
        <f t="shared" si="1828"/>
        <v>0</v>
      </c>
      <c r="FN289" s="88">
        <f t="shared" si="1828"/>
        <v>0</v>
      </c>
      <c r="FO289" s="88">
        <f t="shared" ref="FO289:FT289" si="1831">IF(FO283=0,0,ROUNDUP(FO288,0))</f>
        <v>0</v>
      </c>
      <c r="FP289" s="88">
        <f t="shared" si="1831"/>
        <v>0</v>
      </c>
      <c r="FQ289" s="88">
        <f t="shared" si="1831"/>
        <v>1</v>
      </c>
      <c r="FR289" s="88">
        <f t="shared" ref="FR289:FS289" si="1832">IF(FR283=0,0,ROUNDUP(FR288,0))</f>
        <v>0</v>
      </c>
      <c r="FS289" s="88">
        <f t="shared" si="1832"/>
        <v>4</v>
      </c>
      <c r="FT289" s="88">
        <f t="shared" si="1831"/>
        <v>1</v>
      </c>
      <c r="FU289" s="88">
        <f t="shared" ref="FU289:GM289" si="1833">IF(FU283=0,0,ROUNDUP(FU288,0))</f>
        <v>1</v>
      </c>
      <c r="FV289" s="88">
        <f t="shared" si="1833"/>
        <v>1</v>
      </c>
      <c r="FW289" s="88">
        <f t="shared" si="1833"/>
        <v>1</v>
      </c>
      <c r="FX289" s="88">
        <f t="shared" si="1833"/>
        <v>1</v>
      </c>
      <c r="FY289" s="88">
        <f t="shared" si="1833"/>
        <v>4</v>
      </c>
      <c r="FZ289" s="88">
        <f t="shared" si="1833"/>
        <v>4</v>
      </c>
      <c r="GA289" s="88">
        <f t="shared" si="1833"/>
        <v>2</v>
      </c>
      <c r="GB289" s="88">
        <f t="shared" si="1833"/>
        <v>2</v>
      </c>
      <c r="GC289" s="88">
        <f t="shared" si="1833"/>
        <v>1</v>
      </c>
      <c r="GD289" s="88">
        <f t="shared" si="1833"/>
        <v>2</v>
      </c>
      <c r="GE289" s="88">
        <f t="shared" si="1833"/>
        <v>1</v>
      </c>
      <c r="GF289" s="88">
        <f t="shared" si="1833"/>
        <v>1</v>
      </c>
      <c r="GG289" s="88">
        <f t="shared" si="1833"/>
        <v>1</v>
      </c>
      <c r="GH289" s="88">
        <f t="shared" si="1833"/>
        <v>1</v>
      </c>
      <c r="GI289" s="88">
        <f t="shared" si="1833"/>
        <v>1</v>
      </c>
      <c r="GJ289" s="88">
        <f t="shared" si="1833"/>
        <v>1</v>
      </c>
      <c r="GK289" s="88">
        <f t="shared" si="1833"/>
        <v>1</v>
      </c>
      <c r="GL289" s="88">
        <f t="shared" si="1833"/>
        <v>1</v>
      </c>
      <c r="GM289" s="89">
        <f t="shared" si="1833"/>
        <v>1</v>
      </c>
    </row>
    <row r="290" spans="30:195" ht="15" thickBot="1">
      <c r="AD290" s="61"/>
      <c r="AK290" s="61">
        <v>1396</v>
      </c>
      <c r="AM290" s="61">
        <f>AK290*2</f>
        <v>2792</v>
      </c>
    </row>
    <row r="291" spans="30:195" ht="15">
      <c r="AD291" s="61"/>
      <c r="AK291" s="61">
        <v>37</v>
      </c>
      <c r="AM291" s="61">
        <f>AK291*3</f>
        <v>111</v>
      </c>
      <c r="DV291" s="118">
        <v>900</v>
      </c>
      <c r="DW291" s="85">
        <f>DW283/$DV$291*1.2</f>
        <v>0</v>
      </c>
      <c r="DX291" s="85">
        <f t="shared" ref="DX291:DY291" si="1834">DX283/$DV$291*1.2</f>
        <v>0</v>
      </c>
      <c r="DY291" s="85">
        <f t="shared" si="1834"/>
        <v>0</v>
      </c>
      <c r="DZ291" s="85">
        <f t="shared" ref="DZ291:FT291" si="1835">DZ283/$DV$291*1.2</f>
        <v>0</v>
      </c>
      <c r="EA291" s="85">
        <f t="shared" si="1835"/>
        <v>0</v>
      </c>
      <c r="EB291" s="85">
        <f t="shared" si="1835"/>
        <v>0</v>
      </c>
      <c r="EC291" s="85">
        <f t="shared" si="1835"/>
        <v>0</v>
      </c>
      <c r="ED291" s="85">
        <f t="shared" si="1835"/>
        <v>0</v>
      </c>
      <c r="EE291" s="85">
        <f t="shared" si="1835"/>
        <v>0</v>
      </c>
      <c r="EF291" s="85">
        <f t="shared" si="1835"/>
        <v>0</v>
      </c>
      <c r="EG291" s="85">
        <f t="shared" si="1835"/>
        <v>2.1333333333333333E-2</v>
      </c>
      <c r="EH291" s="85">
        <f t="shared" si="1835"/>
        <v>0</v>
      </c>
      <c r="EI291" s="85">
        <f t="shared" si="1835"/>
        <v>0</v>
      </c>
      <c r="EJ291" s="85">
        <f t="shared" si="1835"/>
        <v>0</v>
      </c>
      <c r="EK291" s="85">
        <f t="shared" si="1835"/>
        <v>0</v>
      </c>
      <c r="EL291" s="85">
        <f t="shared" si="1835"/>
        <v>0</v>
      </c>
      <c r="EM291" s="85">
        <f t="shared" si="1835"/>
        <v>0</v>
      </c>
      <c r="EN291" s="85">
        <f t="shared" si="1835"/>
        <v>0</v>
      </c>
      <c r="EO291" s="85">
        <f t="shared" si="1835"/>
        <v>0</v>
      </c>
      <c r="EP291" s="85">
        <f t="shared" si="1835"/>
        <v>0</v>
      </c>
      <c r="EQ291" s="85">
        <f t="shared" si="1835"/>
        <v>0</v>
      </c>
      <c r="ER291" s="85">
        <f t="shared" si="1835"/>
        <v>0</v>
      </c>
      <c r="ES291" s="85">
        <f t="shared" si="1835"/>
        <v>0</v>
      </c>
      <c r="ET291" s="85">
        <f t="shared" ref="ET291" si="1836">ET283/$DV$291*1.2</f>
        <v>0</v>
      </c>
      <c r="EU291" s="85">
        <f t="shared" si="1835"/>
        <v>0</v>
      </c>
      <c r="EV291" s="85">
        <f t="shared" si="1835"/>
        <v>0</v>
      </c>
      <c r="EW291" s="85">
        <f t="shared" si="1835"/>
        <v>0</v>
      </c>
      <c r="EX291" s="85">
        <f t="shared" si="1835"/>
        <v>0</v>
      </c>
      <c r="EY291" s="85">
        <f t="shared" si="1835"/>
        <v>0</v>
      </c>
      <c r="EZ291" s="85">
        <f t="shared" si="1835"/>
        <v>0</v>
      </c>
      <c r="FA291" s="85">
        <f t="shared" si="1835"/>
        <v>0</v>
      </c>
      <c r="FB291" s="85">
        <f t="shared" si="1835"/>
        <v>0</v>
      </c>
      <c r="FC291" s="85">
        <f t="shared" si="1835"/>
        <v>0</v>
      </c>
      <c r="FD291" s="85">
        <f t="shared" si="1835"/>
        <v>0</v>
      </c>
      <c r="FE291" s="85">
        <f t="shared" si="1835"/>
        <v>0</v>
      </c>
      <c r="FF291" s="85">
        <f t="shared" si="1835"/>
        <v>0</v>
      </c>
      <c r="FG291" s="85">
        <f t="shared" si="1835"/>
        <v>0</v>
      </c>
      <c r="FH291" s="85">
        <f t="shared" si="1835"/>
        <v>0</v>
      </c>
      <c r="FI291" s="85">
        <f t="shared" si="1835"/>
        <v>0</v>
      </c>
      <c r="FJ291" s="85">
        <f t="shared" si="1835"/>
        <v>0</v>
      </c>
      <c r="FK291" s="85">
        <f t="shared" si="1835"/>
        <v>0</v>
      </c>
      <c r="FL291" s="85">
        <f t="shared" si="1835"/>
        <v>0</v>
      </c>
      <c r="FM291" s="85">
        <f t="shared" si="1835"/>
        <v>0</v>
      </c>
      <c r="FN291" s="85">
        <f t="shared" si="1835"/>
        <v>0</v>
      </c>
      <c r="FO291" s="85">
        <f t="shared" si="1835"/>
        <v>0</v>
      </c>
      <c r="FP291" s="85">
        <f t="shared" si="1835"/>
        <v>0</v>
      </c>
      <c r="FQ291" s="85">
        <f t="shared" si="1835"/>
        <v>2.1333333333333333E-2</v>
      </c>
      <c r="FR291" s="85">
        <f t="shared" si="1835"/>
        <v>0</v>
      </c>
      <c r="FS291" s="85">
        <f t="shared" si="1835"/>
        <v>3.0266666666666664</v>
      </c>
      <c r="FT291" s="85">
        <f t="shared" si="1835"/>
        <v>0.58533333333333326</v>
      </c>
      <c r="FU291" s="85">
        <f t="shared" ref="FU291:GM291" si="1837">FU283/$DV$291*1.2</f>
        <v>0.58533333333333326</v>
      </c>
      <c r="FV291" s="85">
        <f t="shared" si="1837"/>
        <v>0.56399999999999995</v>
      </c>
      <c r="FW291" s="85">
        <f t="shared" si="1837"/>
        <v>0.26400000000000001</v>
      </c>
      <c r="FX291" s="85">
        <f t="shared" si="1837"/>
        <v>0.26400000000000001</v>
      </c>
      <c r="FY291" s="85">
        <f t="shared" si="1837"/>
        <v>3.0266666666666664</v>
      </c>
      <c r="FZ291" s="85">
        <f t="shared" si="1837"/>
        <v>2.9986666666666664</v>
      </c>
      <c r="GA291" s="85">
        <f t="shared" si="1837"/>
        <v>1.6440000000000001</v>
      </c>
      <c r="GB291" s="85">
        <f t="shared" si="1837"/>
        <v>1.3546666666666665</v>
      </c>
      <c r="GC291" s="85">
        <f t="shared" si="1837"/>
        <v>0.32</v>
      </c>
      <c r="GD291" s="85">
        <f t="shared" si="1837"/>
        <v>1.3239999999999998</v>
      </c>
      <c r="GE291" s="85">
        <f t="shared" si="1837"/>
        <v>0.14933333333333332</v>
      </c>
      <c r="GF291" s="85">
        <f t="shared" si="1837"/>
        <v>0.64933333333333332</v>
      </c>
      <c r="GG291" s="85">
        <f t="shared" si="1837"/>
        <v>0.52533333333333332</v>
      </c>
      <c r="GH291" s="85">
        <f t="shared" si="1837"/>
        <v>0.18266666666666667</v>
      </c>
      <c r="GI291" s="85">
        <f t="shared" si="1837"/>
        <v>0.34266666666666667</v>
      </c>
      <c r="GJ291" s="85">
        <f t="shared" si="1837"/>
        <v>0.19333333333333333</v>
      </c>
      <c r="GK291" s="85">
        <f t="shared" si="1837"/>
        <v>0.14933333333333332</v>
      </c>
      <c r="GL291" s="85">
        <f t="shared" si="1837"/>
        <v>0.13733333333333334</v>
      </c>
      <c r="GM291" s="86">
        <f t="shared" si="1837"/>
        <v>2.1333333333333333E-2</v>
      </c>
    </row>
    <row r="292" spans="30:195" ht="15" thickBot="1">
      <c r="AD292" s="61"/>
      <c r="AK292" s="61">
        <v>37</v>
      </c>
      <c r="DV292" s="87"/>
      <c r="DW292" s="88">
        <f>IF(DW286=0,0,ROUNDUP(DW291,0))</f>
        <v>0</v>
      </c>
      <c r="DX292" s="88">
        <f t="shared" ref="DX292:FN292" si="1838">IF(DX286=0,0,ROUNDUP(DX291,0))</f>
        <v>0</v>
      </c>
      <c r="DY292" s="88">
        <f t="shared" si="1838"/>
        <v>0</v>
      </c>
      <c r="DZ292" s="88">
        <f t="shared" si="1838"/>
        <v>0</v>
      </c>
      <c r="EA292" s="88">
        <f t="shared" si="1838"/>
        <v>0</v>
      </c>
      <c r="EB292" s="88">
        <f t="shared" si="1838"/>
        <v>0</v>
      </c>
      <c r="EC292" s="88">
        <f t="shared" si="1838"/>
        <v>0</v>
      </c>
      <c r="ED292" s="88">
        <f t="shared" si="1838"/>
        <v>0</v>
      </c>
      <c r="EE292" s="88">
        <f t="shared" si="1838"/>
        <v>0</v>
      </c>
      <c r="EF292" s="88">
        <f t="shared" si="1838"/>
        <v>0</v>
      </c>
      <c r="EG292" s="88">
        <f t="shared" si="1838"/>
        <v>1</v>
      </c>
      <c r="EH292" s="88">
        <f t="shared" si="1838"/>
        <v>0</v>
      </c>
      <c r="EI292" s="88">
        <f t="shared" si="1838"/>
        <v>0</v>
      </c>
      <c r="EJ292" s="88">
        <f t="shared" si="1838"/>
        <v>0</v>
      </c>
      <c r="EK292" s="88">
        <f t="shared" si="1838"/>
        <v>0</v>
      </c>
      <c r="EL292" s="88">
        <f t="shared" si="1838"/>
        <v>0</v>
      </c>
      <c r="EM292" s="88">
        <f t="shared" si="1838"/>
        <v>0</v>
      </c>
      <c r="EN292" s="88">
        <f t="shared" si="1838"/>
        <v>0</v>
      </c>
      <c r="EO292" s="88">
        <f t="shared" si="1838"/>
        <v>0</v>
      </c>
      <c r="EP292" s="88">
        <f t="shared" si="1838"/>
        <v>0</v>
      </c>
      <c r="EQ292" s="88">
        <f t="shared" si="1838"/>
        <v>0</v>
      </c>
      <c r="ER292" s="88">
        <f t="shared" si="1838"/>
        <v>0</v>
      </c>
      <c r="ES292" s="88">
        <f t="shared" si="1838"/>
        <v>0</v>
      </c>
      <c r="ET292" s="88">
        <f t="shared" ref="ET292" si="1839">IF(ET286=0,0,ROUNDUP(ET291,0))</f>
        <v>0</v>
      </c>
      <c r="EU292" s="88">
        <f t="shared" si="1838"/>
        <v>0</v>
      </c>
      <c r="EV292" s="88">
        <f t="shared" si="1838"/>
        <v>0</v>
      </c>
      <c r="EW292" s="88">
        <f t="shared" ref="EW292" si="1840">IF(EW286=0,0,ROUNDUP(EW291,0))</f>
        <v>0</v>
      </c>
      <c r="EX292" s="88">
        <f t="shared" si="1838"/>
        <v>0</v>
      </c>
      <c r="EY292" s="88">
        <f t="shared" si="1838"/>
        <v>0</v>
      </c>
      <c r="EZ292" s="88">
        <f t="shared" si="1838"/>
        <v>0</v>
      </c>
      <c r="FA292" s="88">
        <f t="shared" si="1838"/>
        <v>0</v>
      </c>
      <c r="FB292" s="88">
        <f t="shared" si="1838"/>
        <v>0</v>
      </c>
      <c r="FC292" s="88">
        <f t="shared" si="1838"/>
        <v>0</v>
      </c>
      <c r="FD292" s="88">
        <f t="shared" si="1838"/>
        <v>0</v>
      </c>
      <c r="FE292" s="88">
        <f t="shared" si="1838"/>
        <v>0</v>
      </c>
      <c r="FF292" s="88">
        <f t="shared" si="1838"/>
        <v>0</v>
      </c>
      <c r="FG292" s="88">
        <f t="shared" si="1838"/>
        <v>0</v>
      </c>
      <c r="FH292" s="88">
        <f t="shared" si="1838"/>
        <v>0</v>
      </c>
      <c r="FI292" s="88">
        <f t="shared" si="1838"/>
        <v>0</v>
      </c>
      <c r="FJ292" s="88">
        <f t="shared" si="1838"/>
        <v>0</v>
      </c>
      <c r="FK292" s="88">
        <f t="shared" si="1838"/>
        <v>0</v>
      </c>
      <c r="FL292" s="88">
        <f t="shared" si="1838"/>
        <v>0</v>
      </c>
      <c r="FM292" s="88">
        <f t="shared" si="1838"/>
        <v>0</v>
      </c>
      <c r="FN292" s="88">
        <f t="shared" si="1838"/>
        <v>0</v>
      </c>
      <c r="FO292" s="88">
        <f t="shared" ref="FO292:FT292" si="1841">IF(FO286=0,0,ROUNDUP(FO291,0))</f>
        <v>0</v>
      </c>
      <c r="FP292" s="88">
        <f t="shared" si="1841"/>
        <v>0</v>
      </c>
      <c r="FQ292" s="88">
        <f t="shared" si="1841"/>
        <v>1</v>
      </c>
      <c r="FR292" s="88">
        <f t="shared" ref="FR292:FS292" si="1842">IF(FR286=0,0,ROUNDUP(FR291,0))</f>
        <v>0</v>
      </c>
      <c r="FS292" s="88">
        <f t="shared" si="1842"/>
        <v>4</v>
      </c>
      <c r="FT292" s="88">
        <f t="shared" si="1841"/>
        <v>1</v>
      </c>
      <c r="FU292" s="88">
        <f t="shared" ref="FU292:GM292" si="1843">IF(FU286=0,0,ROUNDUP(FU291,0))</f>
        <v>1</v>
      </c>
      <c r="FV292" s="88">
        <f t="shared" si="1843"/>
        <v>1</v>
      </c>
      <c r="FW292" s="88">
        <f t="shared" si="1843"/>
        <v>1</v>
      </c>
      <c r="FX292" s="88">
        <f t="shared" si="1843"/>
        <v>1</v>
      </c>
      <c r="FY292" s="88">
        <f t="shared" si="1843"/>
        <v>4</v>
      </c>
      <c r="FZ292" s="88">
        <f t="shared" si="1843"/>
        <v>3</v>
      </c>
      <c r="GA292" s="88">
        <f t="shared" si="1843"/>
        <v>2</v>
      </c>
      <c r="GB292" s="88">
        <f t="shared" si="1843"/>
        <v>2</v>
      </c>
      <c r="GC292" s="88">
        <f t="shared" si="1843"/>
        <v>1</v>
      </c>
      <c r="GD292" s="88">
        <f t="shared" si="1843"/>
        <v>2</v>
      </c>
      <c r="GE292" s="88">
        <f t="shared" si="1843"/>
        <v>1</v>
      </c>
      <c r="GF292" s="88">
        <f t="shared" si="1843"/>
        <v>1</v>
      </c>
      <c r="GG292" s="88">
        <f t="shared" si="1843"/>
        <v>1</v>
      </c>
      <c r="GH292" s="88">
        <f t="shared" si="1843"/>
        <v>1</v>
      </c>
      <c r="GI292" s="88">
        <f t="shared" si="1843"/>
        <v>1</v>
      </c>
      <c r="GJ292" s="88">
        <f t="shared" si="1843"/>
        <v>1</v>
      </c>
      <c r="GK292" s="88">
        <f t="shared" si="1843"/>
        <v>1</v>
      </c>
      <c r="GL292" s="88">
        <f t="shared" si="1843"/>
        <v>1</v>
      </c>
      <c r="GM292" s="89">
        <f t="shared" si="1843"/>
        <v>1</v>
      </c>
    </row>
    <row r="293" spans="30:195">
      <c r="AD293" s="61"/>
    </row>
    <row r="294" spans="30:195">
      <c r="AD294" s="61"/>
    </row>
    <row r="295" spans="30:195">
      <c r="AD295" s="61"/>
    </row>
    <row r="296" spans="30:195">
      <c r="AD296" s="61"/>
    </row>
    <row r="297" spans="30:195">
      <c r="AD297" s="61"/>
    </row>
    <row r="298" spans="30:195">
      <c r="AD298" s="61"/>
    </row>
    <row r="299" spans="30:195">
      <c r="AD299" s="61"/>
    </row>
    <row r="300" spans="30:195">
      <c r="AD300" s="61"/>
    </row>
    <row r="301" spans="30:195">
      <c r="AD301" s="61"/>
    </row>
    <row r="302" spans="30:195">
      <c r="AD302" s="61"/>
    </row>
    <row r="303" spans="30:195">
      <c r="AD303" s="61"/>
    </row>
    <row r="304" spans="30:195">
      <c r="AD304" s="61"/>
    </row>
    <row r="305" spans="30:30">
      <c r="AD305" s="61"/>
    </row>
    <row r="306" spans="30:30">
      <c r="AD306" s="61"/>
    </row>
    <row r="307" spans="30:30">
      <c r="AD307" s="61"/>
    </row>
    <row r="308" spans="30:30">
      <c r="AD308" s="61"/>
    </row>
    <row r="309" spans="30:30">
      <c r="AD309" s="61"/>
    </row>
    <row r="310" spans="30:30">
      <c r="AD310" s="61"/>
    </row>
    <row r="311" spans="30:30">
      <c r="AD311" s="61"/>
    </row>
    <row r="312" spans="30:30">
      <c r="AD312" s="61"/>
    </row>
    <row r="313" spans="30:30">
      <c r="AD313" s="61"/>
    </row>
    <row r="314" spans="30:30">
      <c r="AD314" s="61"/>
    </row>
    <row r="315" spans="30:30">
      <c r="AD315" s="61"/>
    </row>
    <row r="316" spans="30:30">
      <c r="AD316" s="61"/>
    </row>
    <row r="317" spans="30:30">
      <c r="AD317" s="61"/>
    </row>
    <row r="318" spans="30:30">
      <c r="AD318" s="61"/>
    </row>
    <row r="319" spans="30:30">
      <c r="AD319" s="61"/>
    </row>
    <row r="320" spans="30:30">
      <c r="AD320" s="61"/>
    </row>
    <row r="321" spans="30:30">
      <c r="AD321" s="61"/>
    </row>
    <row r="322" spans="30:30">
      <c r="AD322" s="61"/>
    </row>
    <row r="323" spans="30:30">
      <c r="AD323" s="61"/>
    </row>
    <row r="324" spans="30:30">
      <c r="AD324" s="61"/>
    </row>
  </sheetData>
  <protectedRanges>
    <protectedRange sqref="G43" name="Range1_2_5_15"/>
    <protectedRange sqref="G44" name="Range1_3_1_7_10"/>
    <protectedRange sqref="G35:G36" name="Range1_2_5_1_1"/>
    <protectedRange sqref="H9 H67 H69 H71 H73" name="Range1_2_5_1_2"/>
    <protectedRange sqref="H11" name="Range1_2_5_1_3"/>
    <protectedRange sqref="H32" name="Range1_2_5_1_4"/>
    <protectedRange sqref="H34" name="Range1_2_5_1_5"/>
    <protectedRange sqref="H36" name="Range1_2_5_1_6"/>
    <protectedRange sqref="H38" name="Range1_2_5_1_7"/>
    <protectedRange sqref="H40" name="Range1_2_5_1_8"/>
    <protectedRange sqref="H89" name="Range1_2_5_1_9"/>
    <protectedRange sqref="H93" name="Range1_2_5_1_10"/>
  </protectedRanges>
  <autoFilter ref="A5:BA283" xr:uid="{68882B8F-A887-475D-9441-2EA0142DE96F}">
    <filterColumn colId="0">
      <filters blank="1">
        <filter val="1"/>
        <filter val="10"/>
        <filter val="100"/>
        <filter val="101"/>
        <filter val="102"/>
        <filter val="103"/>
        <filter val="104"/>
        <filter val="105"/>
        <filter val="106"/>
        <filter val="107"/>
        <filter val="108"/>
        <filter val="109"/>
        <filter val="11"/>
        <filter val="110"/>
        <filter val="111"/>
        <filter val="112"/>
        <filter val="113"/>
        <filter val="114"/>
        <filter val="115"/>
        <filter val="116"/>
        <filter val="117"/>
        <filter val="118"/>
        <filter val="119"/>
        <filter val="12"/>
        <filter val="120"/>
        <filter val="121"/>
        <filter val="122"/>
        <filter val="123"/>
        <filter val="124"/>
        <filter val="125"/>
        <filter val="126"/>
        <filter val="127"/>
        <filter val="128"/>
        <filter val="129"/>
        <filter val="13"/>
        <filter val="130"/>
        <filter val="131"/>
        <filter val="132"/>
        <filter val="133"/>
        <filter val="134"/>
        <filter val="135"/>
        <filter val="136"/>
        <filter val="137"/>
        <filter val="138"/>
        <filter val="139"/>
        <filter val="14"/>
        <filter val="140"/>
        <filter val="141"/>
        <filter val="142"/>
        <filter val="143"/>
        <filter val="144"/>
        <filter val="145"/>
        <filter val="146"/>
        <filter val="147"/>
        <filter val="148"/>
        <filter val="149"/>
        <filter val="15"/>
        <filter val="150"/>
        <filter val="151"/>
        <filter val="152"/>
        <filter val="153"/>
        <filter val="154"/>
        <filter val="155"/>
        <filter val="156"/>
        <filter val="157"/>
        <filter val="158"/>
        <filter val="159"/>
        <filter val="16"/>
        <filter val="160"/>
        <filter val="161"/>
        <filter val="162"/>
        <filter val="163"/>
        <filter val="164"/>
        <filter val="165"/>
        <filter val="166"/>
        <filter val="167"/>
        <filter val="168"/>
        <filter val="169"/>
        <filter val="17"/>
        <filter val="170"/>
        <filter val="171"/>
        <filter val="172"/>
        <filter val="173"/>
        <filter val="174"/>
        <filter val="175"/>
        <filter val="176"/>
        <filter val="177"/>
        <filter val="178"/>
        <filter val="179"/>
        <filter val="18"/>
        <filter val="180"/>
        <filter val="181"/>
        <filter val="182"/>
        <filter val="183"/>
        <filter val="184"/>
        <filter val="185"/>
        <filter val="186"/>
        <filter val="187"/>
        <filter val="188"/>
        <filter val="189"/>
        <filter val="19"/>
        <filter val="190"/>
        <filter val="191"/>
        <filter val="192"/>
        <filter val="193"/>
        <filter val="194"/>
        <filter val="195"/>
        <filter val="196"/>
        <filter val="197"/>
        <filter val="198"/>
        <filter val="199"/>
        <filter val="2"/>
        <filter val="20"/>
        <filter val="200"/>
        <filter val="201"/>
        <filter val="202"/>
        <filter val="203"/>
        <filter val="204"/>
        <filter val="205"/>
        <filter val="206"/>
        <filter val="207"/>
        <filter val="208"/>
        <filter val="209"/>
        <filter val="21"/>
        <filter val="210"/>
        <filter val="211"/>
        <filter val="212"/>
        <filter val="213"/>
        <filter val="214"/>
        <filter val="215"/>
        <filter val="216"/>
        <filter val="217"/>
        <filter val="218"/>
        <filter val="219"/>
        <filter val="22"/>
        <filter val="220"/>
        <filter val="221"/>
        <filter val="222"/>
        <filter val="223"/>
        <filter val="224"/>
        <filter val="225"/>
        <filter val="226"/>
        <filter val="227"/>
        <filter val="23"/>
        <filter val="24"/>
        <filter val="25"/>
        <filter val="26"/>
        <filter val="27"/>
        <filter val="28"/>
        <filter val="29"/>
        <filter val="3"/>
        <filter val="30"/>
        <filter val="31"/>
        <filter val="32"/>
        <filter val="33"/>
        <filter val="34"/>
        <filter val="35"/>
        <filter val="36"/>
        <filter val="37"/>
        <filter val="38"/>
        <filter val="39"/>
        <filter val="4"/>
        <filter val="40"/>
        <filter val="41"/>
        <filter val="42"/>
        <filter val="43"/>
        <filter val="44"/>
        <filter val="45"/>
        <filter val="46"/>
        <filter val="47"/>
        <filter val="48"/>
        <filter val="49"/>
        <filter val="5"/>
        <filter val="50"/>
        <filter val="51"/>
        <filter val="52"/>
        <filter val="53"/>
        <filter val="54"/>
        <filter val="55"/>
        <filter val="56"/>
        <filter val="57"/>
        <filter val="58"/>
        <filter val="59"/>
        <filter val="6"/>
        <filter val="60"/>
        <filter val="61"/>
        <filter val="62"/>
        <filter val="63"/>
        <filter val="64"/>
        <filter val="65"/>
        <filter val="66"/>
        <filter val="67"/>
        <filter val="68"/>
        <filter val="69"/>
        <filter val="7"/>
        <filter val="70"/>
        <filter val="71"/>
        <filter val="72"/>
        <filter val="73"/>
        <filter val="74"/>
        <filter val="75"/>
        <filter val="76"/>
        <filter val="77"/>
        <filter val="78"/>
        <filter val="79"/>
        <filter val="8"/>
        <filter val="80"/>
        <filter val="81"/>
        <filter val="82"/>
        <filter val="83"/>
        <filter val="84"/>
        <filter val="85"/>
        <filter val="86"/>
        <filter val="87"/>
        <filter val="88"/>
        <filter val="89"/>
        <filter val="9"/>
        <filter val="90"/>
        <filter val="91"/>
        <filter val="92"/>
        <filter val="93"/>
        <filter val="94"/>
        <filter val="95"/>
        <filter val="96"/>
        <filter val="97"/>
        <filter val="98"/>
        <filter val="99"/>
      </filters>
    </filterColumn>
  </autoFilter>
  <mergeCells count="27">
    <mergeCell ref="A1:K1"/>
    <mergeCell ref="L1:AS1"/>
    <mergeCell ref="AT1:AV1"/>
    <mergeCell ref="A2:BA2"/>
    <mergeCell ref="A3:A4"/>
    <mergeCell ref="D3:P3"/>
    <mergeCell ref="Q3:S3"/>
    <mergeCell ref="T3:AH3"/>
    <mergeCell ref="AI3:AN3"/>
    <mergeCell ref="AO3:AQ3"/>
    <mergeCell ref="AR3:AS3"/>
    <mergeCell ref="AT3:AU3"/>
    <mergeCell ref="AV3:AX3"/>
    <mergeCell ref="O81:BC81"/>
    <mergeCell ref="O82:BC82"/>
    <mergeCell ref="O113:BC113"/>
    <mergeCell ref="O114:BC114"/>
    <mergeCell ref="O132:BC132"/>
    <mergeCell ref="O232:BC232"/>
    <mergeCell ref="O250:BC250"/>
    <mergeCell ref="O270:BC270"/>
    <mergeCell ref="O281:BC281"/>
    <mergeCell ref="O144:BC144"/>
    <mergeCell ref="O159:BC159"/>
    <mergeCell ref="O167:BC167"/>
    <mergeCell ref="O196:BC196"/>
    <mergeCell ref="O213:BC213"/>
  </mergeCells>
  <phoneticPr fontId="49" type="noConversion"/>
  <conditionalFormatting sqref="D6:D62 CZ83:DU83 CZ115:DU115 CZ133:DU133 CZ144:DU145 CZ160:DU160 CZ167:DU168 CZ196:DU197 CZ214:DU214 CZ233:DU233">
    <cfRule type="cellIs" dxfId="33" priority="73" operator="equal">
      <formula>"Total"</formula>
    </cfRule>
  </conditionalFormatting>
  <conditionalFormatting sqref="D64:D282">
    <cfRule type="cellIs" dxfId="32" priority="1" operator="equal">
      <formula>"Total"</formula>
    </cfRule>
  </conditionalFormatting>
  <conditionalFormatting sqref="AC104:AD104">
    <cfRule type="cellIs" dxfId="31" priority="74" operator="equal">
      <formula>"Total"</formula>
    </cfRule>
  </conditionalFormatting>
  <conditionalFormatting sqref="AL41:AL42 AN41:AN42 AP41:AP42">
    <cfRule type="containsText" dxfId="30" priority="8" operator="containsText" text="NO">
      <formula>NOT(ISERROR(SEARCH("NO",AL41)))</formula>
    </cfRule>
  </conditionalFormatting>
  <conditionalFormatting sqref="AL61:AL62 AN61:AN62">
    <cfRule type="containsText" dxfId="29" priority="6" operator="containsText" text="NO">
      <formula>NOT(ISERROR(SEARCH("NO",AL61)))</formula>
    </cfRule>
  </conditionalFormatting>
  <conditionalFormatting sqref="AL74:AL75 AN74:AN75">
    <cfRule type="containsText" dxfId="28" priority="4" operator="containsText" text="NO">
      <formula>NOT(ISERROR(SEARCH("NO",AL74)))</formula>
    </cfRule>
  </conditionalFormatting>
  <conditionalFormatting sqref="AP61:AP62">
    <cfRule type="containsText" dxfId="27" priority="7" operator="containsText" text="NO">
      <formula>NOT(ISERROR(SEARCH("NO",AP61)))</formula>
    </cfRule>
  </conditionalFormatting>
  <conditionalFormatting sqref="AP74:AP75">
    <cfRule type="containsText" dxfId="26" priority="5" operator="containsText" text="NO">
      <formula>NOT(ISERROR(SEARCH("NO",AP74)))</formula>
    </cfRule>
  </conditionalFormatting>
  <conditionalFormatting sqref="AQ7:AQ40 AS7:AS40 AU17:AU40 AQ43:AQ60 AS43:AS60 AQ63:AQ73 AS63:AS73 AQ76:AQ80 AS76:AS80 AQ116:AQ131 AS116:AS131 AU116:AU131 AQ134:AQ143 AS134:AS143 AU134:AU143 AQ146:AQ158 AS146:AS158 AU146:AU158 AQ215:AQ231 AS215:AS231 AU215:AU231 AQ282">
    <cfRule type="containsText" dxfId="25" priority="30" operator="containsText" text="NO">
      <formula>NOT(ISERROR(SEARCH("NO",AQ7)))</formula>
    </cfRule>
  </conditionalFormatting>
  <conditionalFormatting sqref="AQ84:AQ112 AS84:AS112">
    <cfRule type="containsText" dxfId="24" priority="28" operator="containsText" text="NO">
      <formula>NOT(ISERROR(SEARCH("NO",AQ84)))</formula>
    </cfRule>
  </conditionalFormatting>
  <conditionalFormatting sqref="AQ161:AQ166 AS161:AS166 AQ169:AQ195 AS169:AS195 AQ198:AQ212 AS198:AS212 AQ252:AQ269 AS252:AS269">
    <cfRule type="containsText" dxfId="23" priority="96" operator="containsText" text="NO">
      <formula>NOT(ISERROR(SEARCH("NO",AQ161)))</formula>
    </cfRule>
  </conditionalFormatting>
  <conditionalFormatting sqref="AQ234:AQ249 AS234:AS249">
    <cfRule type="containsText" dxfId="22" priority="26" operator="containsText" text="NO">
      <formula>NOT(ISERROR(SEARCH("NO",AQ234)))</formula>
    </cfRule>
  </conditionalFormatting>
  <conditionalFormatting sqref="AQ272:AQ280 AS272:AS280">
    <cfRule type="containsText" dxfId="21" priority="24" operator="containsText" text="NO">
      <formula>NOT(ISERROR(SEARCH("NO",AQ272)))</formula>
    </cfRule>
  </conditionalFormatting>
  <conditionalFormatting sqref="AU8:AU15">
    <cfRule type="containsText" dxfId="20" priority="60" operator="containsText" text="NO">
      <formula>NOT(ISERROR(SEARCH("NO",AU8)))</formula>
    </cfRule>
  </conditionalFormatting>
  <conditionalFormatting sqref="AU44">
    <cfRule type="containsText" dxfId="19" priority="57" operator="containsText" text="NO">
      <formula>NOT(ISERROR(SEARCH("NO",AU44)))</formula>
    </cfRule>
  </conditionalFormatting>
  <conditionalFormatting sqref="AU46:AU60 AU64:AU73">
    <cfRule type="containsText" dxfId="18" priority="56" operator="containsText" text="NO">
      <formula>NOT(ISERROR(SEARCH("NO",AU46)))</formula>
    </cfRule>
  </conditionalFormatting>
  <conditionalFormatting sqref="AU77:AU80">
    <cfRule type="containsText" dxfId="17" priority="29" operator="containsText" text="NO">
      <formula>NOT(ISERROR(SEARCH("NO",AU77)))</formula>
    </cfRule>
  </conditionalFormatting>
  <conditionalFormatting sqref="AU85:AU103">
    <cfRule type="containsText" dxfId="16" priority="54" operator="containsText" text="NO">
      <formula>NOT(ISERROR(SEARCH("NO",AU85)))</formula>
    </cfRule>
  </conditionalFormatting>
  <conditionalFormatting sqref="AU105:AU112">
    <cfRule type="containsText" dxfId="15" priority="27" operator="containsText" text="NO">
      <formula>NOT(ISERROR(SEARCH("NO",AU105)))</formula>
    </cfRule>
  </conditionalFormatting>
  <conditionalFormatting sqref="AU161:AU166">
    <cfRule type="containsText" dxfId="14" priority="49" operator="containsText" text="NO">
      <formula>NOT(ISERROR(SEARCH("NO",AU161)))</formula>
    </cfRule>
  </conditionalFormatting>
  <conditionalFormatting sqref="AU169:AU195">
    <cfRule type="containsText" dxfId="13" priority="48" operator="containsText" text="NO">
      <formula>NOT(ISERROR(SEARCH("NO",AU169)))</formula>
    </cfRule>
  </conditionalFormatting>
  <conditionalFormatting sqref="AU198:AU212">
    <cfRule type="containsText" dxfId="12" priority="47" operator="containsText" text="NO">
      <formula>NOT(ISERROR(SEARCH("NO",AU198)))</formula>
    </cfRule>
  </conditionalFormatting>
  <conditionalFormatting sqref="AU234:AU249">
    <cfRule type="containsText" dxfId="11" priority="25" operator="containsText" text="NO">
      <formula>NOT(ISERROR(SEARCH("NO",AU234)))</formula>
    </cfRule>
  </conditionalFormatting>
  <conditionalFormatting sqref="AU252:AU269">
    <cfRule type="containsText" dxfId="10" priority="44" operator="containsText" text="NO">
      <formula>NOT(ISERROR(SEARCH("NO",AU252)))</formula>
    </cfRule>
  </conditionalFormatting>
  <conditionalFormatting sqref="AU272:AU280">
    <cfRule type="containsText" dxfId="9" priority="23" operator="containsText" text="NO">
      <formula>NOT(ISERROR(SEARCH("NO",AU272)))</formula>
    </cfRule>
  </conditionalFormatting>
  <dataValidations count="11">
    <dataValidation type="list" allowBlank="1" showInputMessage="1" showErrorMessage="1" sqref="V282:V283 V45 V76 V6:V7 V83 V115 V16" xr:uid="{0D1014D9-FFB4-4A7D-8CC7-AC9DF0A82782}">
      <formula1>"2.5,4,6,10,16,25,35,50,70,95,120,150,185,240,300,400,500,630"</formula1>
    </dataValidation>
    <dataValidation type="list" allowBlank="1" showInputMessage="1" showErrorMessage="1" sqref="V271:V280 V233:V249 V160:V166 V197:V212 V116:V131 V8:V15 V214:V231 V133:V143 V77:V80 V168:V195 V46:V75 V17:V44 V145:V158 V84:V112 V251:V269" xr:uid="{7A786C10-F88D-4DD6-B4A0-C13F24EBDC59}">
      <formula1>"4,6,10,16,25,35,50,70,95,120,150,185,240,300,400,500,630,800,1000"</formula1>
    </dataValidation>
    <dataValidation type="list" allowBlank="1" showInputMessage="1" showErrorMessage="1" sqref="G283" xr:uid="{7E0DED2D-BFB4-4835-A10F-20BC619B2F4D}">
      <formula1>"F,M,I"</formula1>
    </dataValidation>
    <dataValidation type="list" allowBlank="1" showInputMessage="1" showErrorMessage="1" sqref="T271:T280 T233:T249 T168:T195 T145:T158 T251:T269 T133:T143 T197:T212 T7:T80 T160:T166 T116:T131 T282 T84:T112 T214:T231" xr:uid="{A5EA830B-7172-4548-91CB-9291827FEA80}">
      <formula1>"AIR,DUCT,GROUND,TRENCH"</formula1>
    </dataValidation>
    <dataValidation type="list" allowBlank="1" showInputMessage="1" showErrorMessage="1" sqref="I116:I283 I7:I82 I84:I114" xr:uid="{80A91153-3967-4F20-BA8C-F79B7C51FB5C}">
      <formula1>"kVA,kW"</formula1>
    </dataValidation>
    <dataValidation type="list" allowBlank="1" showInputMessage="1" showErrorMessage="1" sqref="K234:K249 K266:K267 J39 J12:J31 J33 J35 J37 J84:J88 J90:J92 J7:J8 J10 J68 J70 J72 J41:J42 J45:J66 J94:J114 J74:J82 J232:J283 J116:J197 J213:J214" xr:uid="{07127E0A-60B6-4BFD-BD2F-B9A75F050CD8}">
      <formula1>"3Phase,1Phase"</formula1>
    </dataValidation>
    <dataValidation type="list" allowBlank="1" showInputMessage="1" showErrorMessage="1" sqref="J161:J167 K168 J169:J196 K197 K234:K249 K266:K267 K7:K29 J30 K146:K160 K116:K144 J18 J20 J22 J24 J26 J28 K282:K283 K84:K114 K31:K82 J232:J281 J213:J214" xr:uid="{630BD5FA-4967-48AC-8CBA-2D6DE40FCF45}">
      <formula1>"24,110,125,230,400,690,6600,33000"</formula1>
    </dataValidation>
    <dataValidation type="list" allowBlank="1" showInputMessage="1" showErrorMessage="1" sqref="G6:G7 G282" xr:uid="{0C1CBE7C-A915-469D-8E8B-23AA6F839C4B}">
      <formula1>"I,P,M"</formula1>
    </dataValidation>
    <dataValidation type="list" allowBlank="1" showInputMessage="1" showErrorMessage="1" sqref="J38 J11 J32 J34 J36 J43:J44 J89 J9 J93 J67 J69 J71 J40 J73" xr:uid="{EC697FC5-8B2C-4760-82E6-8941739166FE}">
      <formula1>"3Ph,1Ph"</formula1>
    </dataValidation>
    <dataValidation type="list" allowBlank="1" showInputMessage="1" showErrorMessage="1" sqref="U145:U158 U197:U212 U233:U249 U160:U166 U6:U80 U115:U131 U83:U112 U168:U195 U133:U143 U251:U269 U282:U283 U214:U231 U271:U280" xr:uid="{B89EA54F-0F30-4E47-9464-6F796982B21D}">
      <formula1>"1C,2C,3C,3.5C,4C,5C"</formula1>
    </dataValidation>
    <dataValidation type="list" allowBlank="1" showInputMessage="1" showErrorMessage="1" sqref="G8:G281" xr:uid="{C76063E7-344E-44BF-A9BB-C825E7C3C495}">
      <formula1>"INCOMER,POWER,MOTOR,VFD"</formula1>
    </dataValidation>
  </dataValidations>
  <printOptions horizontalCentered="1"/>
  <pageMargins left="0" right="0" top="0.47244094488188981" bottom="0.51181102362204722" header="0.51181102362204722" footer="0.51181102362204722"/>
  <pageSetup paperSize="8" scale="29" fitToHeight="0" orientation="landscape" r:id="rId1"/>
  <headerFooter alignWithMargins="0"/>
  <ignoredErrors>
    <ignoredError sqref="AC27 AC19 AC47 AC23 AC33 AC49 AC51 AC53 AC55 AC57 AT174 AT237:AT247 AG35 AH125 AC138 AG32:AG34 AG36:AG38 AG89:AG93" formula="1"/>
    <ignoredError sqref="AR259:AS260" evalError="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13E2E-D552-4AD2-829E-74299C36C32D}">
  <sheetPr codeName="Sheet16" filterMode="1">
    <tabColor rgb="FFFFFF00"/>
    <pageSetUpPr fitToPage="1"/>
  </sheetPr>
  <dimension ref="A1:GM111"/>
  <sheetViews>
    <sheetView view="pageBreakPreview" zoomScale="70" zoomScaleNormal="70" zoomScaleSheetLayoutView="70" zoomScalePageLayoutView="70" workbookViewId="0">
      <pane xSplit="4" ySplit="5" topLeftCell="E14" activePane="bottomRight" state="frozen"/>
      <selection activeCell="D18" sqref="D18"/>
      <selection pane="topRight" activeCell="D18" sqref="D18"/>
      <selection pane="bottomLeft" activeCell="D18" sqref="D18"/>
      <selection pane="bottomRight" activeCell="H24" sqref="H24"/>
    </sheetView>
  </sheetViews>
  <sheetFormatPr defaultRowHeight="14.25"/>
  <cols>
    <col min="1" max="1" width="7" style="61" customWidth="1"/>
    <col min="2" max="3" width="20.28515625" style="61" customWidth="1"/>
    <col min="4" max="4" width="50.5703125" style="63" customWidth="1"/>
    <col min="5" max="5" width="36.140625" style="63" customWidth="1"/>
    <col min="6" max="6" width="5.85546875" style="63" customWidth="1"/>
    <col min="7" max="7" width="11.7109375" style="61" customWidth="1"/>
    <col min="8" max="8" width="10.140625" style="61" customWidth="1"/>
    <col min="9" max="9" width="7.140625" style="61" customWidth="1"/>
    <col min="10" max="10" width="8.85546875" style="61" customWidth="1"/>
    <col min="11" max="11" width="8.140625" style="61" customWidth="1"/>
    <col min="12" max="12" width="7.7109375" style="61" customWidth="1"/>
    <col min="13" max="13" width="9.85546875" style="61" customWidth="1"/>
    <col min="14" max="15" width="9.5703125" style="61" customWidth="1"/>
    <col min="16" max="16" width="9.7109375" style="61" customWidth="1"/>
    <col min="17" max="17" width="13.5703125" style="61" customWidth="1"/>
    <col min="18" max="19" width="12.5703125" style="61" customWidth="1"/>
    <col min="20" max="20" width="12.140625" style="61" customWidth="1"/>
    <col min="21" max="22" width="8" style="61" customWidth="1"/>
    <col min="23" max="23" width="11.42578125" style="61" customWidth="1"/>
    <col min="24" max="24" width="15.28515625" style="61" customWidth="1"/>
    <col min="25" max="25" width="9.7109375" style="61" customWidth="1"/>
    <col min="26" max="26" width="10.85546875" style="61" customWidth="1"/>
    <col min="27" max="27" width="12.7109375" style="61" customWidth="1"/>
    <col min="28" max="28" width="12.42578125" style="61" customWidth="1"/>
    <col min="29" max="29" width="13" style="61" customWidth="1"/>
    <col min="30" max="31" width="15.7109375" style="61" customWidth="1"/>
    <col min="32" max="32" width="14" style="61" customWidth="1"/>
    <col min="33" max="33" width="8" style="61" customWidth="1"/>
    <col min="34" max="34" width="10.28515625" style="175" customWidth="1"/>
    <col min="35" max="35" width="10.7109375" style="61" customWidth="1"/>
    <col min="36" max="36" width="10.140625" style="61" customWidth="1"/>
    <col min="37" max="37" width="12.28515625" style="61" customWidth="1"/>
    <col min="38" max="38" width="9" style="61" customWidth="1"/>
    <col min="39" max="39" width="12" style="61" customWidth="1"/>
    <col min="40" max="40" width="12.140625" style="61" customWidth="1"/>
    <col min="41" max="41" width="11.42578125" style="61" customWidth="1"/>
    <col min="42" max="42" width="6.5703125" style="61" customWidth="1"/>
    <col min="43" max="43" width="13" style="61" customWidth="1"/>
    <col min="44" max="45" width="14" style="61" customWidth="1"/>
    <col min="46" max="46" width="13.85546875" style="61" customWidth="1"/>
    <col min="47" max="47" width="18.7109375" style="61" customWidth="1"/>
    <col min="48" max="49" width="35.7109375" style="61" customWidth="1"/>
    <col min="50" max="50" width="10.5703125" style="61" customWidth="1"/>
    <col min="51" max="51" width="15.5703125" style="61" customWidth="1"/>
    <col min="52" max="52" width="10.5703125" style="61" customWidth="1"/>
    <col min="53" max="53" width="33.7109375" style="61" customWidth="1"/>
    <col min="54" max="55" width="11.140625" style="61" customWidth="1"/>
    <col min="56" max="56" width="6.85546875" style="61" customWidth="1"/>
    <col min="57" max="125" width="4.7109375" style="61" customWidth="1"/>
    <col min="126" max="126" width="5" style="61" customWidth="1"/>
    <col min="127" max="127" width="9.140625" style="61"/>
    <col min="128" max="195" width="7" style="61" customWidth="1"/>
    <col min="196" max="16384" width="9.140625" style="61"/>
  </cols>
  <sheetData>
    <row r="1" spans="1:195" ht="24.75" customHeight="1">
      <c r="A1" s="929"/>
      <c r="B1" s="929"/>
      <c r="C1" s="929"/>
      <c r="D1" s="1023"/>
      <c r="E1" s="1023"/>
      <c r="F1" s="1023"/>
      <c r="G1" s="929"/>
      <c r="H1" s="929"/>
      <c r="I1" s="929"/>
      <c r="J1" s="929"/>
      <c r="K1" s="929"/>
      <c r="L1" s="930"/>
      <c r="M1" s="930"/>
      <c r="N1" s="930"/>
      <c r="O1" s="930"/>
      <c r="P1" s="930"/>
      <c r="Q1" s="930"/>
      <c r="R1" s="930"/>
      <c r="S1" s="930"/>
      <c r="T1" s="930"/>
      <c r="U1" s="930"/>
      <c r="V1" s="930"/>
      <c r="W1" s="930"/>
      <c r="X1" s="930"/>
      <c r="Y1" s="930"/>
      <c r="Z1" s="930"/>
      <c r="AA1" s="930"/>
      <c r="AB1" s="930"/>
      <c r="AC1" s="930"/>
      <c r="AD1" s="930"/>
      <c r="AE1" s="930"/>
      <c r="AF1" s="930"/>
      <c r="AG1" s="930"/>
      <c r="AH1" s="1068"/>
      <c r="AI1" s="930"/>
      <c r="AJ1" s="930"/>
      <c r="AK1" s="930"/>
      <c r="AL1" s="930"/>
      <c r="AM1" s="930"/>
      <c r="AN1" s="930"/>
      <c r="AO1" s="930"/>
      <c r="AP1" s="930"/>
      <c r="AQ1" s="930"/>
      <c r="AR1" s="930"/>
      <c r="AS1" s="930"/>
      <c r="AT1" s="929"/>
      <c r="AU1" s="929"/>
      <c r="AV1" s="929"/>
    </row>
    <row r="2" spans="1:195" ht="30.75" customHeight="1">
      <c r="A2" s="931" t="s">
        <v>1080</v>
      </c>
      <c r="B2" s="931"/>
      <c r="C2" s="931"/>
      <c r="D2" s="931"/>
      <c r="E2" s="931"/>
      <c r="F2" s="931"/>
      <c r="G2" s="931"/>
      <c r="H2" s="931"/>
      <c r="I2" s="931"/>
      <c r="J2" s="931"/>
      <c r="K2" s="931"/>
      <c r="L2" s="931"/>
      <c r="M2" s="931"/>
      <c r="N2" s="931"/>
      <c r="O2" s="931"/>
      <c r="P2" s="931"/>
      <c r="Q2" s="931"/>
      <c r="R2" s="931"/>
      <c r="S2" s="931"/>
      <c r="T2" s="931"/>
      <c r="U2" s="931"/>
      <c r="V2" s="931"/>
      <c r="W2" s="931"/>
      <c r="X2" s="931"/>
      <c r="Y2" s="931"/>
      <c r="Z2" s="931"/>
      <c r="AA2" s="931"/>
      <c r="AB2" s="931"/>
      <c r="AC2" s="931"/>
      <c r="AD2" s="931"/>
      <c r="AE2" s="931"/>
      <c r="AF2" s="931"/>
      <c r="AG2" s="931"/>
      <c r="AH2" s="1069"/>
      <c r="AI2" s="931"/>
      <c r="AJ2" s="931"/>
      <c r="AK2" s="931"/>
      <c r="AL2" s="931"/>
      <c r="AM2" s="931"/>
      <c r="AN2" s="931"/>
      <c r="AO2" s="931"/>
      <c r="AP2" s="931"/>
      <c r="AQ2" s="931"/>
      <c r="AR2" s="931"/>
      <c r="AS2" s="931"/>
      <c r="AT2" s="931"/>
      <c r="AU2" s="931"/>
      <c r="AV2" s="931"/>
      <c r="AW2" s="931"/>
      <c r="AX2" s="931"/>
      <c r="AY2" s="931"/>
      <c r="AZ2" s="931"/>
      <c r="BA2" s="931"/>
      <c r="BB2" s="320"/>
      <c r="BC2" s="320"/>
    </row>
    <row r="3" spans="1:195" s="11" customFormat="1" ht="25.5" customHeight="1">
      <c r="A3" s="932" t="s">
        <v>240</v>
      </c>
      <c r="B3" s="321"/>
      <c r="C3" s="321"/>
      <c r="D3" s="1027" t="s">
        <v>241</v>
      </c>
      <c r="E3" s="1027"/>
      <c r="F3" s="1027"/>
      <c r="G3" s="933"/>
      <c r="H3" s="933"/>
      <c r="I3" s="933"/>
      <c r="J3" s="933"/>
      <c r="K3" s="933"/>
      <c r="L3" s="933"/>
      <c r="M3" s="933"/>
      <c r="N3" s="933"/>
      <c r="O3" s="933"/>
      <c r="P3" s="933"/>
      <c r="Q3" s="928" t="s">
        <v>242</v>
      </c>
      <c r="R3" s="928"/>
      <c r="S3" s="928"/>
      <c r="T3" s="928" t="s">
        <v>243</v>
      </c>
      <c r="U3" s="928"/>
      <c r="V3" s="928"/>
      <c r="W3" s="928"/>
      <c r="X3" s="928"/>
      <c r="Y3" s="928"/>
      <c r="Z3" s="928"/>
      <c r="AA3" s="928"/>
      <c r="AB3" s="928"/>
      <c r="AC3" s="928"/>
      <c r="AD3" s="928"/>
      <c r="AE3" s="928"/>
      <c r="AF3" s="928"/>
      <c r="AG3" s="928"/>
      <c r="AH3" s="1070"/>
      <c r="AI3" s="928" t="s">
        <v>244</v>
      </c>
      <c r="AJ3" s="928"/>
      <c r="AK3" s="928"/>
      <c r="AL3" s="928"/>
      <c r="AM3" s="928"/>
      <c r="AN3" s="928"/>
      <c r="AO3" s="928" t="s">
        <v>245</v>
      </c>
      <c r="AP3" s="928"/>
      <c r="AQ3" s="928"/>
      <c r="AR3" s="928" t="s">
        <v>246</v>
      </c>
      <c r="AS3" s="928"/>
      <c r="AT3" s="928" t="s">
        <v>247</v>
      </c>
      <c r="AU3" s="928"/>
      <c r="AV3" s="928" t="s">
        <v>248</v>
      </c>
      <c r="AW3" s="928"/>
      <c r="AX3" s="928"/>
      <c r="AY3" s="323"/>
      <c r="AZ3" s="323"/>
      <c r="BA3" s="323"/>
      <c r="BB3" s="708"/>
      <c r="BC3" s="708"/>
    </row>
    <row r="4" spans="1:195" s="11" customFormat="1" ht="89.25">
      <c r="A4" s="932"/>
      <c r="B4" s="323" t="s">
        <v>249</v>
      </c>
      <c r="C4" s="323" t="s">
        <v>250</v>
      </c>
      <c r="D4" s="790" t="s">
        <v>251</v>
      </c>
      <c r="E4" s="790" t="s">
        <v>252</v>
      </c>
      <c r="F4" s="323" t="s">
        <v>483</v>
      </c>
      <c r="G4" s="323" t="s">
        <v>254</v>
      </c>
      <c r="H4" s="323" t="s">
        <v>255</v>
      </c>
      <c r="I4" s="323" t="s">
        <v>256</v>
      </c>
      <c r="J4" s="323" t="s">
        <v>257</v>
      </c>
      <c r="K4" s="323" t="s">
        <v>258</v>
      </c>
      <c r="L4" s="323" t="s">
        <v>259</v>
      </c>
      <c r="M4" s="323" t="s">
        <v>260</v>
      </c>
      <c r="N4" s="323" t="s">
        <v>261</v>
      </c>
      <c r="O4" s="323" t="s">
        <v>262</v>
      </c>
      <c r="P4" s="323" t="s">
        <v>263</v>
      </c>
      <c r="Q4" s="323" t="s">
        <v>264</v>
      </c>
      <c r="R4" s="323" t="s">
        <v>265</v>
      </c>
      <c r="S4" s="323" t="s">
        <v>266</v>
      </c>
      <c r="T4" s="323" t="s">
        <v>267</v>
      </c>
      <c r="U4" s="323" t="s">
        <v>268</v>
      </c>
      <c r="V4" s="323" t="s">
        <v>269</v>
      </c>
      <c r="W4" s="323" t="s">
        <v>270</v>
      </c>
      <c r="X4" s="323" t="s">
        <v>271</v>
      </c>
      <c r="Y4" s="323" t="s">
        <v>272</v>
      </c>
      <c r="Z4" s="323" t="s">
        <v>273</v>
      </c>
      <c r="AA4" s="323" t="s">
        <v>274</v>
      </c>
      <c r="AB4" s="323" t="s">
        <v>275</v>
      </c>
      <c r="AC4" s="323" t="s">
        <v>276</v>
      </c>
      <c r="AD4" s="323" t="s">
        <v>277</v>
      </c>
      <c r="AE4" s="323" t="s">
        <v>278</v>
      </c>
      <c r="AF4" s="323" t="s">
        <v>279</v>
      </c>
      <c r="AG4" s="323" t="s">
        <v>280</v>
      </c>
      <c r="AH4" s="323" t="s">
        <v>485</v>
      </c>
      <c r="AI4" s="323" t="s">
        <v>281</v>
      </c>
      <c r="AJ4" s="323" t="s">
        <v>282</v>
      </c>
      <c r="AK4" s="323" t="s">
        <v>283</v>
      </c>
      <c r="AL4" s="323" t="s">
        <v>284</v>
      </c>
      <c r="AM4" s="323" t="s">
        <v>285</v>
      </c>
      <c r="AN4" s="323" t="s">
        <v>286</v>
      </c>
      <c r="AO4" s="323" t="s">
        <v>287</v>
      </c>
      <c r="AP4" s="323" t="s">
        <v>288</v>
      </c>
      <c r="AQ4" s="323" t="s">
        <v>289</v>
      </c>
      <c r="AR4" s="323" t="s">
        <v>290</v>
      </c>
      <c r="AS4" s="323" t="s">
        <v>1086</v>
      </c>
      <c r="AT4" s="323" t="s">
        <v>1087</v>
      </c>
      <c r="AU4" s="323" t="s">
        <v>1088</v>
      </c>
      <c r="AV4" s="849" t="s">
        <v>296</v>
      </c>
      <c r="AW4" s="323" t="s">
        <v>297</v>
      </c>
      <c r="AX4" s="323" t="s">
        <v>1602</v>
      </c>
      <c r="AY4" s="323" t="s">
        <v>297</v>
      </c>
      <c r="AZ4" s="323" t="s">
        <v>299</v>
      </c>
      <c r="BA4" s="324" t="s">
        <v>300</v>
      </c>
      <c r="BB4" s="323" t="s">
        <v>486</v>
      </c>
      <c r="BC4" s="323" t="s">
        <v>487</v>
      </c>
      <c r="BE4" s="791" t="s">
        <v>27</v>
      </c>
      <c r="BF4" s="791" t="s">
        <v>28</v>
      </c>
      <c r="BG4" s="791" t="s">
        <v>29</v>
      </c>
      <c r="BH4" s="791" t="s">
        <v>30</v>
      </c>
      <c r="BI4" s="791" t="s">
        <v>31</v>
      </c>
      <c r="BJ4" s="791" t="s">
        <v>32</v>
      </c>
      <c r="BK4" s="791" t="s">
        <v>33</v>
      </c>
      <c r="BL4" s="791" t="s">
        <v>34</v>
      </c>
      <c r="BM4" s="791" t="s">
        <v>35</v>
      </c>
      <c r="BN4" s="791" t="s">
        <v>36</v>
      </c>
      <c r="BO4" s="791" t="s">
        <v>37</v>
      </c>
      <c r="BP4" s="791" t="s">
        <v>38</v>
      </c>
      <c r="BQ4" s="791" t="s">
        <v>39</v>
      </c>
      <c r="BR4" s="791" t="s">
        <v>40</v>
      </c>
      <c r="BS4" s="791" t="s">
        <v>41</v>
      </c>
      <c r="BT4" s="791" t="s">
        <v>42</v>
      </c>
      <c r="BU4" s="791" t="s">
        <v>43</v>
      </c>
      <c r="BV4" s="791" t="s">
        <v>44</v>
      </c>
      <c r="BW4" s="791" t="s">
        <v>45</v>
      </c>
      <c r="BX4" s="791" t="s">
        <v>50</v>
      </c>
      <c r="BY4" s="791" t="s">
        <v>303</v>
      </c>
      <c r="BZ4" s="791" t="s">
        <v>51</v>
      </c>
      <c r="CA4" s="791" t="s">
        <v>304</v>
      </c>
      <c r="CB4" s="791" t="s">
        <v>1614</v>
      </c>
      <c r="CC4" s="791" t="s">
        <v>488</v>
      </c>
      <c r="CD4" s="791" t="s">
        <v>52</v>
      </c>
      <c r="CE4" s="791" t="s">
        <v>56</v>
      </c>
      <c r="CF4" s="791" t="s">
        <v>57</v>
      </c>
      <c r="CG4" s="791" t="s">
        <v>58</v>
      </c>
      <c r="CH4" s="791" t="s">
        <v>59</v>
      </c>
      <c r="CI4" s="791" t="s">
        <v>60</v>
      </c>
      <c r="CJ4" s="791" t="s">
        <v>61</v>
      </c>
      <c r="CK4" s="791" t="s">
        <v>306</v>
      </c>
      <c r="CL4" s="791" t="s">
        <v>307</v>
      </c>
      <c r="CM4" s="791" t="s">
        <v>308</v>
      </c>
      <c r="CN4" s="791" t="s">
        <v>309</v>
      </c>
      <c r="CO4" s="791" t="s">
        <v>310</v>
      </c>
      <c r="CP4" s="791" t="s">
        <v>62</v>
      </c>
      <c r="CQ4" s="791" t="s">
        <v>311</v>
      </c>
      <c r="CR4" s="791" t="s">
        <v>63</v>
      </c>
      <c r="CS4" s="791" t="s">
        <v>312</v>
      </c>
      <c r="CT4" s="791" t="s">
        <v>313</v>
      </c>
      <c r="CU4" s="791" t="s">
        <v>64</v>
      </c>
      <c r="CV4" s="791" t="s">
        <v>65</v>
      </c>
      <c r="CW4" s="791" t="s">
        <v>66</v>
      </c>
      <c r="CX4" s="791" t="s">
        <v>67</v>
      </c>
      <c r="CY4" s="791" t="s">
        <v>68</v>
      </c>
      <c r="CZ4" s="791" t="s">
        <v>69</v>
      </c>
      <c r="DA4" s="791" t="s">
        <v>70</v>
      </c>
      <c r="DB4" s="791" t="s">
        <v>314</v>
      </c>
      <c r="DC4" s="791" t="s">
        <v>315</v>
      </c>
      <c r="DD4" s="791" t="s">
        <v>1611</v>
      </c>
      <c r="DE4" s="791" t="s">
        <v>1612</v>
      </c>
      <c r="DF4" s="791" t="s">
        <v>1613</v>
      </c>
      <c r="DG4" s="791" t="s">
        <v>71</v>
      </c>
      <c r="DH4" s="791" t="s">
        <v>72</v>
      </c>
      <c r="DI4" s="791" t="s">
        <v>73</v>
      </c>
      <c r="DJ4" s="791" t="s">
        <v>316</v>
      </c>
      <c r="DK4" s="791" t="s">
        <v>317</v>
      </c>
      <c r="DL4" s="791" t="s">
        <v>74</v>
      </c>
      <c r="DM4" s="791" t="s">
        <v>318</v>
      </c>
      <c r="DN4" s="791" t="s">
        <v>319</v>
      </c>
      <c r="DO4" s="791" t="s">
        <v>320</v>
      </c>
      <c r="DP4" s="791" t="s">
        <v>321</v>
      </c>
      <c r="DQ4" s="791" t="s">
        <v>75</v>
      </c>
      <c r="DR4" s="791" t="s">
        <v>323</v>
      </c>
      <c r="DS4" s="791" t="s">
        <v>341</v>
      </c>
      <c r="DT4" s="791" t="s">
        <v>324</v>
      </c>
      <c r="DU4" s="791" t="s">
        <v>325</v>
      </c>
      <c r="DW4" s="791" t="s">
        <v>27</v>
      </c>
      <c r="DX4" s="791" t="s">
        <v>28</v>
      </c>
      <c r="DY4" s="791" t="s">
        <v>29</v>
      </c>
      <c r="DZ4" s="791" t="s">
        <v>30</v>
      </c>
      <c r="EA4" s="791" t="s">
        <v>31</v>
      </c>
      <c r="EB4" s="791" t="s">
        <v>32</v>
      </c>
      <c r="EC4" s="791" t="s">
        <v>33</v>
      </c>
      <c r="ED4" s="791" t="s">
        <v>34</v>
      </c>
      <c r="EE4" s="791" t="s">
        <v>35</v>
      </c>
      <c r="EF4" s="791" t="s">
        <v>36</v>
      </c>
      <c r="EG4" s="791" t="s">
        <v>37</v>
      </c>
      <c r="EH4" s="791" t="s">
        <v>38</v>
      </c>
      <c r="EI4" s="791" t="s">
        <v>39</v>
      </c>
      <c r="EJ4" s="791" t="s">
        <v>40</v>
      </c>
      <c r="EK4" s="791" t="s">
        <v>41</v>
      </c>
      <c r="EL4" s="791" t="s">
        <v>42</v>
      </c>
      <c r="EM4" s="791" t="s">
        <v>43</v>
      </c>
      <c r="EN4" s="791" t="s">
        <v>44</v>
      </c>
      <c r="EO4" s="791" t="s">
        <v>45</v>
      </c>
      <c r="EP4" s="791" t="s">
        <v>50</v>
      </c>
      <c r="EQ4" s="791" t="s">
        <v>303</v>
      </c>
      <c r="ER4" s="791" t="s">
        <v>51</v>
      </c>
      <c r="ES4" s="791" t="s">
        <v>304</v>
      </c>
      <c r="ET4" s="791" t="s">
        <v>1614</v>
      </c>
      <c r="EU4" s="791" t="s">
        <v>488</v>
      </c>
      <c r="EV4" s="791" t="s">
        <v>52</v>
      </c>
      <c r="EW4" s="791" t="s">
        <v>56</v>
      </c>
      <c r="EX4" s="791" t="s">
        <v>57</v>
      </c>
      <c r="EY4" s="791" t="s">
        <v>58</v>
      </c>
      <c r="EZ4" s="791" t="s">
        <v>59</v>
      </c>
      <c r="FA4" s="791" t="s">
        <v>60</v>
      </c>
      <c r="FB4" s="791" t="s">
        <v>61</v>
      </c>
      <c r="FC4" s="791" t="s">
        <v>306</v>
      </c>
      <c r="FD4" s="791" t="s">
        <v>307</v>
      </c>
      <c r="FE4" s="791" t="s">
        <v>308</v>
      </c>
      <c r="FF4" s="791" t="s">
        <v>309</v>
      </c>
      <c r="FG4" s="791" t="s">
        <v>310</v>
      </c>
      <c r="FH4" s="791" t="s">
        <v>62</v>
      </c>
      <c r="FI4" s="791" t="s">
        <v>311</v>
      </c>
      <c r="FJ4" s="791" t="s">
        <v>63</v>
      </c>
      <c r="FK4" s="791" t="s">
        <v>312</v>
      </c>
      <c r="FL4" s="791" t="s">
        <v>313</v>
      </c>
      <c r="FM4" s="791" t="s">
        <v>64</v>
      </c>
      <c r="FN4" s="791" t="s">
        <v>65</v>
      </c>
      <c r="FO4" s="791" t="s">
        <v>66</v>
      </c>
      <c r="FP4" s="791" t="s">
        <v>67</v>
      </c>
      <c r="FQ4" s="791" t="s">
        <v>68</v>
      </c>
      <c r="FR4" s="791" t="s">
        <v>69</v>
      </c>
      <c r="FS4" s="791" t="s">
        <v>70</v>
      </c>
      <c r="FT4" s="791" t="s">
        <v>314</v>
      </c>
      <c r="FU4" s="791" t="s">
        <v>315</v>
      </c>
      <c r="FV4" s="791" t="s">
        <v>1611</v>
      </c>
      <c r="FW4" s="791" t="s">
        <v>1612</v>
      </c>
      <c r="FX4" s="791" t="s">
        <v>1613</v>
      </c>
      <c r="FY4" s="791" t="s">
        <v>71</v>
      </c>
      <c r="FZ4" s="791" t="s">
        <v>72</v>
      </c>
      <c r="GA4" s="791" t="s">
        <v>73</v>
      </c>
      <c r="GB4" s="791" t="s">
        <v>316</v>
      </c>
      <c r="GC4" s="791" t="s">
        <v>317</v>
      </c>
      <c r="GD4" s="791" t="s">
        <v>74</v>
      </c>
      <c r="GE4" s="791" t="s">
        <v>318</v>
      </c>
      <c r="GF4" s="791" t="s">
        <v>319</v>
      </c>
      <c r="GG4" s="791" t="s">
        <v>320</v>
      </c>
      <c r="GH4" s="791" t="s">
        <v>321</v>
      </c>
      <c r="GI4" s="791" t="s">
        <v>75</v>
      </c>
      <c r="GJ4" s="791" t="s">
        <v>323</v>
      </c>
      <c r="GK4" s="791" t="s">
        <v>341</v>
      </c>
      <c r="GL4" s="791" t="s">
        <v>324</v>
      </c>
      <c r="GM4" s="791" t="s">
        <v>325</v>
      </c>
    </row>
    <row r="5" spans="1:195" s="62" customFormat="1" ht="30.75" customHeight="1">
      <c r="A5" s="321"/>
      <c r="B5" s="321"/>
      <c r="C5" s="321"/>
      <c r="D5" s="325" t="s">
        <v>732</v>
      </c>
      <c r="E5" s="325"/>
      <c r="F5" s="325"/>
      <c r="G5" s="321"/>
      <c r="H5" s="321"/>
      <c r="I5" s="321"/>
      <c r="J5" s="321"/>
      <c r="K5" s="321"/>
      <c r="L5" s="321"/>
      <c r="M5" s="321"/>
      <c r="N5" s="321"/>
      <c r="O5" s="321"/>
      <c r="P5" s="321"/>
      <c r="Q5" s="321"/>
      <c r="R5" s="321"/>
      <c r="S5" s="321"/>
      <c r="T5" s="321"/>
      <c r="U5" s="321"/>
      <c r="V5" s="321"/>
      <c r="W5" s="321"/>
      <c r="X5" s="321"/>
      <c r="Y5" s="321"/>
      <c r="Z5" s="321"/>
      <c r="AA5" s="321"/>
      <c r="AB5" s="321"/>
      <c r="AC5" s="321"/>
      <c r="AD5" s="321"/>
      <c r="AE5" s="321"/>
      <c r="AF5" s="321"/>
      <c r="AG5" s="321"/>
      <c r="AH5" s="792"/>
      <c r="AI5" s="321"/>
      <c r="AJ5" s="321"/>
      <c r="AK5" s="321"/>
      <c r="AL5" s="321"/>
      <c r="AM5" s="321"/>
      <c r="AN5" s="321"/>
      <c r="AO5" s="321"/>
      <c r="AP5" s="321"/>
      <c r="AQ5" s="321"/>
      <c r="AR5" s="321"/>
      <c r="AS5" s="321"/>
      <c r="AT5" s="321"/>
      <c r="AU5" s="321"/>
      <c r="AV5" s="327"/>
      <c r="AW5" s="327"/>
      <c r="AX5" s="321"/>
      <c r="AY5" s="327"/>
      <c r="AZ5" s="327"/>
      <c r="BA5" s="327"/>
      <c r="BB5" s="793"/>
      <c r="BC5" s="793"/>
      <c r="BE5" s="794"/>
      <c r="BF5" s="794"/>
      <c r="BG5" s="794"/>
      <c r="BH5" s="794"/>
      <c r="BI5" s="794"/>
      <c r="BJ5" s="794"/>
      <c r="BK5" s="794"/>
      <c r="BL5" s="794"/>
      <c r="BM5" s="794"/>
      <c r="BN5" s="794"/>
      <c r="BO5" s="794"/>
      <c r="BP5" s="794"/>
      <c r="BQ5" s="794"/>
      <c r="BR5" s="794"/>
      <c r="BS5" s="794"/>
      <c r="BT5" s="794"/>
      <c r="BU5" s="794"/>
      <c r="BV5" s="794"/>
      <c r="BW5" s="794"/>
      <c r="BX5" s="794"/>
      <c r="BY5" s="794"/>
      <c r="BZ5" s="794"/>
      <c r="CA5" s="794"/>
      <c r="CB5" s="794"/>
      <c r="CC5" s="794"/>
      <c r="CD5" s="794"/>
      <c r="CE5" s="794"/>
      <c r="CF5" s="794"/>
      <c r="CG5" s="794"/>
      <c r="CH5" s="794"/>
      <c r="CI5" s="794"/>
      <c r="CJ5" s="794"/>
      <c r="CK5" s="794"/>
      <c r="CL5" s="794"/>
      <c r="CM5" s="794"/>
      <c r="CN5" s="794"/>
      <c r="CO5" s="794"/>
      <c r="CP5" s="794"/>
      <c r="CQ5" s="794"/>
      <c r="CR5" s="794"/>
      <c r="CS5" s="794"/>
      <c r="CT5" s="794"/>
      <c r="CU5" s="794"/>
      <c r="CV5" s="794"/>
      <c r="CW5" s="794"/>
      <c r="CX5" s="794"/>
      <c r="CY5" s="794"/>
      <c r="CZ5" s="794"/>
      <c r="DA5" s="794"/>
      <c r="DB5" s="794"/>
      <c r="DC5" s="794"/>
      <c r="DD5" s="794"/>
      <c r="DE5" s="794"/>
      <c r="DF5" s="794"/>
      <c r="DG5" s="794"/>
      <c r="DH5" s="795"/>
      <c r="DI5" s="795"/>
      <c r="DJ5" s="795"/>
      <c r="DK5" s="795"/>
      <c r="DL5" s="795"/>
      <c r="DM5" s="795"/>
      <c r="DN5" s="795"/>
      <c r="DO5" s="795"/>
      <c r="DP5" s="795"/>
      <c r="DQ5" s="794"/>
      <c r="DR5" s="795"/>
      <c r="DS5" s="795"/>
      <c r="DT5" s="795"/>
      <c r="DU5" s="794"/>
      <c r="DW5" s="321"/>
      <c r="DX5" s="321"/>
      <c r="DY5" s="321"/>
      <c r="DZ5" s="321"/>
      <c r="EA5" s="321"/>
      <c r="EB5" s="321"/>
      <c r="EC5" s="321"/>
      <c r="ED5" s="321"/>
      <c r="EE5" s="321"/>
      <c r="EF5" s="321"/>
      <c r="EG5" s="321"/>
      <c r="EH5" s="321"/>
      <c r="EI5" s="321"/>
      <c r="EJ5" s="321"/>
      <c r="EK5" s="321"/>
      <c r="EL5" s="321"/>
      <c r="EM5" s="321"/>
      <c r="EN5" s="321"/>
      <c r="EO5" s="321"/>
      <c r="EP5" s="321"/>
      <c r="EQ5" s="321"/>
      <c r="ER5" s="321"/>
      <c r="ES5" s="321"/>
      <c r="ET5" s="321"/>
      <c r="EU5" s="321"/>
      <c r="EV5" s="321"/>
      <c r="EW5" s="321"/>
      <c r="EX5" s="321"/>
      <c r="EY5" s="321"/>
      <c r="EZ5" s="321"/>
      <c r="FA5" s="321"/>
      <c r="FB5" s="321"/>
      <c r="FC5" s="321"/>
      <c r="FD5" s="321"/>
      <c r="FE5" s="321"/>
      <c r="FF5" s="321"/>
      <c r="FG5" s="321"/>
      <c r="FH5" s="321"/>
      <c r="FI5" s="321"/>
      <c r="FJ5" s="321"/>
      <c r="FK5" s="321"/>
      <c r="FL5" s="321"/>
      <c r="FM5" s="321"/>
      <c r="FN5" s="321"/>
      <c r="FO5" s="321"/>
      <c r="FP5" s="321"/>
      <c r="FQ5" s="321"/>
      <c r="FR5" s="321"/>
      <c r="FS5" s="321"/>
      <c r="FT5" s="321"/>
      <c r="FU5" s="321"/>
      <c r="FV5" s="321"/>
      <c r="FW5" s="321"/>
      <c r="FX5" s="321"/>
      <c r="FY5" s="321"/>
      <c r="FZ5" s="321"/>
      <c r="GA5" s="321"/>
      <c r="GB5" s="321"/>
      <c r="GC5" s="321"/>
      <c r="GD5" s="321"/>
      <c r="GE5" s="321"/>
      <c r="GF5" s="321"/>
      <c r="GG5" s="321"/>
      <c r="GH5" s="321"/>
      <c r="GI5" s="321"/>
      <c r="GJ5" s="321"/>
      <c r="GK5" s="321"/>
      <c r="GL5" s="321"/>
      <c r="GM5" s="321"/>
    </row>
    <row r="6" spans="1:195" s="76" customFormat="1" ht="27" customHeight="1">
      <c r="A6" s="476"/>
      <c r="B6" s="476"/>
      <c r="C6" s="476"/>
      <c r="D6" s="477" t="s">
        <v>1430</v>
      </c>
      <c r="E6" s="478"/>
      <c r="F6" s="478"/>
      <c r="G6" s="476"/>
      <c r="H6" s="479"/>
      <c r="I6" s="476"/>
      <c r="J6" s="476"/>
      <c r="K6" s="480"/>
      <c r="L6" s="481"/>
      <c r="M6" s="479"/>
      <c r="N6" s="482"/>
      <c r="O6" s="482"/>
      <c r="P6" s="481"/>
      <c r="Q6" s="479"/>
      <c r="R6" s="479"/>
      <c r="S6" s="479"/>
      <c r="T6" s="481"/>
      <c r="U6" s="479"/>
      <c r="V6" s="481"/>
      <c r="W6" s="481"/>
      <c r="X6" s="481"/>
      <c r="Y6" s="481"/>
      <c r="Z6" s="483"/>
      <c r="AA6" s="484"/>
      <c r="AB6" s="484"/>
      <c r="AC6" s="485"/>
      <c r="AD6" s="485"/>
      <c r="AE6" s="485"/>
      <c r="AF6" s="485"/>
      <c r="AG6" s="485"/>
      <c r="AH6" s="796"/>
      <c r="AI6" s="483"/>
      <c r="AJ6" s="482"/>
      <c r="AK6" s="483"/>
      <c r="AL6" s="483"/>
      <c r="AM6" s="483"/>
      <c r="AN6" s="487"/>
      <c r="AO6" s="479"/>
      <c r="AP6" s="480"/>
      <c r="AQ6" s="479"/>
      <c r="AR6" s="487"/>
      <c r="AS6" s="481"/>
      <c r="AT6" s="487"/>
      <c r="AU6" s="487"/>
      <c r="AV6" s="723"/>
      <c r="AW6" s="723"/>
      <c r="AX6" s="717"/>
      <c r="AY6" s="724"/>
      <c r="AZ6" s="724"/>
      <c r="BA6" s="724"/>
      <c r="BB6" s="717"/>
      <c r="BC6" s="717"/>
      <c r="BD6" s="61"/>
      <c r="BE6" s="797"/>
      <c r="BF6" s="797"/>
      <c r="BG6" s="797"/>
      <c r="BH6" s="797"/>
      <c r="BI6" s="797"/>
      <c r="BJ6" s="797"/>
      <c r="BK6" s="797"/>
      <c r="BL6" s="797"/>
      <c r="BM6" s="797"/>
      <c r="BN6" s="797"/>
      <c r="BO6" s="797"/>
      <c r="BP6" s="797"/>
      <c r="BQ6" s="797"/>
      <c r="BR6" s="797"/>
      <c r="BS6" s="797"/>
      <c r="BT6" s="797"/>
      <c r="BU6" s="797"/>
      <c r="BV6" s="797"/>
      <c r="BW6" s="797"/>
      <c r="BX6" s="797"/>
      <c r="BY6" s="797"/>
      <c r="BZ6" s="797"/>
      <c r="CA6" s="797"/>
      <c r="CB6" s="797"/>
      <c r="CC6" s="797"/>
      <c r="CD6" s="797"/>
      <c r="CE6" s="797"/>
      <c r="CF6" s="797"/>
      <c r="CG6" s="797"/>
      <c r="CH6" s="797"/>
      <c r="CI6" s="797"/>
      <c r="CJ6" s="797"/>
      <c r="CK6" s="797"/>
      <c r="CL6" s="797"/>
      <c r="CM6" s="797"/>
      <c r="CN6" s="797"/>
      <c r="CO6" s="797"/>
      <c r="CP6" s="797"/>
      <c r="CQ6" s="797"/>
      <c r="CR6" s="797"/>
      <c r="CS6" s="797"/>
      <c r="CT6" s="797"/>
      <c r="CU6" s="797"/>
      <c r="CV6" s="797"/>
      <c r="CW6" s="797"/>
      <c r="CX6" s="797"/>
      <c r="CY6" s="797"/>
      <c r="CZ6" s="797"/>
      <c r="DA6" s="797"/>
      <c r="DB6" s="797"/>
      <c r="DC6" s="797"/>
      <c r="DD6" s="797"/>
      <c r="DE6" s="797"/>
      <c r="DF6" s="797"/>
      <c r="DG6" s="797"/>
      <c r="DH6" s="797"/>
      <c r="DI6" s="797"/>
      <c r="DJ6" s="797"/>
      <c r="DK6" s="797"/>
      <c r="DL6" s="797"/>
      <c r="DM6" s="797"/>
      <c r="DN6" s="797"/>
      <c r="DO6" s="797"/>
      <c r="DP6" s="797"/>
      <c r="DQ6" s="797"/>
      <c r="DR6" s="797"/>
      <c r="DS6" s="797"/>
      <c r="DT6" s="797"/>
      <c r="DU6" s="797"/>
      <c r="DV6" s="61"/>
      <c r="DW6" s="491"/>
      <c r="DX6" s="491"/>
      <c r="DY6" s="491"/>
      <c r="DZ6" s="491"/>
      <c r="EA6" s="491"/>
      <c r="EB6" s="491"/>
      <c r="EC6" s="491"/>
      <c r="ED6" s="491"/>
      <c r="EE6" s="491"/>
      <c r="EF6" s="491"/>
      <c r="EG6" s="491"/>
      <c r="EH6" s="491"/>
      <c r="EI6" s="491"/>
      <c r="EJ6" s="491"/>
      <c r="EK6" s="491"/>
      <c r="EL6" s="491"/>
      <c r="EM6" s="491"/>
      <c r="EN6" s="491"/>
      <c r="EO6" s="491"/>
      <c r="EP6" s="491"/>
      <c r="EQ6" s="491"/>
      <c r="ER6" s="491"/>
      <c r="ES6" s="491"/>
      <c r="ET6" s="491"/>
      <c r="EU6" s="491"/>
      <c r="EV6" s="491"/>
      <c r="EW6" s="491"/>
      <c r="EX6" s="491"/>
      <c r="EY6" s="491"/>
      <c r="EZ6" s="491"/>
      <c r="FA6" s="491"/>
      <c r="FB6" s="491"/>
      <c r="FC6" s="491"/>
      <c r="FD6" s="491"/>
      <c r="FE6" s="491"/>
      <c r="FF6" s="491"/>
      <c r="FG6" s="491"/>
      <c r="FH6" s="491"/>
      <c r="FI6" s="491"/>
      <c r="FJ6" s="491"/>
      <c r="FK6" s="491"/>
      <c r="FL6" s="491"/>
      <c r="FM6" s="491"/>
      <c r="FN6" s="491"/>
      <c r="FO6" s="491"/>
      <c r="FP6" s="491"/>
      <c r="FQ6" s="491"/>
      <c r="FR6" s="491"/>
      <c r="FS6" s="491"/>
      <c r="FT6" s="491"/>
      <c r="FU6" s="491"/>
      <c r="FV6" s="491"/>
      <c r="FW6" s="491"/>
      <c r="FX6" s="491"/>
      <c r="FY6" s="491"/>
      <c r="FZ6" s="491"/>
      <c r="GA6" s="491"/>
      <c r="GB6" s="491"/>
      <c r="GC6" s="491"/>
      <c r="GD6" s="491"/>
      <c r="GE6" s="491"/>
      <c r="GF6" s="491"/>
      <c r="GG6" s="491"/>
      <c r="GH6" s="491"/>
      <c r="GI6" s="491"/>
      <c r="GJ6" s="491"/>
      <c r="GK6" s="491"/>
      <c r="GL6" s="491"/>
      <c r="GM6" s="491"/>
    </row>
    <row r="7" spans="1:195" s="76" customFormat="1" ht="27" customHeight="1">
      <c r="A7" s="373"/>
      <c r="B7" s="373"/>
      <c r="C7" s="373"/>
      <c r="D7" s="798"/>
      <c r="E7" s="509"/>
      <c r="F7" s="509"/>
      <c r="G7" s="373"/>
      <c r="H7" s="382"/>
      <c r="I7" s="373"/>
      <c r="J7" s="373"/>
      <c r="K7" s="381"/>
      <c r="L7" s="376"/>
      <c r="M7" s="382"/>
      <c r="N7" s="375"/>
      <c r="O7" s="375"/>
      <c r="P7" s="376"/>
      <c r="Q7" s="382"/>
      <c r="R7" s="382"/>
      <c r="S7" s="382"/>
      <c r="T7" s="376"/>
      <c r="U7" s="382"/>
      <c r="V7" s="376"/>
      <c r="W7" s="376"/>
      <c r="X7" s="376"/>
      <c r="Y7" s="376"/>
      <c r="Z7" s="377"/>
      <c r="AA7" s="378"/>
      <c r="AB7" s="378"/>
      <c r="AC7" s="379"/>
      <c r="AD7" s="379"/>
      <c r="AE7" s="379"/>
      <c r="AF7" s="379"/>
      <c r="AG7" s="379"/>
      <c r="AH7" s="799"/>
      <c r="AI7" s="377"/>
      <c r="AJ7" s="375"/>
      <c r="AK7" s="377"/>
      <c r="AL7" s="377"/>
      <c r="AM7" s="377"/>
      <c r="AN7" s="383"/>
      <c r="AO7" s="382"/>
      <c r="AP7" s="381"/>
      <c r="AQ7" s="382"/>
      <c r="AR7" s="383"/>
      <c r="AS7" s="376"/>
      <c r="AT7" s="383"/>
      <c r="AU7" s="383"/>
      <c r="AV7" s="736"/>
      <c r="AW7" s="736"/>
      <c r="AX7" s="729"/>
      <c r="AY7" s="737"/>
      <c r="AZ7" s="737"/>
      <c r="BA7" s="738"/>
      <c r="BB7" s="740"/>
      <c r="BC7" s="740"/>
      <c r="BD7" s="61"/>
      <c r="BE7" s="797"/>
      <c r="BF7" s="797"/>
      <c r="BG7" s="797"/>
      <c r="BH7" s="797"/>
      <c r="BI7" s="797"/>
      <c r="BJ7" s="797"/>
      <c r="BK7" s="797"/>
      <c r="BL7" s="797"/>
      <c r="BM7" s="797"/>
      <c r="BN7" s="797"/>
      <c r="BO7" s="797"/>
      <c r="BP7" s="797"/>
      <c r="BQ7" s="797"/>
      <c r="BR7" s="797"/>
      <c r="BS7" s="797"/>
      <c r="BT7" s="797"/>
      <c r="BU7" s="797"/>
      <c r="BV7" s="797"/>
      <c r="BW7" s="797"/>
      <c r="BX7" s="797"/>
      <c r="BY7" s="797"/>
      <c r="BZ7" s="797"/>
      <c r="CA7" s="797"/>
      <c r="CB7" s="797"/>
      <c r="CC7" s="797"/>
      <c r="CD7" s="797"/>
      <c r="CE7" s="797"/>
      <c r="CF7" s="797"/>
      <c r="CG7" s="797"/>
      <c r="CH7" s="797"/>
      <c r="CI7" s="797"/>
      <c r="CJ7" s="797"/>
      <c r="CK7" s="797"/>
      <c r="CL7" s="797"/>
      <c r="CM7" s="797"/>
      <c r="CN7" s="797"/>
      <c r="CO7" s="797"/>
      <c r="CP7" s="797"/>
      <c r="CQ7" s="797"/>
      <c r="CR7" s="797"/>
      <c r="CS7" s="797"/>
      <c r="CT7" s="797"/>
      <c r="CU7" s="797"/>
      <c r="CV7" s="797"/>
      <c r="CW7" s="797"/>
      <c r="CX7" s="797"/>
      <c r="CY7" s="797"/>
      <c r="CZ7" s="797"/>
      <c r="DA7" s="797"/>
      <c r="DB7" s="797"/>
      <c r="DC7" s="797"/>
      <c r="DD7" s="797"/>
      <c r="DE7" s="797"/>
      <c r="DF7" s="797"/>
      <c r="DG7" s="797"/>
      <c r="DH7" s="797"/>
      <c r="DI7" s="797"/>
      <c r="DJ7" s="797"/>
      <c r="DK7" s="797"/>
      <c r="DL7" s="797"/>
      <c r="DM7" s="797"/>
      <c r="DN7" s="797"/>
      <c r="DO7" s="797"/>
      <c r="DP7" s="797"/>
      <c r="DQ7" s="797"/>
      <c r="DR7" s="797"/>
      <c r="DS7" s="797"/>
      <c r="DT7" s="797"/>
      <c r="DU7" s="797"/>
      <c r="DV7" s="61"/>
      <c r="DW7" s="491"/>
      <c r="DX7" s="491"/>
      <c r="DY7" s="491"/>
      <c r="DZ7" s="491"/>
      <c r="EA7" s="491"/>
      <c r="EB7" s="491"/>
      <c r="EC7" s="491"/>
      <c r="ED7" s="491"/>
      <c r="EE7" s="491"/>
      <c r="EF7" s="491"/>
      <c r="EG7" s="491"/>
      <c r="EH7" s="491"/>
      <c r="EI7" s="491"/>
      <c r="EJ7" s="491"/>
      <c r="EK7" s="491"/>
      <c r="EL7" s="491"/>
      <c r="EM7" s="491"/>
      <c r="EN7" s="491"/>
      <c r="EO7" s="491"/>
      <c r="EP7" s="491"/>
      <c r="EQ7" s="491"/>
      <c r="ER7" s="491"/>
      <c r="ES7" s="491"/>
      <c r="ET7" s="491"/>
      <c r="EU7" s="491"/>
      <c r="EV7" s="491"/>
      <c r="EW7" s="491"/>
      <c r="EX7" s="491"/>
      <c r="EY7" s="491"/>
      <c r="EZ7" s="491"/>
      <c r="FA7" s="491"/>
      <c r="FB7" s="491"/>
      <c r="FC7" s="491"/>
      <c r="FD7" s="491"/>
      <c r="FE7" s="491"/>
      <c r="FF7" s="491"/>
      <c r="FG7" s="491"/>
      <c r="FH7" s="491"/>
      <c r="FI7" s="491"/>
      <c r="FJ7" s="491"/>
      <c r="FK7" s="491"/>
      <c r="FL7" s="491"/>
      <c r="FM7" s="491"/>
      <c r="FN7" s="491"/>
      <c r="FO7" s="491"/>
      <c r="FP7" s="491"/>
      <c r="FQ7" s="491"/>
      <c r="FR7" s="491"/>
      <c r="FS7" s="491"/>
      <c r="FT7" s="491"/>
      <c r="FU7" s="491"/>
      <c r="FV7" s="491"/>
      <c r="FW7" s="491"/>
      <c r="FX7" s="491"/>
      <c r="FY7" s="491"/>
      <c r="FZ7" s="491"/>
      <c r="GA7" s="491"/>
      <c r="GB7" s="491"/>
      <c r="GC7" s="491"/>
      <c r="GD7" s="491"/>
      <c r="GE7" s="491"/>
      <c r="GF7" s="491"/>
      <c r="GG7" s="491"/>
      <c r="GH7" s="491"/>
      <c r="GI7" s="491"/>
      <c r="GJ7" s="491"/>
      <c r="GK7" s="491"/>
      <c r="GL7" s="491"/>
      <c r="GM7" s="491"/>
    </row>
    <row r="8" spans="1:195" s="83" customFormat="1" ht="29.25" hidden="1" customHeight="1">
      <c r="A8" s="357" t="s">
        <v>334</v>
      </c>
      <c r="B8" s="357" t="s">
        <v>1431</v>
      </c>
      <c r="C8" s="395" t="str">
        <f>$D$6</f>
        <v>PMCC-3</v>
      </c>
      <c r="D8" s="395" t="s">
        <v>1432</v>
      </c>
      <c r="E8" s="493" t="s">
        <v>355</v>
      </c>
      <c r="F8" s="493"/>
      <c r="G8" s="357" t="s">
        <v>350</v>
      </c>
      <c r="H8" s="352">
        <v>20</v>
      </c>
      <c r="I8" s="357" t="s">
        <v>330</v>
      </c>
      <c r="J8" s="357" t="s">
        <v>331</v>
      </c>
      <c r="K8" s="353">
        <v>400</v>
      </c>
      <c r="L8" s="360">
        <v>0.82</v>
      </c>
      <c r="M8" s="352">
        <v>0.93299999999999994</v>
      </c>
      <c r="N8" s="359">
        <f t="shared" ref="N8:N27" si="0">IF(I8="kVA",IF(J8="3Ph",(H8*1000/(1.732*M8*K8)),(H8*1000/(M8*K8))),IF(I8="kW",IF(J8="3Ph",(H8*1000/(1.732*M8*K8*L8)),(H8*1000/(M8*K8*L8)))))</f>
        <v>37.733459175929028</v>
      </c>
      <c r="O8" s="359">
        <f t="shared" ref="O8:O25" si="1">IF(G8="MOTOR",(6*N8),IF(G8="VFD",(1*N8),0))</f>
        <v>226.40075505557417</v>
      </c>
      <c r="P8" s="360">
        <f t="shared" ref="P8:P25" si="2">IF(G8="MOTOR",0.2,"0.00")</f>
        <v>0.2</v>
      </c>
      <c r="Q8" s="352">
        <v>65</v>
      </c>
      <c r="R8" s="352">
        <v>0</v>
      </c>
      <c r="S8" s="352">
        <f t="shared" ref="S8:S25" si="3">(Q8*1000*SQRT(R8)/143)</f>
        <v>0</v>
      </c>
      <c r="T8" s="360" t="s">
        <v>131</v>
      </c>
      <c r="U8" s="352" t="s">
        <v>333</v>
      </c>
      <c r="V8" s="360">
        <v>35</v>
      </c>
      <c r="W8" s="360" t="str">
        <f t="shared" ref="W8:W11" si="4">CONCATENATE(U8," X ",V8)</f>
        <v>3C X 35</v>
      </c>
      <c r="X8" s="360" t="str">
        <f>(IF(J8="1Ph",W8,IF(J8="3Ph",(IF(G8="MOTOR",(CONCATENATE(W8,"+PE")),W8)))))</f>
        <v>3C X 35+PE</v>
      </c>
      <c r="Y8" s="360" t="s">
        <v>358</v>
      </c>
      <c r="Z8" s="361">
        <f>IF(T8="AIR",VLOOKUP(W8,'Catalogue Aluminium'!$B$9:$G$93,2,FALSE),IF(T8="GROUND",VLOOKUP(W8,'Catalogue Aluminium'!$B$9:$G$93,3,FALSE),IF(T8="DUCT",VLOOKUP(W8,'Catalogue Aluminium'!$B$9:$G$93,4,FALSE),IF(T8="TRENCH",VLOOKUP(W8,'Catalogue Aluminium'!$B$9:$G$93,2,FALSE)))))</f>
        <v>117</v>
      </c>
      <c r="AA8" s="362">
        <f>VLOOKUP(W8,'Catalogue Aluminium'!$B$9:$G$93,5,FALSE)</f>
        <v>1.1100000000000001</v>
      </c>
      <c r="AB8" s="362">
        <f>VLOOKUP(W8,'Catalogue Aluminium'!$B$9:$G$93,6,FALSE)</f>
        <v>7.9399999999999998E-2</v>
      </c>
      <c r="AC8" s="360">
        <f>16+2</f>
        <v>18</v>
      </c>
      <c r="AD8" s="456">
        <f>6+4+58</f>
        <v>68</v>
      </c>
      <c r="AE8" s="456">
        <f>5+5</f>
        <v>10</v>
      </c>
      <c r="AF8" s="456">
        <f>5+5</f>
        <v>10</v>
      </c>
      <c r="AG8" s="360">
        <f>ROUNDUP((SUM(AC8:AF8)*0.1),0)</f>
        <v>11</v>
      </c>
      <c r="AH8" s="800">
        <f>SUM(AC8:AG8)</f>
        <v>117</v>
      </c>
      <c r="AI8" s="361">
        <f>IF(T8="AIR",'Catalogue Aluminium'!$K$9,IF(T8="TRENCH",'Catalogue Aluminium'!$K$12,"NA"))</f>
        <v>0.89</v>
      </c>
      <c r="AJ8" s="359">
        <f>IF(T8="Air",(IF(U8="1C",'Catalogue Aluminium'!$L$9,'Catalogue Aluminium'!$M$9)),IF(T8="DUCT",(IF($U8="1C",'Catalogue Aluminium'!$L$10,'Catalogue Aluminium'!$M$10)),IF(T8="GROUND",(IF($U8="1C",'Catalogue Aluminium'!$L$11,'Catalogue Aluminium'!$M$11)),IF(T8="TRENCH",(IF($U8="1C",'Catalogue Aluminium'!$L$12,'Catalogue Aluminium'!$M$12))))))</f>
        <v>0.66</v>
      </c>
      <c r="AK8" s="361" t="str">
        <f>IF(T8="Air",'Catalogue Aluminium'!$N$9,IF(T8="GROUND",'Catalogue Aluminium'!$N$10,IF(T8="DUCT",'Catalogue Aluminium'!$N$11,IF(T8="TRENCH",'Catalogue Aluminium'!$N$12,"NA"))))</f>
        <v>NA</v>
      </c>
      <c r="AL8" s="361" t="str">
        <f>IF(T8="Air",(IF(U8="1C",'Catalogue Aluminium'!$O$9,'Catalogue Aluminium'!$P$9)),IF(T8="DUCT",(IF($U8="1C",'Catalogue Aluminium'!$O$10,'Catalogue Aluminium'!$P$10)),IF(T8="GROUND",(IF($U8="1C",'Catalogue Aluminium'!$O$11,'Catalogue Aluminium'!$P$11)),IF(T8="TRENCH",(IF($U8="1C",'Catalogue Aluminium'!$O$12,'Catalogue Aluminium'!$P$12))))))</f>
        <v>NA</v>
      </c>
      <c r="AM8" s="361" t="str">
        <f>IF(T8="AIR","NA",IF(T8="TRENCH","NA",IF(T8="DUCT",IF(U8="1C",VLOOKUP(V8,'Catalogue Aluminium'!$Q$9:$S$28,2,FALSE),VLOOKUP(V8,'Catalogue Aluminium'!$Q$9:$S$28,3)),IF(T8="GROUND",IF(U8="1C",VLOOKUP(V8,'Catalogue Aluminium'!$Q$9:$S$28,2,FALSE),VLOOKUP(V8,'Catalogue Aluminium'!$Q$9:$S$28,3))))))</f>
        <v>NA</v>
      </c>
      <c r="AN8" s="365">
        <f t="shared" ref="AN8:AN25" si="5">IF(T8="AIR",AI8*AJ8,IF(T8="TRENCH",AI8*AJ8,IF(T8="DUCT",AJ8*AK8*AL8*AM8,IF(T8="GROUND",AJ8*AK8*AL8*AM8))))</f>
        <v>0.58740000000000003</v>
      </c>
      <c r="AO8" s="352">
        <f t="shared" ref="AO8:AO25" si="6">Z8*AN8</f>
        <v>68.725800000000007</v>
      </c>
      <c r="AP8" s="353">
        <f t="shared" ref="AP8:AP25" si="7">CEILING(((N8)/AO8),1)</f>
        <v>1</v>
      </c>
      <c r="AQ8" s="428" t="str">
        <f t="shared" ref="AQ8:AQ25" si="8">IF(AO8*AP8&gt;=N8,"YES","NO")</f>
        <v>YES</v>
      </c>
      <c r="AR8" s="365">
        <f t="shared" ref="AR8:AR25" si="9">SQRT(3)*AH8*N8*((AA8*L8)+(AB8*SIN(ACOS(L8))))*100/(AP8*K8*1000)</f>
        <v>1.8268799596800969</v>
      </c>
      <c r="AS8" s="360" t="str">
        <f>IF(G8="INCOMER",(IF(AR8&lt;=2,"YES","NO")),IF(G8="POWER",(IF(AR8&lt;=2.5,"YES","NO")),IF(G8="MOTOR",(IF(AR8&lt;=3,"YES","NO")))))</f>
        <v>YES</v>
      </c>
      <c r="AT8" s="365">
        <f>IF(G8="MOTOR",(SQRT(3)*AH8*O8*((AA8*L8)+(AB8*SIN(ACOS(L8))))*100/(AP8*K8*1000)),"NA")</f>
        <v>10.961279758080583</v>
      </c>
      <c r="AU8" s="360" t="str">
        <f t="shared" ref="AU8:AU16" si="10">IF(G8="MOTOR",IF(AT8&lt;=15,"YES","NO"),"NA")</f>
        <v>YES</v>
      </c>
      <c r="AV8" s="366" t="str">
        <f t="shared" ref="AV8:AV16" si="11">IF(U8="1C",CONCATENATE(AP8,"R x ",Y8,"kV x ",U8," x ",V8," Sqmm/Phase"),CONCATENATE(AP8,"R x ",0.6,"/1kV x ",U8," x ",V8," Sqmm"))</f>
        <v>1R x 0.6/1kV x 3C x 35 Sqmm</v>
      </c>
      <c r="AW8" s="354" t="str">
        <f>IF(U8="1C",CONCATENATE(AP8,"R x ",Y8,"kV x ",U8," x ",V8," Sqmm/Phase"),CONCATENATE(AP8,"R x ",0.6,"/1kV x ",U8," x ",V8,(IF(G8="MOTOR","+PE",""))," Sqmm"))</f>
        <v>1R x 0.6/1kV x 3C x 35+PE Sqmm</v>
      </c>
      <c r="AX8" s="360"/>
      <c r="AY8" s="367"/>
      <c r="AZ8" s="367"/>
      <c r="BA8" s="801" t="str">
        <f t="shared" ref="BA8" si="12">CONCATENATE(IF(BE8=1,BE$4,""),IF(BF8=1,BF$4,""),IF(BG8=1,BG$4,""),IF(BH8=1,BH$4,""),IF(BI8=1,BI$4,""),IF(BJ8=1,BJ$4,""),IF(BK8=1,BK$4,""),IF(BL8=1,BL$4,""),IF(BM8=1,BM$4,""),IF(BN8=1,BN$4,""),IF(BO8=1,BO$4,""),IF(BP8=1,BP$4,""),IF(BQ8=1,BQ$4,""),IF(BR8=1,BR$4,""),IF(BS8=1,BS$4,""),IF(BT8=1,BT$4,""),IF(BU8=1,BU$4,""),IF(BV8=1,BV$4,""),IF(BW8=1,BW$4,""),IF(BX8=1,BX$4,""),IF(BY8=1,BY$4,""),IF(BZ8=1,BZ$4,""),IF(CA8=1,CA$4,""),IF(CC8=1,CC$4,""),IF(CD8=1,CD$4,""),IF(CE8=1,CE$4,""),IF(CF8=1,CF$4,""),IF(CG8=1,CG$4,""),IF(CH8=1,CH$4,""),IF(CI8=1,CI$4,""),IF(CJ8=1,CJ$4,""),IF(CK8=1,CK$4,""),IF(CL8=1,CL$4,""),IF(CM8=1,CM$4,""),IF(CN8=1,CN$4,""),IF(CO8=1,CO$4,""),IF(CP8=1,CP$4,""),IF(CQ8=1,CQ$4,""),IF(CR8=1,CR$4,""),IF(CS8=1,CS$4,""),IF(CT8=1,CT$4,""),IF(CU8=1,CU$4,""),IF(CV8=1,CV$4,""),IF(CW8=1,CW$4,""),IF(CX8=1,CX$4,""),IF(CY8=1,CY$4,""),IF(CZ8=1,CZ$4,""),IF(DA8=1,DA$4,""),IF(DB8=1,DB$4,""),IF(DC8=1,DC$4,""),IF(DD8=1,DD$4,""),IF(DE8=1,DE$4,""),IF(DF8=1,DF$4,""),IF(DG8=1,DG$4,""),IF(DH8=1,DH$4,""),IF(DI8=1,DI$4,""),IF(DJ8=1,DJ$4,""),IF(DK8=1,DK$4,""),IF(DL8=1,DL$4,""),IF(DM8=1,DM$4,""),IF(DN8=1,DN$4,""),IF(DO8=1,DO$4,""),IF(DP8=1,DP$4,""),IF(DQ8=1,DQ$4,""),IF(DR8=1,DR$4,""),IF(DS8=1,DS$4,""),IF(DT8=1,DT$4,""),IF(DU8=1,DU$4,""))</f>
        <v/>
      </c>
      <c r="BB8" s="426"/>
      <c r="BC8" s="426"/>
      <c r="BE8" s="368"/>
      <c r="BF8" s="368"/>
      <c r="BG8" s="368"/>
      <c r="BH8" s="368"/>
      <c r="BI8" s="368"/>
      <c r="BJ8" s="368"/>
      <c r="BK8" s="368"/>
      <c r="BL8" s="368"/>
      <c r="BM8" s="368"/>
      <c r="BN8" s="368"/>
      <c r="BO8" s="368"/>
      <c r="BP8" s="368"/>
      <c r="BQ8" s="368"/>
      <c r="BR8" s="368"/>
      <c r="BS8" s="368"/>
      <c r="BT8" s="368"/>
      <c r="BU8" s="368"/>
      <c r="BV8" s="368"/>
      <c r="BW8" s="368"/>
      <c r="BX8" s="368"/>
      <c r="BY8" s="368"/>
      <c r="BZ8" s="368"/>
      <c r="CA8" s="368"/>
      <c r="CB8" s="368"/>
      <c r="CC8" s="368"/>
      <c r="CD8" s="368"/>
      <c r="CE8" s="368"/>
      <c r="CF8" s="368"/>
      <c r="CG8" s="368"/>
      <c r="CH8" s="368"/>
      <c r="CI8" s="368"/>
      <c r="CJ8" s="368"/>
      <c r="CK8" s="368"/>
      <c r="CL8" s="368"/>
      <c r="CM8" s="368"/>
      <c r="CN8" s="368"/>
      <c r="CO8" s="368"/>
      <c r="CP8" s="368"/>
      <c r="CQ8" s="368"/>
      <c r="CR8" s="368"/>
      <c r="CS8" s="368"/>
      <c r="CT8" s="368"/>
      <c r="CU8" s="368"/>
      <c r="CV8" s="368"/>
      <c r="CW8" s="368"/>
      <c r="CX8" s="368"/>
      <c r="CY8" s="368"/>
      <c r="CZ8" s="368"/>
      <c r="DA8" s="368"/>
      <c r="DB8" s="368"/>
      <c r="DC8" s="368"/>
      <c r="DD8" s="368"/>
      <c r="DE8" s="368"/>
      <c r="DF8" s="368"/>
      <c r="DG8" s="368"/>
      <c r="DH8" s="368"/>
      <c r="DI8" s="368"/>
      <c r="DJ8" s="368"/>
      <c r="DK8" s="368"/>
      <c r="DL8" s="368"/>
      <c r="DM8" s="368"/>
      <c r="DN8" s="368"/>
      <c r="DO8" s="368"/>
      <c r="DP8" s="368"/>
      <c r="DQ8" s="368"/>
      <c r="DR8" s="368"/>
      <c r="DS8" s="368"/>
      <c r="DT8" s="368"/>
      <c r="DU8" s="368"/>
      <c r="DW8" s="336">
        <f t="shared" ref="DW8" si="13">IF(BE8=1,($BC8*BE8),0)</f>
        <v>0</v>
      </c>
      <c r="DX8" s="336">
        <f t="shared" ref="DX8:DX63" si="14">IF(BF8=1,($BC8*BF8),0)</f>
        <v>0</v>
      </c>
      <c r="DY8" s="336">
        <f t="shared" ref="DY8:DY63" si="15">IF(BG8=1,($BC8*BG8),0)</f>
        <v>0</v>
      </c>
      <c r="DZ8" s="336">
        <f t="shared" ref="DZ8:DZ63" si="16">IF(BH8=1,($BC8*BH8),0)</f>
        <v>0</v>
      </c>
      <c r="EA8" s="336">
        <f t="shared" ref="EA8:EA63" si="17">IF(BI8=1,($BC8*BI8),0)</f>
        <v>0</v>
      </c>
      <c r="EB8" s="336">
        <f t="shared" ref="EB8:EB63" si="18">IF(BJ8=1,($BC8*BJ8),0)</f>
        <v>0</v>
      </c>
      <c r="EC8" s="336">
        <f t="shared" ref="EC8:EC63" si="19">IF(BK8=1,($BC8*BK8),0)</f>
        <v>0</v>
      </c>
      <c r="ED8" s="336">
        <f t="shared" ref="ED8:ED63" si="20">IF(BL8=1,($BC8*BL8),0)</f>
        <v>0</v>
      </c>
      <c r="EE8" s="336">
        <f t="shared" ref="EE8:EE63" si="21">IF(BM8=1,($BC8*BM8),0)</f>
        <v>0</v>
      </c>
      <c r="EF8" s="336">
        <f t="shared" ref="EF8:EF63" si="22">IF(BN8=1,($BC8*BN8),0)</f>
        <v>0</v>
      </c>
      <c r="EG8" s="336">
        <f t="shared" ref="EG8:EG63" si="23">IF(BO8=1,($BC8*BO8),0)</f>
        <v>0</v>
      </c>
      <c r="EH8" s="336">
        <f t="shared" ref="EH8:EH63" si="24">IF(BP8=1,($BC8*BP8),0)</f>
        <v>0</v>
      </c>
      <c r="EI8" s="336">
        <f t="shared" ref="EI8:EI63" si="25">IF(BQ8=1,($BC8*BQ8),0)</f>
        <v>0</v>
      </c>
      <c r="EJ8" s="336">
        <f t="shared" ref="EJ8:EJ63" si="26">IF(BR8=1,($BC8*BR8),0)</f>
        <v>0</v>
      </c>
      <c r="EK8" s="336">
        <f t="shared" ref="EK8:EK63" si="27">IF(BS8=1,($BC8*BS8),0)</f>
        <v>0</v>
      </c>
      <c r="EL8" s="336">
        <f t="shared" ref="EL8:EL63" si="28">IF(BT8=1,($BC8*BT8),0)</f>
        <v>0</v>
      </c>
      <c r="EM8" s="336">
        <f t="shared" ref="EM8:EM63" si="29">IF(BU8=1,($BC8*BU8),0)</f>
        <v>0</v>
      </c>
      <c r="EN8" s="336">
        <f t="shared" ref="EN8:EN63" si="30">IF(BV8=1,($BC8*BV8),0)</f>
        <v>0</v>
      </c>
      <c r="EO8" s="336">
        <f t="shared" ref="EO8:EO63" si="31">IF(BW8=1,($BC8*BW8),0)</f>
        <v>0</v>
      </c>
      <c r="EP8" s="336">
        <f t="shared" ref="EP8:EP63" si="32">IF(BX8=1,($BC8*BX8),0)</f>
        <v>0</v>
      </c>
      <c r="EQ8" s="336">
        <f t="shared" ref="EQ8:EQ63" si="33">IF(BY8=1,($BC8*BY8),0)</f>
        <v>0</v>
      </c>
      <c r="ER8" s="336">
        <f t="shared" ref="ER8:ER63" si="34">IF(BZ8=1,($BC8*BZ8),0)</f>
        <v>0</v>
      </c>
      <c r="ES8" s="336">
        <f t="shared" ref="ES8:ET63" si="35">IF(CA8=1,($BC8*CA8),0)</f>
        <v>0</v>
      </c>
      <c r="ET8" s="336">
        <f t="shared" si="35"/>
        <v>0</v>
      </c>
      <c r="EU8" s="336">
        <f t="shared" ref="EU8:EU63" si="36">IF(CC8=1,($BC8*CC8),0)</f>
        <v>0</v>
      </c>
      <c r="EV8" s="336">
        <f t="shared" ref="EV8:EV63" si="37">IF(CD8=1,($BC8*CD8),0)</f>
        <v>0</v>
      </c>
      <c r="EW8" s="336">
        <f t="shared" ref="EW8:EW63" si="38">IF(CE8=1,($BC8*CE8),0)</f>
        <v>0</v>
      </c>
      <c r="EX8" s="336">
        <f t="shared" ref="EX8:EX63" si="39">IF(CF8=1,($BC8*CF8),0)</f>
        <v>0</v>
      </c>
      <c r="EY8" s="336">
        <f t="shared" ref="EY8:EY63" si="40">IF(CG8=1,($BC8*CG8),0)</f>
        <v>0</v>
      </c>
      <c r="EZ8" s="336">
        <f t="shared" ref="EZ8:EZ63" si="41">IF(CH8=1,($BC8*CH8),0)</f>
        <v>0</v>
      </c>
      <c r="FA8" s="336">
        <f t="shared" ref="FA8:FA63" si="42">IF(CI8=1,($BC8*CI8),0)</f>
        <v>0</v>
      </c>
      <c r="FB8" s="336">
        <f t="shared" ref="FB8:FB63" si="43">IF(CJ8=1,($BC8*CJ8),0)</f>
        <v>0</v>
      </c>
      <c r="FC8" s="336">
        <f t="shared" ref="FC8:FC63" si="44">IF(CK8=1,($BC8*CK8),0)</f>
        <v>0</v>
      </c>
      <c r="FD8" s="336">
        <f t="shared" ref="FD8:FD63" si="45">IF(CL8=1,($BC8*CL8),0)</f>
        <v>0</v>
      </c>
      <c r="FE8" s="336">
        <f t="shared" ref="FE8:FE63" si="46">IF(CM8=1,($BC8*CM8),0)</f>
        <v>0</v>
      </c>
      <c r="FF8" s="336">
        <f t="shared" ref="FF8:FF63" si="47">IF(CN8=1,($BC8*CN8),0)</f>
        <v>0</v>
      </c>
      <c r="FG8" s="336">
        <f t="shared" ref="FG8:FG63" si="48">IF(CO8=1,($BC8*CO8),0)</f>
        <v>0</v>
      </c>
      <c r="FH8" s="336">
        <f t="shared" ref="FH8:FH63" si="49">IF(CP8=1,($BC8*CP8),0)</f>
        <v>0</v>
      </c>
      <c r="FI8" s="336">
        <f t="shared" ref="FI8:FI63" si="50">IF(CQ8=1,($BC8*CQ8),0)</f>
        <v>0</v>
      </c>
      <c r="FJ8" s="336">
        <f t="shared" ref="FJ8:FJ63" si="51">IF(CR8=1,($BC8*CR8),0)</f>
        <v>0</v>
      </c>
      <c r="FK8" s="336">
        <f t="shared" ref="FK8:FK63" si="52">IF(CS8=1,($BC8*CS8),0)</f>
        <v>0</v>
      </c>
      <c r="FL8" s="336">
        <f t="shared" ref="FL8:FL63" si="53">IF(CT8=1,($BC8*CT8),0)</f>
        <v>0</v>
      </c>
      <c r="FM8" s="336">
        <f t="shared" ref="FM8:FM63" si="54">IF(CU8=1,($BC8*CU8),0)</f>
        <v>0</v>
      </c>
      <c r="FN8" s="336">
        <f t="shared" ref="FN8:FN63" si="55">IF(CV8=1,($BC8*CV8),0)</f>
        <v>0</v>
      </c>
      <c r="FO8" s="336">
        <f t="shared" ref="FO8:FO63" si="56">IF(CW8=1,($BC8*CW8),0)</f>
        <v>0</v>
      </c>
      <c r="FP8" s="336">
        <f t="shared" ref="FP8:FP63" si="57">IF(CX8=1,($BC8*CX8),0)</f>
        <v>0</v>
      </c>
      <c r="FQ8" s="336">
        <f t="shared" ref="FQ8:FQ63" si="58">IF(CY8=1,($BC8*CY8),0)</f>
        <v>0</v>
      </c>
      <c r="FR8" s="336">
        <f t="shared" ref="FR8:FR63" si="59">IF(CZ8=1,($BC8*CZ8),0)</f>
        <v>0</v>
      </c>
      <c r="FS8" s="336">
        <f t="shared" ref="FS8:FS63" si="60">IF(DA8=1,($BC8*DA8),0)</f>
        <v>0</v>
      </c>
      <c r="FT8" s="336">
        <f t="shared" ref="FT8:FT63" si="61">IF(DB8=1,($BC8*DB8),0)</f>
        <v>0</v>
      </c>
      <c r="FU8" s="336">
        <f t="shared" ref="FU8:FU73" si="62">IF(DC8=1,($BC8*DC8),0)</f>
        <v>0</v>
      </c>
      <c r="FV8" s="336">
        <f t="shared" ref="FV8:FV73" si="63">IF(DD8=1,($BC8*DD8),0)</f>
        <v>0</v>
      </c>
      <c r="FW8" s="336">
        <f t="shared" ref="FW8:FW73" si="64">IF(DE8=1,($BC8*DE8),0)</f>
        <v>0</v>
      </c>
      <c r="FX8" s="336">
        <f t="shared" ref="FX8:FX73" si="65">IF(DF8=1,($BC8*DF8),0)</f>
        <v>0</v>
      </c>
      <c r="FY8" s="336">
        <f t="shared" ref="FY8:FY73" si="66">IF(DG8=1,($BC8*DG8),0)</f>
        <v>0</v>
      </c>
      <c r="FZ8" s="336">
        <f t="shared" ref="FZ8:FZ73" si="67">IF(DH8=1,($BC8*DH8),0)</f>
        <v>0</v>
      </c>
      <c r="GA8" s="336">
        <f t="shared" ref="GA8:GA73" si="68">IF(DI8=1,($BC8*DI8),0)</f>
        <v>0</v>
      </c>
      <c r="GB8" s="336">
        <f t="shared" ref="GB8:GB73" si="69">IF(DJ8=1,($BC8*DJ8),0)</f>
        <v>0</v>
      </c>
      <c r="GC8" s="336">
        <f t="shared" ref="GC8:GC73" si="70">IF(DK8=1,($BC8*DK8),0)</f>
        <v>0</v>
      </c>
      <c r="GD8" s="336">
        <f t="shared" ref="GD8:GD73" si="71">IF(DL8=1,($BC8*DL8),0)</f>
        <v>0</v>
      </c>
      <c r="GE8" s="336">
        <f t="shared" ref="GE8:GE73" si="72">IF(DM8=1,($BC8*DM8),0)</f>
        <v>0</v>
      </c>
      <c r="GF8" s="336">
        <f t="shared" ref="GF8:GF73" si="73">IF(DN8=1,($BC8*DN8),0)</f>
        <v>0</v>
      </c>
      <c r="GG8" s="336">
        <f t="shared" ref="GG8:GG73" si="74">IF(DO8=1,($BC8*DO8),0)</f>
        <v>0</v>
      </c>
      <c r="GH8" s="336">
        <f t="shared" ref="GH8:GH73" si="75">IF(DP8=1,($BC8*DP8),0)</f>
        <v>0</v>
      </c>
      <c r="GI8" s="336">
        <f t="shared" ref="GI8:GI73" si="76">IF(DQ8=1,($BC8*DQ8),0)</f>
        <v>0</v>
      </c>
      <c r="GJ8" s="336">
        <f t="shared" ref="GJ8:GJ73" si="77">IF(DR8=1,($BC8*DR8),0)</f>
        <v>0</v>
      </c>
      <c r="GK8" s="336">
        <f t="shared" ref="GK8:GK73" si="78">IF(DS8=1,($BC8*DS8),0)</f>
        <v>0</v>
      </c>
      <c r="GL8" s="336">
        <f t="shared" ref="GL8:GL73" si="79">IF(DT8=1,($BC8*DT8),0)</f>
        <v>0</v>
      </c>
      <c r="GM8" s="336">
        <f t="shared" ref="GM8:GM73" si="80">IF(DU8=1,($BC8*DU8),0)</f>
        <v>0</v>
      </c>
    </row>
    <row r="9" spans="1:195" ht="32.25" customHeight="1">
      <c r="A9" s="337">
        <v>1</v>
      </c>
      <c r="B9" s="337" t="s">
        <v>1433</v>
      </c>
      <c r="C9" s="372" t="str">
        <f t="shared" ref="C9:C11" si="81">$D$6</f>
        <v>PMCC-3</v>
      </c>
      <c r="D9" s="338" t="s">
        <v>1434</v>
      </c>
      <c r="E9" s="500" t="s">
        <v>355</v>
      </c>
      <c r="F9" s="500"/>
      <c r="G9" s="337" t="s">
        <v>329</v>
      </c>
      <c r="H9" s="418">
        <v>2</v>
      </c>
      <c r="I9" s="337" t="s">
        <v>330</v>
      </c>
      <c r="J9" s="337" t="s">
        <v>331</v>
      </c>
      <c r="K9" s="349">
        <v>400</v>
      </c>
      <c r="L9" s="343">
        <v>0.8</v>
      </c>
      <c r="M9" s="350">
        <v>0.86699999999999999</v>
      </c>
      <c r="N9" s="342">
        <f t="shared" si="0"/>
        <v>4.1621049995871191</v>
      </c>
      <c r="O9" s="342">
        <f t="shared" si="1"/>
        <v>0</v>
      </c>
      <c r="P9" s="343" t="str">
        <f t="shared" si="2"/>
        <v>0.00</v>
      </c>
      <c r="Q9" s="350">
        <v>65</v>
      </c>
      <c r="R9" s="350">
        <v>0</v>
      </c>
      <c r="S9" s="350">
        <f t="shared" si="3"/>
        <v>0</v>
      </c>
      <c r="T9" s="343" t="s">
        <v>131</v>
      </c>
      <c r="U9" s="350" t="s">
        <v>522</v>
      </c>
      <c r="V9" s="343">
        <v>4</v>
      </c>
      <c r="W9" s="343" t="str">
        <f t="shared" si="4"/>
        <v>4C X 4</v>
      </c>
      <c r="X9" s="343" t="str">
        <f>(IF(J9="1Ph",W9,IF(J9="3Ph",(IF(G9="MOTOR",(CONCATENATE(W9,"+PE")),W9)))))</f>
        <v>4C X 4</v>
      </c>
      <c r="Y9" s="343" t="s">
        <v>358</v>
      </c>
      <c r="Z9" s="344">
        <f>IF(T9="AIR",VLOOKUP(W9,'Catalogue Aluminium'!$B$9:$G$93,2,FALSE),IF(T9="GROUND",VLOOKUP(W9,'Catalogue Aluminium'!$B$9:$G$93,3,FALSE),IF(T9="DUCT",VLOOKUP(W9,'Catalogue Aluminium'!$B$9:$G$93,4,FALSE),IF(T9="TRENCH",VLOOKUP(W9,'Catalogue Aluminium'!$B$9:$G$93,2,FALSE)))))</f>
        <v>38</v>
      </c>
      <c r="AA9" s="345">
        <f>VLOOKUP(W9,'Catalogue Aluminium'!$B$9:$G$93,5,FALSE)</f>
        <v>5.9</v>
      </c>
      <c r="AB9" s="345">
        <f>VLOOKUP(W9,'Catalogue Aluminium'!$B$9:$G$93,6,FALSE)</f>
        <v>9.4700000000000006E-2</v>
      </c>
      <c r="AC9" s="343">
        <f t="shared" ref="AC9:AC19" si="82">16+2</f>
        <v>18</v>
      </c>
      <c r="AD9" s="343">
        <f>6+34+14+3+26</f>
        <v>83</v>
      </c>
      <c r="AE9" s="343">
        <f t="shared" ref="AE9:AF19" si="83">5+5</f>
        <v>10</v>
      </c>
      <c r="AF9" s="343">
        <f t="shared" si="83"/>
        <v>10</v>
      </c>
      <c r="AG9" s="343">
        <f t="shared" ref="AG9:AG80" si="84">ROUNDUP((SUM(AC9:AF9)*0.1),0)</f>
        <v>13</v>
      </c>
      <c r="AH9" s="802">
        <f t="shared" ref="AH9:AH16" si="85">SUM(AC9:AG9)</f>
        <v>134</v>
      </c>
      <c r="AI9" s="344">
        <f>IF(T9="AIR",'Catalogue Aluminium'!$K$9,IF(T9="TRENCH",'Catalogue Aluminium'!$K$12,"NA"))</f>
        <v>0.89</v>
      </c>
      <c r="AJ9" s="342">
        <f>IF(T9="Air",(IF(U9="1C",'Catalogue Aluminium'!$L$9,'Catalogue Aluminium'!$M$9)),IF(T9="DUCT",(IF($U9="1C",'Catalogue Aluminium'!$L$10,'Catalogue Aluminium'!$M$10)),IF(T9="GROUND",(IF($U9="1C",'Catalogue Aluminium'!$L$11,'Catalogue Aluminium'!$M$11)),IF(T9="TRENCH",(IF($U9="1C",'Catalogue Aluminium'!$L$12,'Catalogue Aluminium'!$M$12))))))</f>
        <v>0.66</v>
      </c>
      <c r="AK9" s="344" t="str">
        <f>IF(T9="Air",'Catalogue Aluminium'!$N$9,IF(T9="GROUND",'Catalogue Aluminium'!$N$10,IF(T9="DUCT",'Catalogue Aluminium'!$N$11,IF(T9="TRENCH",'Catalogue Aluminium'!$N$12,"NA"))))</f>
        <v>NA</v>
      </c>
      <c r="AL9" s="344" t="str">
        <f>IF(T9="Air",(IF(U9="1C",'Catalogue Aluminium'!$O$9,'Catalogue Aluminium'!$P$9)),IF(T9="DUCT",(IF($U9="1C",'Catalogue Aluminium'!$O$10,'Catalogue Aluminium'!$P$10)),IF(T9="GROUND",(IF($U9="1C",'Catalogue Aluminium'!$O$11,'Catalogue Aluminium'!$P$11)),IF(T9="TRENCH",(IF($U9="1C",'Catalogue Aluminium'!$O$12,'Catalogue Aluminium'!$P$12))))))</f>
        <v>NA</v>
      </c>
      <c r="AM9" s="344" t="str">
        <f>IF(T9="AIR","NA",IF(T9="TRENCH","NA",IF(T9="DUCT",IF(U9="1C",VLOOKUP(V9,'Catalogue Aluminium'!$Q$9:$S$28,2,FALSE),VLOOKUP(V9,'Catalogue Aluminium'!$Q$9:$S$28,3)),IF(T9="GROUND",IF(U9="1C",VLOOKUP(V9,'Catalogue Aluminium'!$Q$9:$S$28,2,FALSE),VLOOKUP(V9,'Catalogue Aluminium'!$Q$9:$S$28,3))))))</f>
        <v>NA</v>
      </c>
      <c r="AN9" s="351">
        <f t="shared" si="5"/>
        <v>0.58740000000000003</v>
      </c>
      <c r="AO9" s="350">
        <f t="shared" si="6"/>
        <v>22.321200000000001</v>
      </c>
      <c r="AP9" s="349">
        <f t="shared" si="7"/>
        <v>1</v>
      </c>
      <c r="AQ9" s="350" t="str">
        <f t="shared" si="8"/>
        <v>YES</v>
      </c>
      <c r="AR9" s="351">
        <f t="shared" si="9"/>
        <v>1.1536055668132479</v>
      </c>
      <c r="AS9" s="343" t="str">
        <f>IF(G9="INCOMER",(IF(AR9&lt;=2,"YES","NO")),IF(G9="POWER",(IF(AR9&lt;=2.5,"YES","NO")),IF(G9="MOTOR",(IF(AR9&lt;=3,"YES","NO")))))</f>
        <v>YES</v>
      </c>
      <c r="AT9" s="351" t="str">
        <f t="shared" ref="AT9:AT16" si="86">IF(G9="MOTOR",(SQRT(3)*AH9*O9*((AA9*P9)+(AB9*SIN(ACOS(P9))))*100/(AP9*K9*1000)),"NA")</f>
        <v>NA</v>
      </c>
      <c r="AU9" s="343" t="str">
        <f t="shared" si="10"/>
        <v>NA</v>
      </c>
      <c r="AV9" s="354" t="str">
        <f t="shared" si="11"/>
        <v>1R x 0.6/1kV x 4C x 4 Sqmm</v>
      </c>
      <c r="AW9" s="354" t="str">
        <f t="shared" ref="AW9:AW16" si="87">IF(U9="1C",CONCATENATE(AP9,"R x ",Y9,"kV x ",U9," x ",V9," Sqmm/Phase"),CONCATENATE(AP9,"R x ",0.6,"/1kV x ",U9," x ",V9,(IF(G9="MOTOR","+PE",""))," Sqmm"))</f>
        <v>1R x 0.6/1kV x 4C x 4 Sqmm</v>
      </c>
      <c r="AX9" s="343">
        <f t="shared" ref="AX9:AX16" si="88">(IF(K9=400,(IF(U9="1C",(4*AH9*AP9),(AH9*AP9))),IF(K9=230,(AH9*AP9))))</f>
        <v>134</v>
      </c>
      <c r="AY9" s="355"/>
      <c r="AZ9" s="355">
        <f t="shared" ref="AZ9:AZ16" si="89">IF(U9="1C",(3*AP9*2),(AP9*2))</f>
        <v>2</v>
      </c>
      <c r="BA9" s="356" t="str">
        <f>CONCATENATE(IF(BE9=1,BE$4,""),IF(BF9=1,BF$4,""),IF(BG9=1,BG$4,""),IF(BH9=1,BH$4,""),IF(BI9=1,BI$4,""),IF(BJ9=1,BJ$4,""),IF(BK9=1,BK$4,""),IF(BL9=1,BL$4,""),IF(BM9=1,BM$4,""),IF(BN9=1,BN$4,""),IF(BO9=1,BO$4,""),IF(BP9=1,BP$4,""),IF(BQ9=1,BQ$4,""),IF(BR9=1,BR$4,""),IF(BS9=1,BS$4,""),IF(BT9=1,BT$4,""),IF(BU9=1,BU$4,""),IF(BV9=1,BV$4,""),IF(BW9=1,BW$4,""),IF(BX9=1,BX$4,""),IF(BY9=1,BY$4,""),IF(BZ9=1,BZ$4,""),IF(CA9=1,CA$4,""),IF(CB9=1,CB$4,""),IF(CC9=1,CC$4,""),IF(CD9=1,CD$4,""),IF(CE9=1,CE$4,""),IF(CF9=1,CF$4,""),IF(CG9=1,CG$4,""),IF(CH9=1,CH$4,""),IF(CI9=1,CI$4,""),IF(CJ9=1,CJ$4,""),IF(CK9=1,CK$4,""),IF(CL9=1,CL$4,""),IF(CM9=1,CM$4,""),IF(CN9=1,CN$4,""),IF(CO9=1,CO$4,""),IF(CP9=1,CP$4,""),IF(CQ9=1,CQ$4,""),IF(CR9=1,CR$4,""),IF(CS9=1,CS$4,""),IF(CT9=1,CT$4,""),IF(CU9=1,CU$4,""),IF(CV9=1,CV$4,""),IF(CW9=1,CW$4,""),IF(CX9=1,CX$4,""),IF(CY9=1,CY$4,""),IF(CZ9=1,CZ$4,""),IF(DA9=1,DA$4,""),IF(DB9=1,DB$4,""),IF(DC9=1,DC$4,""),IF(DD9=1,DD$4,""),IF(DE9=1,DE$4,""),IF(DF9=1,DF$4,""),IF(DG9=1,DG$4,""),IF(DH9=1,DH$4,""),IF(DI9=1,DI$4,""),IF(DJ9=1,DJ$4,""),IF(DK9=1,DK$4,""),IF(DL9=1,DL$4,""),IF(DM9=1,DM$4,""),IF(DN9=1,DN$4,""),IF(DO9=1,DO$4,""),IF(DP9=1,DP$4,""),IF(DQ9=1,DQ$4,""),IF(DR9=1,DR$4,""),IF(DS9=1,DS$4,""),IF(DT9=1,DT$4,""),IF(DU9=1,DU$4,""))</f>
        <v>I2J</v>
      </c>
      <c r="BB9" s="328">
        <f>VLOOKUP(W9,'Catalogue Aluminium'!$B$9:$H$93,7,FALSE)</f>
        <v>16</v>
      </c>
      <c r="BC9" s="328">
        <f t="shared" ref="BC9:BC16" si="90">AP9*BB9</f>
        <v>16</v>
      </c>
      <c r="BE9" s="336"/>
      <c r="BF9" s="336"/>
      <c r="BG9" s="336"/>
      <c r="BH9" s="336"/>
      <c r="BI9" s="336"/>
      <c r="BJ9" s="336"/>
      <c r="BK9" s="336"/>
      <c r="BL9" s="336"/>
      <c r="BM9" s="336"/>
      <c r="BN9" s="336"/>
      <c r="BO9" s="336"/>
      <c r="BP9" s="336"/>
      <c r="BQ9" s="336"/>
      <c r="BR9" s="336"/>
      <c r="BS9" s="336"/>
      <c r="BT9" s="336"/>
      <c r="BU9" s="336"/>
      <c r="BV9" s="336"/>
      <c r="BW9" s="336"/>
      <c r="BX9" s="336"/>
      <c r="BY9" s="336"/>
      <c r="BZ9" s="336"/>
      <c r="CA9" s="336"/>
      <c r="CB9" s="336">
        <v>1</v>
      </c>
      <c r="CC9" s="336"/>
      <c r="CD9" s="336">
        <v>1</v>
      </c>
      <c r="CE9" s="336"/>
      <c r="CF9" s="336"/>
      <c r="CG9" s="336"/>
      <c r="CH9" s="336"/>
      <c r="CI9" s="336"/>
      <c r="CJ9" s="336"/>
      <c r="CK9" s="336"/>
      <c r="CL9" s="336"/>
      <c r="CM9" s="336"/>
      <c r="CN9" s="336"/>
      <c r="CO9" s="336"/>
      <c r="CP9" s="336"/>
      <c r="CQ9" s="336"/>
      <c r="CR9" s="336"/>
      <c r="CS9" s="336"/>
      <c r="CT9" s="336"/>
      <c r="CU9" s="336"/>
      <c r="CV9" s="336"/>
      <c r="CW9" s="336"/>
      <c r="CX9" s="336"/>
      <c r="CY9" s="336"/>
      <c r="CZ9" s="336"/>
      <c r="DA9" s="336"/>
      <c r="DB9" s="336"/>
      <c r="DC9" s="336"/>
      <c r="DD9" s="336"/>
      <c r="DE9" s="336"/>
      <c r="DF9" s="336"/>
      <c r="DG9" s="336"/>
      <c r="DH9" s="336"/>
      <c r="DI9" s="336"/>
      <c r="DJ9" s="336"/>
      <c r="DK9" s="336"/>
      <c r="DL9" s="336"/>
      <c r="DM9" s="336"/>
      <c r="DN9" s="336"/>
      <c r="DO9" s="336"/>
      <c r="DP9" s="336"/>
      <c r="DQ9" s="336"/>
      <c r="DR9" s="336"/>
      <c r="DS9" s="336"/>
      <c r="DT9" s="336"/>
      <c r="DU9" s="336"/>
      <c r="DW9" s="336">
        <f>IF(BE9=1,($BC9*BE9),0)</f>
        <v>0</v>
      </c>
      <c r="DX9" s="336">
        <f t="shared" si="14"/>
        <v>0</v>
      </c>
      <c r="DY9" s="336">
        <f t="shared" si="15"/>
        <v>0</v>
      </c>
      <c r="DZ9" s="336">
        <f t="shared" si="16"/>
        <v>0</v>
      </c>
      <c r="EA9" s="336">
        <f t="shared" si="17"/>
        <v>0</v>
      </c>
      <c r="EB9" s="336">
        <f t="shared" si="18"/>
        <v>0</v>
      </c>
      <c r="EC9" s="336">
        <f t="shared" si="19"/>
        <v>0</v>
      </c>
      <c r="ED9" s="336">
        <f t="shared" si="20"/>
        <v>0</v>
      </c>
      <c r="EE9" s="336">
        <f t="shared" si="21"/>
        <v>0</v>
      </c>
      <c r="EF9" s="336">
        <f t="shared" si="22"/>
        <v>0</v>
      </c>
      <c r="EG9" s="336">
        <f t="shared" si="23"/>
        <v>0</v>
      </c>
      <c r="EH9" s="336">
        <f t="shared" si="24"/>
        <v>0</v>
      </c>
      <c r="EI9" s="336">
        <f t="shared" si="25"/>
        <v>0</v>
      </c>
      <c r="EJ9" s="336">
        <f t="shared" si="26"/>
        <v>0</v>
      </c>
      <c r="EK9" s="336">
        <f t="shared" si="27"/>
        <v>0</v>
      </c>
      <c r="EL9" s="336">
        <f t="shared" si="28"/>
        <v>0</v>
      </c>
      <c r="EM9" s="336">
        <f t="shared" si="29"/>
        <v>0</v>
      </c>
      <c r="EN9" s="336">
        <f t="shared" si="30"/>
        <v>0</v>
      </c>
      <c r="EO9" s="336">
        <f t="shared" si="31"/>
        <v>0</v>
      </c>
      <c r="EP9" s="336">
        <f t="shared" si="32"/>
        <v>0</v>
      </c>
      <c r="EQ9" s="336">
        <f t="shared" si="33"/>
        <v>0</v>
      </c>
      <c r="ER9" s="336">
        <f t="shared" si="34"/>
        <v>0</v>
      </c>
      <c r="ES9" s="336">
        <f t="shared" si="35"/>
        <v>0</v>
      </c>
      <c r="ET9" s="336">
        <f t="shared" si="35"/>
        <v>16</v>
      </c>
      <c r="EU9" s="336">
        <f t="shared" si="36"/>
        <v>0</v>
      </c>
      <c r="EV9" s="336">
        <f t="shared" si="37"/>
        <v>16</v>
      </c>
      <c r="EW9" s="336">
        <f t="shared" si="38"/>
        <v>0</v>
      </c>
      <c r="EX9" s="336">
        <f t="shared" si="39"/>
        <v>0</v>
      </c>
      <c r="EY9" s="336">
        <f t="shared" si="40"/>
        <v>0</v>
      </c>
      <c r="EZ9" s="336">
        <f t="shared" si="41"/>
        <v>0</v>
      </c>
      <c r="FA9" s="336">
        <f t="shared" si="42"/>
        <v>0</v>
      </c>
      <c r="FB9" s="336">
        <f t="shared" si="43"/>
        <v>0</v>
      </c>
      <c r="FC9" s="336">
        <f t="shared" si="44"/>
        <v>0</v>
      </c>
      <c r="FD9" s="336">
        <f t="shared" si="45"/>
        <v>0</v>
      </c>
      <c r="FE9" s="336">
        <f t="shared" si="46"/>
        <v>0</v>
      </c>
      <c r="FF9" s="336">
        <f t="shared" si="47"/>
        <v>0</v>
      </c>
      <c r="FG9" s="336">
        <f t="shared" si="48"/>
        <v>0</v>
      </c>
      <c r="FH9" s="336">
        <f t="shared" si="49"/>
        <v>0</v>
      </c>
      <c r="FI9" s="336">
        <f t="shared" si="50"/>
        <v>0</v>
      </c>
      <c r="FJ9" s="336">
        <f t="shared" si="51"/>
        <v>0</v>
      </c>
      <c r="FK9" s="336">
        <f t="shared" si="52"/>
        <v>0</v>
      </c>
      <c r="FL9" s="336">
        <f t="shared" si="53"/>
        <v>0</v>
      </c>
      <c r="FM9" s="336">
        <f t="shared" si="54"/>
        <v>0</v>
      </c>
      <c r="FN9" s="336">
        <f t="shared" si="55"/>
        <v>0</v>
      </c>
      <c r="FO9" s="336">
        <f t="shared" si="56"/>
        <v>0</v>
      </c>
      <c r="FP9" s="336">
        <f t="shared" si="57"/>
        <v>0</v>
      </c>
      <c r="FQ9" s="336">
        <f t="shared" si="58"/>
        <v>0</v>
      </c>
      <c r="FR9" s="336">
        <f t="shared" si="59"/>
        <v>0</v>
      </c>
      <c r="FS9" s="336">
        <f t="shared" si="60"/>
        <v>0</v>
      </c>
      <c r="FT9" s="336">
        <f t="shared" si="61"/>
        <v>0</v>
      </c>
      <c r="FU9" s="336">
        <f t="shared" si="62"/>
        <v>0</v>
      </c>
      <c r="FV9" s="336">
        <f t="shared" si="63"/>
        <v>0</v>
      </c>
      <c r="FW9" s="336">
        <f t="shared" si="64"/>
        <v>0</v>
      </c>
      <c r="FX9" s="336">
        <f t="shared" si="65"/>
        <v>0</v>
      </c>
      <c r="FY9" s="336">
        <f t="shared" si="66"/>
        <v>0</v>
      </c>
      <c r="FZ9" s="336">
        <f t="shared" si="67"/>
        <v>0</v>
      </c>
      <c r="GA9" s="336">
        <f t="shared" si="68"/>
        <v>0</v>
      </c>
      <c r="GB9" s="336">
        <f t="shared" si="69"/>
        <v>0</v>
      </c>
      <c r="GC9" s="336">
        <f t="shared" si="70"/>
        <v>0</v>
      </c>
      <c r="GD9" s="336">
        <f t="shared" si="71"/>
        <v>0</v>
      </c>
      <c r="GE9" s="336">
        <f t="shared" si="72"/>
        <v>0</v>
      </c>
      <c r="GF9" s="336">
        <f t="shared" si="73"/>
        <v>0</v>
      </c>
      <c r="GG9" s="336">
        <f t="shared" si="74"/>
        <v>0</v>
      </c>
      <c r="GH9" s="336">
        <f t="shared" si="75"/>
        <v>0</v>
      </c>
      <c r="GI9" s="336">
        <f t="shared" si="76"/>
        <v>0</v>
      </c>
      <c r="GJ9" s="336">
        <f t="shared" si="77"/>
        <v>0</v>
      </c>
      <c r="GK9" s="336">
        <f t="shared" si="78"/>
        <v>0</v>
      </c>
      <c r="GL9" s="336">
        <f t="shared" si="79"/>
        <v>0</v>
      </c>
      <c r="GM9" s="336">
        <f t="shared" si="80"/>
        <v>0</v>
      </c>
    </row>
    <row r="10" spans="1:195" ht="32.25" customHeight="1">
      <c r="A10" s="337">
        <f>A9+1</f>
        <v>2</v>
      </c>
      <c r="B10" s="337" t="s">
        <v>1435</v>
      </c>
      <c r="C10" s="372" t="str">
        <f t="shared" si="81"/>
        <v>PMCC-3</v>
      </c>
      <c r="D10" s="338" t="s">
        <v>1434</v>
      </c>
      <c r="E10" s="500" t="s">
        <v>355</v>
      </c>
      <c r="F10" s="500"/>
      <c r="G10" s="337" t="s">
        <v>329</v>
      </c>
      <c r="H10" s="418">
        <v>2</v>
      </c>
      <c r="I10" s="337" t="s">
        <v>330</v>
      </c>
      <c r="J10" s="337" t="s">
        <v>331</v>
      </c>
      <c r="K10" s="349">
        <v>400</v>
      </c>
      <c r="L10" s="343">
        <v>0.8</v>
      </c>
      <c r="M10" s="350">
        <v>0.86699999999999999</v>
      </c>
      <c r="N10" s="342">
        <f t="shared" si="0"/>
        <v>4.1621049995871191</v>
      </c>
      <c r="O10" s="342">
        <f t="shared" si="1"/>
        <v>0</v>
      </c>
      <c r="P10" s="343" t="str">
        <f t="shared" si="2"/>
        <v>0.00</v>
      </c>
      <c r="Q10" s="350">
        <v>65</v>
      </c>
      <c r="R10" s="350">
        <v>0</v>
      </c>
      <c r="S10" s="350">
        <f t="shared" si="3"/>
        <v>0</v>
      </c>
      <c r="T10" s="343" t="s">
        <v>131</v>
      </c>
      <c r="U10" s="350" t="s">
        <v>522</v>
      </c>
      <c r="V10" s="343">
        <v>4</v>
      </c>
      <c r="W10" s="343" t="str">
        <f t="shared" si="4"/>
        <v>4C X 4</v>
      </c>
      <c r="X10" s="343" t="str">
        <f>(IF(J10="1Ph",W10,IF(J10="3Ph",(IF(G10="MOTOR",(CONCATENATE(W10,"+PE")),W10)))))</f>
        <v>4C X 4</v>
      </c>
      <c r="Y10" s="343" t="s">
        <v>358</v>
      </c>
      <c r="Z10" s="344">
        <f>IF(T10="AIR",VLOOKUP(W10,'Catalogue Aluminium'!$B$9:$G$93,2,FALSE),IF(T10="GROUND",VLOOKUP(W10,'Catalogue Aluminium'!$B$9:$G$93,3,FALSE),IF(T10="DUCT",VLOOKUP(W10,'Catalogue Aluminium'!$B$9:$G$93,4,FALSE),IF(T10="TRENCH",VLOOKUP(W10,'Catalogue Aluminium'!$B$9:$G$93,2,FALSE)))))</f>
        <v>38</v>
      </c>
      <c r="AA10" s="345">
        <f>VLOOKUP(W10,'Catalogue Aluminium'!$B$9:$G$93,5,FALSE)</f>
        <v>5.9</v>
      </c>
      <c r="AB10" s="345">
        <f>VLOOKUP(W10,'Catalogue Aluminium'!$B$9:$G$93,6,FALSE)</f>
        <v>9.4700000000000006E-2</v>
      </c>
      <c r="AC10" s="343">
        <f t="shared" si="82"/>
        <v>18</v>
      </c>
      <c r="AD10" s="343">
        <f t="shared" ref="AD10:AD19" si="91">6+34+14+3+26</f>
        <v>83</v>
      </c>
      <c r="AE10" s="343">
        <f t="shared" si="83"/>
        <v>10</v>
      </c>
      <c r="AF10" s="343">
        <f t="shared" si="83"/>
        <v>10</v>
      </c>
      <c r="AG10" s="343">
        <f t="shared" si="84"/>
        <v>13</v>
      </c>
      <c r="AH10" s="802">
        <f t="shared" si="85"/>
        <v>134</v>
      </c>
      <c r="AI10" s="344">
        <f>IF(T10="AIR",'Catalogue Aluminium'!$K$9,IF(T10="TRENCH",'Catalogue Aluminium'!$K$12,"NA"))</f>
        <v>0.89</v>
      </c>
      <c r="AJ10" s="342">
        <f>IF(T10="Air",(IF(U10="1C",'Catalogue Aluminium'!$L$9,'Catalogue Aluminium'!$M$9)),IF(T10="DUCT",(IF($U10="1C",'Catalogue Aluminium'!$L$10,'Catalogue Aluminium'!$M$10)),IF(T10="GROUND",(IF($U10="1C",'Catalogue Aluminium'!$L$11,'Catalogue Aluminium'!$M$11)),IF(T10="TRENCH",(IF($U10="1C",'Catalogue Aluminium'!$L$12,'Catalogue Aluminium'!$M$12))))))</f>
        <v>0.66</v>
      </c>
      <c r="AK10" s="344" t="str">
        <f>IF(T10="Air",'Catalogue Aluminium'!$N$9,IF(T10="GROUND",'Catalogue Aluminium'!$N$10,IF(T10="DUCT",'Catalogue Aluminium'!$N$11,IF(T10="TRENCH",'Catalogue Aluminium'!$N$12,"NA"))))</f>
        <v>NA</v>
      </c>
      <c r="AL10" s="344" t="str">
        <f>IF(T10="Air",(IF(U10="1C",'Catalogue Aluminium'!$O$9,'Catalogue Aluminium'!$P$9)),IF(T10="DUCT",(IF($U10="1C",'Catalogue Aluminium'!$O$10,'Catalogue Aluminium'!$P$10)),IF(T10="GROUND",(IF($U10="1C",'Catalogue Aluminium'!$O$11,'Catalogue Aluminium'!$P$11)),IF(T10="TRENCH",(IF($U10="1C",'Catalogue Aluminium'!$O$12,'Catalogue Aluminium'!$P$12))))))</f>
        <v>NA</v>
      </c>
      <c r="AM10" s="344" t="str">
        <f>IF(T10="AIR","NA",IF(T10="TRENCH","NA",IF(T10="DUCT",IF(U10="1C",VLOOKUP(V10,'Catalogue Aluminium'!$Q$9:$S$28,2,FALSE),VLOOKUP(V10,'Catalogue Aluminium'!$Q$9:$S$28,3)),IF(T10="GROUND",IF(U10="1C",VLOOKUP(V10,'Catalogue Aluminium'!$Q$9:$S$28,2,FALSE),VLOOKUP(V10,'Catalogue Aluminium'!$Q$9:$S$28,3))))))</f>
        <v>NA</v>
      </c>
      <c r="AN10" s="351">
        <f t="shared" si="5"/>
        <v>0.58740000000000003</v>
      </c>
      <c r="AO10" s="350">
        <f t="shared" si="6"/>
        <v>22.321200000000001</v>
      </c>
      <c r="AP10" s="349">
        <f t="shared" si="7"/>
        <v>1</v>
      </c>
      <c r="AQ10" s="350" t="str">
        <f t="shared" si="8"/>
        <v>YES</v>
      </c>
      <c r="AR10" s="351">
        <f t="shared" si="9"/>
        <v>1.1536055668132479</v>
      </c>
      <c r="AS10" s="343" t="str">
        <f>IF(G10="INCOMER",(IF(AR10&lt;=2,"YES","NO")),IF(G10="POWER",(IF(AR10&lt;=2.5,"YES","NO")),IF(G10="MOTOR",(IF(AR10&lt;=3,"YES","NO")))))</f>
        <v>YES</v>
      </c>
      <c r="AT10" s="351" t="str">
        <f t="shared" si="86"/>
        <v>NA</v>
      </c>
      <c r="AU10" s="343" t="str">
        <f t="shared" si="10"/>
        <v>NA</v>
      </c>
      <c r="AV10" s="354" t="str">
        <f t="shared" si="11"/>
        <v>1R x 0.6/1kV x 4C x 4 Sqmm</v>
      </c>
      <c r="AW10" s="354" t="str">
        <f t="shared" si="87"/>
        <v>1R x 0.6/1kV x 4C x 4 Sqmm</v>
      </c>
      <c r="AX10" s="343">
        <f t="shared" si="88"/>
        <v>134</v>
      </c>
      <c r="AY10" s="355"/>
      <c r="AZ10" s="355">
        <f t="shared" si="89"/>
        <v>2</v>
      </c>
      <c r="BA10" s="356" t="str">
        <f t="shared" ref="BA10:BA16" si="92">CONCATENATE(IF(BE10=1,BE$4,""),IF(BF10=1,BF$4,""),IF(BG10=1,BG$4,""),IF(BH10=1,BH$4,""),IF(BI10=1,BI$4,""),IF(BJ10=1,BJ$4,""),IF(BK10=1,BK$4,""),IF(BL10=1,BL$4,""),IF(BM10=1,BM$4,""),IF(BN10=1,BN$4,""),IF(BO10=1,BO$4,""),IF(BP10=1,BP$4,""),IF(BQ10=1,BQ$4,""),IF(BR10=1,BR$4,""),IF(BS10=1,BS$4,""),IF(BT10=1,BT$4,""),IF(BU10=1,BU$4,""),IF(BV10=1,BV$4,""),IF(BW10=1,BW$4,""),IF(BX10=1,BX$4,""),IF(BY10=1,BY$4,""),IF(BZ10=1,BZ$4,""),IF(CA10=1,CA$4,""),IF(CB10=1,CB$4,""),IF(CC10=1,CC$4,""),IF(CD10=1,CD$4,""),IF(CE10=1,CE$4,""),IF(CF10=1,CF$4,""),IF(CG10=1,CG$4,""),IF(CH10=1,CH$4,""),IF(CI10=1,CI$4,""),IF(CJ10=1,CJ$4,""),IF(CK10=1,CK$4,""),IF(CL10=1,CL$4,""),IF(CM10=1,CM$4,""),IF(CN10=1,CN$4,""),IF(CO10=1,CO$4,""),IF(CP10=1,CP$4,""),IF(CQ10=1,CQ$4,""),IF(CR10=1,CR$4,""),IF(CS10=1,CS$4,""),IF(CT10=1,CT$4,""),IF(CU10=1,CU$4,""),IF(CV10=1,CV$4,""),IF(CW10=1,CW$4,""),IF(CX10=1,CX$4,""),IF(CY10=1,CY$4,""),IF(CZ10=1,CZ$4,""),IF(DA10=1,DA$4,""),IF(DB10=1,DB$4,""),IF(DC10=1,DC$4,""),IF(DD10=1,DD$4,""),IF(DE10=1,DE$4,""),IF(DF10=1,DF$4,""),IF(DG10=1,DG$4,""),IF(DH10=1,DH$4,""),IF(DI10=1,DI$4,""),IF(DJ10=1,DJ$4,""),IF(DK10=1,DK$4,""),IF(DL10=1,DL$4,""),IF(DM10=1,DM$4,""),IF(DN10=1,DN$4,""),IF(DO10=1,DO$4,""),IF(DP10=1,DP$4,""),IF(DQ10=1,DQ$4,""),IF(DR10=1,DR$4,""),IF(DS10=1,DS$4,""),IF(DT10=1,DT$4,""),IF(DU10=1,DU$4,""))</f>
        <v>I2J</v>
      </c>
      <c r="BB10" s="336">
        <f>VLOOKUP(W10,'Catalogue Aluminium'!$B$9:$H$93,7,FALSE)</f>
        <v>16</v>
      </c>
      <c r="BC10" s="336">
        <f t="shared" si="90"/>
        <v>16</v>
      </c>
      <c r="BE10" s="336"/>
      <c r="BF10" s="336"/>
      <c r="BG10" s="336"/>
      <c r="BH10" s="336"/>
      <c r="BI10" s="336"/>
      <c r="BJ10" s="336"/>
      <c r="BK10" s="336"/>
      <c r="BL10" s="336"/>
      <c r="BM10" s="336"/>
      <c r="BN10" s="336"/>
      <c r="BO10" s="336"/>
      <c r="BP10" s="336"/>
      <c r="BQ10" s="336"/>
      <c r="BR10" s="336"/>
      <c r="BS10" s="336"/>
      <c r="BT10" s="336"/>
      <c r="BU10" s="336"/>
      <c r="BV10" s="336"/>
      <c r="BW10" s="336"/>
      <c r="BX10" s="336"/>
      <c r="BY10" s="336"/>
      <c r="BZ10" s="336"/>
      <c r="CA10" s="336"/>
      <c r="CB10" s="336">
        <v>1</v>
      </c>
      <c r="CC10" s="336"/>
      <c r="CD10" s="336">
        <v>1</v>
      </c>
      <c r="CE10" s="336"/>
      <c r="CF10" s="336"/>
      <c r="CG10" s="336"/>
      <c r="CH10" s="336"/>
      <c r="CI10" s="336"/>
      <c r="CJ10" s="336"/>
      <c r="CK10" s="336"/>
      <c r="CL10" s="336"/>
      <c r="CM10" s="336"/>
      <c r="CN10" s="336"/>
      <c r="CO10" s="336"/>
      <c r="CP10" s="336"/>
      <c r="CQ10" s="336"/>
      <c r="CR10" s="336"/>
      <c r="CS10" s="336"/>
      <c r="CT10" s="336"/>
      <c r="CU10" s="336"/>
      <c r="CV10" s="336"/>
      <c r="CW10" s="336"/>
      <c r="CX10" s="336"/>
      <c r="CY10" s="336"/>
      <c r="CZ10" s="336"/>
      <c r="DA10" s="336"/>
      <c r="DB10" s="336"/>
      <c r="DC10" s="336"/>
      <c r="DD10" s="336"/>
      <c r="DE10" s="336"/>
      <c r="DF10" s="336"/>
      <c r="DG10" s="336"/>
      <c r="DH10" s="336"/>
      <c r="DI10" s="336"/>
      <c r="DJ10" s="336"/>
      <c r="DK10" s="336"/>
      <c r="DL10" s="336"/>
      <c r="DM10" s="336"/>
      <c r="DN10" s="336"/>
      <c r="DO10" s="336"/>
      <c r="DP10" s="336"/>
      <c r="DQ10" s="336"/>
      <c r="DR10" s="336"/>
      <c r="DS10" s="336"/>
      <c r="DT10" s="336"/>
      <c r="DU10" s="336"/>
      <c r="DW10" s="336">
        <f t="shared" ref="DW10:DW65" si="93">IF(BE10=1,($BC10*BE10),0)</f>
        <v>0</v>
      </c>
      <c r="DX10" s="336">
        <f t="shared" si="14"/>
        <v>0</v>
      </c>
      <c r="DY10" s="336">
        <f t="shared" si="15"/>
        <v>0</v>
      </c>
      <c r="DZ10" s="336">
        <f t="shared" si="16"/>
        <v>0</v>
      </c>
      <c r="EA10" s="336">
        <f t="shared" si="17"/>
        <v>0</v>
      </c>
      <c r="EB10" s="336">
        <f t="shared" si="18"/>
        <v>0</v>
      </c>
      <c r="EC10" s="336">
        <f t="shared" si="19"/>
        <v>0</v>
      </c>
      <c r="ED10" s="336">
        <f t="shared" si="20"/>
        <v>0</v>
      </c>
      <c r="EE10" s="336">
        <f t="shared" si="21"/>
        <v>0</v>
      </c>
      <c r="EF10" s="336">
        <f t="shared" si="22"/>
        <v>0</v>
      </c>
      <c r="EG10" s="336">
        <f t="shared" si="23"/>
        <v>0</v>
      </c>
      <c r="EH10" s="336">
        <f t="shared" si="24"/>
        <v>0</v>
      </c>
      <c r="EI10" s="336">
        <f t="shared" si="25"/>
        <v>0</v>
      </c>
      <c r="EJ10" s="336">
        <f t="shared" si="26"/>
        <v>0</v>
      </c>
      <c r="EK10" s="336">
        <f t="shared" si="27"/>
        <v>0</v>
      </c>
      <c r="EL10" s="336">
        <f t="shared" si="28"/>
        <v>0</v>
      </c>
      <c r="EM10" s="336">
        <f t="shared" si="29"/>
        <v>0</v>
      </c>
      <c r="EN10" s="336">
        <f t="shared" si="30"/>
        <v>0</v>
      </c>
      <c r="EO10" s="336">
        <f t="shared" si="31"/>
        <v>0</v>
      </c>
      <c r="EP10" s="336">
        <f t="shared" si="32"/>
        <v>0</v>
      </c>
      <c r="EQ10" s="336">
        <f t="shared" si="33"/>
        <v>0</v>
      </c>
      <c r="ER10" s="336">
        <f t="shared" si="34"/>
        <v>0</v>
      </c>
      <c r="ES10" s="336">
        <f t="shared" si="35"/>
        <v>0</v>
      </c>
      <c r="ET10" s="336">
        <f t="shared" si="35"/>
        <v>16</v>
      </c>
      <c r="EU10" s="336">
        <f t="shared" si="36"/>
        <v>0</v>
      </c>
      <c r="EV10" s="336">
        <f t="shared" si="37"/>
        <v>16</v>
      </c>
      <c r="EW10" s="336">
        <f t="shared" si="38"/>
        <v>0</v>
      </c>
      <c r="EX10" s="336">
        <f t="shared" si="39"/>
        <v>0</v>
      </c>
      <c r="EY10" s="336">
        <f t="shared" si="40"/>
        <v>0</v>
      </c>
      <c r="EZ10" s="336">
        <f t="shared" si="41"/>
        <v>0</v>
      </c>
      <c r="FA10" s="336">
        <f t="shared" si="42"/>
        <v>0</v>
      </c>
      <c r="FB10" s="336">
        <f t="shared" si="43"/>
        <v>0</v>
      </c>
      <c r="FC10" s="336">
        <f t="shared" si="44"/>
        <v>0</v>
      </c>
      <c r="FD10" s="336">
        <f t="shared" si="45"/>
        <v>0</v>
      </c>
      <c r="FE10" s="336">
        <f t="shared" si="46"/>
        <v>0</v>
      </c>
      <c r="FF10" s="336">
        <f t="shared" si="47"/>
        <v>0</v>
      </c>
      <c r="FG10" s="336">
        <f t="shared" si="48"/>
        <v>0</v>
      </c>
      <c r="FH10" s="336">
        <f t="shared" si="49"/>
        <v>0</v>
      </c>
      <c r="FI10" s="336">
        <f t="shared" si="50"/>
        <v>0</v>
      </c>
      <c r="FJ10" s="336">
        <f t="shared" si="51"/>
        <v>0</v>
      </c>
      <c r="FK10" s="336">
        <f t="shared" si="52"/>
        <v>0</v>
      </c>
      <c r="FL10" s="336">
        <f t="shared" si="53"/>
        <v>0</v>
      </c>
      <c r="FM10" s="336">
        <f t="shared" si="54"/>
        <v>0</v>
      </c>
      <c r="FN10" s="336">
        <f t="shared" si="55"/>
        <v>0</v>
      </c>
      <c r="FO10" s="336">
        <f t="shared" si="56"/>
        <v>0</v>
      </c>
      <c r="FP10" s="336">
        <f t="shared" si="57"/>
        <v>0</v>
      </c>
      <c r="FQ10" s="336">
        <f t="shared" si="58"/>
        <v>0</v>
      </c>
      <c r="FR10" s="336">
        <f t="shared" si="59"/>
        <v>0</v>
      </c>
      <c r="FS10" s="336">
        <f t="shared" si="60"/>
        <v>0</v>
      </c>
      <c r="FT10" s="336">
        <f t="shared" si="61"/>
        <v>0</v>
      </c>
      <c r="FU10" s="336">
        <f t="shared" si="62"/>
        <v>0</v>
      </c>
      <c r="FV10" s="336">
        <f t="shared" si="63"/>
        <v>0</v>
      </c>
      <c r="FW10" s="336">
        <f t="shared" si="64"/>
        <v>0</v>
      </c>
      <c r="FX10" s="336">
        <f t="shared" si="65"/>
        <v>0</v>
      </c>
      <c r="FY10" s="336">
        <f t="shared" si="66"/>
        <v>0</v>
      </c>
      <c r="FZ10" s="336">
        <f t="shared" si="67"/>
        <v>0</v>
      </c>
      <c r="GA10" s="336">
        <f t="shared" si="68"/>
        <v>0</v>
      </c>
      <c r="GB10" s="336">
        <f t="shared" si="69"/>
        <v>0</v>
      </c>
      <c r="GC10" s="336">
        <f t="shared" si="70"/>
        <v>0</v>
      </c>
      <c r="GD10" s="336">
        <f t="shared" si="71"/>
        <v>0</v>
      </c>
      <c r="GE10" s="336">
        <f t="shared" si="72"/>
        <v>0</v>
      </c>
      <c r="GF10" s="336">
        <f t="shared" si="73"/>
        <v>0</v>
      </c>
      <c r="GG10" s="336">
        <f t="shared" si="74"/>
        <v>0</v>
      </c>
      <c r="GH10" s="336">
        <f t="shared" si="75"/>
        <v>0</v>
      </c>
      <c r="GI10" s="336">
        <f t="shared" si="76"/>
        <v>0</v>
      </c>
      <c r="GJ10" s="336">
        <f t="shared" si="77"/>
        <v>0</v>
      </c>
      <c r="GK10" s="336">
        <f t="shared" si="78"/>
        <v>0</v>
      </c>
      <c r="GL10" s="336">
        <f t="shared" si="79"/>
        <v>0</v>
      </c>
      <c r="GM10" s="336">
        <f t="shared" si="80"/>
        <v>0</v>
      </c>
    </row>
    <row r="11" spans="1:195" ht="20.100000000000001" customHeight="1">
      <c r="A11" s="337">
        <f t="shared" ref="A11:A19" si="94">A10+1</f>
        <v>3</v>
      </c>
      <c r="B11" s="337" t="s">
        <v>1436</v>
      </c>
      <c r="C11" s="372" t="str">
        <f t="shared" si="81"/>
        <v>PMCC-3</v>
      </c>
      <c r="D11" s="338" t="s">
        <v>1437</v>
      </c>
      <c r="E11" s="500" t="s">
        <v>355</v>
      </c>
      <c r="F11" s="500"/>
      <c r="G11" s="337" t="s">
        <v>350</v>
      </c>
      <c r="H11" s="418">
        <v>7.5</v>
      </c>
      <c r="I11" s="337" t="s">
        <v>330</v>
      </c>
      <c r="J11" s="337" t="s">
        <v>331</v>
      </c>
      <c r="K11" s="349">
        <v>400</v>
      </c>
      <c r="L11" s="343">
        <v>0.82</v>
      </c>
      <c r="M11" s="350">
        <v>0.93299999999999994</v>
      </c>
      <c r="N11" s="342">
        <f t="shared" si="0"/>
        <v>14.150047190973385</v>
      </c>
      <c r="O11" s="342">
        <f t="shared" si="1"/>
        <v>84.900283145840319</v>
      </c>
      <c r="P11" s="343">
        <f t="shared" si="2"/>
        <v>0.2</v>
      </c>
      <c r="Q11" s="350">
        <v>65</v>
      </c>
      <c r="R11" s="350">
        <v>0</v>
      </c>
      <c r="S11" s="350">
        <f t="shared" si="3"/>
        <v>0</v>
      </c>
      <c r="T11" s="343" t="s">
        <v>131</v>
      </c>
      <c r="U11" s="350" t="s">
        <v>333</v>
      </c>
      <c r="V11" s="343">
        <v>6</v>
      </c>
      <c r="W11" s="343" t="str">
        <f t="shared" si="4"/>
        <v>3C X 6</v>
      </c>
      <c r="X11" s="343" t="str">
        <f>(IF(J11="1Ph",W11,IF(J11="3Ph",(IF(G11="MOTOR",(CONCATENATE(W11,"+PE")),W11)))))</f>
        <v>3C X 6+PE</v>
      </c>
      <c r="Y11" s="343" t="s">
        <v>358</v>
      </c>
      <c r="Z11" s="344">
        <f>IF(T11="AIR",VLOOKUP(W11,'Catalogue Aluminium'!$B$9:$G$93,2,FALSE),IF(T11="GROUND",VLOOKUP(W11,'Catalogue Aluminium'!$B$9:$G$93,3,FALSE),IF(T11="DUCT",VLOOKUP(W11,'Catalogue Aluminium'!$B$9:$G$93,4,FALSE),IF(T11="TRENCH",VLOOKUP(W11,'Catalogue Aluminium'!$B$9:$G$93,2,FALSE)))))</f>
        <v>51</v>
      </c>
      <c r="AA11" s="345">
        <f>VLOOKUP(W11,'Catalogue Aluminium'!$B$9:$G$93,5,FALSE)</f>
        <v>3.94</v>
      </c>
      <c r="AB11" s="345">
        <f>VLOOKUP(W11,'Catalogue Aluminium'!$B$9:$G$93,6,FALSE)</f>
        <v>9.0200000000000002E-2</v>
      </c>
      <c r="AC11" s="343">
        <f t="shared" si="82"/>
        <v>18</v>
      </c>
      <c r="AD11" s="343">
        <f t="shared" si="91"/>
        <v>83</v>
      </c>
      <c r="AE11" s="343">
        <f t="shared" si="83"/>
        <v>10</v>
      </c>
      <c r="AF11" s="343">
        <f t="shared" si="83"/>
        <v>10</v>
      </c>
      <c r="AG11" s="343">
        <f t="shared" si="84"/>
        <v>13</v>
      </c>
      <c r="AH11" s="802">
        <f t="shared" si="85"/>
        <v>134</v>
      </c>
      <c r="AI11" s="344">
        <f>IF(T11="AIR",'Catalogue Aluminium'!$K$9,IF(T11="TRENCH",'Catalogue Aluminium'!$K$12,"NA"))</f>
        <v>0.89</v>
      </c>
      <c r="AJ11" s="342">
        <f>IF(T11="Air",(IF(U11="1C",'Catalogue Aluminium'!$L$9,'Catalogue Aluminium'!$M$9)),IF(T11="DUCT",(IF($U11="1C",'Catalogue Aluminium'!$L$10,'Catalogue Aluminium'!$M$10)),IF(T11="GROUND",(IF($U11="1C",'Catalogue Aluminium'!$L$11,'Catalogue Aluminium'!$M$11)),IF(T11="TRENCH",(IF($U11="1C",'Catalogue Aluminium'!$L$12,'Catalogue Aluminium'!$M$12))))))</f>
        <v>0.66</v>
      </c>
      <c r="AK11" s="344" t="str">
        <f>IF(T11="Air",'Catalogue Aluminium'!$N$9,IF(T11="GROUND",'Catalogue Aluminium'!$N$10,IF(T11="DUCT",'Catalogue Aluminium'!$N$11,IF(T11="TRENCH",'Catalogue Aluminium'!$N$12,"NA"))))</f>
        <v>NA</v>
      </c>
      <c r="AL11" s="344" t="str">
        <f>IF(T11="Air",(IF(U11="1C",'Catalogue Aluminium'!$O$9,'Catalogue Aluminium'!$P$9)),IF(T11="DUCT",(IF($U11="1C",'Catalogue Aluminium'!$O$10,'Catalogue Aluminium'!$P$10)),IF(T11="GROUND",(IF($U11="1C",'Catalogue Aluminium'!$O$11,'Catalogue Aluminium'!$P$11)),IF(T11="TRENCH",(IF($U11="1C",'Catalogue Aluminium'!$O$12,'Catalogue Aluminium'!$P$12))))))</f>
        <v>NA</v>
      </c>
      <c r="AM11" s="344" t="str">
        <f>IF(T11="AIR","NA",IF(T11="TRENCH","NA",IF(T11="DUCT",IF(U11="1C",VLOOKUP(V11,'Catalogue Aluminium'!$Q$9:$S$28,2,FALSE),VLOOKUP(V11,'Catalogue Aluminium'!$Q$9:$S$28,3)),IF(T11="GROUND",IF(U11="1C",VLOOKUP(V11,'Catalogue Aluminium'!$Q$9:$S$28,2,FALSE),VLOOKUP(V11,'Catalogue Aluminium'!$Q$9:$S$28,3))))))</f>
        <v>NA</v>
      </c>
      <c r="AN11" s="351">
        <f t="shared" si="5"/>
        <v>0.58740000000000003</v>
      </c>
      <c r="AO11" s="350">
        <f t="shared" si="6"/>
        <v>29.957400000000003</v>
      </c>
      <c r="AP11" s="349">
        <f t="shared" si="7"/>
        <v>1</v>
      </c>
      <c r="AQ11" s="350" t="str">
        <f t="shared" si="8"/>
        <v>YES</v>
      </c>
      <c r="AR11" s="351">
        <f t="shared" si="9"/>
        <v>2.6949978561649153</v>
      </c>
      <c r="AS11" s="343" t="str">
        <f>IF(G11="INCOMER",(IF(AR11&lt;=2,"YES","NO")),IF(G11="POWER",(IF(AR11&lt;=2.5,"YES","NO")),IF(G11="MOTOR",(IF(AR11&lt;=3,"YES","NO")))))</f>
        <v>YES</v>
      </c>
      <c r="AT11" s="351">
        <f t="shared" si="86"/>
        <v>4.3172364648723063</v>
      </c>
      <c r="AU11" s="343" t="str">
        <f t="shared" si="10"/>
        <v>YES</v>
      </c>
      <c r="AV11" s="354" t="str">
        <f t="shared" si="11"/>
        <v>1R x 0.6/1kV x 3C x 6 Sqmm</v>
      </c>
      <c r="AW11" s="354" t="str">
        <f t="shared" si="87"/>
        <v>1R x 0.6/1kV x 3C x 6+PE Sqmm</v>
      </c>
      <c r="AX11" s="343">
        <f t="shared" si="88"/>
        <v>134</v>
      </c>
      <c r="AY11" s="355"/>
      <c r="AZ11" s="355">
        <f t="shared" si="89"/>
        <v>2</v>
      </c>
      <c r="BA11" s="356" t="str">
        <f t="shared" si="92"/>
        <v>I2J</v>
      </c>
      <c r="BB11" s="336">
        <f>VLOOKUP(W11,'Catalogue Aluminium'!$B$9:$H$93,7,FALSE)</f>
        <v>16</v>
      </c>
      <c r="BC11" s="336">
        <f t="shared" si="90"/>
        <v>16</v>
      </c>
      <c r="BE11" s="336"/>
      <c r="BF11" s="336"/>
      <c r="BG11" s="336"/>
      <c r="BH11" s="336"/>
      <c r="BI11" s="336"/>
      <c r="BJ11" s="336"/>
      <c r="BK11" s="336"/>
      <c r="BL11" s="336"/>
      <c r="BM11" s="336"/>
      <c r="BN11" s="336"/>
      <c r="BO11" s="336"/>
      <c r="BP11" s="336"/>
      <c r="BQ11" s="336"/>
      <c r="BR11" s="336"/>
      <c r="BS11" s="336"/>
      <c r="BT11" s="336"/>
      <c r="BU11" s="336"/>
      <c r="BV11" s="336"/>
      <c r="BW11" s="336"/>
      <c r="BX11" s="336"/>
      <c r="BY11" s="336"/>
      <c r="BZ11" s="336"/>
      <c r="CA11" s="336"/>
      <c r="CB11" s="336">
        <v>1</v>
      </c>
      <c r="CC11" s="336"/>
      <c r="CD11" s="336">
        <v>1</v>
      </c>
      <c r="CE11" s="336"/>
      <c r="CF11" s="336"/>
      <c r="CG11" s="336"/>
      <c r="CH11" s="336"/>
      <c r="CI11" s="336"/>
      <c r="CJ11" s="336"/>
      <c r="CK11" s="336"/>
      <c r="CL11" s="336"/>
      <c r="CM11" s="336"/>
      <c r="CN11" s="336"/>
      <c r="CO11" s="336"/>
      <c r="CP11" s="336"/>
      <c r="CQ11" s="336"/>
      <c r="CR11" s="336"/>
      <c r="CS11" s="336"/>
      <c r="CT11" s="336"/>
      <c r="CU11" s="336"/>
      <c r="CV11" s="336"/>
      <c r="CW11" s="336"/>
      <c r="CX11" s="336"/>
      <c r="CY11" s="336"/>
      <c r="CZ11" s="752"/>
      <c r="DA11" s="752"/>
      <c r="DB11" s="752"/>
      <c r="DC11" s="752"/>
      <c r="DD11" s="752"/>
      <c r="DE11" s="752"/>
      <c r="DF11" s="752"/>
      <c r="DG11" s="752"/>
      <c r="DH11" s="752"/>
      <c r="DI11" s="752"/>
      <c r="DJ11" s="752"/>
      <c r="DK11" s="752"/>
      <c r="DL11" s="752"/>
      <c r="DM11" s="752"/>
      <c r="DN11" s="752"/>
      <c r="DO11" s="752"/>
      <c r="DP11" s="752"/>
      <c r="DQ11" s="752"/>
      <c r="DR11" s="752"/>
      <c r="DS11" s="752"/>
      <c r="DT11" s="752"/>
      <c r="DU11" s="752"/>
      <c r="DW11" s="336">
        <f t="shared" si="93"/>
        <v>0</v>
      </c>
      <c r="DX11" s="336">
        <f t="shared" si="14"/>
        <v>0</v>
      </c>
      <c r="DY11" s="336">
        <f t="shared" si="15"/>
        <v>0</v>
      </c>
      <c r="DZ11" s="336">
        <f t="shared" si="16"/>
        <v>0</v>
      </c>
      <c r="EA11" s="336">
        <f t="shared" si="17"/>
        <v>0</v>
      </c>
      <c r="EB11" s="336">
        <f t="shared" si="18"/>
        <v>0</v>
      </c>
      <c r="EC11" s="336">
        <f t="shared" si="19"/>
        <v>0</v>
      </c>
      <c r="ED11" s="336">
        <f t="shared" si="20"/>
        <v>0</v>
      </c>
      <c r="EE11" s="336">
        <f t="shared" si="21"/>
        <v>0</v>
      </c>
      <c r="EF11" s="336">
        <f t="shared" si="22"/>
        <v>0</v>
      </c>
      <c r="EG11" s="336">
        <f t="shared" si="23"/>
        <v>0</v>
      </c>
      <c r="EH11" s="336">
        <f t="shared" si="24"/>
        <v>0</v>
      </c>
      <c r="EI11" s="336">
        <f t="shared" si="25"/>
        <v>0</v>
      </c>
      <c r="EJ11" s="336">
        <f t="shared" si="26"/>
        <v>0</v>
      </c>
      <c r="EK11" s="336">
        <f t="shared" si="27"/>
        <v>0</v>
      </c>
      <c r="EL11" s="336">
        <f t="shared" si="28"/>
        <v>0</v>
      </c>
      <c r="EM11" s="336">
        <f t="shared" si="29"/>
        <v>0</v>
      </c>
      <c r="EN11" s="336">
        <f t="shared" si="30"/>
        <v>0</v>
      </c>
      <c r="EO11" s="336">
        <f t="shared" si="31"/>
        <v>0</v>
      </c>
      <c r="EP11" s="336">
        <f t="shared" si="32"/>
        <v>0</v>
      </c>
      <c r="EQ11" s="336">
        <f t="shared" si="33"/>
        <v>0</v>
      </c>
      <c r="ER11" s="336">
        <f t="shared" si="34"/>
        <v>0</v>
      </c>
      <c r="ES11" s="336">
        <f t="shared" si="35"/>
        <v>0</v>
      </c>
      <c r="ET11" s="336">
        <f t="shared" si="35"/>
        <v>16</v>
      </c>
      <c r="EU11" s="336">
        <f t="shared" si="36"/>
        <v>0</v>
      </c>
      <c r="EV11" s="336">
        <f t="shared" si="37"/>
        <v>16</v>
      </c>
      <c r="EW11" s="336">
        <f t="shared" si="38"/>
        <v>0</v>
      </c>
      <c r="EX11" s="336">
        <f t="shared" si="39"/>
        <v>0</v>
      </c>
      <c r="EY11" s="336">
        <f t="shared" si="40"/>
        <v>0</v>
      </c>
      <c r="EZ11" s="336">
        <f t="shared" si="41"/>
        <v>0</v>
      </c>
      <c r="FA11" s="336">
        <f t="shared" si="42"/>
        <v>0</v>
      </c>
      <c r="FB11" s="336">
        <f t="shared" si="43"/>
        <v>0</v>
      </c>
      <c r="FC11" s="336">
        <f t="shared" si="44"/>
        <v>0</v>
      </c>
      <c r="FD11" s="336">
        <f t="shared" si="45"/>
        <v>0</v>
      </c>
      <c r="FE11" s="336">
        <f t="shared" si="46"/>
        <v>0</v>
      </c>
      <c r="FF11" s="336">
        <f t="shared" si="47"/>
        <v>0</v>
      </c>
      <c r="FG11" s="336">
        <f t="shared" si="48"/>
        <v>0</v>
      </c>
      <c r="FH11" s="336">
        <f t="shared" si="49"/>
        <v>0</v>
      </c>
      <c r="FI11" s="336">
        <f t="shared" si="50"/>
        <v>0</v>
      </c>
      <c r="FJ11" s="336">
        <f t="shared" si="51"/>
        <v>0</v>
      </c>
      <c r="FK11" s="336">
        <f t="shared" si="52"/>
        <v>0</v>
      </c>
      <c r="FL11" s="336">
        <f t="shared" si="53"/>
        <v>0</v>
      </c>
      <c r="FM11" s="336">
        <f t="shared" si="54"/>
        <v>0</v>
      </c>
      <c r="FN11" s="336">
        <f t="shared" si="55"/>
        <v>0</v>
      </c>
      <c r="FO11" s="336">
        <f t="shared" si="56"/>
        <v>0</v>
      </c>
      <c r="FP11" s="336">
        <f t="shared" si="57"/>
        <v>0</v>
      </c>
      <c r="FQ11" s="336">
        <f t="shared" si="58"/>
        <v>0</v>
      </c>
      <c r="FR11" s="336">
        <f t="shared" si="59"/>
        <v>0</v>
      </c>
      <c r="FS11" s="336">
        <f t="shared" si="60"/>
        <v>0</v>
      </c>
      <c r="FT11" s="336">
        <f t="shared" si="61"/>
        <v>0</v>
      </c>
      <c r="FU11" s="336">
        <f t="shared" si="62"/>
        <v>0</v>
      </c>
      <c r="FV11" s="336">
        <f t="shared" si="63"/>
        <v>0</v>
      </c>
      <c r="FW11" s="336">
        <f t="shared" si="64"/>
        <v>0</v>
      </c>
      <c r="FX11" s="336">
        <f t="shared" si="65"/>
        <v>0</v>
      </c>
      <c r="FY11" s="336">
        <f t="shared" si="66"/>
        <v>0</v>
      </c>
      <c r="FZ11" s="336">
        <f t="shared" si="67"/>
        <v>0</v>
      </c>
      <c r="GA11" s="336">
        <f t="shared" si="68"/>
        <v>0</v>
      </c>
      <c r="GB11" s="336">
        <f t="shared" si="69"/>
        <v>0</v>
      </c>
      <c r="GC11" s="336">
        <f t="shared" si="70"/>
        <v>0</v>
      </c>
      <c r="GD11" s="336">
        <f t="shared" si="71"/>
        <v>0</v>
      </c>
      <c r="GE11" s="336">
        <f t="shared" si="72"/>
        <v>0</v>
      </c>
      <c r="GF11" s="336">
        <f t="shared" si="73"/>
        <v>0</v>
      </c>
      <c r="GG11" s="336">
        <f t="shared" si="74"/>
        <v>0</v>
      </c>
      <c r="GH11" s="336">
        <f t="shared" si="75"/>
        <v>0</v>
      </c>
      <c r="GI11" s="336">
        <f t="shared" si="76"/>
        <v>0</v>
      </c>
      <c r="GJ11" s="336">
        <f t="shared" si="77"/>
        <v>0</v>
      </c>
      <c r="GK11" s="336">
        <f t="shared" si="78"/>
        <v>0</v>
      </c>
      <c r="GL11" s="336">
        <f t="shared" si="79"/>
        <v>0</v>
      </c>
      <c r="GM11" s="336">
        <f t="shared" si="80"/>
        <v>0</v>
      </c>
    </row>
    <row r="12" spans="1:195" ht="20.100000000000001" customHeight="1">
      <c r="A12" s="337">
        <f t="shared" si="94"/>
        <v>4</v>
      </c>
      <c r="B12" s="337" t="s">
        <v>1438</v>
      </c>
      <c r="C12" s="372" t="s">
        <v>1430</v>
      </c>
      <c r="D12" s="338" t="s">
        <v>1439</v>
      </c>
      <c r="E12" s="500" t="s">
        <v>355</v>
      </c>
      <c r="F12" s="500"/>
      <c r="G12" s="337" t="s">
        <v>350</v>
      </c>
      <c r="H12" s="418">
        <v>7.5</v>
      </c>
      <c r="I12" s="337" t="s">
        <v>330</v>
      </c>
      <c r="J12" s="337" t="s">
        <v>331</v>
      </c>
      <c r="K12" s="337">
        <v>400</v>
      </c>
      <c r="L12" s="343">
        <v>0.82</v>
      </c>
      <c r="M12" s="350">
        <v>0.93299999999999994</v>
      </c>
      <c r="N12" s="342">
        <f t="shared" ref="N12:N16" si="95">IF(I12="kVA",IF(J12="3Ph",(H12*1000/(1.732*M12*K12)),(H12*1000/(M12*K12))),IF(I12="kW",IF(J12="3Ph",(H12*1000/(1.732*M12*K12*L12)),(H12*1000/(M12*K12*L12)))))</f>
        <v>14.150047190973385</v>
      </c>
      <c r="O12" s="342">
        <f t="shared" si="1"/>
        <v>84.900283145840319</v>
      </c>
      <c r="P12" s="343">
        <f t="shared" ref="P12:P16" si="96">IF(G12="MOTOR",0.2,"0.00")</f>
        <v>0.2</v>
      </c>
      <c r="Q12" s="350">
        <v>65</v>
      </c>
      <c r="R12" s="350">
        <v>0</v>
      </c>
      <c r="S12" s="350">
        <f t="shared" ref="S12:S16" si="97">(Q12*1000*SQRT(R12)/143)</f>
        <v>0</v>
      </c>
      <c r="T12" s="343" t="s">
        <v>131</v>
      </c>
      <c r="U12" s="350" t="s">
        <v>333</v>
      </c>
      <c r="V12" s="343">
        <v>6</v>
      </c>
      <c r="W12" s="343" t="str">
        <f t="shared" ref="W12:W16" si="98">CONCATENATE(U12," X ",V12)</f>
        <v>3C X 6</v>
      </c>
      <c r="X12" s="343" t="str">
        <f t="shared" ref="X12:X16" si="99">(IF(J12="1Ph",W12,IF(J12="3Ph",(IF(G12="MOTOR",(CONCATENATE(W12,"+PE")),W12)))))</f>
        <v>3C X 6+PE</v>
      </c>
      <c r="Y12" s="343" t="s">
        <v>358</v>
      </c>
      <c r="Z12" s="344">
        <f>IF(T12="AIR",VLOOKUP(W12,'Catalogue Aluminium'!$B$9:$G$93,2,FALSE),IF(T12="GROUND",VLOOKUP(W12,'Catalogue Aluminium'!$B$9:$G$93,3,FALSE),IF(T12="DUCT",VLOOKUP(W12,'Catalogue Aluminium'!$B$9:$G$93,4,FALSE),IF(T12="TRENCH",VLOOKUP(W12,'Catalogue Aluminium'!$B$9:$G$93,2,FALSE)))))</f>
        <v>51</v>
      </c>
      <c r="AA12" s="345">
        <f>VLOOKUP(W12,'Catalogue Aluminium'!$B$9:$G$93,5,FALSE)</f>
        <v>3.94</v>
      </c>
      <c r="AB12" s="345">
        <f>VLOOKUP(W12,'Catalogue Aluminium'!$B$9:$G$93,6,FALSE)</f>
        <v>9.0200000000000002E-2</v>
      </c>
      <c r="AC12" s="343">
        <f t="shared" si="82"/>
        <v>18</v>
      </c>
      <c r="AD12" s="343">
        <f t="shared" si="91"/>
        <v>83</v>
      </c>
      <c r="AE12" s="343">
        <f t="shared" si="83"/>
        <v>10</v>
      </c>
      <c r="AF12" s="343">
        <f t="shared" si="83"/>
        <v>10</v>
      </c>
      <c r="AG12" s="343">
        <f t="shared" ref="AG12:AG16" si="100">ROUNDUP((SUM(AC12:AF12)*0.1),0)</f>
        <v>13</v>
      </c>
      <c r="AH12" s="802">
        <f t="shared" si="85"/>
        <v>134</v>
      </c>
      <c r="AI12" s="344">
        <f>IF(T12="AIR",'Catalogue Aluminium'!$K$9,IF(T12="TRENCH",'Catalogue Aluminium'!$K$12,"NA"))</f>
        <v>0.89</v>
      </c>
      <c r="AJ12" s="342">
        <f>IF(T12="Air",(IF(U12="1C",'Catalogue Aluminium'!$L$9,'Catalogue Aluminium'!$M$9)),IF(T12="DUCT",(IF($U12="1C",'Catalogue Aluminium'!$L$10,'Catalogue Aluminium'!$M$10)),IF(T12="GROUND",(IF($U12="1C",'Catalogue Aluminium'!$L$11,'Catalogue Aluminium'!$M$11)),IF(T12="TRENCH",(IF($U12="1C",'Catalogue Aluminium'!$L$12,'Catalogue Aluminium'!$M$12))))))</f>
        <v>0.66</v>
      </c>
      <c r="AK12" s="344" t="str">
        <f>IF(T12="Air",'Catalogue Aluminium'!$N$9,IF(T12="GROUND",'Catalogue Aluminium'!$N$10,IF(T12="DUCT",'Catalogue Aluminium'!$N$11,IF(T12="TRENCH",'Catalogue Aluminium'!$N$12,"NA"))))</f>
        <v>NA</v>
      </c>
      <c r="AL12" s="344" t="str">
        <f>IF(T12="Air",(IF(U12="1C",'Catalogue Aluminium'!$O$9,'Catalogue Aluminium'!$P$9)),IF(T12="DUCT",(IF($U12="1C",'Catalogue Aluminium'!$O$10,'Catalogue Aluminium'!$P$10)),IF(T12="GROUND",(IF($U12="1C",'Catalogue Aluminium'!$O$11,'Catalogue Aluminium'!$P$11)),IF(T12="TRENCH",(IF($U12="1C",'Catalogue Aluminium'!$O$12,'Catalogue Aluminium'!$P$12))))))</f>
        <v>NA</v>
      </c>
      <c r="AM12" s="344" t="str">
        <f>IF(T12="AIR","NA",IF(T12="TRENCH","NA",IF(T12="DUCT",IF(U12="1C",VLOOKUP(V12,'Catalogue Aluminium'!$Q$9:$S$28,2,FALSE),VLOOKUP(V12,'Catalogue Aluminium'!$Q$9:$S$28,3)),IF(T12="GROUND",IF(U12="1C",VLOOKUP(V12,'Catalogue Aluminium'!$Q$9:$S$28,2,FALSE),VLOOKUP(V12,'Catalogue Aluminium'!$Q$9:$S$28,3))))))</f>
        <v>NA</v>
      </c>
      <c r="AN12" s="351">
        <f t="shared" ref="AN12:AN16" si="101">IF(T12="AIR",AI12*AJ12,IF(T12="TRENCH",AI12*AJ12,IF(T12="DUCT",AJ12*AK12*AL12*AM12,IF(T12="GROUND",AJ12*AK12*AL12*AM12))))</f>
        <v>0.58740000000000003</v>
      </c>
      <c r="AO12" s="350">
        <f t="shared" ref="AO12:AO16" si="102">Z12*AN12</f>
        <v>29.957400000000003</v>
      </c>
      <c r="AP12" s="349">
        <f t="shared" ref="AP12:AP16" si="103">CEILING(((N12)/AO12),1)</f>
        <v>1</v>
      </c>
      <c r="AQ12" s="350" t="str">
        <f t="shared" ref="AQ12:AQ16" si="104">IF(AO12*AP12&gt;=N12,"YES","NO")</f>
        <v>YES</v>
      </c>
      <c r="AR12" s="351">
        <f t="shared" ref="AR12:AR16" si="105">SQRT(3)*AH12*N12*((AA12*L12)+(AB12*SIN(ACOS(L12))))*100/(AP12*K12*1000)</f>
        <v>2.6949978561649153</v>
      </c>
      <c r="AS12" s="343" t="str">
        <f t="shared" ref="AS12:AS16" si="106">IF(G12="INCOMER",(IF(AR12&lt;=2,"YES","NO")),IF(G12="POWER",(IF(AR12&lt;=2.5,"YES","NO")),IF(G12="MOTOR",(IF(AR12&lt;=3,"YES","NO")))))</f>
        <v>YES</v>
      </c>
      <c r="AT12" s="351">
        <f t="shared" si="86"/>
        <v>4.3172364648723063</v>
      </c>
      <c r="AU12" s="343" t="str">
        <f t="shared" si="10"/>
        <v>YES</v>
      </c>
      <c r="AV12" s="354" t="str">
        <f t="shared" si="11"/>
        <v>1R x 0.6/1kV x 3C x 6 Sqmm</v>
      </c>
      <c r="AW12" s="354" t="str">
        <f t="shared" si="87"/>
        <v>1R x 0.6/1kV x 3C x 6+PE Sqmm</v>
      </c>
      <c r="AX12" s="343">
        <f t="shared" si="88"/>
        <v>134</v>
      </c>
      <c r="AY12" s="355"/>
      <c r="AZ12" s="355">
        <f t="shared" si="89"/>
        <v>2</v>
      </c>
      <c r="BA12" s="356" t="str">
        <f t="shared" si="92"/>
        <v>I2J</v>
      </c>
      <c r="BB12" s="336">
        <f>VLOOKUP(W12,'Catalogue Aluminium'!$B$9:$H$93,7,FALSE)</f>
        <v>16</v>
      </c>
      <c r="BC12" s="336">
        <f t="shared" si="90"/>
        <v>16</v>
      </c>
      <c r="BE12" s="336"/>
      <c r="BF12" s="336"/>
      <c r="BG12" s="336"/>
      <c r="BH12" s="336"/>
      <c r="BI12" s="336"/>
      <c r="BJ12" s="336"/>
      <c r="BK12" s="336"/>
      <c r="BL12" s="336"/>
      <c r="BM12" s="336"/>
      <c r="BN12" s="336"/>
      <c r="BO12" s="336"/>
      <c r="BP12" s="336"/>
      <c r="BQ12" s="336"/>
      <c r="BR12" s="336"/>
      <c r="BS12" s="336"/>
      <c r="BT12" s="336"/>
      <c r="BU12" s="336"/>
      <c r="BV12" s="336"/>
      <c r="BW12" s="336"/>
      <c r="BX12" s="336"/>
      <c r="BY12" s="336"/>
      <c r="BZ12" s="336"/>
      <c r="CA12" s="336"/>
      <c r="CB12" s="336">
        <v>1</v>
      </c>
      <c r="CC12" s="336"/>
      <c r="CD12" s="336">
        <v>1</v>
      </c>
      <c r="CE12" s="336"/>
      <c r="CF12" s="336"/>
      <c r="CG12" s="336"/>
      <c r="CH12" s="336"/>
      <c r="CI12" s="336"/>
      <c r="CJ12" s="336"/>
      <c r="CK12" s="336"/>
      <c r="CL12" s="336"/>
      <c r="CM12" s="336"/>
      <c r="CN12" s="336"/>
      <c r="CO12" s="336"/>
      <c r="CP12" s="336"/>
      <c r="CQ12" s="336"/>
      <c r="CR12" s="336"/>
      <c r="CS12" s="336"/>
      <c r="CT12" s="336"/>
      <c r="CU12" s="336"/>
      <c r="CV12" s="336"/>
      <c r="CW12" s="336"/>
      <c r="CX12" s="336"/>
      <c r="CY12" s="336"/>
      <c r="CZ12" s="752"/>
      <c r="DA12" s="752"/>
      <c r="DB12" s="752"/>
      <c r="DC12" s="752"/>
      <c r="DD12" s="752"/>
      <c r="DE12" s="752"/>
      <c r="DF12" s="752"/>
      <c r="DG12" s="752"/>
      <c r="DH12" s="752"/>
      <c r="DI12" s="752"/>
      <c r="DJ12" s="752"/>
      <c r="DK12" s="752"/>
      <c r="DL12" s="752"/>
      <c r="DM12" s="752"/>
      <c r="DN12" s="752"/>
      <c r="DO12" s="752"/>
      <c r="DP12" s="752"/>
      <c r="DQ12" s="752"/>
      <c r="DR12" s="752"/>
      <c r="DS12" s="752"/>
      <c r="DT12" s="752"/>
      <c r="DU12" s="752"/>
      <c r="DW12" s="336">
        <f t="shared" si="93"/>
        <v>0</v>
      </c>
      <c r="DX12" s="336">
        <f t="shared" si="14"/>
        <v>0</v>
      </c>
      <c r="DY12" s="336">
        <f t="shared" si="15"/>
        <v>0</v>
      </c>
      <c r="DZ12" s="336">
        <f t="shared" si="16"/>
        <v>0</v>
      </c>
      <c r="EA12" s="336">
        <f t="shared" si="17"/>
        <v>0</v>
      </c>
      <c r="EB12" s="336">
        <f t="shared" si="18"/>
        <v>0</v>
      </c>
      <c r="EC12" s="336">
        <f t="shared" si="19"/>
        <v>0</v>
      </c>
      <c r="ED12" s="336">
        <f t="shared" si="20"/>
        <v>0</v>
      </c>
      <c r="EE12" s="336">
        <f t="shared" si="21"/>
        <v>0</v>
      </c>
      <c r="EF12" s="336">
        <f t="shared" si="22"/>
        <v>0</v>
      </c>
      <c r="EG12" s="336">
        <f t="shared" si="23"/>
        <v>0</v>
      </c>
      <c r="EH12" s="336">
        <f t="shared" si="24"/>
        <v>0</v>
      </c>
      <c r="EI12" s="336">
        <f t="shared" si="25"/>
        <v>0</v>
      </c>
      <c r="EJ12" s="336">
        <f t="shared" si="26"/>
        <v>0</v>
      </c>
      <c r="EK12" s="336">
        <f t="shared" si="27"/>
        <v>0</v>
      </c>
      <c r="EL12" s="336">
        <f t="shared" si="28"/>
        <v>0</v>
      </c>
      <c r="EM12" s="336">
        <f t="shared" si="29"/>
        <v>0</v>
      </c>
      <c r="EN12" s="336">
        <f t="shared" si="30"/>
        <v>0</v>
      </c>
      <c r="EO12" s="336">
        <f t="shared" si="31"/>
        <v>0</v>
      </c>
      <c r="EP12" s="336">
        <f t="shared" si="32"/>
        <v>0</v>
      </c>
      <c r="EQ12" s="336">
        <f t="shared" si="33"/>
        <v>0</v>
      </c>
      <c r="ER12" s="336">
        <f t="shared" si="34"/>
        <v>0</v>
      </c>
      <c r="ES12" s="336">
        <f t="shared" si="35"/>
        <v>0</v>
      </c>
      <c r="ET12" s="336">
        <f t="shared" si="35"/>
        <v>16</v>
      </c>
      <c r="EU12" s="336">
        <f t="shared" si="36"/>
        <v>0</v>
      </c>
      <c r="EV12" s="336">
        <f t="shared" si="37"/>
        <v>16</v>
      </c>
      <c r="EW12" s="336">
        <f t="shared" si="38"/>
        <v>0</v>
      </c>
      <c r="EX12" s="336">
        <f t="shared" si="39"/>
        <v>0</v>
      </c>
      <c r="EY12" s="336">
        <f t="shared" si="40"/>
        <v>0</v>
      </c>
      <c r="EZ12" s="336">
        <f t="shared" si="41"/>
        <v>0</v>
      </c>
      <c r="FA12" s="336">
        <f t="shared" si="42"/>
        <v>0</v>
      </c>
      <c r="FB12" s="336">
        <f t="shared" si="43"/>
        <v>0</v>
      </c>
      <c r="FC12" s="336">
        <f t="shared" si="44"/>
        <v>0</v>
      </c>
      <c r="FD12" s="336">
        <f t="shared" si="45"/>
        <v>0</v>
      </c>
      <c r="FE12" s="336">
        <f t="shared" si="46"/>
        <v>0</v>
      </c>
      <c r="FF12" s="336">
        <f t="shared" si="47"/>
        <v>0</v>
      </c>
      <c r="FG12" s="336">
        <f t="shared" si="48"/>
        <v>0</v>
      </c>
      <c r="FH12" s="336">
        <f t="shared" si="49"/>
        <v>0</v>
      </c>
      <c r="FI12" s="336">
        <f t="shared" si="50"/>
        <v>0</v>
      </c>
      <c r="FJ12" s="336">
        <f t="shared" si="51"/>
        <v>0</v>
      </c>
      <c r="FK12" s="336">
        <f t="shared" si="52"/>
        <v>0</v>
      </c>
      <c r="FL12" s="336">
        <f t="shared" si="53"/>
        <v>0</v>
      </c>
      <c r="FM12" s="336">
        <f t="shared" si="54"/>
        <v>0</v>
      </c>
      <c r="FN12" s="336">
        <f t="shared" si="55"/>
        <v>0</v>
      </c>
      <c r="FO12" s="336">
        <f t="shared" si="56"/>
        <v>0</v>
      </c>
      <c r="FP12" s="336">
        <f t="shared" si="57"/>
        <v>0</v>
      </c>
      <c r="FQ12" s="336">
        <f t="shared" si="58"/>
        <v>0</v>
      </c>
      <c r="FR12" s="336">
        <f t="shared" si="59"/>
        <v>0</v>
      </c>
      <c r="FS12" s="336">
        <f t="shared" si="60"/>
        <v>0</v>
      </c>
      <c r="FT12" s="336">
        <f t="shared" si="61"/>
        <v>0</v>
      </c>
      <c r="FU12" s="336">
        <f t="shared" si="62"/>
        <v>0</v>
      </c>
      <c r="FV12" s="336">
        <f t="shared" si="63"/>
        <v>0</v>
      </c>
      <c r="FW12" s="336">
        <f t="shared" si="64"/>
        <v>0</v>
      </c>
      <c r="FX12" s="336">
        <f t="shared" si="65"/>
        <v>0</v>
      </c>
      <c r="FY12" s="336">
        <f t="shared" si="66"/>
        <v>0</v>
      </c>
      <c r="FZ12" s="336">
        <f t="shared" si="67"/>
        <v>0</v>
      </c>
      <c r="GA12" s="336">
        <f t="shared" si="68"/>
        <v>0</v>
      </c>
      <c r="GB12" s="336">
        <f t="shared" si="69"/>
        <v>0</v>
      </c>
      <c r="GC12" s="336">
        <f t="shared" si="70"/>
        <v>0</v>
      </c>
      <c r="GD12" s="336">
        <f t="shared" si="71"/>
        <v>0</v>
      </c>
      <c r="GE12" s="336">
        <f t="shared" si="72"/>
        <v>0</v>
      </c>
      <c r="GF12" s="336">
        <f t="shared" si="73"/>
        <v>0</v>
      </c>
      <c r="GG12" s="336">
        <f t="shared" si="74"/>
        <v>0</v>
      </c>
      <c r="GH12" s="336">
        <f t="shared" si="75"/>
        <v>0</v>
      </c>
      <c r="GI12" s="336">
        <f t="shared" si="76"/>
        <v>0</v>
      </c>
      <c r="GJ12" s="336">
        <f t="shared" si="77"/>
        <v>0</v>
      </c>
      <c r="GK12" s="336">
        <f t="shared" si="78"/>
        <v>0</v>
      </c>
      <c r="GL12" s="336">
        <f t="shared" si="79"/>
        <v>0</v>
      </c>
      <c r="GM12" s="336">
        <f t="shared" si="80"/>
        <v>0</v>
      </c>
    </row>
    <row r="13" spans="1:195" ht="20.100000000000001" customHeight="1">
      <c r="A13" s="388">
        <f t="shared" si="94"/>
        <v>5</v>
      </c>
      <c r="B13" s="388" t="s">
        <v>1440</v>
      </c>
      <c r="C13" s="338" t="s">
        <v>1430</v>
      </c>
      <c r="D13" s="338" t="s">
        <v>1437</v>
      </c>
      <c r="E13" s="502" t="s">
        <v>355</v>
      </c>
      <c r="F13" s="502"/>
      <c r="G13" s="388" t="s">
        <v>350</v>
      </c>
      <c r="H13" s="418">
        <v>7.5</v>
      </c>
      <c r="I13" s="388" t="s">
        <v>330</v>
      </c>
      <c r="J13" s="388" t="s">
        <v>331</v>
      </c>
      <c r="K13" s="388">
        <v>400</v>
      </c>
      <c r="L13" s="401">
        <v>0.82</v>
      </c>
      <c r="M13" s="418">
        <v>0.93299999999999994</v>
      </c>
      <c r="N13" s="392">
        <f t="shared" si="95"/>
        <v>14.150047190973385</v>
      </c>
      <c r="O13" s="392">
        <f t="shared" si="1"/>
        <v>84.900283145840319</v>
      </c>
      <c r="P13" s="401">
        <f t="shared" si="96"/>
        <v>0.2</v>
      </c>
      <c r="Q13" s="418">
        <v>65</v>
      </c>
      <c r="R13" s="418">
        <v>0</v>
      </c>
      <c r="S13" s="418">
        <f t="shared" si="97"/>
        <v>0</v>
      </c>
      <c r="T13" s="401" t="s">
        <v>131</v>
      </c>
      <c r="U13" s="418" t="s">
        <v>333</v>
      </c>
      <c r="V13" s="401">
        <v>6</v>
      </c>
      <c r="W13" s="401" t="str">
        <f t="shared" si="98"/>
        <v>3C X 6</v>
      </c>
      <c r="X13" s="401" t="str">
        <f t="shared" si="99"/>
        <v>3C X 6+PE</v>
      </c>
      <c r="Y13" s="401" t="s">
        <v>358</v>
      </c>
      <c r="Z13" s="393">
        <f>IF(T13="AIR",VLOOKUP(W13,'Catalogue Aluminium'!$B$9:$G$93,2,FALSE),IF(T13="GROUND",VLOOKUP(W13,'Catalogue Aluminium'!$B$9:$G$93,3,FALSE),IF(T13="DUCT",VLOOKUP(W13,'Catalogue Aluminium'!$B$9:$G$93,4,FALSE),IF(T13="TRENCH",VLOOKUP(W13,'Catalogue Aluminium'!$B$9:$G$93,2,FALSE)))))</f>
        <v>51</v>
      </c>
      <c r="AA13" s="402">
        <f>VLOOKUP(W13,'Catalogue Aluminium'!$B$9:$G$93,5,FALSE)</f>
        <v>3.94</v>
      </c>
      <c r="AB13" s="402">
        <f>VLOOKUP(W13,'Catalogue Aluminium'!$B$9:$G$93,6,FALSE)</f>
        <v>9.0200000000000002E-2</v>
      </c>
      <c r="AC13" s="401">
        <f t="shared" si="82"/>
        <v>18</v>
      </c>
      <c r="AD13" s="401">
        <f t="shared" si="91"/>
        <v>83</v>
      </c>
      <c r="AE13" s="401">
        <f t="shared" si="83"/>
        <v>10</v>
      </c>
      <c r="AF13" s="401">
        <f t="shared" si="83"/>
        <v>10</v>
      </c>
      <c r="AG13" s="401">
        <f t="shared" si="100"/>
        <v>13</v>
      </c>
      <c r="AH13" s="803">
        <f t="shared" si="85"/>
        <v>134</v>
      </c>
      <c r="AI13" s="393">
        <f>IF(T13="AIR",'Catalogue Aluminium'!$K$9,IF(T13="TRENCH",'Catalogue Aluminium'!$K$12,"NA"))</f>
        <v>0.89</v>
      </c>
      <c r="AJ13" s="392">
        <f>IF(T13="Air",(IF(U13="1C",'Catalogue Aluminium'!$L$9,'Catalogue Aluminium'!$M$9)),IF(T13="DUCT",(IF($U13="1C",'Catalogue Aluminium'!$L$10,'Catalogue Aluminium'!$M$10)),IF(T13="GROUND",(IF($U13="1C",'Catalogue Aluminium'!$L$11,'Catalogue Aluminium'!$M$11)),IF(T13="TRENCH",(IF($U13="1C",'Catalogue Aluminium'!$L$12,'Catalogue Aluminium'!$M$12))))))</f>
        <v>0.66</v>
      </c>
      <c r="AK13" s="393" t="str">
        <f>IF(T13="Air",'Catalogue Aluminium'!$N$9,IF(T13="GROUND",'Catalogue Aluminium'!$N$10,IF(T13="DUCT",'Catalogue Aluminium'!$N$11,IF(T13="TRENCH",'Catalogue Aluminium'!$N$12,"NA"))))</f>
        <v>NA</v>
      </c>
      <c r="AL13" s="393" t="str">
        <f>IF(T13="Air",(IF(U13="1C",'Catalogue Aluminium'!$O$9,'Catalogue Aluminium'!$P$9)),IF(T13="DUCT",(IF($U13="1C",'Catalogue Aluminium'!$O$10,'Catalogue Aluminium'!$P$10)),IF(T13="GROUND",(IF($U13="1C",'Catalogue Aluminium'!$O$11,'Catalogue Aluminium'!$P$11)),IF(T13="TRENCH",(IF($U13="1C",'Catalogue Aluminium'!$O$12,'Catalogue Aluminium'!$P$12))))))</f>
        <v>NA</v>
      </c>
      <c r="AM13" s="393" t="str">
        <f>IF(T13="AIR","NA",IF(T13="TRENCH","NA",IF(T13="DUCT",IF(U13="1C",VLOOKUP(V13,'Catalogue Aluminium'!$Q$9:$S$28,2,FALSE),VLOOKUP(V13,'Catalogue Aluminium'!$Q$9:$S$28,3)),IF(T13="GROUND",IF(U13="1C",VLOOKUP(V13,'Catalogue Aluminium'!$Q$9:$S$28,2,FALSE),VLOOKUP(V13,'Catalogue Aluminium'!$Q$9:$S$28,3))))))</f>
        <v>NA</v>
      </c>
      <c r="AN13" s="437">
        <f t="shared" si="101"/>
        <v>0.58740000000000003</v>
      </c>
      <c r="AO13" s="418">
        <f t="shared" si="102"/>
        <v>29.957400000000003</v>
      </c>
      <c r="AP13" s="434">
        <f t="shared" si="103"/>
        <v>1</v>
      </c>
      <c r="AQ13" s="418" t="str">
        <f t="shared" si="104"/>
        <v>YES</v>
      </c>
      <c r="AR13" s="437">
        <f t="shared" si="105"/>
        <v>2.6949978561649153</v>
      </c>
      <c r="AS13" s="401" t="str">
        <f t="shared" si="106"/>
        <v>YES</v>
      </c>
      <c r="AT13" s="437">
        <f t="shared" si="86"/>
        <v>4.3172364648723063</v>
      </c>
      <c r="AU13" s="401" t="str">
        <f t="shared" si="10"/>
        <v>YES</v>
      </c>
      <c r="AV13" s="503" t="str">
        <f t="shared" si="11"/>
        <v>1R x 0.6/1kV x 3C x 6 Sqmm</v>
      </c>
      <c r="AW13" s="503" t="str">
        <f t="shared" si="87"/>
        <v>1R x 0.6/1kV x 3C x 6+PE Sqmm</v>
      </c>
      <c r="AX13" s="401">
        <f t="shared" si="88"/>
        <v>134</v>
      </c>
      <c r="AY13" s="504"/>
      <c r="AZ13" s="504">
        <f t="shared" si="89"/>
        <v>2</v>
      </c>
      <c r="BA13" s="438" t="str">
        <f t="shared" si="92"/>
        <v>I2J</v>
      </c>
      <c r="BB13" s="579">
        <f>VLOOKUP(W13,'Catalogue Aluminium'!$B$9:$H$93,7,FALSE)</f>
        <v>16</v>
      </c>
      <c r="BC13" s="579">
        <f t="shared" si="90"/>
        <v>16</v>
      </c>
      <c r="BE13" s="336"/>
      <c r="BF13" s="336"/>
      <c r="BG13" s="336"/>
      <c r="BH13" s="336"/>
      <c r="BI13" s="336"/>
      <c r="BJ13" s="336"/>
      <c r="BK13" s="336"/>
      <c r="BL13" s="336"/>
      <c r="BM13" s="336"/>
      <c r="BN13" s="336"/>
      <c r="BO13" s="336"/>
      <c r="BP13" s="336"/>
      <c r="BQ13" s="336"/>
      <c r="BR13" s="336"/>
      <c r="BS13" s="336"/>
      <c r="BT13" s="336"/>
      <c r="BU13" s="336"/>
      <c r="BV13" s="336"/>
      <c r="BW13" s="336"/>
      <c r="BX13" s="336"/>
      <c r="BY13" s="336"/>
      <c r="BZ13" s="336"/>
      <c r="CA13" s="336"/>
      <c r="CB13" s="336">
        <v>1</v>
      </c>
      <c r="CC13" s="336"/>
      <c r="CD13" s="336">
        <v>1</v>
      </c>
      <c r="CE13" s="336"/>
      <c r="CF13" s="336"/>
      <c r="CG13" s="336"/>
      <c r="CH13" s="336"/>
      <c r="CI13" s="336"/>
      <c r="CJ13" s="336"/>
      <c r="CK13" s="336"/>
      <c r="CL13" s="336"/>
      <c r="CM13" s="336"/>
      <c r="CN13" s="336"/>
      <c r="CO13" s="336"/>
      <c r="CP13" s="336"/>
      <c r="CQ13" s="336"/>
      <c r="CR13" s="336"/>
      <c r="CS13" s="336"/>
      <c r="CT13" s="336"/>
      <c r="CU13" s="336"/>
      <c r="CV13" s="336"/>
      <c r="CW13" s="336"/>
      <c r="CX13" s="336"/>
      <c r="CY13" s="336"/>
      <c r="CZ13" s="752"/>
      <c r="DA13" s="752"/>
      <c r="DB13" s="752"/>
      <c r="DC13" s="752"/>
      <c r="DD13" s="752"/>
      <c r="DE13" s="752"/>
      <c r="DF13" s="752"/>
      <c r="DG13" s="752"/>
      <c r="DH13" s="752"/>
      <c r="DI13" s="752"/>
      <c r="DJ13" s="752"/>
      <c r="DK13" s="752"/>
      <c r="DL13" s="752"/>
      <c r="DM13" s="752"/>
      <c r="DN13" s="752"/>
      <c r="DO13" s="752"/>
      <c r="DP13" s="752"/>
      <c r="DQ13" s="752"/>
      <c r="DR13" s="752"/>
      <c r="DS13" s="752"/>
      <c r="DT13" s="752"/>
      <c r="DU13" s="752"/>
      <c r="DW13" s="336">
        <f t="shared" si="93"/>
        <v>0</v>
      </c>
      <c r="DX13" s="336">
        <f t="shared" si="14"/>
        <v>0</v>
      </c>
      <c r="DY13" s="336">
        <f t="shared" si="15"/>
        <v>0</v>
      </c>
      <c r="DZ13" s="336">
        <f t="shared" si="16"/>
        <v>0</v>
      </c>
      <c r="EA13" s="336">
        <f t="shared" si="17"/>
        <v>0</v>
      </c>
      <c r="EB13" s="336">
        <f t="shared" si="18"/>
        <v>0</v>
      </c>
      <c r="EC13" s="336">
        <f t="shared" si="19"/>
        <v>0</v>
      </c>
      <c r="ED13" s="336">
        <f t="shared" si="20"/>
        <v>0</v>
      </c>
      <c r="EE13" s="336">
        <f t="shared" si="21"/>
        <v>0</v>
      </c>
      <c r="EF13" s="336">
        <f t="shared" si="22"/>
        <v>0</v>
      </c>
      <c r="EG13" s="336">
        <f t="shared" si="23"/>
        <v>0</v>
      </c>
      <c r="EH13" s="336">
        <f t="shared" si="24"/>
        <v>0</v>
      </c>
      <c r="EI13" s="336">
        <f t="shared" si="25"/>
        <v>0</v>
      </c>
      <c r="EJ13" s="336">
        <f t="shared" si="26"/>
        <v>0</v>
      </c>
      <c r="EK13" s="336">
        <f t="shared" si="27"/>
        <v>0</v>
      </c>
      <c r="EL13" s="336">
        <f t="shared" si="28"/>
        <v>0</v>
      </c>
      <c r="EM13" s="336">
        <f t="shared" si="29"/>
        <v>0</v>
      </c>
      <c r="EN13" s="336">
        <f t="shared" si="30"/>
        <v>0</v>
      </c>
      <c r="EO13" s="336">
        <f t="shared" si="31"/>
        <v>0</v>
      </c>
      <c r="EP13" s="336">
        <f t="shared" si="32"/>
        <v>0</v>
      </c>
      <c r="EQ13" s="336">
        <f t="shared" si="33"/>
        <v>0</v>
      </c>
      <c r="ER13" s="336">
        <f t="shared" si="34"/>
        <v>0</v>
      </c>
      <c r="ES13" s="336">
        <f t="shared" si="35"/>
        <v>0</v>
      </c>
      <c r="ET13" s="336">
        <f t="shared" si="35"/>
        <v>16</v>
      </c>
      <c r="EU13" s="336">
        <f t="shared" si="36"/>
        <v>0</v>
      </c>
      <c r="EV13" s="336">
        <f t="shared" si="37"/>
        <v>16</v>
      </c>
      <c r="EW13" s="336">
        <f t="shared" si="38"/>
        <v>0</v>
      </c>
      <c r="EX13" s="336">
        <f t="shared" si="39"/>
        <v>0</v>
      </c>
      <c r="EY13" s="336">
        <f t="shared" si="40"/>
        <v>0</v>
      </c>
      <c r="EZ13" s="336">
        <f t="shared" si="41"/>
        <v>0</v>
      </c>
      <c r="FA13" s="336">
        <f t="shared" si="42"/>
        <v>0</v>
      </c>
      <c r="FB13" s="336">
        <f t="shared" si="43"/>
        <v>0</v>
      </c>
      <c r="FC13" s="336">
        <f t="shared" si="44"/>
        <v>0</v>
      </c>
      <c r="FD13" s="336">
        <f t="shared" si="45"/>
        <v>0</v>
      </c>
      <c r="FE13" s="336">
        <f t="shared" si="46"/>
        <v>0</v>
      </c>
      <c r="FF13" s="336">
        <f t="shared" si="47"/>
        <v>0</v>
      </c>
      <c r="FG13" s="336">
        <f t="shared" si="48"/>
        <v>0</v>
      </c>
      <c r="FH13" s="336">
        <f t="shared" si="49"/>
        <v>0</v>
      </c>
      <c r="FI13" s="336">
        <f t="shared" si="50"/>
        <v>0</v>
      </c>
      <c r="FJ13" s="336">
        <f t="shared" si="51"/>
        <v>0</v>
      </c>
      <c r="FK13" s="336">
        <f t="shared" si="52"/>
        <v>0</v>
      </c>
      <c r="FL13" s="336">
        <f t="shared" si="53"/>
        <v>0</v>
      </c>
      <c r="FM13" s="336">
        <f t="shared" si="54"/>
        <v>0</v>
      </c>
      <c r="FN13" s="336">
        <f t="shared" si="55"/>
        <v>0</v>
      </c>
      <c r="FO13" s="336">
        <f t="shared" si="56"/>
        <v>0</v>
      </c>
      <c r="FP13" s="336">
        <f t="shared" si="57"/>
        <v>0</v>
      </c>
      <c r="FQ13" s="336">
        <f t="shared" si="58"/>
        <v>0</v>
      </c>
      <c r="FR13" s="336">
        <f t="shared" si="59"/>
        <v>0</v>
      </c>
      <c r="FS13" s="336">
        <f t="shared" si="60"/>
        <v>0</v>
      </c>
      <c r="FT13" s="336">
        <f t="shared" si="61"/>
        <v>0</v>
      </c>
      <c r="FU13" s="336">
        <f t="shared" si="62"/>
        <v>0</v>
      </c>
      <c r="FV13" s="336">
        <f t="shared" si="63"/>
        <v>0</v>
      </c>
      <c r="FW13" s="336">
        <f t="shared" si="64"/>
        <v>0</v>
      </c>
      <c r="FX13" s="336">
        <f t="shared" si="65"/>
        <v>0</v>
      </c>
      <c r="FY13" s="336">
        <f t="shared" si="66"/>
        <v>0</v>
      </c>
      <c r="FZ13" s="336">
        <f t="shared" si="67"/>
        <v>0</v>
      </c>
      <c r="GA13" s="336">
        <f t="shared" si="68"/>
        <v>0</v>
      </c>
      <c r="GB13" s="336">
        <f t="shared" si="69"/>
        <v>0</v>
      </c>
      <c r="GC13" s="336">
        <f t="shared" si="70"/>
        <v>0</v>
      </c>
      <c r="GD13" s="336">
        <f t="shared" si="71"/>
        <v>0</v>
      </c>
      <c r="GE13" s="336">
        <f t="shared" si="72"/>
        <v>0</v>
      </c>
      <c r="GF13" s="336">
        <f t="shared" si="73"/>
        <v>0</v>
      </c>
      <c r="GG13" s="336">
        <f t="shared" si="74"/>
        <v>0</v>
      </c>
      <c r="GH13" s="336">
        <f t="shared" si="75"/>
        <v>0</v>
      </c>
      <c r="GI13" s="336">
        <f t="shared" si="76"/>
        <v>0</v>
      </c>
      <c r="GJ13" s="336">
        <f t="shared" si="77"/>
        <v>0</v>
      </c>
      <c r="GK13" s="336">
        <f t="shared" si="78"/>
        <v>0</v>
      </c>
      <c r="GL13" s="336">
        <f t="shared" si="79"/>
        <v>0</v>
      </c>
      <c r="GM13" s="336">
        <f t="shared" si="80"/>
        <v>0</v>
      </c>
    </row>
    <row r="14" spans="1:195" ht="20.100000000000001" customHeight="1">
      <c r="A14" s="388">
        <f t="shared" si="94"/>
        <v>6</v>
      </c>
      <c r="B14" s="388" t="s">
        <v>1441</v>
      </c>
      <c r="C14" s="338" t="s">
        <v>1430</v>
      </c>
      <c r="D14" s="338" t="s">
        <v>1439</v>
      </c>
      <c r="E14" s="502" t="s">
        <v>355</v>
      </c>
      <c r="F14" s="502"/>
      <c r="G14" s="388" t="s">
        <v>350</v>
      </c>
      <c r="H14" s="418">
        <v>7.5</v>
      </c>
      <c r="I14" s="388" t="s">
        <v>330</v>
      </c>
      <c r="J14" s="388" t="s">
        <v>331</v>
      </c>
      <c r="K14" s="388">
        <v>400</v>
      </c>
      <c r="L14" s="401">
        <v>0.82</v>
      </c>
      <c r="M14" s="418">
        <v>0.93299999999999994</v>
      </c>
      <c r="N14" s="392">
        <f t="shared" si="95"/>
        <v>14.150047190973385</v>
      </c>
      <c r="O14" s="392">
        <f t="shared" si="1"/>
        <v>84.900283145840319</v>
      </c>
      <c r="P14" s="401">
        <f t="shared" si="96"/>
        <v>0.2</v>
      </c>
      <c r="Q14" s="418">
        <v>65</v>
      </c>
      <c r="R14" s="418">
        <v>0</v>
      </c>
      <c r="S14" s="418">
        <f t="shared" si="97"/>
        <v>0</v>
      </c>
      <c r="T14" s="401" t="s">
        <v>131</v>
      </c>
      <c r="U14" s="418" t="s">
        <v>333</v>
      </c>
      <c r="V14" s="401">
        <v>6</v>
      </c>
      <c r="W14" s="401" t="str">
        <f t="shared" si="98"/>
        <v>3C X 6</v>
      </c>
      <c r="X14" s="401" t="str">
        <f t="shared" si="99"/>
        <v>3C X 6+PE</v>
      </c>
      <c r="Y14" s="401" t="s">
        <v>358</v>
      </c>
      <c r="Z14" s="393">
        <f>IF(T14="AIR",VLOOKUP(W14,'Catalogue Aluminium'!$B$9:$G$93,2,FALSE),IF(T14="GROUND",VLOOKUP(W14,'Catalogue Aluminium'!$B$9:$G$93,3,FALSE),IF(T14="DUCT",VLOOKUP(W14,'Catalogue Aluminium'!$B$9:$G$93,4,FALSE),IF(T14="TRENCH",VLOOKUP(W14,'Catalogue Aluminium'!$B$9:$G$93,2,FALSE)))))</f>
        <v>51</v>
      </c>
      <c r="AA14" s="402">
        <f>VLOOKUP(W14,'Catalogue Aluminium'!$B$9:$G$93,5,FALSE)</f>
        <v>3.94</v>
      </c>
      <c r="AB14" s="402">
        <f>VLOOKUP(W14,'Catalogue Aluminium'!$B$9:$G$93,6,FALSE)</f>
        <v>9.0200000000000002E-2</v>
      </c>
      <c r="AC14" s="401">
        <f t="shared" si="82"/>
        <v>18</v>
      </c>
      <c r="AD14" s="401">
        <f t="shared" si="91"/>
        <v>83</v>
      </c>
      <c r="AE14" s="401">
        <f t="shared" si="83"/>
        <v>10</v>
      </c>
      <c r="AF14" s="401">
        <f t="shared" si="83"/>
        <v>10</v>
      </c>
      <c r="AG14" s="401">
        <f t="shared" si="100"/>
        <v>13</v>
      </c>
      <c r="AH14" s="803">
        <f t="shared" si="85"/>
        <v>134</v>
      </c>
      <c r="AI14" s="393">
        <f>IF(T14="AIR",'Catalogue Aluminium'!$K$9,IF(T14="TRENCH",'Catalogue Aluminium'!$K$12,"NA"))</f>
        <v>0.89</v>
      </c>
      <c r="AJ14" s="392">
        <f>IF(T14="Air",(IF(U14="1C",'Catalogue Aluminium'!$L$9,'Catalogue Aluminium'!$M$9)),IF(T14="DUCT",(IF($U14="1C",'Catalogue Aluminium'!$L$10,'Catalogue Aluminium'!$M$10)),IF(T14="GROUND",(IF($U14="1C",'Catalogue Aluminium'!$L$11,'Catalogue Aluminium'!$M$11)),IF(T14="TRENCH",(IF($U14="1C",'Catalogue Aluminium'!$L$12,'Catalogue Aluminium'!$M$12))))))</f>
        <v>0.66</v>
      </c>
      <c r="AK14" s="393" t="str">
        <f>IF(T14="Air",'Catalogue Aluminium'!$N$9,IF(T14="GROUND",'Catalogue Aluminium'!$N$10,IF(T14="DUCT",'Catalogue Aluminium'!$N$11,IF(T14="TRENCH",'Catalogue Aluminium'!$N$12,"NA"))))</f>
        <v>NA</v>
      </c>
      <c r="AL14" s="393" t="str">
        <f>IF(T14="Air",(IF(U14="1C",'Catalogue Aluminium'!$O$9,'Catalogue Aluminium'!$P$9)),IF(T14="DUCT",(IF($U14="1C",'Catalogue Aluminium'!$O$10,'Catalogue Aluminium'!$P$10)),IF(T14="GROUND",(IF($U14="1C",'Catalogue Aluminium'!$O$11,'Catalogue Aluminium'!$P$11)),IF(T14="TRENCH",(IF($U14="1C",'Catalogue Aluminium'!$O$12,'Catalogue Aluminium'!$P$12))))))</f>
        <v>NA</v>
      </c>
      <c r="AM14" s="393" t="str">
        <f>IF(T14="AIR","NA",IF(T14="TRENCH","NA",IF(T14="DUCT",IF(U14="1C",VLOOKUP(V14,'Catalogue Aluminium'!$Q$9:$S$28,2,FALSE),VLOOKUP(V14,'Catalogue Aluminium'!$Q$9:$S$28,3)),IF(T14="GROUND",IF(U14="1C",VLOOKUP(V14,'Catalogue Aluminium'!$Q$9:$S$28,2,FALSE),VLOOKUP(V14,'Catalogue Aluminium'!$Q$9:$S$28,3))))))</f>
        <v>NA</v>
      </c>
      <c r="AN14" s="437">
        <f t="shared" si="101"/>
        <v>0.58740000000000003</v>
      </c>
      <c r="AO14" s="418">
        <f t="shared" si="102"/>
        <v>29.957400000000003</v>
      </c>
      <c r="AP14" s="434">
        <f t="shared" si="103"/>
        <v>1</v>
      </c>
      <c r="AQ14" s="418" t="str">
        <f t="shared" si="104"/>
        <v>YES</v>
      </c>
      <c r="AR14" s="437">
        <f t="shared" si="105"/>
        <v>2.6949978561649153</v>
      </c>
      <c r="AS14" s="401" t="str">
        <f t="shared" si="106"/>
        <v>YES</v>
      </c>
      <c r="AT14" s="437">
        <f t="shared" si="86"/>
        <v>4.3172364648723063</v>
      </c>
      <c r="AU14" s="401" t="str">
        <f t="shared" si="10"/>
        <v>YES</v>
      </c>
      <c r="AV14" s="503" t="str">
        <f t="shared" si="11"/>
        <v>1R x 0.6/1kV x 3C x 6 Sqmm</v>
      </c>
      <c r="AW14" s="503" t="str">
        <f t="shared" si="87"/>
        <v>1R x 0.6/1kV x 3C x 6+PE Sqmm</v>
      </c>
      <c r="AX14" s="401">
        <f t="shared" si="88"/>
        <v>134</v>
      </c>
      <c r="AY14" s="504"/>
      <c r="AZ14" s="504">
        <f t="shared" si="89"/>
        <v>2</v>
      </c>
      <c r="BA14" s="438" t="str">
        <f t="shared" si="92"/>
        <v>I2J</v>
      </c>
      <c r="BB14" s="579">
        <f>VLOOKUP(W14,'Catalogue Aluminium'!$B$9:$H$93,7,FALSE)</f>
        <v>16</v>
      </c>
      <c r="BC14" s="579">
        <f t="shared" si="90"/>
        <v>16</v>
      </c>
      <c r="BE14" s="336"/>
      <c r="BF14" s="336"/>
      <c r="BG14" s="336"/>
      <c r="BH14" s="336"/>
      <c r="BI14" s="336"/>
      <c r="BJ14" s="336"/>
      <c r="BK14" s="336"/>
      <c r="BL14" s="336"/>
      <c r="BM14" s="336"/>
      <c r="BN14" s="336"/>
      <c r="BO14" s="336"/>
      <c r="BP14" s="336"/>
      <c r="BQ14" s="336"/>
      <c r="BR14" s="336"/>
      <c r="BS14" s="336"/>
      <c r="BT14" s="336"/>
      <c r="BU14" s="336"/>
      <c r="BV14" s="336"/>
      <c r="BW14" s="336"/>
      <c r="BX14" s="336"/>
      <c r="BY14" s="336"/>
      <c r="BZ14" s="336"/>
      <c r="CA14" s="336"/>
      <c r="CB14" s="336">
        <v>1</v>
      </c>
      <c r="CC14" s="336"/>
      <c r="CD14" s="336">
        <v>1</v>
      </c>
      <c r="CE14" s="336"/>
      <c r="CF14" s="336"/>
      <c r="CG14" s="336"/>
      <c r="CH14" s="336"/>
      <c r="CI14" s="336"/>
      <c r="CJ14" s="336"/>
      <c r="CK14" s="336"/>
      <c r="CL14" s="336"/>
      <c r="CM14" s="336"/>
      <c r="CN14" s="336"/>
      <c r="CO14" s="336"/>
      <c r="CP14" s="336"/>
      <c r="CQ14" s="336"/>
      <c r="CR14" s="336"/>
      <c r="CS14" s="336"/>
      <c r="CT14" s="336"/>
      <c r="CU14" s="336"/>
      <c r="CV14" s="336"/>
      <c r="CW14" s="336"/>
      <c r="CX14" s="336"/>
      <c r="CY14" s="336"/>
      <c r="CZ14" s="752"/>
      <c r="DA14" s="752"/>
      <c r="DB14" s="752"/>
      <c r="DC14" s="752"/>
      <c r="DD14" s="752"/>
      <c r="DE14" s="752"/>
      <c r="DF14" s="752"/>
      <c r="DG14" s="752"/>
      <c r="DH14" s="752"/>
      <c r="DI14" s="752"/>
      <c r="DJ14" s="752"/>
      <c r="DK14" s="752"/>
      <c r="DL14" s="752"/>
      <c r="DM14" s="752"/>
      <c r="DN14" s="752"/>
      <c r="DO14" s="752"/>
      <c r="DP14" s="752"/>
      <c r="DQ14" s="752"/>
      <c r="DR14" s="752"/>
      <c r="DS14" s="752"/>
      <c r="DT14" s="752"/>
      <c r="DU14" s="752"/>
      <c r="DW14" s="336">
        <f t="shared" si="93"/>
        <v>0</v>
      </c>
      <c r="DX14" s="336">
        <f t="shared" si="14"/>
        <v>0</v>
      </c>
      <c r="DY14" s="336">
        <f t="shared" si="15"/>
        <v>0</v>
      </c>
      <c r="DZ14" s="336">
        <f t="shared" si="16"/>
        <v>0</v>
      </c>
      <c r="EA14" s="336">
        <f t="shared" si="17"/>
        <v>0</v>
      </c>
      <c r="EB14" s="336">
        <f t="shared" si="18"/>
        <v>0</v>
      </c>
      <c r="EC14" s="336">
        <f t="shared" si="19"/>
        <v>0</v>
      </c>
      <c r="ED14" s="336">
        <f t="shared" si="20"/>
        <v>0</v>
      </c>
      <c r="EE14" s="336">
        <f t="shared" si="21"/>
        <v>0</v>
      </c>
      <c r="EF14" s="336">
        <f t="shared" si="22"/>
        <v>0</v>
      </c>
      <c r="EG14" s="336">
        <f t="shared" si="23"/>
        <v>0</v>
      </c>
      <c r="EH14" s="336">
        <f t="shared" si="24"/>
        <v>0</v>
      </c>
      <c r="EI14" s="336">
        <f t="shared" si="25"/>
        <v>0</v>
      </c>
      <c r="EJ14" s="336">
        <f t="shared" si="26"/>
        <v>0</v>
      </c>
      <c r="EK14" s="336">
        <f t="shared" si="27"/>
        <v>0</v>
      </c>
      <c r="EL14" s="336">
        <f t="shared" si="28"/>
        <v>0</v>
      </c>
      <c r="EM14" s="336">
        <f t="shared" si="29"/>
        <v>0</v>
      </c>
      <c r="EN14" s="336">
        <f t="shared" si="30"/>
        <v>0</v>
      </c>
      <c r="EO14" s="336">
        <f t="shared" si="31"/>
        <v>0</v>
      </c>
      <c r="EP14" s="336">
        <f t="shared" si="32"/>
        <v>0</v>
      </c>
      <c r="EQ14" s="336">
        <f t="shared" si="33"/>
        <v>0</v>
      </c>
      <c r="ER14" s="336">
        <f t="shared" si="34"/>
        <v>0</v>
      </c>
      <c r="ES14" s="336">
        <f t="shared" si="35"/>
        <v>0</v>
      </c>
      <c r="ET14" s="336">
        <f t="shared" si="35"/>
        <v>16</v>
      </c>
      <c r="EU14" s="336">
        <f t="shared" si="36"/>
        <v>0</v>
      </c>
      <c r="EV14" s="336">
        <f t="shared" si="37"/>
        <v>16</v>
      </c>
      <c r="EW14" s="336">
        <f t="shared" si="38"/>
        <v>0</v>
      </c>
      <c r="EX14" s="336">
        <f t="shared" si="39"/>
        <v>0</v>
      </c>
      <c r="EY14" s="336">
        <f t="shared" si="40"/>
        <v>0</v>
      </c>
      <c r="EZ14" s="336">
        <f t="shared" si="41"/>
        <v>0</v>
      </c>
      <c r="FA14" s="336">
        <f t="shared" si="42"/>
        <v>0</v>
      </c>
      <c r="FB14" s="336">
        <f t="shared" si="43"/>
        <v>0</v>
      </c>
      <c r="FC14" s="336">
        <f t="shared" si="44"/>
        <v>0</v>
      </c>
      <c r="FD14" s="336">
        <f t="shared" si="45"/>
        <v>0</v>
      </c>
      <c r="FE14" s="336">
        <f t="shared" si="46"/>
        <v>0</v>
      </c>
      <c r="FF14" s="336">
        <f t="shared" si="47"/>
        <v>0</v>
      </c>
      <c r="FG14" s="336">
        <f t="shared" si="48"/>
        <v>0</v>
      </c>
      <c r="FH14" s="336">
        <f t="shared" si="49"/>
        <v>0</v>
      </c>
      <c r="FI14" s="336">
        <f t="shared" si="50"/>
        <v>0</v>
      </c>
      <c r="FJ14" s="336">
        <f t="shared" si="51"/>
        <v>0</v>
      </c>
      <c r="FK14" s="336">
        <f t="shared" si="52"/>
        <v>0</v>
      </c>
      <c r="FL14" s="336">
        <f t="shared" si="53"/>
        <v>0</v>
      </c>
      <c r="FM14" s="336">
        <f t="shared" si="54"/>
        <v>0</v>
      </c>
      <c r="FN14" s="336">
        <f t="shared" si="55"/>
        <v>0</v>
      </c>
      <c r="FO14" s="336">
        <f t="shared" si="56"/>
        <v>0</v>
      </c>
      <c r="FP14" s="336">
        <f t="shared" si="57"/>
        <v>0</v>
      </c>
      <c r="FQ14" s="336">
        <f t="shared" si="58"/>
        <v>0</v>
      </c>
      <c r="FR14" s="336">
        <f t="shared" si="59"/>
        <v>0</v>
      </c>
      <c r="FS14" s="336">
        <f t="shared" si="60"/>
        <v>0</v>
      </c>
      <c r="FT14" s="336">
        <f t="shared" si="61"/>
        <v>0</v>
      </c>
      <c r="FU14" s="336">
        <f t="shared" si="62"/>
        <v>0</v>
      </c>
      <c r="FV14" s="336">
        <f t="shared" si="63"/>
        <v>0</v>
      </c>
      <c r="FW14" s="336">
        <f t="shared" si="64"/>
        <v>0</v>
      </c>
      <c r="FX14" s="336">
        <f t="shared" si="65"/>
        <v>0</v>
      </c>
      <c r="FY14" s="336">
        <f t="shared" si="66"/>
        <v>0</v>
      </c>
      <c r="FZ14" s="336">
        <f t="shared" si="67"/>
        <v>0</v>
      </c>
      <c r="GA14" s="336">
        <f t="shared" si="68"/>
        <v>0</v>
      </c>
      <c r="GB14" s="336">
        <f t="shared" si="69"/>
        <v>0</v>
      </c>
      <c r="GC14" s="336">
        <f t="shared" si="70"/>
        <v>0</v>
      </c>
      <c r="GD14" s="336">
        <f t="shared" si="71"/>
        <v>0</v>
      </c>
      <c r="GE14" s="336">
        <f t="shared" si="72"/>
        <v>0</v>
      </c>
      <c r="GF14" s="336">
        <f t="shared" si="73"/>
        <v>0</v>
      </c>
      <c r="GG14" s="336">
        <f t="shared" si="74"/>
        <v>0</v>
      </c>
      <c r="GH14" s="336">
        <f t="shared" si="75"/>
        <v>0</v>
      </c>
      <c r="GI14" s="336">
        <f t="shared" si="76"/>
        <v>0</v>
      </c>
      <c r="GJ14" s="336">
        <f t="shared" si="77"/>
        <v>0</v>
      </c>
      <c r="GK14" s="336">
        <f t="shared" si="78"/>
        <v>0</v>
      </c>
      <c r="GL14" s="336">
        <f t="shared" si="79"/>
        <v>0</v>
      </c>
      <c r="GM14" s="336">
        <f t="shared" si="80"/>
        <v>0</v>
      </c>
    </row>
    <row r="15" spans="1:195" ht="20.100000000000001" customHeight="1">
      <c r="A15" s="388">
        <f t="shared" si="94"/>
        <v>7</v>
      </c>
      <c r="B15" s="388" t="s">
        <v>1442</v>
      </c>
      <c r="C15" s="338" t="s">
        <v>1430</v>
      </c>
      <c r="D15" s="338" t="s">
        <v>1443</v>
      </c>
      <c r="E15" s="502" t="s">
        <v>355</v>
      </c>
      <c r="F15" s="502"/>
      <c r="G15" s="388" t="s">
        <v>329</v>
      </c>
      <c r="H15" s="418">
        <v>2</v>
      </c>
      <c r="I15" s="388" t="s">
        <v>330</v>
      </c>
      <c r="J15" s="388" t="s">
        <v>357</v>
      </c>
      <c r="K15" s="388">
        <v>230</v>
      </c>
      <c r="L15" s="401">
        <v>0.82</v>
      </c>
      <c r="M15" s="418">
        <v>0.93299999999999994</v>
      </c>
      <c r="N15" s="392">
        <f t="shared" si="95"/>
        <v>11.36597413786245</v>
      </c>
      <c r="O15" s="392">
        <f t="shared" si="1"/>
        <v>0</v>
      </c>
      <c r="P15" s="401" t="str">
        <f t="shared" si="96"/>
        <v>0.00</v>
      </c>
      <c r="Q15" s="418">
        <v>65</v>
      </c>
      <c r="R15" s="418">
        <v>0</v>
      </c>
      <c r="S15" s="418">
        <f t="shared" si="97"/>
        <v>0</v>
      </c>
      <c r="T15" s="401" t="s">
        <v>131</v>
      </c>
      <c r="U15" s="418" t="s">
        <v>333</v>
      </c>
      <c r="V15" s="401">
        <v>16</v>
      </c>
      <c r="W15" s="401" t="str">
        <f t="shared" si="98"/>
        <v>3C X 16</v>
      </c>
      <c r="X15" s="401" t="str">
        <f t="shared" si="99"/>
        <v>3C X 16</v>
      </c>
      <c r="Y15" s="401" t="s">
        <v>358</v>
      </c>
      <c r="Z15" s="393">
        <f>IF(T15="AIR",VLOOKUP(W15,'Catalogue Aluminium'!$B$9:$G$93,2,FALSE),IF(T15="GROUND",VLOOKUP(W15,'Catalogue Aluminium'!$B$9:$G$93,3,FALSE),IF(T15="DUCT",VLOOKUP(W15,'Catalogue Aluminium'!$B$9:$G$93,4,FALSE),IF(T15="TRENCH",VLOOKUP(W15,'Catalogue Aluminium'!$B$9:$G$93,2,FALSE)))))</f>
        <v>70</v>
      </c>
      <c r="AA15" s="402">
        <f>VLOOKUP(W15,'Catalogue Aluminium'!$B$9:$G$93,5,FALSE)</f>
        <v>2.44</v>
      </c>
      <c r="AB15" s="402">
        <f>VLOOKUP(W15,'Catalogue Aluminium'!$B$9:$G$93,6,FALSE)</f>
        <v>8.1500000000000003E-2</v>
      </c>
      <c r="AC15" s="401">
        <f t="shared" si="82"/>
        <v>18</v>
      </c>
      <c r="AD15" s="401">
        <f t="shared" si="91"/>
        <v>83</v>
      </c>
      <c r="AE15" s="401">
        <f t="shared" si="83"/>
        <v>10</v>
      </c>
      <c r="AF15" s="401">
        <f t="shared" si="83"/>
        <v>10</v>
      </c>
      <c r="AG15" s="401">
        <f t="shared" si="100"/>
        <v>13</v>
      </c>
      <c r="AH15" s="803">
        <f t="shared" si="85"/>
        <v>134</v>
      </c>
      <c r="AI15" s="393">
        <f>IF(T15="AIR",'Catalogue Aluminium'!$K$9,IF(T15="TRENCH",'Catalogue Aluminium'!$K$12,"NA"))</f>
        <v>0.89</v>
      </c>
      <c r="AJ15" s="392">
        <f>IF(T15="Air",(IF(U15="1C",'Catalogue Aluminium'!$L$9,'Catalogue Aluminium'!$M$9)),IF(T15="DUCT",(IF($U15="1C",'Catalogue Aluminium'!$L$10,'Catalogue Aluminium'!$M$10)),IF(T15="GROUND",(IF($U15="1C",'Catalogue Aluminium'!$L$11,'Catalogue Aluminium'!$M$11)),IF(T15="TRENCH",(IF($U15="1C",'Catalogue Aluminium'!$L$12,'Catalogue Aluminium'!$M$12))))))</f>
        <v>0.66</v>
      </c>
      <c r="AK15" s="393" t="str">
        <f>IF(T15="Air",'Catalogue Aluminium'!$N$9,IF(T15="GROUND",'Catalogue Aluminium'!$N$10,IF(T15="DUCT",'Catalogue Aluminium'!$N$11,IF(T15="TRENCH",'Catalogue Aluminium'!$N$12,"NA"))))</f>
        <v>NA</v>
      </c>
      <c r="AL15" s="393" t="str">
        <f>IF(T15="Air",(IF(U15="1C",'Catalogue Aluminium'!$O$9,'Catalogue Aluminium'!$P$9)),IF(T15="DUCT",(IF($U15="1C",'Catalogue Aluminium'!$O$10,'Catalogue Aluminium'!$P$10)),IF(T15="GROUND",(IF($U15="1C",'Catalogue Aluminium'!$O$11,'Catalogue Aluminium'!$P$11)),IF(T15="TRENCH",(IF($U15="1C",'Catalogue Aluminium'!$O$12,'Catalogue Aluminium'!$P$12))))))</f>
        <v>NA</v>
      </c>
      <c r="AM15" s="393" t="str">
        <f>IF(T15="AIR","NA",IF(T15="TRENCH","NA",IF(T15="DUCT",IF(U15="1C",VLOOKUP(V15,'Catalogue Aluminium'!$Q$9:$S$28,2,FALSE),VLOOKUP(V15,'Catalogue Aluminium'!$Q$9:$S$28,3)),IF(T15="GROUND",IF(U15="1C",VLOOKUP(V15,'Catalogue Aluminium'!$Q$9:$S$28,2,FALSE),VLOOKUP(V15,'Catalogue Aluminium'!$Q$9:$S$28,3))))))</f>
        <v>NA</v>
      </c>
      <c r="AN15" s="437">
        <f t="shared" si="101"/>
        <v>0.58740000000000003</v>
      </c>
      <c r="AO15" s="418">
        <f t="shared" si="102"/>
        <v>41.118000000000002</v>
      </c>
      <c r="AP15" s="434">
        <f t="shared" si="103"/>
        <v>1</v>
      </c>
      <c r="AQ15" s="418" t="str">
        <f t="shared" si="104"/>
        <v>YES</v>
      </c>
      <c r="AR15" s="437">
        <f t="shared" si="105"/>
        <v>2.3483187985032425</v>
      </c>
      <c r="AS15" s="401" t="str">
        <f t="shared" si="106"/>
        <v>YES</v>
      </c>
      <c r="AT15" s="437" t="str">
        <f t="shared" si="86"/>
        <v>NA</v>
      </c>
      <c r="AU15" s="401" t="str">
        <f t="shared" si="10"/>
        <v>NA</v>
      </c>
      <c r="AV15" s="503" t="str">
        <f t="shared" si="11"/>
        <v>1R x 0.6/1kV x 3C x 16 Sqmm</v>
      </c>
      <c r="AW15" s="503" t="str">
        <f t="shared" si="87"/>
        <v>1R x 0.6/1kV x 3C x 16 Sqmm</v>
      </c>
      <c r="AX15" s="401">
        <f t="shared" si="88"/>
        <v>134</v>
      </c>
      <c r="AY15" s="504"/>
      <c r="AZ15" s="504">
        <f t="shared" si="89"/>
        <v>2</v>
      </c>
      <c r="BA15" s="438" t="str">
        <f t="shared" si="92"/>
        <v>I2J</v>
      </c>
      <c r="BB15" s="579">
        <f>VLOOKUP(W15,'Catalogue Aluminium'!$B$9:$H$93,7,FALSE)</f>
        <v>19</v>
      </c>
      <c r="BC15" s="579">
        <f t="shared" si="90"/>
        <v>19</v>
      </c>
      <c r="BE15" s="336"/>
      <c r="BF15" s="336"/>
      <c r="BG15" s="336"/>
      <c r="BH15" s="336"/>
      <c r="BI15" s="336"/>
      <c r="BJ15" s="336"/>
      <c r="BK15" s="336"/>
      <c r="BL15" s="336"/>
      <c r="BM15" s="336"/>
      <c r="BN15" s="336"/>
      <c r="BO15" s="336"/>
      <c r="BP15" s="336"/>
      <c r="BQ15" s="336"/>
      <c r="BR15" s="336"/>
      <c r="BS15" s="336"/>
      <c r="BT15" s="336"/>
      <c r="BU15" s="336"/>
      <c r="BV15" s="336"/>
      <c r="BW15" s="336"/>
      <c r="BX15" s="336"/>
      <c r="BY15" s="336"/>
      <c r="BZ15" s="336"/>
      <c r="CA15" s="336"/>
      <c r="CB15" s="336">
        <v>1</v>
      </c>
      <c r="CC15" s="336"/>
      <c r="CD15" s="336">
        <v>1</v>
      </c>
      <c r="CE15" s="336"/>
      <c r="CF15" s="336"/>
      <c r="CG15" s="336"/>
      <c r="CH15" s="336"/>
      <c r="CI15" s="336"/>
      <c r="CJ15" s="336"/>
      <c r="CK15" s="336"/>
      <c r="CL15" s="336"/>
      <c r="CM15" s="336"/>
      <c r="CN15" s="336"/>
      <c r="CO15" s="336"/>
      <c r="CP15" s="336"/>
      <c r="CQ15" s="336"/>
      <c r="CR15" s="336"/>
      <c r="CS15" s="336"/>
      <c r="CT15" s="336"/>
      <c r="CU15" s="336"/>
      <c r="CV15" s="336"/>
      <c r="CW15" s="336"/>
      <c r="CX15" s="336"/>
      <c r="CY15" s="336"/>
      <c r="CZ15" s="752"/>
      <c r="DA15" s="752"/>
      <c r="DB15" s="752"/>
      <c r="DC15" s="752"/>
      <c r="DD15" s="752"/>
      <c r="DE15" s="752"/>
      <c r="DF15" s="752"/>
      <c r="DG15" s="752"/>
      <c r="DH15" s="752"/>
      <c r="DI15" s="752"/>
      <c r="DJ15" s="752"/>
      <c r="DK15" s="752"/>
      <c r="DL15" s="752"/>
      <c r="DM15" s="752"/>
      <c r="DN15" s="752"/>
      <c r="DO15" s="752"/>
      <c r="DP15" s="752"/>
      <c r="DQ15" s="752"/>
      <c r="DR15" s="752"/>
      <c r="DS15" s="752"/>
      <c r="DT15" s="752"/>
      <c r="DU15" s="752"/>
      <c r="DW15" s="336">
        <f t="shared" si="93"/>
        <v>0</v>
      </c>
      <c r="DX15" s="336">
        <f t="shared" si="14"/>
        <v>0</v>
      </c>
      <c r="DY15" s="336">
        <f t="shared" si="15"/>
        <v>0</v>
      </c>
      <c r="DZ15" s="336">
        <f t="shared" si="16"/>
        <v>0</v>
      </c>
      <c r="EA15" s="336">
        <f t="shared" si="17"/>
        <v>0</v>
      </c>
      <c r="EB15" s="336">
        <f t="shared" si="18"/>
        <v>0</v>
      </c>
      <c r="EC15" s="336">
        <f t="shared" si="19"/>
        <v>0</v>
      </c>
      <c r="ED15" s="336">
        <f t="shared" si="20"/>
        <v>0</v>
      </c>
      <c r="EE15" s="336">
        <f t="shared" si="21"/>
        <v>0</v>
      </c>
      <c r="EF15" s="336">
        <f t="shared" si="22"/>
        <v>0</v>
      </c>
      <c r="EG15" s="336">
        <f t="shared" si="23"/>
        <v>0</v>
      </c>
      <c r="EH15" s="336">
        <f t="shared" si="24"/>
        <v>0</v>
      </c>
      <c r="EI15" s="336">
        <f t="shared" si="25"/>
        <v>0</v>
      </c>
      <c r="EJ15" s="336">
        <f t="shared" si="26"/>
        <v>0</v>
      </c>
      <c r="EK15" s="336">
        <f t="shared" si="27"/>
        <v>0</v>
      </c>
      <c r="EL15" s="336">
        <f t="shared" si="28"/>
        <v>0</v>
      </c>
      <c r="EM15" s="336">
        <f t="shared" si="29"/>
        <v>0</v>
      </c>
      <c r="EN15" s="336">
        <f t="shared" si="30"/>
        <v>0</v>
      </c>
      <c r="EO15" s="336">
        <f t="shared" si="31"/>
        <v>0</v>
      </c>
      <c r="EP15" s="336">
        <f t="shared" si="32"/>
        <v>0</v>
      </c>
      <c r="EQ15" s="336">
        <f t="shared" si="33"/>
        <v>0</v>
      </c>
      <c r="ER15" s="336">
        <f t="shared" si="34"/>
        <v>0</v>
      </c>
      <c r="ES15" s="336">
        <f t="shared" si="35"/>
        <v>0</v>
      </c>
      <c r="ET15" s="336">
        <f t="shared" si="35"/>
        <v>19</v>
      </c>
      <c r="EU15" s="336">
        <f t="shared" si="36"/>
        <v>0</v>
      </c>
      <c r="EV15" s="336">
        <f t="shared" si="37"/>
        <v>19</v>
      </c>
      <c r="EW15" s="336">
        <f t="shared" si="38"/>
        <v>0</v>
      </c>
      <c r="EX15" s="336">
        <f t="shared" si="39"/>
        <v>0</v>
      </c>
      <c r="EY15" s="336">
        <f t="shared" si="40"/>
        <v>0</v>
      </c>
      <c r="EZ15" s="336">
        <f t="shared" si="41"/>
        <v>0</v>
      </c>
      <c r="FA15" s="336">
        <f t="shared" si="42"/>
        <v>0</v>
      </c>
      <c r="FB15" s="336">
        <f t="shared" si="43"/>
        <v>0</v>
      </c>
      <c r="FC15" s="336">
        <f t="shared" si="44"/>
        <v>0</v>
      </c>
      <c r="FD15" s="336">
        <f t="shared" si="45"/>
        <v>0</v>
      </c>
      <c r="FE15" s="336">
        <f t="shared" si="46"/>
        <v>0</v>
      </c>
      <c r="FF15" s="336">
        <f t="shared" si="47"/>
        <v>0</v>
      </c>
      <c r="FG15" s="336">
        <f t="shared" si="48"/>
        <v>0</v>
      </c>
      <c r="FH15" s="336">
        <f t="shared" si="49"/>
        <v>0</v>
      </c>
      <c r="FI15" s="336">
        <f t="shared" si="50"/>
        <v>0</v>
      </c>
      <c r="FJ15" s="336">
        <f t="shared" si="51"/>
        <v>0</v>
      </c>
      <c r="FK15" s="336">
        <f t="shared" si="52"/>
        <v>0</v>
      </c>
      <c r="FL15" s="336">
        <f t="shared" si="53"/>
        <v>0</v>
      </c>
      <c r="FM15" s="336">
        <f t="shared" si="54"/>
        <v>0</v>
      </c>
      <c r="FN15" s="336">
        <f t="shared" si="55"/>
        <v>0</v>
      </c>
      <c r="FO15" s="336">
        <f t="shared" si="56"/>
        <v>0</v>
      </c>
      <c r="FP15" s="336">
        <f t="shared" si="57"/>
        <v>0</v>
      </c>
      <c r="FQ15" s="336">
        <f t="shared" si="58"/>
        <v>0</v>
      </c>
      <c r="FR15" s="336">
        <f t="shared" si="59"/>
        <v>0</v>
      </c>
      <c r="FS15" s="336">
        <f t="shared" si="60"/>
        <v>0</v>
      </c>
      <c r="FT15" s="336">
        <f t="shared" si="61"/>
        <v>0</v>
      </c>
      <c r="FU15" s="336">
        <f t="shared" si="62"/>
        <v>0</v>
      </c>
      <c r="FV15" s="336">
        <f t="shared" si="63"/>
        <v>0</v>
      </c>
      <c r="FW15" s="336">
        <f t="shared" si="64"/>
        <v>0</v>
      </c>
      <c r="FX15" s="336">
        <f t="shared" si="65"/>
        <v>0</v>
      </c>
      <c r="FY15" s="336">
        <f t="shared" si="66"/>
        <v>0</v>
      </c>
      <c r="FZ15" s="336">
        <f t="shared" si="67"/>
        <v>0</v>
      </c>
      <c r="GA15" s="336">
        <f t="shared" si="68"/>
        <v>0</v>
      </c>
      <c r="GB15" s="336">
        <f t="shared" si="69"/>
        <v>0</v>
      </c>
      <c r="GC15" s="336">
        <f t="shared" si="70"/>
        <v>0</v>
      </c>
      <c r="GD15" s="336">
        <f t="shared" si="71"/>
        <v>0</v>
      </c>
      <c r="GE15" s="336">
        <f t="shared" si="72"/>
        <v>0</v>
      </c>
      <c r="GF15" s="336">
        <f t="shared" si="73"/>
        <v>0</v>
      </c>
      <c r="GG15" s="336">
        <f t="shared" si="74"/>
        <v>0</v>
      </c>
      <c r="GH15" s="336">
        <f t="shared" si="75"/>
        <v>0</v>
      </c>
      <c r="GI15" s="336">
        <f t="shared" si="76"/>
        <v>0</v>
      </c>
      <c r="GJ15" s="336">
        <f t="shared" si="77"/>
        <v>0</v>
      </c>
      <c r="GK15" s="336">
        <f t="shared" si="78"/>
        <v>0</v>
      </c>
      <c r="GL15" s="336">
        <f t="shared" si="79"/>
        <v>0</v>
      </c>
      <c r="GM15" s="336">
        <f t="shared" si="80"/>
        <v>0</v>
      </c>
    </row>
    <row r="16" spans="1:195" ht="20.100000000000001" customHeight="1">
      <c r="A16" s="388">
        <f t="shared" si="94"/>
        <v>8</v>
      </c>
      <c r="B16" s="388" t="s">
        <v>1444</v>
      </c>
      <c r="C16" s="338" t="s">
        <v>1430</v>
      </c>
      <c r="D16" s="338" t="s">
        <v>1443</v>
      </c>
      <c r="E16" s="502" t="s">
        <v>355</v>
      </c>
      <c r="F16" s="502"/>
      <c r="G16" s="388" t="s">
        <v>329</v>
      </c>
      <c r="H16" s="418">
        <v>2</v>
      </c>
      <c r="I16" s="388" t="s">
        <v>330</v>
      </c>
      <c r="J16" s="388" t="s">
        <v>357</v>
      </c>
      <c r="K16" s="388">
        <v>230</v>
      </c>
      <c r="L16" s="401">
        <v>0.82</v>
      </c>
      <c r="M16" s="418">
        <v>0.93299999999999994</v>
      </c>
      <c r="N16" s="392">
        <f t="shared" si="95"/>
        <v>11.36597413786245</v>
      </c>
      <c r="O16" s="392">
        <f t="shared" si="1"/>
        <v>0</v>
      </c>
      <c r="P16" s="401" t="str">
        <f t="shared" si="96"/>
        <v>0.00</v>
      </c>
      <c r="Q16" s="418">
        <v>65</v>
      </c>
      <c r="R16" s="418">
        <v>0</v>
      </c>
      <c r="S16" s="418">
        <f t="shared" si="97"/>
        <v>0</v>
      </c>
      <c r="T16" s="401" t="s">
        <v>131</v>
      </c>
      <c r="U16" s="418" t="s">
        <v>333</v>
      </c>
      <c r="V16" s="401">
        <v>16</v>
      </c>
      <c r="W16" s="401" t="str">
        <f t="shared" si="98"/>
        <v>3C X 16</v>
      </c>
      <c r="X16" s="401" t="str">
        <f t="shared" si="99"/>
        <v>3C X 16</v>
      </c>
      <c r="Y16" s="401" t="s">
        <v>358</v>
      </c>
      <c r="Z16" s="393">
        <f>IF(T16="AIR",VLOOKUP(W16,'Catalogue Aluminium'!$B$9:$G$93,2,FALSE),IF(T16="GROUND",VLOOKUP(W16,'Catalogue Aluminium'!$B$9:$G$93,3,FALSE),IF(T16="DUCT",VLOOKUP(W16,'Catalogue Aluminium'!$B$9:$G$93,4,FALSE),IF(T16="TRENCH",VLOOKUP(W16,'Catalogue Aluminium'!$B$9:$G$93,2,FALSE)))))</f>
        <v>70</v>
      </c>
      <c r="AA16" s="402">
        <f>VLOOKUP(W16,'Catalogue Aluminium'!$B$9:$G$93,5,FALSE)</f>
        <v>2.44</v>
      </c>
      <c r="AB16" s="402">
        <f>VLOOKUP(W16,'Catalogue Aluminium'!$B$9:$G$93,6,FALSE)</f>
        <v>8.1500000000000003E-2</v>
      </c>
      <c r="AC16" s="401">
        <f t="shared" si="82"/>
        <v>18</v>
      </c>
      <c r="AD16" s="401">
        <f t="shared" si="91"/>
        <v>83</v>
      </c>
      <c r="AE16" s="401">
        <f t="shared" si="83"/>
        <v>10</v>
      </c>
      <c r="AF16" s="401">
        <f t="shared" si="83"/>
        <v>10</v>
      </c>
      <c r="AG16" s="401">
        <f t="shared" si="100"/>
        <v>13</v>
      </c>
      <c r="AH16" s="803">
        <f t="shared" si="85"/>
        <v>134</v>
      </c>
      <c r="AI16" s="393">
        <f>IF(T16="AIR",'Catalogue Aluminium'!$K$9,IF(T16="TRENCH",'Catalogue Aluminium'!$K$12,"NA"))</f>
        <v>0.89</v>
      </c>
      <c r="AJ16" s="392">
        <f>IF(T16="Air",(IF(U16="1C",'Catalogue Aluminium'!$L$9,'Catalogue Aluminium'!$M$9)),IF(T16="DUCT",(IF($U16="1C",'Catalogue Aluminium'!$L$10,'Catalogue Aluminium'!$M$10)),IF(T16="GROUND",(IF($U16="1C",'Catalogue Aluminium'!$L$11,'Catalogue Aluminium'!$M$11)),IF(T16="TRENCH",(IF($U16="1C",'Catalogue Aluminium'!$L$12,'Catalogue Aluminium'!$M$12))))))</f>
        <v>0.66</v>
      </c>
      <c r="AK16" s="393" t="str">
        <f>IF(T16="Air",'Catalogue Aluminium'!$N$9,IF(T16="GROUND",'Catalogue Aluminium'!$N$10,IF(T16="DUCT",'Catalogue Aluminium'!$N$11,IF(T16="TRENCH",'Catalogue Aluminium'!$N$12,"NA"))))</f>
        <v>NA</v>
      </c>
      <c r="AL16" s="393" t="str">
        <f>IF(T16="Air",(IF(U16="1C",'Catalogue Aluminium'!$O$9,'Catalogue Aluminium'!$P$9)),IF(T16="DUCT",(IF($U16="1C",'Catalogue Aluminium'!$O$10,'Catalogue Aluminium'!$P$10)),IF(T16="GROUND",(IF($U16="1C",'Catalogue Aluminium'!$O$11,'Catalogue Aluminium'!$P$11)),IF(T16="TRENCH",(IF($U16="1C",'Catalogue Aluminium'!$O$12,'Catalogue Aluminium'!$P$12))))))</f>
        <v>NA</v>
      </c>
      <c r="AM16" s="393" t="str">
        <f>IF(T16="AIR","NA",IF(T16="TRENCH","NA",IF(T16="DUCT",IF(U16="1C",VLOOKUP(V16,'Catalogue Aluminium'!$Q$9:$S$28,2,FALSE),VLOOKUP(V16,'Catalogue Aluminium'!$Q$9:$S$28,3)),IF(T16="GROUND",IF(U16="1C",VLOOKUP(V16,'Catalogue Aluminium'!$Q$9:$S$28,2,FALSE),VLOOKUP(V16,'Catalogue Aluminium'!$Q$9:$S$28,3))))))</f>
        <v>NA</v>
      </c>
      <c r="AN16" s="437">
        <f t="shared" si="101"/>
        <v>0.58740000000000003</v>
      </c>
      <c r="AO16" s="418">
        <f t="shared" si="102"/>
        <v>41.118000000000002</v>
      </c>
      <c r="AP16" s="434">
        <f t="shared" si="103"/>
        <v>1</v>
      </c>
      <c r="AQ16" s="418" t="str">
        <f t="shared" si="104"/>
        <v>YES</v>
      </c>
      <c r="AR16" s="437">
        <f t="shared" si="105"/>
        <v>2.3483187985032425</v>
      </c>
      <c r="AS16" s="401" t="str">
        <f t="shared" si="106"/>
        <v>YES</v>
      </c>
      <c r="AT16" s="437" t="str">
        <f t="shared" si="86"/>
        <v>NA</v>
      </c>
      <c r="AU16" s="401" t="str">
        <f t="shared" si="10"/>
        <v>NA</v>
      </c>
      <c r="AV16" s="503" t="str">
        <f t="shared" si="11"/>
        <v>1R x 0.6/1kV x 3C x 16 Sqmm</v>
      </c>
      <c r="AW16" s="503" t="str">
        <f t="shared" si="87"/>
        <v>1R x 0.6/1kV x 3C x 16 Sqmm</v>
      </c>
      <c r="AX16" s="401">
        <f t="shared" si="88"/>
        <v>134</v>
      </c>
      <c r="AY16" s="504"/>
      <c r="AZ16" s="504">
        <f t="shared" si="89"/>
        <v>2</v>
      </c>
      <c r="BA16" s="438" t="str">
        <f t="shared" si="92"/>
        <v>I2J</v>
      </c>
      <c r="BB16" s="579">
        <f>VLOOKUP(W16,'Catalogue Aluminium'!$B$9:$H$93,7,FALSE)</f>
        <v>19</v>
      </c>
      <c r="BC16" s="579">
        <f t="shared" si="90"/>
        <v>19</v>
      </c>
      <c r="BE16" s="336"/>
      <c r="BF16" s="336"/>
      <c r="BG16" s="336"/>
      <c r="BH16" s="336"/>
      <c r="BI16" s="336"/>
      <c r="BJ16" s="336"/>
      <c r="BK16" s="336"/>
      <c r="BL16" s="336"/>
      <c r="BM16" s="336"/>
      <c r="BN16" s="336"/>
      <c r="BO16" s="336"/>
      <c r="BP16" s="336"/>
      <c r="BQ16" s="336"/>
      <c r="BR16" s="336"/>
      <c r="BS16" s="336"/>
      <c r="BT16" s="336"/>
      <c r="BU16" s="336"/>
      <c r="BV16" s="336"/>
      <c r="BW16" s="336"/>
      <c r="BX16" s="336"/>
      <c r="BY16" s="336"/>
      <c r="BZ16" s="336"/>
      <c r="CA16" s="336"/>
      <c r="CB16" s="336">
        <v>1</v>
      </c>
      <c r="CC16" s="336"/>
      <c r="CD16" s="336">
        <v>1</v>
      </c>
      <c r="CE16" s="336"/>
      <c r="CF16" s="336"/>
      <c r="CG16" s="336"/>
      <c r="CH16" s="336"/>
      <c r="CI16" s="336"/>
      <c r="CJ16" s="336"/>
      <c r="CK16" s="336"/>
      <c r="CL16" s="336"/>
      <c r="CM16" s="336"/>
      <c r="CN16" s="336"/>
      <c r="CO16" s="336"/>
      <c r="CP16" s="336"/>
      <c r="CQ16" s="336"/>
      <c r="CR16" s="336"/>
      <c r="CS16" s="336"/>
      <c r="CT16" s="336"/>
      <c r="CU16" s="336"/>
      <c r="CV16" s="336"/>
      <c r="CW16" s="336"/>
      <c r="CX16" s="336"/>
      <c r="CY16" s="336"/>
      <c r="CZ16" s="752"/>
      <c r="DA16" s="752"/>
      <c r="DB16" s="752"/>
      <c r="DC16" s="752"/>
      <c r="DD16" s="752"/>
      <c r="DE16" s="752"/>
      <c r="DF16" s="752"/>
      <c r="DG16" s="752"/>
      <c r="DH16" s="752"/>
      <c r="DI16" s="752"/>
      <c r="DJ16" s="752"/>
      <c r="DK16" s="752"/>
      <c r="DL16" s="752"/>
      <c r="DM16" s="752"/>
      <c r="DN16" s="752"/>
      <c r="DO16" s="752"/>
      <c r="DP16" s="752"/>
      <c r="DQ16" s="752"/>
      <c r="DR16" s="752"/>
      <c r="DS16" s="752"/>
      <c r="DT16" s="752"/>
      <c r="DU16" s="752"/>
      <c r="DW16" s="336">
        <f t="shared" si="93"/>
        <v>0</v>
      </c>
      <c r="DX16" s="336">
        <f t="shared" si="14"/>
        <v>0</v>
      </c>
      <c r="DY16" s="336">
        <f t="shared" si="15"/>
        <v>0</v>
      </c>
      <c r="DZ16" s="336">
        <f t="shared" si="16"/>
        <v>0</v>
      </c>
      <c r="EA16" s="336">
        <f t="shared" si="17"/>
        <v>0</v>
      </c>
      <c r="EB16" s="336">
        <f t="shared" si="18"/>
        <v>0</v>
      </c>
      <c r="EC16" s="336">
        <f t="shared" si="19"/>
        <v>0</v>
      </c>
      <c r="ED16" s="336">
        <f t="shared" si="20"/>
        <v>0</v>
      </c>
      <c r="EE16" s="336">
        <f t="shared" si="21"/>
        <v>0</v>
      </c>
      <c r="EF16" s="336">
        <f t="shared" si="22"/>
        <v>0</v>
      </c>
      <c r="EG16" s="336">
        <f t="shared" si="23"/>
        <v>0</v>
      </c>
      <c r="EH16" s="336">
        <f t="shared" si="24"/>
        <v>0</v>
      </c>
      <c r="EI16" s="336">
        <f t="shared" si="25"/>
        <v>0</v>
      </c>
      <c r="EJ16" s="336">
        <f t="shared" si="26"/>
        <v>0</v>
      </c>
      <c r="EK16" s="336">
        <f t="shared" si="27"/>
        <v>0</v>
      </c>
      <c r="EL16" s="336">
        <f t="shared" si="28"/>
        <v>0</v>
      </c>
      <c r="EM16" s="336">
        <f t="shared" si="29"/>
        <v>0</v>
      </c>
      <c r="EN16" s="336">
        <f t="shared" si="30"/>
        <v>0</v>
      </c>
      <c r="EO16" s="336">
        <f t="shared" si="31"/>
        <v>0</v>
      </c>
      <c r="EP16" s="336">
        <f t="shared" si="32"/>
        <v>0</v>
      </c>
      <c r="EQ16" s="336">
        <f t="shared" si="33"/>
        <v>0</v>
      </c>
      <c r="ER16" s="336">
        <f t="shared" si="34"/>
        <v>0</v>
      </c>
      <c r="ES16" s="336">
        <f t="shared" si="35"/>
        <v>0</v>
      </c>
      <c r="ET16" s="336">
        <f t="shared" si="35"/>
        <v>19</v>
      </c>
      <c r="EU16" s="336">
        <f t="shared" si="36"/>
        <v>0</v>
      </c>
      <c r="EV16" s="336">
        <f t="shared" si="37"/>
        <v>19</v>
      </c>
      <c r="EW16" s="336">
        <f t="shared" si="38"/>
        <v>0</v>
      </c>
      <c r="EX16" s="336">
        <f t="shared" si="39"/>
        <v>0</v>
      </c>
      <c r="EY16" s="336">
        <f t="shared" si="40"/>
        <v>0</v>
      </c>
      <c r="EZ16" s="336">
        <f t="shared" si="41"/>
        <v>0</v>
      </c>
      <c r="FA16" s="336">
        <f t="shared" si="42"/>
        <v>0</v>
      </c>
      <c r="FB16" s="336">
        <f t="shared" si="43"/>
        <v>0</v>
      </c>
      <c r="FC16" s="336">
        <f t="shared" si="44"/>
        <v>0</v>
      </c>
      <c r="FD16" s="336">
        <f t="shared" si="45"/>
        <v>0</v>
      </c>
      <c r="FE16" s="336">
        <f t="shared" si="46"/>
        <v>0</v>
      </c>
      <c r="FF16" s="336">
        <f t="shared" si="47"/>
        <v>0</v>
      </c>
      <c r="FG16" s="336">
        <f t="shared" si="48"/>
        <v>0</v>
      </c>
      <c r="FH16" s="336">
        <f t="shared" si="49"/>
        <v>0</v>
      </c>
      <c r="FI16" s="336">
        <f t="shared" si="50"/>
        <v>0</v>
      </c>
      <c r="FJ16" s="336">
        <f t="shared" si="51"/>
        <v>0</v>
      </c>
      <c r="FK16" s="336">
        <f t="shared" si="52"/>
        <v>0</v>
      </c>
      <c r="FL16" s="336">
        <f t="shared" si="53"/>
        <v>0</v>
      </c>
      <c r="FM16" s="336">
        <f t="shared" si="54"/>
        <v>0</v>
      </c>
      <c r="FN16" s="336">
        <f t="shared" si="55"/>
        <v>0</v>
      </c>
      <c r="FO16" s="336">
        <f t="shared" si="56"/>
        <v>0</v>
      </c>
      <c r="FP16" s="336">
        <f t="shared" si="57"/>
        <v>0</v>
      </c>
      <c r="FQ16" s="336">
        <f t="shared" si="58"/>
        <v>0</v>
      </c>
      <c r="FR16" s="336">
        <f t="shared" si="59"/>
        <v>0</v>
      </c>
      <c r="FS16" s="336">
        <f t="shared" si="60"/>
        <v>0</v>
      </c>
      <c r="FT16" s="336">
        <f t="shared" si="61"/>
        <v>0</v>
      </c>
      <c r="FU16" s="336">
        <f t="shared" si="62"/>
        <v>0</v>
      </c>
      <c r="FV16" s="336">
        <f t="shared" si="63"/>
        <v>0</v>
      </c>
      <c r="FW16" s="336">
        <f t="shared" si="64"/>
        <v>0</v>
      </c>
      <c r="FX16" s="336">
        <f t="shared" si="65"/>
        <v>0</v>
      </c>
      <c r="FY16" s="336">
        <f t="shared" si="66"/>
        <v>0</v>
      </c>
      <c r="FZ16" s="336">
        <f t="shared" si="67"/>
        <v>0</v>
      </c>
      <c r="GA16" s="336">
        <f t="shared" si="68"/>
        <v>0</v>
      </c>
      <c r="GB16" s="336">
        <f t="shared" si="69"/>
        <v>0</v>
      </c>
      <c r="GC16" s="336">
        <f t="shared" si="70"/>
        <v>0</v>
      </c>
      <c r="GD16" s="336">
        <f t="shared" si="71"/>
        <v>0</v>
      </c>
      <c r="GE16" s="336">
        <f t="shared" si="72"/>
        <v>0</v>
      </c>
      <c r="GF16" s="336">
        <f t="shared" si="73"/>
        <v>0</v>
      </c>
      <c r="GG16" s="336">
        <f t="shared" si="74"/>
        <v>0</v>
      </c>
      <c r="GH16" s="336">
        <f t="shared" si="75"/>
        <v>0</v>
      </c>
      <c r="GI16" s="336">
        <f t="shared" si="76"/>
        <v>0</v>
      </c>
      <c r="GJ16" s="336">
        <f t="shared" si="77"/>
        <v>0</v>
      </c>
      <c r="GK16" s="336">
        <f t="shared" si="78"/>
        <v>0</v>
      </c>
      <c r="GL16" s="336">
        <f t="shared" si="79"/>
        <v>0</v>
      </c>
      <c r="GM16" s="336">
        <f t="shared" si="80"/>
        <v>0</v>
      </c>
    </row>
    <row r="17" spans="1:195" s="869" customFormat="1" ht="20.100000000000001" customHeight="1">
      <c r="A17" s="406">
        <f t="shared" si="94"/>
        <v>9</v>
      </c>
      <c r="B17" s="406"/>
      <c r="C17" s="787" t="s">
        <v>1545</v>
      </c>
      <c r="D17" s="787" t="s">
        <v>1742</v>
      </c>
      <c r="E17" s="580" t="s">
        <v>355</v>
      </c>
      <c r="F17" s="580"/>
      <c r="G17" s="406" t="s">
        <v>329</v>
      </c>
      <c r="H17" s="583">
        <v>0.6</v>
      </c>
      <c r="I17" s="406" t="s">
        <v>330</v>
      </c>
      <c r="J17" s="406" t="s">
        <v>357</v>
      </c>
      <c r="K17" s="406">
        <v>230</v>
      </c>
      <c r="L17" s="409">
        <v>0.82</v>
      </c>
      <c r="M17" s="583">
        <v>0.93299999999999994</v>
      </c>
      <c r="N17" s="407">
        <f t="shared" ref="N17:N19" si="107">IF(I17="kVA",IF(J17="3Ph",(H17*1000/(1.732*M17*K17)),(H17*1000/(M17*K17))),IF(I17="kW",IF(J17="3Ph",(H17*1000/(1.732*M17*K17*L17)),(H17*1000/(M17*K17*L17)))))</f>
        <v>3.4097922413587347</v>
      </c>
      <c r="O17" s="407">
        <f t="shared" ref="O17:O19" si="108">IF(G17="MOTOR",(6*N17),IF(G17="VFD",(1*N17),0))</f>
        <v>0</v>
      </c>
      <c r="P17" s="409" t="str">
        <f t="shared" ref="P17:P19" si="109">IF(G17="MOTOR",0.2,"0.00")</f>
        <v>0.00</v>
      </c>
      <c r="Q17" s="583">
        <v>65</v>
      </c>
      <c r="R17" s="583">
        <v>0</v>
      </c>
      <c r="S17" s="583">
        <f t="shared" ref="S17:S19" si="110">(Q17*1000*SQRT(R17)/143)</f>
        <v>0</v>
      </c>
      <c r="T17" s="409" t="s">
        <v>131</v>
      </c>
      <c r="U17" s="583" t="s">
        <v>333</v>
      </c>
      <c r="V17" s="409">
        <v>4</v>
      </c>
      <c r="W17" s="409" t="str">
        <f t="shared" ref="W17:W19" si="111">CONCATENATE(U17," X ",V17)</f>
        <v>3C X 4</v>
      </c>
      <c r="X17" s="409" t="str">
        <f t="shared" ref="X17:X19" si="112">(IF(J17="1Ph",W17,IF(J17="3Ph",(IF(G17="MOTOR",(CONCATENATE(W17,"+PE")),W17)))))</f>
        <v>3C X 4</v>
      </c>
      <c r="Y17" s="409" t="s">
        <v>358</v>
      </c>
      <c r="Z17" s="408">
        <f>IF(T17="AIR",VLOOKUP(W17,'Catalogue Aluminium'!$B$9:$G$93,2,FALSE),IF(T17="GROUND",VLOOKUP(W17,'Catalogue Aluminium'!$B$9:$G$93,3,FALSE),IF(T17="DUCT",VLOOKUP(W17,'Catalogue Aluminium'!$B$9:$G$93,4,FALSE),IF(T17="TRENCH",VLOOKUP(W17,'Catalogue Aluminium'!$B$9:$G$93,2,FALSE)))))</f>
        <v>38</v>
      </c>
      <c r="AA17" s="410">
        <f>VLOOKUP(W17,'Catalogue Aluminium'!$B$9:$G$93,5,FALSE)</f>
        <v>5.9</v>
      </c>
      <c r="AB17" s="410">
        <f>VLOOKUP(W17,'Catalogue Aluminium'!$B$9:$G$93,6,FALSE)</f>
        <v>9.4700000000000006E-2</v>
      </c>
      <c r="AC17" s="409">
        <f t="shared" si="82"/>
        <v>18</v>
      </c>
      <c r="AD17" s="409">
        <f t="shared" si="91"/>
        <v>83</v>
      </c>
      <c r="AE17" s="409">
        <f t="shared" si="83"/>
        <v>10</v>
      </c>
      <c r="AF17" s="409">
        <f t="shared" si="83"/>
        <v>10</v>
      </c>
      <c r="AG17" s="409">
        <f t="shared" ref="AG17:AG19" si="113">ROUNDUP((SUM(AC17:AF17)*0.1),0)</f>
        <v>13</v>
      </c>
      <c r="AH17" s="910">
        <f t="shared" ref="AH17:AH19" si="114">SUM(AC17:AG17)</f>
        <v>134</v>
      </c>
      <c r="AI17" s="408">
        <f>IF(T17="AIR",'Catalogue Aluminium'!$K$9,IF(T17="TRENCH",'Catalogue Aluminium'!$K$12,"NA"))</f>
        <v>0.89</v>
      </c>
      <c r="AJ17" s="407">
        <f>IF(T17="Air",(IF(U17="1C",'Catalogue Aluminium'!$L$9,'Catalogue Aluminium'!$M$9)),IF(T17="DUCT",(IF($U17="1C",'Catalogue Aluminium'!$L$10,'Catalogue Aluminium'!$M$10)),IF(T17="GROUND",(IF($U17="1C",'Catalogue Aluminium'!$L$11,'Catalogue Aluminium'!$M$11)),IF(T17="TRENCH",(IF($U17="1C",'Catalogue Aluminium'!$L$12,'Catalogue Aluminium'!$M$12))))))</f>
        <v>0.66</v>
      </c>
      <c r="AK17" s="408" t="str">
        <f>IF(T17="Air",'Catalogue Aluminium'!$N$9,IF(T17="GROUND",'Catalogue Aluminium'!$N$10,IF(T17="DUCT",'Catalogue Aluminium'!$N$11,IF(T17="TRENCH",'Catalogue Aluminium'!$N$12,"NA"))))</f>
        <v>NA</v>
      </c>
      <c r="AL17" s="408" t="str">
        <f>IF(T17="Air",(IF(U17="1C",'Catalogue Aluminium'!$O$9,'Catalogue Aluminium'!$P$9)),IF(T17="DUCT",(IF($U17="1C",'Catalogue Aluminium'!$O$10,'Catalogue Aluminium'!$P$10)),IF(T17="GROUND",(IF($U17="1C",'Catalogue Aluminium'!$O$11,'Catalogue Aluminium'!$P$11)),IF(T17="TRENCH",(IF($U17="1C",'Catalogue Aluminium'!$O$12,'Catalogue Aluminium'!$P$12))))))</f>
        <v>NA</v>
      </c>
      <c r="AM17" s="408" t="str">
        <f>IF(T17="AIR","NA",IF(T17="TRENCH","NA",IF(T17="DUCT",IF(U17="1C",VLOOKUP(V17,'Catalogue Aluminium'!$Q$9:$S$28,2,FALSE),VLOOKUP(V17,'Catalogue Aluminium'!$Q$9:$S$28,3)),IF(T17="GROUND",IF(U17="1C",VLOOKUP(V17,'Catalogue Aluminium'!$Q$9:$S$28,2,FALSE),VLOOKUP(V17,'Catalogue Aluminium'!$Q$9:$S$28,3))))))</f>
        <v>NA</v>
      </c>
      <c r="AN17" s="584">
        <f t="shared" ref="AN17:AN19" si="115">IF(T17="AIR",AI17*AJ17,IF(T17="TRENCH",AI17*AJ17,IF(T17="DUCT",AJ17*AK17*AL17*AM17,IF(T17="GROUND",AJ17*AK17*AL17*AM17))))</f>
        <v>0.58740000000000003</v>
      </c>
      <c r="AO17" s="583">
        <f t="shared" ref="AO17:AO19" si="116">Z17*AN17</f>
        <v>22.321200000000001</v>
      </c>
      <c r="AP17" s="585">
        <f t="shared" ref="AP17:AP19" si="117">CEILING(((N17)/AO17),1)</f>
        <v>1</v>
      </c>
      <c r="AQ17" s="583" t="str">
        <f t="shared" ref="AQ17:AQ19" si="118">IF(AO17*AP17&gt;=N17,"YES","NO")</f>
        <v>YES</v>
      </c>
      <c r="AR17" s="584">
        <f t="shared" ref="AR17:AR19" si="119">SQRT(3)*AH17*N17*((AA17*L17)+(AB17*SIN(ACOS(L17))))*100/(AP17*K17*1000)</f>
        <v>1.6833327079754803</v>
      </c>
      <c r="AS17" s="409" t="str">
        <f t="shared" ref="AS17:AS19" si="120">IF(G17="INCOMER",(IF(AR17&lt;=2,"YES","NO")),IF(G17="POWER",(IF(AR17&lt;=2.5,"YES","NO")),IF(G17="MOTOR",(IF(AR17&lt;=3,"YES","NO")))))</f>
        <v>YES</v>
      </c>
      <c r="AT17" s="584" t="str">
        <f t="shared" ref="AT17:AT19" si="121">IF(G17="MOTOR",(SQRT(3)*AH17*O17*((AA17*P17)+(AB17*SIN(ACOS(P17))))*100/(AP17*K17*1000)),"NA")</f>
        <v>NA</v>
      </c>
      <c r="AU17" s="409" t="str">
        <f t="shared" ref="AU17:AU19" si="122">IF(G17="MOTOR",IF(AT17&lt;=15,"YES","NO"),"NA")</f>
        <v>NA</v>
      </c>
      <c r="AV17" s="586" t="str">
        <f t="shared" ref="AV17:AV19" si="123">IF(U17="1C",CONCATENATE(AP17,"R x ",Y17,"kV x ",U17," x ",V17," Sqmm/Phase"),CONCATENATE(AP17,"R x ",0.6,"/1kV x ",U17," x ",V17," Sqmm"))</f>
        <v>1R x 0.6/1kV x 3C x 4 Sqmm</v>
      </c>
      <c r="AW17" s="586" t="str">
        <f t="shared" ref="AW17:AW19" si="124">IF(U17="1C",CONCATENATE(AP17,"R x ",Y17,"kV x ",U17," x ",V17," Sqmm/Phase"),CONCATENATE(AP17,"R x ",0.6,"/1kV x ",U17," x ",V17,(IF(G17="MOTOR","+PE",""))," Sqmm"))</f>
        <v>1R x 0.6/1kV x 3C x 4 Sqmm</v>
      </c>
      <c r="AX17" s="409">
        <f t="shared" ref="AX17:AX19" si="125">(IF(K17=400,(IF(U17="1C",(4*AH17*AP17),(AH17*AP17))),IF(K17=230,(AH17*AP17))))</f>
        <v>134</v>
      </c>
      <c r="AY17" s="866"/>
      <c r="AZ17" s="866">
        <f t="shared" ref="AZ17:AZ19" si="126">IF(U17="1C",(3*AP17*2),(AP17*2))</f>
        <v>2</v>
      </c>
      <c r="BA17" s="867" t="str">
        <f t="shared" ref="BA17:BA19" si="127">CONCATENATE(IF(BE17=1,BE$4,""),IF(BF17=1,BF$4,""),IF(BG17=1,BG$4,""),IF(BH17=1,BH$4,""),IF(BI17=1,BI$4,""),IF(BJ17=1,BJ$4,""),IF(BK17=1,BK$4,""),IF(BL17=1,BL$4,""),IF(BM17=1,BM$4,""),IF(BN17=1,BN$4,""),IF(BO17=1,BO$4,""),IF(BP17=1,BP$4,""),IF(BQ17=1,BQ$4,""),IF(BR17=1,BR$4,""),IF(BS17=1,BS$4,""),IF(BT17=1,BT$4,""),IF(BU17=1,BU$4,""),IF(BV17=1,BV$4,""),IF(BW17=1,BW$4,""),IF(BX17=1,BX$4,""),IF(BY17=1,BY$4,""),IF(BZ17=1,BZ$4,""),IF(CA17=1,CA$4,""),IF(CB17=1,CB$4,""),IF(CC17=1,CC$4,""),IF(CD17=1,CD$4,""),IF(CE17=1,CE$4,""),IF(CF17=1,CF$4,""),IF(CG17=1,CG$4,""),IF(CH17=1,CH$4,""),IF(CI17=1,CI$4,""),IF(CJ17=1,CJ$4,""),IF(CK17=1,CK$4,""),IF(CL17=1,CL$4,""),IF(CM17=1,CM$4,""),IF(CN17=1,CN$4,""),IF(CO17=1,CO$4,""),IF(CP17=1,CP$4,""),IF(CQ17=1,CQ$4,""),IF(CR17=1,CR$4,""),IF(CS17=1,CS$4,""),IF(CT17=1,CT$4,""),IF(CU17=1,CU$4,""),IF(CV17=1,CV$4,""),IF(CW17=1,CW$4,""),IF(CX17=1,CX$4,""),IF(CY17=1,CY$4,""),IF(CZ17=1,CZ$4,""),IF(DA17=1,DA$4,""),IF(DB17=1,DB$4,""),IF(DC17=1,DC$4,""),IF(DD17=1,DD$4,""),IF(DE17=1,DE$4,""),IF(DF17=1,DF$4,""),IF(DG17=1,DG$4,""),IF(DH17=1,DH$4,""),IF(DI17=1,DI$4,""),IF(DJ17=1,DJ$4,""),IF(DK17=1,DK$4,""),IF(DL17=1,DL$4,""),IF(DM17=1,DM$4,""),IF(DN17=1,DN$4,""),IF(DO17=1,DO$4,""),IF(DP17=1,DP$4,""),IF(DQ17=1,DQ$4,""),IF(DR17=1,DR$4,""),IF(DS17=1,DS$4,""),IF(DT17=1,DT$4,""),IF(DU17=1,DU$4,""))</f>
        <v>I2J</v>
      </c>
      <c r="BB17" s="587">
        <f>VLOOKUP(W17,'Catalogue Aluminium'!$B$9:$H$93,7,FALSE)</f>
        <v>15</v>
      </c>
      <c r="BC17" s="587">
        <f t="shared" ref="BC17:BC19" si="128">AP17*BB17</f>
        <v>15</v>
      </c>
      <c r="BE17" s="587"/>
      <c r="BF17" s="587"/>
      <c r="BG17" s="587"/>
      <c r="BH17" s="587"/>
      <c r="BI17" s="587"/>
      <c r="BJ17" s="587"/>
      <c r="BK17" s="587"/>
      <c r="BL17" s="587"/>
      <c r="BM17" s="587"/>
      <c r="BN17" s="587"/>
      <c r="BO17" s="587"/>
      <c r="BP17" s="587"/>
      <c r="BQ17" s="587"/>
      <c r="BR17" s="587"/>
      <c r="BS17" s="587"/>
      <c r="BT17" s="587"/>
      <c r="BU17" s="587"/>
      <c r="BV17" s="587"/>
      <c r="BW17" s="587"/>
      <c r="BX17" s="587"/>
      <c r="BY17" s="587"/>
      <c r="BZ17" s="587"/>
      <c r="CA17" s="587"/>
      <c r="CB17" s="587">
        <v>1</v>
      </c>
      <c r="CC17" s="587"/>
      <c r="CD17" s="587">
        <v>1</v>
      </c>
      <c r="CE17" s="587"/>
      <c r="CF17" s="587"/>
      <c r="CG17" s="587"/>
      <c r="CH17" s="587"/>
      <c r="CI17" s="587"/>
      <c r="CJ17" s="587"/>
      <c r="CK17" s="587"/>
      <c r="CL17" s="587"/>
      <c r="CM17" s="587"/>
      <c r="CN17" s="587"/>
      <c r="CO17" s="587"/>
      <c r="CP17" s="587"/>
      <c r="CQ17" s="587"/>
      <c r="CR17" s="587"/>
      <c r="CS17" s="587"/>
      <c r="CT17" s="587"/>
      <c r="CU17" s="587"/>
      <c r="CV17" s="587"/>
      <c r="CW17" s="587"/>
      <c r="CX17" s="587"/>
      <c r="CY17" s="587"/>
      <c r="CZ17" s="911"/>
      <c r="DA17" s="911"/>
      <c r="DB17" s="911"/>
      <c r="DC17" s="911"/>
      <c r="DD17" s="911"/>
      <c r="DE17" s="911"/>
      <c r="DF17" s="911"/>
      <c r="DG17" s="911"/>
      <c r="DH17" s="911"/>
      <c r="DI17" s="911"/>
      <c r="DJ17" s="911"/>
      <c r="DK17" s="911"/>
      <c r="DL17" s="911"/>
      <c r="DM17" s="911"/>
      <c r="DN17" s="911"/>
      <c r="DO17" s="911"/>
      <c r="DP17" s="911"/>
      <c r="DQ17" s="911"/>
      <c r="DR17" s="911"/>
      <c r="DS17" s="911"/>
      <c r="DT17" s="911"/>
      <c r="DU17" s="911"/>
      <c r="DW17" s="587">
        <f t="shared" ref="DW17:DW18" si="129">IF(BE17=1,($BC17*BE17),0)</f>
        <v>0</v>
      </c>
      <c r="DX17" s="587">
        <f t="shared" ref="DX17:DX18" si="130">IF(BF17=1,($BC17*BF17),0)</f>
        <v>0</v>
      </c>
      <c r="DY17" s="587">
        <f t="shared" ref="DY17:DY18" si="131">IF(BG17=1,($BC17*BG17),0)</f>
        <v>0</v>
      </c>
      <c r="DZ17" s="587">
        <f t="shared" ref="DZ17:DZ18" si="132">IF(BH17=1,($BC17*BH17),0)</f>
        <v>0</v>
      </c>
      <c r="EA17" s="587">
        <f t="shared" ref="EA17:EA18" si="133">IF(BI17=1,($BC17*BI17),0)</f>
        <v>0</v>
      </c>
      <c r="EB17" s="587">
        <f t="shared" ref="EB17:EB18" si="134">IF(BJ17=1,($BC17*BJ17),0)</f>
        <v>0</v>
      </c>
      <c r="EC17" s="587">
        <f t="shared" ref="EC17:EC18" si="135">IF(BK17=1,($BC17*BK17),0)</f>
        <v>0</v>
      </c>
      <c r="ED17" s="587">
        <f t="shared" ref="ED17:ED18" si="136">IF(BL17=1,($BC17*BL17),0)</f>
        <v>0</v>
      </c>
      <c r="EE17" s="587">
        <f t="shared" ref="EE17:EE18" si="137">IF(BM17=1,($BC17*BM17),0)</f>
        <v>0</v>
      </c>
      <c r="EF17" s="587">
        <f t="shared" ref="EF17:EF18" si="138">IF(BN17=1,($BC17*BN17),0)</f>
        <v>0</v>
      </c>
      <c r="EG17" s="587">
        <f t="shared" ref="EG17:EG18" si="139">IF(BO17=1,($BC17*BO17),0)</f>
        <v>0</v>
      </c>
      <c r="EH17" s="587">
        <f t="shared" ref="EH17:EH18" si="140">IF(BP17=1,($BC17*BP17),0)</f>
        <v>0</v>
      </c>
      <c r="EI17" s="587">
        <f t="shared" ref="EI17:EI18" si="141">IF(BQ17=1,($BC17*BQ17),0)</f>
        <v>0</v>
      </c>
      <c r="EJ17" s="587">
        <f t="shared" ref="EJ17:EJ18" si="142">IF(BR17=1,($BC17*BR17),0)</f>
        <v>0</v>
      </c>
      <c r="EK17" s="587">
        <f t="shared" ref="EK17:EK18" si="143">IF(BS17=1,($BC17*BS17),0)</f>
        <v>0</v>
      </c>
      <c r="EL17" s="587">
        <f t="shared" ref="EL17:EL18" si="144">IF(BT17=1,($BC17*BT17),0)</f>
        <v>0</v>
      </c>
      <c r="EM17" s="587">
        <f t="shared" ref="EM17:EM18" si="145">IF(BU17=1,($BC17*BU17),0)</f>
        <v>0</v>
      </c>
      <c r="EN17" s="587">
        <f t="shared" ref="EN17:EN18" si="146">IF(BV17=1,($BC17*BV17),0)</f>
        <v>0</v>
      </c>
      <c r="EO17" s="587">
        <f t="shared" ref="EO17:EO18" si="147">IF(BW17=1,($BC17*BW17),0)</f>
        <v>0</v>
      </c>
      <c r="EP17" s="587">
        <f t="shared" ref="EP17:EP18" si="148">IF(BX17=1,($BC17*BX17),0)</f>
        <v>0</v>
      </c>
      <c r="EQ17" s="587">
        <f t="shared" ref="EQ17:EQ18" si="149">IF(BY17=1,($BC17*BY17),0)</f>
        <v>0</v>
      </c>
      <c r="ER17" s="587">
        <f t="shared" ref="ER17:ER18" si="150">IF(BZ17=1,($BC17*BZ17),0)</f>
        <v>0</v>
      </c>
      <c r="ES17" s="587">
        <f t="shared" ref="ES17:ES18" si="151">IF(CA17=1,($BC17*CA17),0)</f>
        <v>0</v>
      </c>
      <c r="ET17" s="587">
        <f t="shared" ref="ET17:ET18" si="152">IF(CB17=1,($BC17*CB17),0)</f>
        <v>15</v>
      </c>
      <c r="EU17" s="587">
        <f t="shared" ref="EU17:EU18" si="153">IF(CC17=1,($BC17*CC17),0)</f>
        <v>0</v>
      </c>
      <c r="EV17" s="587">
        <f t="shared" ref="EV17:EV18" si="154">IF(CD17=1,($BC17*CD17),0)</f>
        <v>15</v>
      </c>
      <c r="EW17" s="587">
        <f t="shared" ref="EW17:EW18" si="155">IF(CE17=1,($BC17*CE17),0)</f>
        <v>0</v>
      </c>
      <c r="EX17" s="587">
        <f t="shared" ref="EX17:EX18" si="156">IF(CF17=1,($BC17*CF17),0)</f>
        <v>0</v>
      </c>
      <c r="EY17" s="587">
        <f t="shared" ref="EY17:EY18" si="157">IF(CG17=1,($BC17*CG17),0)</f>
        <v>0</v>
      </c>
      <c r="EZ17" s="587">
        <f t="shared" ref="EZ17:EZ18" si="158">IF(CH17=1,($BC17*CH17),0)</f>
        <v>0</v>
      </c>
      <c r="FA17" s="587">
        <f t="shared" ref="FA17:FA18" si="159">IF(CI17=1,($BC17*CI17),0)</f>
        <v>0</v>
      </c>
      <c r="FB17" s="587">
        <f t="shared" ref="FB17:FB18" si="160">IF(CJ17=1,($BC17*CJ17),0)</f>
        <v>0</v>
      </c>
      <c r="FC17" s="587">
        <f t="shared" ref="FC17:FC18" si="161">IF(CK17=1,($BC17*CK17),0)</f>
        <v>0</v>
      </c>
      <c r="FD17" s="587">
        <f t="shared" ref="FD17:FD18" si="162">IF(CL17=1,($BC17*CL17),0)</f>
        <v>0</v>
      </c>
      <c r="FE17" s="587">
        <f t="shared" ref="FE17:FE18" si="163">IF(CM17=1,($BC17*CM17),0)</f>
        <v>0</v>
      </c>
      <c r="FF17" s="587">
        <f t="shared" ref="FF17:FF18" si="164">IF(CN17=1,($BC17*CN17),0)</f>
        <v>0</v>
      </c>
      <c r="FG17" s="587">
        <f t="shared" ref="FG17:FG18" si="165">IF(CO17=1,($BC17*CO17),0)</f>
        <v>0</v>
      </c>
      <c r="FH17" s="587">
        <f t="shared" ref="FH17:FH18" si="166">IF(CP17=1,($BC17*CP17),0)</f>
        <v>0</v>
      </c>
      <c r="FI17" s="587">
        <f t="shared" ref="FI17:FI18" si="167">IF(CQ17=1,($BC17*CQ17),0)</f>
        <v>0</v>
      </c>
      <c r="FJ17" s="587">
        <f t="shared" ref="FJ17:FJ18" si="168">IF(CR17=1,($BC17*CR17),0)</f>
        <v>0</v>
      </c>
      <c r="FK17" s="587">
        <f t="shared" ref="FK17:FK18" si="169">IF(CS17=1,($BC17*CS17),0)</f>
        <v>0</v>
      </c>
      <c r="FL17" s="587">
        <f t="shared" ref="FL17:FL18" si="170">IF(CT17=1,($BC17*CT17),0)</f>
        <v>0</v>
      </c>
      <c r="FM17" s="587">
        <f t="shared" ref="FM17:FM18" si="171">IF(CU17=1,($BC17*CU17),0)</f>
        <v>0</v>
      </c>
      <c r="FN17" s="587">
        <f t="shared" ref="FN17:FN18" si="172">IF(CV17=1,($BC17*CV17),0)</f>
        <v>0</v>
      </c>
      <c r="FO17" s="587">
        <f t="shared" ref="FO17:FO18" si="173">IF(CW17=1,($BC17*CW17),0)</f>
        <v>0</v>
      </c>
      <c r="FP17" s="587">
        <f t="shared" ref="FP17:FP18" si="174">IF(CX17=1,($BC17*CX17),0)</f>
        <v>0</v>
      </c>
      <c r="FQ17" s="587">
        <f t="shared" ref="FQ17:FQ18" si="175">IF(CY17=1,($BC17*CY17),0)</f>
        <v>0</v>
      </c>
      <c r="FR17" s="587">
        <f t="shared" ref="FR17:FR18" si="176">IF(CZ17=1,($BC17*CZ17),0)</f>
        <v>0</v>
      </c>
      <c r="FS17" s="587">
        <f t="shared" ref="FS17:FS18" si="177">IF(DA17=1,($BC17*DA17),0)</f>
        <v>0</v>
      </c>
      <c r="FT17" s="587">
        <f t="shared" ref="FT17:FT18" si="178">IF(DB17=1,($BC17*DB17),0)</f>
        <v>0</v>
      </c>
      <c r="FU17" s="587">
        <f t="shared" ref="FU17:FU18" si="179">IF(DC17=1,($BC17*DC17),0)</f>
        <v>0</v>
      </c>
      <c r="FV17" s="587">
        <f t="shared" ref="FV17:FV18" si="180">IF(DD17=1,($BC17*DD17),0)</f>
        <v>0</v>
      </c>
      <c r="FW17" s="587">
        <f t="shared" ref="FW17:FW18" si="181">IF(DE17=1,($BC17*DE17),0)</f>
        <v>0</v>
      </c>
      <c r="FX17" s="587">
        <f t="shared" ref="FX17:FX18" si="182">IF(DF17=1,($BC17*DF17),0)</f>
        <v>0</v>
      </c>
      <c r="FY17" s="587">
        <f t="shared" ref="FY17:FY18" si="183">IF(DG17=1,($BC17*DG17),0)</f>
        <v>0</v>
      </c>
      <c r="FZ17" s="587">
        <f t="shared" ref="FZ17:FZ18" si="184">IF(DH17=1,($BC17*DH17),0)</f>
        <v>0</v>
      </c>
      <c r="GA17" s="587">
        <f t="shared" ref="GA17:GA18" si="185">IF(DI17=1,($BC17*DI17),0)</f>
        <v>0</v>
      </c>
      <c r="GB17" s="587">
        <f t="shared" ref="GB17:GB18" si="186">IF(DJ17=1,($BC17*DJ17),0)</f>
        <v>0</v>
      </c>
      <c r="GC17" s="587">
        <f t="shared" ref="GC17:GC18" si="187">IF(DK17=1,($BC17*DK17),0)</f>
        <v>0</v>
      </c>
      <c r="GD17" s="587">
        <f t="shared" ref="GD17:GD18" si="188">IF(DL17=1,($BC17*DL17),0)</f>
        <v>0</v>
      </c>
      <c r="GE17" s="587">
        <f t="shared" ref="GE17:GE18" si="189">IF(DM17=1,($BC17*DM17),0)</f>
        <v>0</v>
      </c>
      <c r="GF17" s="587">
        <f t="shared" ref="GF17:GF18" si="190">IF(DN17=1,($BC17*DN17),0)</f>
        <v>0</v>
      </c>
      <c r="GG17" s="587">
        <f t="shared" ref="GG17:GG18" si="191">IF(DO17=1,($BC17*DO17),0)</f>
        <v>0</v>
      </c>
      <c r="GH17" s="587">
        <f t="shared" ref="GH17:GH18" si="192">IF(DP17=1,($BC17*DP17),0)</f>
        <v>0</v>
      </c>
      <c r="GI17" s="587">
        <f t="shared" ref="GI17:GI18" si="193">IF(DQ17=1,($BC17*DQ17),0)</f>
        <v>0</v>
      </c>
      <c r="GJ17" s="587">
        <f t="shared" ref="GJ17:GJ18" si="194">IF(DR17=1,($BC17*DR17),0)</f>
        <v>0</v>
      </c>
      <c r="GK17" s="587">
        <f t="shared" ref="GK17:GK18" si="195">IF(DS17=1,($BC17*DS17),0)</f>
        <v>0</v>
      </c>
      <c r="GL17" s="587">
        <f t="shared" ref="GL17:GL18" si="196">IF(DT17=1,($BC17*DT17),0)</f>
        <v>0</v>
      </c>
      <c r="GM17" s="587">
        <f t="shared" ref="GM17:GM18" si="197">IF(DU17=1,($BC17*DU17),0)</f>
        <v>0</v>
      </c>
    </row>
    <row r="18" spans="1:195" s="869" customFormat="1" ht="20.100000000000001" customHeight="1">
      <c r="A18" s="406">
        <f t="shared" si="94"/>
        <v>10</v>
      </c>
      <c r="B18" s="406"/>
      <c r="C18" s="787" t="s">
        <v>1741</v>
      </c>
      <c r="D18" s="787" t="s">
        <v>1743</v>
      </c>
      <c r="E18" s="580" t="s">
        <v>355</v>
      </c>
      <c r="F18" s="580"/>
      <c r="G18" s="406" t="s">
        <v>329</v>
      </c>
      <c r="H18" s="583">
        <v>0.6</v>
      </c>
      <c r="I18" s="406" t="s">
        <v>330</v>
      </c>
      <c r="J18" s="406" t="s">
        <v>357</v>
      </c>
      <c r="K18" s="406">
        <v>230</v>
      </c>
      <c r="L18" s="409">
        <v>0.82</v>
      </c>
      <c r="M18" s="583">
        <v>0.93299999999999994</v>
      </c>
      <c r="N18" s="407">
        <f t="shared" si="107"/>
        <v>3.4097922413587347</v>
      </c>
      <c r="O18" s="407">
        <f t="shared" si="108"/>
        <v>0</v>
      </c>
      <c r="P18" s="409" t="str">
        <f t="shared" si="109"/>
        <v>0.00</v>
      </c>
      <c r="Q18" s="583">
        <v>65</v>
      </c>
      <c r="R18" s="583">
        <v>0</v>
      </c>
      <c r="S18" s="583">
        <f t="shared" si="110"/>
        <v>0</v>
      </c>
      <c r="T18" s="409" t="s">
        <v>131</v>
      </c>
      <c r="U18" s="583" t="s">
        <v>333</v>
      </c>
      <c r="V18" s="409">
        <v>4</v>
      </c>
      <c r="W18" s="409" t="str">
        <f t="shared" si="111"/>
        <v>3C X 4</v>
      </c>
      <c r="X18" s="409" t="str">
        <f t="shared" si="112"/>
        <v>3C X 4</v>
      </c>
      <c r="Y18" s="409" t="s">
        <v>358</v>
      </c>
      <c r="Z18" s="408">
        <f>IF(T18="AIR",VLOOKUP(W18,'Catalogue Aluminium'!$B$9:$G$93,2,FALSE),IF(T18="GROUND",VLOOKUP(W18,'Catalogue Aluminium'!$B$9:$G$93,3,FALSE),IF(T18="DUCT",VLOOKUP(W18,'Catalogue Aluminium'!$B$9:$G$93,4,FALSE),IF(T18="TRENCH",VLOOKUP(W18,'Catalogue Aluminium'!$B$9:$G$93,2,FALSE)))))</f>
        <v>38</v>
      </c>
      <c r="AA18" s="410">
        <f>VLOOKUP(W18,'Catalogue Aluminium'!$B$9:$G$93,5,FALSE)</f>
        <v>5.9</v>
      </c>
      <c r="AB18" s="410">
        <f>VLOOKUP(W18,'Catalogue Aluminium'!$B$9:$G$93,6,FALSE)</f>
        <v>9.4700000000000006E-2</v>
      </c>
      <c r="AC18" s="409">
        <f t="shared" si="82"/>
        <v>18</v>
      </c>
      <c r="AD18" s="409">
        <f t="shared" si="91"/>
        <v>83</v>
      </c>
      <c r="AE18" s="409">
        <f t="shared" si="83"/>
        <v>10</v>
      </c>
      <c r="AF18" s="409">
        <f t="shared" si="83"/>
        <v>10</v>
      </c>
      <c r="AG18" s="409">
        <f t="shared" si="113"/>
        <v>13</v>
      </c>
      <c r="AH18" s="910">
        <f t="shared" si="114"/>
        <v>134</v>
      </c>
      <c r="AI18" s="408">
        <f>IF(T18="AIR",'Catalogue Aluminium'!$K$9,IF(T18="TRENCH",'Catalogue Aluminium'!$K$12,"NA"))</f>
        <v>0.89</v>
      </c>
      <c r="AJ18" s="407">
        <f>IF(T18="Air",(IF(U18="1C",'Catalogue Aluminium'!$L$9,'Catalogue Aluminium'!$M$9)),IF(T18="DUCT",(IF($U18="1C",'Catalogue Aluminium'!$L$10,'Catalogue Aluminium'!$M$10)),IF(T18="GROUND",(IF($U18="1C",'Catalogue Aluminium'!$L$11,'Catalogue Aluminium'!$M$11)),IF(T18="TRENCH",(IF($U18="1C",'Catalogue Aluminium'!$L$12,'Catalogue Aluminium'!$M$12))))))</f>
        <v>0.66</v>
      </c>
      <c r="AK18" s="408" t="str">
        <f>IF(T18="Air",'Catalogue Aluminium'!$N$9,IF(T18="GROUND",'Catalogue Aluminium'!$N$10,IF(T18="DUCT",'Catalogue Aluminium'!$N$11,IF(T18="TRENCH",'Catalogue Aluminium'!$N$12,"NA"))))</f>
        <v>NA</v>
      </c>
      <c r="AL18" s="408" t="str">
        <f>IF(T18="Air",(IF(U18="1C",'Catalogue Aluminium'!$O$9,'Catalogue Aluminium'!$P$9)),IF(T18="DUCT",(IF($U18="1C",'Catalogue Aluminium'!$O$10,'Catalogue Aluminium'!$P$10)),IF(T18="GROUND",(IF($U18="1C",'Catalogue Aluminium'!$O$11,'Catalogue Aluminium'!$P$11)),IF(T18="TRENCH",(IF($U18="1C",'Catalogue Aluminium'!$O$12,'Catalogue Aluminium'!$P$12))))))</f>
        <v>NA</v>
      </c>
      <c r="AM18" s="408" t="str">
        <f>IF(T18="AIR","NA",IF(T18="TRENCH","NA",IF(T18="DUCT",IF(U18="1C",VLOOKUP(V18,'Catalogue Aluminium'!$Q$9:$S$28,2,FALSE),VLOOKUP(V18,'Catalogue Aluminium'!$Q$9:$S$28,3)),IF(T18="GROUND",IF(U18="1C",VLOOKUP(V18,'Catalogue Aluminium'!$Q$9:$S$28,2,FALSE),VLOOKUP(V18,'Catalogue Aluminium'!$Q$9:$S$28,3))))))</f>
        <v>NA</v>
      </c>
      <c r="AN18" s="584">
        <f t="shared" si="115"/>
        <v>0.58740000000000003</v>
      </c>
      <c r="AO18" s="583">
        <f t="shared" si="116"/>
        <v>22.321200000000001</v>
      </c>
      <c r="AP18" s="585">
        <f t="shared" si="117"/>
        <v>1</v>
      </c>
      <c r="AQ18" s="583" t="str">
        <f t="shared" si="118"/>
        <v>YES</v>
      </c>
      <c r="AR18" s="584">
        <f t="shared" si="119"/>
        <v>1.6833327079754803</v>
      </c>
      <c r="AS18" s="409" t="str">
        <f t="shared" si="120"/>
        <v>YES</v>
      </c>
      <c r="AT18" s="584" t="str">
        <f t="shared" si="121"/>
        <v>NA</v>
      </c>
      <c r="AU18" s="409" t="str">
        <f t="shared" si="122"/>
        <v>NA</v>
      </c>
      <c r="AV18" s="586" t="str">
        <f t="shared" si="123"/>
        <v>1R x 0.6/1kV x 3C x 4 Sqmm</v>
      </c>
      <c r="AW18" s="586" t="str">
        <f t="shared" si="124"/>
        <v>1R x 0.6/1kV x 3C x 4 Sqmm</v>
      </c>
      <c r="AX18" s="409">
        <f t="shared" si="125"/>
        <v>134</v>
      </c>
      <c r="AY18" s="866"/>
      <c r="AZ18" s="866">
        <f t="shared" si="126"/>
        <v>2</v>
      </c>
      <c r="BA18" s="867" t="str">
        <f t="shared" si="127"/>
        <v>I2J</v>
      </c>
      <c r="BB18" s="587">
        <f>VLOOKUP(W18,'Catalogue Aluminium'!$B$9:$H$93,7,FALSE)</f>
        <v>15</v>
      </c>
      <c r="BC18" s="587">
        <f t="shared" si="128"/>
        <v>15</v>
      </c>
      <c r="BE18" s="587"/>
      <c r="BF18" s="587"/>
      <c r="BG18" s="587"/>
      <c r="BH18" s="587"/>
      <c r="BI18" s="587"/>
      <c r="BJ18" s="587"/>
      <c r="BK18" s="587"/>
      <c r="BL18" s="587"/>
      <c r="BM18" s="587"/>
      <c r="BN18" s="587"/>
      <c r="BO18" s="587"/>
      <c r="BP18" s="587"/>
      <c r="BQ18" s="587"/>
      <c r="BR18" s="587"/>
      <c r="BS18" s="587"/>
      <c r="BT18" s="587"/>
      <c r="BU18" s="587"/>
      <c r="BV18" s="587"/>
      <c r="BW18" s="587"/>
      <c r="BX18" s="587"/>
      <c r="BY18" s="587"/>
      <c r="BZ18" s="587"/>
      <c r="CA18" s="587"/>
      <c r="CB18" s="587">
        <v>1</v>
      </c>
      <c r="CC18" s="587"/>
      <c r="CD18" s="587">
        <v>1</v>
      </c>
      <c r="CE18" s="587"/>
      <c r="CF18" s="587"/>
      <c r="CG18" s="587"/>
      <c r="CH18" s="587"/>
      <c r="CI18" s="587"/>
      <c r="CJ18" s="587"/>
      <c r="CK18" s="587"/>
      <c r="CL18" s="587"/>
      <c r="CM18" s="587"/>
      <c r="CN18" s="587"/>
      <c r="CO18" s="587"/>
      <c r="CP18" s="587"/>
      <c r="CQ18" s="587"/>
      <c r="CR18" s="587"/>
      <c r="CS18" s="587"/>
      <c r="CT18" s="587"/>
      <c r="CU18" s="587"/>
      <c r="CV18" s="587"/>
      <c r="CW18" s="587"/>
      <c r="CX18" s="587"/>
      <c r="CY18" s="587"/>
      <c r="CZ18" s="911"/>
      <c r="DA18" s="911"/>
      <c r="DB18" s="911"/>
      <c r="DC18" s="911"/>
      <c r="DD18" s="911"/>
      <c r="DE18" s="911"/>
      <c r="DF18" s="911"/>
      <c r="DG18" s="911"/>
      <c r="DH18" s="911"/>
      <c r="DI18" s="911"/>
      <c r="DJ18" s="911"/>
      <c r="DK18" s="911"/>
      <c r="DL18" s="911"/>
      <c r="DM18" s="911"/>
      <c r="DN18" s="911"/>
      <c r="DO18" s="911"/>
      <c r="DP18" s="911"/>
      <c r="DQ18" s="911"/>
      <c r="DR18" s="911"/>
      <c r="DS18" s="911"/>
      <c r="DT18" s="911"/>
      <c r="DU18" s="911"/>
      <c r="DW18" s="587">
        <f t="shared" si="129"/>
        <v>0</v>
      </c>
      <c r="DX18" s="587">
        <f t="shared" si="130"/>
        <v>0</v>
      </c>
      <c r="DY18" s="587">
        <f t="shared" si="131"/>
        <v>0</v>
      </c>
      <c r="DZ18" s="587">
        <f t="shared" si="132"/>
        <v>0</v>
      </c>
      <c r="EA18" s="587">
        <f t="shared" si="133"/>
        <v>0</v>
      </c>
      <c r="EB18" s="587">
        <f t="shared" si="134"/>
        <v>0</v>
      </c>
      <c r="EC18" s="587">
        <f t="shared" si="135"/>
        <v>0</v>
      </c>
      <c r="ED18" s="587">
        <f t="shared" si="136"/>
        <v>0</v>
      </c>
      <c r="EE18" s="587">
        <f t="shared" si="137"/>
        <v>0</v>
      </c>
      <c r="EF18" s="587">
        <f t="shared" si="138"/>
        <v>0</v>
      </c>
      <c r="EG18" s="587">
        <f t="shared" si="139"/>
        <v>0</v>
      </c>
      <c r="EH18" s="587">
        <f t="shared" si="140"/>
        <v>0</v>
      </c>
      <c r="EI18" s="587">
        <f t="shared" si="141"/>
        <v>0</v>
      </c>
      <c r="EJ18" s="587">
        <f t="shared" si="142"/>
        <v>0</v>
      </c>
      <c r="EK18" s="587">
        <f t="shared" si="143"/>
        <v>0</v>
      </c>
      <c r="EL18" s="587">
        <f t="shared" si="144"/>
        <v>0</v>
      </c>
      <c r="EM18" s="587">
        <f t="shared" si="145"/>
        <v>0</v>
      </c>
      <c r="EN18" s="587">
        <f t="shared" si="146"/>
        <v>0</v>
      </c>
      <c r="EO18" s="587">
        <f t="shared" si="147"/>
        <v>0</v>
      </c>
      <c r="EP18" s="587">
        <f t="shared" si="148"/>
        <v>0</v>
      </c>
      <c r="EQ18" s="587">
        <f t="shared" si="149"/>
        <v>0</v>
      </c>
      <c r="ER18" s="587">
        <f t="shared" si="150"/>
        <v>0</v>
      </c>
      <c r="ES18" s="587">
        <f t="shared" si="151"/>
        <v>0</v>
      </c>
      <c r="ET18" s="587">
        <f t="shared" si="152"/>
        <v>15</v>
      </c>
      <c r="EU18" s="587">
        <f t="shared" si="153"/>
        <v>0</v>
      </c>
      <c r="EV18" s="587">
        <f t="shared" si="154"/>
        <v>15</v>
      </c>
      <c r="EW18" s="587">
        <f t="shared" si="155"/>
        <v>0</v>
      </c>
      <c r="EX18" s="587">
        <f t="shared" si="156"/>
        <v>0</v>
      </c>
      <c r="EY18" s="587">
        <f t="shared" si="157"/>
        <v>0</v>
      </c>
      <c r="EZ18" s="587">
        <f t="shared" si="158"/>
        <v>0</v>
      </c>
      <c r="FA18" s="587">
        <f t="shared" si="159"/>
        <v>0</v>
      </c>
      <c r="FB18" s="587">
        <f t="shared" si="160"/>
        <v>0</v>
      </c>
      <c r="FC18" s="587">
        <f t="shared" si="161"/>
        <v>0</v>
      </c>
      <c r="FD18" s="587">
        <f t="shared" si="162"/>
        <v>0</v>
      </c>
      <c r="FE18" s="587">
        <f t="shared" si="163"/>
        <v>0</v>
      </c>
      <c r="FF18" s="587">
        <f t="shared" si="164"/>
        <v>0</v>
      </c>
      <c r="FG18" s="587">
        <f t="shared" si="165"/>
        <v>0</v>
      </c>
      <c r="FH18" s="587">
        <f t="shared" si="166"/>
        <v>0</v>
      </c>
      <c r="FI18" s="587">
        <f t="shared" si="167"/>
        <v>0</v>
      </c>
      <c r="FJ18" s="587">
        <f t="shared" si="168"/>
        <v>0</v>
      </c>
      <c r="FK18" s="587">
        <f t="shared" si="169"/>
        <v>0</v>
      </c>
      <c r="FL18" s="587">
        <f t="shared" si="170"/>
        <v>0</v>
      </c>
      <c r="FM18" s="587">
        <f t="shared" si="171"/>
        <v>0</v>
      </c>
      <c r="FN18" s="587">
        <f t="shared" si="172"/>
        <v>0</v>
      </c>
      <c r="FO18" s="587">
        <f t="shared" si="173"/>
        <v>0</v>
      </c>
      <c r="FP18" s="587">
        <f t="shared" si="174"/>
        <v>0</v>
      </c>
      <c r="FQ18" s="587">
        <f t="shared" si="175"/>
        <v>0</v>
      </c>
      <c r="FR18" s="587">
        <f t="shared" si="176"/>
        <v>0</v>
      </c>
      <c r="FS18" s="587">
        <f t="shared" si="177"/>
        <v>0</v>
      </c>
      <c r="FT18" s="587">
        <f t="shared" si="178"/>
        <v>0</v>
      </c>
      <c r="FU18" s="587">
        <f t="shared" si="179"/>
        <v>0</v>
      </c>
      <c r="FV18" s="587">
        <f t="shared" si="180"/>
        <v>0</v>
      </c>
      <c r="FW18" s="587">
        <f t="shared" si="181"/>
        <v>0</v>
      </c>
      <c r="FX18" s="587">
        <f t="shared" si="182"/>
        <v>0</v>
      </c>
      <c r="FY18" s="587">
        <f t="shared" si="183"/>
        <v>0</v>
      </c>
      <c r="FZ18" s="587">
        <f t="shared" si="184"/>
        <v>0</v>
      </c>
      <c r="GA18" s="587">
        <f t="shared" si="185"/>
        <v>0</v>
      </c>
      <c r="GB18" s="587">
        <f t="shared" si="186"/>
        <v>0</v>
      </c>
      <c r="GC18" s="587">
        <f t="shared" si="187"/>
        <v>0</v>
      </c>
      <c r="GD18" s="587">
        <f t="shared" si="188"/>
        <v>0</v>
      </c>
      <c r="GE18" s="587">
        <f t="shared" si="189"/>
        <v>0</v>
      </c>
      <c r="GF18" s="587">
        <f t="shared" si="190"/>
        <v>0</v>
      </c>
      <c r="GG18" s="587">
        <f t="shared" si="191"/>
        <v>0</v>
      </c>
      <c r="GH18" s="587">
        <f t="shared" si="192"/>
        <v>0</v>
      </c>
      <c r="GI18" s="587">
        <f t="shared" si="193"/>
        <v>0</v>
      </c>
      <c r="GJ18" s="587">
        <f t="shared" si="194"/>
        <v>0</v>
      </c>
      <c r="GK18" s="587">
        <f t="shared" si="195"/>
        <v>0</v>
      </c>
      <c r="GL18" s="587">
        <f t="shared" si="196"/>
        <v>0</v>
      </c>
      <c r="GM18" s="587">
        <f t="shared" si="197"/>
        <v>0</v>
      </c>
    </row>
    <row r="19" spans="1:195" ht="20.100000000000001" customHeight="1">
      <c r="A19" s="388">
        <f t="shared" si="94"/>
        <v>11</v>
      </c>
      <c r="B19" s="388"/>
      <c r="C19" s="338" t="s">
        <v>1430</v>
      </c>
      <c r="D19" s="338" t="s">
        <v>1445</v>
      </c>
      <c r="E19" s="502" t="s">
        <v>355</v>
      </c>
      <c r="F19" s="502"/>
      <c r="G19" s="388" t="s">
        <v>350</v>
      </c>
      <c r="H19" s="418">
        <v>1.5</v>
      </c>
      <c r="I19" s="388" t="s">
        <v>330</v>
      </c>
      <c r="J19" s="388" t="s">
        <v>331</v>
      </c>
      <c r="K19" s="388">
        <v>400</v>
      </c>
      <c r="L19" s="401">
        <v>0.82</v>
      </c>
      <c r="M19" s="418">
        <v>0.93299999999999994</v>
      </c>
      <c r="N19" s="392">
        <f t="shared" si="107"/>
        <v>2.830009438194677</v>
      </c>
      <c r="O19" s="392">
        <f t="shared" si="108"/>
        <v>16.980056629168061</v>
      </c>
      <c r="P19" s="401">
        <f t="shared" si="109"/>
        <v>0.2</v>
      </c>
      <c r="Q19" s="418">
        <v>65</v>
      </c>
      <c r="R19" s="418">
        <v>0</v>
      </c>
      <c r="S19" s="418">
        <f t="shared" si="110"/>
        <v>0</v>
      </c>
      <c r="T19" s="401" t="s">
        <v>131</v>
      </c>
      <c r="U19" s="418" t="s">
        <v>333</v>
      </c>
      <c r="V19" s="401">
        <v>6</v>
      </c>
      <c r="W19" s="401" t="str">
        <f t="shared" si="111"/>
        <v>3C X 6</v>
      </c>
      <c r="X19" s="401" t="str">
        <f t="shared" si="112"/>
        <v>3C X 6+PE</v>
      </c>
      <c r="Y19" s="401" t="s">
        <v>358</v>
      </c>
      <c r="Z19" s="393">
        <f>IF(T19="AIR",VLOOKUP(W19,'Catalogue Aluminium'!$B$9:$G$93,2,FALSE),IF(T19="GROUND",VLOOKUP(W19,'Catalogue Aluminium'!$B$9:$G$93,3,FALSE),IF(T19="DUCT",VLOOKUP(W19,'Catalogue Aluminium'!$B$9:$G$93,4,FALSE),IF(T19="TRENCH",VLOOKUP(W19,'Catalogue Aluminium'!$B$9:$G$93,2,FALSE)))))</f>
        <v>51</v>
      </c>
      <c r="AA19" s="402">
        <f>VLOOKUP(W19,'Catalogue Aluminium'!$B$9:$G$93,5,FALSE)</f>
        <v>3.94</v>
      </c>
      <c r="AB19" s="402">
        <f>VLOOKUP(W19,'Catalogue Aluminium'!$B$9:$G$93,6,FALSE)</f>
        <v>9.0200000000000002E-2</v>
      </c>
      <c r="AC19" s="401">
        <f t="shared" si="82"/>
        <v>18</v>
      </c>
      <c r="AD19" s="401">
        <f t="shared" si="91"/>
        <v>83</v>
      </c>
      <c r="AE19" s="401">
        <f t="shared" si="83"/>
        <v>10</v>
      </c>
      <c r="AF19" s="401">
        <f t="shared" si="83"/>
        <v>10</v>
      </c>
      <c r="AG19" s="401">
        <f t="shared" si="113"/>
        <v>13</v>
      </c>
      <c r="AH19" s="803">
        <f t="shared" si="114"/>
        <v>134</v>
      </c>
      <c r="AI19" s="393">
        <f>IF(T19="AIR",'Catalogue Aluminium'!$K$9,IF(T19="TRENCH",'Catalogue Aluminium'!$K$12,"NA"))</f>
        <v>0.89</v>
      </c>
      <c r="AJ19" s="392">
        <f>IF(T19="Air",(IF(U19="1C",'Catalogue Aluminium'!$L$9,'Catalogue Aluminium'!$M$9)),IF(T19="DUCT",(IF($U19="1C",'Catalogue Aluminium'!$L$10,'Catalogue Aluminium'!$M$10)),IF(T19="GROUND",(IF($U19="1C",'Catalogue Aluminium'!$L$11,'Catalogue Aluminium'!$M$11)),IF(T19="TRENCH",(IF($U19="1C",'Catalogue Aluminium'!$L$12,'Catalogue Aluminium'!$M$12))))))</f>
        <v>0.66</v>
      </c>
      <c r="AK19" s="393" t="str">
        <f>IF(T19="Air",'Catalogue Aluminium'!$N$9,IF(T19="GROUND",'Catalogue Aluminium'!$N$10,IF(T19="DUCT",'Catalogue Aluminium'!$N$11,IF(T19="TRENCH",'Catalogue Aluminium'!$N$12,"NA"))))</f>
        <v>NA</v>
      </c>
      <c r="AL19" s="393" t="str">
        <f>IF(T19="Air",(IF(U19="1C",'Catalogue Aluminium'!$O$9,'Catalogue Aluminium'!$P$9)),IF(T19="DUCT",(IF($U19="1C",'Catalogue Aluminium'!$O$10,'Catalogue Aluminium'!$P$10)),IF(T19="GROUND",(IF($U19="1C",'Catalogue Aluminium'!$O$11,'Catalogue Aluminium'!$P$11)),IF(T19="TRENCH",(IF($U19="1C",'Catalogue Aluminium'!$O$12,'Catalogue Aluminium'!$P$12))))))</f>
        <v>NA</v>
      </c>
      <c r="AM19" s="393" t="str">
        <f>IF(T19="AIR","NA",IF(T19="TRENCH","NA",IF(T19="DUCT",IF(U19="1C",VLOOKUP(V19,'Catalogue Aluminium'!$Q$9:$S$28,2,FALSE),VLOOKUP(V19,'Catalogue Aluminium'!$Q$9:$S$28,3)),IF(T19="GROUND",IF(U19="1C",VLOOKUP(V19,'Catalogue Aluminium'!$Q$9:$S$28,2,FALSE),VLOOKUP(V19,'Catalogue Aluminium'!$Q$9:$S$28,3))))))</f>
        <v>NA</v>
      </c>
      <c r="AN19" s="437">
        <f t="shared" si="115"/>
        <v>0.58740000000000003</v>
      </c>
      <c r="AO19" s="418">
        <f t="shared" si="116"/>
        <v>29.957400000000003</v>
      </c>
      <c r="AP19" s="434">
        <f t="shared" si="117"/>
        <v>1</v>
      </c>
      <c r="AQ19" s="418" t="str">
        <f t="shared" si="118"/>
        <v>YES</v>
      </c>
      <c r="AR19" s="437">
        <f t="shared" si="119"/>
        <v>0.53899957123298292</v>
      </c>
      <c r="AS19" s="401" t="str">
        <f t="shared" si="120"/>
        <v>YES</v>
      </c>
      <c r="AT19" s="437">
        <f t="shared" si="121"/>
        <v>0.86344729297446121</v>
      </c>
      <c r="AU19" s="401" t="str">
        <f t="shared" si="122"/>
        <v>YES</v>
      </c>
      <c r="AV19" s="503" t="str">
        <f t="shared" si="123"/>
        <v>1R x 0.6/1kV x 3C x 6 Sqmm</v>
      </c>
      <c r="AW19" s="503" t="str">
        <f t="shared" si="124"/>
        <v>1R x 0.6/1kV x 3C x 6+PE Sqmm</v>
      </c>
      <c r="AX19" s="401">
        <f t="shared" si="125"/>
        <v>134</v>
      </c>
      <c r="AY19" s="504"/>
      <c r="AZ19" s="504">
        <f t="shared" si="126"/>
        <v>2</v>
      </c>
      <c r="BA19" s="438" t="str">
        <f t="shared" si="127"/>
        <v>I2J</v>
      </c>
      <c r="BB19" s="579">
        <f>VLOOKUP(W19,'Catalogue Aluminium'!$B$9:$H$93,7,FALSE)</f>
        <v>16</v>
      </c>
      <c r="BC19" s="579">
        <f t="shared" si="128"/>
        <v>16</v>
      </c>
      <c r="BE19" s="336"/>
      <c r="BF19" s="336"/>
      <c r="BG19" s="336"/>
      <c r="BH19" s="336"/>
      <c r="BI19" s="336"/>
      <c r="BJ19" s="336"/>
      <c r="BK19" s="336"/>
      <c r="BL19" s="336"/>
      <c r="BM19" s="336"/>
      <c r="BN19" s="336"/>
      <c r="BO19" s="336"/>
      <c r="BP19" s="336"/>
      <c r="BQ19" s="336"/>
      <c r="BR19" s="336"/>
      <c r="BS19" s="336"/>
      <c r="BT19" s="336"/>
      <c r="BU19" s="336"/>
      <c r="BV19" s="336"/>
      <c r="BW19" s="336"/>
      <c r="BX19" s="336"/>
      <c r="BY19" s="336"/>
      <c r="BZ19" s="336"/>
      <c r="CA19" s="336"/>
      <c r="CB19" s="336">
        <v>1</v>
      </c>
      <c r="CC19" s="336"/>
      <c r="CD19" s="336">
        <v>1</v>
      </c>
      <c r="CE19" s="336"/>
      <c r="CF19" s="336"/>
      <c r="CG19" s="336"/>
      <c r="CH19" s="336"/>
      <c r="CI19" s="336"/>
      <c r="CJ19" s="336"/>
      <c r="CK19" s="336"/>
      <c r="CL19" s="336"/>
      <c r="CM19" s="336"/>
      <c r="CN19" s="336"/>
      <c r="CO19" s="336"/>
      <c r="CP19" s="336"/>
      <c r="CQ19" s="336"/>
      <c r="CR19" s="336"/>
      <c r="CS19" s="336"/>
      <c r="CT19" s="336"/>
      <c r="CU19" s="336"/>
      <c r="CV19" s="336"/>
      <c r="CW19" s="336"/>
      <c r="CX19" s="336"/>
      <c r="CY19" s="336"/>
      <c r="CZ19" s="752"/>
      <c r="DA19" s="752"/>
      <c r="DB19" s="752"/>
      <c r="DC19" s="752"/>
      <c r="DD19" s="752"/>
      <c r="DE19" s="752"/>
      <c r="DF19" s="752"/>
      <c r="DG19" s="752"/>
      <c r="DH19" s="752"/>
      <c r="DI19" s="752"/>
      <c r="DJ19" s="752"/>
      <c r="DK19" s="752"/>
      <c r="DL19" s="752"/>
      <c r="DM19" s="752"/>
      <c r="DN19" s="752"/>
      <c r="DO19" s="752"/>
      <c r="DP19" s="752"/>
      <c r="DQ19" s="752"/>
      <c r="DR19" s="752"/>
      <c r="DS19" s="752"/>
      <c r="DT19" s="752"/>
      <c r="DU19" s="752"/>
      <c r="DW19" s="336">
        <f t="shared" si="93"/>
        <v>0</v>
      </c>
      <c r="DX19" s="336">
        <f t="shared" si="14"/>
        <v>0</v>
      </c>
      <c r="DY19" s="336">
        <f t="shared" si="15"/>
        <v>0</v>
      </c>
      <c r="DZ19" s="336">
        <f t="shared" si="16"/>
        <v>0</v>
      </c>
      <c r="EA19" s="336">
        <f t="shared" si="17"/>
        <v>0</v>
      </c>
      <c r="EB19" s="336">
        <f t="shared" si="18"/>
        <v>0</v>
      </c>
      <c r="EC19" s="336">
        <f t="shared" si="19"/>
        <v>0</v>
      </c>
      <c r="ED19" s="336">
        <f t="shared" si="20"/>
        <v>0</v>
      </c>
      <c r="EE19" s="336">
        <f t="shared" si="21"/>
        <v>0</v>
      </c>
      <c r="EF19" s="336">
        <f t="shared" si="22"/>
        <v>0</v>
      </c>
      <c r="EG19" s="336">
        <f t="shared" si="23"/>
        <v>0</v>
      </c>
      <c r="EH19" s="336">
        <f t="shared" si="24"/>
        <v>0</v>
      </c>
      <c r="EI19" s="336">
        <f t="shared" si="25"/>
        <v>0</v>
      </c>
      <c r="EJ19" s="336">
        <f t="shared" si="26"/>
        <v>0</v>
      </c>
      <c r="EK19" s="336">
        <f t="shared" si="27"/>
        <v>0</v>
      </c>
      <c r="EL19" s="336">
        <f t="shared" si="28"/>
        <v>0</v>
      </c>
      <c r="EM19" s="336">
        <f t="shared" si="29"/>
        <v>0</v>
      </c>
      <c r="EN19" s="336">
        <f t="shared" si="30"/>
        <v>0</v>
      </c>
      <c r="EO19" s="336">
        <f t="shared" si="31"/>
        <v>0</v>
      </c>
      <c r="EP19" s="336">
        <f t="shared" si="32"/>
        <v>0</v>
      </c>
      <c r="EQ19" s="336">
        <f t="shared" si="33"/>
        <v>0</v>
      </c>
      <c r="ER19" s="336">
        <f t="shared" si="34"/>
        <v>0</v>
      </c>
      <c r="ES19" s="336">
        <f t="shared" si="35"/>
        <v>0</v>
      </c>
      <c r="ET19" s="336">
        <f t="shared" si="35"/>
        <v>16</v>
      </c>
      <c r="EU19" s="336">
        <f t="shared" si="36"/>
        <v>0</v>
      </c>
      <c r="EV19" s="336">
        <f t="shared" si="37"/>
        <v>16</v>
      </c>
      <c r="EW19" s="336">
        <f t="shared" si="38"/>
        <v>0</v>
      </c>
      <c r="EX19" s="336">
        <f t="shared" si="39"/>
        <v>0</v>
      </c>
      <c r="EY19" s="336">
        <f t="shared" si="40"/>
        <v>0</v>
      </c>
      <c r="EZ19" s="336">
        <f t="shared" si="41"/>
        <v>0</v>
      </c>
      <c r="FA19" s="336">
        <f t="shared" si="42"/>
        <v>0</v>
      </c>
      <c r="FB19" s="336">
        <f t="shared" si="43"/>
        <v>0</v>
      </c>
      <c r="FC19" s="336">
        <f t="shared" si="44"/>
        <v>0</v>
      </c>
      <c r="FD19" s="336">
        <f t="shared" si="45"/>
        <v>0</v>
      </c>
      <c r="FE19" s="336">
        <f t="shared" si="46"/>
        <v>0</v>
      </c>
      <c r="FF19" s="336">
        <f t="shared" si="47"/>
        <v>0</v>
      </c>
      <c r="FG19" s="336">
        <f t="shared" si="48"/>
        <v>0</v>
      </c>
      <c r="FH19" s="336">
        <f t="shared" si="49"/>
        <v>0</v>
      </c>
      <c r="FI19" s="336">
        <f t="shared" si="50"/>
        <v>0</v>
      </c>
      <c r="FJ19" s="336">
        <f t="shared" si="51"/>
        <v>0</v>
      </c>
      <c r="FK19" s="336">
        <f t="shared" si="52"/>
        <v>0</v>
      </c>
      <c r="FL19" s="336">
        <f t="shared" si="53"/>
        <v>0</v>
      </c>
      <c r="FM19" s="336">
        <f t="shared" si="54"/>
        <v>0</v>
      </c>
      <c r="FN19" s="336">
        <f t="shared" si="55"/>
        <v>0</v>
      </c>
      <c r="FO19" s="336">
        <f t="shared" si="56"/>
        <v>0</v>
      </c>
      <c r="FP19" s="336">
        <f t="shared" si="57"/>
        <v>0</v>
      </c>
      <c r="FQ19" s="336">
        <f t="shared" si="58"/>
        <v>0</v>
      </c>
      <c r="FR19" s="336">
        <f t="shared" si="59"/>
        <v>0</v>
      </c>
      <c r="FS19" s="336">
        <f t="shared" si="60"/>
        <v>0</v>
      </c>
      <c r="FT19" s="336">
        <f t="shared" si="61"/>
        <v>0</v>
      </c>
      <c r="FU19" s="336">
        <f t="shared" si="62"/>
        <v>0</v>
      </c>
      <c r="FV19" s="336">
        <f t="shared" si="63"/>
        <v>0</v>
      </c>
      <c r="FW19" s="336">
        <f t="shared" si="64"/>
        <v>0</v>
      </c>
      <c r="FX19" s="336">
        <f t="shared" si="65"/>
        <v>0</v>
      </c>
      <c r="FY19" s="336">
        <f t="shared" si="66"/>
        <v>0</v>
      </c>
      <c r="FZ19" s="336">
        <f t="shared" si="67"/>
        <v>0</v>
      </c>
      <c r="GA19" s="336">
        <f t="shared" si="68"/>
        <v>0</v>
      </c>
      <c r="GB19" s="336">
        <f t="shared" si="69"/>
        <v>0</v>
      </c>
      <c r="GC19" s="336">
        <f t="shared" si="70"/>
        <v>0</v>
      </c>
      <c r="GD19" s="336">
        <f t="shared" si="71"/>
        <v>0</v>
      </c>
      <c r="GE19" s="336">
        <f t="shared" si="72"/>
        <v>0</v>
      </c>
      <c r="GF19" s="336">
        <f t="shared" si="73"/>
        <v>0</v>
      </c>
      <c r="GG19" s="336">
        <f t="shared" si="74"/>
        <v>0</v>
      </c>
      <c r="GH19" s="336">
        <f t="shared" si="75"/>
        <v>0</v>
      </c>
      <c r="GI19" s="336">
        <f t="shared" si="76"/>
        <v>0</v>
      </c>
      <c r="GJ19" s="336">
        <f t="shared" si="77"/>
        <v>0</v>
      </c>
      <c r="GK19" s="336">
        <f t="shared" si="78"/>
        <v>0</v>
      </c>
      <c r="GL19" s="336">
        <f t="shared" si="79"/>
        <v>0</v>
      </c>
      <c r="GM19" s="336">
        <f t="shared" si="80"/>
        <v>0</v>
      </c>
    </row>
    <row r="20" spans="1:195" s="76" customFormat="1" ht="20.100000000000001" customHeight="1">
      <c r="A20" s="373"/>
      <c r="B20" s="373"/>
      <c r="C20" s="374"/>
      <c r="D20" s="508" t="s">
        <v>605</v>
      </c>
      <c r="E20" s="509"/>
      <c r="F20" s="509"/>
      <c r="G20" s="373"/>
      <c r="H20" s="382"/>
      <c r="I20" s="373"/>
      <c r="J20" s="373"/>
      <c r="K20" s="381"/>
      <c r="L20" s="376"/>
      <c r="M20" s="382"/>
      <c r="N20" s="375"/>
      <c r="O20" s="375">
        <f t="shared" si="1"/>
        <v>0</v>
      </c>
      <c r="P20" s="376"/>
      <c r="Q20" s="382"/>
      <c r="R20" s="382"/>
      <c r="S20" s="382"/>
      <c r="T20" s="376"/>
      <c r="U20" s="382"/>
      <c r="V20" s="376"/>
      <c r="W20" s="376"/>
      <c r="X20" s="376"/>
      <c r="Y20" s="376"/>
      <c r="Z20" s="377"/>
      <c r="AA20" s="378"/>
      <c r="AB20" s="378"/>
      <c r="AC20" s="379"/>
      <c r="AD20" s="379"/>
      <c r="AE20" s="379"/>
      <c r="AF20" s="379"/>
      <c r="AG20" s="379">
        <f t="shared" si="84"/>
        <v>0</v>
      </c>
      <c r="AH20" s="799"/>
      <c r="AI20" s="377"/>
      <c r="AJ20" s="375"/>
      <c r="AK20" s="377"/>
      <c r="AL20" s="377"/>
      <c r="AM20" s="377"/>
      <c r="AN20" s="383"/>
      <c r="AO20" s="382"/>
      <c r="AP20" s="381"/>
      <c r="AQ20" s="382"/>
      <c r="AR20" s="383"/>
      <c r="AS20" s="376"/>
      <c r="AT20" s="383"/>
      <c r="AU20" s="383"/>
      <c r="AV20" s="384"/>
      <c r="AW20" s="384"/>
      <c r="AX20" s="376"/>
      <c r="AY20" s="385"/>
      <c r="AZ20" s="385"/>
      <c r="BA20" s="513"/>
      <c r="BB20" s="513"/>
      <c r="BC20" s="513"/>
      <c r="BD20" s="61"/>
      <c r="BE20" s="336"/>
      <c r="BF20" s="336"/>
      <c r="BG20" s="336"/>
      <c r="BH20" s="336"/>
      <c r="BI20" s="336"/>
      <c r="BJ20" s="336"/>
      <c r="BK20" s="336"/>
      <c r="BL20" s="336"/>
      <c r="BM20" s="336"/>
      <c r="BN20" s="336"/>
      <c r="BO20" s="336"/>
      <c r="BP20" s="336"/>
      <c r="BQ20" s="336"/>
      <c r="BR20" s="336"/>
      <c r="BS20" s="336"/>
      <c r="BT20" s="336"/>
      <c r="BU20" s="336"/>
      <c r="BV20" s="336"/>
      <c r="BW20" s="336"/>
      <c r="BX20" s="336"/>
      <c r="BY20" s="336"/>
      <c r="BZ20" s="336"/>
      <c r="CA20" s="336"/>
      <c r="CB20" s="336"/>
      <c r="CC20" s="336"/>
      <c r="CD20" s="336"/>
      <c r="CE20" s="336"/>
      <c r="CF20" s="336"/>
      <c r="CG20" s="336"/>
      <c r="CH20" s="336"/>
      <c r="CI20" s="336"/>
      <c r="CJ20" s="336"/>
      <c r="CK20" s="336"/>
      <c r="CL20" s="336"/>
      <c r="CM20" s="336"/>
      <c r="CN20" s="336"/>
      <c r="CO20" s="336"/>
      <c r="CP20" s="336"/>
      <c r="CQ20" s="336"/>
      <c r="CR20" s="336"/>
      <c r="CS20" s="336"/>
      <c r="CT20" s="336"/>
      <c r="CU20" s="336"/>
      <c r="CV20" s="336"/>
      <c r="CW20" s="336"/>
      <c r="CX20" s="336"/>
      <c r="CY20" s="336"/>
      <c r="CZ20" s="336"/>
      <c r="DA20" s="336"/>
      <c r="DB20" s="336"/>
      <c r="DC20" s="336"/>
      <c r="DD20" s="336"/>
      <c r="DE20" s="336"/>
      <c r="DF20" s="336"/>
      <c r="DG20" s="336"/>
      <c r="DH20" s="336"/>
      <c r="DI20" s="336"/>
      <c r="DJ20" s="336"/>
      <c r="DK20" s="336"/>
      <c r="DL20" s="336"/>
      <c r="DM20" s="336"/>
      <c r="DN20" s="336"/>
      <c r="DO20" s="336"/>
      <c r="DP20" s="336"/>
      <c r="DQ20" s="336"/>
      <c r="DR20" s="336"/>
      <c r="DS20" s="336"/>
      <c r="DT20" s="336"/>
      <c r="DU20" s="336"/>
      <c r="DV20" s="61"/>
      <c r="DW20" s="336">
        <f t="shared" si="93"/>
        <v>0</v>
      </c>
      <c r="DX20" s="336">
        <f t="shared" si="14"/>
        <v>0</v>
      </c>
      <c r="DY20" s="336">
        <f t="shared" si="15"/>
        <v>0</v>
      </c>
      <c r="DZ20" s="336">
        <f t="shared" si="16"/>
        <v>0</v>
      </c>
      <c r="EA20" s="336">
        <f t="shared" si="17"/>
        <v>0</v>
      </c>
      <c r="EB20" s="336">
        <f t="shared" si="18"/>
        <v>0</v>
      </c>
      <c r="EC20" s="336">
        <f t="shared" si="19"/>
        <v>0</v>
      </c>
      <c r="ED20" s="336">
        <f t="shared" si="20"/>
        <v>0</v>
      </c>
      <c r="EE20" s="336">
        <f t="shared" si="21"/>
        <v>0</v>
      </c>
      <c r="EF20" s="336">
        <f t="shared" si="22"/>
        <v>0</v>
      </c>
      <c r="EG20" s="336">
        <f t="shared" si="23"/>
        <v>0</v>
      </c>
      <c r="EH20" s="336">
        <f t="shared" si="24"/>
        <v>0</v>
      </c>
      <c r="EI20" s="336">
        <f t="shared" si="25"/>
        <v>0</v>
      </c>
      <c r="EJ20" s="336">
        <f t="shared" si="26"/>
        <v>0</v>
      </c>
      <c r="EK20" s="336">
        <f t="shared" si="27"/>
        <v>0</v>
      </c>
      <c r="EL20" s="336">
        <f t="shared" si="28"/>
        <v>0</v>
      </c>
      <c r="EM20" s="336">
        <f t="shared" si="29"/>
        <v>0</v>
      </c>
      <c r="EN20" s="336">
        <f t="shared" si="30"/>
        <v>0</v>
      </c>
      <c r="EO20" s="336">
        <f t="shared" si="31"/>
        <v>0</v>
      </c>
      <c r="EP20" s="336">
        <f t="shared" si="32"/>
        <v>0</v>
      </c>
      <c r="EQ20" s="336">
        <f t="shared" si="33"/>
        <v>0</v>
      </c>
      <c r="ER20" s="336">
        <f t="shared" si="34"/>
        <v>0</v>
      </c>
      <c r="ES20" s="336">
        <f t="shared" si="35"/>
        <v>0</v>
      </c>
      <c r="ET20" s="336">
        <f t="shared" si="35"/>
        <v>0</v>
      </c>
      <c r="EU20" s="336">
        <f t="shared" si="36"/>
        <v>0</v>
      </c>
      <c r="EV20" s="336">
        <f t="shared" si="37"/>
        <v>0</v>
      </c>
      <c r="EW20" s="336">
        <f t="shared" si="38"/>
        <v>0</v>
      </c>
      <c r="EX20" s="336">
        <f t="shared" si="39"/>
        <v>0</v>
      </c>
      <c r="EY20" s="336">
        <f t="shared" si="40"/>
        <v>0</v>
      </c>
      <c r="EZ20" s="336">
        <f t="shared" si="41"/>
        <v>0</v>
      </c>
      <c r="FA20" s="336">
        <f t="shared" si="42"/>
        <v>0</v>
      </c>
      <c r="FB20" s="336">
        <f t="shared" si="43"/>
        <v>0</v>
      </c>
      <c r="FC20" s="336">
        <f t="shared" si="44"/>
        <v>0</v>
      </c>
      <c r="FD20" s="336">
        <f t="shared" si="45"/>
        <v>0</v>
      </c>
      <c r="FE20" s="336">
        <f t="shared" si="46"/>
        <v>0</v>
      </c>
      <c r="FF20" s="336">
        <f t="shared" si="47"/>
        <v>0</v>
      </c>
      <c r="FG20" s="336">
        <f t="shared" si="48"/>
        <v>0</v>
      </c>
      <c r="FH20" s="336">
        <f t="shared" si="49"/>
        <v>0</v>
      </c>
      <c r="FI20" s="336">
        <f t="shared" si="50"/>
        <v>0</v>
      </c>
      <c r="FJ20" s="336">
        <f t="shared" si="51"/>
        <v>0</v>
      </c>
      <c r="FK20" s="336">
        <f t="shared" si="52"/>
        <v>0</v>
      </c>
      <c r="FL20" s="336">
        <f t="shared" si="53"/>
        <v>0</v>
      </c>
      <c r="FM20" s="336">
        <f t="shared" si="54"/>
        <v>0</v>
      </c>
      <c r="FN20" s="336">
        <f t="shared" si="55"/>
        <v>0</v>
      </c>
      <c r="FO20" s="336">
        <f t="shared" si="56"/>
        <v>0</v>
      </c>
      <c r="FP20" s="336">
        <f t="shared" si="57"/>
        <v>0</v>
      </c>
      <c r="FQ20" s="336">
        <f t="shared" si="58"/>
        <v>0</v>
      </c>
      <c r="FR20" s="336">
        <f t="shared" si="59"/>
        <v>0</v>
      </c>
      <c r="FS20" s="336">
        <f t="shared" si="60"/>
        <v>0</v>
      </c>
      <c r="FT20" s="336">
        <f t="shared" si="61"/>
        <v>0</v>
      </c>
      <c r="FU20" s="336">
        <f t="shared" si="62"/>
        <v>0</v>
      </c>
      <c r="FV20" s="336">
        <f t="shared" si="63"/>
        <v>0</v>
      </c>
      <c r="FW20" s="336">
        <f t="shared" si="64"/>
        <v>0</v>
      </c>
      <c r="FX20" s="336">
        <f t="shared" si="65"/>
        <v>0</v>
      </c>
      <c r="FY20" s="336">
        <f t="shared" si="66"/>
        <v>0</v>
      </c>
      <c r="FZ20" s="336">
        <f t="shared" si="67"/>
        <v>0</v>
      </c>
      <c r="GA20" s="336">
        <f t="shared" si="68"/>
        <v>0</v>
      </c>
      <c r="GB20" s="336">
        <f t="shared" si="69"/>
        <v>0</v>
      </c>
      <c r="GC20" s="336">
        <f t="shared" si="70"/>
        <v>0</v>
      </c>
      <c r="GD20" s="336">
        <f t="shared" si="71"/>
        <v>0</v>
      </c>
      <c r="GE20" s="336">
        <f t="shared" si="72"/>
        <v>0</v>
      </c>
      <c r="GF20" s="336">
        <f t="shared" si="73"/>
        <v>0</v>
      </c>
      <c r="GG20" s="336">
        <f t="shared" si="74"/>
        <v>0</v>
      </c>
      <c r="GH20" s="336">
        <f t="shared" si="75"/>
        <v>0</v>
      </c>
      <c r="GI20" s="336">
        <f t="shared" si="76"/>
        <v>0</v>
      </c>
      <c r="GJ20" s="336">
        <f t="shared" si="77"/>
        <v>0</v>
      </c>
      <c r="GK20" s="336">
        <f t="shared" si="78"/>
        <v>0</v>
      </c>
      <c r="GL20" s="336">
        <f t="shared" si="79"/>
        <v>0</v>
      </c>
      <c r="GM20" s="336">
        <f t="shared" si="80"/>
        <v>0</v>
      </c>
    </row>
    <row r="21" spans="1:195" ht="20.100000000000001" customHeight="1">
      <c r="A21" s="337">
        <f>A19+1</f>
        <v>12</v>
      </c>
      <c r="B21" s="337" t="s">
        <v>1446</v>
      </c>
      <c r="C21" s="372" t="str">
        <f t="shared" ref="C21:C27" si="198">$D$6</f>
        <v>PMCC-3</v>
      </c>
      <c r="D21" s="338" t="s">
        <v>1447</v>
      </c>
      <c r="E21" s="500" t="s">
        <v>355</v>
      </c>
      <c r="F21" s="500"/>
      <c r="G21" s="337" t="s">
        <v>329</v>
      </c>
      <c r="H21" s="418">
        <v>900</v>
      </c>
      <c r="I21" s="337" t="s">
        <v>330</v>
      </c>
      <c r="J21" s="337" t="s">
        <v>331</v>
      </c>
      <c r="K21" s="349">
        <v>400</v>
      </c>
      <c r="L21" s="343">
        <v>0.85</v>
      </c>
      <c r="M21" s="350">
        <v>0.95</v>
      </c>
      <c r="N21" s="342">
        <f t="shared" si="0"/>
        <v>1608.7631114193582</v>
      </c>
      <c r="O21" s="342">
        <f t="shared" si="1"/>
        <v>0</v>
      </c>
      <c r="P21" s="343" t="str">
        <f t="shared" si="2"/>
        <v>0.00</v>
      </c>
      <c r="Q21" s="350">
        <v>65</v>
      </c>
      <c r="R21" s="350">
        <v>0</v>
      </c>
      <c r="S21" s="350">
        <f t="shared" si="3"/>
        <v>0</v>
      </c>
      <c r="T21" s="343" t="s">
        <v>131</v>
      </c>
      <c r="U21" s="350" t="s">
        <v>336</v>
      </c>
      <c r="V21" s="343">
        <v>630</v>
      </c>
      <c r="W21" s="343" t="str">
        <f t="shared" ref="W21:W25" si="199">CONCATENATE(U21," X ",V21)</f>
        <v>1C X 630</v>
      </c>
      <c r="X21" s="343" t="str">
        <f>(IF(J21="1Ph",W21,IF(J21="3Ph",(IF(G21="MOTOR",(CONCATENATE(W21,"+PE")),W21)))))</f>
        <v>1C X 630</v>
      </c>
      <c r="Y21" s="343" t="s">
        <v>358</v>
      </c>
      <c r="Z21" s="344">
        <f>IF(T21="AIR",VLOOKUP(W21,'Catalogue Aluminium'!$B$9:$G$93,2,FALSE),IF(T21="GROUND",VLOOKUP(W21,'Catalogue Aluminium'!$B$9:$G$93,3,FALSE),IF(T21="DUCT",VLOOKUP(W21,'Catalogue Aluminium'!$B$9:$G$93,4,FALSE),IF(T21="TRENCH",VLOOKUP(W21,'Catalogue Aluminium'!$B$9:$G$93,2,FALSE)))))</f>
        <v>822</v>
      </c>
      <c r="AA21" s="345">
        <f>VLOOKUP(W21,'Catalogue Aluminium'!$B$9:$G$93,5,FALSE)</f>
        <v>0.06</v>
      </c>
      <c r="AB21" s="345">
        <f>VLOOKUP(W21,'Catalogue Aluminium'!$B$9:$G$93,6,FALSE)</f>
        <v>8.43E-2</v>
      </c>
      <c r="AC21" s="343">
        <f>10</f>
        <v>10</v>
      </c>
      <c r="AD21" s="343">
        <f>6+34+3+18</f>
        <v>61</v>
      </c>
      <c r="AE21" s="343">
        <f t="shared" ref="AE21:AF21" si="200">5+5</f>
        <v>10</v>
      </c>
      <c r="AF21" s="343">
        <f t="shared" si="200"/>
        <v>10</v>
      </c>
      <c r="AG21" s="343">
        <f t="shared" si="84"/>
        <v>10</v>
      </c>
      <c r="AH21" s="802">
        <f t="shared" ref="AH21:AH25" si="201">SUM(AC21:AG21)</f>
        <v>101</v>
      </c>
      <c r="AI21" s="344">
        <f>IF(T21="AIR",'Catalogue Aluminium'!$K$9,IF(T21="TRENCH",'Catalogue Aluminium'!$K$12,"NA"))</f>
        <v>0.89</v>
      </c>
      <c r="AJ21" s="342">
        <f>IF(T21="Air",(IF(U21="1C",'Catalogue Aluminium'!$L$9,'Catalogue Aluminium'!$M$9)),IF(T21="DUCT",(IF($U21="1C",'Catalogue Aluminium'!$L$10,'Catalogue Aluminium'!$M$10)),IF(T21="GROUND",(IF($U21="1C",'Catalogue Aluminium'!$L$11,'Catalogue Aluminium'!$M$11)),IF(T21="TRENCH",(IF($U21="1C",'Catalogue Aluminium'!$L$12,'Catalogue Aluminium'!$M$12))))))</f>
        <v>0.81</v>
      </c>
      <c r="AK21" s="344" t="str">
        <f>IF(T21="Air",'Catalogue Aluminium'!$N$9,IF(T21="GROUND",'Catalogue Aluminium'!$N$10,IF(T21="DUCT",'Catalogue Aluminium'!$N$11,IF(T21="TRENCH",'Catalogue Aluminium'!$N$12,"NA"))))</f>
        <v>NA</v>
      </c>
      <c r="AL21" s="344" t="str">
        <f>IF(T21="Air",(IF(U21="1C",'Catalogue Aluminium'!$O$9,'Catalogue Aluminium'!$P$9)),IF(T21="DUCT",(IF($U21="1C",'Catalogue Aluminium'!$O$10,'Catalogue Aluminium'!$P$10)),IF(T21="GROUND",(IF($U21="1C",'Catalogue Aluminium'!$O$11,'Catalogue Aluminium'!$P$11)),IF(T21="TRENCH",(IF($U21="1C",'Catalogue Aluminium'!$O$12,'Catalogue Aluminium'!$P$12))))))</f>
        <v>NA</v>
      </c>
      <c r="AM21" s="344" t="str">
        <f>IF(T21="AIR","NA",IF(T21="TRENCH","NA",IF(T21="DUCT",IF(U21="1C",VLOOKUP(V21,'Catalogue Aluminium'!$Q$9:$S$28,2,FALSE),VLOOKUP(V21,'Catalogue Aluminium'!$Q$9:$S$28,3)),IF(T21="GROUND",IF(U21="1C",VLOOKUP(V21,'Catalogue Aluminium'!$Q$9:$S$28,2,FALSE),VLOOKUP(V21,'Catalogue Aluminium'!$Q$9:$S$28,3))))))</f>
        <v>NA</v>
      </c>
      <c r="AN21" s="351">
        <f t="shared" si="5"/>
        <v>0.7209000000000001</v>
      </c>
      <c r="AO21" s="350">
        <f t="shared" si="6"/>
        <v>592.57980000000009</v>
      </c>
      <c r="AP21" s="434">
        <f t="shared" si="7"/>
        <v>3</v>
      </c>
      <c r="AQ21" s="350" t="str">
        <f t="shared" si="8"/>
        <v>YES</v>
      </c>
      <c r="AR21" s="351">
        <f t="shared" si="9"/>
        <v>2.2375700877595928</v>
      </c>
      <c r="AS21" s="343" t="str">
        <f>IF(G21="INCOMER",(IF(AR21&lt;=2,"YES","NO")),IF(G21="POWER",(IF(AR21&lt;=2.5,"YES","NO")),IF(G21="MOTOR",(IF(AR21&lt;=3,"YES","NO")))))</f>
        <v>YES</v>
      </c>
      <c r="AT21" s="351" t="str">
        <f>IF(G21="MOTOR",(SQRT(3)*AH21*O21*((AA21*P21)+(AB21*SIN(ACOS(P21))))*100/(AP21*K21*1000)),"NA")</f>
        <v>NA</v>
      </c>
      <c r="AU21" s="343" t="str">
        <f>IF(G21="MOTOR",IF(AT21&lt;=15,"YES","NO"),"NA")</f>
        <v>NA</v>
      </c>
      <c r="AV21" s="354" t="str">
        <f>IF(U21="1C",CONCATENATE(AP21,"R x ",Y21,"kV x ",U21," x ",V21," Sqmm/Phase"),CONCATENATE(AP21,"R x ",0.6,"/1kV x ",U21," x ",V21," Sqmm"))</f>
        <v>3R x 0.6/1.0kV x 1C x 630 Sqmm/Phase</v>
      </c>
      <c r="AW21" s="354" t="str">
        <f t="shared" ref="AW21:AW25" si="202">IF(U21="1C",CONCATENATE(AP21,"R x ",Y21,"kV x ",U21," x ",V21," Sqmm/Phase"),CONCATENATE(AP21,"R x ",0.6,"/1kV x ",U21," x ",V21,(IF(G21="MOTOR","+PE",""))," Sqmm"))</f>
        <v>3R x 0.6/1.0kV x 1C x 630 Sqmm/Phase</v>
      </c>
      <c r="AX21" s="343">
        <f>(IF(K21=400,(IF(U21="1C",(4*AH21*AP21),(AH21*AP21))),IF(K21=230,(AH21*AP21))))</f>
        <v>1212</v>
      </c>
      <c r="AY21" s="355"/>
      <c r="AZ21" s="804">
        <f>IF(U21="1C",(3*AP21*2),(AP21*2))</f>
        <v>18</v>
      </c>
      <c r="BA21" s="356" t="str">
        <f t="shared" ref="BA21:BA25" si="203">CONCATENATE(IF(BE21=1,BE$4,""),IF(BF21=1,BF$4,""),IF(BG21=1,BG$4,""),IF(BH21=1,BH$4,""),IF(BI21=1,BI$4,""),IF(BJ21=1,BJ$4,""),IF(BK21=1,BK$4,""),IF(BL21=1,BL$4,""),IF(BM21=1,BM$4,""),IF(BN21=1,BN$4,""),IF(BO21=1,BO$4,""),IF(BP21=1,BP$4,""),IF(BQ21=1,BQ$4,""),IF(BR21=1,BR$4,""),IF(BS21=1,BS$4,""),IF(BT21=1,BT$4,""),IF(BU21=1,BU$4,""),IF(BV21=1,BV$4,""),IF(BW21=1,BW$4,""),IF(BX21=1,BX$4,""),IF(BY21=1,BY$4,""),IF(BZ21=1,BZ$4,""),IF(CA21=1,CA$4,""),IF(CB21=1,CB$4,""),IF(CC21=1,CC$4,""),IF(CD21=1,CD$4,""),IF(CE21=1,CE$4,""),IF(CF21=1,CF$4,""),IF(CG21=1,CG$4,""),IF(CH21=1,CH$4,""),IF(CI21=1,CI$4,""),IF(CJ21=1,CJ$4,""),IF(CK21=1,CK$4,""),IF(CL21=1,CL$4,""),IF(CM21=1,CM$4,""),IF(CN21=1,CN$4,""),IF(CO21=1,CO$4,""),IF(CP21=1,CP$4,""),IF(CQ21=1,CQ$4,""),IF(CR21=1,CR$4,""),IF(CS21=1,CS$4,""),IF(CT21=1,CT$4,""),IF(CU21=1,CU$4,""),IF(CV21=1,CV$4,""),IF(CW21=1,CW$4,""),IF(CX21=1,CX$4,""),IF(CY21=1,CY$4,""),IF(CZ21=1,CZ$4,""),IF(DA21=1,DA$4,""),IF(DB21=1,DB$4,""),IF(DC21=1,DC$4,""),IF(DD21=1,DD$4,""),IF(DE21=1,DE$4,""),IF(DF21=1,DF$4,""),IF(DG21=1,DG$4,""),IF(DH21=1,DH$4,""),IF(DI21=1,DI$4,""),IF(DJ21=1,DJ$4,""),IF(DK21=1,DK$4,""),IF(DL21=1,DL$4,""),IF(DM21=1,DM$4,""),IF(DN21=1,DN$4,""),IF(DO21=1,DO$4,""),IF(DP21=1,DP$4,""),IF(DQ21=1,DQ$4,""),IF(DR21=1,DR$4,""),IF(DS21=1,DS$4,""),IF(DT21=1,DT$4,""),IF(DU21=1,DU$4,""))</f>
        <v>I2J</v>
      </c>
      <c r="BB21" s="336">
        <f>VLOOKUP(W21,'Catalogue Aluminium'!$B$9:$H$93,7,FALSE)</f>
        <v>42</v>
      </c>
      <c r="BC21" s="336">
        <f>AP21*BB21</f>
        <v>126</v>
      </c>
      <c r="BE21" s="336"/>
      <c r="BF21" s="336"/>
      <c r="BG21" s="336"/>
      <c r="BH21" s="336"/>
      <c r="BI21" s="336"/>
      <c r="BJ21" s="336"/>
      <c r="BK21" s="336"/>
      <c r="BL21" s="336"/>
      <c r="BM21" s="336"/>
      <c r="BN21" s="336"/>
      <c r="BO21" s="336"/>
      <c r="BP21" s="336"/>
      <c r="BQ21" s="336"/>
      <c r="BR21" s="336"/>
      <c r="BS21" s="336"/>
      <c r="BT21" s="336"/>
      <c r="BU21" s="336"/>
      <c r="BV21" s="336"/>
      <c r="BW21" s="336"/>
      <c r="BX21" s="336"/>
      <c r="BY21" s="336"/>
      <c r="BZ21" s="336"/>
      <c r="CA21" s="336"/>
      <c r="CB21" s="336">
        <v>1</v>
      </c>
      <c r="CC21" s="336"/>
      <c r="CD21" s="336">
        <v>1</v>
      </c>
      <c r="CE21" s="336"/>
      <c r="CF21" s="336"/>
      <c r="CG21" s="336"/>
      <c r="CH21" s="336"/>
      <c r="CI21" s="336"/>
      <c r="CJ21" s="336"/>
      <c r="CK21" s="336"/>
      <c r="CL21" s="336"/>
      <c r="CM21" s="336"/>
      <c r="CN21" s="336"/>
      <c r="CO21" s="336"/>
      <c r="CP21" s="336"/>
      <c r="CQ21" s="336"/>
      <c r="CR21" s="336"/>
      <c r="CS21" s="336"/>
      <c r="CT21" s="336"/>
      <c r="CU21" s="336"/>
      <c r="CV21" s="336"/>
      <c r="CW21" s="336"/>
      <c r="CX21" s="336"/>
      <c r="CY21" s="336"/>
      <c r="CZ21" s="336"/>
      <c r="DA21" s="336"/>
      <c r="DB21" s="336"/>
      <c r="DC21" s="336"/>
      <c r="DD21" s="336"/>
      <c r="DE21" s="336"/>
      <c r="DF21" s="336"/>
      <c r="DG21" s="336"/>
      <c r="DH21" s="336"/>
      <c r="DI21" s="336"/>
      <c r="DJ21" s="336"/>
      <c r="DK21" s="336"/>
      <c r="DL21" s="336"/>
      <c r="DM21" s="336"/>
      <c r="DN21" s="336"/>
      <c r="DO21" s="336"/>
      <c r="DP21" s="336"/>
      <c r="DQ21" s="336"/>
      <c r="DR21" s="336"/>
      <c r="DS21" s="336"/>
      <c r="DT21" s="336"/>
      <c r="DU21" s="336"/>
      <c r="DW21" s="336">
        <f t="shared" si="93"/>
        <v>0</v>
      </c>
      <c r="DX21" s="336">
        <f t="shared" si="14"/>
        <v>0</v>
      </c>
      <c r="DY21" s="336">
        <f t="shared" si="15"/>
        <v>0</v>
      </c>
      <c r="DZ21" s="336">
        <f t="shared" si="16"/>
        <v>0</v>
      </c>
      <c r="EA21" s="336">
        <f t="shared" si="17"/>
        <v>0</v>
      </c>
      <c r="EB21" s="336">
        <f t="shared" si="18"/>
        <v>0</v>
      </c>
      <c r="EC21" s="336">
        <f t="shared" si="19"/>
        <v>0</v>
      </c>
      <c r="ED21" s="336">
        <f t="shared" si="20"/>
        <v>0</v>
      </c>
      <c r="EE21" s="336">
        <f t="shared" si="21"/>
        <v>0</v>
      </c>
      <c r="EF21" s="336">
        <f t="shared" si="22"/>
        <v>0</v>
      </c>
      <c r="EG21" s="336">
        <f t="shared" si="23"/>
        <v>0</v>
      </c>
      <c r="EH21" s="336">
        <f t="shared" si="24"/>
        <v>0</v>
      </c>
      <c r="EI21" s="336">
        <f t="shared" si="25"/>
        <v>0</v>
      </c>
      <c r="EJ21" s="336">
        <f t="shared" si="26"/>
        <v>0</v>
      </c>
      <c r="EK21" s="336">
        <f t="shared" si="27"/>
        <v>0</v>
      </c>
      <c r="EL21" s="336">
        <f t="shared" si="28"/>
        <v>0</v>
      </c>
      <c r="EM21" s="336">
        <f t="shared" si="29"/>
        <v>0</v>
      </c>
      <c r="EN21" s="336">
        <f t="shared" si="30"/>
        <v>0</v>
      </c>
      <c r="EO21" s="336">
        <f t="shared" si="31"/>
        <v>0</v>
      </c>
      <c r="EP21" s="336">
        <f t="shared" si="32"/>
        <v>0</v>
      </c>
      <c r="EQ21" s="336">
        <f t="shared" si="33"/>
        <v>0</v>
      </c>
      <c r="ER21" s="336">
        <f t="shared" si="34"/>
        <v>0</v>
      </c>
      <c r="ES21" s="336">
        <f t="shared" si="35"/>
        <v>0</v>
      </c>
      <c r="ET21" s="336">
        <f t="shared" si="35"/>
        <v>126</v>
      </c>
      <c r="EU21" s="336">
        <f t="shared" si="36"/>
        <v>0</v>
      </c>
      <c r="EV21" s="336">
        <f t="shared" si="37"/>
        <v>126</v>
      </c>
      <c r="EW21" s="336">
        <f t="shared" si="38"/>
        <v>0</v>
      </c>
      <c r="EX21" s="336">
        <f t="shared" si="39"/>
        <v>0</v>
      </c>
      <c r="EY21" s="336">
        <f t="shared" si="40"/>
        <v>0</v>
      </c>
      <c r="EZ21" s="336">
        <f t="shared" si="41"/>
        <v>0</v>
      </c>
      <c r="FA21" s="336">
        <f t="shared" si="42"/>
        <v>0</v>
      </c>
      <c r="FB21" s="336">
        <f t="shared" si="43"/>
        <v>0</v>
      </c>
      <c r="FC21" s="336">
        <f t="shared" si="44"/>
        <v>0</v>
      </c>
      <c r="FD21" s="336">
        <f t="shared" si="45"/>
        <v>0</v>
      </c>
      <c r="FE21" s="336">
        <f t="shared" si="46"/>
        <v>0</v>
      </c>
      <c r="FF21" s="336">
        <f t="shared" si="47"/>
        <v>0</v>
      </c>
      <c r="FG21" s="336">
        <f t="shared" si="48"/>
        <v>0</v>
      </c>
      <c r="FH21" s="336">
        <f t="shared" si="49"/>
        <v>0</v>
      </c>
      <c r="FI21" s="336">
        <f t="shared" si="50"/>
        <v>0</v>
      </c>
      <c r="FJ21" s="336">
        <f t="shared" si="51"/>
        <v>0</v>
      </c>
      <c r="FK21" s="336">
        <f t="shared" si="52"/>
        <v>0</v>
      </c>
      <c r="FL21" s="336">
        <f t="shared" si="53"/>
        <v>0</v>
      </c>
      <c r="FM21" s="336">
        <f t="shared" si="54"/>
        <v>0</v>
      </c>
      <c r="FN21" s="336">
        <f t="shared" si="55"/>
        <v>0</v>
      </c>
      <c r="FO21" s="336">
        <f t="shared" si="56"/>
        <v>0</v>
      </c>
      <c r="FP21" s="336">
        <f t="shared" si="57"/>
        <v>0</v>
      </c>
      <c r="FQ21" s="336">
        <f t="shared" si="58"/>
        <v>0</v>
      </c>
      <c r="FR21" s="336">
        <f t="shared" si="59"/>
        <v>0</v>
      </c>
      <c r="FS21" s="336">
        <f t="shared" si="60"/>
        <v>0</v>
      </c>
      <c r="FT21" s="336">
        <f t="shared" si="61"/>
        <v>0</v>
      </c>
      <c r="FU21" s="336">
        <f t="shared" si="62"/>
        <v>0</v>
      </c>
      <c r="FV21" s="336">
        <f t="shared" si="63"/>
        <v>0</v>
      </c>
      <c r="FW21" s="336">
        <f t="shared" si="64"/>
        <v>0</v>
      </c>
      <c r="FX21" s="336">
        <f t="shared" si="65"/>
        <v>0</v>
      </c>
      <c r="FY21" s="336">
        <f t="shared" si="66"/>
        <v>0</v>
      </c>
      <c r="FZ21" s="336">
        <f t="shared" si="67"/>
        <v>0</v>
      </c>
      <c r="GA21" s="336">
        <f t="shared" si="68"/>
        <v>0</v>
      </c>
      <c r="GB21" s="336">
        <f t="shared" si="69"/>
        <v>0</v>
      </c>
      <c r="GC21" s="336">
        <f t="shared" si="70"/>
        <v>0</v>
      </c>
      <c r="GD21" s="336">
        <f t="shared" si="71"/>
        <v>0</v>
      </c>
      <c r="GE21" s="336">
        <f t="shared" si="72"/>
        <v>0</v>
      </c>
      <c r="GF21" s="336">
        <f t="shared" si="73"/>
        <v>0</v>
      </c>
      <c r="GG21" s="336">
        <f t="shared" si="74"/>
        <v>0</v>
      </c>
      <c r="GH21" s="336">
        <f t="shared" si="75"/>
        <v>0</v>
      </c>
      <c r="GI21" s="336">
        <f t="shared" si="76"/>
        <v>0</v>
      </c>
      <c r="GJ21" s="336">
        <f t="shared" si="77"/>
        <v>0</v>
      </c>
      <c r="GK21" s="336">
        <f t="shared" si="78"/>
        <v>0</v>
      </c>
      <c r="GL21" s="336">
        <f t="shared" si="79"/>
        <v>0</v>
      </c>
      <c r="GM21" s="336">
        <f t="shared" si="80"/>
        <v>0</v>
      </c>
    </row>
    <row r="22" spans="1:195" ht="24" customHeight="1">
      <c r="A22" s="337">
        <f>A21+1</f>
        <v>13</v>
      </c>
      <c r="B22" s="337" t="s">
        <v>1448</v>
      </c>
      <c r="C22" s="372" t="str">
        <f t="shared" si="198"/>
        <v>PMCC-3</v>
      </c>
      <c r="D22" s="338" t="s">
        <v>1449</v>
      </c>
      <c r="E22" s="500" t="s">
        <v>427</v>
      </c>
      <c r="F22" s="500"/>
      <c r="G22" s="337" t="s">
        <v>329</v>
      </c>
      <c r="H22" s="350">
        <v>12.75</v>
      </c>
      <c r="I22" s="337" t="s">
        <v>330</v>
      </c>
      <c r="J22" s="337" t="s">
        <v>331</v>
      </c>
      <c r="K22" s="349">
        <v>400</v>
      </c>
      <c r="L22" s="343">
        <v>0.85</v>
      </c>
      <c r="M22" s="350">
        <v>0.95</v>
      </c>
      <c r="N22" s="342">
        <f t="shared" si="0"/>
        <v>22.790810745107574</v>
      </c>
      <c r="O22" s="342">
        <f t="shared" si="1"/>
        <v>0</v>
      </c>
      <c r="P22" s="343" t="str">
        <f t="shared" si="2"/>
        <v>0.00</v>
      </c>
      <c r="Q22" s="350">
        <v>65</v>
      </c>
      <c r="R22" s="350">
        <v>0</v>
      </c>
      <c r="S22" s="350">
        <f t="shared" si="3"/>
        <v>0</v>
      </c>
      <c r="T22" s="343" t="s">
        <v>131</v>
      </c>
      <c r="U22" s="917" t="s">
        <v>522</v>
      </c>
      <c r="V22" s="916">
        <v>16</v>
      </c>
      <c r="W22" s="343" t="str">
        <f t="shared" si="199"/>
        <v>4C X 16</v>
      </c>
      <c r="X22" s="343" t="str">
        <f>(IF(J22="1Ph",W22,IF(J22="3Ph",(IF(G22="MOTOR",(CONCATENATE(W22,"+PE")),W22)))))</f>
        <v>4C X 16</v>
      </c>
      <c r="Y22" s="343" t="s">
        <v>358</v>
      </c>
      <c r="Z22" s="344">
        <f>IF(T22="AIR",VLOOKUP(W22,'Catalogue Aluminium'!$B$9:$G$93,2,FALSE),IF(T22="GROUND",VLOOKUP(W22,'Catalogue Aluminium'!$B$9:$G$93,3,FALSE),IF(T22="DUCT",VLOOKUP(W22,'Catalogue Aluminium'!$B$9:$G$93,4,FALSE),IF(T22="TRENCH",VLOOKUP(W22,'Catalogue Aluminium'!$B$9:$G$93,2,FALSE)))))</f>
        <v>70</v>
      </c>
      <c r="AA22" s="345">
        <f>VLOOKUP(W22,'Catalogue Aluminium'!$B$9:$G$93,5,FALSE)</f>
        <v>2.44</v>
      </c>
      <c r="AB22" s="345">
        <f>VLOOKUP(W22,'Catalogue Aluminium'!$B$9:$G$93,6,FALSE)</f>
        <v>8.1500000000000003E-2</v>
      </c>
      <c r="AC22" s="346">
        <f>8+5+3</f>
        <v>16</v>
      </c>
      <c r="AD22" s="346">
        <v>0</v>
      </c>
      <c r="AE22" s="346">
        <v>0</v>
      </c>
      <c r="AF22" s="346">
        <v>0</v>
      </c>
      <c r="AG22" s="346">
        <f t="shared" si="84"/>
        <v>2</v>
      </c>
      <c r="AH22" s="802">
        <f t="shared" si="201"/>
        <v>18</v>
      </c>
      <c r="AI22" s="344">
        <f>IF(T22="AIR",'Catalogue Aluminium'!$K$9,IF(T22="TRENCH",'Catalogue Aluminium'!$K$12,"NA"))</f>
        <v>0.89</v>
      </c>
      <c r="AJ22" s="342">
        <f>IF(T22="Air",(IF(U22="1C",'Catalogue Aluminium'!$L$9,'Catalogue Aluminium'!$M$9)),IF(T22="DUCT",(IF($U22="1C",'Catalogue Aluminium'!$L$10,'Catalogue Aluminium'!$M$10)),IF(T22="GROUND",(IF($U22="1C",'Catalogue Aluminium'!$L$11,'Catalogue Aluminium'!$M$11)),IF(T22="TRENCH",(IF($U22="1C",'Catalogue Aluminium'!$L$12,'Catalogue Aluminium'!$M$12))))))</f>
        <v>0.66</v>
      </c>
      <c r="AK22" s="344" t="str">
        <f>IF(T22="Air",'Catalogue Aluminium'!$N$9,IF(T22="GROUND",'Catalogue Aluminium'!$N$10,IF(T22="DUCT",'Catalogue Aluminium'!$N$11,IF(T22="TRENCH",'Catalogue Aluminium'!$N$12,"NA"))))</f>
        <v>NA</v>
      </c>
      <c r="AL22" s="344" t="str">
        <f>IF(T22="Air",(IF(U22="1C",'Catalogue Aluminium'!$O$9,'Catalogue Aluminium'!$P$9)),IF(T22="DUCT",(IF($U22="1C",'Catalogue Aluminium'!$O$10,'Catalogue Aluminium'!$P$10)),IF(T22="GROUND",(IF($U22="1C",'Catalogue Aluminium'!$O$11,'Catalogue Aluminium'!$P$11)),IF(T22="TRENCH",(IF($U22="1C",'Catalogue Aluminium'!$O$12,'Catalogue Aluminium'!$P$12))))))</f>
        <v>NA</v>
      </c>
      <c r="AM22" s="344" t="str">
        <f>IF(T22="AIR","NA",IF(T22="TRENCH","NA",IF(T22="DUCT",IF(U22="1C",VLOOKUP(V22,'Catalogue Aluminium'!$Q$9:$S$28,2,FALSE),VLOOKUP(V22,'Catalogue Aluminium'!$Q$9:$S$28,3)),IF(T22="GROUND",IF(U22="1C",VLOOKUP(V22,'Catalogue Aluminium'!$Q$9:$S$28,2,FALSE),VLOOKUP(V22,'Catalogue Aluminium'!$Q$9:$S$28,3))))))</f>
        <v>NA</v>
      </c>
      <c r="AN22" s="351">
        <f t="shared" si="5"/>
        <v>0.58740000000000003</v>
      </c>
      <c r="AO22" s="350">
        <f t="shared" si="6"/>
        <v>41.118000000000002</v>
      </c>
      <c r="AP22" s="349">
        <f t="shared" si="7"/>
        <v>1</v>
      </c>
      <c r="AQ22" s="350" t="str">
        <f t="shared" si="8"/>
        <v>YES</v>
      </c>
      <c r="AR22" s="351">
        <f t="shared" si="9"/>
        <v>0.37604514466250671</v>
      </c>
      <c r="AS22" s="343" t="str">
        <f>IF(G22="INCOMER",(IF(AR22&lt;=2,"YES","NO")),IF(G22="POWER",(IF(AR22&lt;=2.5,"YES","NO")),IF(G22="MOTOR",(IF(AR22&lt;=3,"YES","NO")))))</f>
        <v>YES</v>
      </c>
      <c r="AT22" s="351" t="str">
        <f>IF(G22="MOTOR",(SQRT(3)*AH22*O22*((AA22*P22)+(AB22*SIN(ACOS(P22))))*100/(AP22*K22*1000)),"NA")</f>
        <v>NA</v>
      </c>
      <c r="AU22" s="343" t="str">
        <f>IF(G22="MOTOR",IF(AT22&lt;=15,"YES","NO"),"NA")</f>
        <v>NA</v>
      </c>
      <c r="AV22" s="354" t="str">
        <f>IF(U22="1C",CONCATENATE(AP22,"R x ",Y22,"kV x ",U22," x ",V22," Sqmm/Phase"),CONCATENATE(AP22,"R x ",0.6,"/1kV x ",U22," x ",V22," Sqmm"))</f>
        <v>1R x 0.6/1kV x 4C x 16 Sqmm</v>
      </c>
      <c r="AW22" s="354" t="str">
        <f t="shared" si="202"/>
        <v>1R x 0.6/1kV x 4C x 16 Sqmm</v>
      </c>
      <c r="AX22" s="343">
        <f>(IF(K22=400,(IF(U22="1C",(4*AH22*AP22),(AH22*AP22))),IF(K22=230,(AH22*AP22))))</f>
        <v>18</v>
      </c>
      <c r="AY22" s="355"/>
      <c r="AZ22" s="355">
        <f>IF(U22="1C",(3*AP22*2),(AP22*2))</f>
        <v>2</v>
      </c>
      <c r="BA22" s="356" t="str">
        <f t="shared" si="203"/>
        <v/>
      </c>
      <c r="BB22" s="336">
        <f>VLOOKUP(W22,'Catalogue Aluminium'!$B$9:$H$93,7,FALSE)</f>
        <v>21</v>
      </c>
      <c r="BC22" s="336">
        <f>AP22*BB22</f>
        <v>21</v>
      </c>
      <c r="BE22" s="336"/>
      <c r="BF22" s="336"/>
      <c r="BG22" s="336"/>
      <c r="BH22" s="336"/>
      <c r="BI22" s="336"/>
      <c r="BJ22" s="336"/>
      <c r="BK22" s="336"/>
      <c r="BL22" s="336"/>
      <c r="BM22" s="336"/>
      <c r="BN22" s="336"/>
      <c r="BO22" s="336"/>
      <c r="BP22" s="336"/>
      <c r="BQ22" s="336"/>
      <c r="BR22" s="336"/>
      <c r="BS22" s="336"/>
      <c r="BT22" s="336"/>
      <c r="BU22" s="336"/>
      <c r="BV22" s="336"/>
      <c r="BW22" s="336"/>
      <c r="BX22" s="336"/>
      <c r="BY22" s="336"/>
      <c r="BZ22" s="336"/>
      <c r="CA22" s="336"/>
      <c r="CB22" s="336"/>
      <c r="CC22" s="336"/>
      <c r="CD22" s="336"/>
      <c r="CE22" s="336"/>
      <c r="CF22" s="336"/>
      <c r="CG22" s="336"/>
      <c r="CH22" s="336"/>
      <c r="CI22" s="336"/>
      <c r="CJ22" s="336"/>
      <c r="CK22" s="336"/>
      <c r="CL22" s="336"/>
      <c r="CM22" s="336"/>
      <c r="CN22" s="336"/>
      <c r="CO22" s="336"/>
      <c r="CP22" s="336"/>
      <c r="CQ22" s="336"/>
      <c r="CR22" s="336"/>
      <c r="CS22" s="336"/>
      <c r="CT22" s="336"/>
      <c r="CU22" s="336"/>
      <c r="CV22" s="336"/>
      <c r="CW22" s="336"/>
      <c r="CX22" s="336"/>
      <c r="CY22" s="336"/>
      <c r="CZ22" s="336"/>
      <c r="DA22" s="336"/>
      <c r="DB22" s="336"/>
      <c r="DC22" s="336"/>
      <c r="DD22" s="336"/>
      <c r="DE22" s="336"/>
      <c r="DF22" s="336"/>
      <c r="DG22" s="336"/>
      <c r="DH22" s="336"/>
      <c r="DI22" s="336"/>
      <c r="DJ22" s="336"/>
      <c r="DK22" s="336"/>
      <c r="DL22" s="336"/>
      <c r="DM22" s="336"/>
      <c r="DN22" s="336"/>
      <c r="DO22" s="336"/>
      <c r="DP22" s="336"/>
      <c r="DQ22" s="336"/>
      <c r="DR22" s="336"/>
      <c r="DS22" s="336"/>
      <c r="DT22" s="336"/>
      <c r="DU22" s="336"/>
      <c r="DW22" s="336">
        <f t="shared" si="93"/>
        <v>0</v>
      </c>
      <c r="DX22" s="336">
        <f t="shared" si="14"/>
        <v>0</v>
      </c>
      <c r="DY22" s="336">
        <f t="shared" si="15"/>
        <v>0</v>
      </c>
      <c r="DZ22" s="336">
        <f t="shared" si="16"/>
        <v>0</v>
      </c>
      <c r="EA22" s="336">
        <f t="shared" si="17"/>
        <v>0</v>
      </c>
      <c r="EB22" s="336">
        <f t="shared" si="18"/>
        <v>0</v>
      </c>
      <c r="EC22" s="336">
        <f t="shared" si="19"/>
        <v>0</v>
      </c>
      <c r="ED22" s="336">
        <f t="shared" si="20"/>
        <v>0</v>
      </c>
      <c r="EE22" s="336">
        <f t="shared" si="21"/>
        <v>0</v>
      </c>
      <c r="EF22" s="336">
        <f t="shared" si="22"/>
        <v>0</v>
      </c>
      <c r="EG22" s="336">
        <f t="shared" si="23"/>
        <v>0</v>
      </c>
      <c r="EH22" s="336">
        <f t="shared" si="24"/>
        <v>0</v>
      </c>
      <c r="EI22" s="336">
        <f t="shared" si="25"/>
        <v>0</v>
      </c>
      <c r="EJ22" s="336">
        <f t="shared" si="26"/>
        <v>0</v>
      </c>
      <c r="EK22" s="336">
        <f t="shared" si="27"/>
        <v>0</v>
      </c>
      <c r="EL22" s="336">
        <f t="shared" si="28"/>
        <v>0</v>
      </c>
      <c r="EM22" s="336">
        <f t="shared" si="29"/>
        <v>0</v>
      </c>
      <c r="EN22" s="336">
        <f t="shared" si="30"/>
        <v>0</v>
      </c>
      <c r="EO22" s="336">
        <f t="shared" si="31"/>
        <v>0</v>
      </c>
      <c r="EP22" s="336">
        <f t="shared" si="32"/>
        <v>0</v>
      </c>
      <c r="EQ22" s="336">
        <f t="shared" si="33"/>
        <v>0</v>
      </c>
      <c r="ER22" s="336">
        <f t="shared" si="34"/>
        <v>0</v>
      </c>
      <c r="ES22" s="336">
        <f t="shared" si="35"/>
        <v>0</v>
      </c>
      <c r="ET22" s="336">
        <f t="shared" si="35"/>
        <v>0</v>
      </c>
      <c r="EU22" s="336">
        <f t="shared" si="36"/>
        <v>0</v>
      </c>
      <c r="EV22" s="336">
        <f t="shared" si="37"/>
        <v>0</v>
      </c>
      <c r="EW22" s="336">
        <f t="shared" si="38"/>
        <v>0</v>
      </c>
      <c r="EX22" s="336">
        <f t="shared" si="39"/>
        <v>0</v>
      </c>
      <c r="EY22" s="336">
        <f t="shared" si="40"/>
        <v>0</v>
      </c>
      <c r="EZ22" s="336">
        <f t="shared" si="41"/>
        <v>0</v>
      </c>
      <c r="FA22" s="336">
        <f t="shared" si="42"/>
        <v>0</v>
      </c>
      <c r="FB22" s="336">
        <f t="shared" si="43"/>
        <v>0</v>
      </c>
      <c r="FC22" s="336">
        <f t="shared" si="44"/>
        <v>0</v>
      </c>
      <c r="FD22" s="336">
        <f t="shared" si="45"/>
        <v>0</v>
      </c>
      <c r="FE22" s="336">
        <f t="shared" si="46"/>
        <v>0</v>
      </c>
      <c r="FF22" s="336">
        <f t="shared" si="47"/>
        <v>0</v>
      </c>
      <c r="FG22" s="336">
        <f t="shared" si="48"/>
        <v>0</v>
      </c>
      <c r="FH22" s="336">
        <f t="shared" si="49"/>
        <v>0</v>
      </c>
      <c r="FI22" s="336">
        <f t="shared" si="50"/>
        <v>0</v>
      </c>
      <c r="FJ22" s="336">
        <f t="shared" si="51"/>
        <v>0</v>
      </c>
      <c r="FK22" s="336">
        <f t="shared" si="52"/>
        <v>0</v>
      </c>
      <c r="FL22" s="336">
        <f t="shared" si="53"/>
        <v>0</v>
      </c>
      <c r="FM22" s="336">
        <f t="shared" si="54"/>
        <v>0</v>
      </c>
      <c r="FN22" s="336">
        <f t="shared" si="55"/>
        <v>0</v>
      </c>
      <c r="FO22" s="336">
        <f t="shared" si="56"/>
        <v>0</v>
      </c>
      <c r="FP22" s="336">
        <f t="shared" si="57"/>
        <v>0</v>
      </c>
      <c r="FQ22" s="336">
        <f t="shared" si="58"/>
        <v>0</v>
      </c>
      <c r="FR22" s="336">
        <f t="shared" si="59"/>
        <v>0</v>
      </c>
      <c r="FS22" s="336">
        <f t="shared" si="60"/>
        <v>0</v>
      </c>
      <c r="FT22" s="336">
        <f t="shared" si="61"/>
        <v>0</v>
      </c>
      <c r="FU22" s="336">
        <f t="shared" si="62"/>
        <v>0</v>
      </c>
      <c r="FV22" s="336">
        <f t="shared" si="63"/>
        <v>0</v>
      </c>
      <c r="FW22" s="336">
        <f t="shared" si="64"/>
        <v>0</v>
      </c>
      <c r="FX22" s="336">
        <f t="shared" si="65"/>
        <v>0</v>
      </c>
      <c r="FY22" s="336">
        <f t="shared" si="66"/>
        <v>0</v>
      </c>
      <c r="FZ22" s="336">
        <f t="shared" si="67"/>
        <v>0</v>
      </c>
      <c r="GA22" s="336">
        <f t="shared" si="68"/>
        <v>0</v>
      </c>
      <c r="GB22" s="336">
        <f t="shared" si="69"/>
        <v>0</v>
      </c>
      <c r="GC22" s="336">
        <f t="shared" si="70"/>
        <v>0</v>
      </c>
      <c r="GD22" s="336">
        <f t="shared" si="71"/>
        <v>0</v>
      </c>
      <c r="GE22" s="336">
        <f t="shared" si="72"/>
        <v>0</v>
      </c>
      <c r="GF22" s="336">
        <f t="shared" si="73"/>
        <v>0</v>
      </c>
      <c r="GG22" s="336">
        <f t="shared" si="74"/>
        <v>0</v>
      </c>
      <c r="GH22" s="336">
        <f t="shared" si="75"/>
        <v>0</v>
      </c>
      <c r="GI22" s="336">
        <f t="shared" si="76"/>
        <v>0</v>
      </c>
      <c r="GJ22" s="336">
        <f t="shared" si="77"/>
        <v>0</v>
      </c>
      <c r="GK22" s="336">
        <f t="shared" si="78"/>
        <v>0</v>
      </c>
      <c r="GL22" s="336">
        <f t="shared" si="79"/>
        <v>0</v>
      </c>
      <c r="GM22" s="336">
        <f t="shared" si="80"/>
        <v>0</v>
      </c>
    </row>
    <row r="23" spans="1:195" ht="27" customHeight="1">
      <c r="A23" s="337">
        <f t="shared" ref="A23:A27" si="204">A22+1</f>
        <v>14</v>
      </c>
      <c r="B23" s="337" t="s">
        <v>1450</v>
      </c>
      <c r="C23" s="372" t="str">
        <f t="shared" si="198"/>
        <v>PMCC-3</v>
      </c>
      <c r="D23" s="338" t="s">
        <v>1451</v>
      </c>
      <c r="E23" s="500" t="s">
        <v>427</v>
      </c>
      <c r="F23" s="500"/>
      <c r="G23" s="337" t="s">
        <v>329</v>
      </c>
      <c r="H23" s="418">
        <v>87.3</v>
      </c>
      <c r="I23" s="337" t="s">
        <v>330</v>
      </c>
      <c r="J23" s="337" t="s">
        <v>331</v>
      </c>
      <c r="K23" s="349">
        <v>400</v>
      </c>
      <c r="L23" s="343">
        <v>0.85</v>
      </c>
      <c r="M23" s="350">
        <v>0.95</v>
      </c>
      <c r="N23" s="342">
        <f t="shared" si="0"/>
        <v>156.05002180767775</v>
      </c>
      <c r="O23" s="342">
        <f t="shared" si="1"/>
        <v>0</v>
      </c>
      <c r="P23" s="343" t="str">
        <f t="shared" si="2"/>
        <v>0.00</v>
      </c>
      <c r="Q23" s="350">
        <v>65</v>
      </c>
      <c r="R23" s="350">
        <v>0</v>
      </c>
      <c r="S23" s="350">
        <f t="shared" si="3"/>
        <v>0</v>
      </c>
      <c r="T23" s="343" t="s">
        <v>131</v>
      </c>
      <c r="U23" s="917" t="s">
        <v>535</v>
      </c>
      <c r="V23" s="916">
        <v>50</v>
      </c>
      <c r="W23" s="343" t="str">
        <f t="shared" si="199"/>
        <v>3.5C X 50</v>
      </c>
      <c r="X23" s="343" t="str">
        <f>(IF(J23="1Ph",W23,IF(J23="3Ph",(IF(G23="MOTOR",(CONCATENATE(W23,"+PE")),W23)))))</f>
        <v>3.5C X 50</v>
      </c>
      <c r="Y23" s="343" t="s">
        <v>358</v>
      </c>
      <c r="Z23" s="344">
        <f>IF(T23="AIR",VLOOKUP(W23,'Catalogue Aluminium'!$B$9:$G$93,2,FALSE),IF(T23="GROUND",VLOOKUP(W23,'Catalogue Aluminium'!$B$9:$G$93,3,FALSE),IF(T23="DUCT",VLOOKUP(W23,'Catalogue Aluminium'!$B$9:$G$93,4,FALSE),IF(T23="TRENCH",VLOOKUP(W23,'Catalogue Aluminium'!$B$9:$G$93,2,FALSE)))))</f>
        <v>141</v>
      </c>
      <c r="AA23" s="345">
        <f>VLOOKUP(W23,'Catalogue Aluminium'!$B$9:$G$93,5,FALSE)</f>
        <v>0.82</v>
      </c>
      <c r="AB23" s="345">
        <f>VLOOKUP(W23,'Catalogue Aluminium'!$B$9:$G$93,6,FALSE)</f>
        <v>7.9200000000000007E-2</v>
      </c>
      <c r="AC23" s="346">
        <f>8+5+4</f>
        <v>17</v>
      </c>
      <c r="AD23" s="346">
        <v>0</v>
      </c>
      <c r="AE23" s="346">
        <v>0</v>
      </c>
      <c r="AF23" s="346">
        <v>0</v>
      </c>
      <c r="AG23" s="346">
        <f t="shared" si="84"/>
        <v>2</v>
      </c>
      <c r="AH23" s="802">
        <f t="shared" si="201"/>
        <v>19</v>
      </c>
      <c r="AI23" s="344">
        <f>IF(T23="AIR",'Catalogue Aluminium'!$K$9,IF(T23="TRENCH",'Catalogue Aluminium'!$K$12,"NA"))</f>
        <v>0.89</v>
      </c>
      <c r="AJ23" s="342">
        <f>IF(T23="Air",(IF(U23="1C",'Catalogue Aluminium'!$L$9,'Catalogue Aluminium'!$M$9)),IF(T23="DUCT",(IF($U23="1C",'Catalogue Aluminium'!$L$10,'Catalogue Aluminium'!$M$10)),IF(T23="GROUND",(IF($U23="1C",'Catalogue Aluminium'!$L$11,'Catalogue Aluminium'!$M$11)),IF(T23="TRENCH",(IF($U23="1C",'Catalogue Aluminium'!$L$12,'Catalogue Aluminium'!$M$12))))))</f>
        <v>0.66</v>
      </c>
      <c r="AK23" s="344" t="str">
        <f>IF(T23="Air",'Catalogue Aluminium'!$N$9,IF(T23="GROUND",'Catalogue Aluminium'!$N$10,IF(T23="DUCT",'Catalogue Aluminium'!$N$11,IF(T23="TRENCH",'Catalogue Aluminium'!$N$12,"NA"))))</f>
        <v>NA</v>
      </c>
      <c r="AL23" s="344" t="str">
        <f>IF(T23="Air",(IF(U23="1C",'Catalogue Aluminium'!$O$9,'Catalogue Aluminium'!$P$9)),IF(T23="DUCT",(IF($U23="1C",'Catalogue Aluminium'!$O$10,'Catalogue Aluminium'!$P$10)),IF(T23="GROUND",(IF($U23="1C",'Catalogue Aluminium'!$O$11,'Catalogue Aluminium'!$P$11)),IF(T23="TRENCH",(IF($U23="1C",'Catalogue Aluminium'!$O$12,'Catalogue Aluminium'!$P$12))))))</f>
        <v>NA</v>
      </c>
      <c r="AM23" s="344" t="str">
        <f>IF(T23="AIR","NA",IF(T23="TRENCH","NA",IF(T23="DUCT",IF(U23="1C",VLOOKUP(V23,'Catalogue Aluminium'!$Q$9:$S$28,2,FALSE),VLOOKUP(V23,'Catalogue Aluminium'!$Q$9:$S$28,3)),IF(T23="GROUND",IF(U23="1C",VLOOKUP(V23,'Catalogue Aluminium'!$Q$9:$S$28,2,FALSE),VLOOKUP(V23,'Catalogue Aluminium'!$Q$9:$S$28,3))))))</f>
        <v>NA</v>
      </c>
      <c r="AN23" s="351">
        <f t="shared" si="5"/>
        <v>0.58740000000000003</v>
      </c>
      <c r="AO23" s="350">
        <f t="shared" si="6"/>
        <v>82.823400000000007</v>
      </c>
      <c r="AP23" s="349">
        <f t="shared" si="7"/>
        <v>2</v>
      </c>
      <c r="AQ23" s="350" t="str">
        <f t="shared" si="8"/>
        <v>YES</v>
      </c>
      <c r="AR23" s="351">
        <f t="shared" si="9"/>
        <v>0.47420773226508289</v>
      </c>
      <c r="AS23" s="343" t="str">
        <f>IF(G23="INCOMER",(IF(AR23&lt;=2,"YES","NO")),IF(G23="POWER",(IF(AR23&lt;=2.5,"YES","NO")),IF(G23="MOTOR",(IF(AR23&lt;=3,"YES","NO")))))</f>
        <v>YES</v>
      </c>
      <c r="AT23" s="351" t="str">
        <f>IF(G23="MOTOR",(SQRT(3)*AH23*O23*((AA23*P23)+(AB23*SIN(ACOS(P23))))*100/(AP23*K23*1000)),"NA")</f>
        <v>NA</v>
      </c>
      <c r="AU23" s="343" t="str">
        <f>IF(G23="MOTOR",IF(AT23&lt;=15,"YES","NO"),"NA")</f>
        <v>NA</v>
      </c>
      <c r="AV23" s="354" t="str">
        <f>IF(U23="1C",CONCATENATE(AP23,"R x ",Y23,"kV x ",U23," x ",V23," Sqmm/Phase"),CONCATENATE(AP23,"R x ",0.6,"/1kV x ",U23," x ",V23," Sqmm"))</f>
        <v>2R x 0.6/1kV x 3.5C x 50 Sqmm</v>
      </c>
      <c r="AW23" s="354" t="str">
        <f t="shared" si="202"/>
        <v>2R x 0.6/1kV x 3.5C x 50 Sqmm</v>
      </c>
      <c r="AX23" s="343">
        <f>(IF(K23=400,(IF(U23="1C",(4*AH23*AP23),(AH23*AP23))),IF(K23=230,(AH23*AP23))))</f>
        <v>38</v>
      </c>
      <c r="AY23" s="355"/>
      <c r="AZ23" s="355">
        <f>IF(U23="1C",(3*AP23*2),(AP23*2))</f>
        <v>4</v>
      </c>
      <c r="BA23" s="356" t="str">
        <f t="shared" si="203"/>
        <v/>
      </c>
      <c r="BB23" s="336">
        <f>VLOOKUP(W23,'Catalogue Aluminium'!$B$9:$H$93,7,FALSE)</f>
        <v>30</v>
      </c>
      <c r="BC23" s="336">
        <f>AP23*BB23</f>
        <v>60</v>
      </c>
      <c r="BE23" s="336"/>
      <c r="BF23" s="336"/>
      <c r="BG23" s="336"/>
      <c r="BH23" s="336"/>
      <c r="BI23" s="336"/>
      <c r="BJ23" s="336"/>
      <c r="BK23" s="336"/>
      <c r="BL23" s="336"/>
      <c r="BM23" s="336"/>
      <c r="BN23" s="336"/>
      <c r="BO23" s="336"/>
      <c r="BP23" s="336"/>
      <c r="BQ23" s="336"/>
      <c r="BR23" s="336"/>
      <c r="BS23" s="336"/>
      <c r="BT23" s="336"/>
      <c r="BU23" s="336"/>
      <c r="BV23" s="336"/>
      <c r="BW23" s="336"/>
      <c r="BX23" s="336"/>
      <c r="BY23" s="336"/>
      <c r="BZ23" s="336"/>
      <c r="CA23" s="336"/>
      <c r="CB23" s="336"/>
      <c r="CC23" s="336"/>
      <c r="CD23" s="336"/>
      <c r="CE23" s="336"/>
      <c r="CF23" s="336"/>
      <c r="CG23" s="336"/>
      <c r="CH23" s="336"/>
      <c r="CI23" s="336"/>
      <c r="CJ23" s="336"/>
      <c r="CK23" s="336"/>
      <c r="CL23" s="336"/>
      <c r="CM23" s="336"/>
      <c r="CN23" s="336"/>
      <c r="CO23" s="336"/>
      <c r="CP23" s="336"/>
      <c r="CQ23" s="336"/>
      <c r="CR23" s="336"/>
      <c r="CS23" s="336"/>
      <c r="CT23" s="336"/>
      <c r="CU23" s="336"/>
      <c r="CV23" s="336"/>
      <c r="CW23" s="336"/>
      <c r="CX23" s="336"/>
      <c r="CY23" s="336"/>
      <c r="CZ23" s="336"/>
      <c r="DA23" s="336"/>
      <c r="DB23" s="336"/>
      <c r="DC23" s="336"/>
      <c r="DD23" s="336"/>
      <c r="DE23" s="336"/>
      <c r="DF23" s="336"/>
      <c r="DG23" s="336"/>
      <c r="DH23" s="336"/>
      <c r="DI23" s="336"/>
      <c r="DJ23" s="336"/>
      <c r="DK23" s="336"/>
      <c r="DL23" s="336"/>
      <c r="DM23" s="336"/>
      <c r="DN23" s="336"/>
      <c r="DO23" s="336"/>
      <c r="DP23" s="336"/>
      <c r="DQ23" s="336"/>
      <c r="DR23" s="336"/>
      <c r="DS23" s="336"/>
      <c r="DT23" s="336"/>
      <c r="DU23" s="336"/>
      <c r="DW23" s="336">
        <f t="shared" si="93"/>
        <v>0</v>
      </c>
      <c r="DX23" s="336">
        <f t="shared" si="14"/>
        <v>0</v>
      </c>
      <c r="DY23" s="336">
        <f t="shared" si="15"/>
        <v>0</v>
      </c>
      <c r="DZ23" s="336">
        <f t="shared" si="16"/>
        <v>0</v>
      </c>
      <c r="EA23" s="336">
        <f t="shared" si="17"/>
        <v>0</v>
      </c>
      <c r="EB23" s="336">
        <f t="shared" si="18"/>
        <v>0</v>
      </c>
      <c r="EC23" s="336">
        <f t="shared" si="19"/>
        <v>0</v>
      </c>
      <c r="ED23" s="336">
        <f t="shared" si="20"/>
        <v>0</v>
      </c>
      <c r="EE23" s="336">
        <f t="shared" si="21"/>
        <v>0</v>
      </c>
      <c r="EF23" s="336">
        <f t="shared" si="22"/>
        <v>0</v>
      </c>
      <c r="EG23" s="336">
        <f t="shared" si="23"/>
        <v>0</v>
      </c>
      <c r="EH23" s="336">
        <f t="shared" si="24"/>
        <v>0</v>
      </c>
      <c r="EI23" s="336">
        <f t="shared" si="25"/>
        <v>0</v>
      </c>
      <c r="EJ23" s="336">
        <f t="shared" si="26"/>
        <v>0</v>
      </c>
      <c r="EK23" s="336">
        <f t="shared" si="27"/>
        <v>0</v>
      </c>
      <c r="EL23" s="336">
        <f t="shared" si="28"/>
        <v>0</v>
      </c>
      <c r="EM23" s="336">
        <f t="shared" si="29"/>
        <v>0</v>
      </c>
      <c r="EN23" s="336">
        <f t="shared" si="30"/>
        <v>0</v>
      </c>
      <c r="EO23" s="336">
        <f t="shared" si="31"/>
        <v>0</v>
      </c>
      <c r="EP23" s="336">
        <f t="shared" si="32"/>
        <v>0</v>
      </c>
      <c r="EQ23" s="336">
        <f t="shared" si="33"/>
        <v>0</v>
      </c>
      <c r="ER23" s="336">
        <f t="shared" si="34"/>
        <v>0</v>
      </c>
      <c r="ES23" s="336">
        <f t="shared" si="35"/>
        <v>0</v>
      </c>
      <c r="ET23" s="336">
        <f t="shared" si="35"/>
        <v>0</v>
      </c>
      <c r="EU23" s="336">
        <f t="shared" si="36"/>
        <v>0</v>
      </c>
      <c r="EV23" s="336">
        <f t="shared" si="37"/>
        <v>0</v>
      </c>
      <c r="EW23" s="336">
        <f t="shared" si="38"/>
        <v>0</v>
      </c>
      <c r="EX23" s="336">
        <f t="shared" si="39"/>
        <v>0</v>
      </c>
      <c r="EY23" s="336">
        <f t="shared" si="40"/>
        <v>0</v>
      </c>
      <c r="EZ23" s="336">
        <f t="shared" si="41"/>
        <v>0</v>
      </c>
      <c r="FA23" s="336">
        <f t="shared" si="42"/>
        <v>0</v>
      </c>
      <c r="FB23" s="336">
        <f t="shared" si="43"/>
        <v>0</v>
      </c>
      <c r="FC23" s="336">
        <f t="shared" si="44"/>
        <v>0</v>
      </c>
      <c r="FD23" s="336">
        <f t="shared" si="45"/>
        <v>0</v>
      </c>
      <c r="FE23" s="336">
        <f t="shared" si="46"/>
        <v>0</v>
      </c>
      <c r="FF23" s="336">
        <f t="shared" si="47"/>
        <v>0</v>
      </c>
      <c r="FG23" s="336">
        <f t="shared" si="48"/>
        <v>0</v>
      </c>
      <c r="FH23" s="336">
        <f t="shared" si="49"/>
        <v>0</v>
      </c>
      <c r="FI23" s="336">
        <f t="shared" si="50"/>
        <v>0</v>
      </c>
      <c r="FJ23" s="336">
        <f t="shared" si="51"/>
        <v>0</v>
      </c>
      <c r="FK23" s="336">
        <f t="shared" si="52"/>
        <v>0</v>
      </c>
      <c r="FL23" s="336">
        <f t="shared" si="53"/>
        <v>0</v>
      </c>
      <c r="FM23" s="336">
        <f t="shared" si="54"/>
        <v>0</v>
      </c>
      <c r="FN23" s="336">
        <f t="shared" si="55"/>
        <v>0</v>
      </c>
      <c r="FO23" s="336">
        <f t="shared" si="56"/>
        <v>0</v>
      </c>
      <c r="FP23" s="336">
        <f t="shared" si="57"/>
        <v>0</v>
      </c>
      <c r="FQ23" s="336">
        <f t="shared" si="58"/>
        <v>0</v>
      </c>
      <c r="FR23" s="336">
        <f t="shared" si="59"/>
        <v>0</v>
      </c>
      <c r="FS23" s="336">
        <f t="shared" si="60"/>
        <v>0</v>
      </c>
      <c r="FT23" s="336">
        <f t="shared" si="61"/>
        <v>0</v>
      </c>
      <c r="FU23" s="336">
        <f t="shared" si="62"/>
        <v>0</v>
      </c>
      <c r="FV23" s="336">
        <f t="shared" si="63"/>
        <v>0</v>
      </c>
      <c r="FW23" s="336">
        <f t="shared" si="64"/>
        <v>0</v>
      </c>
      <c r="FX23" s="336">
        <f t="shared" si="65"/>
        <v>0</v>
      </c>
      <c r="FY23" s="336">
        <f t="shared" si="66"/>
        <v>0</v>
      </c>
      <c r="FZ23" s="336">
        <f t="shared" si="67"/>
        <v>0</v>
      </c>
      <c r="GA23" s="336">
        <f t="shared" si="68"/>
        <v>0</v>
      </c>
      <c r="GB23" s="336">
        <f t="shared" si="69"/>
        <v>0</v>
      </c>
      <c r="GC23" s="336">
        <f t="shared" si="70"/>
        <v>0</v>
      </c>
      <c r="GD23" s="336">
        <f t="shared" si="71"/>
        <v>0</v>
      </c>
      <c r="GE23" s="336">
        <f t="shared" si="72"/>
        <v>0</v>
      </c>
      <c r="GF23" s="336">
        <f t="shared" si="73"/>
        <v>0</v>
      </c>
      <c r="GG23" s="336">
        <f t="shared" si="74"/>
        <v>0</v>
      </c>
      <c r="GH23" s="336">
        <f t="shared" si="75"/>
        <v>0</v>
      </c>
      <c r="GI23" s="336">
        <f t="shared" si="76"/>
        <v>0</v>
      </c>
      <c r="GJ23" s="336">
        <f t="shared" si="77"/>
        <v>0</v>
      </c>
      <c r="GK23" s="336">
        <f t="shared" si="78"/>
        <v>0</v>
      </c>
      <c r="GL23" s="336">
        <f t="shared" si="79"/>
        <v>0</v>
      </c>
      <c r="GM23" s="336">
        <f t="shared" si="80"/>
        <v>0</v>
      </c>
    </row>
    <row r="24" spans="1:195" ht="20.100000000000001" customHeight="1">
      <c r="A24" s="337">
        <f t="shared" si="204"/>
        <v>15</v>
      </c>
      <c r="B24" s="337" t="s">
        <v>1452</v>
      </c>
      <c r="C24" s="372" t="str">
        <f t="shared" si="198"/>
        <v>PMCC-3</v>
      </c>
      <c r="D24" s="372" t="s">
        <v>1453</v>
      </c>
      <c r="E24" s="500" t="s">
        <v>427</v>
      </c>
      <c r="F24" s="500"/>
      <c r="G24" s="337" t="s">
        <v>329</v>
      </c>
      <c r="H24" s="917">
        <v>32.65</v>
      </c>
      <c r="I24" s="337" t="s">
        <v>330</v>
      </c>
      <c r="J24" s="337" t="s">
        <v>331</v>
      </c>
      <c r="K24" s="349">
        <v>400</v>
      </c>
      <c r="L24" s="343">
        <v>0.85</v>
      </c>
      <c r="M24" s="350">
        <v>0.95</v>
      </c>
      <c r="N24" s="342">
        <f t="shared" si="0"/>
        <v>58.362350653157833</v>
      </c>
      <c r="O24" s="342">
        <f t="shared" si="1"/>
        <v>0</v>
      </c>
      <c r="P24" s="343" t="str">
        <f t="shared" si="2"/>
        <v>0.00</v>
      </c>
      <c r="Q24" s="350">
        <v>65</v>
      </c>
      <c r="R24" s="350">
        <v>0</v>
      </c>
      <c r="S24" s="350">
        <f t="shared" si="3"/>
        <v>0</v>
      </c>
      <c r="T24" s="343" t="s">
        <v>131</v>
      </c>
      <c r="U24" s="917" t="s">
        <v>535</v>
      </c>
      <c r="V24" s="916">
        <v>35</v>
      </c>
      <c r="W24" s="343" t="str">
        <f t="shared" si="199"/>
        <v>3.5C X 35</v>
      </c>
      <c r="X24" s="343" t="str">
        <f>(IF(J24="1Ph",W24,IF(J24="3Ph",(IF(G24="MOTOR",(CONCATENATE(W24,"+PE")),W24)))))</f>
        <v>3.5C X 35</v>
      </c>
      <c r="Y24" s="343" t="s">
        <v>358</v>
      </c>
      <c r="Z24" s="344">
        <f>IF(T24="AIR",VLOOKUP(W24,'Catalogue Aluminium'!$B$9:$G$93,2,FALSE),IF(T24="GROUND",VLOOKUP(W24,'Catalogue Aluminium'!$B$9:$G$93,3,FALSE),IF(T24="DUCT",VLOOKUP(W24,'Catalogue Aluminium'!$B$9:$G$93,4,FALSE),IF(T24="TRENCH",VLOOKUP(W24,'Catalogue Aluminium'!$B$9:$G$93,2,FALSE)))))</f>
        <v>117</v>
      </c>
      <c r="AA24" s="345">
        <f>VLOOKUP(W24,'Catalogue Aluminium'!$B$9:$G$93,5,FALSE)</f>
        <v>1.1100000000000001</v>
      </c>
      <c r="AB24" s="345">
        <f>VLOOKUP(W24,'Catalogue Aluminium'!$B$9:$G$93,6,FALSE)</f>
        <v>7.9399999999999998E-2</v>
      </c>
      <c r="AC24" s="346">
        <f>8+5+8</f>
        <v>21</v>
      </c>
      <c r="AD24" s="346">
        <v>0</v>
      </c>
      <c r="AE24" s="346">
        <v>0</v>
      </c>
      <c r="AF24" s="346">
        <v>0</v>
      </c>
      <c r="AG24" s="346">
        <f t="shared" si="84"/>
        <v>3</v>
      </c>
      <c r="AH24" s="802">
        <f t="shared" si="201"/>
        <v>24</v>
      </c>
      <c r="AI24" s="344">
        <f>IF(T24="AIR",'Catalogue Aluminium'!$K$9,IF(T24="TRENCH",'Catalogue Aluminium'!$K$12,"NA"))</f>
        <v>0.89</v>
      </c>
      <c r="AJ24" s="342">
        <f>IF(T24="Air",(IF(U24="1C",'Catalogue Aluminium'!$L$9,'Catalogue Aluminium'!$M$9)),IF(T24="DUCT",(IF($U24="1C",'Catalogue Aluminium'!$L$10,'Catalogue Aluminium'!$M$10)),IF(T24="GROUND",(IF($U24="1C",'Catalogue Aluminium'!$L$11,'Catalogue Aluminium'!$M$11)),IF(T24="TRENCH",(IF($U24="1C",'Catalogue Aluminium'!$L$12,'Catalogue Aluminium'!$M$12))))))</f>
        <v>0.66</v>
      </c>
      <c r="AK24" s="344" t="str">
        <f>IF(T24="Air",'Catalogue Aluminium'!$N$9,IF(T24="GROUND",'Catalogue Aluminium'!$N$10,IF(T24="DUCT",'Catalogue Aluminium'!$N$11,IF(T24="TRENCH",'Catalogue Aluminium'!$N$12,"NA"))))</f>
        <v>NA</v>
      </c>
      <c r="AL24" s="344" t="str">
        <f>IF(T24="Air",(IF(U24="1C",'Catalogue Aluminium'!$O$9,'Catalogue Aluminium'!$P$9)),IF(T24="DUCT",(IF($U24="1C",'Catalogue Aluminium'!$O$10,'Catalogue Aluminium'!$P$10)),IF(T24="GROUND",(IF($U24="1C",'Catalogue Aluminium'!$O$11,'Catalogue Aluminium'!$P$11)),IF(T24="TRENCH",(IF($U24="1C",'Catalogue Aluminium'!$O$12,'Catalogue Aluminium'!$P$12))))))</f>
        <v>NA</v>
      </c>
      <c r="AM24" s="344" t="str">
        <f>IF(T24="AIR","NA",IF(T24="TRENCH","NA",IF(T24="DUCT",IF(U24="1C",VLOOKUP(V24,'Catalogue Aluminium'!$Q$9:$S$28,2,FALSE),VLOOKUP(V24,'Catalogue Aluminium'!$Q$9:$S$28,3)),IF(T24="GROUND",IF(U24="1C",VLOOKUP(V24,'Catalogue Aluminium'!$Q$9:$S$28,2,FALSE),VLOOKUP(V24,'Catalogue Aluminium'!$Q$9:$S$28,3))))))</f>
        <v>NA</v>
      </c>
      <c r="AN24" s="351">
        <f t="shared" si="5"/>
        <v>0.58740000000000003</v>
      </c>
      <c r="AO24" s="350">
        <f t="shared" si="6"/>
        <v>68.725800000000007</v>
      </c>
      <c r="AP24" s="349">
        <f t="shared" si="7"/>
        <v>1</v>
      </c>
      <c r="AQ24" s="350" t="str">
        <f t="shared" si="8"/>
        <v>YES</v>
      </c>
      <c r="AR24" s="351">
        <f t="shared" si="9"/>
        <v>0.59761960548988891</v>
      </c>
      <c r="AS24" s="343" t="str">
        <f>IF(G24="INCOMER",(IF(AR24&lt;=2,"YES","NO")),IF(G24="POWER",(IF(AR24&lt;=2.5,"YES","NO")),IF(G24="MOTOR",(IF(AR24&lt;=3,"YES","NO")))))</f>
        <v>YES</v>
      </c>
      <c r="AT24" s="351" t="str">
        <f>IF(G24="MOTOR",(SQRT(3)*AH24*O24*((AA24*P24)+(AB24*SIN(ACOS(P24))))*100/(AP24*K24*1000)),"NA")</f>
        <v>NA</v>
      </c>
      <c r="AU24" s="343" t="str">
        <f>IF(G24="MOTOR",IF(AT24&lt;=15,"YES","NO"),"NA")</f>
        <v>NA</v>
      </c>
      <c r="AV24" s="354" t="str">
        <f>IF(U24="1C",CONCATENATE(AP24,"R x ",Y24,"kV x ",U24," x ",V24," Sqmm/Phase"),CONCATENATE(AP24,"R x ",0.6,"/1kV x ",U24," x ",V24," Sqmm"))</f>
        <v>1R x 0.6/1kV x 3.5C x 35 Sqmm</v>
      </c>
      <c r="AW24" s="354" t="str">
        <f t="shared" si="202"/>
        <v>1R x 0.6/1kV x 3.5C x 35 Sqmm</v>
      </c>
      <c r="AX24" s="343">
        <f>(IF(K24=400,(IF(U24="1C",(4*AH24*AP24),(AH24*AP24))),IF(K24=230,(AH24*AP24))))</f>
        <v>24</v>
      </c>
      <c r="AY24" s="355"/>
      <c r="AZ24" s="355">
        <f>IF(U24="1C",(3*AP24*2),(AP24*2))</f>
        <v>2</v>
      </c>
      <c r="BA24" s="356" t="str">
        <f t="shared" si="203"/>
        <v/>
      </c>
      <c r="BB24" s="336">
        <f>VLOOKUP(W24,'Catalogue Aluminium'!$B$9:$H$93,7,FALSE)</f>
        <v>27</v>
      </c>
      <c r="BC24" s="336">
        <f>AP24*BB24</f>
        <v>27</v>
      </c>
      <c r="BE24" s="336"/>
      <c r="BF24" s="336"/>
      <c r="BG24" s="336"/>
      <c r="BH24" s="336"/>
      <c r="BI24" s="336"/>
      <c r="BJ24" s="336"/>
      <c r="BK24" s="336"/>
      <c r="BL24" s="336"/>
      <c r="BM24" s="336"/>
      <c r="BN24" s="336"/>
      <c r="BO24" s="336"/>
      <c r="BP24" s="336"/>
      <c r="BQ24" s="336"/>
      <c r="BR24" s="336"/>
      <c r="BS24" s="336"/>
      <c r="BT24" s="336"/>
      <c r="BU24" s="336"/>
      <c r="BV24" s="336"/>
      <c r="BW24" s="336"/>
      <c r="BX24" s="336"/>
      <c r="BY24" s="336"/>
      <c r="BZ24" s="336"/>
      <c r="CA24" s="336"/>
      <c r="CB24" s="336"/>
      <c r="CC24" s="336"/>
      <c r="CD24" s="336"/>
      <c r="CE24" s="336"/>
      <c r="CF24" s="336"/>
      <c r="CG24" s="336"/>
      <c r="CH24" s="336"/>
      <c r="CI24" s="336"/>
      <c r="CJ24" s="336"/>
      <c r="CK24" s="336"/>
      <c r="CL24" s="336"/>
      <c r="CM24" s="336"/>
      <c r="CN24" s="336"/>
      <c r="CO24" s="336"/>
      <c r="CP24" s="336"/>
      <c r="CQ24" s="336"/>
      <c r="CR24" s="336"/>
      <c r="CS24" s="336"/>
      <c r="CT24" s="336"/>
      <c r="CU24" s="336"/>
      <c r="CV24" s="336"/>
      <c r="CW24" s="336"/>
      <c r="CX24" s="336"/>
      <c r="CY24" s="336"/>
      <c r="CZ24" s="336"/>
      <c r="DA24" s="336"/>
      <c r="DB24" s="336"/>
      <c r="DC24" s="336"/>
      <c r="DD24" s="336"/>
      <c r="DE24" s="336"/>
      <c r="DF24" s="336"/>
      <c r="DG24" s="336"/>
      <c r="DH24" s="336"/>
      <c r="DI24" s="336"/>
      <c r="DJ24" s="336"/>
      <c r="DK24" s="336"/>
      <c r="DL24" s="336"/>
      <c r="DM24" s="336"/>
      <c r="DN24" s="336"/>
      <c r="DO24" s="336"/>
      <c r="DP24" s="336"/>
      <c r="DQ24" s="336"/>
      <c r="DR24" s="336"/>
      <c r="DS24" s="336"/>
      <c r="DT24" s="336"/>
      <c r="DU24" s="336"/>
      <c r="DW24" s="336">
        <f t="shared" si="93"/>
        <v>0</v>
      </c>
      <c r="DX24" s="336">
        <f t="shared" si="14"/>
        <v>0</v>
      </c>
      <c r="DY24" s="336">
        <f t="shared" si="15"/>
        <v>0</v>
      </c>
      <c r="DZ24" s="336">
        <f t="shared" si="16"/>
        <v>0</v>
      </c>
      <c r="EA24" s="336">
        <f t="shared" si="17"/>
        <v>0</v>
      </c>
      <c r="EB24" s="336">
        <f t="shared" si="18"/>
        <v>0</v>
      </c>
      <c r="EC24" s="336">
        <f t="shared" si="19"/>
        <v>0</v>
      </c>
      <c r="ED24" s="336">
        <f t="shared" si="20"/>
        <v>0</v>
      </c>
      <c r="EE24" s="336">
        <f t="shared" si="21"/>
        <v>0</v>
      </c>
      <c r="EF24" s="336">
        <f t="shared" si="22"/>
        <v>0</v>
      </c>
      <c r="EG24" s="336">
        <f t="shared" si="23"/>
        <v>0</v>
      </c>
      <c r="EH24" s="336">
        <f t="shared" si="24"/>
        <v>0</v>
      </c>
      <c r="EI24" s="336">
        <f t="shared" si="25"/>
        <v>0</v>
      </c>
      <c r="EJ24" s="336">
        <f t="shared" si="26"/>
        <v>0</v>
      </c>
      <c r="EK24" s="336">
        <f t="shared" si="27"/>
        <v>0</v>
      </c>
      <c r="EL24" s="336">
        <f t="shared" si="28"/>
        <v>0</v>
      </c>
      <c r="EM24" s="336">
        <f t="shared" si="29"/>
        <v>0</v>
      </c>
      <c r="EN24" s="336">
        <f t="shared" si="30"/>
        <v>0</v>
      </c>
      <c r="EO24" s="336">
        <f t="shared" si="31"/>
        <v>0</v>
      </c>
      <c r="EP24" s="336">
        <f t="shared" si="32"/>
        <v>0</v>
      </c>
      <c r="EQ24" s="336">
        <f t="shared" si="33"/>
        <v>0</v>
      </c>
      <c r="ER24" s="336">
        <f t="shared" si="34"/>
        <v>0</v>
      </c>
      <c r="ES24" s="336">
        <f t="shared" si="35"/>
        <v>0</v>
      </c>
      <c r="ET24" s="336">
        <f t="shared" si="35"/>
        <v>0</v>
      </c>
      <c r="EU24" s="336">
        <f t="shared" si="36"/>
        <v>0</v>
      </c>
      <c r="EV24" s="336">
        <f t="shared" si="37"/>
        <v>0</v>
      </c>
      <c r="EW24" s="336">
        <f t="shared" si="38"/>
        <v>0</v>
      </c>
      <c r="EX24" s="336">
        <f t="shared" si="39"/>
        <v>0</v>
      </c>
      <c r="EY24" s="336">
        <f t="shared" si="40"/>
        <v>0</v>
      </c>
      <c r="EZ24" s="336">
        <f t="shared" si="41"/>
        <v>0</v>
      </c>
      <c r="FA24" s="336">
        <f t="shared" si="42"/>
        <v>0</v>
      </c>
      <c r="FB24" s="336">
        <f t="shared" si="43"/>
        <v>0</v>
      </c>
      <c r="FC24" s="336">
        <f t="shared" si="44"/>
        <v>0</v>
      </c>
      <c r="FD24" s="336">
        <f t="shared" si="45"/>
        <v>0</v>
      </c>
      <c r="FE24" s="336">
        <f t="shared" si="46"/>
        <v>0</v>
      </c>
      <c r="FF24" s="336">
        <f t="shared" si="47"/>
        <v>0</v>
      </c>
      <c r="FG24" s="336">
        <f t="shared" si="48"/>
        <v>0</v>
      </c>
      <c r="FH24" s="336">
        <f t="shared" si="49"/>
        <v>0</v>
      </c>
      <c r="FI24" s="336">
        <f t="shared" si="50"/>
        <v>0</v>
      </c>
      <c r="FJ24" s="336">
        <f t="shared" si="51"/>
        <v>0</v>
      </c>
      <c r="FK24" s="336">
        <f t="shared" si="52"/>
        <v>0</v>
      </c>
      <c r="FL24" s="336">
        <f t="shared" si="53"/>
        <v>0</v>
      </c>
      <c r="FM24" s="336">
        <f t="shared" si="54"/>
        <v>0</v>
      </c>
      <c r="FN24" s="336">
        <f t="shared" si="55"/>
        <v>0</v>
      </c>
      <c r="FO24" s="336">
        <f t="shared" si="56"/>
        <v>0</v>
      </c>
      <c r="FP24" s="336">
        <f t="shared" si="57"/>
        <v>0</v>
      </c>
      <c r="FQ24" s="336">
        <f t="shared" si="58"/>
        <v>0</v>
      </c>
      <c r="FR24" s="336">
        <f t="shared" si="59"/>
        <v>0</v>
      </c>
      <c r="FS24" s="336">
        <f t="shared" si="60"/>
        <v>0</v>
      </c>
      <c r="FT24" s="336">
        <f t="shared" si="61"/>
        <v>0</v>
      </c>
      <c r="FU24" s="336">
        <f t="shared" si="62"/>
        <v>0</v>
      </c>
      <c r="FV24" s="336">
        <f t="shared" si="63"/>
        <v>0</v>
      </c>
      <c r="FW24" s="336">
        <f t="shared" si="64"/>
        <v>0</v>
      </c>
      <c r="FX24" s="336">
        <f t="shared" si="65"/>
        <v>0</v>
      </c>
      <c r="FY24" s="336">
        <f t="shared" si="66"/>
        <v>0</v>
      </c>
      <c r="FZ24" s="336">
        <f t="shared" si="67"/>
        <v>0</v>
      </c>
      <c r="GA24" s="336">
        <f t="shared" si="68"/>
        <v>0</v>
      </c>
      <c r="GB24" s="336">
        <f t="shared" si="69"/>
        <v>0</v>
      </c>
      <c r="GC24" s="336">
        <f t="shared" si="70"/>
        <v>0</v>
      </c>
      <c r="GD24" s="336">
        <f t="shared" si="71"/>
        <v>0</v>
      </c>
      <c r="GE24" s="336">
        <f t="shared" si="72"/>
        <v>0</v>
      </c>
      <c r="GF24" s="336">
        <f t="shared" si="73"/>
        <v>0</v>
      </c>
      <c r="GG24" s="336">
        <f t="shared" si="74"/>
        <v>0</v>
      </c>
      <c r="GH24" s="336">
        <f t="shared" si="75"/>
        <v>0</v>
      </c>
      <c r="GI24" s="336">
        <f t="shared" si="76"/>
        <v>0</v>
      </c>
      <c r="GJ24" s="336">
        <f t="shared" si="77"/>
        <v>0</v>
      </c>
      <c r="GK24" s="336">
        <f t="shared" si="78"/>
        <v>0</v>
      </c>
      <c r="GL24" s="336">
        <f t="shared" si="79"/>
        <v>0</v>
      </c>
      <c r="GM24" s="336">
        <f t="shared" si="80"/>
        <v>0</v>
      </c>
    </row>
    <row r="25" spans="1:195" ht="20.100000000000001" customHeight="1">
      <c r="A25" s="337">
        <f t="shared" si="204"/>
        <v>16</v>
      </c>
      <c r="B25" s="337" t="s">
        <v>1452</v>
      </c>
      <c r="C25" s="372" t="str">
        <f t="shared" si="198"/>
        <v>PMCC-3</v>
      </c>
      <c r="D25" s="372" t="s">
        <v>1454</v>
      </c>
      <c r="E25" s="500" t="s">
        <v>427</v>
      </c>
      <c r="F25" s="500"/>
      <c r="G25" s="337" t="s">
        <v>329</v>
      </c>
      <c r="H25" s="917">
        <v>32.65</v>
      </c>
      <c r="I25" s="337" t="s">
        <v>330</v>
      </c>
      <c r="J25" s="337" t="s">
        <v>331</v>
      </c>
      <c r="K25" s="349">
        <v>400</v>
      </c>
      <c r="L25" s="343">
        <v>0.85</v>
      </c>
      <c r="M25" s="350">
        <v>0.95</v>
      </c>
      <c r="N25" s="342">
        <f t="shared" si="0"/>
        <v>58.362350653157833</v>
      </c>
      <c r="O25" s="342">
        <f t="shared" si="1"/>
        <v>0</v>
      </c>
      <c r="P25" s="343" t="str">
        <f t="shared" si="2"/>
        <v>0.00</v>
      </c>
      <c r="Q25" s="350">
        <v>65</v>
      </c>
      <c r="R25" s="350">
        <v>0</v>
      </c>
      <c r="S25" s="350">
        <f t="shared" si="3"/>
        <v>0</v>
      </c>
      <c r="T25" s="343" t="s">
        <v>131</v>
      </c>
      <c r="U25" s="917" t="s">
        <v>535</v>
      </c>
      <c r="V25" s="916">
        <v>35</v>
      </c>
      <c r="W25" s="343" t="str">
        <f t="shared" si="199"/>
        <v>3.5C X 35</v>
      </c>
      <c r="X25" s="343" t="str">
        <f>(IF(J25="1Ph",W25,IF(J25="3Ph",(IF(G25="MOTOR",(CONCATENATE(W25,"+PE")),W25)))))</f>
        <v>3.5C X 35</v>
      </c>
      <c r="Y25" s="343" t="s">
        <v>358</v>
      </c>
      <c r="Z25" s="344">
        <f>IF(T25="AIR",VLOOKUP(W25,'Catalogue Aluminium'!$B$9:$G$93,2,FALSE),IF(T25="GROUND",VLOOKUP(W25,'Catalogue Aluminium'!$B$9:$G$93,3,FALSE),IF(T25="DUCT",VLOOKUP(W25,'Catalogue Aluminium'!$B$9:$G$93,4,FALSE),IF(T25="TRENCH",VLOOKUP(W25,'Catalogue Aluminium'!$B$9:$G$93,2,FALSE)))))</f>
        <v>117</v>
      </c>
      <c r="AA25" s="345">
        <f>VLOOKUP(W25,'Catalogue Aluminium'!$B$9:$G$93,5,FALSE)</f>
        <v>1.1100000000000001</v>
      </c>
      <c r="AB25" s="345">
        <f>VLOOKUP(W25,'Catalogue Aluminium'!$B$9:$G$93,6,FALSE)</f>
        <v>7.9399999999999998E-2</v>
      </c>
      <c r="AC25" s="346">
        <f>8+5+8</f>
        <v>21</v>
      </c>
      <c r="AD25" s="346">
        <v>0</v>
      </c>
      <c r="AE25" s="346">
        <v>0</v>
      </c>
      <c r="AF25" s="346">
        <v>0</v>
      </c>
      <c r="AG25" s="346">
        <f t="shared" si="84"/>
        <v>3</v>
      </c>
      <c r="AH25" s="802">
        <f t="shared" si="201"/>
        <v>24</v>
      </c>
      <c r="AI25" s="344">
        <f>IF(T25="AIR",'Catalogue Aluminium'!$K$9,IF(T25="TRENCH",'Catalogue Aluminium'!$K$12,"NA"))</f>
        <v>0.89</v>
      </c>
      <c r="AJ25" s="342">
        <f>IF(T25="Air",(IF(U25="1C",'Catalogue Aluminium'!$L$9,'Catalogue Aluminium'!$M$9)),IF(T25="DUCT",(IF($U25="1C",'Catalogue Aluminium'!$L$10,'Catalogue Aluminium'!$M$10)),IF(T25="GROUND",(IF($U25="1C",'Catalogue Aluminium'!$L$11,'Catalogue Aluminium'!$M$11)),IF(T25="TRENCH",(IF($U25="1C",'Catalogue Aluminium'!$L$12,'Catalogue Aluminium'!$M$12))))))</f>
        <v>0.66</v>
      </c>
      <c r="AK25" s="344" t="str">
        <f>IF(T25="Air",'Catalogue Aluminium'!$N$9,IF(T25="GROUND",'Catalogue Aluminium'!$N$10,IF(T25="DUCT",'Catalogue Aluminium'!$N$11,IF(T25="TRENCH",'Catalogue Aluminium'!$N$12,"NA"))))</f>
        <v>NA</v>
      </c>
      <c r="AL25" s="344" t="str">
        <f>IF(T25="Air",(IF(U25="1C",'Catalogue Aluminium'!$O$9,'Catalogue Aluminium'!$P$9)),IF(T25="DUCT",(IF($U25="1C",'Catalogue Aluminium'!$O$10,'Catalogue Aluminium'!$P$10)),IF(T25="GROUND",(IF($U25="1C",'Catalogue Aluminium'!$O$11,'Catalogue Aluminium'!$P$11)),IF(T25="TRENCH",(IF($U25="1C",'Catalogue Aluminium'!$O$12,'Catalogue Aluminium'!$P$12))))))</f>
        <v>NA</v>
      </c>
      <c r="AM25" s="344" t="str">
        <f>IF(T25="AIR","NA",IF(T25="TRENCH","NA",IF(T25="DUCT",IF(U25="1C",VLOOKUP(V25,'Catalogue Aluminium'!$Q$9:$S$28,2,FALSE),VLOOKUP(V25,'Catalogue Aluminium'!$Q$9:$S$28,3)),IF(T25="GROUND",IF(U25="1C",VLOOKUP(V25,'Catalogue Aluminium'!$Q$9:$S$28,2,FALSE),VLOOKUP(V25,'Catalogue Aluminium'!$Q$9:$S$28,3))))))</f>
        <v>NA</v>
      </c>
      <c r="AN25" s="351">
        <f t="shared" si="5"/>
        <v>0.58740000000000003</v>
      </c>
      <c r="AO25" s="350">
        <f t="shared" si="6"/>
        <v>68.725800000000007</v>
      </c>
      <c r="AP25" s="349">
        <f t="shared" si="7"/>
        <v>1</v>
      </c>
      <c r="AQ25" s="350" t="str">
        <f t="shared" si="8"/>
        <v>YES</v>
      </c>
      <c r="AR25" s="351">
        <f t="shared" si="9"/>
        <v>0.59761960548988891</v>
      </c>
      <c r="AS25" s="343" t="str">
        <f>IF(G25="INCOMER",(IF(AR25&lt;=2,"YES","NO")),IF(G25="POWER",(IF(AR25&lt;=2.5,"YES","NO")),IF(G25="MOTOR",(IF(AR25&lt;=3,"YES","NO")))))</f>
        <v>YES</v>
      </c>
      <c r="AT25" s="351" t="str">
        <f>IF(G25="MOTOR",(SQRT(3)*AH25*O25*((AA25*P25)+(AB25*SIN(ACOS(P25))))*100/(AP25*K25*1000)),"NA")</f>
        <v>NA</v>
      </c>
      <c r="AU25" s="343" t="str">
        <f>IF(G25="MOTOR",IF(AT25&lt;=15,"YES","NO"),"NA")</f>
        <v>NA</v>
      </c>
      <c r="AV25" s="354" t="str">
        <f>IF(U25="1C",CONCATENATE(AP25,"R x ",Y25,"kV x ",U25," x ",V25," Sqmm/Phase"),CONCATENATE(AP25,"R x ",0.6,"/1kV x ",U25," x ",V25," Sqmm"))</f>
        <v>1R x 0.6/1kV x 3.5C x 35 Sqmm</v>
      </c>
      <c r="AW25" s="354" t="str">
        <f t="shared" si="202"/>
        <v>1R x 0.6/1kV x 3.5C x 35 Sqmm</v>
      </c>
      <c r="AX25" s="343">
        <f>(IF(K25=400,(IF(U25="1C",(4*AH25*AP25),(AH25*AP25))),IF(K25=230,(AH25*AP25))))</f>
        <v>24</v>
      </c>
      <c r="AY25" s="355"/>
      <c r="AZ25" s="355">
        <f>IF(U25="1C",(3*AP25*2),(AP25*2))</f>
        <v>2</v>
      </c>
      <c r="BA25" s="356" t="str">
        <f t="shared" si="203"/>
        <v/>
      </c>
      <c r="BB25" s="336">
        <f>VLOOKUP(W25,'Catalogue Aluminium'!$B$9:$H$93,7,FALSE)</f>
        <v>27</v>
      </c>
      <c r="BC25" s="336">
        <f>AP25*BB25</f>
        <v>27</v>
      </c>
      <c r="BE25" s="336"/>
      <c r="BF25" s="336"/>
      <c r="BG25" s="336"/>
      <c r="BH25" s="336"/>
      <c r="BI25" s="336"/>
      <c r="BJ25" s="336"/>
      <c r="BK25" s="336"/>
      <c r="BL25" s="336"/>
      <c r="BM25" s="336"/>
      <c r="BN25" s="336"/>
      <c r="BO25" s="336"/>
      <c r="BP25" s="336"/>
      <c r="BQ25" s="336"/>
      <c r="BR25" s="336"/>
      <c r="BS25" s="336"/>
      <c r="BT25" s="336"/>
      <c r="BU25" s="336"/>
      <c r="BV25" s="336"/>
      <c r="BW25" s="336"/>
      <c r="BX25" s="336"/>
      <c r="BY25" s="336"/>
      <c r="BZ25" s="336"/>
      <c r="CA25" s="336"/>
      <c r="CB25" s="336"/>
      <c r="CC25" s="336"/>
      <c r="CD25" s="336"/>
      <c r="CE25" s="336"/>
      <c r="CF25" s="336"/>
      <c r="CG25" s="336"/>
      <c r="CH25" s="336"/>
      <c r="CI25" s="336"/>
      <c r="CJ25" s="336"/>
      <c r="CK25" s="336"/>
      <c r="CL25" s="336"/>
      <c r="CM25" s="336"/>
      <c r="CN25" s="336"/>
      <c r="CO25" s="336"/>
      <c r="CP25" s="336"/>
      <c r="CQ25" s="336"/>
      <c r="CR25" s="336"/>
      <c r="CS25" s="336"/>
      <c r="CT25" s="336"/>
      <c r="CU25" s="336"/>
      <c r="CV25" s="336"/>
      <c r="CW25" s="336"/>
      <c r="CX25" s="336"/>
      <c r="CY25" s="336"/>
      <c r="CZ25" s="336"/>
      <c r="DA25" s="336"/>
      <c r="DB25" s="336"/>
      <c r="DC25" s="336"/>
      <c r="DD25" s="336"/>
      <c r="DE25" s="336"/>
      <c r="DF25" s="336"/>
      <c r="DG25" s="336"/>
      <c r="DH25" s="336"/>
      <c r="DI25" s="336"/>
      <c r="DJ25" s="336"/>
      <c r="DK25" s="336"/>
      <c r="DL25" s="336"/>
      <c r="DM25" s="336"/>
      <c r="DN25" s="336"/>
      <c r="DO25" s="336"/>
      <c r="DP25" s="336"/>
      <c r="DQ25" s="336"/>
      <c r="DR25" s="336"/>
      <c r="DS25" s="336"/>
      <c r="DT25" s="336"/>
      <c r="DU25" s="336"/>
      <c r="DW25" s="336">
        <f t="shared" si="93"/>
        <v>0</v>
      </c>
      <c r="DX25" s="336">
        <f t="shared" si="14"/>
        <v>0</v>
      </c>
      <c r="DY25" s="336">
        <f t="shared" si="15"/>
        <v>0</v>
      </c>
      <c r="DZ25" s="336">
        <f t="shared" si="16"/>
        <v>0</v>
      </c>
      <c r="EA25" s="336">
        <f t="shared" si="17"/>
        <v>0</v>
      </c>
      <c r="EB25" s="336">
        <f t="shared" si="18"/>
        <v>0</v>
      </c>
      <c r="EC25" s="336">
        <f t="shared" si="19"/>
        <v>0</v>
      </c>
      <c r="ED25" s="336">
        <f t="shared" si="20"/>
        <v>0</v>
      </c>
      <c r="EE25" s="336">
        <f t="shared" si="21"/>
        <v>0</v>
      </c>
      <c r="EF25" s="336">
        <f t="shared" si="22"/>
        <v>0</v>
      </c>
      <c r="EG25" s="336">
        <f t="shared" si="23"/>
        <v>0</v>
      </c>
      <c r="EH25" s="336">
        <f t="shared" si="24"/>
        <v>0</v>
      </c>
      <c r="EI25" s="336">
        <f t="shared" si="25"/>
        <v>0</v>
      </c>
      <c r="EJ25" s="336">
        <f t="shared" si="26"/>
        <v>0</v>
      </c>
      <c r="EK25" s="336">
        <f t="shared" si="27"/>
        <v>0</v>
      </c>
      <c r="EL25" s="336">
        <f t="shared" si="28"/>
        <v>0</v>
      </c>
      <c r="EM25" s="336">
        <f t="shared" si="29"/>
        <v>0</v>
      </c>
      <c r="EN25" s="336">
        <f t="shared" si="30"/>
        <v>0</v>
      </c>
      <c r="EO25" s="336">
        <f t="shared" si="31"/>
        <v>0</v>
      </c>
      <c r="EP25" s="336">
        <f t="shared" si="32"/>
        <v>0</v>
      </c>
      <c r="EQ25" s="336">
        <f t="shared" si="33"/>
        <v>0</v>
      </c>
      <c r="ER25" s="336">
        <f t="shared" si="34"/>
        <v>0</v>
      </c>
      <c r="ES25" s="336">
        <f t="shared" si="35"/>
        <v>0</v>
      </c>
      <c r="ET25" s="336">
        <f t="shared" si="35"/>
        <v>0</v>
      </c>
      <c r="EU25" s="336">
        <f t="shared" si="36"/>
        <v>0</v>
      </c>
      <c r="EV25" s="336">
        <f t="shared" si="37"/>
        <v>0</v>
      </c>
      <c r="EW25" s="336">
        <f t="shared" si="38"/>
        <v>0</v>
      </c>
      <c r="EX25" s="336">
        <f t="shared" si="39"/>
        <v>0</v>
      </c>
      <c r="EY25" s="336">
        <f t="shared" si="40"/>
        <v>0</v>
      </c>
      <c r="EZ25" s="336">
        <f t="shared" si="41"/>
        <v>0</v>
      </c>
      <c r="FA25" s="336">
        <f t="shared" si="42"/>
        <v>0</v>
      </c>
      <c r="FB25" s="336">
        <f t="shared" si="43"/>
        <v>0</v>
      </c>
      <c r="FC25" s="336">
        <f t="shared" si="44"/>
        <v>0</v>
      </c>
      <c r="FD25" s="336">
        <f t="shared" si="45"/>
        <v>0</v>
      </c>
      <c r="FE25" s="336">
        <f t="shared" si="46"/>
        <v>0</v>
      </c>
      <c r="FF25" s="336">
        <f t="shared" si="47"/>
        <v>0</v>
      </c>
      <c r="FG25" s="336">
        <f t="shared" si="48"/>
        <v>0</v>
      </c>
      <c r="FH25" s="336">
        <f t="shared" si="49"/>
        <v>0</v>
      </c>
      <c r="FI25" s="336">
        <f t="shared" si="50"/>
        <v>0</v>
      </c>
      <c r="FJ25" s="336">
        <f t="shared" si="51"/>
        <v>0</v>
      </c>
      <c r="FK25" s="336">
        <f t="shared" si="52"/>
        <v>0</v>
      </c>
      <c r="FL25" s="336">
        <f t="shared" si="53"/>
        <v>0</v>
      </c>
      <c r="FM25" s="336">
        <f t="shared" si="54"/>
        <v>0</v>
      </c>
      <c r="FN25" s="336">
        <f t="shared" si="55"/>
        <v>0</v>
      </c>
      <c r="FO25" s="336">
        <f t="shared" si="56"/>
        <v>0</v>
      </c>
      <c r="FP25" s="336">
        <f t="shared" si="57"/>
        <v>0</v>
      </c>
      <c r="FQ25" s="336">
        <f t="shared" si="58"/>
        <v>0</v>
      </c>
      <c r="FR25" s="336">
        <f t="shared" si="59"/>
        <v>0</v>
      </c>
      <c r="FS25" s="336">
        <f t="shared" si="60"/>
        <v>0</v>
      </c>
      <c r="FT25" s="336">
        <f t="shared" si="61"/>
        <v>0</v>
      </c>
      <c r="FU25" s="336">
        <f t="shared" si="62"/>
        <v>0</v>
      </c>
      <c r="FV25" s="336">
        <f t="shared" si="63"/>
        <v>0</v>
      </c>
      <c r="FW25" s="336">
        <f t="shared" si="64"/>
        <v>0</v>
      </c>
      <c r="FX25" s="336">
        <f t="shared" si="65"/>
        <v>0</v>
      </c>
      <c r="FY25" s="336">
        <f t="shared" si="66"/>
        <v>0</v>
      </c>
      <c r="FZ25" s="336">
        <f t="shared" si="67"/>
        <v>0</v>
      </c>
      <c r="GA25" s="336">
        <f t="shared" si="68"/>
        <v>0</v>
      </c>
      <c r="GB25" s="336">
        <f t="shared" si="69"/>
        <v>0</v>
      </c>
      <c r="GC25" s="336">
        <f t="shared" si="70"/>
        <v>0</v>
      </c>
      <c r="GD25" s="336">
        <f t="shared" si="71"/>
        <v>0</v>
      </c>
      <c r="GE25" s="336">
        <f t="shared" si="72"/>
        <v>0</v>
      </c>
      <c r="GF25" s="336">
        <f t="shared" si="73"/>
        <v>0</v>
      </c>
      <c r="GG25" s="336">
        <f t="shared" si="74"/>
        <v>0</v>
      </c>
      <c r="GH25" s="336">
        <f t="shared" si="75"/>
        <v>0</v>
      </c>
      <c r="GI25" s="336">
        <f t="shared" si="76"/>
        <v>0</v>
      </c>
      <c r="GJ25" s="336">
        <f t="shared" si="77"/>
        <v>0</v>
      </c>
      <c r="GK25" s="336">
        <f t="shared" si="78"/>
        <v>0</v>
      </c>
      <c r="GL25" s="336">
        <f t="shared" si="79"/>
        <v>0</v>
      </c>
      <c r="GM25" s="336">
        <f t="shared" si="80"/>
        <v>0</v>
      </c>
    </row>
    <row r="26" spans="1:195" ht="20.100000000000001" customHeight="1">
      <c r="A26" s="337">
        <f t="shared" si="204"/>
        <v>17</v>
      </c>
      <c r="B26" s="337" t="s">
        <v>1455</v>
      </c>
      <c r="C26" s="372" t="str">
        <f t="shared" si="198"/>
        <v>PMCC-3</v>
      </c>
      <c r="D26" s="372" t="s">
        <v>1456</v>
      </c>
      <c r="E26" s="500" t="s">
        <v>427</v>
      </c>
      <c r="F26" s="500"/>
      <c r="G26" s="340" t="s">
        <v>337</v>
      </c>
      <c r="H26" s="350">
        <v>1600</v>
      </c>
      <c r="I26" s="337" t="s">
        <v>414</v>
      </c>
      <c r="J26" s="337" t="s">
        <v>331</v>
      </c>
      <c r="K26" s="349">
        <v>400</v>
      </c>
      <c r="L26" s="343">
        <v>0.84920557345737013</v>
      </c>
      <c r="M26" s="350">
        <v>0.9277777777777777</v>
      </c>
      <c r="N26" s="342">
        <f t="shared" si="0"/>
        <v>2489.247832280013</v>
      </c>
      <c r="O26" s="924" t="s">
        <v>630</v>
      </c>
      <c r="P26" s="925"/>
      <c r="Q26" s="925"/>
      <c r="R26" s="925"/>
      <c r="S26" s="925"/>
      <c r="T26" s="925"/>
      <c r="U26" s="925"/>
      <c r="V26" s="925"/>
      <c r="W26" s="925"/>
      <c r="X26" s="925"/>
      <c r="Y26" s="925"/>
      <c r="Z26" s="925"/>
      <c r="AA26" s="925"/>
      <c r="AB26" s="925"/>
      <c r="AC26" s="925"/>
      <c r="AD26" s="925"/>
      <c r="AE26" s="925"/>
      <c r="AF26" s="925"/>
      <c r="AG26" s="925"/>
      <c r="AH26" s="925"/>
      <c r="AI26" s="925"/>
      <c r="AJ26" s="925"/>
      <c r="AK26" s="925"/>
      <c r="AL26" s="925"/>
      <c r="AM26" s="925"/>
      <c r="AN26" s="925"/>
      <c r="AO26" s="925"/>
      <c r="AP26" s="925"/>
      <c r="AQ26" s="925"/>
      <c r="AR26" s="925"/>
      <c r="AS26" s="925"/>
      <c r="AT26" s="925"/>
      <c r="AU26" s="925"/>
      <c r="AV26" s="925"/>
      <c r="AW26" s="925"/>
      <c r="AX26" s="925"/>
      <c r="AY26" s="925"/>
      <c r="AZ26" s="925"/>
      <c r="BA26" s="925"/>
      <c r="BB26" s="925"/>
      <c r="BC26" s="1019"/>
      <c r="BE26" s="336"/>
      <c r="BF26" s="336"/>
      <c r="BG26" s="336"/>
      <c r="BH26" s="336"/>
      <c r="BI26" s="336"/>
      <c r="BJ26" s="336"/>
      <c r="BK26" s="336"/>
      <c r="BL26" s="336"/>
      <c r="BM26" s="336"/>
      <c r="BN26" s="336"/>
      <c r="BO26" s="336"/>
      <c r="BP26" s="336"/>
      <c r="BQ26" s="336"/>
      <c r="BR26" s="336"/>
      <c r="BS26" s="336"/>
      <c r="BT26" s="336"/>
      <c r="BU26" s="336"/>
      <c r="BV26" s="336"/>
      <c r="BW26" s="336"/>
      <c r="BX26" s="336"/>
      <c r="BY26" s="336"/>
      <c r="BZ26" s="336"/>
      <c r="CA26" s="336"/>
      <c r="CB26" s="336"/>
      <c r="CC26" s="336"/>
      <c r="CD26" s="336"/>
      <c r="CE26" s="336"/>
      <c r="CF26" s="336"/>
      <c r="CG26" s="336"/>
      <c r="CH26" s="336"/>
      <c r="CI26" s="336"/>
      <c r="CJ26" s="336"/>
      <c r="CK26" s="336"/>
      <c r="CL26" s="336"/>
      <c r="CM26" s="336"/>
      <c r="CN26" s="336"/>
      <c r="CO26" s="336"/>
      <c r="CP26" s="336"/>
      <c r="CQ26" s="336"/>
      <c r="CR26" s="336"/>
      <c r="CS26" s="336"/>
      <c r="CT26" s="336"/>
      <c r="CU26" s="336"/>
      <c r="CV26" s="336"/>
      <c r="CW26" s="336"/>
      <c r="CX26" s="336"/>
      <c r="CY26" s="336"/>
      <c r="CZ26" s="336"/>
      <c r="DA26" s="336"/>
      <c r="DB26" s="336"/>
      <c r="DC26" s="336"/>
      <c r="DD26" s="336"/>
      <c r="DE26" s="336"/>
      <c r="DF26" s="336"/>
      <c r="DG26" s="336"/>
      <c r="DH26" s="336"/>
      <c r="DI26" s="336"/>
      <c r="DJ26" s="336"/>
      <c r="DK26" s="336"/>
      <c r="DL26" s="336"/>
      <c r="DM26" s="336"/>
      <c r="DN26" s="336"/>
      <c r="DO26" s="336"/>
      <c r="DP26" s="336"/>
      <c r="DQ26" s="336"/>
      <c r="DR26" s="336"/>
      <c r="DS26" s="336"/>
      <c r="DT26" s="336"/>
      <c r="DU26" s="336"/>
      <c r="DW26" s="336">
        <f t="shared" si="93"/>
        <v>0</v>
      </c>
      <c r="DX26" s="336">
        <f t="shared" si="14"/>
        <v>0</v>
      </c>
      <c r="DY26" s="336">
        <f t="shared" si="15"/>
        <v>0</v>
      </c>
      <c r="DZ26" s="336">
        <f t="shared" si="16"/>
        <v>0</v>
      </c>
      <c r="EA26" s="336">
        <f t="shared" si="17"/>
        <v>0</v>
      </c>
      <c r="EB26" s="336">
        <f t="shared" si="18"/>
        <v>0</v>
      </c>
      <c r="EC26" s="336">
        <f t="shared" si="19"/>
        <v>0</v>
      </c>
      <c r="ED26" s="336">
        <f t="shared" si="20"/>
        <v>0</v>
      </c>
      <c r="EE26" s="336">
        <f t="shared" si="21"/>
        <v>0</v>
      </c>
      <c r="EF26" s="336">
        <f t="shared" si="22"/>
        <v>0</v>
      </c>
      <c r="EG26" s="336">
        <f t="shared" si="23"/>
        <v>0</v>
      </c>
      <c r="EH26" s="336">
        <f t="shared" si="24"/>
        <v>0</v>
      </c>
      <c r="EI26" s="336">
        <f t="shared" si="25"/>
        <v>0</v>
      </c>
      <c r="EJ26" s="336">
        <f t="shared" si="26"/>
        <v>0</v>
      </c>
      <c r="EK26" s="336">
        <f t="shared" si="27"/>
        <v>0</v>
      </c>
      <c r="EL26" s="336">
        <f t="shared" si="28"/>
        <v>0</v>
      </c>
      <c r="EM26" s="336">
        <f t="shared" si="29"/>
        <v>0</v>
      </c>
      <c r="EN26" s="336">
        <f t="shared" si="30"/>
        <v>0</v>
      </c>
      <c r="EO26" s="336">
        <f t="shared" si="31"/>
        <v>0</v>
      </c>
      <c r="EP26" s="336">
        <f t="shared" si="32"/>
        <v>0</v>
      </c>
      <c r="EQ26" s="336">
        <f t="shared" si="33"/>
        <v>0</v>
      </c>
      <c r="ER26" s="336">
        <f t="shared" si="34"/>
        <v>0</v>
      </c>
      <c r="ES26" s="336">
        <f t="shared" si="35"/>
        <v>0</v>
      </c>
      <c r="ET26" s="336">
        <f t="shared" si="35"/>
        <v>0</v>
      </c>
      <c r="EU26" s="336">
        <f t="shared" si="36"/>
        <v>0</v>
      </c>
      <c r="EV26" s="336">
        <f t="shared" si="37"/>
        <v>0</v>
      </c>
      <c r="EW26" s="336">
        <f t="shared" si="38"/>
        <v>0</v>
      </c>
      <c r="EX26" s="336">
        <f t="shared" si="39"/>
        <v>0</v>
      </c>
      <c r="EY26" s="336">
        <f t="shared" si="40"/>
        <v>0</v>
      </c>
      <c r="EZ26" s="336">
        <f t="shared" si="41"/>
        <v>0</v>
      </c>
      <c r="FA26" s="336">
        <f t="shared" si="42"/>
        <v>0</v>
      </c>
      <c r="FB26" s="336">
        <f t="shared" si="43"/>
        <v>0</v>
      </c>
      <c r="FC26" s="336">
        <f t="shared" si="44"/>
        <v>0</v>
      </c>
      <c r="FD26" s="336">
        <f t="shared" si="45"/>
        <v>0</v>
      </c>
      <c r="FE26" s="336">
        <f t="shared" si="46"/>
        <v>0</v>
      </c>
      <c r="FF26" s="336">
        <f t="shared" si="47"/>
        <v>0</v>
      </c>
      <c r="FG26" s="336">
        <f t="shared" si="48"/>
        <v>0</v>
      </c>
      <c r="FH26" s="336">
        <f t="shared" si="49"/>
        <v>0</v>
      </c>
      <c r="FI26" s="336">
        <f t="shared" si="50"/>
        <v>0</v>
      </c>
      <c r="FJ26" s="336">
        <f t="shared" si="51"/>
        <v>0</v>
      </c>
      <c r="FK26" s="336">
        <f t="shared" si="52"/>
        <v>0</v>
      </c>
      <c r="FL26" s="336">
        <f t="shared" si="53"/>
        <v>0</v>
      </c>
      <c r="FM26" s="336">
        <f t="shared" si="54"/>
        <v>0</v>
      </c>
      <c r="FN26" s="336">
        <f t="shared" si="55"/>
        <v>0</v>
      </c>
      <c r="FO26" s="336">
        <f t="shared" si="56"/>
        <v>0</v>
      </c>
      <c r="FP26" s="336">
        <f t="shared" si="57"/>
        <v>0</v>
      </c>
      <c r="FQ26" s="336">
        <f t="shared" si="58"/>
        <v>0</v>
      </c>
      <c r="FR26" s="336">
        <f t="shared" si="59"/>
        <v>0</v>
      </c>
      <c r="FS26" s="336">
        <f t="shared" si="60"/>
        <v>0</v>
      </c>
      <c r="FT26" s="336">
        <f t="shared" si="61"/>
        <v>0</v>
      </c>
      <c r="FU26" s="336">
        <f t="shared" si="62"/>
        <v>0</v>
      </c>
      <c r="FV26" s="336">
        <f t="shared" si="63"/>
        <v>0</v>
      </c>
      <c r="FW26" s="336">
        <f t="shared" si="64"/>
        <v>0</v>
      </c>
      <c r="FX26" s="336">
        <f t="shared" si="65"/>
        <v>0</v>
      </c>
      <c r="FY26" s="336">
        <f t="shared" si="66"/>
        <v>0</v>
      </c>
      <c r="FZ26" s="336">
        <f t="shared" si="67"/>
        <v>0</v>
      </c>
      <c r="GA26" s="336">
        <f t="shared" si="68"/>
        <v>0</v>
      </c>
      <c r="GB26" s="336">
        <f t="shared" si="69"/>
        <v>0</v>
      </c>
      <c r="GC26" s="336">
        <f t="shared" si="70"/>
        <v>0</v>
      </c>
      <c r="GD26" s="336">
        <f t="shared" si="71"/>
        <v>0</v>
      </c>
      <c r="GE26" s="336">
        <f t="shared" si="72"/>
        <v>0</v>
      </c>
      <c r="GF26" s="336">
        <f t="shared" si="73"/>
        <v>0</v>
      </c>
      <c r="GG26" s="336">
        <f t="shared" si="74"/>
        <v>0</v>
      </c>
      <c r="GH26" s="336">
        <f t="shared" si="75"/>
        <v>0</v>
      </c>
      <c r="GI26" s="336">
        <f t="shared" si="76"/>
        <v>0</v>
      </c>
      <c r="GJ26" s="336">
        <f t="shared" si="77"/>
        <v>0</v>
      </c>
      <c r="GK26" s="336">
        <f t="shared" si="78"/>
        <v>0</v>
      </c>
      <c r="GL26" s="336">
        <f t="shared" si="79"/>
        <v>0</v>
      </c>
      <c r="GM26" s="336">
        <f t="shared" si="80"/>
        <v>0</v>
      </c>
    </row>
    <row r="27" spans="1:195" ht="20.100000000000001" customHeight="1">
      <c r="A27" s="337">
        <f t="shared" si="204"/>
        <v>18</v>
      </c>
      <c r="B27" s="337" t="s">
        <v>1455</v>
      </c>
      <c r="C27" s="372" t="str">
        <f t="shared" si="198"/>
        <v>PMCC-3</v>
      </c>
      <c r="D27" s="372" t="s">
        <v>1457</v>
      </c>
      <c r="E27" s="500" t="s">
        <v>427</v>
      </c>
      <c r="F27" s="500"/>
      <c r="G27" s="340" t="s">
        <v>337</v>
      </c>
      <c r="H27" s="350">
        <v>1600</v>
      </c>
      <c r="I27" s="337" t="s">
        <v>414</v>
      </c>
      <c r="J27" s="337" t="s">
        <v>331</v>
      </c>
      <c r="K27" s="349">
        <v>400</v>
      </c>
      <c r="L27" s="343">
        <v>0.84920557345737013</v>
      </c>
      <c r="M27" s="350">
        <v>0.9277777777777777</v>
      </c>
      <c r="N27" s="342">
        <f t="shared" si="0"/>
        <v>2489.247832280013</v>
      </c>
      <c r="O27" s="924" t="s">
        <v>630</v>
      </c>
      <c r="P27" s="925"/>
      <c r="Q27" s="925"/>
      <c r="R27" s="925"/>
      <c r="S27" s="925"/>
      <c r="T27" s="925"/>
      <c r="U27" s="925"/>
      <c r="V27" s="925"/>
      <c r="W27" s="925"/>
      <c r="X27" s="925"/>
      <c r="Y27" s="925"/>
      <c r="Z27" s="925"/>
      <c r="AA27" s="925"/>
      <c r="AB27" s="925"/>
      <c r="AC27" s="925"/>
      <c r="AD27" s="925"/>
      <c r="AE27" s="925"/>
      <c r="AF27" s="925"/>
      <c r="AG27" s="925"/>
      <c r="AH27" s="925"/>
      <c r="AI27" s="925"/>
      <c r="AJ27" s="925"/>
      <c r="AK27" s="925"/>
      <c r="AL27" s="925"/>
      <c r="AM27" s="925"/>
      <c r="AN27" s="925"/>
      <c r="AO27" s="925"/>
      <c r="AP27" s="925"/>
      <c r="AQ27" s="925"/>
      <c r="AR27" s="925"/>
      <c r="AS27" s="925"/>
      <c r="AT27" s="925"/>
      <c r="AU27" s="925"/>
      <c r="AV27" s="925"/>
      <c r="AW27" s="925"/>
      <c r="AX27" s="925"/>
      <c r="AY27" s="925"/>
      <c r="AZ27" s="925"/>
      <c r="BA27" s="925"/>
      <c r="BB27" s="925"/>
      <c r="BC27" s="1019"/>
      <c r="BE27" s="336"/>
      <c r="BF27" s="336"/>
      <c r="BG27" s="336"/>
      <c r="BH27" s="336"/>
      <c r="BI27" s="336"/>
      <c r="BJ27" s="336"/>
      <c r="BK27" s="336"/>
      <c r="BL27" s="336"/>
      <c r="BM27" s="336"/>
      <c r="BN27" s="336"/>
      <c r="BO27" s="336"/>
      <c r="BP27" s="336"/>
      <c r="BQ27" s="336"/>
      <c r="BR27" s="336"/>
      <c r="BS27" s="336"/>
      <c r="BT27" s="336"/>
      <c r="BU27" s="336"/>
      <c r="BV27" s="336"/>
      <c r="BW27" s="336"/>
      <c r="BX27" s="336"/>
      <c r="BY27" s="336"/>
      <c r="BZ27" s="336"/>
      <c r="CA27" s="336"/>
      <c r="CB27" s="336"/>
      <c r="CC27" s="336"/>
      <c r="CD27" s="336"/>
      <c r="CE27" s="336"/>
      <c r="CF27" s="336"/>
      <c r="CG27" s="336"/>
      <c r="CH27" s="336"/>
      <c r="CI27" s="336"/>
      <c r="CJ27" s="336"/>
      <c r="CK27" s="336"/>
      <c r="CL27" s="336"/>
      <c r="CM27" s="336"/>
      <c r="CN27" s="336"/>
      <c r="CO27" s="336"/>
      <c r="CP27" s="336"/>
      <c r="CQ27" s="336"/>
      <c r="CR27" s="336"/>
      <c r="CS27" s="336"/>
      <c r="CT27" s="336"/>
      <c r="CU27" s="336"/>
      <c r="CV27" s="336"/>
      <c r="CW27" s="336"/>
      <c r="CX27" s="336"/>
      <c r="CY27" s="336"/>
      <c r="CZ27" s="336"/>
      <c r="DA27" s="336"/>
      <c r="DB27" s="336"/>
      <c r="DC27" s="336"/>
      <c r="DD27" s="336"/>
      <c r="DE27" s="336"/>
      <c r="DF27" s="336"/>
      <c r="DG27" s="336"/>
      <c r="DH27" s="336"/>
      <c r="DI27" s="336"/>
      <c r="DJ27" s="336"/>
      <c r="DK27" s="336"/>
      <c r="DL27" s="336"/>
      <c r="DM27" s="336"/>
      <c r="DN27" s="336"/>
      <c r="DO27" s="336"/>
      <c r="DP27" s="336"/>
      <c r="DQ27" s="336"/>
      <c r="DR27" s="336"/>
      <c r="DS27" s="336"/>
      <c r="DT27" s="336"/>
      <c r="DU27" s="336"/>
      <c r="DW27" s="336">
        <f t="shared" si="93"/>
        <v>0</v>
      </c>
      <c r="DX27" s="336">
        <f t="shared" si="14"/>
        <v>0</v>
      </c>
      <c r="DY27" s="336">
        <f t="shared" si="15"/>
        <v>0</v>
      </c>
      <c r="DZ27" s="336">
        <f t="shared" si="16"/>
        <v>0</v>
      </c>
      <c r="EA27" s="336">
        <f t="shared" si="17"/>
        <v>0</v>
      </c>
      <c r="EB27" s="336">
        <f t="shared" si="18"/>
        <v>0</v>
      </c>
      <c r="EC27" s="336">
        <f t="shared" si="19"/>
        <v>0</v>
      </c>
      <c r="ED27" s="336">
        <f t="shared" si="20"/>
        <v>0</v>
      </c>
      <c r="EE27" s="336">
        <f t="shared" si="21"/>
        <v>0</v>
      </c>
      <c r="EF27" s="336">
        <f t="shared" si="22"/>
        <v>0</v>
      </c>
      <c r="EG27" s="336">
        <f t="shared" si="23"/>
        <v>0</v>
      </c>
      <c r="EH27" s="336">
        <f t="shared" si="24"/>
        <v>0</v>
      </c>
      <c r="EI27" s="336">
        <f t="shared" si="25"/>
        <v>0</v>
      </c>
      <c r="EJ27" s="336">
        <f t="shared" si="26"/>
        <v>0</v>
      </c>
      <c r="EK27" s="336">
        <f t="shared" si="27"/>
        <v>0</v>
      </c>
      <c r="EL27" s="336">
        <f t="shared" si="28"/>
        <v>0</v>
      </c>
      <c r="EM27" s="336">
        <f t="shared" si="29"/>
        <v>0</v>
      </c>
      <c r="EN27" s="336">
        <f t="shared" si="30"/>
        <v>0</v>
      </c>
      <c r="EO27" s="336">
        <f t="shared" si="31"/>
        <v>0</v>
      </c>
      <c r="EP27" s="336">
        <f t="shared" si="32"/>
        <v>0</v>
      </c>
      <c r="EQ27" s="336">
        <f t="shared" si="33"/>
        <v>0</v>
      </c>
      <c r="ER27" s="336">
        <f t="shared" si="34"/>
        <v>0</v>
      </c>
      <c r="ES27" s="336">
        <f t="shared" si="35"/>
        <v>0</v>
      </c>
      <c r="ET27" s="336">
        <f t="shared" si="35"/>
        <v>0</v>
      </c>
      <c r="EU27" s="336">
        <f t="shared" si="36"/>
        <v>0</v>
      </c>
      <c r="EV27" s="336">
        <f t="shared" si="37"/>
        <v>0</v>
      </c>
      <c r="EW27" s="336">
        <f t="shared" si="38"/>
        <v>0</v>
      </c>
      <c r="EX27" s="336">
        <f t="shared" si="39"/>
        <v>0</v>
      </c>
      <c r="EY27" s="336">
        <f t="shared" si="40"/>
        <v>0</v>
      </c>
      <c r="EZ27" s="336">
        <f t="shared" si="41"/>
        <v>0</v>
      </c>
      <c r="FA27" s="336">
        <f t="shared" si="42"/>
        <v>0</v>
      </c>
      <c r="FB27" s="336">
        <f t="shared" si="43"/>
        <v>0</v>
      </c>
      <c r="FC27" s="336">
        <f t="shared" si="44"/>
        <v>0</v>
      </c>
      <c r="FD27" s="336">
        <f t="shared" si="45"/>
        <v>0</v>
      </c>
      <c r="FE27" s="336">
        <f t="shared" si="46"/>
        <v>0</v>
      </c>
      <c r="FF27" s="336">
        <f t="shared" si="47"/>
        <v>0</v>
      </c>
      <c r="FG27" s="336">
        <f t="shared" si="48"/>
        <v>0</v>
      </c>
      <c r="FH27" s="336">
        <f t="shared" si="49"/>
        <v>0</v>
      </c>
      <c r="FI27" s="336">
        <f t="shared" si="50"/>
        <v>0</v>
      </c>
      <c r="FJ27" s="336">
        <f t="shared" si="51"/>
        <v>0</v>
      </c>
      <c r="FK27" s="336">
        <f t="shared" si="52"/>
        <v>0</v>
      </c>
      <c r="FL27" s="336">
        <f t="shared" si="53"/>
        <v>0</v>
      </c>
      <c r="FM27" s="336">
        <f t="shared" si="54"/>
        <v>0</v>
      </c>
      <c r="FN27" s="336">
        <f t="shared" si="55"/>
        <v>0</v>
      </c>
      <c r="FO27" s="336">
        <f t="shared" si="56"/>
        <v>0</v>
      </c>
      <c r="FP27" s="336">
        <f t="shared" si="57"/>
        <v>0</v>
      </c>
      <c r="FQ27" s="336">
        <f t="shared" si="58"/>
        <v>0</v>
      </c>
      <c r="FR27" s="336">
        <f t="shared" si="59"/>
        <v>0</v>
      </c>
      <c r="FS27" s="336">
        <f t="shared" si="60"/>
        <v>0</v>
      </c>
      <c r="FT27" s="336">
        <f t="shared" si="61"/>
        <v>0</v>
      </c>
      <c r="FU27" s="336">
        <f t="shared" si="62"/>
        <v>0</v>
      </c>
      <c r="FV27" s="336">
        <f t="shared" si="63"/>
        <v>0</v>
      </c>
      <c r="FW27" s="336">
        <f t="shared" si="64"/>
        <v>0</v>
      </c>
      <c r="FX27" s="336">
        <f t="shared" si="65"/>
        <v>0</v>
      </c>
      <c r="FY27" s="336">
        <f t="shared" si="66"/>
        <v>0</v>
      </c>
      <c r="FZ27" s="336">
        <f t="shared" si="67"/>
        <v>0</v>
      </c>
      <c r="GA27" s="336">
        <f t="shared" si="68"/>
        <v>0</v>
      </c>
      <c r="GB27" s="336">
        <f t="shared" si="69"/>
        <v>0</v>
      </c>
      <c r="GC27" s="336">
        <f t="shared" si="70"/>
        <v>0</v>
      </c>
      <c r="GD27" s="336">
        <f t="shared" si="71"/>
        <v>0</v>
      </c>
      <c r="GE27" s="336">
        <f t="shared" si="72"/>
        <v>0</v>
      </c>
      <c r="GF27" s="336">
        <f t="shared" si="73"/>
        <v>0</v>
      </c>
      <c r="GG27" s="336">
        <f t="shared" si="74"/>
        <v>0</v>
      </c>
      <c r="GH27" s="336">
        <f t="shared" si="75"/>
        <v>0</v>
      </c>
      <c r="GI27" s="336">
        <f t="shared" si="76"/>
        <v>0</v>
      </c>
      <c r="GJ27" s="336">
        <f t="shared" si="77"/>
        <v>0</v>
      </c>
      <c r="GK27" s="336">
        <f t="shared" si="78"/>
        <v>0</v>
      </c>
      <c r="GL27" s="336">
        <f t="shared" si="79"/>
        <v>0</v>
      </c>
      <c r="GM27" s="336">
        <f t="shared" si="80"/>
        <v>0</v>
      </c>
    </row>
    <row r="28" spans="1:195" s="76" customFormat="1" ht="22.5" customHeight="1">
      <c r="A28" s="531"/>
      <c r="B28" s="531"/>
      <c r="C28" s="531"/>
      <c r="D28" s="477" t="s">
        <v>1458</v>
      </c>
      <c r="E28" s="533"/>
      <c r="F28" s="533"/>
      <c r="G28" s="531"/>
      <c r="H28" s="534"/>
      <c r="I28" s="531"/>
      <c r="J28" s="531"/>
      <c r="K28" s="535"/>
      <c r="L28" s="536"/>
      <c r="M28" s="534"/>
      <c r="N28" s="537"/>
      <c r="O28" s="537"/>
      <c r="P28" s="536"/>
      <c r="Q28" s="534"/>
      <c r="R28" s="534"/>
      <c r="S28" s="534"/>
      <c r="T28" s="536"/>
      <c r="U28" s="534"/>
      <c r="V28" s="536"/>
      <c r="W28" s="536"/>
      <c r="X28" s="536"/>
      <c r="Y28" s="536"/>
      <c r="Z28" s="538"/>
      <c r="AA28" s="539"/>
      <c r="AB28" s="539"/>
      <c r="AC28" s="491"/>
      <c r="AD28" s="491"/>
      <c r="AE28" s="491"/>
      <c r="AF28" s="491"/>
      <c r="AG28" s="491"/>
      <c r="AH28" s="805"/>
      <c r="AI28" s="538"/>
      <c r="AJ28" s="537"/>
      <c r="AK28" s="538"/>
      <c r="AL28" s="538"/>
      <c r="AM28" s="538"/>
      <c r="AN28" s="541"/>
      <c r="AO28" s="534"/>
      <c r="AP28" s="535"/>
      <c r="AQ28" s="534"/>
      <c r="AR28" s="541"/>
      <c r="AS28" s="536"/>
      <c r="AT28" s="541"/>
      <c r="AU28" s="541"/>
      <c r="AV28" s="542"/>
      <c r="AW28" s="542"/>
      <c r="AX28" s="536"/>
      <c r="AY28" s="543"/>
      <c r="AZ28" s="543"/>
      <c r="BA28" s="536"/>
      <c r="BB28" s="490"/>
      <c r="BC28" s="490"/>
      <c r="BD28" s="61"/>
      <c r="BE28" s="336"/>
      <c r="BF28" s="336"/>
      <c r="BG28" s="336"/>
      <c r="BH28" s="336"/>
      <c r="BI28" s="336"/>
      <c r="BJ28" s="336"/>
      <c r="BK28" s="336"/>
      <c r="BL28" s="336"/>
      <c r="BM28" s="336"/>
      <c r="BN28" s="336"/>
      <c r="BO28" s="336"/>
      <c r="BP28" s="336"/>
      <c r="BQ28" s="336"/>
      <c r="BR28" s="336"/>
      <c r="BS28" s="336"/>
      <c r="BT28" s="336"/>
      <c r="BU28" s="336"/>
      <c r="BV28" s="336"/>
      <c r="BW28" s="336"/>
      <c r="BX28" s="336"/>
      <c r="BY28" s="336"/>
      <c r="BZ28" s="336"/>
      <c r="CA28" s="336"/>
      <c r="CB28" s="336"/>
      <c r="CC28" s="336"/>
      <c r="CD28" s="336"/>
      <c r="CE28" s="336"/>
      <c r="CF28" s="336"/>
      <c r="CG28" s="336"/>
      <c r="CH28" s="336"/>
      <c r="CI28" s="336"/>
      <c r="CJ28" s="336"/>
      <c r="CK28" s="336"/>
      <c r="CL28" s="336"/>
      <c r="CM28" s="336"/>
      <c r="CN28" s="336"/>
      <c r="CO28" s="336"/>
      <c r="CP28" s="336"/>
      <c r="CQ28" s="336"/>
      <c r="CR28" s="336"/>
      <c r="CS28" s="336"/>
      <c r="CT28" s="336"/>
      <c r="CU28" s="336"/>
      <c r="CV28" s="336"/>
      <c r="CW28" s="336"/>
      <c r="CX28" s="336"/>
      <c r="CY28" s="336"/>
      <c r="CZ28" s="336"/>
      <c r="DA28" s="336"/>
      <c r="DB28" s="336"/>
      <c r="DC28" s="336"/>
      <c r="DD28" s="336"/>
      <c r="DE28" s="336"/>
      <c r="DF28" s="336"/>
      <c r="DG28" s="336"/>
      <c r="DH28" s="336"/>
      <c r="DI28" s="336"/>
      <c r="DJ28" s="336"/>
      <c r="DK28" s="336"/>
      <c r="DL28" s="336"/>
      <c r="DM28" s="336"/>
      <c r="DN28" s="336"/>
      <c r="DO28" s="336"/>
      <c r="DP28" s="336"/>
      <c r="DQ28" s="336"/>
      <c r="DR28" s="336"/>
      <c r="DS28" s="336"/>
      <c r="DT28" s="336"/>
      <c r="DU28" s="336"/>
      <c r="DV28" s="61"/>
      <c r="DW28" s="336">
        <f t="shared" si="93"/>
        <v>0</v>
      </c>
      <c r="DX28" s="336">
        <f t="shared" si="14"/>
        <v>0</v>
      </c>
      <c r="DY28" s="336">
        <f t="shared" si="15"/>
        <v>0</v>
      </c>
      <c r="DZ28" s="336">
        <f t="shared" si="16"/>
        <v>0</v>
      </c>
      <c r="EA28" s="336">
        <f t="shared" si="17"/>
        <v>0</v>
      </c>
      <c r="EB28" s="336">
        <f t="shared" si="18"/>
        <v>0</v>
      </c>
      <c r="EC28" s="336">
        <f t="shared" si="19"/>
        <v>0</v>
      </c>
      <c r="ED28" s="336">
        <f t="shared" si="20"/>
        <v>0</v>
      </c>
      <c r="EE28" s="336">
        <f t="shared" si="21"/>
        <v>0</v>
      </c>
      <c r="EF28" s="336">
        <f t="shared" si="22"/>
        <v>0</v>
      </c>
      <c r="EG28" s="336">
        <f t="shared" si="23"/>
        <v>0</v>
      </c>
      <c r="EH28" s="336">
        <f t="shared" si="24"/>
        <v>0</v>
      </c>
      <c r="EI28" s="336">
        <f t="shared" si="25"/>
        <v>0</v>
      </c>
      <c r="EJ28" s="336">
        <f t="shared" si="26"/>
        <v>0</v>
      </c>
      <c r="EK28" s="336">
        <f t="shared" si="27"/>
        <v>0</v>
      </c>
      <c r="EL28" s="336">
        <f t="shared" si="28"/>
        <v>0</v>
      </c>
      <c r="EM28" s="336">
        <f t="shared" si="29"/>
        <v>0</v>
      </c>
      <c r="EN28" s="336">
        <f t="shared" si="30"/>
        <v>0</v>
      </c>
      <c r="EO28" s="336">
        <f t="shared" si="31"/>
        <v>0</v>
      </c>
      <c r="EP28" s="336">
        <f t="shared" si="32"/>
        <v>0</v>
      </c>
      <c r="EQ28" s="336">
        <f t="shared" si="33"/>
        <v>0</v>
      </c>
      <c r="ER28" s="336">
        <f t="shared" si="34"/>
        <v>0</v>
      </c>
      <c r="ES28" s="336">
        <f t="shared" si="35"/>
        <v>0</v>
      </c>
      <c r="ET28" s="336">
        <f t="shared" si="35"/>
        <v>0</v>
      </c>
      <c r="EU28" s="336">
        <f t="shared" si="36"/>
        <v>0</v>
      </c>
      <c r="EV28" s="336">
        <f t="shared" si="37"/>
        <v>0</v>
      </c>
      <c r="EW28" s="336">
        <f t="shared" si="38"/>
        <v>0</v>
      </c>
      <c r="EX28" s="336">
        <f t="shared" si="39"/>
        <v>0</v>
      </c>
      <c r="EY28" s="336">
        <f t="shared" si="40"/>
        <v>0</v>
      </c>
      <c r="EZ28" s="336">
        <f t="shared" si="41"/>
        <v>0</v>
      </c>
      <c r="FA28" s="336">
        <f t="shared" si="42"/>
        <v>0</v>
      </c>
      <c r="FB28" s="336">
        <f t="shared" si="43"/>
        <v>0</v>
      </c>
      <c r="FC28" s="336">
        <f t="shared" si="44"/>
        <v>0</v>
      </c>
      <c r="FD28" s="336">
        <f t="shared" si="45"/>
        <v>0</v>
      </c>
      <c r="FE28" s="336">
        <f t="shared" si="46"/>
        <v>0</v>
      </c>
      <c r="FF28" s="336">
        <f t="shared" si="47"/>
        <v>0</v>
      </c>
      <c r="FG28" s="336">
        <f t="shared" si="48"/>
        <v>0</v>
      </c>
      <c r="FH28" s="336">
        <f t="shared" si="49"/>
        <v>0</v>
      </c>
      <c r="FI28" s="336">
        <f t="shared" si="50"/>
        <v>0</v>
      </c>
      <c r="FJ28" s="336">
        <f t="shared" si="51"/>
        <v>0</v>
      </c>
      <c r="FK28" s="336">
        <f t="shared" si="52"/>
        <v>0</v>
      </c>
      <c r="FL28" s="336">
        <f t="shared" si="53"/>
        <v>0</v>
      </c>
      <c r="FM28" s="336">
        <f t="shared" si="54"/>
        <v>0</v>
      </c>
      <c r="FN28" s="336">
        <f t="shared" si="55"/>
        <v>0</v>
      </c>
      <c r="FO28" s="336">
        <f t="shared" si="56"/>
        <v>0</v>
      </c>
      <c r="FP28" s="336">
        <f t="shared" si="57"/>
        <v>0</v>
      </c>
      <c r="FQ28" s="336">
        <f t="shared" si="58"/>
        <v>0</v>
      </c>
      <c r="FR28" s="336">
        <f t="shared" si="59"/>
        <v>0</v>
      </c>
      <c r="FS28" s="336">
        <f t="shared" si="60"/>
        <v>0</v>
      </c>
      <c r="FT28" s="336">
        <f t="shared" si="61"/>
        <v>0</v>
      </c>
      <c r="FU28" s="336">
        <f t="shared" si="62"/>
        <v>0</v>
      </c>
      <c r="FV28" s="336">
        <f t="shared" si="63"/>
        <v>0</v>
      </c>
      <c r="FW28" s="336">
        <f t="shared" si="64"/>
        <v>0</v>
      </c>
      <c r="FX28" s="336">
        <f t="shared" si="65"/>
        <v>0</v>
      </c>
      <c r="FY28" s="336">
        <f t="shared" si="66"/>
        <v>0</v>
      </c>
      <c r="FZ28" s="336">
        <f t="shared" si="67"/>
        <v>0</v>
      </c>
      <c r="GA28" s="336">
        <f t="shared" si="68"/>
        <v>0</v>
      </c>
      <c r="GB28" s="336">
        <f t="shared" si="69"/>
        <v>0</v>
      </c>
      <c r="GC28" s="336">
        <f t="shared" si="70"/>
        <v>0</v>
      </c>
      <c r="GD28" s="336">
        <f t="shared" si="71"/>
        <v>0</v>
      </c>
      <c r="GE28" s="336">
        <f t="shared" si="72"/>
        <v>0</v>
      </c>
      <c r="GF28" s="336">
        <f t="shared" si="73"/>
        <v>0</v>
      </c>
      <c r="GG28" s="336">
        <f t="shared" si="74"/>
        <v>0</v>
      </c>
      <c r="GH28" s="336">
        <f t="shared" si="75"/>
        <v>0</v>
      </c>
      <c r="GI28" s="336">
        <f t="shared" si="76"/>
        <v>0</v>
      </c>
      <c r="GJ28" s="336">
        <f t="shared" si="77"/>
        <v>0</v>
      </c>
      <c r="GK28" s="336">
        <f t="shared" si="78"/>
        <v>0</v>
      </c>
      <c r="GL28" s="336">
        <f t="shared" si="79"/>
        <v>0</v>
      </c>
      <c r="GM28" s="336">
        <f t="shared" si="80"/>
        <v>0</v>
      </c>
    </row>
    <row r="29" spans="1:195" s="76" customFormat="1">
      <c r="A29" s="373"/>
      <c r="B29" s="373"/>
      <c r="C29" s="373"/>
      <c r="D29" s="508" t="s">
        <v>742</v>
      </c>
      <c r="E29" s="509"/>
      <c r="F29" s="509"/>
      <c r="G29" s="373"/>
      <c r="H29" s="382"/>
      <c r="I29" s="373"/>
      <c r="J29" s="373"/>
      <c r="K29" s="381"/>
      <c r="L29" s="376"/>
      <c r="M29" s="382"/>
      <c r="N29" s="375"/>
      <c r="O29" s="375"/>
      <c r="P29" s="376"/>
      <c r="Q29" s="382"/>
      <c r="R29" s="382"/>
      <c r="S29" s="382"/>
      <c r="T29" s="376"/>
      <c r="U29" s="382"/>
      <c r="V29" s="376"/>
      <c r="W29" s="376"/>
      <c r="X29" s="376"/>
      <c r="Y29" s="376"/>
      <c r="Z29" s="377"/>
      <c r="AA29" s="378"/>
      <c r="AB29" s="378"/>
      <c r="AC29" s="379"/>
      <c r="AD29" s="379"/>
      <c r="AE29" s="379"/>
      <c r="AF29" s="379"/>
      <c r="AG29" s="379">
        <f t="shared" si="84"/>
        <v>0</v>
      </c>
      <c r="AH29" s="799"/>
      <c r="AI29" s="377"/>
      <c r="AJ29" s="375"/>
      <c r="AK29" s="377"/>
      <c r="AL29" s="377"/>
      <c r="AM29" s="377"/>
      <c r="AN29" s="383"/>
      <c r="AO29" s="382"/>
      <c r="AP29" s="381"/>
      <c r="AQ29" s="382"/>
      <c r="AR29" s="383"/>
      <c r="AS29" s="376"/>
      <c r="AT29" s="383"/>
      <c r="AU29" s="383"/>
      <c r="AV29" s="384"/>
      <c r="AW29" s="384"/>
      <c r="AX29" s="376"/>
      <c r="AY29" s="385"/>
      <c r="AZ29" s="385"/>
      <c r="BA29" s="513"/>
      <c r="BB29" s="513"/>
      <c r="BC29" s="513"/>
      <c r="BD29" s="61"/>
      <c r="BE29" s="336"/>
      <c r="BF29" s="336"/>
      <c r="BG29" s="336"/>
      <c r="BH29" s="336"/>
      <c r="BI29" s="336"/>
      <c r="BJ29" s="336"/>
      <c r="BK29" s="336"/>
      <c r="BL29" s="336"/>
      <c r="BM29" s="336"/>
      <c r="BN29" s="336"/>
      <c r="BO29" s="336"/>
      <c r="BP29" s="336"/>
      <c r="BQ29" s="336"/>
      <c r="BR29" s="336"/>
      <c r="BS29" s="336"/>
      <c r="BT29" s="336"/>
      <c r="BU29" s="336"/>
      <c r="BV29" s="336"/>
      <c r="BW29" s="336"/>
      <c r="BX29" s="336"/>
      <c r="BY29" s="336"/>
      <c r="BZ29" s="336"/>
      <c r="CA29" s="336"/>
      <c r="CB29" s="336"/>
      <c r="CC29" s="336"/>
      <c r="CD29" s="336"/>
      <c r="CE29" s="336"/>
      <c r="CF29" s="336"/>
      <c r="CG29" s="336"/>
      <c r="CH29" s="336"/>
      <c r="CI29" s="336"/>
      <c r="CJ29" s="336"/>
      <c r="CK29" s="336"/>
      <c r="CL29" s="336"/>
      <c r="CM29" s="336"/>
      <c r="CN29" s="336"/>
      <c r="CO29" s="336"/>
      <c r="CP29" s="336"/>
      <c r="CQ29" s="336"/>
      <c r="CR29" s="336"/>
      <c r="CS29" s="336"/>
      <c r="CT29" s="336"/>
      <c r="CU29" s="336"/>
      <c r="CV29" s="336"/>
      <c r="CW29" s="336"/>
      <c r="CX29" s="336"/>
      <c r="CY29" s="336"/>
      <c r="CZ29" s="336"/>
      <c r="DA29" s="336"/>
      <c r="DB29" s="336"/>
      <c r="DC29" s="336"/>
      <c r="DD29" s="336"/>
      <c r="DE29" s="336"/>
      <c r="DF29" s="336"/>
      <c r="DG29" s="336"/>
      <c r="DH29" s="336"/>
      <c r="DI29" s="336"/>
      <c r="DJ29" s="336"/>
      <c r="DK29" s="336"/>
      <c r="DL29" s="336"/>
      <c r="DM29" s="336"/>
      <c r="DN29" s="336"/>
      <c r="DO29" s="336"/>
      <c r="DP29" s="336"/>
      <c r="DQ29" s="336"/>
      <c r="DR29" s="336"/>
      <c r="DS29" s="336"/>
      <c r="DT29" s="336"/>
      <c r="DU29" s="336"/>
      <c r="DV29" s="61"/>
      <c r="DW29" s="336">
        <f t="shared" si="93"/>
        <v>0</v>
      </c>
      <c r="DX29" s="336">
        <f t="shared" si="14"/>
        <v>0</v>
      </c>
      <c r="DY29" s="336">
        <f t="shared" si="15"/>
        <v>0</v>
      </c>
      <c r="DZ29" s="336">
        <f t="shared" si="16"/>
        <v>0</v>
      </c>
      <c r="EA29" s="336">
        <f t="shared" si="17"/>
        <v>0</v>
      </c>
      <c r="EB29" s="336">
        <f t="shared" si="18"/>
        <v>0</v>
      </c>
      <c r="EC29" s="336">
        <f t="shared" si="19"/>
        <v>0</v>
      </c>
      <c r="ED29" s="336">
        <f t="shared" si="20"/>
        <v>0</v>
      </c>
      <c r="EE29" s="336">
        <f t="shared" si="21"/>
        <v>0</v>
      </c>
      <c r="EF29" s="336">
        <f t="shared" si="22"/>
        <v>0</v>
      </c>
      <c r="EG29" s="336">
        <f t="shared" si="23"/>
        <v>0</v>
      </c>
      <c r="EH29" s="336">
        <f t="shared" si="24"/>
        <v>0</v>
      </c>
      <c r="EI29" s="336">
        <f t="shared" si="25"/>
        <v>0</v>
      </c>
      <c r="EJ29" s="336">
        <f t="shared" si="26"/>
        <v>0</v>
      </c>
      <c r="EK29" s="336">
        <f t="shared" si="27"/>
        <v>0</v>
      </c>
      <c r="EL29" s="336">
        <f t="shared" si="28"/>
        <v>0</v>
      </c>
      <c r="EM29" s="336">
        <f t="shared" si="29"/>
        <v>0</v>
      </c>
      <c r="EN29" s="336">
        <f t="shared" si="30"/>
        <v>0</v>
      </c>
      <c r="EO29" s="336">
        <f t="shared" si="31"/>
        <v>0</v>
      </c>
      <c r="EP29" s="336">
        <f t="shared" si="32"/>
        <v>0</v>
      </c>
      <c r="EQ29" s="336">
        <f t="shared" si="33"/>
        <v>0</v>
      </c>
      <c r="ER29" s="336">
        <f t="shared" si="34"/>
        <v>0</v>
      </c>
      <c r="ES29" s="336">
        <f t="shared" si="35"/>
        <v>0</v>
      </c>
      <c r="ET29" s="336">
        <f t="shared" si="35"/>
        <v>0</v>
      </c>
      <c r="EU29" s="336">
        <f t="shared" si="36"/>
        <v>0</v>
      </c>
      <c r="EV29" s="336">
        <f t="shared" si="37"/>
        <v>0</v>
      </c>
      <c r="EW29" s="336">
        <f t="shared" si="38"/>
        <v>0</v>
      </c>
      <c r="EX29" s="336">
        <f t="shared" si="39"/>
        <v>0</v>
      </c>
      <c r="EY29" s="336">
        <f t="shared" si="40"/>
        <v>0</v>
      </c>
      <c r="EZ29" s="336">
        <f t="shared" si="41"/>
        <v>0</v>
      </c>
      <c r="FA29" s="336">
        <f t="shared" si="42"/>
        <v>0</v>
      </c>
      <c r="FB29" s="336">
        <f t="shared" si="43"/>
        <v>0</v>
      </c>
      <c r="FC29" s="336">
        <f t="shared" si="44"/>
        <v>0</v>
      </c>
      <c r="FD29" s="336">
        <f t="shared" si="45"/>
        <v>0</v>
      </c>
      <c r="FE29" s="336">
        <f t="shared" si="46"/>
        <v>0</v>
      </c>
      <c r="FF29" s="336">
        <f t="shared" si="47"/>
        <v>0</v>
      </c>
      <c r="FG29" s="336">
        <f t="shared" si="48"/>
        <v>0</v>
      </c>
      <c r="FH29" s="336">
        <f t="shared" si="49"/>
        <v>0</v>
      </c>
      <c r="FI29" s="336">
        <f t="shared" si="50"/>
        <v>0</v>
      </c>
      <c r="FJ29" s="336">
        <f t="shared" si="51"/>
        <v>0</v>
      </c>
      <c r="FK29" s="336">
        <f t="shared" si="52"/>
        <v>0</v>
      </c>
      <c r="FL29" s="336">
        <f t="shared" si="53"/>
        <v>0</v>
      </c>
      <c r="FM29" s="336">
        <f t="shared" si="54"/>
        <v>0</v>
      </c>
      <c r="FN29" s="336">
        <f t="shared" si="55"/>
        <v>0</v>
      </c>
      <c r="FO29" s="336">
        <f t="shared" si="56"/>
        <v>0</v>
      </c>
      <c r="FP29" s="336">
        <f t="shared" si="57"/>
        <v>0</v>
      </c>
      <c r="FQ29" s="336">
        <f t="shared" si="58"/>
        <v>0</v>
      </c>
      <c r="FR29" s="336">
        <f t="shared" si="59"/>
        <v>0</v>
      </c>
      <c r="FS29" s="336">
        <f t="shared" si="60"/>
        <v>0</v>
      </c>
      <c r="FT29" s="336">
        <f t="shared" si="61"/>
        <v>0</v>
      </c>
      <c r="FU29" s="336">
        <f t="shared" si="62"/>
        <v>0</v>
      </c>
      <c r="FV29" s="336">
        <f t="shared" si="63"/>
        <v>0</v>
      </c>
      <c r="FW29" s="336">
        <f t="shared" si="64"/>
        <v>0</v>
      </c>
      <c r="FX29" s="336">
        <f t="shared" si="65"/>
        <v>0</v>
      </c>
      <c r="FY29" s="336">
        <f t="shared" si="66"/>
        <v>0</v>
      </c>
      <c r="FZ29" s="336">
        <f t="shared" si="67"/>
        <v>0</v>
      </c>
      <c r="GA29" s="336">
        <f t="shared" si="68"/>
        <v>0</v>
      </c>
      <c r="GB29" s="336">
        <f t="shared" si="69"/>
        <v>0</v>
      </c>
      <c r="GC29" s="336">
        <f t="shared" si="70"/>
        <v>0</v>
      </c>
      <c r="GD29" s="336">
        <f t="shared" si="71"/>
        <v>0</v>
      </c>
      <c r="GE29" s="336">
        <f t="shared" si="72"/>
        <v>0</v>
      </c>
      <c r="GF29" s="336">
        <f t="shared" si="73"/>
        <v>0</v>
      </c>
      <c r="GG29" s="336">
        <f t="shared" si="74"/>
        <v>0</v>
      </c>
      <c r="GH29" s="336">
        <f t="shared" si="75"/>
        <v>0</v>
      </c>
      <c r="GI29" s="336">
        <f t="shared" si="76"/>
        <v>0</v>
      </c>
      <c r="GJ29" s="336">
        <f t="shared" si="77"/>
        <v>0</v>
      </c>
      <c r="GK29" s="336">
        <f t="shared" si="78"/>
        <v>0</v>
      </c>
      <c r="GL29" s="336">
        <f t="shared" si="79"/>
        <v>0</v>
      </c>
      <c r="GM29" s="336">
        <f t="shared" si="80"/>
        <v>0</v>
      </c>
    </row>
    <row r="30" spans="1:195">
      <c r="A30" s="337">
        <f>A27+1</f>
        <v>19</v>
      </c>
      <c r="B30" s="567" t="s">
        <v>527</v>
      </c>
      <c r="C30" s="567" t="str">
        <f>$D$28</f>
        <v>PDB-3</v>
      </c>
      <c r="D30" s="444" t="s">
        <v>1308</v>
      </c>
      <c r="E30" s="500" t="s">
        <v>1459</v>
      </c>
      <c r="F30" s="500"/>
      <c r="G30" s="337" t="s">
        <v>329</v>
      </c>
      <c r="H30" s="418">
        <v>3.5</v>
      </c>
      <c r="I30" s="337" t="s">
        <v>330</v>
      </c>
      <c r="J30" s="337" t="s">
        <v>357</v>
      </c>
      <c r="K30" s="349">
        <v>230</v>
      </c>
      <c r="L30" s="343">
        <v>0.85</v>
      </c>
      <c r="M30" s="350">
        <v>0.95400000000000007</v>
      </c>
      <c r="N30" s="342">
        <f t="shared" ref="N30:N48" si="205">IF(I30="kVA",IF(J30="3Ph",(H30*1000/(1.732*M30*K30)),(H30*1000/(M30*K30))),IF(I30="kW",IF(J30="3Ph",(H30*1000/(1.732*M30*K30*L30)),(H30*1000/(M30*K30*L30)))))</f>
        <v>18.766051676344588</v>
      </c>
      <c r="O30" s="342">
        <f t="shared" ref="O30:O46" si="206">IF(G30="MOTOR",(6*N30),IF(G30="VFD",(1*N30),0))</f>
        <v>0</v>
      </c>
      <c r="P30" s="343" t="str">
        <f t="shared" ref="P30:P46" si="207">IF(G30="MOTOR",0.2,"0.00")</f>
        <v>0.00</v>
      </c>
      <c r="Q30" s="350">
        <v>65</v>
      </c>
      <c r="R30" s="350">
        <v>0</v>
      </c>
      <c r="S30" s="350">
        <f t="shared" ref="S30:S46" si="208">(Q30*1000*SQRT(R30)/143)</f>
        <v>0</v>
      </c>
      <c r="T30" s="343" t="s">
        <v>131</v>
      </c>
      <c r="U30" s="350" t="s">
        <v>333</v>
      </c>
      <c r="V30" s="343">
        <v>25</v>
      </c>
      <c r="W30" s="343" t="str">
        <f t="shared" ref="W30:W46" si="209">CONCATENATE(U30," X ",V30)</f>
        <v>3C X 25</v>
      </c>
      <c r="X30" s="343" t="str">
        <f t="shared" ref="X30:X39" si="210">(IF(J30="1Ph",W30,IF(J30="3Ph",(IF(G30="MOTOR",(CONCATENATE(W30,"+PE")),W30)))))</f>
        <v>3C X 25</v>
      </c>
      <c r="Y30" s="343" t="s">
        <v>358</v>
      </c>
      <c r="Z30" s="344">
        <f>IF(T30="AIR",VLOOKUP(W30,'Catalogue Aluminium'!$B$9:$G$93,2,FALSE),IF(T30="GROUND",VLOOKUP(W30,'Catalogue Aluminium'!$B$9:$G$93,3,FALSE),IF(T30="DUCT",VLOOKUP(W30,'Catalogue Aluminium'!$B$9:$G$93,4,FALSE),IF(T30="TRENCH",VLOOKUP(W30,'Catalogue Aluminium'!$B$9:$G$93,2,FALSE)))))</f>
        <v>95</v>
      </c>
      <c r="AA30" s="345">
        <f>VLOOKUP(W30,'Catalogue Aluminium'!$B$9:$G$93,5,FALSE)</f>
        <v>1.54</v>
      </c>
      <c r="AB30" s="345">
        <f>VLOOKUP(W30,'Catalogue Aluminium'!$B$9:$G$93,6,FALSE)</f>
        <v>8.1600000000000006E-2</v>
      </c>
      <c r="AC30" s="337">
        <f t="shared" ref="AC30:AC39" si="211">15+8+6</f>
        <v>29</v>
      </c>
      <c r="AD30" s="346">
        <f>20+12</f>
        <v>32</v>
      </c>
      <c r="AE30" s="346">
        <v>10</v>
      </c>
      <c r="AF30" s="346">
        <v>8</v>
      </c>
      <c r="AG30" s="346">
        <f t="shared" si="84"/>
        <v>8</v>
      </c>
      <c r="AH30" s="802">
        <f t="shared" ref="AH30:AH39" si="212">SUM(AC30:AG30)</f>
        <v>87</v>
      </c>
      <c r="AI30" s="344">
        <f>IF(T30="AIR",'Catalogue Aluminium'!$K$9,IF(T30="TRENCH",'Catalogue Aluminium'!$K$12,"NA"))</f>
        <v>0.89</v>
      </c>
      <c r="AJ30" s="342">
        <f>IF(T30="Air",(IF(U30="1C",'Catalogue Aluminium'!$L$9,'Catalogue Aluminium'!$M$9)),IF(T30="DUCT",(IF($U30="1C",'Catalogue Aluminium'!$L$10,'Catalogue Aluminium'!$M$10)),IF(T30="GROUND",(IF($U30="1C",'Catalogue Aluminium'!$L$11,'Catalogue Aluminium'!$M$11)),IF(T30="TRENCH",(IF($U30="1C",'Catalogue Aluminium'!$L$12,'Catalogue Aluminium'!$M$12))))))</f>
        <v>0.66</v>
      </c>
      <c r="AK30" s="344" t="str">
        <f>IF(T30="Air",'Catalogue Aluminium'!$N$9,IF(T30="GROUND",'Catalogue Aluminium'!$N$10,IF(T30="DUCT",'Catalogue Aluminium'!$N$11,IF(T30="TRENCH",'Catalogue Aluminium'!$N$12,"NA"))))</f>
        <v>NA</v>
      </c>
      <c r="AL30" s="344" t="str">
        <f>IF(T30="Air",(IF(U30="1C",'Catalogue Aluminium'!$O$9,'Catalogue Aluminium'!$P$9)),IF(T30="DUCT",(IF($U30="1C",'Catalogue Aluminium'!$O$10,'Catalogue Aluminium'!$P$10)),IF(T30="GROUND",(IF($U30="1C",'Catalogue Aluminium'!$O$11,'Catalogue Aluminium'!$P$11)),IF(T30="TRENCH",(IF($U30="1C",'Catalogue Aluminium'!$O$12,'Catalogue Aluminium'!$P$12))))))</f>
        <v>NA</v>
      </c>
      <c r="AM30" s="344" t="str">
        <f>IF(T30="AIR","NA",IF(T30="TRENCH","NA",IF(T30="DUCT",IF(U30="1C",VLOOKUP(V30,'Catalogue Aluminium'!$Q$9:$S$28,2,FALSE),VLOOKUP(V30,'Catalogue Aluminium'!$Q$9:$S$28,3)),IF(T30="GROUND",IF(U30="1C",VLOOKUP(V30,'Catalogue Aluminium'!$Q$9:$S$28,2,FALSE),VLOOKUP(V30,'Catalogue Aluminium'!$Q$9:$S$28,3))))))</f>
        <v>NA</v>
      </c>
      <c r="AN30" s="351">
        <f t="shared" ref="AN30:AN46" si="213">IF(T30="AIR",AI30*AJ30,IF(T30="TRENCH",AI30*AJ30,IF(T30="DUCT",AJ30*AK30*AL30*AM30,IF(T30="GROUND",AJ30*AK30*AL30*AM30))))</f>
        <v>0.58740000000000003</v>
      </c>
      <c r="AO30" s="350">
        <f t="shared" ref="AO30:AO46" si="214">Z30*AN30</f>
        <v>55.803000000000004</v>
      </c>
      <c r="AP30" s="349">
        <f t="shared" ref="AP30:AP46" si="215">CEILING(((N30)/AO30),1)</f>
        <v>1</v>
      </c>
      <c r="AQ30" s="350" t="str">
        <f t="shared" ref="AQ30:AQ46" si="216">IF(AO30*AP30&gt;=N30,"YES","NO")</f>
        <v>YES</v>
      </c>
      <c r="AR30" s="351">
        <f t="shared" ref="AR30:AR46" si="217">SQRT(3)*AH30*N30*((AA30*L30)+(AB30*SIN(ACOS(L30))))*100/(AP30*K30*1000)</f>
        <v>1.662252425041761</v>
      </c>
      <c r="AS30" s="343" t="str">
        <f t="shared" ref="AS30:AS39" si="218">IF(G30="INCOMER",(IF(AR30&lt;=2,"YES","NO")),IF(G30="POWER",(IF(AR30&lt;=2.5,"YES","NO")),IF(G30="MOTOR",(IF(AR30&lt;=3,"YES","NO")))))</f>
        <v>YES</v>
      </c>
      <c r="AT30" s="351" t="str">
        <f t="shared" ref="AT30:AT39" si="219">IF(G30="MOTOR",(SQRT(3)*AH30*O30*((AA30*P30)+(AB30*SIN(ACOS(P30))))*100/(AP30*K30*1000)),"NA")</f>
        <v>NA</v>
      </c>
      <c r="AU30" s="343" t="str">
        <f t="shared" ref="AU30:AU39" si="220">IF(G30="MOTOR",IF(AT30&lt;=15,"YES","NO"),"NA")</f>
        <v>NA</v>
      </c>
      <c r="AV30" s="354" t="str">
        <f t="shared" ref="AV30:AV39" si="221">IF(U30="1C",CONCATENATE(AP30,"R x ",Y30,"kV x ",U30," x ",V30," Sqmm/Phase"),CONCATENATE(AP30,"R x ",0.6,"/1kV x ",U30," x ",V30," Sqmm"))</f>
        <v>1R x 0.6/1kV x 3C x 25 Sqmm</v>
      </c>
      <c r="AW30" s="354" t="str">
        <f t="shared" ref="AW30:AW39" si="222">IF(U30="1C",CONCATENATE(AP30,"R x ",Y30,"kV x ",U30," x ",V30," Sqmm/Phase"),CONCATENATE(AP30,"R x ",0.6,"/1kV x ",U30," x ",V30,(IF(G30="MOTOR","+PE",""))," Sqmm"))</f>
        <v>1R x 0.6/1kV x 3C x 25 Sqmm</v>
      </c>
      <c r="AX30" s="343">
        <f t="shared" ref="AX30:AX35" si="223">(IF(K30=400,(IF(U30="1C",(4*AH30*AP30),(AH30*AP30))),IF(K30=230,(AH30*AP30))))</f>
        <v>87</v>
      </c>
      <c r="AY30" s="355"/>
      <c r="AZ30" s="355">
        <f t="shared" ref="AZ30:AZ35" si="224">IF(U30="1C",(3*AP30*2),(AP30*2))</f>
        <v>2</v>
      </c>
      <c r="BA30" s="356" t="str">
        <f t="shared" ref="BA30:BA39" si="225">CONCATENATE(IF(BE30=1,BE$4,""),IF(BF30=1,BF$4,""),IF(BG30=1,BG$4,""),IF(BH30=1,BH$4,""),IF(BI30=1,BI$4,""),IF(BJ30=1,BJ$4,""),IF(BK30=1,BK$4,""),IF(BL30=1,BL$4,""),IF(BM30=1,BM$4,""),IF(BN30=1,BN$4,""),IF(BO30=1,BO$4,""),IF(BP30=1,BP$4,""),IF(BQ30=1,BQ$4,""),IF(BR30=1,BR$4,""),IF(BS30=1,BS$4,""),IF(BT30=1,BT$4,""),IF(BU30=1,BU$4,""),IF(BV30=1,BV$4,""),IF(BW30=1,BW$4,""),IF(BX30=1,BX$4,""),IF(BY30=1,BY$4,""),IF(BZ30=1,BZ$4,""),IF(CA30=1,CA$4,""),IF(CB30=1,CB$4,""),IF(CC30=1,CC$4,""),IF(CD30=1,CD$4,""),IF(CE30=1,CE$4,""),IF(CF30=1,CF$4,""),IF(CG30=1,CG$4,""),IF(CH30=1,CH$4,""),IF(CI30=1,CI$4,""),IF(CJ30=1,CJ$4,""),IF(CK30=1,CK$4,""),IF(CL30=1,CL$4,""),IF(CM30=1,CM$4,""),IF(CN30=1,CN$4,""),IF(CO30=1,CO$4,""),IF(CP30=1,CP$4,""),IF(CQ30=1,CQ$4,""),IF(CR30=1,CR$4,""),IF(CS30=1,CS$4,""),IF(CT30=1,CT$4,""),IF(CU30=1,CU$4,""),IF(CV30=1,CV$4,""),IF(CW30=1,CW$4,""),IF(CX30=1,CX$4,""),IF(CY30=1,CY$4,""),IF(CZ30=1,CZ$4,""),IF(DA30=1,DA$4,""),IF(DB30=1,DB$4,""),IF(DC30=1,DC$4,""),IF(DD30=1,DD$4,""),IF(DE30=1,DE$4,""),IF(DF30=1,DF$4,""),IF(DG30=1,DG$4,""),IF(DH30=1,DH$4,""),IF(DI30=1,DI$4,""),IF(DJ30=1,DJ$4,""),IF(DK30=1,DK$4,""),IF(DL30=1,DL$4,""),IF(DM30=1,DM$4,""),IF(DN30=1,DN$4,""),IF(DO30=1,DO$4,""),IF(DP30=1,DP$4,""),IF(DQ30=1,DQ$4,""),IF(DR30=1,DR$4,""),IF(DS30=1,DS$4,""),IF(DT30=1,DT$4,""),IF(DU30=1,DU$4,""))</f>
        <v/>
      </c>
      <c r="BB30" s="336">
        <f>VLOOKUP(W30,'Catalogue Aluminium'!$B$9:$H$93,7,FALSE)</f>
        <v>21</v>
      </c>
      <c r="BC30" s="336">
        <f t="shared" ref="BC30:BC35" si="226">AP30*BB30</f>
        <v>21</v>
      </c>
      <c r="BE30" s="336"/>
      <c r="BF30" s="336"/>
      <c r="BG30" s="336"/>
      <c r="BH30" s="336"/>
      <c r="BI30" s="336"/>
      <c r="BJ30" s="336"/>
      <c r="BK30" s="336"/>
      <c r="BL30" s="336"/>
      <c r="BM30" s="336"/>
      <c r="BN30" s="336"/>
      <c r="BO30" s="336"/>
      <c r="BP30" s="336"/>
      <c r="BQ30" s="336"/>
      <c r="BR30" s="336"/>
      <c r="BS30" s="336"/>
      <c r="BT30" s="336"/>
      <c r="BU30" s="336"/>
      <c r="BV30" s="336"/>
      <c r="BW30" s="336"/>
      <c r="BX30" s="336"/>
      <c r="BY30" s="336"/>
      <c r="BZ30" s="336"/>
      <c r="CA30" s="336"/>
      <c r="CB30" s="336"/>
      <c r="CC30" s="336"/>
      <c r="CD30" s="336"/>
      <c r="CE30" s="336"/>
      <c r="CF30" s="336"/>
      <c r="CG30" s="336"/>
      <c r="CH30" s="336"/>
      <c r="CI30" s="336"/>
      <c r="CJ30" s="336"/>
      <c r="CK30" s="336"/>
      <c r="CL30" s="336"/>
      <c r="CM30" s="336"/>
      <c r="CN30" s="336"/>
      <c r="CO30" s="336"/>
      <c r="CP30" s="336"/>
      <c r="CQ30" s="336"/>
      <c r="CR30" s="336"/>
      <c r="CS30" s="336"/>
      <c r="CT30" s="336"/>
      <c r="CU30" s="336"/>
      <c r="CV30" s="336"/>
      <c r="CW30" s="336"/>
      <c r="CX30" s="336"/>
      <c r="CY30" s="336"/>
      <c r="CZ30" s="336"/>
      <c r="DA30" s="336"/>
      <c r="DB30" s="336"/>
      <c r="DC30" s="336"/>
      <c r="DD30" s="336"/>
      <c r="DE30" s="336"/>
      <c r="DF30" s="336"/>
      <c r="DG30" s="336"/>
      <c r="DH30" s="336"/>
      <c r="DI30" s="336"/>
      <c r="DJ30" s="336"/>
      <c r="DK30" s="336"/>
      <c r="DL30" s="336"/>
      <c r="DM30" s="336"/>
      <c r="DN30" s="336"/>
      <c r="DO30" s="336"/>
      <c r="DP30" s="336"/>
      <c r="DQ30" s="336"/>
      <c r="DR30" s="336"/>
      <c r="DS30" s="336"/>
      <c r="DT30" s="336"/>
      <c r="DU30" s="336"/>
      <c r="DW30" s="336">
        <f t="shared" si="93"/>
        <v>0</v>
      </c>
      <c r="DX30" s="336">
        <f t="shared" si="14"/>
        <v>0</v>
      </c>
      <c r="DY30" s="336">
        <f t="shared" si="15"/>
        <v>0</v>
      </c>
      <c r="DZ30" s="336">
        <f t="shared" si="16"/>
        <v>0</v>
      </c>
      <c r="EA30" s="336">
        <f t="shared" si="17"/>
        <v>0</v>
      </c>
      <c r="EB30" s="336">
        <f t="shared" si="18"/>
        <v>0</v>
      </c>
      <c r="EC30" s="336">
        <f t="shared" si="19"/>
        <v>0</v>
      </c>
      <c r="ED30" s="336">
        <f t="shared" si="20"/>
        <v>0</v>
      </c>
      <c r="EE30" s="336">
        <f t="shared" si="21"/>
        <v>0</v>
      </c>
      <c r="EF30" s="336">
        <f t="shared" si="22"/>
        <v>0</v>
      </c>
      <c r="EG30" s="336">
        <f t="shared" si="23"/>
        <v>0</v>
      </c>
      <c r="EH30" s="336">
        <f t="shared" si="24"/>
        <v>0</v>
      </c>
      <c r="EI30" s="336">
        <f t="shared" si="25"/>
        <v>0</v>
      </c>
      <c r="EJ30" s="336">
        <f t="shared" si="26"/>
        <v>0</v>
      </c>
      <c r="EK30" s="336">
        <f t="shared" si="27"/>
        <v>0</v>
      </c>
      <c r="EL30" s="336">
        <f t="shared" si="28"/>
        <v>0</v>
      </c>
      <c r="EM30" s="336">
        <f t="shared" si="29"/>
        <v>0</v>
      </c>
      <c r="EN30" s="336">
        <f t="shared" si="30"/>
        <v>0</v>
      </c>
      <c r="EO30" s="336">
        <f t="shared" si="31"/>
        <v>0</v>
      </c>
      <c r="EP30" s="336">
        <f t="shared" si="32"/>
        <v>0</v>
      </c>
      <c r="EQ30" s="336">
        <f t="shared" si="33"/>
        <v>0</v>
      </c>
      <c r="ER30" s="336">
        <f t="shared" si="34"/>
        <v>0</v>
      </c>
      <c r="ES30" s="336">
        <f t="shared" si="35"/>
        <v>0</v>
      </c>
      <c r="ET30" s="336">
        <f t="shared" si="35"/>
        <v>0</v>
      </c>
      <c r="EU30" s="336">
        <f t="shared" si="36"/>
        <v>0</v>
      </c>
      <c r="EV30" s="336">
        <f t="shared" si="37"/>
        <v>0</v>
      </c>
      <c r="EW30" s="336">
        <f t="shared" si="38"/>
        <v>0</v>
      </c>
      <c r="EX30" s="336">
        <f t="shared" si="39"/>
        <v>0</v>
      </c>
      <c r="EY30" s="336">
        <f t="shared" si="40"/>
        <v>0</v>
      </c>
      <c r="EZ30" s="336">
        <f t="shared" si="41"/>
        <v>0</v>
      </c>
      <c r="FA30" s="336">
        <f t="shared" si="42"/>
        <v>0</v>
      </c>
      <c r="FB30" s="336">
        <f t="shared" si="43"/>
        <v>0</v>
      </c>
      <c r="FC30" s="336">
        <f t="shared" si="44"/>
        <v>0</v>
      </c>
      <c r="FD30" s="336">
        <f t="shared" si="45"/>
        <v>0</v>
      </c>
      <c r="FE30" s="336">
        <f t="shared" si="46"/>
        <v>0</v>
      </c>
      <c r="FF30" s="336">
        <f t="shared" si="47"/>
        <v>0</v>
      </c>
      <c r="FG30" s="336">
        <f t="shared" si="48"/>
        <v>0</v>
      </c>
      <c r="FH30" s="336">
        <f t="shared" si="49"/>
        <v>0</v>
      </c>
      <c r="FI30" s="336">
        <f t="shared" si="50"/>
        <v>0</v>
      </c>
      <c r="FJ30" s="336">
        <f t="shared" si="51"/>
        <v>0</v>
      </c>
      <c r="FK30" s="336">
        <f t="shared" si="52"/>
        <v>0</v>
      </c>
      <c r="FL30" s="336">
        <f t="shared" si="53"/>
        <v>0</v>
      </c>
      <c r="FM30" s="336">
        <f t="shared" si="54"/>
        <v>0</v>
      </c>
      <c r="FN30" s="336">
        <f t="shared" si="55"/>
        <v>0</v>
      </c>
      <c r="FO30" s="336">
        <f t="shared" si="56"/>
        <v>0</v>
      </c>
      <c r="FP30" s="336">
        <f t="shared" si="57"/>
        <v>0</v>
      </c>
      <c r="FQ30" s="336">
        <f t="shared" si="58"/>
        <v>0</v>
      </c>
      <c r="FR30" s="336">
        <f t="shared" si="59"/>
        <v>0</v>
      </c>
      <c r="FS30" s="336">
        <f t="shared" si="60"/>
        <v>0</v>
      </c>
      <c r="FT30" s="336">
        <f t="shared" si="61"/>
        <v>0</v>
      </c>
      <c r="FU30" s="336">
        <f t="shared" si="62"/>
        <v>0</v>
      </c>
      <c r="FV30" s="336">
        <f t="shared" si="63"/>
        <v>0</v>
      </c>
      <c r="FW30" s="336">
        <f t="shared" si="64"/>
        <v>0</v>
      </c>
      <c r="FX30" s="336">
        <f t="shared" si="65"/>
        <v>0</v>
      </c>
      <c r="FY30" s="336">
        <f t="shared" si="66"/>
        <v>0</v>
      </c>
      <c r="FZ30" s="336">
        <f t="shared" si="67"/>
        <v>0</v>
      </c>
      <c r="GA30" s="336">
        <f t="shared" si="68"/>
        <v>0</v>
      </c>
      <c r="GB30" s="336">
        <f t="shared" si="69"/>
        <v>0</v>
      </c>
      <c r="GC30" s="336">
        <f t="shared" si="70"/>
        <v>0</v>
      </c>
      <c r="GD30" s="336">
        <f t="shared" si="71"/>
        <v>0</v>
      </c>
      <c r="GE30" s="336">
        <f t="shared" si="72"/>
        <v>0</v>
      </c>
      <c r="GF30" s="336">
        <f t="shared" si="73"/>
        <v>0</v>
      </c>
      <c r="GG30" s="336">
        <f t="shared" si="74"/>
        <v>0</v>
      </c>
      <c r="GH30" s="336">
        <f t="shared" si="75"/>
        <v>0</v>
      </c>
      <c r="GI30" s="336">
        <f t="shared" si="76"/>
        <v>0</v>
      </c>
      <c r="GJ30" s="336">
        <f t="shared" si="77"/>
        <v>0</v>
      </c>
      <c r="GK30" s="336">
        <f t="shared" si="78"/>
        <v>0</v>
      </c>
      <c r="GL30" s="336">
        <f t="shared" si="79"/>
        <v>0</v>
      </c>
      <c r="GM30" s="336">
        <f t="shared" si="80"/>
        <v>0</v>
      </c>
    </row>
    <row r="31" spans="1:195">
      <c r="A31" s="337">
        <f>A30+1</f>
        <v>20</v>
      </c>
      <c r="B31" s="567" t="s">
        <v>527</v>
      </c>
      <c r="C31" s="567" t="str">
        <f t="shared" ref="C31:C39" si="227">$D$28</f>
        <v>PDB-3</v>
      </c>
      <c r="D31" s="444" t="s">
        <v>1309</v>
      </c>
      <c r="E31" s="500" t="s">
        <v>1459</v>
      </c>
      <c r="F31" s="500"/>
      <c r="G31" s="337" t="s">
        <v>329</v>
      </c>
      <c r="H31" s="418">
        <v>3.5</v>
      </c>
      <c r="I31" s="337" t="s">
        <v>330</v>
      </c>
      <c r="J31" s="337" t="s">
        <v>357</v>
      </c>
      <c r="K31" s="349">
        <v>230</v>
      </c>
      <c r="L31" s="343">
        <v>0.85</v>
      </c>
      <c r="M31" s="350">
        <v>0.95</v>
      </c>
      <c r="N31" s="342">
        <f>IF(I31="kVA",IF(J31="3Ph",(H31*1000/(1.732*M31*K31)),(H31*1000/(M31*K31))),IF(I31="kW",IF(J31="3Ph",(H31*1000/(1.732*M31*K31*L31)),(H31*1000/(M31*K31*L31)))))</f>
        <v>18.845066630771303</v>
      </c>
      <c r="O31" s="342">
        <f t="shared" si="206"/>
        <v>0</v>
      </c>
      <c r="P31" s="343" t="str">
        <f t="shared" si="207"/>
        <v>0.00</v>
      </c>
      <c r="Q31" s="350">
        <v>65</v>
      </c>
      <c r="R31" s="350">
        <v>0</v>
      </c>
      <c r="S31" s="350">
        <f t="shared" si="208"/>
        <v>0</v>
      </c>
      <c r="T31" s="343" t="s">
        <v>131</v>
      </c>
      <c r="U31" s="350" t="s">
        <v>333</v>
      </c>
      <c r="V31" s="343">
        <v>25</v>
      </c>
      <c r="W31" s="343" t="str">
        <f t="shared" si="209"/>
        <v>3C X 25</v>
      </c>
      <c r="X31" s="343" t="str">
        <f t="shared" si="210"/>
        <v>3C X 25</v>
      </c>
      <c r="Y31" s="343" t="s">
        <v>358</v>
      </c>
      <c r="Z31" s="344">
        <f>IF(T31="AIR",VLOOKUP(W31,'Catalogue Aluminium'!$B$9:$G$93,2,FALSE),IF(T31="GROUND",VLOOKUP(W31,'Catalogue Aluminium'!$B$9:$G$93,3,FALSE),IF(T31="DUCT",VLOOKUP(W31,'Catalogue Aluminium'!$B$9:$G$93,4,FALSE),IF(T31="TRENCH",VLOOKUP(W31,'Catalogue Aluminium'!$B$9:$G$93,2,FALSE)))))</f>
        <v>95</v>
      </c>
      <c r="AA31" s="345">
        <f>VLOOKUP(W31,'Catalogue Aluminium'!$B$9:$G$93,5,FALSE)</f>
        <v>1.54</v>
      </c>
      <c r="AB31" s="345">
        <f>VLOOKUP(W31,'Catalogue Aluminium'!$B$9:$G$93,6,FALSE)</f>
        <v>8.1600000000000006E-2</v>
      </c>
      <c r="AC31" s="337">
        <f t="shared" si="211"/>
        <v>29</v>
      </c>
      <c r="AD31" s="346">
        <f t="shared" ref="AD31:AD39" si="228">20+12</f>
        <v>32</v>
      </c>
      <c r="AE31" s="346">
        <v>10</v>
      </c>
      <c r="AF31" s="346">
        <v>8</v>
      </c>
      <c r="AG31" s="346">
        <f t="shared" si="84"/>
        <v>8</v>
      </c>
      <c r="AH31" s="802">
        <f t="shared" si="212"/>
        <v>87</v>
      </c>
      <c r="AI31" s="344">
        <f>IF(T31="AIR",'Catalogue Aluminium'!$K$9,IF(T31="TRENCH",'Catalogue Aluminium'!$K$12,"NA"))</f>
        <v>0.89</v>
      </c>
      <c r="AJ31" s="342">
        <f>IF(T31="Air",(IF(U31="1C",'Catalogue Aluminium'!$L$9,'Catalogue Aluminium'!$M$9)),IF(T31="DUCT",(IF($U31="1C",'Catalogue Aluminium'!$L$10,'Catalogue Aluminium'!$M$10)),IF(T31="GROUND",(IF($U31="1C",'Catalogue Aluminium'!$L$11,'Catalogue Aluminium'!$M$11)),IF(T31="TRENCH",(IF($U31="1C",'Catalogue Aluminium'!$L$12,'Catalogue Aluminium'!$M$12))))))</f>
        <v>0.66</v>
      </c>
      <c r="AK31" s="344" t="str">
        <f>IF(T31="Air",'Catalogue Aluminium'!$N$9,IF(T31="GROUND",'Catalogue Aluminium'!$N$10,IF(T31="DUCT",'Catalogue Aluminium'!$N$11,IF(T31="TRENCH",'Catalogue Aluminium'!$N$12,"NA"))))</f>
        <v>NA</v>
      </c>
      <c r="AL31" s="344" t="str">
        <f>IF(T31="Air",(IF(U31="1C",'Catalogue Aluminium'!$O$9,'Catalogue Aluminium'!$P$9)),IF(T31="DUCT",(IF($U31="1C",'Catalogue Aluminium'!$O$10,'Catalogue Aluminium'!$P$10)),IF(T31="GROUND",(IF($U31="1C",'Catalogue Aluminium'!$O$11,'Catalogue Aluminium'!$P$11)),IF(T31="TRENCH",(IF($U31="1C",'Catalogue Aluminium'!$O$12,'Catalogue Aluminium'!$P$12))))))</f>
        <v>NA</v>
      </c>
      <c r="AM31" s="344" t="str">
        <f>IF(T31="AIR","NA",IF(T31="TRENCH","NA",IF(T31="DUCT",IF(U31="1C",VLOOKUP(V31,'Catalogue Aluminium'!$Q$9:$S$28,2,FALSE),VLOOKUP(V31,'Catalogue Aluminium'!$Q$9:$S$28,3)),IF(T31="GROUND",IF(U31="1C",VLOOKUP(V31,'Catalogue Aluminium'!$Q$9:$S$28,2,FALSE),VLOOKUP(V31,'Catalogue Aluminium'!$Q$9:$S$28,3))))))</f>
        <v>NA</v>
      </c>
      <c r="AN31" s="351">
        <f t="shared" si="213"/>
        <v>0.58740000000000003</v>
      </c>
      <c r="AO31" s="350">
        <f t="shared" si="214"/>
        <v>55.803000000000004</v>
      </c>
      <c r="AP31" s="349">
        <f t="shared" si="215"/>
        <v>1</v>
      </c>
      <c r="AQ31" s="350" t="str">
        <f t="shared" si="216"/>
        <v>YES</v>
      </c>
      <c r="AR31" s="351">
        <f t="shared" si="217"/>
        <v>1.6692513826208841</v>
      </c>
      <c r="AS31" s="343" t="str">
        <f t="shared" si="218"/>
        <v>YES</v>
      </c>
      <c r="AT31" s="351" t="str">
        <f t="shared" si="219"/>
        <v>NA</v>
      </c>
      <c r="AU31" s="343" t="str">
        <f t="shared" si="220"/>
        <v>NA</v>
      </c>
      <c r="AV31" s="354" t="str">
        <f t="shared" si="221"/>
        <v>1R x 0.6/1kV x 3C x 25 Sqmm</v>
      </c>
      <c r="AW31" s="354" t="str">
        <f t="shared" si="222"/>
        <v>1R x 0.6/1kV x 3C x 25 Sqmm</v>
      </c>
      <c r="AX31" s="343">
        <f t="shared" si="223"/>
        <v>87</v>
      </c>
      <c r="AY31" s="355"/>
      <c r="AZ31" s="355">
        <f t="shared" si="224"/>
        <v>2</v>
      </c>
      <c r="BA31" s="356" t="str">
        <f t="shared" si="225"/>
        <v/>
      </c>
      <c r="BB31" s="336">
        <f>VLOOKUP(W31,'Catalogue Aluminium'!$B$9:$H$93,7,FALSE)</f>
        <v>21</v>
      </c>
      <c r="BC31" s="336">
        <f t="shared" si="226"/>
        <v>21</v>
      </c>
      <c r="BE31" s="336"/>
      <c r="BF31" s="336"/>
      <c r="BG31" s="336"/>
      <c r="BH31" s="336"/>
      <c r="BI31" s="336"/>
      <c r="BJ31" s="336"/>
      <c r="BK31" s="336"/>
      <c r="BL31" s="336"/>
      <c r="BM31" s="336"/>
      <c r="BN31" s="336"/>
      <c r="BO31" s="336"/>
      <c r="BP31" s="336"/>
      <c r="BQ31" s="336"/>
      <c r="BR31" s="336"/>
      <c r="BS31" s="336"/>
      <c r="BT31" s="336"/>
      <c r="BU31" s="336"/>
      <c r="BV31" s="336"/>
      <c r="BW31" s="336"/>
      <c r="BX31" s="336"/>
      <c r="BY31" s="336"/>
      <c r="BZ31" s="336"/>
      <c r="CA31" s="336"/>
      <c r="CB31" s="336"/>
      <c r="CC31" s="336"/>
      <c r="CD31" s="336"/>
      <c r="CE31" s="336"/>
      <c r="CF31" s="336"/>
      <c r="CG31" s="336"/>
      <c r="CH31" s="336"/>
      <c r="CI31" s="336"/>
      <c r="CJ31" s="336"/>
      <c r="CK31" s="336"/>
      <c r="CL31" s="336"/>
      <c r="CM31" s="336"/>
      <c r="CN31" s="336"/>
      <c r="CO31" s="336"/>
      <c r="CP31" s="336"/>
      <c r="CQ31" s="336"/>
      <c r="CR31" s="336"/>
      <c r="CS31" s="336"/>
      <c r="CT31" s="336"/>
      <c r="CU31" s="336"/>
      <c r="CV31" s="336"/>
      <c r="CW31" s="336"/>
      <c r="CX31" s="336"/>
      <c r="CY31" s="336"/>
      <c r="CZ31" s="336"/>
      <c r="DA31" s="336"/>
      <c r="DB31" s="336"/>
      <c r="DC31" s="336"/>
      <c r="DD31" s="336"/>
      <c r="DE31" s="336"/>
      <c r="DF31" s="336"/>
      <c r="DG31" s="336"/>
      <c r="DH31" s="336"/>
      <c r="DI31" s="336"/>
      <c r="DJ31" s="336"/>
      <c r="DK31" s="336"/>
      <c r="DL31" s="336"/>
      <c r="DM31" s="336"/>
      <c r="DN31" s="336"/>
      <c r="DO31" s="336"/>
      <c r="DP31" s="336"/>
      <c r="DQ31" s="336"/>
      <c r="DR31" s="336"/>
      <c r="DS31" s="336"/>
      <c r="DT31" s="336"/>
      <c r="DU31" s="336"/>
      <c r="DW31" s="336">
        <f t="shared" si="93"/>
        <v>0</v>
      </c>
      <c r="DX31" s="336">
        <f t="shared" si="14"/>
        <v>0</v>
      </c>
      <c r="DY31" s="336">
        <f t="shared" si="15"/>
        <v>0</v>
      </c>
      <c r="DZ31" s="336">
        <f t="shared" si="16"/>
        <v>0</v>
      </c>
      <c r="EA31" s="336">
        <f t="shared" si="17"/>
        <v>0</v>
      </c>
      <c r="EB31" s="336">
        <f t="shared" si="18"/>
        <v>0</v>
      </c>
      <c r="EC31" s="336">
        <f t="shared" si="19"/>
        <v>0</v>
      </c>
      <c r="ED31" s="336">
        <f t="shared" si="20"/>
        <v>0</v>
      </c>
      <c r="EE31" s="336">
        <f t="shared" si="21"/>
        <v>0</v>
      </c>
      <c r="EF31" s="336">
        <f t="shared" si="22"/>
        <v>0</v>
      </c>
      <c r="EG31" s="336">
        <f t="shared" si="23"/>
        <v>0</v>
      </c>
      <c r="EH31" s="336">
        <f t="shared" si="24"/>
        <v>0</v>
      </c>
      <c r="EI31" s="336">
        <f t="shared" si="25"/>
        <v>0</v>
      </c>
      <c r="EJ31" s="336">
        <f t="shared" si="26"/>
        <v>0</v>
      </c>
      <c r="EK31" s="336">
        <f t="shared" si="27"/>
        <v>0</v>
      </c>
      <c r="EL31" s="336">
        <f t="shared" si="28"/>
        <v>0</v>
      </c>
      <c r="EM31" s="336">
        <f t="shared" si="29"/>
        <v>0</v>
      </c>
      <c r="EN31" s="336">
        <f t="shared" si="30"/>
        <v>0</v>
      </c>
      <c r="EO31" s="336">
        <f t="shared" si="31"/>
        <v>0</v>
      </c>
      <c r="EP31" s="336">
        <f t="shared" si="32"/>
        <v>0</v>
      </c>
      <c r="EQ31" s="336">
        <f t="shared" si="33"/>
        <v>0</v>
      </c>
      <c r="ER31" s="336">
        <f t="shared" si="34"/>
        <v>0</v>
      </c>
      <c r="ES31" s="336">
        <f t="shared" si="35"/>
        <v>0</v>
      </c>
      <c r="ET31" s="336">
        <f t="shared" si="35"/>
        <v>0</v>
      </c>
      <c r="EU31" s="336">
        <f t="shared" si="36"/>
        <v>0</v>
      </c>
      <c r="EV31" s="336">
        <f t="shared" si="37"/>
        <v>0</v>
      </c>
      <c r="EW31" s="336">
        <f t="shared" si="38"/>
        <v>0</v>
      </c>
      <c r="EX31" s="336">
        <f t="shared" si="39"/>
        <v>0</v>
      </c>
      <c r="EY31" s="336">
        <f t="shared" si="40"/>
        <v>0</v>
      </c>
      <c r="EZ31" s="336">
        <f t="shared" si="41"/>
        <v>0</v>
      </c>
      <c r="FA31" s="336">
        <f t="shared" si="42"/>
        <v>0</v>
      </c>
      <c r="FB31" s="336">
        <f t="shared" si="43"/>
        <v>0</v>
      </c>
      <c r="FC31" s="336">
        <f t="shared" si="44"/>
        <v>0</v>
      </c>
      <c r="FD31" s="336">
        <f t="shared" si="45"/>
        <v>0</v>
      </c>
      <c r="FE31" s="336">
        <f t="shared" si="46"/>
        <v>0</v>
      </c>
      <c r="FF31" s="336">
        <f t="shared" si="47"/>
        <v>0</v>
      </c>
      <c r="FG31" s="336">
        <f t="shared" si="48"/>
        <v>0</v>
      </c>
      <c r="FH31" s="336">
        <f t="shared" si="49"/>
        <v>0</v>
      </c>
      <c r="FI31" s="336">
        <f t="shared" si="50"/>
        <v>0</v>
      </c>
      <c r="FJ31" s="336">
        <f t="shared" si="51"/>
        <v>0</v>
      </c>
      <c r="FK31" s="336">
        <f t="shared" si="52"/>
        <v>0</v>
      </c>
      <c r="FL31" s="336">
        <f t="shared" si="53"/>
        <v>0</v>
      </c>
      <c r="FM31" s="336">
        <f t="shared" si="54"/>
        <v>0</v>
      </c>
      <c r="FN31" s="336">
        <f t="shared" si="55"/>
        <v>0</v>
      </c>
      <c r="FO31" s="336">
        <f t="shared" si="56"/>
        <v>0</v>
      </c>
      <c r="FP31" s="336">
        <f t="shared" si="57"/>
        <v>0</v>
      </c>
      <c r="FQ31" s="336">
        <f t="shared" si="58"/>
        <v>0</v>
      </c>
      <c r="FR31" s="336">
        <f t="shared" si="59"/>
        <v>0</v>
      </c>
      <c r="FS31" s="336">
        <f t="shared" si="60"/>
        <v>0</v>
      </c>
      <c r="FT31" s="336">
        <f t="shared" si="61"/>
        <v>0</v>
      </c>
      <c r="FU31" s="336">
        <f t="shared" si="62"/>
        <v>0</v>
      </c>
      <c r="FV31" s="336">
        <f t="shared" si="63"/>
        <v>0</v>
      </c>
      <c r="FW31" s="336">
        <f t="shared" si="64"/>
        <v>0</v>
      </c>
      <c r="FX31" s="336">
        <f t="shared" si="65"/>
        <v>0</v>
      </c>
      <c r="FY31" s="336">
        <f t="shared" si="66"/>
        <v>0</v>
      </c>
      <c r="FZ31" s="336">
        <f t="shared" si="67"/>
        <v>0</v>
      </c>
      <c r="GA31" s="336">
        <f t="shared" si="68"/>
        <v>0</v>
      </c>
      <c r="GB31" s="336">
        <f t="shared" si="69"/>
        <v>0</v>
      </c>
      <c r="GC31" s="336">
        <f t="shared" si="70"/>
        <v>0</v>
      </c>
      <c r="GD31" s="336">
        <f t="shared" si="71"/>
        <v>0</v>
      </c>
      <c r="GE31" s="336">
        <f t="shared" si="72"/>
        <v>0</v>
      </c>
      <c r="GF31" s="336">
        <f t="shared" si="73"/>
        <v>0</v>
      </c>
      <c r="GG31" s="336">
        <f t="shared" si="74"/>
        <v>0</v>
      </c>
      <c r="GH31" s="336">
        <f t="shared" si="75"/>
        <v>0</v>
      </c>
      <c r="GI31" s="336">
        <f t="shared" si="76"/>
        <v>0</v>
      </c>
      <c r="GJ31" s="336">
        <f t="shared" si="77"/>
        <v>0</v>
      </c>
      <c r="GK31" s="336">
        <f t="shared" si="78"/>
        <v>0</v>
      </c>
      <c r="GL31" s="336">
        <f t="shared" si="79"/>
        <v>0</v>
      </c>
      <c r="GM31" s="336">
        <f t="shared" si="80"/>
        <v>0</v>
      </c>
    </row>
    <row r="32" spans="1:195">
      <c r="A32" s="337">
        <f t="shared" ref="A32:A35" si="229">A31+1</f>
        <v>21</v>
      </c>
      <c r="B32" s="567" t="s">
        <v>527</v>
      </c>
      <c r="C32" s="567" t="str">
        <f t="shared" si="227"/>
        <v>PDB-3</v>
      </c>
      <c r="D32" s="444" t="s">
        <v>1310</v>
      </c>
      <c r="E32" s="500" t="s">
        <v>1459</v>
      </c>
      <c r="F32" s="500"/>
      <c r="G32" s="337" t="s">
        <v>329</v>
      </c>
      <c r="H32" s="418">
        <v>3.5</v>
      </c>
      <c r="I32" s="337" t="s">
        <v>330</v>
      </c>
      <c r="J32" s="337" t="s">
        <v>357</v>
      </c>
      <c r="K32" s="349">
        <v>230</v>
      </c>
      <c r="L32" s="343">
        <v>0.85</v>
      </c>
      <c r="M32" s="350">
        <v>0.95</v>
      </c>
      <c r="N32" s="342">
        <f t="shared" si="205"/>
        <v>18.845066630771303</v>
      </c>
      <c r="O32" s="342">
        <f t="shared" si="206"/>
        <v>0</v>
      </c>
      <c r="P32" s="343" t="str">
        <f t="shared" si="207"/>
        <v>0.00</v>
      </c>
      <c r="Q32" s="350">
        <v>65</v>
      </c>
      <c r="R32" s="350">
        <v>0</v>
      </c>
      <c r="S32" s="350">
        <f t="shared" si="208"/>
        <v>0</v>
      </c>
      <c r="T32" s="343" t="s">
        <v>131</v>
      </c>
      <c r="U32" s="350" t="s">
        <v>333</v>
      </c>
      <c r="V32" s="343">
        <v>25</v>
      </c>
      <c r="W32" s="343" t="str">
        <f t="shared" si="209"/>
        <v>3C X 25</v>
      </c>
      <c r="X32" s="343" t="str">
        <f t="shared" si="210"/>
        <v>3C X 25</v>
      </c>
      <c r="Y32" s="343" t="s">
        <v>358</v>
      </c>
      <c r="Z32" s="344">
        <f>IF(T32="AIR",VLOOKUP(W32,'Catalogue Aluminium'!$B$9:$G$93,2,FALSE),IF(T32="GROUND",VLOOKUP(W32,'Catalogue Aluminium'!$B$9:$G$93,3,FALSE),IF(T32="DUCT",VLOOKUP(W32,'Catalogue Aluminium'!$B$9:$G$93,4,FALSE),IF(T32="TRENCH",VLOOKUP(W32,'Catalogue Aluminium'!$B$9:$G$93,2,FALSE)))))</f>
        <v>95</v>
      </c>
      <c r="AA32" s="345">
        <f>VLOOKUP(W32,'Catalogue Aluminium'!$B$9:$G$93,5,FALSE)</f>
        <v>1.54</v>
      </c>
      <c r="AB32" s="345">
        <f>VLOOKUP(W32,'Catalogue Aluminium'!$B$9:$G$93,6,FALSE)</f>
        <v>8.1600000000000006E-2</v>
      </c>
      <c r="AC32" s="337">
        <f t="shared" si="211"/>
        <v>29</v>
      </c>
      <c r="AD32" s="346">
        <f t="shared" si="228"/>
        <v>32</v>
      </c>
      <c r="AE32" s="346">
        <v>10</v>
      </c>
      <c r="AF32" s="346">
        <v>8</v>
      </c>
      <c r="AG32" s="346">
        <f t="shared" si="84"/>
        <v>8</v>
      </c>
      <c r="AH32" s="802">
        <f t="shared" si="212"/>
        <v>87</v>
      </c>
      <c r="AI32" s="344">
        <f>IF(T32="AIR",'Catalogue Aluminium'!$K$9,IF(T32="TRENCH",'Catalogue Aluminium'!$K$12,"NA"))</f>
        <v>0.89</v>
      </c>
      <c r="AJ32" s="342">
        <f>IF(T32="Air",(IF(U32="1C",'Catalogue Aluminium'!$L$9,'Catalogue Aluminium'!$M$9)),IF(T32="DUCT",(IF($U32="1C",'Catalogue Aluminium'!$L$10,'Catalogue Aluminium'!$M$10)),IF(T32="GROUND",(IF($U32="1C",'Catalogue Aluminium'!$L$11,'Catalogue Aluminium'!$M$11)),IF(T32="TRENCH",(IF($U32="1C",'Catalogue Aluminium'!$L$12,'Catalogue Aluminium'!$M$12))))))</f>
        <v>0.66</v>
      </c>
      <c r="AK32" s="344" t="str">
        <f>IF(T32="Air",'Catalogue Aluminium'!$N$9,IF(T32="GROUND",'Catalogue Aluminium'!$N$10,IF(T32="DUCT",'Catalogue Aluminium'!$N$11,IF(T32="TRENCH",'Catalogue Aluminium'!$N$12,"NA"))))</f>
        <v>NA</v>
      </c>
      <c r="AL32" s="344" t="str">
        <f>IF(T32="Air",(IF(U32="1C",'Catalogue Aluminium'!$O$9,'Catalogue Aluminium'!$P$9)),IF(T32="DUCT",(IF($U32="1C",'Catalogue Aluminium'!$O$10,'Catalogue Aluminium'!$P$10)),IF(T32="GROUND",(IF($U32="1C",'Catalogue Aluminium'!$O$11,'Catalogue Aluminium'!$P$11)),IF(T32="TRENCH",(IF($U32="1C",'Catalogue Aluminium'!$O$12,'Catalogue Aluminium'!$P$12))))))</f>
        <v>NA</v>
      </c>
      <c r="AM32" s="344" t="str">
        <f>IF(T32="AIR","NA",IF(T32="TRENCH","NA",IF(T32="DUCT",IF(U32="1C",VLOOKUP(V32,'Catalogue Aluminium'!$Q$9:$S$28,2,FALSE),VLOOKUP(V32,'Catalogue Aluminium'!$Q$9:$S$28,3)),IF(T32="GROUND",IF(U32="1C",VLOOKUP(V32,'Catalogue Aluminium'!$Q$9:$S$28,2,FALSE),VLOOKUP(V32,'Catalogue Aluminium'!$Q$9:$S$28,3))))))</f>
        <v>NA</v>
      </c>
      <c r="AN32" s="351">
        <f t="shared" si="213"/>
        <v>0.58740000000000003</v>
      </c>
      <c r="AO32" s="350">
        <f t="shared" si="214"/>
        <v>55.803000000000004</v>
      </c>
      <c r="AP32" s="349">
        <f t="shared" si="215"/>
        <v>1</v>
      </c>
      <c r="AQ32" s="350" t="str">
        <f t="shared" si="216"/>
        <v>YES</v>
      </c>
      <c r="AR32" s="351">
        <f t="shared" si="217"/>
        <v>1.6692513826208841</v>
      </c>
      <c r="AS32" s="343" t="str">
        <f t="shared" si="218"/>
        <v>YES</v>
      </c>
      <c r="AT32" s="351" t="str">
        <f t="shared" si="219"/>
        <v>NA</v>
      </c>
      <c r="AU32" s="343" t="str">
        <f t="shared" si="220"/>
        <v>NA</v>
      </c>
      <c r="AV32" s="354" t="str">
        <f t="shared" si="221"/>
        <v>1R x 0.6/1kV x 3C x 25 Sqmm</v>
      </c>
      <c r="AW32" s="354" t="str">
        <f t="shared" si="222"/>
        <v>1R x 0.6/1kV x 3C x 25 Sqmm</v>
      </c>
      <c r="AX32" s="343">
        <f t="shared" si="223"/>
        <v>87</v>
      </c>
      <c r="AY32" s="355"/>
      <c r="AZ32" s="355">
        <f t="shared" si="224"/>
        <v>2</v>
      </c>
      <c r="BA32" s="356" t="str">
        <f t="shared" si="225"/>
        <v/>
      </c>
      <c r="BB32" s="336">
        <f>VLOOKUP(W32,'Catalogue Aluminium'!$B$9:$H$93,7,FALSE)</f>
        <v>21</v>
      </c>
      <c r="BC32" s="336">
        <f t="shared" si="226"/>
        <v>21</v>
      </c>
      <c r="BE32" s="336"/>
      <c r="BF32" s="336"/>
      <c r="BG32" s="336"/>
      <c r="BH32" s="336"/>
      <c r="BI32" s="336"/>
      <c r="BJ32" s="336"/>
      <c r="BK32" s="336"/>
      <c r="BL32" s="336"/>
      <c r="BM32" s="336"/>
      <c r="BN32" s="336"/>
      <c r="BO32" s="336"/>
      <c r="BP32" s="336"/>
      <c r="BQ32" s="336"/>
      <c r="BR32" s="336"/>
      <c r="BS32" s="336"/>
      <c r="BT32" s="336"/>
      <c r="BU32" s="336"/>
      <c r="BV32" s="336"/>
      <c r="BW32" s="336"/>
      <c r="BX32" s="336"/>
      <c r="BY32" s="336"/>
      <c r="BZ32" s="336"/>
      <c r="CA32" s="336"/>
      <c r="CB32" s="336"/>
      <c r="CC32" s="336"/>
      <c r="CD32" s="336"/>
      <c r="CE32" s="336"/>
      <c r="CF32" s="336"/>
      <c r="CG32" s="336"/>
      <c r="CH32" s="336"/>
      <c r="CI32" s="336"/>
      <c r="CJ32" s="336"/>
      <c r="CK32" s="336"/>
      <c r="CL32" s="336"/>
      <c r="CM32" s="336"/>
      <c r="CN32" s="336"/>
      <c r="CO32" s="336"/>
      <c r="CP32" s="336"/>
      <c r="CQ32" s="336"/>
      <c r="CR32" s="336"/>
      <c r="CS32" s="336"/>
      <c r="CT32" s="336"/>
      <c r="CU32" s="336"/>
      <c r="CV32" s="336"/>
      <c r="CW32" s="336"/>
      <c r="CX32" s="336"/>
      <c r="CY32" s="336"/>
      <c r="CZ32" s="336"/>
      <c r="DA32" s="336"/>
      <c r="DB32" s="336"/>
      <c r="DC32" s="336"/>
      <c r="DD32" s="336"/>
      <c r="DE32" s="336"/>
      <c r="DF32" s="336"/>
      <c r="DG32" s="336"/>
      <c r="DH32" s="336"/>
      <c r="DI32" s="336"/>
      <c r="DJ32" s="336"/>
      <c r="DK32" s="336"/>
      <c r="DL32" s="336"/>
      <c r="DM32" s="336"/>
      <c r="DN32" s="336"/>
      <c r="DO32" s="336"/>
      <c r="DP32" s="336"/>
      <c r="DQ32" s="336"/>
      <c r="DR32" s="336"/>
      <c r="DS32" s="336"/>
      <c r="DT32" s="336"/>
      <c r="DU32" s="336"/>
      <c r="DW32" s="336">
        <f t="shared" si="93"/>
        <v>0</v>
      </c>
      <c r="DX32" s="336">
        <f t="shared" si="14"/>
        <v>0</v>
      </c>
      <c r="DY32" s="336">
        <f t="shared" si="15"/>
        <v>0</v>
      </c>
      <c r="DZ32" s="336">
        <f t="shared" si="16"/>
        <v>0</v>
      </c>
      <c r="EA32" s="336">
        <f t="shared" si="17"/>
        <v>0</v>
      </c>
      <c r="EB32" s="336">
        <f t="shared" si="18"/>
        <v>0</v>
      </c>
      <c r="EC32" s="336">
        <f t="shared" si="19"/>
        <v>0</v>
      </c>
      <c r="ED32" s="336">
        <f t="shared" si="20"/>
        <v>0</v>
      </c>
      <c r="EE32" s="336">
        <f t="shared" si="21"/>
        <v>0</v>
      </c>
      <c r="EF32" s="336">
        <f t="shared" si="22"/>
        <v>0</v>
      </c>
      <c r="EG32" s="336">
        <f t="shared" si="23"/>
        <v>0</v>
      </c>
      <c r="EH32" s="336">
        <f t="shared" si="24"/>
        <v>0</v>
      </c>
      <c r="EI32" s="336">
        <f t="shared" si="25"/>
        <v>0</v>
      </c>
      <c r="EJ32" s="336">
        <f t="shared" si="26"/>
        <v>0</v>
      </c>
      <c r="EK32" s="336">
        <f t="shared" si="27"/>
        <v>0</v>
      </c>
      <c r="EL32" s="336">
        <f t="shared" si="28"/>
        <v>0</v>
      </c>
      <c r="EM32" s="336">
        <f t="shared" si="29"/>
        <v>0</v>
      </c>
      <c r="EN32" s="336">
        <f t="shared" si="30"/>
        <v>0</v>
      </c>
      <c r="EO32" s="336">
        <f t="shared" si="31"/>
        <v>0</v>
      </c>
      <c r="EP32" s="336">
        <f t="shared" si="32"/>
        <v>0</v>
      </c>
      <c r="EQ32" s="336">
        <f t="shared" si="33"/>
        <v>0</v>
      </c>
      <c r="ER32" s="336">
        <f t="shared" si="34"/>
        <v>0</v>
      </c>
      <c r="ES32" s="336">
        <f t="shared" si="35"/>
        <v>0</v>
      </c>
      <c r="ET32" s="336">
        <f t="shared" si="35"/>
        <v>0</v>
      </c>
      <c r="EU32" s="336">
        <f t="shared" si="36"/>
        <v>0</v>
      </c>
      <c r="EV32" s="336">
        <f t="shared" si="37"/>
        <v>0</v>
      </c>
      <c r="EW32" s="336">
        <f t="shared" si="38"/>
        <v>0</v>
      </c>
      <c r="EX32" s="336">
        <f t="shared" si="39"/>
        <v>0</v>
      </c>
      <c r="EY32" s="336">
        <f t="shared" si="40"/>
        <v>0</v>
      </c>
      <c r="EZ32" s="336">
        <f t="shared" si="41"/>
        <v>0</v>
      </c>
      <c r="FA32" s="336">
        <f t="shared" si="42"/>
        <v>0</v>
      </c>
      <c r="FB32" s="336">
        <f t="shared" si="43"/>
        <v>0</v>
      </c>
      <c r="FC32" s="336">
        <f t="shared" si="44"/>
        <v>0</v>
      </c>
      <c r="FD32" s="336">
        <f t="shared" si="45"/>
        <v>0</v>
      </c>
      <c r="FE32" s="336">
        <f t="shared" si="46"/>
        <v>0</v>
      </c>
      <c r="FF32" s="336">
        <f t="shared" si="47"/>
        <v>0</v>
      </c>
      <c r="FG32" s="336">
        <f t="shared" si="48"/>
        <v>0</v>
      </c>
      <c r="FH32" s="336">
        <f t="shared" si="49"/>
        <v>0</v>
      </c>
      <c r="FI32" s="336">
        <f t="shared" si="50"/>
        <v>0</v>
      </c>
      <c r="FJ32" s="336">
        <f t="shared" si="51"/>
        <v>0</v>
      </c>
      <c r="FK32" s="336">
        <f t="shared" si="52"/>
        <v>0</v>
      </c>
      <c r="FL32" s="336">
        <f t="shared" si="53"/>
        <v>0</v>
      </c>
      <c r="FM32" s="336">
        <f t="shared" si="54"/>
        <v>0</v>
      </c>
      <c r="FN32" s="336">
        <f t="shared" si="55"/>
        <v>0</v>
      </c>
      <c r="FO32" s="336">
        <f t="shared" si="56"/>
        <v>0</v>
      </c>
      <c r="FP32" s="336">
        <f t="shared" si="57"/>
        <v>0</v>
      </c>
      <c r="FQ32" s="336">
        <f t="shared" si="58"/>
        <v>0</v>
      </c>
      <c r="FR32" s="336">
        <f t="shared" si="59"/>
        <v>0</v>
      </c>
      <c r="FS32" s="336">
        <f t="shared" si="60"/>
        <v>0</v>
      </c>
      <c r="FT32" s="336">
        <f t="shared" si="61"/>
        <v>0</v>
      </c>
      <c r="FU32" s="336">
        <f t="shared" si="62"/>
        <v>0</v>
      </c>
      <c r="FV32" s="336">
        <f t="shared" si="63"/>
        <v>0</v>
      </c>
      <c r="FW32" s="336">
        <f t="shared" si="64"/>
        <v>0</v>
      </c>
      <c r="FX32" s="336">
        <f t="shared" si="65"/>
        <v>0</v>
      </c>
      <c r="FY32" s="336">
        <f t="shared" si="66"/>
        <v>0</v>
      </c>
      <c r="FZ32" s="336">
        <f t="shared" si="67"/>
        <v>0</v>
      </c>
      <c r="GA32" s="336">
        <f t="shared" si="68"/>
        <v>0</v>
      </c>
      <c r="GB32" s="336">
        <f t="shared" si="69"/>
        <v>0</v>
      </c>
      <c r="GC32" s="336">
        <f t="shared" si="70"/>
        <v>0</v>
      </c>
      <c r="GD32" s="336">
        <f t="shared" si="71"/>
        <v>0</v>
      </c>
      <c r="GE32" s="336">
        <f t="shared" si="72"/>
        <v>0</v>
      </c>
      <c r="GF32" s="336">
        <f t="shared" si="73"/>
        <v>0</v>
      </c>
      <c r="GG32" s="336">
        <f t="shared" si="74"/>
        <v>0</v>
      </c>
      <c r="GH32" s="336">
        <f t="shared" si="75"/>
        <v>0</v>
      </c>
      <c r="GI32" s="336">
        <f t="shared" si="76"/>
        <v>0</v>
      </c>
      <c r="GJ32" s="336">
        <f t="shared" si="77"/>
        <v>0</v>
      </c>
      <c r="GK32" s="336">
        <f t="shared" si="78"/>
        <v>0</v>
      </c>
      <c r="GL32" s="336">
        <f t="shared" si="79"/>
        <v>0</v>
      </c>
      <c r="GM32" s="336">
        <f t="shared" si="80"/>
        <v>0</v>
      </c>
    </row>
    <row r="33" spans="1:195">
      <c r="A33" s="337">
        <f t="shared" si="229"/>
        <v>22</v>
      </c>
      <c r="B33" s="567" t="s">
        <v>527</v>
      </c>
      <c r="C33" s="567" t="str">
        <f t="shared" si="227"/>
        <v>PDB-3</v>
      </c>
      <c r="D33" s="444" t="s">
        <v>1460</v>
      </c>
      <c r="E33" s="500" t="s">
        <v>1459</v>
      </c>
      <c r="F33" s="500"/>
      <c r="G33" s="337" t="s">
        <v>329</v>
      </c>
      <c r="H33" s="418">
        <v>3.5</v>
      </c>
      <c r="I33" s="337" t="s">
        <v>330</v>
      </c>
      <c r="J33" s="337" t="s">
        <v>357</v>
      </c>
      <c r="K33" s="349">
        <v>230</v>
      </c>
      <c r="L33" s="343">
        <v>0.85</v>
      </c>
      <c r="M33" s="350">
        <v>0.95400000000000007</v>
      </c>
      <c r="N33" s="342">
        <f t="shared" si="205"/>
        <v>18.766051676344588</v>
      </c>
      <c r="O33" s="342">
        <f t="shared" si="206"/>
        <v>0</v>
      </c>
      <c r="P33" s="343" t="str">
        <f t="shared" si="207"/>
        <v>0.00</v>
      </c>
      <c r="Q33" s="350">
        <v>65</v>
      </c>
      <c r="R33" s="350">
        <v>0</v>
      </c>
      <c r="S33" s="350">
        <f t="shared" si="208"/>
        <v>0</v>
      </c>
      <c r="T33" s="343" t="s">
        <v>131</v>
      </c>
      <c r="U33" s="350" t="s">
        <v>333</v>
      </c>
      <c r="V33" s="343">
        <v>25</v>
      </c>
      <c r="W33" s="343" t="str">
        <f t="shared" si="209"/>
        <v>3C X 25</v>
      </c>
      <c r="X33" s="343" t="str">
        <f t="shared" si="210"/>
        <v>3C X 25</v>
      </c>
      <c r="Y33" s="343" t="s">
        <v>358</v>
      </c>
      <c r="Z33" s="344">
        <f>IF(T33="AIR",VLOOKUP(W33,'Catalogue Aluminium'!$B$9:$G$93,2,FALSE),IF(T33="GROUND",VLOOKUP(W33,'Catalogue Aluminium'!$B$9:$G$93,3,FALSE),IF(T33="DUCT",VLOOKUP(W33,'Catalogue Aluminium'!$B$9:$G$93,4,FALSE),IF(T33="TRENCH",VLOOKUP(W33,'Catalogue Aluminium'!$B$9:$G$93,2,FALSE)))))</f>
        <v>95</v>
      </c>
      <c r="AA33" s="345">
        <f>VLOOKUP(W33,'Catalogue Aluminium'!$B$9:$G$93,5,FALSE)</f>
        <v>1.54</v>
      </c>
      <c r="AB33" s="345">
        <f>VLOOKUP(W33,'Catalogue Aluminium'!$B$9:$G$93,6,FALSE)</f>
        <v>8.1600000000000006E-2</v>
      </c>
      <c r="AC33" s="337">
        <f t="shared" si="211"/>
        <v>29</v>
      </c>
      <c r="AD33" s="346">
        <f t="shared" si="228"/>
        <v>32</v>
      </c>
      <c r="AE33" s="346">
        <v>10</v>
      </c>
      <c r="AF33" s="346">
        <v>8</v>
      </c>
      <c r="AG33" s="346">
        <f t="shared" si="84"/>
        <v>8</v>
      </c>
      <c r="AH33" s="802">
        <f t="shared" si="212"/>
        <v>87</v>
      </c>
      <c r="AI33" s="344">
        <f>IF(T33="AIR",'Catalogue Aluminium'!$K$9,IF(T33="TRENCH",'Catalogue Aluminium'!$K$12,"NA"))</f>
        <v>0.89</v>
      </c>
      <c r="AJ33" s="342">
        <f>IF(T33="Air",(IF(U33="1C",'Catalogue Aluminium'!$L$9,'Catalogue Aluminium'!$M$9)),IF(T33="DUCT",(IF($U33="1C",'Catalogue Aluminium'!$L$10,'Catalogue Aluminium'!$M$10)),IF(T33="GROUND",(IF($U33="1C",'Catalogue Aluminium'!$L$11,'Catalogue Aluminium'!$M$11)),IF(T33="TRENCH",(IF($U33="1C",'Catalogue Aluminium'!$L$12,'Catalogue Aluminium'!$M$12))))))</f>
        <v>0.66</v>
      </c>
      <c r="AK33" s="344" t="str">
        <f>IF(T33="Air",'Catalogue Aluminium'!$N$9,IF(T33="GROUND",'Catalogue Aluminium'!$N$10,IF(T33="DUCT",'Catalogue Aluminium'!$N$11,IF(T33="TRENCH",'Catalogue Aluminium'!$N$12,"NA"))))</f>
        <v>NA</v>
      </c>
      <c r="AL33" s="344" t="str">
        <f>IF(T33="Air",(IF(U33="1C",'Catalogue Aluminium'!$O$9,'Catalogue Aluminium'!$P$9)),IF(T33="DUCT",(IF($U33="1C",'Catalogue Aluminium'!$O$10,'Catalogue Aluminium'!$P$10)),IF(T33="GROUND",(IF($U33="1C",'Catalogue Aluminium'!$O$11,'Catalogue Aluminium'!$P$11)),IF(T33="TRENCH",(IF($U33="1C",'Catalogue Aluminium'!$O$12,'Catalogue Aluminium'!$P$12))))))</f>
        <v>NA</v>
      </c>
      <c r="AM33" s="344" t="str">
        <f>IF(T33="AIR","NA",IF(T33="TRENCH","NA",IF(T33="DUCT",IF(U33="1C",VLOOKUP(V33,'Catalogue Aluminium'!$Q$9:$S$28,2,FALSE),VLOOKUP(V33,'Catalogue Aluminium'!$Q$9:$S$28,3)),IF(T33="GROUND",IF(U33="1C",VLOOKUP(V33,'Catalogue Aluminium'!$Q$9:$S$28,2,FALSE),VLOOKUP(V33,'Catalogue Aluminium'!$Q$9:$S$28,3))))))</f>
        <v>NA</v>
      </c>
      <c r="AN33" s="351">
        <f t="shared" si="213"/>
        <v>0.58740000000000003</v>
      </c>
      <c r="AO33" s="350">
        <f t="shared" si="214"/>
        <v>55.803000000000004</v>
      </c>
      <c r="AP33" s="349">
        <f t="shared" si="215"/>
        <v>1</v>
      </c>
      <c r="AQ33" s="350" t="str">
        <f t="shared" si="216"/>
        <v>YES</v>
      </c>
      <c r="AR33" s="351">
        <f t="shared" si="217"/>
        <v>1.662252425041761</v>
      </c>
      <c r="AS33" s="343" t="str">
        <f t="shared" si="218"/>
        <v>YES</v>
      </c>
      <c r="AT33" s="351" t="str">
        <f t="shared" si="219"/>
        <v>NA</v>
      </c>
      <c r="AU33" s="343" t="str">
        <f t="shared" si="220"/>
        <v>NA</v>
      </c>
      <c r="AV33" s="354" t="str">
        <f t="shared" si="221"/>
        <v>1R x 0.6/1kV x 3C x 25 Sqmm</v>
      </c>
      <c r="AW33" s="354" t="str">
        <f t="shared" si="222"/>
        <v>1R x 0.6/1kV x 3C x 25 Sqmm</v>
      </c>
      <c r="AX33" s="343">
        <f t="shared" si="223"/>
        <v>87</v>
      </c>
      <c r="AY33" s="355"/>
      <c r="AZ33" s="355">
        <f t="shared" si="224"/>
        <v>2</v>
      </c>
      <c r="BA33" s="356" t="str">
        <f t="shared" si="225"/>
        <v/>
      </c>
      <c r="BB33" s="336">
        <f>VLOOKUP(W33,'Catalogue Aluminium'!$B$9:$H$93,7,FALSE)</f>
        <v>21</v>
      </c>
      <c r="BC33" s="336">
        <f t="shared" si="226"/>
        <v>21</v>
      </c>
      <c r="BE33" s="336"/>
      <c r="BF33" s="336"/>
      <c r="BG33" s="336"/>
      <c r="BH33" s="336"/>
      <c r="BI33" s="336"/>
      <c r="BJ33" s="336"/>
      <c r="BK33" s="336"/>
      <c r="BL33" s="336"/>
      <c r="BM33" s="336"/>
      <c r="BN33" s="336"/>
      <c r="BO33" s="336"/>
      <c r="BP33" s="336"/>
      <c r="BQ33" s="336"/>
      <c r="BR33" s="336"/>
      <c r="BS33" s="336"/>
      <c r="BT33" s="336"/>
      <c r="BU33" s="336"/>
      <c r="BV33" s="336"/>
      <c r="BW33" s="336"/>
      <c r="BX33" s="336"/>
      <c r="BY33" s="336"/>
      <c r="BZ33" s="336"/>
      <c r="CA33" s="336"/>
      <c r="CB33" s="336"/>
      <c r="CC33" s="336"/>
      <c r="CD33" s="336"/>
      <c r="CE33" s="336"/>
      <c r="CF33" s="336"/>
      <c r="CG33" s="336"/>
      <c r="CH33" s="336"/>
      <c r="CI33" s="336"/>
      <c r="CJ33" s="336"/>
      <c r="CK33" s="336"/>
      <c r="CL33" s="336"/>
      <c r="CM33" s="336"/>
      <c r="CN33" s="336"/>
      <c r="CO33" s="336"/>
      <c r="CP33" s="336"/>
      <c r="CQ33" s="336"/>
      <c r="CR33" s="336"/>
      <c r="CS33" s="336"/>
      <c r="CT33" s="336"/>
      <c r="CU33" s="336"/>
      <c r="CV33" s="336"/>
      <c r="CW33" s="336"/>
      <c r="CX33" s="336"/>
      <c r="CY33" s="336"/>
      <c r="CZ33" s="336"/>
      <c r="DA33" s="336"/>
      <c r="DB33" s="336"/>
      <c r="DC33" s="336"/>
      <c r="DD33" s="336"/>
      <c r="DE33" s="336"/>
      <c r="DF33" s="336"/>
      <c r="DG33" s="336"/>
      <c r="DH33" s="336"/>
      <c r="DI33" s="336"/>
      <c r="DJ33" s="336"/>
      <c r="DK33" s="336"/>
      <c r="DL33" s="336"/>
      <c r="DM33" s="336"/>
      <c r="DN33" s="336"/>
      <c r="DO33" s="336"/>
      <c r="DP33" s="336"/>
      <c r="DQ33" s="336"/>
      <c r="DR33" s="336"/>
      <c r="DS33" s="336"/>
      <c r="DT33" s="336"/>
      <c r="DU33" s="336"/>
      <c r="DW33" s="336">
        <f t="shared" si="93"/>
        <v>0</v>
      </c>
      <c r="DX33" s="336">
        <f t="shared" si="14"/>
        <v>0</v>
      </c>
      <c r="DY33" s="336">
        <f t="shared" si="15"/>
        <v>0</v>
      </c>
      <c r="DZ33" s="336">
        <f t="shared" si="16"/>
        <v>0</v>
      </c>
      <c r="EA33" s="336">
        <f t="shared" si="17"/>
        <v>0</v>
      </c>
      <c r="EB33" s="336">
        <f t="shared" si="18"/>
        <v>0</v>
      </c>
      <c r="EC33" s="336">
        <f t="shared" si="19"/>
        <v>0</v>
      </c>
      <c r="ED33" s="336">
        <f t="shared" si="20"/>
        <v>0</v>
      </c>
      <c r="EE33" s="336">
        <f t="shared" si="21"/>
        <v>0</v>
      </c>
      <c r="EF33" s="336">
        <f t="shared" si="22"/>
        <v>0</v>
      </c>
      <c r="EG33" s="336">
        <f t="shared" si="23"/>
        <v>0</v>
      </c>
      <c r="EH33" s="336">
        <f t="shared" si="24"/>
        <v>0</v>
      </c>
      <c r="EI33" s="336">
        <f t="shared" si="25"/>
        <v>0</v>
      </c>
      <c r="EJ33" s="336">
        <f t="shared" si="26"/>
        <v>0</v>
      </c>
      <c r="EK33" s="336">
        <f t="shared" si="27"/>
        <v>0</v>
      </c>
      <c r="EL33" s="336">
        <f t="shared" si="28"/>
        <v>0</v>
      </c>
      <c r="EM33" s="336">
        <f t="shared" si="29"/>
        <v>0</v>
      </c>
      <c r="EN33" s="336">
        <f t="shared" si="30"/>
        <v>0</v>
      </c>
      <c r="EO33" s="336">
        <f t="shared" si="31"/>
        <v>0</v>
      </c>
      <c r="EP33" s="336">
        <f t="shared" si="32"/>
        <v>0</v>
      </c>
      <c r="EQ33" s="336">
        <f t="shared" si="33"/>
        <v>0</v>
      </c>
      <c r="ER33" s="336">
        <f t="shared" si="34"/>
        <v>0</v>
      </c>
      <c r="ES33" s="336">
        <f t="shared" si="35"/>
        <v>0</v>
      </c>
      <c r="ET33" s="336">
        <f t="shared" si="35"/>
        <v>0</v>
      </c>
      <c r="EU33" s="336">
        <f t="shared" si="36"/>
        <v>0</v>
      </c>
      <c r="EV33" s="336">
        <f t="shared" si="37"/>
        <v>0</v>
      </c>
      <c r="EW33" s="336">
        <f t="shared" si="38"/>
        <v>0</v>
      </c>
      <c r="EX33" s="336">
        <f t="shared" si="39"/>
        <v>0</v>
      </c>
      <c r="EY33" s="336">
        <f t="shared" si="40"/>
        <v>0</v>
      </c>
      <c r="EZ33" s="336">
        <f t="shared" si="41"/>
        <v>0</v>
      </c>
      <c r="FA33" s="336">
        <f t="shared" si="42"/>
        <v>0</v>
      </c>
      <c r="FB33" s="336">
        <f t="shared" si="43"/>
        <v>0</v>
      </c>
      <c r="FC33" s="336">
        <f t="shared" si="44"/>
        <v>0</v>
      </c>
      <c r="FD33" s="336">
        <f t="shared" si="45"/>
        <v>0</v>
      </c>
      <c r="FE33" s="336">
        <f t="shared" si="46"/>
        <v>0</v>
      </c>
      <c r="FF33" s="336">
        <f t="shared" si="47"/>
        <v>0</v>
      </c>
      <c r="FG33" s="336">
        <f t="shared" si="48"/>
        <v>0</v>
      </c>
      <c r="FH33" s="336">
        <f t="shared" si="49"/>
        <v>0</v>
      </c>
      <c r="FI33" s="336">
        <f t="shared" si="50"/>
        <v>0</v>
      </c>
      <c r="FJ33" s="336">
        <f t="shared" si="51"/>
        <v>0</v>
      </c>
      <c r="FK33" s="336">
        <f t="shared" si="52"/>
        <v>0</v>
      </c>
      <c r="FL33" s="336">
        <f t="shared" si="53"/>
        <v>0</v>
      </c>
      <c r="FM33" s="336">
        <f t="shared" si="54"/>
        <v>0</v>
      </c>
      <c r="FN33" s="336">
        <f t="shared" si="55"/>
        <v>0</v>
      </c>
      <c r="FO33" s="336">
        <f t="shared" si="56"/>
        <v>0</v>
      </c>
      <c r="FP33" s="336">
        <f t="shared" si="57"/>
        <v>0</v>
      </c>
      <c r="FQ33" s="336">
        <f t="shared" si="58"/>
        <v>0</v>
      </c>
      <c r="FR33" s="336">
        <f t="shared" si="59"/>
        <v>0</v>
      </c>
      <c r="FS33" s="336">
        <f t="shared" si="60"/>
        <v>0</v>
      </c>
      <c r="FT33" s="336">
        <f t="shared" si="61"/>
        <v>0</v>
      </c>
      <c r="FU33" s="336">
        <f t="shared" si="62"/>
        <v>0</v>
      </c>
      <c r="FV33" s="336">
        <f t="shared" si="63"/>
        <v>0</v>
      </c>
      <c r="FW33" s="336">
        <f t="shared" si="64"/>
        <v>0</v>
      </c>
      <c r="FX33" s="336">
        <f t="shared" si="65"/>
        <v>0</v>
      </c>
      <c r="FY33" s="336">
        <f t="shared" si="66"/>
        <v>0</v>
      </c>
      <c r="FZ33" s="336">
        <f t="shared" si="67"/>
        <v>0</v>
      </c>
      <c r="GA33" s="336">
        <f t="shared" si="68"/>
        <v>0</v>
      </c>
      <c r="GB33" s="336">
        <f t="shared" si="69"/>
        <v>0</v>
      </c>
      <c r="GC33" s="336">
        <f t="shared" si="70"/>
        <v>0</v>
      </c>
      <c r="GD33" s="336">
        <f t="shared" si="71"/>
        <v>0</v>
      </c>
      <c r="GE33" s="336">
        <f t="shared" si="72"/>
        <v>0</v>
      </c>
      <c r="GF33" s="336">
        <f t="shared" si="73"/>
        <v>0</v>
      </c>
      <c r="GG33" s="336">
        <f t="shared" si="74"/>
        <v>0</v>
      </c>
      <c r="GH33" s="336">
        <f t="shared" si="75"/>
        <v>0</v>
      </c>
      <c r="GI33" s="336">
        <f t="shared" si="76"/>
        <v>0</v>
      </c>
      <c r="GJ33" s="336">
        <f t="shared" si="77"/>
        <v>0</v>
      </c>
      <c r="GK33" s="336">
        <f t="shared" si="78"/>
        <v>0</v>
      </c>
      <c r="GL33" s="336">
        <f t="shared" si="79"/>
        <v>0</v>
      </c>
      <c r="GM33" s="336">
        <f t="shared" si="80"/>
        <v>0</v>
      </c>
    </row>
    <row r="34" spans="1:195">
      <c r="A34" s="337">
        <f t="shared" si="229"/>
        <v>23</v>
      </c>
      <c r="B34" s="567" t="s">
        <v>527</v>
      </c>
      <c r="C34" s="567" t="str">
        <f t="shared" si="227"/>
        <v>PDB-3</v>
      </c>
      <c r="D34" s="445" t="s">
        <v>1461</v>
      </c>
      <c r="E34" s="500" t="s">
        <v>427</v>
      </c>
      <c r="F34" s="500"/>
      <c r="G34" s="337" t="s">
        <v>329</v>
      </c>
      <c r="H34" s="583">
        <v>7.5</v>
      </c>
      <c r="I34" s="337" t="s">
        <v>330</v>
      </c>
      <c r="J34" s="337" t="s">
        <v>331</v>
      </c>
      <c r="K34" s="349">
        <v>400</v>
      </c>
      <c r="L34" s="343">
        <v>0.85</v>
      </c>
      <c r="M34" s="350">
        <v>0.95</v>
      </c>
      <c r="N34" s="342">
        <f t="shared" si="205"/>
        <v>13.406359261827985</v>
      </c>
      <c r="O34" s="342">
        <f t="shared" si="206"/>
        <v>0</v>
      </c>
      <c r="P34" s="343" t="str">
        <f t="shared" si="207"/>
        <v>0.00</v>
      </c>
      <c r="Q34" s="350">
        <v>65</v>
      </c>
      <c r="R34" s="350">
        <v>0</v>
      </c>
      <c r="S34" s="350">
        <f t="shared" si="208"/>
        <v>0</v>
      </c>
      <c r="T34" s="343" t="s">
        <v>131</v>
      </c>
      <c r="U34" s="350" t="s">
        <v>522</v>
      </c>
      <c r="V34" s="343">
        <v>6</v>
      </c>
      <c r="W34" s="343" t="str">
        <f t="shared" si="209"/>
        <v>4C X 6</v>
      </c>
      <c r="X34" s="343" t="str">
        <f t="shared" si="210"/>
        <v>4C X 6</v>
      </c>
      <c r="Y34" s="343" t="s">
        <v>358</v>
      </c>
      <c r="Z34" s="344">
        <f>IF(T34="AIR",VLOOKUP(W34,'Catalogue Aluminium'!$B$9:$G$93,2,FALSE),IF(T34="GROUND",VLOOKUP(W34,'Catalogue Aluminium'!$B$9:$G$93,3,FALSE),IF(T34="DUCT",VLOOKUP(W34,'Catalogue Aluminium'!$B$9:$G$93,4,FALSE),IF(T34="TRENCH",VLOOKUP(W34,'Catalogue Aluminium'!$B$9:$G$93,2,FALSE)))))</f>
        <v>51</v>
      </c>
      <c r="AA34" s="345">
        <f>VLOOKUP(W34,'Catalogue Aluminium'!$B$9:$G$93,5,FALSE)</f>
        <v>3.94</v>
      </c>
      <c r="AB34" s="345">
        <f>VLOOKUP(W34,'Catalogue Aluminium'!$B$9:$G$93,6,FALSE)</f>
        <v>9.0200000000000002E-2</v>
      </c>
      <c r="AC34" s="337">
        <f t="shared" si="211"/>
        <v>29</v>
      </c>
      <c r="AD34" s="346">
        <f t="shared" si="228"/>
        <v>32</v>
      </c>
      <c r="AE34" s="346">
        <v>10</v>
      </c>
      <c r="AF34" s="346">
        <v>8</v>
      </c>
      <c r="AG34" s="346">
        <f t="shared" si="84"/>
        <v>8</v>
      </c>
      <c r="AH34" s="802">
        <f t="shared" si="212"/>
        <v>87</v>
      </c>
      <c r="AI34" s="344">
        <f>IF(T34="AIR",'Catalogue Aluminium'!$K$9,IF(T34="TRENCH",'Catalogue Aluminium'!$K$12,"NA"))</f>
        <v>0.89</v>
      </c>
      <c r="AJ34" s="342">
        <f>IF(T34="Air",(IF(U34="1C",'Catalogue Aluminium'!$L$9,'Catalogue Aluminium'!$M$9)),IF(T34="DUCT",(IF($U34="1C",'Catalogue Aluminium'!$L$10,'Catalogue Aluminium'!$M$10)),IF(T34="GROUND",(IF($U34="1C",'Catalogue Aluminium'!$L$11,'Catalogue Aluminium'!$M$11)),IF(T34="TRENCH",(IF($U34="1C",'Catalogue Aluminium'!$L$12,'Catalogue Aluminium'!$M$12))))))</f>
        <v>0.66</v>
      </c>
      <c r="AK34" s="344" t="str">
        <f>IF(T34="Air",'Catalogue Aluminium'!$N$9,IF(T34="GROUND",'Catalogue Aluminium'!$N$10,IF(T34="DUCT",'Catalogue Aluminium'!$N$11,IF(T34="TRENCH",'Catalogue Aluminium'!$N$12,"NA"))))</f>
        <v>NA</v>
      </c>
      <c r="AL34" s="344" t="str">
        <f>IF(T34="Air",(IF(U34="1C",'Catalogue Aluminium'!$O$9,'Catalogue Aluminium'!$P$9)),IF(T34="DUCT",(IF($U34="1C",'Catalogue Aluminium'!$O$10,'Catalogue Aluminium'!$P$10)),IF(T34="GROUND",(IF($U34="1C",'Catalogue Aluminium'!$O$11,'Catalogue Aluminium'!$P$11)),IF(T34="TRENCH",(IF($U34="1C",'Catalogue Aluminium'!$O$12,'Catalogue Aluminium'!$P$12))))))</f>
        <v>NA</v>
      </c>
      <c r="AM34" s="344" t="str">
        <f>IF(T34="AIR","NA",IF(T34="TRENCH","NA",IF(T34="DUCT",IF(U34="1C",VLOOKUP(V34,'Catalogue Aluminium'!$Q$9:$S$28,2,FALSE),VLOOKUP(V34,'Catalogue Aluminium'!$Q$9:$S$28,3)),IF(T34="GROUND",IF(U34="1C",VLOOKUP(V34,'Catalogue Aluminium'!$Q$9:$S$28,2,FALSE),VLOOKUP(V34,'Catalogue Aluminium'!$Q$9:$S$28,3))))))</f>
        <v>NA</v>
      </c>
      <c r="AN34" s="351">
        <f t="shared" si="213"/>
        <v>0.58740000000000003</v>
      </c>
      <c r="AO34" s="350">
        <f t="shared" si="214"/>
        <v>29.957400000000003</v>
      </c>
      <c r="AP34" s="349">
        <f t="shared" si="215"/>
        <v>1</v>
      </c>
      <c r="AQ34" s="350" t="str">
        <f t="shared" si="216"/>
        <v>YES</v>
      </c>
      <c r="AR34" s="351">
        <f t="shared" si="217"/>
        <v>1.7153959525119837</v>
      </c>
      <c r="AS34" s="343" t="str">
        <f t="shared" si="218"/>
        <v>YES</v>
      </c>
      <c r="AT34" s="351" t="str">
        <f t="shared" si="219"/>
        <v>NA</v>
      </c>
      <c r="AU34" s="343" t="str">
        <f t="shared" si="220"/>
        <v>NA</v>
      </c>
      <c r="AV34" s="354" t="str">
        <f t="shared" si="221"/>
        <v>1R x 0.6/1kV x 4C x 6 Sqmm</v>
      </c>
      <c r="AW34" s="354" t="str">
        <f t="shared" si="222"/>
        <v>1R x 0.6/1kV x 4C x 6 Sqmm</v>
      </c>
      <c r="AX34" s="343">
        <f t="shared" si="223"/>
        <v>87</v>
      </c>
      <c r="AY34" s="355"/>
      <c r="AZ34" s="355">
        <f t="shared" si="224"/>
        <v>2</v>
      </c>
      <c r="BA34" s="356" t="str">
        <f t="shared" si="225"/>
        <v/>
      </c>
      <c r="BB34" s="336">
        <f>VLOOKUP(W34,'Catalogue Aluminium'!$B$9:$H$93,7,FALSE)</f>
        <v>18</v>
      </c>
      <c r="BC34" s="336">
        <f t="shared" si="226"/>
        <v>18</v>
      </c>
      <c r="BE34" s="336"/>
      <c r="BF34" s="336"/>
      <c r="BG34" s="336"/>
      <c r="BH34" s="336"/>
      <c r="BI34" s="336"/>
      <c r="BJ34" s="336"/>
      <c r="BK34" s="336"/>
      <c r="BL34" s="336"/>
      <c r="BM34" s="336"/>
      <c r="BN34" s="336"/>
      <c r="BO34" s="336"/>
      <c r="BP34" s="336"/>
      <c r="BQ34" s="336"/>
      <c r="BR34" s="336"/>
      <c r="BS34" s="336"/>
      <c r="BT34" s="336"/>
      <c r="BU34" s="336"/>
      <c r="BV34" s="336"/>
      <c r="BW34" s="336"/>
      <c r="BX34" s="336"/>
      <c r="BY34" s="336"/>
      <c r="BZ34" s="336"/>
      <c r="CA34" s="336"/>
      <c r="CB34" s="336"/>
      <c r="CC34" s="336"/>
      <c r="CD34" s="336"/>
      <c r="CE34" s="336"/>
      <c r="CF34" s="336"/>
      <c r="CG34" s="336"/>
      <c r="CH34" s="336"/>
      <c r="CI34" s="336"/>
      <c r="CJ34" s="336"/>
      <c r="CK34" s="336"/>
      <c r="CL34" s="336"/>
      <c r="CM34" s="336"/>
      <c r="CN34" s="336"/>
      <c r="CO34" s="336"/>
      <c r="CP34" s="336"/>
      <c r="CQ34" s="336"/>
      <c r="CR34" s="336"/>
      <c r="CS34" s="336"/>
      <c r="CT34" s="336"/>
      <c r="CU34" s="336"/>
      <c r="CV34" s="336"/>
      <c r="CW34" s="336"/>
      <c r="CX34" s="336"/>
      <c r="CY34" s="336"/>
      <c r="CZ34" s="336"/>
      <c r="DA34" s="336"/>
      <c r="DB34" s="336"/>
      <c r="DC34" s="336"/>
      <c r="DD34" s="336"/>
      <c r="DE34" s="336"/>
      <c r="DF34" s="336"/>
      <c r="DG34" s="336"/>
      <c r="DH34" s="336"/>
      <c r="DI34" s="336"/>
      <c r="DJ34" s="336"/>
      <c r="DK34" s="336"/>
      <c r="DL34" s="336"/>
      <c r="DM34" s="336"/>
      <c r="DN34" s="336"/>
      <c r="DO34" s="336"/>
      <c r="DP34" s="336"/>
      <c r="DQ34" s="336"/>
      <c r="DR34" s="336"/>
      <c r="DS34" s="336"/>
      <c r="DT34" s="336"/>
      <c r="DU34" s="336"/>
      <c r="DW34" s="336">
        <f t="shared" si="93"/>
        <v>0</v>
      </c>
      <c r="DX34" s="336">
        <f t="shared" si="14"/>
        <v>0</v>
      </c>
      <c r="DY34" s="336">
        <f t="shared" si="15"/>
        <v>0</v>
      </c>
      <c r="DZ34" s="336">
        <f t="shared" si="16"/>
        <v>0</v>
      </c>
      <c r="EA34" s="336">
        <f t="shared" si="17"/>
        <v>0</v>
      </c>
      <c r="EB34" s="336">
        <f t="shared" si="18"/>
        <v>0</v>
      </c>
      <c r="EC34" s="336">
        <f t="shared" si="19"/>
        <v>0</v>
      </c>
      <c r="ED34" s="336">
        <f t="shared" si="20"/>
        <v>0</v>
      </c>
      <c r="EE34" s="336">
        <f t="shared" si="21"/>
        <v>0</v>
      </c>
      <c r="EF34" s="336">
        <f t="shared" si="22"/>
        <v>0</v>
      </c>
      <c r="EG34" s="336">
        <f t="shared" si="23"/>
        <v>0</v>
      </c>
      <c r="EH34" s="336">
        <f t="shared" si="24"/>
        <v>0</v>
      </c>
      <c r="EI34" s="336">
        <f t="shared" si="25"/>
        <v>0</v>
      </c>
      <c r="EJ34" s="336">
        <f t="shared" si="26"/>
        <v>0</v>
      </c>
      <c r="EK34" s="336">
        <f t="shared" si="27"/>
        <v>0</v>
      </c>
      <c r="EL34" s="336">
        <f t="shared" si="28"/>
        <v>0</v>
      </c>
      <c r="EM34" s="336">
        <f t="shared" si="29"/>
        <v>0</v>
      </c>
      <c r="EN34" s="336">
        <f t="shared" si="30"/>
        <v>0</v>
      </c>
      <c r="EO34" s="336">
        <f t="shared" si="31"/>
        <v>0</v>
      </c>
      <c r="EP34" s="336">
        <f t="shared" si="32"/>
        <v>0</v>
      </c>
      <c r="EQ34" s="336">
        <f t="shared" si="33"/>
        <v>0</v>
      </c>
      <c r="ER34" s="336">
        <f t="shared" si="34"/>
        <v>0</v>
      </c>
      <c r="ES34" s="336">
        <f t="shared" si="35"/>
        <v>0</v>
      </c>
      <c r="ET34" s="336">
        <f t="shared" si="35"/>
        <v>0</v>
      </c>
      <c r="EU34" s="336">
        <f t="shared" si="36"/>
        <v>0</v>
      </c>
      <c r="EV34" s="336">
        <f t="shared" si="37"/>
        <v>0</v>
      </c>
      <c r="EW34" s="336">
        <f t="shared" si="38"/>
        <v>0</v>
      </c>
      <c r="EX34" s="336">
        <f t="shared" si="39"/>
        <v>0</v>
      </c>
      <c r="EY34" s="336">
        <f t="shared" si="40"/>
        <v>0</v>
      </c>
      <c r="EZ34" s="336">
        <f t="shared" si="41"/>
        <v>0</v>
      </c>
      <c r="FA34" s="336">
        <f t="shared" si="42"/>
        <v>0</v>
      </c>
      <c r="FB34" s="336">
        <f t="shared" si="43"/>
        <v>0</v>
      </c>
      <c r="FC34" s="336">
        <f t="shared" si="44"/>
        <v>0</v>
      </c>
      <c r="FD34" s="336">
        <f t="shared" si="45"/>
        <v>0</v>
      </c>
      <c r="FE34" s="336">
        <f t="shared" si="46"/>
        <v>0</v>
      </c>
      <c r="FF34" s="336">
        <f t="shared" si="47"/>
        <v>0</v>
      </c>
      <c r="FG34" s="336">
        <f t="shared" si="48"/>
        <v>0</v>
      </c>
      <c r="FH34" s="336">
        <f t="shared" si="49"/>
        <v>0</v>
      </c>
      <c r="FI34" s="336">
        <f t="shared" si="50"/>
        <v>0</v>
      </c>
      <c r="FJ34" s="336">
        <f t="shared" si="51"/>
        <v>0</v>
      </c>
      <c r="FK34" s="336">
        <f t="shared" si="52"/>
        <v>0</v>
      </c>
      <c r="FL34" s="336">
        <f t="shared" si="53"/>
        <v>0</v>
      </c>
      <c r="FM34" s="336">
        <f t="shared" si="54"/>
        <v>0</v>
      </c>
      <c r="FN34" s="336">
        <f t="shared" si="55"/>
        <v>0</v>
      </c>
      <c r="FO34" s="336">
        <f t="shared" si="56"/>
        <v>0</v>
      </c>
      <c r="FP34" s="336">
        <f t="shared" si="57"/>
        <v>0</v>
      </c>
      <c r="FQ34" s="336">
        <f t="shared" si="58"/>
        <v>0</v>
      </c>
      <c r="FR34" s="336">
        <f t="shared" si="59"/>
        <v>0</v>
      </c>
      <c r="FS34" s="336">
        <f t="shared" si="60"/>
        <v>0</v>
      </c>
      <c r="FT34" s="336">
        <f t="shared" si="61"/>
        <v>0</v>
      </c>
      <c r="FU34" s="336">
        <f t="shared" si="62"/>
        <v>0</v>
      </c>
      <c r="FV34" s="336">
        <f t="shared" si="63"/>
        <v>0</v>
      </c>
      <c r="FW34" s="336">
        <f t="shared" si="64"/>
        <v>0</v>
      </c>
      <c r="FX34" s="336">
        <f t="shared" si="65"/>
        <v>0</v>
      </c>
      <c r="FY34" s="336">
        <f t="shared" si="66"/>
        <v>0</v>
      </c>
      <c r="FZ34" s="336">
        <f t="shared" si="67"/>
        <v>0</v>
      </c>
      <c r="GA34" s="336">
        <f t="shared" si="68"/>
        <v>0</v>
      </c>
      <c r="GB34" s="336">
        <f t="shared" si="69"/>
        <v>0</v>
      </c>
      <c r="GC34" s="336">
        <f t="shared" si="70"/>
        <v>0</v>
      </c>
      <c r="GD34" s="336">
        <f t="shared" si="71"/>
        <v>0</v>
      </c>
      <c r="GE34" s="336">
        <f t="shared" si="72"/>
        <v>0</v>
      </c>
      <c r="GF34" s="336">
        <f t="shared" si="73"/>
        <v>0</v>
      </c>
      <c r="GG34" s="336">
        <f t="shared" si="74"/>
        <v>0</v>
      </c>
      <c r="GH34" s="336">
        <f t="shared" si="75"/>
        <v>0</v>
      </c>
      <c r="GI34" s="336">
        <f t="shared" si="76"/>
        <v>0</v>
      </c>
      <c r="GJ34" s="336">
        <f t="shared" si="77"/>
        <v>0</v>
      </c>
      <c r="GK34" s="336">
        <f t="shared" si="78"/>
        <v>0</v>
      </c>
      <c r="GL34" s="336">
        <f t="shared" si="79"/>
        <v>0</v>
      </c>
      <c r="GM34" s="336">
        <f t="shared" si="80"/>
        <v>0</v>
      </c>
    </row>
    <row r="35" spans="1:195">
      <c r="A35" s="337">
        <f t="shared" si="229"/>
        <v>24</v>
      </c>
      <c r="B35" s="567" t="s">
        <v>527</v>
      </c>
      <c r="C35" s="567" t="str">
        <f t="shared" si="227"/>
        <v>PDB-3</v>
      </c>
      <c r="D35" s="445" t="s">
        <v>1462</v>
      </c>
      <c r="E35" s="500" t="s">
        <v>427</v>
      </c>
      <c r="F35" s="500"/>
      <c r="G35" s="337" t="s">
        <v>329</v>
      </c>
      <c r="H35" s="583">
        <v>7.5</v>
      </c>
      <c r="I35" s="337" t="s">
        <v>330</v>
      </c>
      <c r="J35" s="337" t="s">
        <v>331</v>
      </c>
      <c r="K35" s="349">
        <v>400</v>
      </c>
      <c r="L35" s="343">
        <v>0.85</v>
      </c>
      <c r="M35" s="350">
        <v>0.95</v>
      </c>
      <c r="N35" s="342">
        <f t="shared" si="205"/>
        <v>13.406359261827985</v>
      </c>
      <c r="O35" s="342">
        <f t="shared" si="206"/>
        <v>0</v>
      </c>
      <c r="P35" s="343" t="str">
        <f t="shared" si="207"/>
        <v>0.00</v>
      </c>
      <c r="Q35" s="350">
        <v>65</v>
      </c>
      <c r="R35" s="350">
        <v>0</v>
      </c>
      <c r="S35" s="350">
        <f t="shared" si="208"/>
        <v>0</v>
      </c>
      <c r="T35" s="343" t="s">
        <v>131</v>
      </c>
      <c r="U35" s="350" t="s">
        <v>522</v>
      </c>
      <c r="V35" s="343">
        <v>6</v>
      </c>
      <c r="W35" s="343" t="str">
        <f t="shared" si="209"/>
        <v>4C X 6</v>
      </c>
      <c r="X35" s="343" t="str">
        <f t="shared" si="210"/>
        <v>4C X 6</v>
      </c>
      <c r="Y35" s="343" t="s">
        <v>358</v>
      </c>
      <c r="Z35" s="344">
        <f>IF(T35="AIR",VLOOKUP(W35,'Catalogue Aluminium'!$B$9:$G$93,2,FALSE),IF(T35="GROUND",VLOOKUP(W35,'Catalogue Aluminium'!$B$9:$G$93,3,FALSE),IF(T35="DUCT",VLOOKUP(W35,'Catalogue Aluminium'!$B$9:$G$93,4,FALSE),IF(T35="TRENCH",VLOOKUP(W35,'Catalogue Aluminium'!$B$9:$G$93,2,FALSE)))))</f>
        <v>51</v>
      </c>
      <c r="AA35" s="345">
        <f>VLOOKUP(W35,'Catalogue Aluminium'!$B$9:$G$93,5,FALSE)</f>
        <v>3.94</v>
      </c>
      <c r="AB35" s="345">
        <f>VLOOKUP(W35,'Catalogue Aluminium'!$B$9:$G$93,6,FALSE)</f>
        <v>9.0200000000000002E-2</v>
      </c>
      <c r="AC35" s="337">
        <f t="shared" si="211"/>
        <v>29</v>
      </c>
      <c r="AD35" s="346">
        <f t="shared" si="228"/>
        <v>32</v>
      </c>
      <c r="AE35" s="346">
        <v>10</v>
      </c>
      <c r="AF35" s="346">
        <v>8</v>
      </c>
      <c r="AG35" s="346">
        <f t="shared" si="84"/>
        <v>8</v>
      </c>
      <c r="AH35" s="802">
        <f t="shared" si="212"/>
        <v>87</v>
      </c>
      <c r="AI35" s="344">
        <f>IF(T35="AIR",'Catalogue Aluminium'!$K$9,IF(T35="TRENCH",'Catalogue Aluminium'!$K$12,"NA"))</f>
        <v>0.89</v>
      </c>
      <c r="AJ35" s="342">
        <f>IF(T35="Air",(IF(U35="1C",'Catalogue Aluminium'!$L$9,'Catalogue Aluminium'!$M$9)),IF(T35="DUCT",(IF($U35="1C",'Catalogue Aluminium'!$L$10,'Catalogue Aluminium'!$M$10)),IF(T35="GROUND",(IF($U35="1C",'Catalogue Aluminium'!$L$11,'Catalogue Aluminium'!$M$11)),IF(T35="TRENCH",(IF($U35="1C",'Catalogue Aluminium'!$L$12,'Catalogue Aluminium'!$M$12))))))</f>
        <v>0.66</v>
      </c>
      <c r="AK35" s="344" t="str">
        <f>IF(T35="Air",'Catalogue Aluminium'!$N$9,IF(T35="GROUND",'Catalogue Aluminium'!$N$10,IF(T35="DUCT",'Catalogue Aluminium'!$N$11,IF(T35="TRENCH",'Catalogue Aluminium'!$N$12,"NA"))))</f>
        <v>NA</v>
      </c>
      <c r="AL35" s="344" t="str">
        <f>IF(T35="Air",(IF(U35="1C",'Catalogue Aluminium'!$O$9,'Catalogue Aluminium'!$P$9)),IF(T35="DUCT",(IF($U35="1C",'Catalogue Aluminium'!$O$10,'Catalogue Aluminium'!$P$10)),IF(T35="GROUND",(IF($U35="1C",'Catalogue Aluminium'!$O$11,'Catalogue Aluminium'!$P$11)),IF(T35="TRENCH",(IF($U35="1C",'Catalogue Aluminium'!$O$12,'Catalogue Aluminium'!$P$12))))))</f>
        <v>NA</v>
      </c>
      <c r="AM35" s="344" t="str">
        <f>IF(T35="AIR","NA",IF(T35="TRENCH","NA",IF(T35="DUCT",IF(U35="1C",VLOOKUP(V35,'Catalogue Aluminium'!$Q$9:$S$28,2,FALSE),VLOOKUP(V35,'Catalogue Aluminium'!$Q$9:$S$28,3)),IF(T35="GROUND",IF(U35="1C",VLOOKUP(V35,'Catalogue Aluminium'!$Q$9:$S$28,2,FALSE),VLOOKUP(V35,'Catalogue Aluminium'!$Q$9:$S$28,3))))))</f>
        <v>NA</v>
      </c>
      <c r="AN35" s="351">
        <f t="shared" si="213"/>
        <v>0.58740000000000003</v>
      </c>
      <c r="AO35" s="350">
        <f t="shared" si="214"/>
        <v>29.957400000000003</v>
      </c>
      <c r="AP35" s="349">
        <f t="shared" si="215"/>
        <v>1</v>
      </c>
      <c r="AQ35" s="350" t="str">
        <f t="shared" si="216"/>
        <v>YES</v>
      </c>
      <c r="AR35" s="351">
        <f t="shared" si="217"/>
        <v>1.7153959525119837</v>
      </c>
      <c r="AS35" s="343" t="str">
        <f t="shared" si="218"/>
        <v>YES</v>
      </c>
      <c r="AT35" s="351" t="str">
        <f t="shared" si="219"/>
        <v>NA</v>
      </c>
      <c r="AU35" s="343" t="str">
        <f t="shared" si="220"/>
        <v>NA</v>
      </c>
      <c r="AV35" s="354" t="str">
        <f t="shared" si="221"/>
        <v>1R x 0.6/1kV x 4C x 6 Sqmm</v>
      </c>
      <c r="AW35" s="354" t="str">
        <f t="shared" si="222"/>
        <v>1R x 0.6/1kV x 4C x 6 Sqmm</v>
      </c>
      <c r="AX35" s="343">
        <f t="shared" si="223"/>
        <v>87</v>
      </c>
      <c r="AY35" s="355"/>
      <c r="AZ35" s="355">
        <f t="shared" si="224"/>
        <v>2</v>
      </c>
      <c r="BA35" s="356" t="str">
        <f t="shared" si="225"/>
        <v/>
      </c>
      <c r="BB35" s="336">
        <f>VLOOKUP(W35,'Catalogue Aluminium'!$B$9:$H$93,7,FALSE)</f>
        <v>18</v>
      </c>
      <c r="BC35" s="336">
        <f t="shared" si="226"/>
        <v>18</v>
      </c>
      <c r="BE35" s="336"/>
      <c r="BF35" s="336"/>
      <c r="BG35" s="336"/>
      <c r="BH35" s="336"/>
      <c r="BI35" s="336"/>
      <c r="BJ35" s="336"/>
      <c r="BK35" s="336"/>
      <c r="BL35" s="336"/>
      <c r="BM35" s="336"/>
      <c r="BN35" s="336"/>
      <c r="BO35" s="336"/>
      <c r="BP35" s="336"/>
      <c r="BQ35" s="336"/>
      <c r="BR35" s="336"/>
      <c r="BS35" s="336"/>
      <c r="BT35" s="336"/>
      <c r="BU35" s="336"/>
      <c r="BV35" s="336"/>
      <c r="BW35" s="336"/>
      <c r="BX35" s="336"/>
      <c r="BY35" s="336"/>
      <c r="BZ35" s="336"/>
      <c r="CA35" s="336"/>
      <c r="CB35" s="336"/>
      <c r="CC35" s="336"/>
      <c r="CD35" s="336"/>
      <c r="CE35" s="336"/>
      <c r="CF35" s="336"/>
      <c r="CG35" s="336"/>
      <c r="CH35" s="336"/>
      <c r="CI35" s="336"/>
      <c r="CJ35" s="336"/>
      <c r="CK35" s="336"/>
      <c r="CL35" s="336"/>
      <c r="CM35" s="336"/>
      <c r="CN35" s="336"/>
      <c r="CO35" s="336"/>
      <c r="CP35" s="336"/>
      <c r="CQ35" s="336"/>
      <c r="CR35" s="336"/>
      <c r="CS35" s="336"/>
      <c r="CT35" s="336"/>
      <c r="CU35" s="336"/>
      <c r="CV35" s="336"/>
      <c r="CW35" s="336"/>
      <c r="CX35" s="336"/>
      <c r="CY35" s="336"/>
      <c r="CZ35" s="336"/>
      <c r="DA35" s="336"/>
      <c r="DB35" s="336"/>
      <c r="DC35" s="336"/>
      <c r="DD35" s="336"/>
      <c r="DE35" s="336"/>
      <c r="DF35" s="336"/>
      <c r="DG35" s="336"/>
      <c r="DH35" s="336"/>
      <c r="DI35" s="336"/>
      <c r="DJ35" s="336"/>
      <c r="DK35" s="336"/>
      <c r="DL35" s="336"/>
      <c r="DM35" s="336"/>
      <c r="DN35" s="336"/>
      <c r="DO35" s="336"/>
      <c r="DP35" s="336"/>
      <c r="DQ35" s="336"/>
      <c r="DR35" s="336"/>
      <c r="DS35" s="336"/>
      <c r="DT35" s="336"/>
      <c r="DU35" s="336"/>
      <c r="DW35" s="336">
        <f t="shared" si="93"/>
        <v>0</v>
      </c>
      <c r="DX35" s="336">
        <f t="shared" si="14"/>
        <v>0</v>
      </c>
      <c r="DY35" s="336">
        <f t="shared" si="15"/>
        <v>0</v>
      </c>
      <c r="DZ35" s="336">
        <f t="shared" si="16"/>
        <v>0</v>
      </c>
      <c r="EA35" s="336">
        <f t="shared" si="17"/>
        <v>0</v>
      </c>
      <c r="EB35" s="336">
        <f t="shared" si="18"/>
        <v>0</v>
      </c>
      <c r="EC35" s="336">
        <f t="shared" si="19"/>
        <v>0</v>
      </c>
      <c r="ED35" s="336">
        <f t="shared" si="20"/>
        <v>0</v>
      </c>
      <c r="EE35" s="336">
        <f t="shared" si="21"/>
        <v>0</v>
      </c>
      <c r="EF35" s="336">
        <f t="shared" si="22"/>
        <v>0</v>
      </c>
      <c r="EG35" s="336">
        <f t="shared" si="23"/>
        <v>0</v>
      </c>
      <c r="EH35" s="336">
        <f t="shared" si="24"/>
        <v>0</v>
      </c>
      <c r="EI35" s="336">
        <f t="shared" si="25"/>
        <v>0</v>
      </c>
      <c r="EJ35" s="336">
        <f t="shared" si="26"/>
        <v>0</v>
      </c>
      <c r="EK35" s="336">
        <f t="shared" si="27"/>
        <v>0</v>
      </c>
      <c r="EL35" s="336">
        <f t="shared" si="28"/>
        <v>0</v>
      </c>
      <c r="EM35" s="336">
        <f t="shared" si="29"/>
        <v>0</v>
      </c>
      <c r="EN35" s="336">
        <f t="shared" si="30"/>
        <v>0</v>
      </c>
      <c r="EO35" s="336">
        <f t="shared" si="31"/>
        <v>0</v>
      </c>
      <c r="EP35" s="336">
        <f t="shared" si="32"/>
        <v>0</v>
      </c>
      <c r="EQ35" s="336">
        <f t="shared" si="33"/>
        <v>0</v>
      </c>
      <c r="ER35" s="336">
        <f t="shared" si="34"/>
        <v>0</v>
      </c>
      <c r="ES35" s="336">
        <f t="shared" si="35"/>
        <v>0</v>
      </c>
      <c r="ET35" s="336">
        <f t="shared" si="35"/>
        <v>0</v>
      </c>
      <c r="EU35" s="336">
        <f t="shared" si="36"/>
        <v>0</v>
      </c>
      <c r="EV35" s="336">
        <f t="shared" si="37"/>
        <v>0</v>
      </c>
      <c r="EW35" s="336">
        <f t="shared" si="38"/>
        <v>0</v>
      </c>
      <c r="EX35" s="336">
        <f t="shared" si="39"/>
        <v>0</v>
      </c>
      <c r="EY35" s="336">
        <f t="shared" si="40"/>
        <v>0</v>
      </c>
      <c r="EZ35" s="336">
        <f t="shared" si="41"/>
        <v>0</v>
      </c>
      <c r="FA35" s="336">
        <f t="shared" si="42"/>
        <v>0</v>
      </c>
      <c r="FB35" s="336">
        <f t="shared" si="43"/>
        <v>0</v>
      </c>
      <c r="FC35" s="336">
        <f t="shared" si="44"/>
        <v>0</v>
      </c>
      <c r="FD35" s="336">
        <f t="shared" si="45"/>
        <v>0</v>
      </c>
      <c r="FE35" s="336">
        <f t="shared" si="46"/>
        <v>0</v>
      </c>
      <c r="FF35" s="336">
        <f t="shared" si="47"/>
        <v>0</v>
      </c>
      <c r="FG35" s="336">
        <f t="shared" si="48"/>
        <v>0</v>
      </c>
      <c r="FH35" s="336">
        <f t="shared" si="49"/>
        <v>0</v>
      </c>
      <c r="FI35" s="336">
        <f t="shared" si="50"/>
        <v>0</v>
      </c>
      <c r="FJ35" s="336">
        <f t="shared" si="51"/>
        <v>0</v>
      </c>
      <c r="FK35" s="336">
        <f t="shared" si="52"/>
        <v>0</v>
      </c>
      <c r="FL35" s="336">
        <f t="shared" si="53"/>
        <v>0</v>
      </c>
      <c r="FM35" s="336">
        <f t="shared" si="54"/>
        <v>0</v>
      </c>
      <c r="FN35" s="336">
        <f t="shared" si="55"/>
        <v>0</v>
      </c>
      <c r="FO35" s="336">
        <f t="shared" si="56"/>
        <v>0</v>
      </c>
      <c r="FP35" s="336">
        <f t="shared" si="57"/>
        <v>0</v>
      </c>
      <c r="FQ35" s="336">
        <f t="shared" si="58"/>
        <v>0</v>
      </c>
      <c r="FR35" s="336">
        <f t="shared" si="59"/>
        <v>0</v>
      </c>
      <c r="FS35" s="336">
        <f t="shared" si="60"/>
        <v>0</v>
      </c>
      <c r="FT35" s="336">
        <f t="shared" si="61"/>
        <v>0</v>
      </c>
      <c r="FU35" s="336">
        <f t="shared" si="62"/>
        <v>0</v>
      </c>
      <c r="FV35" s="336">
        <f t="shared" si="63"/>
        <v>0</v>
      </c>
      <c r="FW35" s="336">
        <f t="shared" si="64"/>
        <v>0</v>
      </c>
      <c r="FX35" s="336">
        <f t="shared" si="65"/>
        <v>0</v>
      </c>
      <c r="FY35" s="336">
        <f t="shared" si="66"/>
        <v>0</v>
      </c>
      <c r="FZ35" s="336">
        <f t="shared" si="67"/>
        <v>0</v>
      </c>
      <c r="GA35" s="336">
        <f t="shared" si="68"/>
        <v>0</v>
      </c>
      <c r="GB35" s="336">
        <f t="shared" si="69"/>
        <v>0</v>
      </c>
      <c r="GC35" s="336">
        <f t="shared" si="70"/>
        <v>0</v>
      </c>
      <c r="GD35" s="336">
        <f t="shared" si="71"/>
        <v>0</v>
      </c>
      <c r="GE35" s="336">
        <f t="shared" si="72"/>
        <v>0</v>
      </c>
      <c r="GF35" s="336">
        <f t="shared" si="73"/>
        <v>0</v>
      </c>
      <c r="GG35" s="336">
        <f t="shared" si="74"/>
        <v>0</v>
      </c>
      <c r="GH35" s="336">
        <f t="shared" si="75"/>
        <v>0</v>
      </c>
      <c r="GI35" s="336">
        <f t="shared" si="76"/>
        <v>0</v>
      </c>
      <c r="GJ35" s="336">
        <f t="shared" si="77"/>
        <v>0</v>
      </c>
      <c r="GK35" s="336">
        <f t="shared" si="78"/>
        <v>0</v>
      </c>
      <c r="GL35" s="336">
        <f t="shared" si="79"/>
        <v>0</v>
      </c>
      <c r="GM35" s="336">
        <f t="shared" si="80"/>
        <v>0</v>
      </c>
    </row>
    <row r="36" spans="1:195" s="83" customFormat="1" hidden="1">
      <c r="A36" s="357" t="s">
        <v>334</v>
      </c>
      <c r="B36" s="783" t="s">
        <v>527</v>
      </c>
      <c r="C36" s="783" t="str">
        <f t="shared" si="227"/>
        <v>PDB-3</v>
      </c>
      <c r="D36" s="565" t="s">
        <v>1463</v>
      </c>
      <c r="E36" s="493" t="s">
        <v>427</v>
      </c>
      <c r="F36" s="493"/>
      <c r="G36" s="357" t="s">
        <v>329</v>
      </c>
      <c r="H36" s="352">
        <v>0.55000000000000004</v>
      </c>
      <c r="I36" s="357" t="s">
        <v>330</v>
      </c>
      <c r="J36" s="357" t="s">
        <v>357</v>
      </c>
      <c r="K36" s="353">
        <v>230</v>
      </c>
      <c r="L36" s="360">
        <v>0.85</v>
      </c>
      <c r="M36" s="352">
        <v>0.95</v>
      </c>
      <c r="N36" s="359">
        <f t="shared" si="205"/>
        <v>2.9613676134069191</v>
      </c>
      <c r="O36" s="359">
        <f t="shared" si="206"/>
        <v>0</v>
      </c>
      <c r="P36" s="360" t="str">
        <f t="shared" si="207"/>
        <v>0.00</v>
      </c>
      <c r="Q36" s="352">
        <v>65</v>
      </c>
      <c r="R36" s="352">
        <v>0</v>
      </c>
      <c r="S36" s="352">
        <f t="shared" si="208"/>
        <v>0</v>
      </c>
      <c r="T36" s="360" t="s">
        <v>131</v>
      </c>
      <c r="U36" s="352"/>
      <c r="V36" s="360">
        <v>4</v>
      </c>
      <c r="W36" s="360" t="str">
        <f t="shared" si="209"/>
        <v xml:space="preserve"> X 4</v>
      </c>
      <c r="X36" s="360" t="str">
        <f t="shared" si="210"/>
        <v xml:space="preserve"> X 4</v>
      </c>
      <c r="Y36" s="360" t="s">
        <v>358</v>
      </c>
      <c r="Z36" s="361" t="e">
        <f>IF(T36="AIR",VLOOKUP(W36,'Catalogue Aluminium'!$B$9:$G$93,2,FALSE),IF(T36="GROUND",VLOOKUP(W36,'Catalogue Aluminium'!$B$9:$G$93,3,FALSE),IF(T36="DUCT",VLOOKUP(W36,'Catalogue Aluminium'!$B$9:$G$93,4,FALSE),IF(T36="TRENCH",VLOOKUP(W36,'Catalogue Aluminium'!$B$9:$G$93,2,FALSE)))))</f>
        <v>#N/A</v>
      </c>
      <c r="AA36" s="362" t="e">
        <f>VLOOKUP(W36,'Catalogue Aluminium'!$B$9:$G$93,5,FALSE)</f>
        <v>#N/A</v>
      </c>
      <c r="AB36" s="362" t="e">
        <f>VLOOKUP(W36,'Catalogue Aluminium'!$B$9:$G$93,6,FALSE)</f>
        <v>#N/A</v>
      </c>
      <c r="AC36" s="357">
        <f t="shared" si="211"/>
        <v>29</v>
      </c>
      <c r="AD36" s="564">
        <f t="shared" si="228"/>
        <v>32</v>
      </c>
      <c r="AE36" s="564">
        <v>10</v>
      </c>
      <c r="AF36" s="564">
        <v>8</v>
      </c>
      <c r="AG36" s="564">
        <f t="shared" si="84"/>
        <v>8</v>
      </c>
      <c r="AH36" s="564">
        <f t="shared" si="212"/>
        <v>87</v>
      </c>
      <c r="AI36" s="361">
        <f>IF(T36="AIR",'Catalogue Aluminium'!$K$9,IF(T36="TRENCH",'Catalogue Aluminium'!$K$12,"NA"))</f>
        <v>0.89</v>
      </c>
      <c r="AJ36" s="359">
        <f>IF(T36="Air",(IF(U36="1C",'Catalogue Aluminium'!$L$9,'Catalogue Aluminium'!$M$9)),IF(T36="DUCT",(IF($U36="1C",'Catalogue Aluminium'!$L$10,'Catalogue Aluminium'!$M$10)),IF(T36="GROUND",(IF($U36="1C",'Catalogue Aluminium'!$L$11,'Catalogue Aluminium'!$M$11)),IF(T36="TRENCH",(IF($U36="1C",'Catalogue Aluminium'!$L$12,'Catalogue Aluminium'!$M$12))))))</f>
        <v>0.66</v>
      </c>
      <c r="AK36" s="361" t="str">
        <f>IF(T36="Air",'Catalogue Aluminium'!$N$9,IF(T36="GROUND",'Catalogue Aluminium'!$N$10,IF(T36="DUCT",'Catalogue Aluminium'!$N$11,IF(T36="TRENCH",'Catalogue Aluminium'!$N$12,"NA"))))</f>
        <v>NA</v>
      </c>
      <c r="AL36" s="361" t="str">
        <f>IF(T36="Air",(IF(U36="1C",'Catalogue Aluminium'!$O$9,'Catalogue Aluminium'!$P$9)),IF(T36="DUCT",(IF($U36="1C",'Catalogue Aluminium'!$O$10,'Catalogue Aluminium'!$P$10)),IF(T36="GROUND",(IF($U36="1C",'Catalogue Aluminium'!$O$11,'Catalogue Aluminium'!$P$11)),IF(T36="TRENCH",(IF($U36="1C",'Catalogue Aluminium'!$O$12,'Catalogue Aluminium'!$P$12))))))</f>
        <v>NA</v>
      </c>
      <c r="AM36" s="361" t="str">
        <f>IF(T36="AIR","NA",IF(T36="TRENCH","NA",IF(T36="DUCT",IF(U36="1C",VLOOKUP(V36,'Catalogue Aluminium'!$Q$9:$S$28,2,FALSE),VLOOKUP(V36,'Catalogue Aluminium'!$Q$9:$S$28,3)),IF(T36="GROUND",IF(U36="1C",VLOOKUP(V36,'Catalogue Aluminium'!$Q$9:$S$28,2,FALSE),VLOOKUP(V36,'Catalogue Aluminium'!$Q$9:$S$28,3))))))</f>
        <v>NA</v>
      </c>
      <c r="AN36" s="365">
        <f t="shared" si="213"/>
        <v>0.58740000000000003</v>
      </c>
      <c r="AO36" s="352" t="e">
        <f t="shared" si="214"/>
        <v>#N/A</v>
      </c>
      <c r="AP36" s="353"/>
      <c r="AQ36" s="428" t="e">
        <f t="shared" si="216"/>
        <v>#N/A</v>
      </c>
      <c r="AR36" s="365" t="e">
        <f t="shared" si="217"/>
        <v>#N/A</v>
      </c>
      <c r="AS36" s="360" t="e">
        <f t="shared" si="218"/>
        <v>#N/A</v>
      </c>
      <c r="AT36" s="365" t="str">
        <f t="shared" si="219"/>
        <v>NA</v>
      </c>
      <c r="AU36" s="360" t="str">
        <f t="shared" si="220"/>
        <v>NA</v>
      </c>
      <c r="AV36" s="366" t="str">
        <f t="shared" si="221"/>
        <v>R x 0.6/1kV x  x 4 Sqmm</v>
      </c>
      <c r="AW36" s="366" t="str">
        <f t="shared" si="222"/>
        <v>R x 0.6/1kV x  x 4 Sqmm</v>
      </c>
      <c r="AX36" s="360"/>
      <c r="AY36" s="367"/>
      <c r="AZ36" s="367"/>
      <c r="BA36" s="751" t="str">
        <f t="shared" si="225"/>
        <v/>
      </c>
      <c r="BB36" s="368"/>
      <c r="BC36" s="368"/>
      <c r="BE36" s="368"/>
      <c r="BF36" s="368"/>
      <c r="BG36" s="368"/>
      <c r="BH36" s="368"/>
      <c r="BI36" s="368"/>
      <c r="BJ36" s="368"/>
      <c r="BK36" s="368"/>
      <c r="BL36" s="368"/>
      <c r="BM36" s="368"/>
      <c r="BN36" s="368"/>
      <c r="BO36" s="368"/>
      <c r="BP36" s="368"/>
      <c r="BQ36" s="368"/>
      <c r="BR36" s="368"/>
      <c r="BS36" s="368"/>
      <c r="BT36" s="368"/>
      <c r="BU36" s="368"/>
      <c r="BV36" s="368"/>
      <c r="BW36" s="368"/>
      <c r="BX36" s="368"/>
      <c r="BY36" s="368"/>
      <c r="BZ36" s="368"/>
      <c r="CA36" s="368"/>
      <c r="CB36" s="368"/>
      <c r="CC36" s="368"/>
      <c r="CD36" s="368"/>
      <c r="CE36" s="368"/>
      <c r="CF36" s="368"/>
      <c r="CG36" s="368"/>
      <c r="CH36" s="368"/>
      <c r="CI36" s="368"/>
      <c r="CJ36" s="368"/>
      <c r="CK36" s="368"/>
      <c r="CL36" s="368"/>
      <c r="CM36" s="368"/>
      <c r="CN36" s="368"/>
      <c r="CO36" s="368"/>
      <c r="CP36" s="368"/>
      <c r="CQ36" s="368"/>
      <c r="CR36" s="368"/>
      <c r="CS36" s="368"/>
      <c r="CT36" s="368"/>
      <c r="CU36" s="368"/>
      <c r="CV36" s="368"/>
      <c r="CW36" s="368"/>
      <c r="CX36" s="368"/>
      <c r="CY36" s="368"/>
      <c r="CZ36" s="368"/>
      <c r="DA36" s="368"/>
      <c r="DB36" s="368"/>
      <c r="DC36" s="368"/>
      <c r="DD36" s="368"/>
      <c r="DE36" s="368"/>
      <c r="DF36" s="368"/>
      <c r="DG36" s="368"/>
      <c r="DH36" s="368"/>
      <c r="DI36" s="368"/>
      <c r="DJ36" s="368"/>
      <c r="DK36" s="368"/>
      <c r="DL36" s="368"/>
      <c r="DM36" s="368"/>
      <c r="DN36" s="368"/>
      <c r="DO36" s="368"/>
      <c r="DP36" s="368"/>
      <c r="DQ36" s="368"/>
      <c r="DR36" s="368"/>
      <c r="DS36" s="368"/>
      <c r="DT36" s="368"/>
      <c r="DU36" s="368"/>
      <c r="DW36" s="336">
        <f t="shared" si="93"/>
        <v>0</v>
      </c>
      <c r="DX36" s="336">
        <f t="shared" si="14"/>
        <v>0</v>
      </c>
      <c r="DY36" s="336">
        <f t="shared" si="15"/>
        <v>0</v>
      </c>
      <c r="DZ36" s="336">
        <f t="shared" si="16"/>
        <v>0</v>
      </c>
      <c r="EA36" s="336">
        <f t="shared" si="17"/>
        <v>0</v>
      </c>
      <c r="EB36" s="336">
        <f t="shared" si="18"/>
        <v>0</v>
      </c>
      <c r="EC36" s="336">
        <f t="shared" si="19"/>
        <v>0</v>
      </c>
      <c r="ED36" s="336">
        <f t="shared" si="20"/>
        <v>0</v>
      </c>
      <c r="EE36" s="336">
        <f t="shared" si="21"/>
        <v>0</v>
      </c>
      <c r="EF36" s="336">
        <f t="shared" si="22"/>
        <v>0</v>
      </c>
      <c r="EG36" s="336">
        <f t="shared" si="23"/>
        <v>0</v>
      </c>
      <c r="EH36" s="336">
        <f t="shared" si="24"/>
        <v>0</v>
      </c>
      <c r="EI36" s="336">
        <f t="shared" si="25"/>
        <v>0</v>
      </c>
      <c r="EJ36" s="336">
        <f t="shared" si="26"/>
        <v>0</v>
      </c>
      <c r="EK36" s="336">
        <f t="shared" si="27"/>
        <v>0</v>
      </c>
      <c r="EL36" s="336">
        <f t="shared" si="28"/>
        <v>0</v>
      </c>
      <c r="EM36" s="336">
        <f t="shared" si="29"/>
        <v>0</v>
      </c>
      <c r="EN36" s="336">
        <f t="shared" si="30"/>
        <v>0</v>
      </c>
      <c r="EO36" s="336">
        <f t="shared" si="31"/>
        <v>0</v>
      </c>
      <c r="EP36" s="336">
        <f t="shared" si="32"/>
        <v>0</v>
      </c>
      <c r="EQ36" s="336">
        <f t="shared" si="33"/>
        <v>0</v>
      </c>
      <c r="ER36" s="336">
        <f t="shared" si="34"/>
        <v>0</v>
      </c>
      <c r="ES36" s="336">
        <f t="shared" si="35"/>
        <v>0</v>
      </c>
      <c r="ET36" s="336">
        <f t="shared" si="35"/>
        <v>0</v>
      </c>
      <c r="EU36" s="336">
        <f t="shared" si="36"/>
        <v>0</v>
      </c>
      <c r="EV36" s="336">
        <f t="shared" si="37"/>
        <v>0</v>
      </c>
      <c r="EW36" s="336">
        <f t="shared" si="38"/>
        <v>0</v>
      </c>
      <c r="EX36" s="336">
        <f t="shared" si="39"/>
        <v>0</v>
      </c>
      <c r="EY36" s="336">
        <f t="shared" si="40"/>
        <v>0</v>
      </c>
      <c r="EZ36" s="336">
        <f t="shared" si="41"/>
        <v>0</v>
      </c>
      <c r="FA36" s="336">
        <f t="shared" si="42"/>
        <v>0</v>
      </c>
      <c r="FB36" s="336">
        <f t="shared" si="43"/>
        <v>0</v>
      </c>
      <c r="FC36" s="336">
        <f t="shared" si="44"/>
        <v>0</v>
      </c>
      <c r="FD36" s="336">
        <f t="shared" si="45"/>
        <v>0</v>
      </c>
      <c r="FE36" s="336">
        <f t="shared" si="46"/>
        <v>0</v>
      </c>
      <c r="FF36" s="336">
        <f t="shared" si="47"/>
        <v>0</v>
      </c>
      <c r="FG36" s="336">
        <f t="shared" si="48"/>
        <v>0</v>
      </c>
      <c r="FH36" s="336">
        <f t="shared" si="49"/>
        <v>0</v>
      </c>
      <c r="FI36" s="336">
        <f t="shared" si="50"/>
        <v>0</v>
      </c>
      <c r="FJ36" s="336">
        <f t="shared" si="51"/>
        <v>0</v>
      </c>
      <c r="FK36" s="336">
        <f t="shared" si="52"/>
        <v>0</v>
      </c>
      <c r="FL36" s="336">
        <f t="shared" si="53"/>
        <v>0</v>
      </c>
      <c r="FM36" s="336">
        <f t="shared" si="54"/>
        <v>0</v>
      </c>
      <c r="FN36" s="336">
        <f t="shared" si="55"/>
        <v>0</v>
      </c>
      <c r="FO36" s="336">
        <f t="shared" si="56"/>
        <v>0</v>
      </c>
      <c r="FP36" s="336">
        <f t="shared" si="57"/>
        <v>0</v>
      </c>
      <c r="FQ36" s="336">
        <f t="shared" si="58"/>
        <v>0</v>
      </c>
      <c r="FR36" s="336">
        <f t="shared" si="59"/>
        <v>0</v>
      </c>
      <c r="FS36" s="336">
        <f t="shared" si="60"/>
        <v>0</v>
      </c>
      <c r="FT36" s="336">
        <f t="shared" si="61"/>
        <v>0</v>
      </c>
      <c r="FU36" s="336">
        <f t="shared" si="62"/>
        <v>0</v>
      </c>
      <c r="FV36" s="336">
        <f t="shared" si="63"/>
        <v>0</v>
      </c>
      <c r="FW36" s="336">
        <f t="shared" si="64"/>
        <v>0</v>
      </c>
      <c r="FX36" s="336">
        <f t="shared" si="65"/>
        <v>0</v>
      </c>
      <c r="FY36" s="336">
        <f t="shared" si="66"/>
        <v>0</v>
      </c>
      <c r="FZ36" s="336">
        <f t="shared" si="67"/>
        <v>0</v>
      </c>
      <c r="GA36" s="336">
        <f t="shared" si="68"/>
        <v>0</v>
      </c>
      <c r="GB36" s="336">
        <f t="shared" si="69"/>
        <v>0</v>
      </c>
      <c r="GC36" s="336">
        <f t="shared" si="70"/>
        <v>0</v>
      </c>
      <c r="GD36" s="336">
        <f t="shared" si="71"/>
        <v>0</v>
      </c>
      <c r="GE36" s="336">
        <f t="shared" si="72"/>
        <v>0</v>
      </c>
      <c r="GF36" s="336">
        <f t="shared" si="73"/>
        <v>0</v>
      </c>
      <c r="GG36" s="336">
        <f t="shared" si="74"/>
        <v>0</v>
      </c>
      <c r="GH36" s="336">
        <f t="shared" si="75"/>
        <v>0</v>
      </c>
      <c r="GI36" s="336">
        <f t="shared" si="76"/>
        <v>0</v>
      </c>
      <c r="GJ36" s="336">
        <f t="shared" si="77"/>
        <v>0</v>
      </c>
      <c r="GK36" s="336">
        <f t="shared" si="78"/>
        <v>0</v>
      </c>
      <c r="GL36" s="336">
        <f t="shared" si="79"/>
        <v>0</v>
      </c>
      <c r="GM36" s="336">
        <f t="shared" si="80"/>
        <v>0</v>
      </c>
    </row>
    <row r="37" spans="1:195" s="83" customFormat="1" hidden="1">
      <c r="A37" s="357" t="s">
        <v>334</v>
      </c>
      <c r="B37" s="783" t="s">
        <v>527</v>
      </c>
      <c r="C37" s="783" t="str">
        <f t="shared" si="227"/>
        <v>PDB-3</v>
      </c>
      <c r="D37" s="565" t="s">
        <v>1464</v>
      </c>
      <c r="E37" s="493" t="s">
        <v>427</v>
      </c>
      <c r="F37" s="493"/>
      <c r="G37" s="357" t="s">
        <v>329</v>
      </c>
      <c r="H37" s="352">
        <v>1.5</v>
      </c>
      <c r="I37" s="357" t="s">
        <v>330</v>
      </c>
      <c r="J37" s="357" t="s">
        <v>357</v>
      </c>
      <c r="K37" s="353">
        <v>230</v>
      </c>
      <c r="L37" s="360">
        <v>0.85</v>
      </c>
      <c r="M37" s="352">
        <v>0.95</v>
      </c>
      <c r="N37" s="359">
        <f t="shared" si="205"/>
        <v>8.0764571274734145</v>
      </c>
      <c r="O37" s="359">
        <f t="shared" si="206"/>
        <v>0</v>
      </c>
      <c r="P37" s="360" t="str">
        <f t="shared" si="207"/>
        <v>0.00</v>
      </c>
      <c r="Q37" s="352">
        <v>65</v>
      </c>
      <c r="R37" s="352">
        <v>0</v>
      </c>
      <c r="S37" s="352">
        <f t="shared" si="208"/>
        <v>0</v>
      </c>
      <c r="T37" s="360" t="s">
        <v>131</v>
      </c>
      <c r="U37" s="352"/>
      <c r="V37" s="360">
        <v>4</v>
      </c>
      <c r="W37" s="360" t="str">
        <f t="shared" si="209"/>
        <v xml:space="preserve"> X 4</v>
      </c>
      <c r="X37" s="360" t="str">
        <f t="shared" si="210"/>
        <v xml:space="preserve"> X 4</v>
      </c>
      <c r="Y37" s="360" t="s">
        <v>358</v>
      </c>
      <c r="Z37" s="361" t="e">
        <f>IF(T37="AIR",VLOOKUP(W37,'Catalogue Aluminium'!$B$9:$G$93,2,FALSE),IF(T37="GROUND",VLOOKUP(W37,'Catalogue Aluminium'!$B$9:$G$93,3,FALSE),IF(T37="DUCT",VLOOKUP(W37,'Catalogue Aluminium'!$B$9:$G$93,4,FALSE),IF(T37="TRENCH",VLOOKUP(W37,'Catalogue Aluminium'!$B$9:$G$93,2,FALSE)))))</f>
        <v>#N/A</v>
      </c>
      <c r="AA37" s="362" t="e">
        <f>VLOOKUP(W37,'Catalogue Aluminium'!$B$9:$G$93,5,FALSE)</f>
        <v>#N/A</v>
      </c>
      <c r="AB37" s="362" t="e">
        <f>VLOOKUP(W37,'Catalogue Aluminium'!$B$9:$G$93,6,FALSE)</f>
        <v>#N/A</v>
      </c>
      <c r="AC37" s="357">
        <f t="shared" si="211"/>
        <v>29</v>
      </c>
      <c r="AD37" s="564">
        <f t="shared" si="228"/>
        <v>32</v>
      </c>
      <c r="AE37" s="564">
        <v>10</v>
      </c>
      <c r="AF37" s="564">
        <v>8</v>
      </c>
      <c r="AG37" s="564">
        <f t="shared" si="84"/>
        <v>8</v>
      </c>
      <c r="AH37" s="564">
        <f t="shared" si="212"/>
        <v>87</v>
      </c>
      <c r="AI37" s="361">
        <f>IF(T37="AIR",'Catalogue Aluminium'!$K$9,IF(T37="TRENCH",'Catalogue Aluminium'!$K$12,"NA"))</f>
        <v>0.89</v>
      </c>
      <c r="AJ37" s="359">
        <f>IF(T37="Air",(IF(U37="1C",'Catalogue Aluminium'!$L$9,'Catalogue Aluminium'!$M$9)),IF(T37="DUCT",(IF($U37="1C",'Catalogue Aluminium'!$L$10,'Catalogue Aluminium'!$M$10)),IF(T37="GROUND",(IF($U37="1C",'Catalogue Aluminium'!$L$11,'Catalogue Aluminium'!$M$11)),IF(T37="TRENCH",(IF($U37="1C",'Catalogue Aluminium'!$L$12,'Catalogue Aluminium'!$M$12))))))</f>
        <v>0.66</v>
      </c>
      <c r="AK37" s="361" t="str">
        <f>IF(T37="Air",'Catalogue Aluminium'!$N$9,IF(T37="GROUND",'Catalogue Aluminium'!$N$10,IF(T37="DUCT",'Catalogue Aluminium'!$N$11,IF(T37="TRENCH",'Catalogue Aluminium'!$N$12,"NA"))))</f>
        <v>NA</v>
      </c>
      <c r="AL37" s="361" t="str">
        <f>IF(T37="Air",(IF(U37="1C",'Catalogue Aluminium'!$O$9,'Catalogue Aluminium'!$P$9)),IF(T37="DUCT",(IF($U37="1C",'Catalogue Aluminium'!$O$10,'Catalogue Aluminium'!$P$10)),IF(T37="GROUND",(IF($U37="1C",'Catalogue Aluminium'!$O$11,'Catalogue Aluminium'!$P$11)),IF(T37="TRENCH",(IF($U37="1C",'Catalogue Aluminium'!$O$12,'Catalogue Aluminium'!$P$12))))))</f>
        <v>NA</v>
      </c>
      <c r="AM37" s="361" t="str">
        <f>IF(T37="AIR","NA",IF(T37="TRENCH","NA",IF(T37="DUCT",IF(U37="1C",VLOOKUP(V37,'Catalogue Aluminium'!$Q$9:$S$28,2,FALSE),VLOOKUP(V37,'Catalogue Aluminium'!$Q$9:$S$28,3)),IF(T37="GROUND",IF(U37="1C",VLOOKUP(V37,'Catalogue Aluminium'!$Q$9:$S$28,2,FALSE),VLOOKUP(V37,'Catalogue Aluminium'!$Q$9:$S$28,3))))))</f>
        <v>NA</v>
      </c>
      <c r="AN37" s="365">
        <f t="shared" si="213"/>
        <v>0.58740000000000003</v>
      </c>
      <c r="AO37" s="352" t="e">
        <f t="shared" si="214"/>
        <v>#N/A</v>
      </c>
      <c r="AP37" s="353"/>
      <c r="AQ37" s="428" t="e">
        <f t="shared" si="216"/>
        <v>#N/A</v>
      </c>
      <c r="AR37" s="365" t="e">
        <f t="shared" si="217"/>
        <v>#N/A</v>
      </c>
      <c r="AS37" s="360" t="e">
        <f t="shared" si="218"/>
        <v>#N/A</v>
      </c>
      <c r="AT37" s="365" t="str">
        <f t="shared" si="219"/>
        <v>NA</v>
      </c>
      <c r="AU37" s="360" t="str">
        <f t="shared" si="220"/>
        <v>NA</v>
      </c>
      <c r="AV37" s="366" t="str">
        <f t="shared" si="221"/>
        <v>R x 0.6/1kV x  x 4 Sqmm</v>
      </c>
      <c r="AW37" s="366" t="str">
        <f t="shared" si="222"/>
        <v>R x 0.6/1kV x  x 4 Sqmm</v>
      </c>
      <c r="AX37" s="360"/>
      <c r="AY37" s="367"/>
      <c r="AZ37" s="367"/>
      <c r="BA37" s="751" t="str">
        <f t="shared" si="225"/>
        <v/>
      </c>
      <c r="BB37" s="368"/>
      <c r="BC37" s="368"/>
      <c r="BE37" s="368"/>
      <c r="BF37" s="368"/>
      <c r="BG37" s="368"/>
      <c r="BH37" s="368"/>
      <c r="BI37" s="368"/>
      <c r="BJ37" s="368"/>
      <c r="BK37" s="368"/>
      <c r="BL37" s="368"/>
      <c r="BM37" s="368"/>
      <c r="BN37" s="368"/>
      <c r="BO37" s="368"/>
      <c r="BP37" s="368"/>
      <c r="BQ37" s="368"/>
      <c r="BR37" s="368"/>
      <c r="BS37" s="368"/>
      <c r="BT37" s="368"/>
      <c r="BU37" s="368"/>
      <c r="BV37" s="368"/>
      <c r="BW37" s="368"/>
      <c r="BX37" s="368"/>
      <c r="BY37" s="368"/>
      <c r="BZ37" s="368"/>
      <c r="CA37" s="368"/>
      <c r="CB37" s="368"/>
      <c r="CC37" s="368"/>
      <c r="CD37" s="368"/>
      <c r="CE37" s="368"/>
      <c r="CF37" s="368"/>
      <c r="CG37" s="368"/>
      <c r="CH37" s="368"/>
      <c r="CI37" s="368"/>
      <c r="CJ37" s="368"/>
      <c r="CK37" s="368"/>
      <c r="CL37" s="368"/>
      <c r="CM37" s="368"/>
      <c r="CN37" s="368"/>
      <c r="CO37" s="368"/>
      <c r="CP37" s="368"/>
      <c r="CQ37" s="368"/>
      <c r="CR37" s="368"/>
      <c r="CS37" s="368"/>
      <c r="CT37" s="368"/>
      <c r="CU37" s="368"/>
      <c r="CV37" s="368"/>
      <c r="CW37" s="368"/>
      <c r="CX37" s="368"/>
      <c r="CY37" s="368"/>
      <c r="CZ37" s="368"/>
      <c r="DA37" s="368"/>
      <c r="DB37" s="368"/>
      <c r="DC37" s="368"/>
      <c r="DD37" s="368"/>
      <c r="DE37" s="368"/>
      <c r="DF37" s="368"/>
      <c r="DG37" s="368"/>
      <c r="DH37" s="368"/>
      <c r="DI37" s="368"/>
      <c r="DJ37" s="368"/>
      <c r="DK37" s="368"/>
      <c r="DL37" s="368"/>
      <c r="DM37" s="368"/>
      <c r="DN37" s="368"/>
      <c r="DO37" s="368"/>
      <c r="DP37" s="368"/>
      <c r="DQ37" s="368"/>
      <c r="DR37" s="368"/>
      <c r="DS37" s="368"/>
      <c r="DT37" s="368"/>
      <c r="DU37" s="368"/>
      <c r="DW37" s="336">
        <f t="shared" si="93"/>
        <v>0</v>
      </c>
      <c r="DX37" s="336">
        <f t="shared" si="14"/>
        <v>0</v>
      </c>
      <c r="DY37" s="336">
        <f t="shared" si="15"/>
        <v>0</v>
      </c>
      <c r="DZ37" s="336">
        <f t="shared" si="16"/>
        <v>0</v>
      </c>
      <c r="EA37" s="336">
        <f t="shared" si="17"/>
        <v>0</v>
      </c>
      <c r="EB37" s="336">
        <f t="shared" si="18"/>
        <v>0</v>
      </c>
      <c r="EC37" s="336">
        <f t="shared" si="19"/>
        <v>0</v>
      </c>
      <c r="ED37" s="336">
        <f t="shared" si="20"/>
        <v>0</v>
      </c>
      <c r="EE37" s="336">
        <f t="shared" si="21"/>
        <v>0</v>
      </c>
      <c r="EF37" s="336">
        <f t="shared" si="22"/>
        <v>0</v>
      </c>
      <c r="EG37" s="336">
        <f t="shared" si="23"/>
        <v>0</v>
      </c>
      <c r="EH37" s="336">
        <f t="shared" si="24"/>
        <v>0</v>
      </c>
      <c r="EI37" s="336">
        <f t="shared" si="25"/>
        <v>0</v>
      </c>
      <c r="EJ37" s="336">
        <f t="shared" si="26"/>
        <v>0</v>
      </c>
      <c r="EK37" s="336">
        <f t="shared" si="27"/>
        <v>0</v>
      </c>
      <c r="EL37" s="336">
        <f t="shared" si="28"/>
        <v>0</v>
      </c>
      <c r="EM37" s="336">
        <f t="shared" si="29"/>
        <v>0</v>
      </c>
      <c r="EN37" s="336">
        <f t="shared" si="30"/>
        <v>0</v>
      </c>
      <c r="EO37" s="336">
        <f t="shared" si="31"/>
        <v>0</v>
      </c>
      <c r="EP37" s="336">
        <f t="shared" si="32"/>
        <v>0</v>
      </c>
      <c r="EQ37" s="336">
        <f t="shared" si="33"/>
        <v>0</v>
      </c>
      <c r="ER37" s="336">
        <f t="shared" si="34"/>
        <v>0</v>
      </c>
      <c r="ES37" s="336">
        <f t="shared" si="35"/>
        <v>0</v>
      </c>
      <c r="ET37" s="336">
        <f t="shared" si="35"/>
        <v>0</v>
      </c>
      <c r="EU37" s="336">
        <f t="shared" si="36"/>
        <v>0</v>
      </c>
      <c r="EV37" s="336">
        <f t="shared" si="37"/>
        <v>0</v>
      </c>
      <c r="EW37" s="336">
        <f t="shared" si="38"/>
        <v>0</v>
      </c>
      <c r="EX37" s="336">
        <f t="shared" si="39"/>
        <v>0</v>
      </c>
      <c r="EY37" s="336">
        <f t="shared" si="40"/>
        <v>0</v>
      </c>
      <c r="EZ37" s="336">
        <f t="shared" si="41"/>
        <v>0</v>
      </c>
      <c r="FA37" s="336">
        <f t="shared" si="42"/>
        <v>0</v>
      </c>
      <c r="FB37" s="336">
        <f t="shared" si="43"/>
        <v>0</v>
      </c>
      <c r="FC37" s="336">
        <f t="shared" si="44"/>
        <v>0</v>
      </c>
      <c r="FD37" s="336">
        <f t="shared" si="45"/>
        <v>0</v>
      </c>
      <c r="FE37" s="336">
        <f t="shared" si="46"/>
        <v>0</v>
      </c>
      <c r="FF37" s="336">
        <f t="shared" si="47"/>
        <v>0</v>
      </c>
      <c r="FG37" s="336">
        <f t="shared" si="48"/>
        <v>0</v>
      </c>
      <c r="FH37" s="336">
        <f t="shared" si="49"/>
        <v>0</v>
      </c>
      <c r="FI37" s="336">
        <f t="shared" si="50"/>
        <v>0</v>
      </c>
      <c r="FJ37" s="336">
        <f t="shared" si="51"/>
        <v>0</v>
      </c>
      <c r="FK37" s="336">
        <f t="shared" si="52"/>
        <v>0</v>
      </c>
      <c r="FL37" s="336">
        <f t="shared" si="53"/>
        <v>0</v>
      </c>
      <c r="FM37" s="336">
        <f t="shared" si="54"/>
        <v>0</v>
      </c>
      <c r="FN37" s="336">
        <f t="shared" si="55"/>
        <v>0</v>
      </c>
      <c r="FO37" s="336">
        <f t="shared" si="56"/>
        <v>0</v>
      </c>
      <c r="FP37" s="336">
        <f t="shared" si="57"/>
        <v>0</v>
      </c>
      <c r="FQ37" s="336">
        <f t="shared" si="58"/>
        <v>0</v>
      </c>
      <c r="FR37" s="336">
        <f t="shared" si="59"/>
        <v>0</v>
      </c>
      <c r="FS37" s="336">
        <f t="shared" si="60"/>
        <v>0</v>
      </c>
      <c r="FT37" s="336">
        <f t="shared" si="61"/>
        <v>0</v>
      </c>
      <c r="FU37" s="336">
        <f t="shared" si="62"/>
        <v>0</v>
      </c>
      <c r="FV37" s="336">
        <f t="shared" si="63"/>
        <v>0</v>
      </c>
      <c r="FW37" s="336">
        <f t="shared" si="64"/>
        <v>0</v>
      </c>
      <c r="FX37" s="336">
        <f t="shared" si="65"/>
        <v>0</v>
      </c>
      <c r="FY37" s="336">
        <f t="shared" si="66"/>
        <v>0</v>
      </c>
      <c r="FZ37" s="336">
        <f t="shared" si="67"/>
        <v>0</v>
      </c>
      <c r="GA37" s="336">
        <f t="shared" si="68"/>
        <v>0</v>
      </c>
      <c r="GB37" s="336">
        <f t="shared" si="69"/>
        <v>0</v>
      </c>
      <c r="GC37" s="336">
        <f t="shared" si="70"/>
        <v>0</v>
      </c>
      <c r="GD37" s="336">
        <f t="shared" si="71"/>
        <v>0</v>
      </c>
      <c r="GE37" s="336">
        <f t="shared" si="72"/>
        <v>0</v>
      </c>
      <c r="GF37" s="336">
        <f t="shared" si="73"/>
        <v>0</v>
      </c>
      <c r="GG37" s="336">
        <f t="shared" si="74"/>
        <v>0</v>
      </c>
      <c r="GH37" s="336">
        <f t="shared" si="75"/>
        <v>0</v>
      </c>
      <c r="GI37" s="336">
        <f t="shared" si="76"/>
        <v>0</v>
      </c>
      <c r="GJ37" s="336">
        <f t="shared" si="77"/>
        <v>0</v>
      </c>
      <c r="GK37" s="336">
        <f t="shared" si="78"/>
        <v>0</v>
      </c>
      <c r="GL37" s="336">
        <f t="shared" si="79"/>
        <v>0</v>
      </c>
      <c r="GM37" s="336">
        <f t="shared" si="80"/>
        <v>0</v>
      </c>
    </row>
    <row r="38" spans="1:195" s="83" customFormat="1" hidden="1">
      <c r="A38" s="357" t="s">
        <v>334</v>
      </c>
      <c r="B38" s="783" t="s">
        <v>527</v>
      </c>
      <c r="C38" s="783" t="str">
        <f t="shared" si="227"/>
        <v>PDB-3</v>
      </c>
      <c r="D38" s="565" t="s">
        <v>1464</v>
      </c>
      <c r="E38" s="493" t="s">
        <v>427</v>
      </c>
      <c r="F38" s="493"/>
      <c r="G38" s="357" t="s">
        <v>329</v>
      </c>
      <c r="H38" s="352">
        <v>1.5</v>
      </c>
      <c r="I38" s="357" t="s">
        <v>330</v>
      </c>
      <c r="J38" s="357" t="s">
        <v>357</v>
      </c>
      <c r="K38" s="353">
        <v>230</v>
      </c>
      <c r="L38" s="360">
        <v>0.85</v>
      </c>
      <c r="M38" s="352">
        <v>0.95400000000000007</v>
      </c>
      <c r="N38" s="359">
        <f t="shared" si="205"/>
        <v>8.0425935755762517</v>
      </c>
      <c r="O38" s="359">
        <f t="shared" si="206"/>
        <v>0</v>
      </c>
      <c r="P38" s="360" t="str">
        <f t="shared" si="207"/>
        <v>0.00</v>
      </c>
      <c r="Q38" s="352">
        <v>65</v>
      </c>
      <c r="R38" s="352">
        <v>0</v>
      </c>
      <c r="S38" s="352">
        <f t="shared" si="208"/>
        <v>0</v>
      </c>
      <c r="T38" s="360" t="s">
        <v>131</v>
      </c>
      <c r="U38" s="352"/>
      <c r="V38" s="360">
        <v>4</v>
      </c>
      <c r="W38" s="360" t="str">
        <f t="shared" si="209"/>
        <v xml:space="preserve"> X 4</v>
      </c>
      <c r="X38" s="360" t="str">
        <f t="shared" si="210"/>
        <v xml:space="preserve"> X 4</v>
      </c>
      <c r="Y38" s="360" t="s">
        <v>358</v>
      </c>
      <c r="Z38" s="361" t="e">
        <f>IF(T38="AIR",VLOOKUP(W38,'Catalogue Aluminium'!$B$9:$G$93,2,FALSE),IF(T38="GROUND",VLOOKUP(W38,'Catalogue Aluminium'!$B$9:$G$93,3,FALSE),IF(T38="DUCT",VLOOKUP(W38,'Catalogue Aluminium'!$B$9:$G$93,4,FALSE),IF(T38="TRENCH",VLOOKUP(W38,'Catalogue Aluminium'!$B$9:$G$93,2,FALSE)))))</f>
        <v>#N/A</v>
      </c>
      <c r="AA38" s="362" t="e">
        <f>VLOOKUP(W38,'Catalogue Aluminium'!$B$9:$G$93,5,FALSE)</f>
        <v>#N/A</v>
      </c>
      <c r="AB38" s="362" t="e">
        <f>VLOOKUP(W38,'Catalogue Aluminium'!$B$9:$G$93,6,FALSE)</f>
        <v>#N/A</v>
      </c>
      <c r="AC38" s="357">
        <f t="shared" si="211"/>
        <v>29</v>
      </c>
      <c r="AD38" s="564">
        <f t="shared" si="228"/>
        <v>32</v>
      </c>
      <c r="AE38" s="564">
        <v>10</v>
      </c>
      <c r="AF38" s="564">
        <v>8</v>
      </c>
      <c r="AG38" s="564">
        <f t="shared" si="84"/>
        <v>8</v>
      </c>
      <c r="AH38" s="564">
        <f t="shared" si="212"/>
        <v>87</v>
      </c>
      <c r="AI38" s="361">
        <f>IF(T38="AIR",'Catalogue Aluminium'!$K$9,IF(T38="TRENCH",'Catalogue Aluminium'!$K$12,"NA"))</f>
        <v>0.89</v>
      </c>
      <c r="AJ38" s="359">
        <f>IF(T38="Air",(IF(U38="1C",'Catalogue Aluminium'!$L$9,'Catalogue Aluminium'!$M$9)),IF(T38="DUCT",(IF($U38="1C",'Catalogue Aluminium'!$L$10,'Catalogue Aluminium'!$M$10)),IF(T38="GROUND",(IF($U38="1C",'Catalogue Aluminium'!$L$11,'Catalogue Aluminium'!$M$11)),IF(T38="TRENCH",(IF($U38="1C",'Catalogue Aluminium'!$L$12,'Catalogue Aluminium'!$M$12))))))</f>
        <v>0.66</v>
      </c>
      <c r="AK38" s="361" t="str">
        <f>IF(T38="Air",'Catalogue Aluminium'!$N$9,IF(T38="GROUND",'Catalogue Aluminium'!$N$10,IF(T38="DUCT",'Catalogue Aluminium'!$N$11,IF(T38="TRENCH",'Catalogue Aluminium'!$N$12,"NA"))))</f>
        <v>NA</v>
      </c>
      <c r="AL38" s="361" t="str">
        <f>IF(T38="Air",(IF(U38="1C",'Catalogue Aluminium'!$O$9,'Catalogue Aluminium'!$P$9)),IF(T38="DUCT",(IF($U38="1C",'Catalogue Aluminium'!$O$10,'Catalogue Aluminium'!$P$10)),IF(T38="GROUND",(IF($U38="1C",'Catalogue Aluminium'!$O$11,'Catalogue Aluminium'!$P$11)),IF(T38="TRENCH",(IF($U38="1C",'Catalogue Aluminium'!$O$12,'Catalogue Aluminium'!$P$12))))))</f>
        <v>NA</v>
      </c>
      <c r="AM38" s="361" t="str">
        <f>IF(T38="AIR","NA",IF(T38="TRENCH","NA",IF(T38="DUCT",IF(U38="1C",VLOOKUP(V38,'Catalogue Aluminium'!$Q$9:$S$28,2,FALSE),VLOOKUP(V38,'Catalogue Aluminium'!$Q$9:$S$28,3)),IF(T38="GROUND",IF(U38="1C",VLOOKUP(V38,'Catalogue Aluminium'!$Q$9:$S$28,2,FALSE),VLOOKUP(V38,'Catalogue Aluminium'!$Q$9:$S$28,3))))))</f>
        <v>NA</v>
      </c>
      <c r="AN38" s="365">
        <f t="shared" si="213"/>
        <v>0.58740000000000003</v>
      </c>
      <c r="AO38" s="352" t="e">
        <f t="shared" si="214"/>
        <v>#N/A</v>
      </c>
      <c r="AP38" s="353"/>
      <c r="AQ38" s="428" t="e">
        <f t="shared" si="216"/>
        <v>#N/A</v>
      </c>
      <c r="AR38" s="365" t="e">
        <f t="shared" si="217"/>
        <v>#N/A</v>
      </c>
      <c r="AS38" s="360" t="e">
        <f t="shared" si="218"/>
        <v>#N/A</v>
      </c>
      <c r="AT38" s="365" t="str">
        <f t="shared" si="219"/>
        <v>NA</v>
      </c>
      <c r="AU38" s="360" t="str">
        <f t="shared" si="220"/>
        <v>NA</v>
      </c>
      <c r="AV38" s="366" t="str">
        <f t="shared" si="221"/>
        <v>R x 0.6/1kV x  x 4 Sqmm</v>
      </c>
      <c r="AW38" s="366" t="str">
        <f t="shared" si="222"/>
        <v>R x 0.6/1kV x  x 4 Sqmm</v>
      </c>
      <c r="AX38" s="360"/>
      <c r="AY38" s="367"/>
      <c r="AZ38" s="367"/>
      <c r="BA38" s="751" t="str">
        <f t="shared" si="225"/>
        <v/>
      </c>
      <c r="BB38" s="368"/>
      <c r="BC38" s="368"/>
      <c r="BE38" s="368"/>
      <c r="BF38" s="368"/>
      <c r="BG38" s="368"/>
      <c r="BH38" s="368"/>
      <c r="BI38" s="368"/>
      <c r="BJ38" s="368"/>
      <c r="BK38" s="368"/>
      <c r="BL38" s="368"/>
      <c r="BM38" s="368"/>
      <c r="BN38" s="368"/>
      <c r="BO38" s="368"/>
      <c r="BP38" s="368"/>
      <c r="BQ38" s="368"/>
      <c r="BR38" s="368"/>
      <c r="BS38" s="368"/>
      <c r="BT38" s="368"/>
      <c r="BU38" s="368"/>
      <c r="BV38" s="368"/>
      <c r="BW38" s="368"/>
      <c r="BX38" s="368"/>
      <c r="BY38" s="368"/>
      <c r="BZ38" s="368"/>
      <c r="CA38" s="368"/>
      <c r="CB38" s="368"/>
      <c r="CC38" s="368"/>
      <c r="CD38" s="368"/>
      <c r="CE38" s="368"/>
      <c r="CF38" s="368"/>
      <c r="CG38" s="368"/>
      <c r="CH38" s="368"/>
      <c r="CI38" s="368"/>
      <c r="CJ38" s="368"/>
      <c r="CK38" s="368"/>
      <c r="CL38" s="368"/>
      <c r="CM38" s="368"/>
      <c r="CN38" s="368"/>
      <c r="CO38" s="368"/>
      <c r="CP38" s="368"/>
      <c r="CQ38" s="368"/>
      <c r="CR38" s="368"/>
      <c r="CS38" s="368"/>
      <c r="CT38" s="368"/>
      <c r="CU38" s="368"/>
      <c r="CV38" s="368"/>
      <c r="CW38" s="368"/>
      <c r="CX38" s="368"/>
      <c r="CY38" s="368"/>
      <c r="CZ38" s="368"/>
      <c r="DA38" s="368"/>
      <c r="DB38" s="368"/>
      <c r="DC38" s="368"/>
      <c r="DD38" s="368"/>
      <c r="DE38" s="368"/>
      <c r="DF38" s="368"/>
      <c r="DG38" s="368"/>
      <c r="DH38" s="368"/>
      <c r="DI38" s="368"/>
      <c r="DJ38" s="368"/>
      <c r="DK38" s="368"/>
      <c r="DL38" s="368"/>
      <c r="DM38" s="368"/>
      <c r="DN38" s="368"/>
      <c r="DO38" s="368"/>
      <c r="DP38" s="368"/>
      <c r="DQ38" s="368"/>
      <c r="DR38" s="368"/>
      <c r="DS38" s="368"/>
      <c r="DT38" s="368"/>
      <c r="DU38" s="368"/>
      <c r="DW38" s="336">
        <f t="shared" si="93"/>
        <v>0</v>
      </c>
      <c r="DX38" s="336">
        <f t="shared" si="14"/>
        <v>0</v>
      </c>
      <c r="DY38" s="336">
        <f t="shared" si="15"/>
        <v>0</v>
      </c>
      <c r="DZ38" s="336">
        <f t="shared" si="16"/>
        <v>0</v>
      </c>
      <c r="EA38" s="336">
        <f t="shared" si="17"/>
        <v>0</v>
      </c>
      <c r="EB38" s="336">
        <f t="shared" si="18"/>
        <v>0</v>
      </c>
      <c r="EC38" s="336">
        <f t="shared" si="19"/>
        <v>0</v>
      </c>
      <c r="ED38" s="336">
        <f t="shared" si="20"/>
        <v>0</v>
      </c>
      <c r="EE38" s="336">
        <f t="shared" si="21"/>
        <v>0</v>
      </c>
      <c r="EF38" s="336">
        <f t="shared" si="22"/>
        <v>0</v>
      </c>
      <c r="EG38" s="336">
        <f t="shared" si="23"/>
        <v>0</v>
      </c>
      <c r="EH38" s="336">
        <f t="shared" si="24"/>
        <v>0</v>
      </c>
      <c r="EI38" s="336">
        <f t="shared" si="25"/>
        <v>0</v>
      </c>
      <c r="EJ38" s="336">
        <f t="shared" si="26"/>
        <v>0</v>
      </c>
      <c r="EK38" s="336">
        <f t="shared" si="27"/>
        <v>0</v>
      </c>
      <c r="EL38" s="336">
        <f t="shared" si="28"/>
        <v>0</v>
      </c>
      <c r="EM38" s="336">
        <f t="shared" si="29"/>
        <v>0</v>
      </c>
      <c r="EN38" s="336">
        <f t="shared" si="30"/>
        <v>0</v>
      </c>
      <c r="EO38" s="336">
        <f t="shared" si="31"/>
        <v>0</v>
      </c>
      <c r="EP38" s="336">
        <f t="shared" si="32"/>
        <v>0</v>
      </c>
      <c r="EQ38" s="336">
        <f t="shared" si="33"/>
        <v>0</v>
      </c>
      <c r="ER38" s="336">
        <f t="shared" si="34"/>
        <v>0</v>
      </c>
      <c r="ES38" s="336">
        <f t="shared" si="35"/>
        <v>0</v>
      </c>
      <c r="ET38" s="336">
        <f t="shared" si="35"/>
        <v>0</v>
      </c>
      <c r="EU38" s="336">
        <f t="shared" si="36"/>
        <v>0</v>
      </c>
      <c r="EV38" s="336">
        <f t="shared" si="37"/>
        <v>0</v>
      </c>
      <c r="EW38" s="336">
        <f t="shared" si="38"/>
        <v>0</v>
      </c>
      <c r="EX38" s="336">
        <f t="shared" si="39"/>
        <v>0</v>
      </c>
      <c r="EY38" s="336">
        <f t="shared" si="40"/>
        <v>0</v>
      </c>
      <c r="EZ38" s="336">
        <f t="shared" si="41"/>
        <v>0</v>
      </c>
      <c r="FA38" s="336">
        <f t="shared" si="42"/>
        <v>0</v>
      </c>
      <c r="FB38" s="336">
        <f t="shared" si="43"/>
        <v>0</v>
      </c>
      <c r="FC38" s="336">
        <f t="shared" si="44"/>
        <v>0</v>
      </c>
      <c r="FD38" s="336">
        <f t="shared" si="45"/>
        <v>0</v>
      </c>
      <c r="FE38" s="336">
        <f t="shared" si="46"/>
        <v>0</v>
      </c>
      <c r="FF38" s="336">
        <f t="shared" si="47"/>
        <v>0</v>
      </c>
      <c r="FG38" s="336">
        <f t="shared" si="48"/>
        <v>0</v>
      </c>
      <c r="FH38" s="336">
        <f t="shared" si="49"/>
        <v>0</v>
      </c>
      <c r="FI38" s="336">
        <f t="shared" si="50"/>
        <v>0</v>
      </c>
      <c r="FJ38" s="336">
        <f t="shared" si="51"/>
        <v>0</v>
      </c>
      <c r="FK38" s="336">
        <f t="shared" si="52"/>
        <v>0</v>
      </c>
      <c r="FL38" s="336">
        <f t="shared" si="53"/>
        <v>0</v>
      </c>
      <c r="FM38" s="336">
        <f t="shared" si="54"/>
        <v>0</v>
      </c>
      <c r="FN38" s="336">
        <f t="shared" si="55"/>
        <v>0</v>
      </c>
      <c r="FO38" s="336">
        <f t="shared" si="56"/>
        <v>0</v>
      </c>
      <c r="FP38" s="336">
        <f t="shared" si="57"/>
        <v>0</v>
      </c>
      <c r="FQ38" s="336">
        <f t="shared" si="58"/>
        <v>0</v>
      </c>
      <c r="FR38" s="336">
        <f t="shared" si="59"/>
        <v>0</v>
      </c>
      <c r="FS38" s="336">
        <f t="shared" si="60"/>
        <v>0</v>
      </c>
      <c r="FT38" s="336">
        <f t="shared" si="61"/>
        <v>0</v>
      </c>
      <c r="FU38" s="336">
        <f t="shared" si="62"/>
        <v>0</v>
      </c>
      <c r="FV38" s="336">
        <f t="shared" si="63"/>
        <v>0</v>
      </c>
      <c r="FW38" s="336">
        <f t="shared" si="64"/>
        <v>0</v>
      </c>
      <c r="FX38" s="336">
        <f t="shared" si="65"/>
        <v>0</v>
      </c>
      <c r="FY38" s="336">
        <f t="shared" si="66"/>
        <v>0</v>
      </c>
      <c r="FZ38" s="336">
        <f t="shared" si="67"/>
        <v>0</v>
      </c>
      <c r="GA38" s="336">
        <f t="shared" si="68"/>
        <v>0</v>
      </c>
      <c r="GB38" s="336">
        <f t="shared" si="69"/>
        <v>0</v>
      </c>
      <c r="GC38" s="336">
        <f t="shared" si="70"/>
        <v>0</v>
      </c>
      <c r="GD38" s="336">
        <f t="shared" si="71"/>
        <v>0</v>
      </c>
      <c r="GE38" s="336">
        <f t="shared" si="72"/>
        <v>0</v>
      </c>
      <c r="GF38" s="336">
        <f t="shared" si="73"/>
        <v>0</v>
      </c>
      <c r="GG38" s="336">
        <f t="shared" si="74"/>
        <v>0</v>
      </c>
      <c r="GH38" s="336">
        <f t="shared" si="75"/>
        <v>0</v>
      </c>
      <c r="GI38" s="336">
        <f t="shared" si="76"/>
        <v>0</v>
      </c>
      <c r="GJ38" s="336">
        <f t="shared" si="77"/>
        <v>0</v>
      </c>
      <c r="GK38" s="336">
        <f t="shared" si="78"/>
        <v>0</v>
      </c>
      <c r="GL38" s="336">
        <f t="shared" si="79"/>
        <v>0</v>
      </c>
      <c r="GM38" s="336">
        <f t="shared" si="80"/>
        <v>0</v>
      </c>
    </row>
    <row r="39" spans="1:195" s="83" customFormat="1" hidden="1">
      <c r="A39" s="357" t="s">
        <v>334</v>
      </c>
      <c r="B39" s="783" t="s">
        <v>527</v>
      </c>
      <c r="C39" s="783" t="str">
        <f t="shared" si="227"/>
        <v>PDB-3</v>
      </c>
      <c r="D39" s="565" t="s">
        <v>1465</v>
      </c>
      <c r="E39" s="493" t="s">
        <v>427</v>
      </c>
      <c r="F39" s="493"/>
      <c r="G39" s="357" t="s">
        <v>329</v>
      </c>
      <c r="H39" s="352">
        <v>1.5</v>
      </c>
      <c r="I39" s="357" t="s">
        <v>330</v>
      </c>
      <c r="J39" s="357" t="s">
        <v>357</v>
      </c>
      <c r="K39" s="353">
        <v>230</v>
      </c>
      <c r="L39" s="360">
        <v>0.85</v>
      </c>
      <c r="M39" s="352">
        <v>0.95</v>
      </c>
      <c r="N39" s="359">
        <f t="shared" si="205"/>
        <v>8.0764571274734145</v>
      </c>
      <c r="O39" s="359">
        <f t="shared" si="206"/>
        <v>0</v>
      </c>
      <c r="P39" s="360" t="str">
        <f t="shared" si="207"/>
        <v>0.00</v>
      </c>
      <c r="Q39" s="352">
        <v>65</v>
      </c>
      <c r="R39" s="352">
        <v>0</v>
      </c>
      <c r="S39" s="352">
        <f t="shared" si="208"/>
        <v>0</v>
      </c>
      <c r="T39" s="360" t="s">
        <v>131</v>
      </c>
      <c r="U39" s="352"/>
      <c r="V39" s="360">
        <v>4</v>
      </c>
      <c r="W39" s="360" t="str">
        <f t="shared" si="209"/>
        <v xml:space="preserve"> X 4</v>
      </c>
      <c r="X39" s="360" t="str">
        <f t="shared" si="210"/>
        <v xml:space="preserve"> X 4</v>
      </c>
      <c r="Y39" s="360" t="s">
        <v>358</v>
      </c>
      <c r="Z39" s="361" t="e">
        <f>IF(T39="AIR",VLOOKUP(W39,'Catalogue Aluminium'!$B$9:$G$93,2,FALSE),IF(T39="GROUND",VLOOKUP(W39,'Catalogue Aluminium'!$B$9:$G$93,3,FALSE),IF(T39="DUCT",VLOOKUP(W39,'Catalogue Aluminium'!$B$9:$G$93,4,FALSE),IF(T39="TRENCH",VLOOKUP(W39,'Catalogue Aluminium'!$B$9:$G$93,2,FALSE)))))</f>
        <v>#N/A</v>
      </c>
      <c r="AA39" s="362" t="e">
        <f>VLOOKUP(W39,'Catalogue Aluminium'!$B$9:$G$93,5,FALSE)</f>
        <v>#N/A</v>
      </c>
      <c r="AB39" s="362" t="e">
        <f>VLOOKUP(W39,'Catalogue Aluminium'!$B$9:$G$93,6,FALSE)</f>
        <v>#N/A</v>
      </c>
      <c r="AC39" s="357">
        <f t="shared" si="211"/>
        <v>29</v>
      </c>
      <c r="AD39" s="564">
        <f t="shared" si="228"/>
        <v>32</v>
      </c>
      <c r="AE39" s="564">
        <v>10</v>
      </c>
      <c r="AF39" s="564">
        <v>8</v>
      </c>
      <c r="AG39" s="564">
        <f t="shared" si="84"/>
        <v>8</v>
      </c>
      <c r="AH39" s="564">
        <f t="shared" si="212"/>
        <v>87</v>
      </c>
      <c r="AI39" s="361">
        <f>IF(T39="AIR",'Catalogue Aluminium'!$K$9,IF(T39="TRENCH",'Catalogue Aluminium'!$K$12,"NA"))</f>
        <v>0.89</v>
      </c>
      <c r="AJ39" s="359">
        <f>IF(T39="Air",(IF(U39="1C",'Catalogue Aluminium'!$L$9,'Catalogue Aluminium'!$M$9)),IF(T39="DUCT",(IF($U39="1C",'Catalogue Aluminium'!$L$10,'Catalogue Aluminium'!$M$10)),IF(T39="GROUND",(IF($U39="1C",'Catalogue Aluminium'!$L$11,'Catalogue Aluminium'!$M$11)),IF(T39="TRENCH",(IF($U39="1C",'Catalogue Aluminium'!$L$12,'Catalogue Aluminium'!$M$12))))))</f>
        <v>0.66</v>
      </c>
      <c r="AK39" s="361" t="str">
        <f>IF(T39="Air",'Catalogue Aluminium'!$N$9,IF(T39="GROUND",'Catalogue Aluminium'!$N$10,IF(T39="DUCT",'Catalogue Aluminium'!$N$11,IF(T39="TRENCH",'Catalogue Aluminium'!$N$12,"NA"))))</f>
        <v>NA</v>
      </c>
      <c r="AL39" s="361" t="str">
        <f>IF(T39="Air",(IF(U39="1C",'Catalogue Aluminium'!$O$9,'Catalogue Aluminium'!$P$9)),IF(T39="DUCT",(IF($U39="1C",'Catalogue Aluminium'!$O$10,'Catalogue Aluminium'!$P$10)),IF(T39="GROUND",(IF($U39="1C",'Catalogue Aluminium'!$O$11,'Catalogue Aluminium'!$P$11)),IF(T39="TRENCH",(IF($U39="1C",'Catalogue Aluminium'!$O$12,'Catalogue Aluminium'!$P$12))))))</f>
        <v>NA</v>
      </c>
      <c r="AM39" s="361" t="str">
        <f>IF(T39="AIR","NA",IF(T39="TRENCH","NA",IF(T39="DUCT",IF(U39="1C",VLOOKUP(V39,'Catalogue Aluminium'!$Q$9:$S$28,2,FALSE),VLOOKUP(V39,'Catalogue Aluminium'!$Q$9:$S$28,3)),IF(T39="GROUND",IF(U39="1C",VLOOKUP(V39,'Catalogue Aluminium'!$Q$9:$S$28,2,FALSE),VLOOKUP(V39,'Catalogue Aluminium'!$Q$9:$S$28,3))))))</f>
        <v>NA</v>
      </c>
      <c r="AN39" s="365">
        <f t="shared" si="213"/>
        <v>0.58740000000000003</v>
      </c>
      <c r="AO39" s="352" t="e">
        <f t="shared" si="214"/>
        <v>#N/A</v>
      </c>
      <c r="AP39" s="353"/>
      <c r="AQ39" s="428" t="e">
        <f t="shared" si="216"/>
        <v>#N/A</v>
      </c>
      <c r="AR39" s="365" t="e">
        <f t="shared" si="217"/>
        <v>#N/A</v>
      </c>
      <c r="AS39" s="360" t="e">
        <f t="shared" si="218"/>
        <v>#N/A</v>
      </c>
      <c r="AT39" s="365" t="str">
        <f t="shared" si="219"/>
        <v>NA</v>
      </c>
      <c r="AU39" s="360" t="str">
        <f t="shared" si="220"/>
        <v>NA</v>
      </c>
      <c r="AV39" s="366" t="str">
        <f t="shared" si="221"/>
        <v>R x 0.6/1kV x  x 4 Sqmm</v>
      </c>
      <c r="AW39" s="366" t="str">
        <f t="shared" si="222"/>
        <v>R x 0.6/1kV x  x 4 Sqmm</v>
      </c>
      <c r="AX39" s="360"/>
      <c r="AY39" s="367"/>
      <c r="AZ39" s="367"/>
      <c r="BA39" s="751" t="str">
        <f t="shared" si="225"/>
        <v/>
      </c>
      <c r="BB39" s="368"/>
      <c r="BC39" s="368"/>
      <c r="BE39" s="368"/>
      <c r="BF39" s="368"/>
      <c r="BG39" s="368"/>
      <c r="BH39" s="368"/>
      <c r="BI39" s="368"/>
      <c r="BJ39" s="368"/>
      <c r="BK39" s="368"/>
      <c r="BL39" s="368"/>
      <c r="BM39" s="368"/>
      <c r="BN39" s="368"/>
      <c r="BO39" s="368"/>
      <c r="BP39" s="368"/>
      <c r="BQ39" s="368"/>
      <c r="BR39" s="368"/>
      <c r="BS39" s="368"/>
      <c r="BT39" s="368"/>
      <c r="BU39" s="368"/>
      <c r="BV39" s="368"/>
      <c r="BW39" s="368"/>
      <c r="BX39" s="368"/>
      <c r="BY39" s="368"/>
      <c r="BZ39" s="368"/>
      <c r="CA39" s="368"/>
      <c r="CB39" s="368"/>
      <c r="CC39" s="368"/>
      <c r="CD39" s="368"/>
      <c r="CE39" s="368"/>
      <c r="CF39" s="368"/>
      <c r="CG39" s="368"/>
      <c r="CH39" s="368"/>
      <c r="CI39" s="368"/>
      <c r="CJ39" s="368"/>
      <c r="CK39" s="368"/>
      <c r="CL39" s="368"/>
      <c r="CM39" s="368"/>
      <c r="CN39" s="368"/>
      <c r="CO39" s="368"/>
      <c r="CP39" s="368"/>
      <c r="CQ39" s="368"/>
      <c r="CR39" s="368"/>
      <c r="CS39" s="368"/>
      <c r="CT39" s="368"/>
      <c r="CU39" s="368"/>
      <c r="CV39" s="368"/>
      <c r="CW39" s="368"/>
      <c r="CX39" s="368"/>
      <c r="CY39" s="368"/>
      <c r="CZ39" s="368"/>
      <c r="DA39" s="368"/>
      <c r="DB39" s="368"/>
      <c r="DC39" s="368"/>
      <c r="DD39" s="368"/>
      <c r="DE39" s="368"/>
      <c r="DF39" s="368"/>
      <c r="DG39" s="368"/>
      <c r="DH39" s="368"/>
      <c r="DI39" s="368"/>
      <c r="DJ39" s="368"/>
      <c r="DK39" s="368"/>
      <c r="DL39" s="368"/>
      <c r="DM39" s="368"/>
      <c r="DN39" s="368"/>
      <c r="DO39" s="368"/>
      <c r="DP39" s="368"/>
      <c r="DQ39" s="368"/>
      <c r="DR39" s="368"/>
      <c r="DS39" s="368"/>
      <c r="DT39" s="368"/>
      <c r="DU39" s="368"/>
      <c r="DW39" s="336">
        <f t="shared" si="93"/>
        <v>0</v>
      </c>
      <c r="DX39" s="336">
        <f t="shared" si="14"/>
        <v>0</v>
      </c>
      <c r="DY39" s="336">
        <f t="shared" si="15"/>
        <v>0</v>
      </c>
      <c r="DZ39" s="336">
        <f t="shared" si="16"/>
        <v>0</v>
      </c>
      <c r="EA39" s="336">
        <f t="shared" si="17"/>
        <v>0</v>
      </c>
      <c r="EB39" s="336">
        <f t="shared" si="18"/>
        <v>0</v>
      </c>
      <c r="EC39" s="336">
        <f t="shared" si="19"/>
        <v>0</v>
      </c>
      <c r="ED39" s="336">
        <f t="shared" si="20"/>
        <v>0</v>
      </c>
      <c r="EE39" s="336">
        <f t="shared" si="21"/>
        <v>0</v>
      </c>
      <c r="EF39" s="336">
        <f t="shared" si="22"/>
        <v>0</v>
      </c>
      <c r="EG39" s="336">
        <f t="shared" si="23"/>
        <v>0</v>
      </c>
      <c r="EH39" s="336">
        <f t="shared" si="24"/>
        <v>0</v>
      </c>
      <c r="EI39" s="336">
        <f t="shared" si="25"/>
        <v>0</v>
      </c>
      <c r="EJ39" s="336">
        <f t="shared" si="26"/>
        <v>0</v>
      </c>
      <c r="EK39" s="336">
        <f t="shared" si="27"/>
        <v>0</v>
      </c>
      <c r="EL39" s="336">
        <f t="shared" si="28"/>
        <v>0</v>
      </c>
      <c r="EM39" s="336">
        <f t="shared" si="29"/>
        <v>0</v>
      </c>
      <c r="EN39" s="336">
        <f t="shared" si="30"/>
        <v>0</v>
      </c>
      <c r="EO39" s="336">
        <f t="shared" si="31"/>
        <v>0</v>
      </c>
      <c r="EP39" s="336">
        <f t="shared" si="32"/>
        <v>0</v>
      </c>
      <c r="EQ39" s="336">
        <f t="shared" si="33"/>
        <v>0</v>
      </c>
      <c r="ER39" s="336">
        <f t="shared" si="34"/>
        <v>0</v>
      </c>
      <c r="ES39" s="336">
        <f t="shared" si="35"/>
        <v>0</v>
      </c>
      <c r="ET39" s="336">
        <f t="shared" si="35"/>
        <v>0</v>
      </c>
      <c r="EU39" s="336">
        <f t="shared" si="36"/>
        <v>0</v>
      </c>
      <c r="EV39" s="336">
        <f t="shared" si="37"/>
        <v>0</v>
      </c>
      <c r="EW39" s="336">
        <f t="shared" si="38"/>
        <v>0</v>
      </c>
      <c r="EX39" s="336">
        <f t="shared" si="39"/>
        <v>0</v>
      </c>
      <c r="EY39" s="336">
        <f t="shared" si="40"/>
        <v>0</v>
      </c>
      <c r="EZ39" s="336">
        <f t="shared" si="41"/>
        <v>0</v>
      </c>
      <c r="FA39" s="336">
        <f t="shared" si="42"/>
        <v>0</v>
      </c>
      <c r="FB39" s="336">
        <f t="shared" si="43"/>
        <v>0</v>
      </c>
      <c r="FC39" s="336">
        <f t="shared" si="44"/>
        <v>0</v>
      </c>
      <c r="FD39" s="336">
        <f t="shared" si="45"/>
        <v>0</v>
      </c>
      <c r="FE39" s="336">
        <f t="shared" si="46"/>
        <v>0</v>
      </c>
      <c r="FF39" s="336">
        <f t="shared" si="47"/>
        <v>0</v>
      </c>
      <c r="FG39" s="336">
        <f t="shared" si="48"/>
        <v>0</v>
      </c>
      <c r="FH39" s="336">
        <f t="shared" si="49"/>
        <v>0</v>
      </c>
      <c r="FI39" s="336">
        <f t="shared" si="50"/>
        <v>0</v>
      </c>
      <c r="FJ39" s="336">
        <f t="shared" si="51"/>
        <v>0</v>
      </c>
      <c r="FK39" s="336">
        <f t="shared" si="52"/>
        <v>0</v>
      </c>
      <c r="FL39" s="336">
        <f t="shared" si="53"/>
        <v>0</v>
      </c>
      <c r="FM39" s="336">
        <f t="shared" si="54"/>
        <v>0</v>
      </c>
      <c r="FN39" s="336">
        <f t="shared" si="55"/>
        <v>0</v>
      </c>
      <c r="FO39" s="336">
        <f t="shared" si="56"/>
        <v>0</v>
      </c>
      <c r="FP39" s="336">
        <f t="shared" si="57"/>
        <v>0</v>
      </c>
      <c r="FQ39" s="336">
        <f t="shared" si="58"/>
        <v>0</v>
      </c>
      <c r="FR39" s="336">
        <f t="shared" si="59"/>
        <v>0</v>
      </c>
      <c r="FS39" s="336">
        <f t="shared" si="60"/>
        <v>0</v>
      </c>
      <c r="FT39" s="336">
        <f t="shared" si="61"/>
        <v>0</v>
      </c>
      <c r="FU39" s="336">
        <f t="shared" si="62"/>
        <v>0</v>
      </c>
      <c r="FV39" s="336">
        <f t="shared" si="63"/>
        <v>0</v>
      </c>
      <c r="FW39" s="336">
        <f t="shared" si="64"/>
        <v>0</v>
      </c>
      <c r="FX39" s="336">
        <f t="shared" si="65"/>
        <v>0</v>
      </c>
      <c r="FY39" s="336">
        <f t="shared" si="66"/>
        <v>0</v>
      </c>
      <c r="FZ39" s="336">
        <f t="shared" si="67"/>
        <v>0</v>
      </c>
      <c r="GA39" s="336">
        <f t="shared" si="68"/>
        <v>0</v>
      </c>
      <c r="GB39" s="336">
        <f t="shared" si="69"/>
        <v>0</v>
      </c>
      <c r="GC39" s="336">
        <f t="shared" si="70"/>
        <v>0</v>
      </c>
      <c r="GD39" s="336">
        <f t="shared" si="71"/>
        <v>0</v>
      </c>
      <c r="GE39" s="336">
        <f t="shared" si="72"/>
        <v>0</v>
      </c>
      <c r="GF39" s="336">
        <f t="shared" si="73"/>
        <v>0</v>
      </c>
      <c r="GG39" s="336">
        <f t="shared" si="74"/>
        <v>0</v>
      </c>
      <c r="GH39" s="336">
        <f t="shared" si="75"/>
        <v>0</v>
      </c>
      <c r="GI39" s="336">
        <f t="shared" si="76"/>
        <v>0</v>
      </c>
      <c r="GJ39" s="336">
        <f t="shared" si="77"/>
        <v>0</v>
      </c>
      <c r="GK39" s="336">
        <f t="shared" si="78"/>
        <v>0</v>
      </c>
      <c r="GL39" s="336">
        <f t="shared" si="79"/>
        <v>0</v>
      </c>
      <c r="GM39" s="336">
        <f t="shared" si="80"/>
        <v>0</v>
      </c>
    </row>
    <row r="40" spans="1:195" s="76" customFormat="1" ht="26.25" customHeight="1">
      <c r="A40" s="373"/>
      <c r="B40" s="373"/>
      <c r="C40" s="373"/>
      <c r="D40" s="508" t="s">
        <v>605</v>
      </c>
      <c r="E40" s="509"/>
      <c r="F40" s="509"/>
      <c r="G40" s="373"/>
      <c r="H40" s="382"/>
      <c r="I40" s="373"/>
      <c r="J40" s="373"/>
      <c r="K40" s="381"/>
      <c r="L40" s="376"/>
      <c r="M40" s="382"/>
      <c r="N40" s="375"/>
      <c r="O40" s="375">
        <f t="shared" si="206"/>
        <v>0</v>
      </c>
      <c r="P40" s="376"/>
      <c r="Q40" s="382"/>
      <c r="R40" s="382"/>
      <c r="S40" s="382"/>
      <c r="T40" s="376"/>
      <c r="U40" s="382"/>
      <c r="V40" s="376"/>
      <c r="W40" s="376"/>
      <c r="X40" s="376"/>
      <c r="Y40" s="376"/>
      <c r="Z40" s="377"/>
      <c r="AA40" s="378"/>
      <c r="AB40" s="378"/>
      <c r="AC40" s="379"/>
      <c r="AD40" s="379"/>
      <c r="AE40" s="379"/>
      <c r="AF40" s="379"/>
      <c r="AG40" s="379">
        <f t="shared" si="84"/>
        <v>0</v>
      </c>
      <c r="AH40" s="799"/>
      <c r="AI40" s="377"/>
      <c r="AJ40" s="375"/>
      <c r="AK40" s="377"/>
      <c r="AL40" s="377"/>
      <c r="AM40" s="377"/>
      <c r="AN40" s="383"/>
      <c r="AO40" s="382"/>
      <c r="AP40" s="381"/>
      <c r="AQ40" s="382"/>
      <c r="AR40" s="383"/>
      <c r="AS40" s="376"/>
      <c r="AT40" s="383"/>
      <c r="AU40" s="383"/>
      <c r="AV40" s="384"/>
      <c r="AW40" s="384"/>
      <c r="AX40" s="376"/>
      <c r="AY40" s="385"/>
      <c r="AZ40" s="385"/>
      <c r="BA40" s="513"/>
      <c r="BB40" s="513"/>
      <c r="BC40" s="513"/>
      <c r="BD40" s="61"/>
      <c r="BE40" s="336"/>
      <c r="BF40" s="336"/>
      <c r="BG40" s="336"/>
      <c r="BH40" s="336"/>
      <c r="BI40" s="336"/>
      <c r="BJ40" s="336"/>
      <c r="BK40" s="336"/>
      <c r="BL40" s="336"/>
      <c r="BM40" s="336"/>
      <c r="BN40" s="336"/>
      <c r="BO40" s="336"/>
      <c r="BP40" s="336"/>
      <c r="BQ40" s="336"/>
      <c r="BR40" s="336"/>
      <c r="BS40" s="336"/>
      <c r="BT40" s="336"/>
      <c r="BU40" s="336"/>
      <c r="BV40" s="336"/>
      <c r="BW40" s="336"/>
      <c r="BX40" s="336"/>
      <c r="BY40" s="336"/>
      <c r="BZ40" s="336"/>
      <c r="CA40" s="336"/>
      <c r="CB40" s="336"/>
      <c r="CC40" s="336"/>
      <c r="CD40" s="336"/>
      <c r="CE40" s="336"/>
      <c r="CF40" s="336"/>
      <c r="CG40" s="336"/>
      <c r="CH40" s="336"/>
      <c r="CI40" s="336"/>
      <c r="CJ40" s="336"/>
      <c r="CK40" s="336"/>
      <c r="CL40" s="336"/>
      <c r="CM40" s="336"/>
      <c r="CN40" s="336"/>
      <c r="CO40" s="336"/>
      <c r="CP40" s="336"/>
      <c r="CQ40" s="336"/>
      <c r="CR40" s="336"/>
      <c r="CS40" s="336"/>
      <c r="CT40" s="336"/>
      <c r="CU40" s="336"/>
      <c r="CV40" s="336"/>
      <c r="CW40" s="336"/>
      <c r="CX40" s="336"/>
      <c r="CY40" s="336"/>
      <c r="CZ40" s="752"/>
      <c r="DA40" s="752"/>
      <c r="DB40" s="752"/>
      <c r="DC40" s="752"/>
      <c r="DD40" s="752"/>
      <c r="DE40" s="752"/>
      <c r="DF40" s="752"/>
      <c r="DG40" s="752"/>
      <c r="DH40" s="752"/>
      <c r="DI40" s="752"/>
      <c r="DJ40" s="752"/>
      <c r="DK40" s="752"/>
      <c r="DL40" s="752"/>
      <c r="DM40" s="752"/>
      <c r="DN40" s="752"/>
      <c r="DO40" s="752"/>
      <c r="DP40" s="752"/>
      <c r="DQ40" s="752"/>
      <c r="DR40" s="752"/>
      <c r="DS40" s="752"/>
      <c r="DT40" s="752"/>
      <c r="DU40" s="752"/>
      <c r="DV40" s="61"/>
      <c r="DW40" s="336">
        <f t="shared" si="93"/>
        <v>0</v>
      </c>
      <c r="DX40" s="336">
        <f t="shared" si="14"/>
        <v>0</v>
      </c>
      <c r="DY40" s="336">
        <f t="shared" si="15"/>
        <v>0</v>
      </c>
      <c r="DZ40" s="336">
        <f t="shared" si="16"/>
        <v>0</v>
      </c>
      <c r="EA40" s="336">
        <f t="shared" si="17"/>
        <v>0</v>
      </c>
      <c r="EB40" s="336">
        <f t="shared" si="18"/>
        <v>0</v>
      </c>
      <c r="EC40" s="336">
        <f t="shared" si="19"/>
        <v>0</v>
      </c>
      <c r="ED40" s="336">
        <f t="shared" si="20"/>
        <v>0</v>
      </c>
      <c r="EE40" s="336">
        <f t="shared" si="21"/>
        <v>0</v>
      </c>
      <c r="EF40" s="336">
        <f t="shared" si="22"/>
        <v>0</v>
      </c>
      <c r="EG40" s="336">
        <f t="shared" si="23"/>
        <v>0</v>
      </c>
      <c r="EH40" s="336">
        <f t="shared" si="24"/>
        <v>0</v>
      </c>
      <c r="EI40" s="336">
        <f t="shared" si="25"/>
        <v>0</v>
      </c>
      <c r="EJ40" s="336">
        <f t="shared" si="26"/>
        <v>0</v>
      </c>
      <c r="EK40" s="336">
        <f t="shared" si="27"/>
        <v>0</v>
      </c>
      <c r="EL40" s="336">
        <f t="shared" si="28"/>
        <v>0</v>
      </c>
      <c r="EM40" s="336">
        <f t="shared" si="29"/>
        <v>0</v>
      </c>
      <c r="EN40" s="336">
        <f t="shared" si="30"/>
        <v>0</v>
      </c>
      <c r="EO40" s="336">
        <f t="shared" si="31"/>
        <v>0</v>
      </c>
      <c r="EP40" s="336">
        <f t="shared" si="32"/>
        <v>0</v>
      </c>
      <c r="EQ40" s="336">
        <f t="shared" si="33"/>
        <v>0</v>
      </c>
      <c r="ER40" s="336">
        <f t="shared" si="34"/>
        <v>0</v>
      </c>
      <c r="ES40" s="336">
        <f t="shared" si="35"/>
        <v>0</v>
      </c>
      <c r="ET40" s="336">
        <f t="shared" si="35"/>
        <v>0</v>
      </c>
      <c r="EU40" s="336">
        <f t="shared" si="36"/>
        <v>0</v>
      </c>
      <c r="EV40" s="336">
        <f t="shared" si="37"/>
        <v>0</v>
      </c>
      <c r="EW40" s="336">
        <f t="shared" si="38"/>
        <v>0</v>
      </c>
      <c r="EX40" s="336">
        <f t="shared" si="39"/>
        <v>0</v>
      </c>
      <c r="EY40" s="336">
        <f t="shared" si="40"/>
        <v>0</v>
      </c>
      <c r="EZ40" s="336">
        <f t="shared" si="41"/>
        <v>0</v>
      </c>
      <c r="FA40" s="336">
        <f t="shared" si="42"/>
        <v>0</v>
      </c>
      <c r="FB40" s="336">
        <f t="shared" si="43"/>
        <v>0</v>
      </c>
      <c r="FC40" s="336">
        <f t="shared" si="44"/>
        <v>0</v>
      </c>
      <c r="FD40" s="336">
        <f t="shared" si="45"/>
        <v>0</v>
      </c>
      <c r="FE40" s="336">
        <f t="shared" si="46"/>
        <v>0</v>
      </c>
      <c r="FF40" s="336">
        <f t="shared" si="47"/>
        <v>0</v>
      </c>
      <c r="FG40" s="336">
        <f t="shared" si="48"/>
        <v>0</v>
      </c>
      <c r="FH40" s="336">
        <f t="shared" si="49"/>
        <v>0</v>
      </c>
      <c r="FI40" s="336">
        <f t="shared" si="50"/>
        <v>0</v>
      </c>
      <c r="FJ40" s="336">
        <f t="shared" si="51"/>
        <v>0</v>
      </c>
      <c r="FK40" s="336">
        <f t="shared" si="52"/>
        <v>0</v>
      </c>
      <c r="FL40" s="336">
        <f t="shared" si="53"/>
        <v>0</v>
      </c>
      <c r="FM40" s="336">
        <f t="shared" si="54"/>
        <v>0</v>
      </c>
      <c r="FN40" s="336">
        <f t="shared" si="55"/>
        <v>0</v>
      </c>
      <c r="FO40" s="336">
        <f t="shared" si="56"/>
        <v>0</v>
      </c>
      <c r="FP40" s="336">
        <f t="shared" si="57"/>
        <v>0</v>
      </c>
      <c r="FQ40" s="336">
        <f t="shared" si="58"/>
        <v>0</v>
      </c>
      <c r="FR40" s="336">
        <f t="shared" si="59"/>
        <v>0</v>
      </c>
      <c r="FS40" s="336">
        <f t="shared" si="60"/>
        <v>0</v>
      </c>
      <c r="FT40" s="336">
        <f t="shared" si="61"/>
        <v>0</v>
      </c>
      <c r="FU40" s="336">
        <f t="shared" si="62"/>
        <v>0</v>
      </c>
      <c r="FV40" s="336">
        <f t="shared" si="63"/>
        <v>0</v>
      </c>
      <c r="FW40" s="336">
        <f t="shared" si="64"/>
        <v>0</v>
      </c>
      <c r="FX40" s="336">
        <f t="shared" si="65"/>
        <v>0</v>
      </c>
      <c r="FY40" s="336">
        <f t="shared" si="66"/>
        <v>0</v>
      </c>
      <c r="FZ40" s="336">
        <f t="shared" si="67"/>
        <v>0</v>
      </c>
      <c r="GA40" s="336">
        <f t="shared" si="68"/>
        <v>0</v>
      </c>
      <c r="GB40" s="336">
        <f t="shared" si="69"/>
        <v>0</v>
      </c>
      <c r="GC40" s="336">
        <f t="shared" si="70"/>
        <v>0</v>
      </c>
      <c r="GD40" s="336">
        <f t="shared" si="71"/>
        <v>0</v>
      </c>
      <c r="GE40" s="336">
        <f t="shared" si="72"/>
        <v>0</v>
      </c>
      <c r="GF40" s="336">
        <f t="shared" si="73"/>
        <v>0</v>
      </c>
      <c r="GG40" s="336">
        <f t="shared" si="74"/>
        <v>0</v>
      </c>
      <c r="GH40" s="336">
        <f t="shared" si="75"/>
        <v>0</v>
      </c>
      <c r="GI40" s="336">
        <f t="shared" si="76"/>
        <v>0</v>
      </c>
      <c r="GJ40" s="336">
        <f t="shared" si="77"/>
        <v>0</v>
      </c>
      <c r="GK40" s="336">
        <f t="shared" si="78"/>
        <v>0</v>
      </c>
      <c r="GL40" s="336">
        <f t="shared" si="79"/>
        <v>0</v>
      </c>
      <c r="GM40" s="336">
        <f t="shared" si="80"/>
        <v>0</v>
      </c>
    </row>
    <row r="41" spans="1:195">
      <c r="A41" s="337">
        <f>A35+1</f>
        <v>25</v>
      </c>
      <c r="B41" s="567" t="s">
        <v>1455</v>
      </c>
      <c r="C41" s="567" t="str">
        <f t="shared" ref="C41:C48" si="230">$D$28</f>
        <v>PDB-3</v>
      </c>
      <c r="D41" s="444" t="s">
        <v>1466</v>
      </c>
      <c r="E41" s="500" t="s">
        <v>427</v>
      </c>
      <c r="F41" s="500"/>
      <c r="G41" s="337" t="s">
        <v>329</v>
      </c>
      <c r="H41" s="350">
        <v>5</v>
      </c>
      <c r="I41" s="337" t="s">
        <v>330</v>
      </c>
      <c r="J41" s="337" t="s">
        <v>331</v>
      </c>
      <c r="K41" s="349">
        <v>400</v>
      </c>
      <c r="L41" s="343">
        <v>0.85</v>
      </c>
      <c r="M41" s="350">
        <v>0.95400000000000007</v>
      </c>
      <c r="N41" s="342">
        <f t="shared" si="205"/>
        <v>8.9000987412554746</v>
      </c>
      <c r="O41" s="342">
        <f t="shared" si="206"/>
        <v>0</v>
      </c>
      <c r="P41" s="343" t="str">
        <f t="shared" si="207"/>
        <v>0.00</v>
      </c>
      <c r="Q41" s="350">
        <v>65</v>
      </c>
      <c r="R41" s="350">
        <v>0</v>
      </c>
      <c r="S41" s="350">
        <f t="shared" si="208"/>
        <v>0</v>
      </c>
      <c r="T41" s="343" t="s">
        <v>131</v>
      </c>
      <c r="U41" s="350" t="s">
        <v>522</v>
      </c>
      <c r="V41" s="343">
        <v>4</v>
      </c>
      <c r="W41" s="343" t="str">
        <f t="shared" si="209"/>
        <v>4C X 4</v>
      </c>
      <c r="X41" s="343" t="str">
        <f t="shared" ref="X41:X46" si="231">(IF(J41="1Ph",W41,IF(J41="3Ph",(IF(G41="MOTOR",(CONCATENATE(W41,"+PE")),W41)))))</f>
        <v>4C X 4</v>
      </c>
      <c r="Y41" s="343" t="s">
        <v>358</v>
      </c>
      <c r="Z41" s="344">
        <f>IF(T41="AIR",VLOOKUP(W41,'Catalogue Aluminium'!$B$9:$G$93,2,FALSE),IF(T41="GROUND",VLOOKUP(W41,'Catalogue Aluminium'!$B$9:$G$93,3,FALSE),IF(T41="DUCT",VLOOKUP(W41,'Catalogue Aluminium'!$B$9:$G$93,4,FALSE),IF(T41="TRENCH",VLOOKUP(W41,'Catalogue Aluminium'!$B$9:$G$93,2,FALSE)))))</f>
        <v>38</v>
      </c>
      <c r="AA41" s="345">
        <f>VLOOKUP(W41,'Catalogue Aluminium'!$B$9:$G$93,5,FALSE)</f>
        <v>5.9</v>
      </c>
      <c r="AB41" s="345">
        <f>VLOOKUP(W41,'Catalogue Aluminium'!$B$9:$G$93,6,FALSE)</f>
        <v>9.4700000000000006E-2</v>
      </c>
      <c r="AC41" s="337">
        <f t="shared" ref="AC41:AC46" si="232">15+8+6</f>
        <v>29</v>
      </c>
      <c r="AD41" s="346">
        <f>3+3+3</f>
        <v>9</v>
      </c>
      <c r="AE41" s="346">
        <v>10</v>
      </c>
      <c r="AF41" s="346">
        <v>8</v>
      </c>
      <c r="AG41" s="346">
        <f t="shared" si="84"/>
        <v>6</v>
      </c>
      <c r="AH41" s="802">
        <f t="shared" ref="AH41:AH46" si="233">SUM(AC41:AG41)</f>
        <v>62</v>
      </c>
      <c r="AI41" s="344">
        <f>IF(T41="AIR",'Catalogue Aluminium'!$K$9,IF(T41="TRENCH",'Catalogue Aluminium'!$K$12,"NA"))</f>
        <v>0.89</v>
      </c>
      <c r="AJ41" s="342">
        <f>IF(T41="Air",(IF(U41="1C",'Catalogue Aluminium'!$L$9,'Catalogue Aluminium'!$M$9)),IF(T41="DUCT",(IF($U41="1C",'Catalogue Aluminium'!$L$10,'Catalogue Aluminium'!$M$10)),IF(T41="GROUND",(IF($U41="1C",'Catalogue Aluminium'!$L$11,'Catalogue Aluminium'!$M$11)),IF(T41="TRENCH",(IF($U41="1C",'Catalogue Aluminium'!$L$12,'Catalogue Aluminium'!$M$12))))))</f>
        <v>0.66</v>
      </c>
      <c r="AK41" s="344" t="str">
        <f>IF(T41="Air",'Catalogue Aluminium'!$N$9,IF(T41="GROUND",'Catalogue Aluminium'!$N$10,IF(T41="DUCT",'Catalogue Aluminium'!$N$11,IF(T41="TRENCH",'Catalogue Aluminium'!$N$12,"NA"))))</f>
        <v>NA</v>
      </c>
      <c r="AL41" s="344" t="str">
        <f>IF(T41="Air",(IF(U41="1C",'Catalogue Aluminium'!$O$9,'Catalogue Aluminium'!$P$9)),IF(T41="DUCT",(IF($U41="1C",'Catalogue Aluminium'!$O$10,'Catalogue Aluminium'!$P$10)),IF(T41="GROUND",(IF($U41="1C",'Catalogue Aluminium'!$O$11,'Catalogue Aluminium'!$P$11)),IF(T41="TRENCH",(IF($U41="1C",'Catalogue Aluminium'!$O$12,'Catalogue Aluminium'!$P$12))))))</f>
        <v>NA</v>
      </c>
      <c r="AM41" s="344" t="str">
        <f>IF(T41="AIR","NA",IF(T41="TRENCH","NA",IF(T41="DUCT",IF(U41="1C",VLOOKUP(V41,'Catalogue Aluminium'!$Q$9:$S$28,2,FALSE),VLOOKUP(V41,'Catalogue Aluminium'!$Q$9:$S$28,3)),IF(T41="GROUND",IF(U41="1C",VLOOKUP(V41,'Catalogue Aluminium'!$Q$9:$S$28,2,FALSE),VLOOKUP(V41,'Catalogue Aluminium'!$Q$9:$S$28,3))))))</f>
        <v>NA</v>
      </c>
      <c r="AN41" s="351">
        <f t="shared" si="213"/>
        <v>0.58740000000000003</v>
      </c>
      <c r="AO41" s="350">
        <f t="shared" si="214"/>
        <v>22.321200000000001</v>
      </c>
      <c r="AP41" s="349">
        <f t="shared" si="215"/>
        <v>1</v>
      </c>
      <c r="AQ41" s="350" t="str">
        <f t="shared" si="216"/>
        <v>YES</v>
      </c>
      <c r="AR41" s="351">
        <f t="shared" si="217"/>
        <v>1.2101991753663572</v>
      </c>
      <c r="AS41" s="343" t="str">
        <f t="shared" ref="AS41:AS46" si="234">IF(G41="INCOMER",(IF(AR41&lt;=2,"YES","NO")),IF(G41="POWER",(IF(AR41&lt;=2.5,"YES","NO")),IF(G41="MOTOR",(IF(AR41&lt;=3,"YES","NO")))))</f>
        <v>YES</v>
      </c>
      <c r="AT41" s="351" t="str">
        <f t="shared" ref="AT41:AT46" si="235">IF(G41="MOTOR",(SQRT(3)*AH41*O41*((AA41*P41)+(AB41*SIN(ACOS(P41))))*100/(AP41*K41*1000)),"NA")</f>
        <v>NA</v>
      </c>
      <c r="AU41" s="343" t="str">
        <f t="shared" ref="AU41:AU46" si="236">IF(G41="MOTOR",IF(AT41&lt;=15,"YES","NO"),"NA")</f>
        <v>NA</v>
      </c>
      <c r="AV41" s="354" t="str">
        <f t="shared" ref="AV41:AV46" si="237">IF(U41="1C",CONCATENATE(AP41,"R x ",Y41,"kV x ",U41," x ",V41," Sqmm/Phase"),CONCATENATE(AP41,"R x ",0.6,"/1kV x ",U41," x ",V41," Sqmm"))</f>
        <v>1R x 0.6/1kV x 4C x 4 Sqmm</v>
      </c>
      <c r="AW41" s="354" t="str">
        <f t="shared" ref="AW41:AW46" si="238">IF(U41="1C",CONCATENATE(AP41,"R x ",Y41,"kV x ",U41," x ",V41," Sqmm/Phase"),CONCATENATE(AP41,"R x ",0.6,"/1kV x ",U41," x ",V41,(IF(G41="MOTOR","+PE",""))," Sqmm"))</f>
        <v>1R x 0.6/1kV x 4C x 4 Sqmm</v>
      </c>
      <c r="AX41" s="343">
        <f t="shared" ref="AX41:AX46" si="239">(IF(K41=400,(IF(U41="1C",(4*AH41*AP41),(AH41*AP41))),IF(K41=230,(AH41*AP41))))</f>
        <v>62</v>
      </c>
      <c r="AY41" s="355"/>
      <c r="AZ41" s="355">
        <f t="shared" ref="AZ41:AZ46" si="240">IF(U41="1C",(3*AP41*2),(AP41*2))</f>
        <v>2</v>
      </c>
      <c r="BA41" s="356" t="str">
        <f t="shared" ref="BA41:BA46" si="241">CONCATENATE(IF(BE41=1,BE$4,""),IF(BF41=1,BF$4,""),IF(BG41=1,BG$4,""),IF(BH41=1,BH$4,""),IF(BI41=1,BI$4,""),IF(BJ41=1,BJ$4,""),IF(BK41=1,BK$4,""),IF(BL41=1,BL$4,""),IF(BM41=1,BM$4,""),IF(BN41=1,BN$4,""),IF(BO41=1,BO$4,""),IF(BP41=1,BP$4,""),IF(BQ41=1,BQ$4,""),IF(BR41=1,BR$4,""),IF(BS41=1,BS$4,""),IF(BT41=1,BT$4,""),IF(BU41=1,BU$4,""),IF(BV41=1,BV$4,""),IF(BW41=1,BW$4,""),IF(BX41=1,BX$4,""),IF(BY41=1,BY$4,""),IF(BZ41=1,BZ$4,""),IF(CA41=1,CA$4,""),IF(CB41=1,CB$4,""),IF(CC41=1,CC$4,""),IF(CD41=1,CD$4,""),IF(CE41=1,CE$4,""),IF(CF41=1,CF$4,""),IF(CG41=1,CG$4,""),IF(CH41=1,CH$4,""),IF(CI41=1,CI$4,""),IF(CJ41=1,CJ$4,""),IF(CK41=1,CK$4,""),IF(CL41=1,CL$4,""),IF(CM41=1,CM$4,""),IF(CN41=1,CN$4,""),IF(CO41=1,CO$4,""),IF(CP41=1,CP$4,""),IF(CQ41=1,CQ$4,""),IF(CR41=1,CR$4,""),IF(CS41=1,CS$4,""),IF(CT41=1,CT$4,""),IF(CU41=1,CU$4,""),IF(CV41=1,CV$4,""),IF(CW41=1,CW$4,""),IF(CX41=1,CX$4,""),IF(CY41=1,CY$4,""),IF(CZ41=1,CZ$4,""),IF(DA41=1,DA$4,""),IF(DB41=1,DB$4,""),IF(DC41=1,DC$4,""),IF(DD41=1,DD$4,""),IF(DE41=1,DE$4,""),IF(DF41=1,DF$4,""),IF(DG41=1,DG$4,""),IF(DH41=1,DH$4,""),IF(DI41=1,DI$4,""),IF(DJ41=1,DJ$4,""),IF(DK41=1,DK$4,""),IF(DL41=1,DL$4,""),IF(DM41=1,DM$4,""),IF(DN41=1,DN$4,""),IF(DO41=1,DO$4,""),IF(DP41=1,DP$4,""),IF(DQ41=1,DQ$4,""),IF(DR41=1,DR$4,""),IF(DS41=1,DS$4,""),IF(DT41=1,DT$4,""),IF(DU41=1,DU$4,""))</f>
        <v/>
      </c>
      <c r="BB41" s="336">
        <f>VLOOKUP(W41,'Catalogue Aluminium'!$B$9:$H$93,7,FALSE)</f>
        <v>16</v>
      </c>
      <c r="BC41" s="336">
        <f>AP41*BB41</f>
        <v>16</v>
      </c>
      <c r="BE41" s="336"/>
      <c r="BF41" s="336"/>
      <c r="BG41" s="336"/>
      <c r="BH41" s="336"/>
      <c r="BI41" s="336"/>
      <c r="BJ41" s="336"/>
      <c r="BK41" s="336"/>
      <c r="BL41" s="336"/>
      <c r="BM41" s="336"/>
      <c r="BN41" s="336"/>
      <c r="BO41" s="336"/>
      <c r="BP41" s="336"/>
      <c r="BQ41" s="336"/>
      <c r="BR41" s="336"/>
      <c r="BS41" s="336"/>
      <c r="BT41" s="336"/>
      <c r="BU41" s="336"/>
      <c r="BV41" s="336"/>
      <c r="BW41" s="336"/>
      <c r="BX41" s="336"/>
      <c r="BY41" s="336"/>
      <c r="BZ41" s="336"/>
      <c r="CA41" s="336"/>
      <c r="CB41" s="336"/>
      <c r="CC41" s="336"/>
      <c r="CD41" s="336"/>
      <c r="CE41" s="336"/>
      <c r="CF41" s="336"/>
      <c r="CG41" s="336"/>
      <c r="CH41" s="336"/>
      <c r="CI41" s="336"/>
      <c r="CJ41" s="336"/>
      <c r="CK41" s="336"/>
      <c r="CL41" s="336"/>
      <c r="CM41" s="336"/>
      <c r="CN41" s="336"/>
      <c r="CO41" s="336"/>
      <c r="CP41" s="336"/>
      <c r="CQ41" s="336"/>
      <c r="CR41" s="336"/>
      <c r="CS41" s="336"/>
      <c r="CT41" s="336"/>
      <c r="CU41" s="336"/>
      <c r="CV41" s="336"/>
      <c r="CW41" s="336"/>
      <c r="CX41" s="336"/>
      <c r="CY41" s="336"/>
      <c r="CZ41" s="336"/>
      <c r="DA41" s="336"/>
      <c r="DB41" s="336"/>
      <c r="DC41" s="336"/>
      <c r="DD41" s="336"/>
      <c r="DE41" s="336"/>
      <c r="DF41" s="336"/>
      <c r="DG41" s="336"/>
      <c r="DH41" s="336"/>
      <c r="DI41" s="336"/>
      <c r="DJ41" s="336"/>
      <c r="DK41" s="336"/>
      <c r="DL41" s="336"/>
      <c r="DM41" s="336"/>
      <c r="DN41" s="336"/>
      <c r="DO41" s="336"/>
      <c r="DP41" s="336"/>
      <c r="DQ41" s="336"/>
      <c r="DR41" s="336"/>
      <c r="DS41" s="336"/>
      <c r="DT41" s="336"/>
      <c r="DU41" s="336"/>
      <c r="DW41" s="336">
        <f t="shared" si="93"/>
        <v>0</v>
      </c>
      <c r="DX41" s="336">
        <f t="shared" si="14"/>
        <v>0</v>
      </c>
      <c r="DY41" s="336">
        <f t="shared" si="15"/>
        <v>0</v>
      </c>
      <c r="DZ41" s="336">
        <f t="shared" si="16"/>
        <v>0</v>
      </c>
      <c r="EA41" s="336">
        <f t="shared" si="17"/>
        <v>0</v>
      </c>
      <c r="EB41" s="336">
        <f t="shared" si="18"/>
        <v>0</v>
      </c>
      <c r="EC41" s="336">
        <f t="shared" si="19"/>
        <v>0</v>
      </c>
      <c r="ED41" s="336">
        <f t="shared" si="20"/>
        <v>0</v>
      </c>
      <c r="EE41" s="336">
        <f t="shared" si="21"/>
        <v>0</v>
      </c>
      <c r="EF41" s="336">
        <f t="shared" si="22"/>
        <v>0</v>
      </c>
      <c r="EG41" s="336">
        <f t="shared" si="23"/>
        <v>0</v>
      </c>
      <c r="EH41" s="336">
        <f t="shared" si="24"/>
        <v>0</v>
      </c>
      <c r="EI41" s="336">
        <f t="shared" si="25"/>
        <v>0</v>
      </c>
      <c r="EJ41" s="336">
        <f t="shared" si="26"/>
        <v>0</v>
      </c>
      <c r="EK41" s="336">
        <f t="shared" si="27"/>
        <v>0</v>
      </c>
      <c r="EL41" s="336">
        <f t="shared" si="28"/>
        <v>0</v>
      </c>
      <c r="EM41" s="336">
        <f t="shared" si="29"/>
        <v>0</v>
      </c>
      <c r="EN41" s="336">
        <f t="shared" si="30"/>
        <v>0</v>
      </c>
      <c r="EO41" s="336">
        <f t="shared" si="31"/>
        <v>0</v>
      </c>
      <c r="EP41" s="336">
        <f t="shared" si="32"/>
        <v>0</v>
      </c>
      <c r="EQ41" s="336">
        <f t="shared" si="33"/>
        <v>0</v>
      </c>
      <c r="ER41" s="336">
        <f t="shared" si="34"/>
        <v>0</v>
      </c>
      <c r="ES41" s="336">
        <f t="shared" si="35"/>
        <v>0</v>
      </c>
      <c r="ET41" s="336">
        <f t="shared" si="35"/>
        <v>0</v>
      </c>
      <c r="EU41" s="336">
        <f t="shared" si="36"/>
        <v>0</v>
      </c>
      <c r="EV41" s="336">
        <f t="shared" si="37"/>
        <v>0</v>
      </c>
      <c r="EW41" s="336">
        <f t="shared" si="38"/>
        <v>0</v>
      </c>
      <c r="EX41" s="336">
        <f t="shared" si="39"/>
        <v>0</v>
      </c>
      <c r="EY41" s="336">
        <f t="shared" si="40"/>
        <v>0</v>
      </c>
      <c r="EZ41" s="336">
        <f t="shared" si="41"/>
        <v>0</v>
      </c>
      <c r="FA41" s="336">
        <f t="shared" si="42"/>
        <v>0</v>
      </c>
      <c r="FB41" s="336">
        <f t="shared" si="43"/>
        <v>0</v>
      </c>
      <c r="FC41" s="336">
        <f t="shared" si="44"/>
        <v>0</v>
      </c>
      <c r="FD41" s="336">
        <f t="shared" si="45"/>
        <v>0</v>
      </c>
      <c r="FE41" s="336">
        <f t="shared" si="46"/>
        <v>0</v>
      </c>
      <c r="FF41" s="336">
        <f t="shared" si="47"/>
        <v>0</v>
      </c>
      <c r="FG41" s="336">
        <f t="shared" si="48"/>
        <v>0</v>
      </c>
      <c r="FH41" s="336">
        <f t="shared" si="49"/>
        <v>0</v>
      </c>
      <c r="FI41" s="336">
        <f t="shared" si="50"/>
        <v>0</v>
      </c>
      <c r="FJ41" s="336">
        <f t="shared" si="51"/>
        <v>0</v>
      </c>
      <c r="FK41" s="336">
        <f t="shared" si="52"/>
        <v>0</v>
      </c>
      <c r="FL41" s="336">
        <f t="shared" si="53"/>
        <v>0</v>
      </c>
      <c r="FM41" s="336">
        <f t="shared" si="54"/>
        <v>0</v>
      </c>
      <c r="FN41" s="336">
        <f t="shared" si="55"/>
        <v>0</v>
      </c>
      <c r="FO41" s="336">
        <f t="shared" si="56"/>
        <v>0</v>
      </c>
      <c r="FP41" s="336">
        <f t="shared" si="57"/>
        <v>0</v>
      </c>
      <c r="FQ41" s="336">
        <f t="shared" si="58"/>
        <v>0</v>
      </c>
      <c r="FR41" s="336">
        <f t="shared" si="59"/>
        <v>0</v>
      </c>
      <c r="FS41" s="336">
        <f t="shared" si="60"/>
        <v>0</v>
      </c>
      <c r="FT41" s="336">
        <f t="shared" si="61"/>
        <v>0</v>
      </c>
      <c r="FU41" s="336">
        <f t="shared" si="62"/>
        <v>0</v>
      </c>
      <c r="FV41" s="336">
        <f t="shared" si="63"/>
        <v>0</v>
      </c>
      <c r="FW41" s="336">
        <f t="shared" si="64"/>
        <v>0</v>
      </c>
      <c r="FX41" s="336">
        <f t="shared" si="65"/>
        <v>0</v>
      </c>
      <c r="FY41" s="336">
        <f t="shared" si="66"/>
        <v>0</v>
      </c>
      <c r="FZ41" s="336">
        <f t="shared" si="67"/>
        <v>0</v>
      </c>
      <c r="GA41" s="336">
        <f t="shared" si="68"/>
        <v>0</v>
      </c>
      <c r="GB41" s="336">
        <f t="shared" si="69"/>
        <v>0</v>
      </c>
      <c r="GC41" s="336">
        <f t="shared" si="70"/>
        <v>0</v>
      </c>
      <c r="GD41" s="336">
        <f t="shared" si="71"/>
        <v>0</v>
      </c>
      <c r="GE41" s="336">
        <f t="shared" si="72"/>
        <v>0</v>
      </c>
      <c r="GF41" s="336">
        <f t="shared" si="73"/>
        <v>0</v>
      </c>
      <c r="GG41" s="336">
        <f t="shared" si="74"/>
        <v>0</v>
      </c>
      <c r="GH41" s="336">
        <f t="shared" si="75"/>
        <v>0</v>
      </c>
      <c r="GI41" s="336">
        <f t="shared" si="76"/>
        <v>0</v>
      </c>
      <c r="GJ41" s="336">
        <f t="shared" si="77"/>
        <v>0</v>
      </c>
      <c r="GK41" s="336">
        <f t="shared" si="78"/>
        <v>0</v>
      </c>
      <c r="GL41" s="336">
        <f t="shared" si="79"/>
        <v>0</v>
      </c>
      <c r="GM41" s="336">
        <f t="shared" si="80"/>
        <v>0</v>
      </c>
    </row>
    <row r="42" spans="1:195">
      <c r="A42" s="337">
        <f>A41+1</f>
        <v>26</v>
      </c>
      <c r="B42" s="567" t="s">
        <v>1455</v>
      </c>
      <c r="C42" s="567" t="str">
        <f t="shared" si="230"/>
        <v>PDB-3</v>
      </c>
      <c r="D42" s="444" t="s">
        <v>1467</v>
      </c>
      <c r="E42" s="500" t="s">
        <v>427</v>
      </c>
      <c r="F42" s="500"/>
      <c r="G42" s="337" t="s">
        <v>329</v>
      </c>
      <c r="H42" s="350">
        <v>5</v>
      </c>
      <c r="I42" s="337" t="s">
        <v>330</v>
      </c>
      <c r="J42" s="337" t="s">
        <v>331</v>
      </c>
      <c r="K42" s="349">
        <v>400</v>
      </c>
      <c r="L42" s="343">
        <v>0.85</v>
      </c>
      <c r="M42" s="350">
        <v>0.95</v>
      </c>
      <c r="N42" s="342">
        <f t="shared" si="205"/>
        <v>8.9375728412186568</v>
      </c>
      <c r="O42" s="342">
        <f t="shared" si="206"/>
        <v>0</v>
      </c>
      <c r="P42" s="343" t="str">
        <f t="shared" si="207"/>
        <v>0.00</v>
      </c>
      <c r="Q42" s="350">
        <v>65</v>
      </c>
      <c r="R42" s="350">
        <v>0</v>
      </c>
      <c r="S42" s="350">
        <f t="shared" si="208"/>
        <v>0</v>
      </c>
      <c r="T42" s="343" t="s">
        <v>131</v>
      </c>
      <c r="U42" s="350" t="s">
        <v>522</v>
      </c>
      <c r="V42" s="343">
        <v>4</v>
      </c>
      <c r="W42" s="343" t="str">
        <f t="shared" si="209"/>
        <v>4C X 4</v>
      </c>
      <c r="X42" s="343" t="str">
        <f t="shared" si="231"/>
        <v>4C X 4</v>
      </c>
      <c r="Y42" s="343" t="s">
        <v>358</v>
      </c>
      <c r="Z42" s="344">
        <f>IF(T42="AIR",VLOOKUP(W42,'Catalogue Aluminium'!$B$9:$G$93,2,FALSE),IF(T42="GROUND",VLOOKUP(W42,'Catalogue Aluminium'!$B$9:$G$93,3,FALSE),IF(T42="DUCT",VLOOKUP(W42,'Catalogue Aluminium'!$B$9:$G$93,4,FALSE),IF(T42="TRENCH",VLOOKUP(W42,'Catalogue Aluminium'!$B$9:$G$93,2,FALSE)))))</f>
        <v>38</v>
      </c>
      <c r="AA42" s="345">
        <f>VLOOKUP(W42,'Catalogue Aluminium'!$B$9:$G$93,5,FALSE)</f>
        <v>5.9</v>
      </c>
      <c r="AB42" s="345">
        <f>VLOOKUP(W42,'Catalogue Aluminium'!$B$9:$G$93,6,FALSE)</f>
        <v>9.4700000000000006E-2</v>
      </c>
      <c r="AC42" s="337">
        <f t="shared" si="232"/>
        <v>29</v>
      </c>
      <c r="AD42" s="346">
        <f>3+5+3</f>
        <v>11</v>
      </c>
      <c r="AE42" s="346">
        <v>10</v>
      </c>
      <c r="AF42" s="346">
        <v>8</v>
      </c>
      <c r="AG42" s="346">
        <f t="shared" si="84"/>
        <v>6</v>
      </c>
      <c r="AH42" s="802">
        <f t="shared" si="233"/>
        <v>64</v>
      </c>
      <c r="AI42" s="344">
        <f>IF(T42="AIR",'Catalogue Aluminium'!$K$9,IF(T42="TRENCH",'Catalogue Aluminium'!$K$12,"NA"))</f>
        <v>0.89</v>
      </c>
      <c r="AJ42" s="342">
        <f>IF(T42="Air",(IF(U42="1C",'Catalogue Aluminium'!$L$9,'Catalogue Aluminium'!$M$9)),IF(T42="DUCT",(IF($U42="1C",'Catalogue Aluminium'!$L$10,'Catalogue Aluminium'!$M$10)),IF(T42="GROUND",(IF($U42="1C",'Catalogue Aluminium'!$L$11,'Catalogue Aluminium'!$M$11)),IF(T42="TRENCH",(IF($U42="1C",'Catalogue Aluminium'!$L$12,'Catalogue Aluminium'!$M$12))))))</f>
        <v>0.66</v>
      </c>
      <c r="AK42" s="344" t="str">
        <f>IF(T42="Air",'Catalogue Aluminium'!$N$9,IF(T42="GROUND",'Catalogue Aluminium'!$N$10,IF(T42="DUCT",'Catalogue Aluminium'!$N$11,IF(T42="TRENCH",'Catalogue Aluminium'!$N$12,"NA"))))</f>
        <v>NA</v>
      </c>
      <c r="AL42" s="344" t="str">
        <f>IF(T42="Air",(IF(U42="1C",'Catalogue Aluminium'!$O$9,'Catalogue Aluminium'!$P$9)),IF(T42="DUCT",(IF($U42="1C",'Catalogue Aluminium'!$O$10,'Catalogue Aluminium'!$P$10)),IF(T42="GROUND",(IF($U42="1C",'Catalogue Aluminium'!$O$11,'Catalogue Aluminium'!$P$11)),IF(T42="TRENCH",(IF($U42="1C",'Catalogue Aluminium'!$O$12,'Catalogue Aluminium'!$P$12))))))</f>
        <v>NA</v>
      </c>
      <c r="AM42" s="344" t="str">
        <f>IF(T42="AIR","NA",IF(T42="TRENCH","NA",IF(T42="DUCT",IF(U42="1C",VLOOKUP(V42,'Catalogue Aluminium'!$Q$9:$S$28,2,FALSE),VLOOKUP(V42,'Catalogue Aluminium'!$Q$9:$S$28,3)),IF(T42="GROUND",IF(U42="1C",VLOOKUP(V42,'Catalogue Aluminium'!$Q$9:$S$28,2,FALSE),VLOOKUP(V42,'Catalogue Aluminium'!$Q$9:$S$28,3))))))</f>
        <v>NA</v>
      </c>
      <c r="AN42" s="351">
        <f t="shared" si="213"/>
        <v>0.58740000000000003</v>
      </c>
      <c r="AO42" s="350">
        <f t="shared" si="214"/>
        <v>22.321200000000001</v>
      </c>
      <c r="AP42" s="349">
        <f t="shared" si="215"/>
        <v>1</v>
      </c>
      <c r="AQ42" s="350" t="str">
        <f t="shared" si="216"/>
        <v>YES</v>
      </c>
      <c r="AR42" s="351">
        <f t="shared" si="217"/>
        <v>1.2544978073203448</v>
      </c>
      <c r="AS42" s="343" t="str">
        <f t="shared" si="234"/>
        <v>YES</v>
      </c>
      <c r="AT42" s="351" t="str">
        <f t="shared" si="235"/>
        <v>NA</v>
      </c>
      <c r="AU42" s="343" t="str">
        <f t="shared" si="236"/>
        <v>NA</v>
      </c>
      <c r="AV42" s="354" t="str">
        <f t="shared" si="237"/>
        <v>1R x 0.6/1kV x 4C x 4 Sqmm</v>
      </c>
      <c r="AW42" s="354" t="str">
        <f t="shared" si="238"/>
        <v>1R x 0.6/1kV x 4C x 4 Sqmm</v>
      </c>
      <c r="AX42" s="343">
        <f t="shared" si="239"/>
        <v>64</v>
      </c>
      <c r="AY42" s="355"/>
      <c r="AZ42" s="355">
        <f t="shared" si="240"/>
        <v>2</v>
      </c>
      <c r="BA42" s="356" t="str">
        <f t="shared" si="241"/>
        <v/>
      </c>
      <c r="BB42" s="336">
        <f>VLOOKUP(W42,'Catalogue Aluminium'!$B$9:$H$93,7,FALSE)</f>
        <v>16</v>
      </c>
      <c r="BC42" s="336">
        <f>AP42*BB42</f>
        <v>16</v>
      </c>
      <c r="BE42" s="336"/>
      <c r="BF42" s="336"/>
      <c r="BG42" s="336"/>
      <c r="BH42" s="336"/>
      <c r="BI42" s="336"/>
      <c r="BJ42" s="336"/>
      <c r="BK42" s="336"/>
      <c r="BL42" s="336"/>
      <c r="BM42" s="336"/>
      <c r="BN42" s="336"/>
      <c r="BO42" s="336"/>
      <c r="BP42" s="336"/>
      <c r="BQ42" s="336"/>
      <c r="BR42" s="336"/>
      <c r="BS42" s="336"/>
      <c r="BT42" s="336"/>
      <c r="BU42" s="336"/>
      <c r="BV42" s="336"/>
      <c r="BW42" s="336"/>
      <c r="BX42" s="336"/>
      <c r="BY42" s="336"/>
      <c r="BZ42" s="336"/>
      <c r="CA42" s="336"/>
      <c r="CB42" s="336"/>
      <c r="CC42" s="336"/>
      <c r="CD42" s="336"/>
      <c r="CE42" s="336"/>
      <c r="CF42" s="336"/>
      <c r="CG42" s="336"/>
      <c r="CH42" s="336"/>
      <c r="CI42" s="336"/>
      <c r="CJ42" s="336"/>
      <c r="CK42" s="336"/>
      <c r="CL42" s="336"/>
      <c r="CM42" s="336"/>
      <c r="CN42" s="336"/>
      <c r="CO42" s="336"/>
      <c r="CP42" s="336"/>
      <c r="CQ42" s="336"/>
      <c r="CR42" s="336"/>
      <c r="CS42" s="336"/>
      <c r="CT42" s="336"/>
      <c r="CU42" s="336"/>
      <c r="CV42" s="336"/>
      <c r="CW42" s="336"/>
      <c r="CX42" s="336"/>
      <c r="CY42" s="336"/>
      <c r="CZ42" s="336"/>
      <c r="DA42" s="336"/>
      <c r="DB42" s="336"/>
      <c r="DC42" s="336"/>
      <c r="DD42" s="336"/>
      <c r="DE42" s="336"/>
      <c r="DF42" s="336"/>
      <c r="DG42" s="336"/>
      <c r="DH42" s="336"/>
      <c r="DI42" s="336"/>
      <c r="DJ42" s="336"/>
      <c r="DK42" s="336"/>
      <c r="DL42" s="336"/>
      <c r="DM42" s="336"/>
      <c r="DN42" s="336"/>
      <c r="DO42" s="336"/>
      <c r="DP42" s="336"/>
      <c r="DQ42" s="336"/>
      <c r="DR42" s="336"/>
      <c r="DS42" s="336"/>
      <c r="DT42" s="336"/>
      <c r="DU42" s="336"/>
      <c r="DW42" s="336">
        <f t="shared" si="93"/>
        <v>0</v>
      </c>
      <c r="DX42" s="336">
        <f t="shared" si="14"/>
        <v>0</v>
      </c>
      <c r="DY42" s="336">
        <f t="shared" si="15"/>
        <v>0</v>
      </c>
      <c r="DZ42" s="336">
        <f t="shared" si="16"/>
        <v>0</v>
      </c>
      <c r="EA42" s="336">
        <f t="shared" si="17"/>
        <v>0</v>
      </c>
      <c r="EB42" s="336">
        <f t="shared" si="18"/>
        <v>0</v>
      </c>
      <c r="EC42" s="336">
        <f t="shared" si="19"/>
        <v>0</v>
      </c>
      <c r="ED42" s="336">
        <f t="shared" si="20"/>
        <v>0</v>
      </c>
      <c r="EE42" s="336">
        <f t="shared" si="21"/>
        <v>0</v>
      </c>
      <c r="EF42" s="336">
        <f t="shared" si="22"/>
        <v>0</v>
      </c>
      <c r="EG42" s="336">
        <f t="shared" si="23"/>
        <v>0</v>
      </c>
      <c r="EH42" s="336">
        <f t="shared" si="24"/>
        <v>0</v>
      </c>
      <c r="EI42" s="336">
        <f t="shared" si="25"/>
        <v>0</v>
      </c>
      <c r="EJ42" s="336">
        <f t="shared" si="26"/>
        <v>0</v>
      </c>
      <c r="EK42" s="336">
        <f t="shared" si="27"/>
        <v>0</v>
      </c>
      <c r="EL42" s="336">
        <f t="shared" si="28"/>
        <v>0</v>
      </c>
      <c r="EM42" s="336">
        <f t="shared" si="29"/>
        <v>0</v>
      </c>
      <c r="EN42" s="336">
        <f t="shared" si="30"/>
        <v>0</v>
      </c>
      <c r="EO42" s="336">
        <f t="shared" si="31"/>
        <v>0</v>
      </c>
      <c r="EP42" s="336">
        <f t="shared" si="32"/>
        <v>0</v>
      </c>
      <c r="EQ42" s="336">
        <f t="shared" si="33"/>
        <v>0</v>
      </c>
      <c r="ER42" s="336">
        <f t="shared" si="34"/>
        <v>0</v>
      </c>
      <c r="ES42" s="336">
        <f t="shared" si="35"/>
        <v>0</v>
      </c>
      <c r="ET42" s="336">
        <f t="shared" si="35"/>
        <v>0</v>
      </c>
      <c r="EU42" s="336">
        <f t="shared" si="36"/>
        <v>0</v>
      </c>
      <c r="EV42" s="336">
        <f t="shared" si="37"/>
        <v>0</v>
      </c>
      <c r="EW42" s="336">
        <f t="shared" si="38"/>
        <v>0</v>
      </c>
      <c r="EX42" s="336">
        <f t="shared" si="39"/>
        <v>0</v>
      </c>
      <c r="EY42" s="336">
        <f t="shared" si="40"/>
        <v>0</v>
      </c>
      <c r="EZ42" s="336">
        <f t="shared" si="41"/>
        <v>0</v>
      </c>
      <c r="FA42" s="336">
        <f t="shared" si="42"/>
        <v>0</v>
      </c>
      <c r="FB42" s="336">
        <f t="shared" si="43"/>
        <v>0</v>
      </c>
      <c r="FC42" s="336">
        <f t="shared" si="44"/>
        <v>0</v>
      </c>
      <c r="FD42" s="336">
        <f t="shared" si="45"/>
        <v>0</v>
      </c>
      <c r="FE42" s="336">
        <f t="shared" si="46"/>
        <v>0</v>
      </c>
      <c r="FF42" s="336">
        <f t="shared" si="47"/>
        <v>0</v>
      </c>
      <c r="FG42" s="336">
        <f t="shared" si="48"/>
        <v>0</v>
      </c>
      <c r="FH42" s="336">
        <f t="shared" si="49"/>
        <v>0</v>
      </c>
      <c r="FI42" s="336">
        <f t="shared" si="50"/>
        <v>0</v>
      </c>
      <c r="FJ42" s="336">
        <f t="shared" si="51"/>
        <v>0</v>
      </c>
      <c r="FK42" s="336">
        <f t="shared" si="52"/>
        <v>0</v>
      </c>
      <c r="FL42" s="336">
        <f t="shared" si="53"/>
        <v>0</v>
      </c>
      <c r="FM42" s="336">
        <f t="shared" si="54"/>
        <v>0</v>
      </c>
      <c r="FN42" s="336">
        <f t="shared" si="55"/>
        <v>0</v>
      </c>
      <c r="FO42" s="336">
        <f t="shared" si="56"/>
        <v>0</v>
      </c>
      <c r="FP42" s="336">
        <f t="shared" si="57"/>
        <v>0</v>
      </c>
      <c r="FQ42" s="336">
        <f t="shared" si="58"/>
        <v>0</v>
      </c>
      <c r="FR42" s="336">
        <f t="shared" si="59"/>
        <v>0</v>
      </c>
      <c r="FS42" s="336">
        <f t="shared" si="60"/>
        <v>0</v>
      </c>
      <c r="FT42" s="336">
        <f t="shared" si="61"/>
        <v>0</v>
      </c>
      <c r="FU42" s="336">
        <f t="shared" si="62"/>
        <v>0</v>
      </c>
      <c r="FV42" s="336">
        <f t="shared" si="63"/>
        <v>0</v>
      </c>
      <c r="FW42" s="336">
        <f t="shared" si="64"/>
        <v>0</v>
      </c>
      <c r="FX42" s="336">
        <f t="shared" si="65"/>
        <v>0</v>
      </c>
      <c r="FY42" s="336">
        <f t="shared" si="66"/>
        <v>0</v>
      </c>
      <c r="FZ42" s="336">
        <f t="shared" si="67"/>
        <v>0</v>
      </c>
      <c r="GA42" s="336">
        <f t="shared" si="68"/>
        <v>0</v>
      </c>
      <c r="GB42" s="336">
        <f t="shared" si="69"/>
        <v>0</v>
      </c>
      <c r="GC42" s="336">
        <f t="shared" si="70"/>
        <v>0</v>
      </c>
      <c r="GD42" s="336">
        <f t="shared" si="71"/>
        <v>0</v>
      </c>
      <c r="GE42" s="336">
        <f t="shared" si="72"/>
        <v>0</v>
      </c>
      <c r="GF42" s="336">
        <f t="shared" si="73"/>
        <v>0</v>
      </c>
      <c r="GG42" s="336">
        <f t="shared" si="74"/>
        <v>0</v>
      </c>
      <c r="GH42" s="336">
        <f t="shared" si="75"/>
        <v>0</v>
      </c>
      <c r="GI42" s="336">
        <f t="shared" si="76"/>
        <v>0</v>
      </c>
      <c r="GJ42" s="336">
        <f t="shared" si="77"/>
        <v>0</v>
      </c>
      <c r="GK42" s="336">
        <f t="shared" si="78"/>
        <v>0</v>
      </c>
      <c r="GL42" s="336">
        <f t="shared" si="79"/>
        <v>0</v>
      </c>
      <c r="GM42" s="336">
        <f t="shared" si="80"/>
        <v>0</v>
      </c>
    </row>
    <row r="43" spans="1:195">
      <c r="A43" s="337">
        <f t="shared" ref="A43:A48" si="242">A42+1</f>
        <v>27</v>
      </c>
      <c r="B43" s="567" t="s">
        <v>1455</v>
      </c>
      <c r="C43" s="567" t="str">
        <f t="shared" si="230"/>
        <v>PDB-3</v>
      </c>
      <c r="D43" s="444" t="s">
        <v>1468</v>
      </c>
      <c r="E43" s="500" t="s">
        <v>427</v>
      </c>
      <c r="F43" s="500"/>
      <c r="G43" s="337" t="s">
        <v>329</v>
      </c>
      <c r="H43" s="350">
        <v>5</v>
      </c>
      <c r="I43" s="337" t="s">
        <v>330</v>
      </c>
      <c r="J43" s="337" t="s">
        <v>331</v>
      </c>
      <c r="K43" s="349">
        <v>400</v>
      </c>
      <c r="L43" s="343">
        <v>0.85</v>
      </c>
      <c r="M43" s="350">
        <v>0.95</v>
      </c>
      <c r="N43" s="342">
        <f t="shared" si="205"/>
        <v>8.9375728412186568</v>
      </c>
      <c r="O43" s="342">
        <f t="shared" si="206"/>
        <v>0</v>
      </c>
      <c r="P43" s="343" t="str">
        <f t="shared" si="207"/>
        <v>0.00</v>
      </c>
      <c r="Q43" s="350">
        <v>65</v>
      </c>
      <c r="R43" s="350">
        <v>0</v>
      </c>
      <c r="S43" s="350">
        <f t="shared" si="208"/>
        <v>0</v>
      </c>
      <c r="T43" s="343" t="s">
        <v>131</v>
      </c>
      <c r="U43" s="350" t="s">
        <v>522</v>
      </c>
      <c r="V43" s="343">
        <v>4</v>
      </c>
      <c r="W43" s="343" t="str">
        <f t="shared" si="209"/>
        <v>4C X 4</v>
      </c>
      <c r="X43" s="343" t="str">
        <f t="shared" si="231"/>
        <v>4C X 4</v>
      </c>
      <c r="Y43" s="343" t="s">
        <v>358</v>
      </c>
      <c r="Z43" s="344">
        <f>IF(T43="AIR",VLOOKUP(W43,'Catalogue Aluminium'!$B$9:$G$93,2,FALSE),IF(T43="GROUND",VLOOKUP(W43,'Catalogue Aluminium'!$B$9:$G$93,3,FALSE),IF(T43="DUCT",VLOOKUP(W43,'Catalogue Aluminium'!$B$9:$G$93,4,FALSE),IF(T43="TRENCH",VLOOKUP(W43,'Catalogue Aluminium'!$B$9:$G$93,2,FALSE)))))</f>
        <v>38</v>
      </c>
      <c r="AA43" s="345">
        <f>VLOOKUP(W43,'Catalogue Aluminium'!$B$9:$G$93,5,FALSE)</f>
        <v>5.9</v>
      </c>
      <c r="AB43" s="345">
        <f>VLOOKUP(W43,'Catalogue Aluminium'!$B$9:$G$93,6,FALSE)</f>
        <v>9.4700000000000006E-2</v>
      </c>
      <c r="AC43" s="337">
        <f t="shared" si="232"/>
        <v>29</v>
      </c>
      <c r="AD43" s="346">
        <f>3+3+6</f>
        <v>12</v>
      </c>
      <c r="AE43" s="346">
        <v>10</v>
      </c>
      <c r="AF43" s="346">
        <v>8</v>
      </c>
      <c r="AG43" s="346">
        <f t="shared" si="84"/>
        <v>6</v>
      </c>
      <c r="AH43" s="802">
        <f t="shared" si="233"/>
        <v>65</v>
      </c>
      <c r="AI43" s="344">
        <f>IF(T43="AIR",'Catalogue Aluminium'!$K$9,IF(T43="TRENCH",'Catalogue Aluminium'!$K$12,"NA"))</f>
        <v>0.89</v>
      </c>
      <c r="AJ43" s="342">
        <f>IF(T43="Air",(IF(U43="1C",'Catalogue Aluminium'!$L$9,'Catalogue Aluminium'!$M$9)),IF(T43="DUCT",(IF($U43="1C",'Catalogue Aluminium'!$L$10,'Catalogue Aluminium'!$M$10)),IF(T43="GROUND",(IF($U43="1C",'Catalogue Aluminium'!$L$11,'Catalogue Aluminium'!$M$11)),IF(T43="TRENCH",(IF($U43="1C",'Catalogue Aluminium'!$L$12,'Catalogue Aluminium'!$M$12))))))</f>
        <v>0.66</v>
      </c>
      <c r="AK43" s="344" t="str">
        <f>IF(T43="Air",'Catalogue Aluminium'!$N$9,IF(T43="GROUND",'Catalogue Aluminium'!$N$10,IF(T43="DUCT",'Catalogue Aluminium'!$N$11,IF(T43="TRENCH",'Catalogue Aluminium'!$N$12,"NA"))))</f>
        <v>NA</v>
      </c>
      <c r="AL43" s="344" t="str">
        <f>IF(T43="Air",(IF(U43="1C",'Catalogue Aluminium'!$O$9,'Catalogue Aluminium'!$P$9)),IF(T43="DUCT",(IF($U43="1C",'Catalogue Aluminium'!$O$10,'Catalogue Aluminium'!$P$10)),IF(T43="GROUND",(IF($U43="1C",'Catalogue Aluminium'!$O$11,'Catalogue Aluminium'!$P$11)),IF(T43="TRENCH",(IF($U43="1C",'Catalogue Aluminium'!$O$12,'Catalogue Aluminium'!$P$12))))))</f>
        <v>NA</v>
      </c>
      <c r="AM43" s="344" t="str">
        <f>IF(T43="AIR","NA",IF(T43="TRENCH","NA",IF(T43="DUCT",IF(U43="1C",VLOOKUP(V43,'Catalogue Aluminium'!$Q$9:$S$28,2,FALSE),VLOOKUP(V43,'Catalogue Aluminium'!$Q$9:$S$28,3)),IF(T43="GROUND",IF(U43="1C",VLOOKUP(V43,'Catalogue Aluminium'!$Q$9:$S$28,2,FALSE),VLOOKUP(V43,'Catalogue Aluminium'!$Q$9:$S$28,3))))))</f>
        <v>NA</v>
      </c>
      <c r="AN43" s="351">
        <f t="shared" si="213"/>
        <v>0.58740000000000003</v>
      </c>
      <c r="AO43" s="350">
        <f t="shared" si="214"/>
        <v>22.321200000000001</v>
      </c>
      <c r="AP43" s="349">
        <f t="shared" si="215"/>
        <v>1</v>
      </c>
      <c r="AQ43" s="350" t="str">
        <f t="shared" si="216"/>
        <v>YES</v>
      </c>
      <c r="AR43" s="351">
        <f t="shared" si="217"/>
        <v>1.2740993355597254</v>
      </c>
      <c r="AS43" s="343" t="str">
        <f t="shared" si="234"/>
        <v>YES</v>
      </c>
      <c r="AT43" s="351" t="str">
        <f t="shared" si="235"/>
        <v>NA</v>
      </c>
      <c r="AU43" s="343" t="str">
        <f t="shared" si="236"/>
        <v>NA</v>
      </c>
      <c r="AV43" s="354" t="str">
        <f t="shared" si="237"/>
        <v>1R x 0.6/1kV x 4C x 4 Sqmm</v>
      </c>
      <c r="AW43" s="354" t="str">
        <f t="shared" si="238"/>
        <v>1R x 0.6/1kV x 4C x 4 Sqmm</v>
      </c>
      <c r="AX43" s="343">
        <f t="shared" si="239"/>
        <v>65</v>
      </c>
      <c r="AY43" s="355"/>
      <c r="AZ43" s="355">
        <f t="shared" si="240"/>
        <v>2</v>
      </c>
      <c r="BA43" s="356" t="str">
        <f t="shared" si="241"/>
        <v/>
      </c>
      <c r="BB43" s="336">
        <f>VLOOKUP(W43,'Catalogue Aluminium'!$B$9:$H$93,7,FALSE)</f>
        <v>16</v>
      </c>
      <c r="BC43" s="336">
        <f>AP43*BB43</f>
        <v>16</v>
      </c>
      <c r="BE43" s="336"/>
      <c r="BF43" s="336"/>
      <c r="BG43" s="336"/>
      <c r="BH43" s="336"/>
      <c r="BI43" s="336"/>
      <c r="BJ43" s="336"/>
      <c r="BK43" s="336"/>
      <c r="BL43" s="336"/>
      <c r="BM43" s="336"/>
      <c r="BN43" s="336"/>
      <c r="BO43" s="336"/>
      <c r="BP43" s="336"/>
      <c r="BQ43" s="336"/>
      <c r="BR43" s="336"/>
      <c r="BS43" s="336"/>
      <c r="BT43" s="336"/>
      <c r="BU43" s="336"/>
      <c r="BV43" s="336"/>
      <c r="BW43" s="336"/>
      <c r="BX43" s="336"/>
      <c r="BY43" s="336"/>
      <c r="BZ43" s="336"/>
      <c r="CA43" s="336"/>
      <c r="CB43" s="336"/>
      <c r="CC43" s="336"/>
      <c r="CD43" s="336"/>
      <c r="CE43" s="336"/>
      <c r="CF43" s="336"/>
      <c r="CG43" s="336"/>
      <c r="CH43" s="336"/>
      <c r="CI43" s="336"/>
      <c r="CJ43" s="336"/>
      <c r="CK43" s="336"/>
      <c r="CL43" s="336"/>
      <c r="CM43" s="336"/>
      <c r="CN43" s="336"/>
      <c r="CO43" s="336"/>
      <c r="CP43" s="336"/>
      <c r="CQ43" s="336"/>
      <c r="CR43" s="336"/>
      <c r="CS43" s="336"/>
      <c r="CT43" s="336"/>
      <c r="CU43" s="336"/>
      <c r="CV43" s="336"/>
      <c r="CW43" s="336"/>
      <c r="CX43" s="336"/>
      <c r="CY43" s="336"/>
      <c r="CZ43" s="336"/>
      <c r="DA43" s="336"/>
      <c r="DB43" s="336"/>
      <c r="DC43" s="336"/>
      <c r="DD43" s="336"/>
      <c r="DE43" s="336"/>
      <c r="DF43" s="336"/>
      <c r="DG43" s="336"/>
      <c r="DH43" s="336"/>
      <c r="DI43" s="336"/>
      <c r="DJ43" s="336"/>
      <c r="DK43" s="336"/>
      <c r="DL43" s="336"/>
      <c r="DM43" s="336"/>
      <c r="DN43" s="336"/>
      <c r="DO43" s="336"/>
      <c r="DP43" s="336"/>
      <c r="DQ43" s="336"/>
      <c r="DR43" s="336"/>
      <c r="DS43" s="336"/>
      <c r="DT43" s="336"/>
      <c r="DU43" s="336"/>
      <c r="DW43" s="336">
        <f t="shared" si="93"/>
        <v>0</v>
      </c>
      <c r="DX43" s="336">
        <f t="shared" si="14"/>
        <v>0</v>
      </c>
      <c r="DY43" s="336">
        <f t="shared" si="15"/>
        <v>0</v>
      </c>
      <c r="DZ43" s="336">
        <f t="shared" si="16"/>
        <v>0</v>
      </c>
      <c r="EA43" s="336">
        <f t="shared" si="17"/>
        <v>0</v>
      </c>
      <c r="EB43" s="336">
        <f t="shared" si="18"/>
        <v>0</v>
      </c>
      <c r="EC43" s="336">
        <f t="shared" si="19"/>
        <v>0</v>
      </c>
      <c r="ED43" s="336">
        <f t="shared" si="20"/>
        <v>0</v>
      </c>
      <c r="EE43" s="336">
        <f t="shared" si="21"/>
        <v>0</v>
      </c>
      <c r="EF43" s="336">
        <f t="shared" si="22"/>
        <v>0</v>
      </c>
      <c r="EG43" s="336">
        <f t="shared" si="23"/>
        <v>0</v>
      </c>
      <c r="EH43" s="336">
        <f t="shared" si="24"/>
        <v>0</v>
      </c>
      <c r="EI43" s="336">
        <f t="shared" si="25"/>
        <v>0</v>
      </c>
      <c r="EJ43" s="336">
        <f t="shared" si="26"/>
        <v>0</v>
      </c>
      <c r="EK43" s="336">
        <f t="shared" si="27"/>
        <v>0</v>
      </c>
      <c r="EL43" s="336">
        <f t="shared" si="28"/>
        <v>0</v>
      </c>
      <c r="EM43" s="336">
        <f t="shared" si="29"/>
        <v>0</v>
      </c>
      <c r="EN43" s="336">
        <f t="shared" si="30"/>
        <v>0</v>
      </c>
      <c r="EO43" s="336">
        <f t="shared" si="31"/>
        <v>0</v>
      </c>
      <c r="EP43" s="336">
        <f t="shared" si="32"/>
        <v>0</v>
      </c>
      <c r="EQ43" s="336">
        <f t="shared" si="33"/>
        <v>0</v>
      </c>
      <c r="ER43" s="336">
        <f t="shared" si="34"/>
        <v>0</v>
      </c>
      <c r="ES43" s="336">
        <f t="shared" si="35"/>
        <v>0</v>
      </c>
      <c r="ET43" s="336">
        <f t="shared" si="35"/>
        <v>0</v>
      </c>
      <c r="EU43" s="336">
        <f t="shared" si="36"/>
        <v>0</v>
      </c>
      <c r="EV43" s="336">
        <f t="shared" si="37"/>
        <v>0</v>
      </c>
      <c r="EW43" s="336">
        <f t="shared" si="38"/>
        <v>0</v>
      </c>
      <c r="EX43" s="336">
        <f t="shared" si="39"/>
        <v>0</v>
      </c>
      <c r="EY43" s="336">
        <f t="shared" si="40"/>
        <v>0</v>
      </c>
      <c r="EZ43" s="336">
        <f t="shared" si="41"/>
        <v>0</v>
      </c>
      <c r="FA43" s="336">
        <f t="shared" si="42"/>
        <v>0</v>
      </c>
      <c r="FB43" s="336">
        <f t="shared" si="43"/>
        <v>0</v>
      </c>
      <c r="FC43" s="336">
        <f t="shared" si="44"/>
        <v>0</v>
      </c>
      <c r="FD43" s="336">
        <f t="shared" si="45"/>
        <v>0</v>
      </c>
      <c r="FE43" s="336">
        <f t="shared" si="46"/>
        <v>0</v>
      </c>
      <c r="FF43" s="336">
        <f t="shared" si="47"/>
        <v>0</v>
      </c>
      <c r="FG43" s="336">
        <f t="shared" si="48"/>
        <v>0</v>
      </c>
      <c r="FH43" s="336">
        <f t="shared" si="49"/>
        <v>0</v>
      </c>
      <c r="FI43" s="336">
        <f t="shared" si="50"/>
        <v>0</v>
      </c>
      <c r="FJ43" s="336">
        <f t="shared" si="51"/>
        <v>0</v>
      </c>
      <c r="FK43" s="336">
        <f t="shared" si="52"/>
        <v>0</v>
      </c>
      <c r="FL43" s="336">
        <f t="shared" si="53"/>
        <v>0</v>
      </c>
      <c r="FM43" s="336">
        <f t="shared" si="54"/>
        <v>0</v>
      </c>
      <c r="FN43" s="336">
        <f t="shared" si="55"/>
        <v>0</v>
      </c>
      <c r="FO43" s="336">
        <f t="shared" si="56"/>
        <v>0</v>
      </c>
      <c r="FP43" s="336">
        <f t="shared" si="57"/>
        <v>0</v>
      </c>
      <c r="FQ43" s="336">
        <f t="shared" si="58"/>
        <v>0</v>
      </c>
      <c r="FR43" s="336">
        <f t="shared" si="59"/>
        <v>0</v>
      </c>
      <c r="FS43" s="336">
        <f t="shared" si="60"/>
        <v>0</v>
      </c>
      <c r="FT43" s="336">
        <f t="shared" si="61"/>
        <v>0</v>
      </c>
      <c r="FU43" s="336">
        <f t="shared" si="62"/>
        <v>0</v>
      </c>
      <c r="FV43" s="336">
        <f t="shared" si="63"/>
        <v>0</v>
      </c>
      <c r="FW43" s="336">
        <f t="shared" si="64"/>
        <v>0</v>
      </c>
      <c r="FX43" s="336">
        <f t="shared" si="65"/>
        <v>0</v>
      </c>
      <c r="FY43" s="336">
        <f t="shared" si="66"/>
        <v>0</v>
      </c>
      <c r="FZ43" s="336">
        <f t="shared" si="67"/>
        <v>0</v>
      </c>
      <c r="GA43" s="336">
        <f t="shared" si="68"/>
        <v>0</v>
      </c>
      <c r="GB43" s="336">
        <f t="shared" si="69"/>
        <v>0</v>
      </c>
      <c r="GC43" s="336">
        <f t="shared" si="70"/>
        <v>0</v>
      </c>
      <c r="GD43" s="336">
        <f t="shared" si="71"/>
        <v>0</v>
      </c>
      <c r="GE43" s="336">
        <f t="shared" si="72"/>
        <v>0</v>
      </c>
      <c r="GF43" s="336">
        <f t="shared" si="73"/>
        <v>0</v>
      </c>
      <c r="GG43" s="336">
        <f t="shared" si="74"/>
        <v>0</v>
      </c>
      <c r="GH43" s="336">
        <f t="shared" si="75"/>
        <v>0</v>
      </c>
      <c r="GI43" s="336">
        <f t="shared" si="76"/>
        <v>0</v>
      </c>
      <c r="GJ43" s="336">
        <f t="shared" si="77"/>
        <v>0</v>
      </c>
      <c r="GK43" s="336">
        <f t="shared" si="78"/>
        <v>0</v>
      </c>
      <c r="GL43" s="336">
        <f t="shared" si="79"/>
        <v>0</v>
      </c>
      <c r="GM43" s="336">
        <f t="shared" si="80"/>
        <v>0</v>
      </c>
    </row>
    <row r="44" spans="1:195">
      <c r="A44" s="337">
        <f t="shared" si="242"/>
        <v>28</v>
      </c>
      <c r="B44" s="567" t="s">
        <v>1455</v>
      </c>
      <c r="C44" s="567" t="str">
        <f t="shared" si="230"/>
        <v>PDB-3</v>
      </c>
      <c r="D44" s="444" t="s">
        <v>1469</v>
      </c>
      <c r="E44" s="500" t="s">
        <v>427</v>
      </c>
      <c r="F44" s="500"/>
      <c r="G44" s="337" t="s">
        <v>329</v>
      </c>
      <c r="H44" s="350">
        <v>5</v>
      </c>
      <c r="I44" s="337" t="s">
        <v>330</v>
      </c>
      <c r="J44" s="337" t="s">
        <v>331</v>
      </c>
      <c r="K44" s="349">
        <v>400</v>
      </c>
      <c r="L44" s="343">
        <v>0.85</v>
      </c>
      <c r="M44" s="350">
        <v>0.95</v>
      </c>
      <c r="N44" s="342">
        <f t="shared" ref="N44" si="243">IF(I44="kVA",IF(J44="3Ph",(H44*1000/(1.732*M44*K44)),(H44*1000/(M44*K44))),IF(I44="kW",IF(J44="3Ph",(H44*1000/(1.732*M44*K44*L44)),(H44*1000/(M44*K44*L44)))))</f>
        <v>8.9375728412186568</v>
      </c>
      <c r="O44" s="342">
        <f t="shared" si="206"/>
        <v>0</v>
      </c>
      <c r="P44" s="343" t="str">
        <f t="shared" ref="P44" si="244">IF(G44="MOTOR",0.2,"0.00")</f>
        <v>0.00</v>
      </c>
      <c r="Q44" s="350">
        <v>65</v>
      </c>
      <c r="R44" s="350">
        <v>0</v>
      </c>
      <c r="S44" s="350">
        <f t="shared" ref="S44" si="245">(Q44*1000*SQRT(R44)/143)</f>
        <v>0</v>
      </c>
      <c r="T44" s="343" t="s">
        <v>131</v>
      </c>
      <c r="U44" s="350" t="s">
        <v>522</v>
      </c>
      <c r="V44" s="343">
        <v>4</v>
      </c>
      <c r="W44" s="343" t="str">
        <f t="shared" ref="W44" si="246">CONCATENATE(U44," X ",V44)</f>
        <v>4C X 4</v>
      </c>
      <c r="X44" s="343" t="str">
        <f t="shared" si="231"/>
        <v>4C X 4</v>
      </c>
      <c r="Y44" s="343" t="s">
        <v>358</v>
      </c>
      <c r="Z44" s="344">
        <f>IF(T44="AIR",VLOOKUP(W44,'Catalogue Aluminium'!$B$9:$G$93,2,FALSE),IF(T44="GROUND",VLOOKUP(W44,'Catalogue Aluminium'!$B$9:$G$93,3,FALSE),IF(T44="DUCT",VLOOKUP(W44,'Catalogue Aluminium'!$B$9:$G$93,4,FALSE),IF(T44="TRENCH",VLOOKUP(W44,'Catalogue Aluminium'!$B$9:$G$93,2,FALSE)))))</f>
        <v>38</v>
      </c>
      <c r="AA44" s="345">
        <f>VLOOKUP(W44,'Catalogue Aluminium'!$B$9:$G$93,5,FALSE)</f>
        <v>5.9</v>
      </c>
      <c r="AB44" s="345">
        <f>VLOOKUP(W44,'Catalogue Aluminium'!$B$9:$G$93,6,FALSE)</f>
        <v>9.4700000000000006E-2</v>
      </c>
      <c r="AC44" s="337">
        <f t="shared" si="232"/>
        <v>29</v>
      </c>
      <c r="AD44" s="346">
        <f>3+3+6</f>
        <v>12</v>
      </c>
      <c r="AE44" s="346">
        <v>10</v>
      </c>
      <c r="AF44" s="346">
        <v>8</v>
      </c>
      <c r="AG44" s="346">
        <f t="shared" ref="AG44" si="247">ROUNDUP((SUM(AC44:AF44)*0.1),0)</f>
        <v>6</v>
      </c>
      <c r="AH44" s="802">
        <f t="shared" si="233"/>
        <v>65</v>
      </c>
      <c r="AI44" s="344">
        <f>IF(T44="AIR",'Catalogue Aluminium'!$K$9,IF(T44="TRENCH",'Catalogue Aluminium'!$K$12,"NA"))</f>
        <v>0.89</v>
      </c>
      <c r="AJ44" s="342">
        <f>IF(T44="Air",(IF(U44="1C",'Catalogue Aluminium'!$L$9,'Catalogue Aluminium'!$M$9)),IF(T44="DUCT",(IF($U44="1C",'Catalogue Aluminium'!$L$10,'Catalogue Aluminium'!$M$10)),IF(T44="GROUND",(IF($U44="1C",'Catalogue Aluminium'!$L$11,'Catalogue Aluminium'!$M$11)),IF(T44="TRENCH",(IF($U44="1C",'Catalogue Aluminium'!$L$12,'Catalogue Aluminium'!$M$12))))))</f>
        <v>0.66</v>
      </c>
      <c r="AK44" s="344" t="str">
        <f>IF(T44="Air",'Catalogue Aluminium'!$N$9,IF(T44="GROUND",'Catalogue Aluminium'!$N$10,IF(T44="DUCT",'Catalogue Aluminium'!$N$11,IF(T44="TRENCH",'Catalogue Aluminium'!$N$12,"NA"))))</f>
        <v>NA</v>
      </c>
      <c r="AL44" s="344" t="str">
        <f>IF(T44="Air",(IF(U44="1C",'Catalogue Aluminium'!$O$9,'Catalogue Aluminium'!$P$9)),IF(T44="DUCT",(IF($U44="1C",'Catalogue Aluminium'!$O$10,'Catalogue Aluminium'!$P$10)),IF(T44="GROUND",(IF($U44="1C",'Catalogue Aluminium'!$O$11,'Catalogue Aluminium'!$P$11)),IF(T44="TRENCH",(IF($U44="1C",'Catalogue Aluminium'!$O$12,'Catalogue Aluminium'!$P$12))))))</f>
        <v>NA</v>
      </c>
      <c r="AM44" s="344" t="str">
        <f>IF(T44="AIR","NA",IF(T44="TRENCH","NA",IF(T44="DUCT",IF(U44="1C",VLOOKUP(V44,'Catalogue Aluminium'!$Q$9:$S$28,2,FALSE),VLOOKUP(V44,'Catalogue Aluminium'!$Q$9:$S$28,3)),IF(T44="GROUND",IF(U44="1C",VLOOKUP(V44,'Catalogue Aluminium'!$Q$9:$S$28,2,FALSE),VLOOKUP(V44,'Catalogue Aluminium'!$Q$9:$S$28,3))))))</f>
        <v>NA</v>
      </c>
      <c r="AN44" s="351">
        <f t="shared" ref="AN44" si="248">IF(T44="AIR",AI44*AJ44,IF(T44="TRENCH",AI44*AJ44,IF(T44="DUCT",AJ44*AK44*AL44*AM44,IF(T44="GROUND",AJ44*AK44*AL44*AM44))))</f>
        <v>0.58740000000000003</v>
      </c>
      <c r="AO44" s="350">
        <f t="shared" ref="AO44" si="249">Z44*AN44</f>
        <v>22.321200000000001</v>
      </c>
      <c r="AP44" s="349">
        <f t="shared" ref="AP44" si="250">CEILING(((N44)/AO44),1)</f>
        <v>1</v>
      </c>
      <c r="AQ44" s="350" t="str">
        <f t="shared" ref="AQ44" si="251">IF(AO44*AP44&gt;=N44,"YES","NO")</f>
        <v>YES</v>
      </c>
      <c r="AR44" s="351">
        <f t="shared" ref="AR44" si="252">SQRT(3)*AH44*N44*((AA44*L44)+(AB44*SIN(ACOS(L44))))*100/(AP44*K44*1000)</f>
        <v>1.2740993355597254</v>
      </c>
      <c r="AS44" s="343" t="str">
        <f t="shared" ref="AS44" si="253">IF(G44="INCOMER",(IF(AR44&lt;=2,"YES","NO")),IF(G44="POWER",(IF(AR44&lt;=2.5,"YES","NO")),IF(G44="MOTOR",(IF(AR44&lt;=3,"YES","NO")))))</f>
        <v>YES</v>
      </c>
      <c r="AT44" s="351" t="str">
        <f t="shared" si="235"/>
        <v>NA</v>
      </c>
      <c r="AU44" s="343" t="str">
        <f t="shared" si="236"/>
        <v>NA</v>
      </c>
      <c r="AV44" s="354" t="str">
        <f t="shared" si="237"/>
        <v>1R x 0.6/1kV x 4C x 4 Sqmm</v>
      </c>
      <c r="AW44" s="354" t="str">
        <f t="shared" si="238"/>
        <v>1R x 0.6/1kV x 4C x 4 Sqmm</v>
      </c>
      <c r="AX44" s="343">
        <f t="shared" si="239"/>
        <v>65</v>
      </c>
      <c r="AY44" s="355"/>
      <c r="AZ44" s="355">
        <f t="shared" si="240"/>
        <v>2</v>
      </c>
      <c r="BA44" s="356" t="str">
        <f t="shared" si="241"/>
        <v/>
      </c>
      <c r="BB44" s="336"/>
      <c r="BC44" s="336"/>
      <c r="BE44" s="336"/>
      <c r="BF44" s="336"/>
      <c r="BG44" s="336"/>
      <c r="BH44" s="336"/>
      <c r="BI44" s="336"/>
      <c r="BJ44" s="336"/>
      <c r="BK44" s="336"/>
      <c r="BL44" s="336"/>
      <c r="BM44" s="336"/>
      <c r="BN44" s="336"/>
      <c r="BO44" s="336"/>
      <c r="BP44" s="336"/>
      <c r="BQ44" s="336"/>
      <c r="BR44" s="336"/>
      <c r="BS44" s="336"/>
      <c r="BT44" s="336"/>
      <c r="BU44" s="336"/>
      <c r="BV44" s="336"/>
      <c r="BW44" s="336"/>
      <c r="BX44" s="336"/>
      <c r="BY44" s="336"/>
      <c r="BZ44" s="336"/>
      <c r="CA44" s="336"/>
      <c r="CB44" s="336"/>
      <c r="CC44" s="336"/>
      <c r="CD44" s="336"/>
      <c r="CE44" s="336"/>
      <c r="CF44" s="336"/>
      <c r="CG44" s="336"/>
      <c r="CH44" s="336"/>
      <c r="CI44" s="336"/>
      <c r="CJ44" s="336"/>
      <c r="CK44" s="336"/>
      <c r="CL44" s="336"/>
      <c r="CM44" s="336"/>
      <c r="CN44" s="336"/>
      <c r="CO44" s="336"/>
      <c r="CP44" s="336"/>
      <c r="CQ44" s="336"/>
      <c r="CR44" s="336"/>
      <c r="CS44" s="336"/>
      <c r="CT44" s="336"/>
      <c r="CU44" s="336"/>
      <c r="CV44" s="336"/>
      <c r="CW44" s="336"/>
      <c r="CX44" s="336"/>
      <c r="CY44" s="336"/>
      <c r="CZ44" s="336"/>
      <c r="DA44" s="336"/>
      <c r="DB44" s="336"/>
      <c r="DC44" s="336"/>
      <c r="DD44" s="336"/>
      <c r="DE44" s="336"/>
      <c r="DF44" s="336"/>
      <c r="DG44" s="336"/>
      <c r="DH44" s="336"/>
      <c r="DI44" s="336"/>
      <c r="DJ44" s="336"/>
      <c r="DK44" s="336"/>
      <c r="DL44" s="336"/>
      <c r="DM44" s="336"/>
      <c r="DN44" s="336"/>
      <c r="DO44" s="336"/>
      <c r="DP44" s="336"/>
      <c r="DQ44" s="336"/>
      <c r="DR44" s="336"/>
      <c r="DS44" s="336"/>
      <c r="DT44" s="336"/>
      <c r="DU44" s="336"/>
      <c r="DW44" s="336">
        <f t="shared" si="93"/>
        <v>0</v>
      </c>
      <c r="DX44" s="336">
        <f t="shared" si="14"/>
        <v>0</v>
      </c>
      <c r="DY44" s="336">
        <f t="shared" si="15"/>
        <v>0</v>
      </c>
      <c r="DZ44" s="336">
        <f t="shared" si="16"/>
        <v>0</v>
      </c>
      <c r="EA44" s="336">
        <f t="shared" si="17"/>
        <v>0</v>
      </c>
      <c r="EB44" s="336">
        <f t="shared" si="18"/>
        <v>0</v>
      </c>
      <c r="EC44" s="336">
        <f t="shared" si="19"/>
        <v>0</v>
      </c>
      <c r="ED44" s="336">
        <f t="shared" si="20"/>
        <v>0</v>
      </c>
      <c r="EE44" s="336">
        <f t="shared" si="21"/>
        <v>0</v>
      </c>
      <c r="EF44" s="336">
        <f t="shared" si="22"/>
        <v>0</v>
      </c>
      <c r="EG44" s="336">
        <f t="shared" si="23"/>
        <v>0</v>
      </c>
      <c r="EH44" s="336">
        <f t="shared" si="24"/>
        <v>0</v>
      </c>
      <c r="EI44" s="336">
        <f t="shared" si="25"/>
        <v>0</v>
      </c>
      <c r="EJ44" s="336">
        <f t="shared" si="26"/>
        <v>0</v>
      </c>
      <c r="EK44" s="336">
        <f t="shared" si="27"/>
        <v>0</v>
      </c>
      <c r="EL44" s="336">
        <f t="shared" si="28"/>
        <v>0</v>
      </c>
      <c r="EM44" s="336">
        <f t="shared" si="29"/>
        <v>0</v>
      </c>
      <c r="EN44" s="336">
        <f t="shared" si="30"/>
        <v>0</v>
      </c>
      <c r="EO44" s="336">
        <f t="shared" si="31"/>
        <v>0</v>
      </c>
      <c r="EP44" s="336">
        <f t="shared" si="32"/>
        <v>0</v>
      </c>
      <c r="EQ44" s="336">
        <f t="shared" si="33"/>
        <v>0</v>
      </c>
      <c r="ER44" s="336">
        <f t="shared" si="34"/>
        <v>0</v>
      </c>
      <c r="ES44" s="336">
        <f t="shared" si="35"/>
        <v>0</v>
      </c>
      <c r="ET44" s="336">
        <f t="shared" si="35"/>
        <v>0</v>
      </c>
      <c r="EU44" s="336">
        <f t="shared" si="36"/>
        <v>0</v>
      </c>
      <c r="EV44" s="336">
        <f t="shared" si="37"/>
        <v>0</v>
      </c>
      <c r="EW44" s="336">
        <f t="shared" si="38"/>
        <v>0</v>
      </c>
      <c r="EX44" s="336">
        <f t="shared" si="39"/>
        <v>0</v>
      </c>
      <c r="EY44" s="336">
        <f t="shared" si="40"/>
        <v>0</v>
      </c>
      <c r="EZ44" s="336">
        <f t="shared" si="41"/>
        <v>0</v>
      </c>
      <c r="FA44" s="336">
        <f t="shared" si="42"/>
        <v>0</v>
      </c>
      <c r="FB44" s="336">
        <f t="shared" si="43"/>
        <v>0</v>
      </c>
      <c r="FC44" s="336">
        <f t="shared" si="44"/>
        <v>0</v>
      </c>
      <c r="FD44" s="336">
        <f t="shared" si="45"/>
        <v>0</v>
      </c>
      <c r="FE44" s="336">
        <f t="shared" si="46"/>
        <v>0</v>
      </c>
      <c r="FF44" s="336">
        <f t="shared" si="47"/>
        <v>0</v>
      </c>
      <c r="FG44" s="336">
        <f t="shared" si="48"/>
        <v>0</v>
      </c>
      <c r="FH44" s="336">
        <f t="shared" si="49"/>
        <v>0</v>
      </c>
      <c r="FI44" s="336">
        <f t="shared" si="50"/>
        <v>0</v>
      </c>
      <c r="FJ44" s="336">
        <f t="shared" si="51"/>
        <v>0</v>
      </c>
      <c r="FK44" s="336">
        <f t="shared" si="52"/>
        <v>0</v>
      </c>
      <c r="FL44" s="336">
        <f t="shared" si="53"/>
        <v>0</v>
      </c>
      <c r="FM44" s="336">
        <f t="shared" si="54"/>
        <v>0</v>
      </c>
      <c r="FN44" s="336">
        <f t="shared" si="55"/>
        <v>0</v>
      </c>
      <c r="FO44" s="336">
        <f t="shared" si="56"/>
        <v>0</v>
      </c>
      <c r="FP44" s="336">
        <f t="shared" si="57"/>
        <v>0</v>
      </c>
      <c r="FQ44" s="336">
        <f t="shared" si="58"/>
        <v>0</v>
      </c>
      <c r="FR44" s="336">
        <f t="shared" si="59"/>
        <v>0</v>
      </c>
      <c r="FS44" s="336">
        <f t="shared" si="60"/>
        <v>0</v>
      </c>
      <c r="FT44" s="336">
        <f t="shared" si="61"/>
        <v>0</v>
      </c>
      <c r="FU44" s="336">
        <f t="shared" si="62"/>
        <v>0</v>
      </c>
      <c r="FV44" s="336">
        <f t="shared" si="63"/>
        <v>0</v>
      </c>
      <c r="FW44" s="336">
        <f t="shared" si="64"/>
        <v>0</v>
      </c>
      <c r="FX44" s="336">
        <f t="shared" si="65"/>
        <v>0</v>
      </c>
      <c r="FY44" s="336">
        <f t="shared" si="66"/>
        <v>0</v>
      </c>
      <c r="FZ44" s="336">
        <f t="shared" si="67"/>
        <v>0</v>
      </c>
      <c r="GA44" s="336">
        <f t="shared" si="68"/>
        <v>0</v>
      </c>
      <c r="GB44" s="336">
        <f t="shared" si="69"/>
        <v>0</v>
      </c>
      <c r="GC44" s="336">
        <f t="shared" si="70"/>
        <v>0</v>
      </c>
      <c r="GD44" s="336">
        <f t="shared" si="71"/>
        <v>0</v>
      </c>
      <c r="GE44" s="336">
        <f t="shared" si="72"/>
        <v>0</v>
      </c>
      <c r="GF44" s="336">
        <f t="shared" si="73"/>
        <v>0</v>
      </c>
      <c r="GG44" s="336">
        <f t="shared" si="74"/>
        <v>0</v>
      </c>
      <c r="GH44" s="336">
        <f t="shared" si="75"/>
        <v>0</v>
      </c>
      <c r="GI44" s="336">
        <f t="shared" si="76"/>
        <v>0</v>
      </c>
      <c r="GJ44" s="336">
        <f t="shared" si="77"/>
        <v>0</v>
      </c>
      <c r="GK44" s="336">
        <f t="shared" si="78"/>
        <v>0</v>
      </c>
      <c r="GL44" s="336">
        <f t="shared" si="79"/>
        <v>0</v>
      </c>
      <c r="GM44" s="336">
        <f t="shared" si="80"/>
        <v>0</v>
      </c>
    </row>
    <row r="45" spans="1:195" ht="25.5">
      <c r="A45" s="337">
        <f t="shared" si="242"/>
        <v>29</v>
      </c>
      <c r="B45" s="806" t="s">
        <v>1470</v>
      </c>
      <c r="C45" s="567" t="str">
        <f t="shared" si="230"/>
        <v>PDB-3</v>
      </c>
      <c r="D45" s="372" t="s">
        <v>1471</v>
      </c>
      <c r="E45" s="500" t="s">
        <v>427</v>
      </c>
      <c r="F45" s="500"/>
      <c r="G45" s="337" t="s">
        <v>329</v>
      </c>
      <c r="H45" s="350">
        <v>3</v>
      </c>
      <c r="I45" s="337" t="s">
        <v>330</v>
      </c>
      <c r="J45" s="337" t="s">
        <v>331</v>
      </c>
      <c r="K45" s="349">
        <v>400</v>
      </c>
      <c r="L45" s="343">
        <v>0.85</v>
      </c>
      <c r="M45" s="350">
        <v>0.95</v>
      </c>
      <c r="N45" s="342">
        <f t="shared" si="205"/>
        <v>5.3625437047311939</v>
      </c>
      <c r="O45" s="342">
        <f t="shared" si="206"/>
        <v>0</v>
      </c>
      <c r="P45" s="343" t="str">
        <f t="shared" si="207"/>
        <v>0.00</v>
      </c>
      <c r="Q45" s="350">
        <v>65</v>
      </c>
      <c r="R45" s="350">
        <v>0</v>
      </c>
      <c r="S45" s="350">
        <f t="shared" si="208"/>
        <v>0</v>
      </c>
      <c r="T45" s="343" t="s">
        <v>131</v>
      </c>
      <c r="U45" s="350" t="s">
        <v>522</v>
      </c>
      <c r="V45" s="343">
        <v>4</v>
      </c>
      <c r="W45" s="343" t="str">
        <f t="shared" si="209"/>
        <v>4C X 4</v>
      </c>
      <c r="X45" s="343" t="str">
        <f t="shared" si="231"/>
        <v>4C X 4</v>
      </c>
      <c r="Y45" s="343" t="s">
        <v>358</v>
      </c>
      <c r="Z45" s="344">
        <f>IF(T45="AIR",VLOOKUP(W45,'Catalogue Aluminium'!$B$9:$G$93,2,FALSE),IF(T45="GROUND",VLOOKUP(W45,'Catalogue Aluminium'!$B$9:$G$93,3,FALSE),IF(T45="DUCT",VLOOKUP(W45,'Catalogue Aluminium'!$B$9:$G$93,4,FALSE),IF(T45="TRENCH",VLOOKUP(W45,'Catalogue Aluminium'!$B$9:$G$93,2,FALSE)))))</f>
        <v>38</v>
      </c>
      <c r="AA45" s="345">
        <f>VLOOKUP(W45,'Catalogue Aluminium'!$B$9:$G$93,5,FALSE)</f>
        <v>5.9</v>
      </c>
      <c r="AB45" s="345">
        <f>VLOOKUP(W45,'Catalogue Aluminium'!$B$9:$G$93,6,FALSE)</f>
        <v>9.4700000000000006E-2</v>
      </c>
      <c r="AC45" s="337">
        <f t="shared" si="232"/>
        <v>29</v>
      </c>
      <c r="AD45" s="346">
        <f>3+3+8</f>
        <v>14</v>
      </c>
      <c r="AE45" s="346">
        <v>10</v>
      </c>
      <c r="AF45" s="346">
        <v>8</v>
      </c>
      <c r="AG45" s="346">
        <f t="shared" si="84"/>
        <v>7</v>
      </c>
      <c r="AH45" s="802">
        <f t="shared" si="233"/>
        <v>68</v>
      </c>
      <c r="AI45" s="344">
        <f>IF(T45="AIR",'Catalogue Aluminium'!$K$9,IF(T45="TRENCH",'Catalogue Aluminium'!$K$12,"NA"))</f>
        <v>0.89</v>
      </c>
      <c r="AJ45" s="342">
        <f>IF(T45="Air",(IF(U45="1C",'Catalogue Aluminium'!$L$9,'Catalogue Aluminium'!$M$9)),IF(T45="DUCT",(IF($U45="1C",'Catalogue Aluminium'!$L$10,'Catalogue Aluminium'!$M$10)),IF(T45="GROUND",(IF($U45="1C",'Catalogue Aluminium'!$L$11,'Catalogue Aluminium'!$M$11)),IF(T45="TRENCH",(IF($U45="1C",'Catalogue Aluminium'!$L$12,'Catalogue Aluminium'!$M$12))))))</f>
        <v>0.66</v>
      </c>
      <c r="AK45" s="344" t="str">
        <f>IF(T45="Air",'Catalogue Aluminium'!$N$9,IF(T45="GROUND",'Catalogue Aluminium'!$N$10,IF(T45="DUCT",'Catalogue Aluminium'!$N$11,IF(T45="TRENCH",'Catalogue Aluminium'!$N$12,"NA"))))</f>
        <v>NA</v>
      </c>
      <c r="AL45" s="344" t="str">
        <f>IF(T45="Air",(IF(U45="1C",'Catalogue Aluminium'!$O$9,'Catalogue Aluminium'!$P$9)),IF(T45="DUCT",(IF($U45="1C",'Catalogue Aluminium'!$O$10,'Catalogue Aluminium'!$P$10)),IF(T45="GROUND",(IF($U45="1C",'Catalogue Aluminium'!$O$11,'Catalogue Aluminium'!$P$11)),IF(T45="TRENCH",(IF($U45="1C",'Catalogue Aluminium'!$O$12,'Catalogue Aluminium'!$P$12))))))</f>
        <v>NA</v>
      </c>
      <c r="AM45" s="344" t="str">
        <f>IF(T45="AIR","NA",IF(T45="TRENCH","NA",IF(T45="DUCT",IF(U45="1C",VLOOKUP(V45,'Catalogue Aluminium'!$Q$9:$S$28,2,FALSE),VLOOKUP(V45,'Catalogue Aluminium'!$Q$9:$S$28,3)),IF(T45="GROUND",IF(U45="1C",VLOOKUP(V45,'Catalogue Aluminium'!$Q$9:$S$28,2,FALSE),VLOOKUP(V45,'Catalogue Aluminium'!$Q$9:$S$28,3))))))</f>
        <v>NA</v>
      </c>
      <c r="AN45" s="351">
        <f t="shared" si="213"/>
        <v>0.58740000000000003</v>
      </c>
      <c r="AO45" s="350">
        <f t="shared" si="214"/>
        <v>22.321200000000001</v>
      </c>
      <c r="AP45" s="349">
        <f t="shared" si="215"/>
        <v>1</v>
      </c>
      <c r="AQ45" s="350" t="str">
        <f t="shared" si="216"/>
        <v>YES</v>
      </c>
      <c r="AR45" s="351">
        <f t="shared" si="217"/>
        <v>0.79974235216672007</v>
      </c>
      <c r="AS45" s="343" t="str">
        <f t="shared" si="234"/>
        <v>YES</v>
      </c>
      <c r="AT45" s="351" t="str">
        <f t="shared" si="235"/>
        <v>NA</v>
      </c>
      <c r="AU45" s="343" t="str">
        <f t="shared" si="236"/>
        <v>NA</v>
      </c>
      <c r="AV45" s="354" t="str">
        <f t="shared" si="237"/>
        <v>1R x 0.6/1kV x 4C x 4 Sqmm</v>
      </c>
      <c r="AW45" s="354" t="str">
        <f t="shared" si="238"/>
        <v>1R x 0.6/1kV x 4C x 4 Sqmm</v>
      </c>
      <c r="AX45" s="343">
        <f t="shared" si="239"/>
        <v>68</v>
      </c>
      <c r="AY45" s="355"/>
      <c r="AZ45" s="355">
        <f t="shared" si="240"/>
        <v>2</v>
      </c>
      <c r="BA45" s="356" t="str">
        <f t="shared" si="241"/>
        <v/>
      </c>
      <c r="BB45" s="336">
        <f>VLOOKUP(W45,'Catalogue Aluminium'!$B$9:$H$93,7,FALSE)</f>
        <v>16</v>
      </c>
      <c r="BC45" s="336">
        <f>AP45*BB45</f>
        <v>16</v>
      </c>
      <c r="BE45" s="336"/>
      <c r="BF45" s="336"/>
      <c r="BG45" s="336"/>
      <c r="BH45" s="336"/>
      <c r="BI45" s="336"/>
      <c r="BJ45" s="336"/>
      <c r="BK45" s="336"/>
      <c r="BL45" s="336"/>
      <c r="BM45" s="336"/>
      <c r="BN45" s="336"/>
      <c r="BO45" s="336"/>
      <c r="BP45" s="336"/>
      <c r="BQ45" s="336"/>
      <c r="BR45" s="336"/>
      <c r="BS45" s="336"/>
      <c r="BT45" s="336"/>
      <c r="BU45" s="336"/>
      <c r="BV45" s="336"/>
      <c r="BW45" s="336"/>
      <c r="BX45" s="336"/>
      <c r="BY45" s="336"/>
      <c r="BZ45" s="336"/>
      <c r="CA45" s="336"/>
      <c r="CB45" s="336"/>
      <c r="CC45" s="336"/>
      <c r="CD45" s="336"/>
      <c r="CE45" s="336"/>
      <c r="CF45" s="336"/>
      <c r="CG45" s="336"/>
      <c r="CH45" s="336"/>
      <c r="CI45" s="336"/>
      <c r="CJ45" s="336"/>
      <c r="CK45" s="336"/>
      <c r="CL45" s="336"/>
      <c r="CM45" s="336"/>
      <c r="CN45" s="336"/>
      <c r="CO45" s="336"/>
      <c r="CP45" s="336"/>
      <c r="CQ45" s="336"/>
      <c r="CR45" s="336"/>
      <c r="CS45" s="336"/>
      <c r="CT45" s="336"/>
      <c r="CU45" s="336"/>
      <c r="CV45" s="336"/>
      <c r="CW45" s="336"/>
      <c r="CX45" s="336"/>
      <c r="CY45" s="336"/>
      <c r="CZ45" s="336"/>
      <c r="DA45" s="336"/>
      <c r="DB45" s="336"/>
      <c r="DC45" s="336"/>
      <c r="DD45" s="336"/>
      <c r="DE45" s="336"/>
      <c r="DF45" s="336"/>
      <c r="DG45" s="336"/>
      <c r="DH45" s="336"/>
      <c r="DI45" s="336"/>
      <c r="DJ45" s="336"/>
      <c r="DK45" s="336"/>
      <c r="DL45" s="336"/>
      <c r="DM45" s="336"/>
      <c r="DN45" s="336"/>
      <c r="DO45" s="336"/>
      <c r="DP45" s="336"/>
      <c r="DQ45" s="336"/>
      <c r="DR45" s="336"/>
      <c r="DS45" s="336"/>
      <c r="DT45" s="336"/>
      <c r="DU45" s="336"/>
      <c r="DW45" s="336">
        <f t="shared" si="93"/>
        <v>0</v>
      </c>
      <c r="DX45" s="336">
        <f t="shared" si="14"/>
        <v>0</v>
      </c>
      <c r="DY45" s="336">
        <f t="shared" si="15"/>
        <v>0</v>
      </c>
      <c r="DZ45" s="336">
        <f t="shared" si="16"/>
        <v>0</v>
      </c>
      <c r="EA45" s="336">
        <f t="shared" si="17"/>
        <v>0</v>
      </c>
      <c r="EB45" s="336">
        <f t="shared" si="18"/>
        <v>0</v>
      </c>
      <c r="EC45" s="336">
        <f t="shared" si="19"/>
        <v>0</v>
      </c>
      <c r="ED45" s="336">
        <f t="shared" si="20"/>
        <v>0</v>
      </c>
      <c r="EE45" s="336">
        <f t="shared" si="21"/>
        <v>0</v>
      </c>
      <c r="EF45" s="336">
        <f t="shared" si="22"/>
        <v>0</v>
      </c>
      <c r="EG45" s="336">
        <f t="shared" si="23"/>
        <v>0</v>
      </c>
      <c r="EH45" s="336">
        <f t="shared" si="24"/>
        <v>0</v>
      </c>
      <c r="EI45" s="336">
        <f t="shared" si="25"/>
        <v>0</v>
      </c>
      <c r="EJ45" s="336">
        <f t="shared" si="26"/>
        <v>0</v>
      </c>
      <c r="EK45" s="336">
        <f t="shared" si="27"/>
        <v>0</v>
      </c>
      <c r="EL45" s="336">
        <f t="shared" si="28"/>
        <v>0</v>
      </c>
      <c r="EM45" s="336">
        <f t="shared" si="29"/>
        <v>0</v>
      </c>
      <c r="EN45" s="336">
        <f t="shared" si="30"/>
        <v>0</v>
      </c>
      <c r="EO45" s="336">
        <f t="shared" si="31"/>
        <v>0</v>
      </c>
      <c r="EP45" s="336">
        <f t="shared" si="32"/>
        <v>0</v>
      </c>
      <c r="EQ45" s="336">
        <f t="shared" si="33"/>
        <v>0</v>
      </c>
      <c r="ER45" s="336">
        <f t="shared" si="34"/>
        <v>0</v>
      </c>
      <c r="ES45" s="336">
        <f t="shared" si="35"/>
        <v>0</v>
      </c>
      <c r="ET45" s="336">
        <f t="shared" si="35"/>
        <v>0</v>
      </c>
      <c r="EU45" s="336">
        <f t="shared" si="36"/>
        <v>0</v>
      </c>
      <c r="EV45" s="336">
        <f t="shared" si="37"/>
        <v>0</v>
      </c>
      <c r="EW45" s="336">
        <f t="shared" si="38"/>
        <v>0</v>
      </c>
      <c r="EX45" s="336">
        <f t="shared" si="39"/>
        <v>0</v>
      </c>
      <c r="EY45" s="336">
        <f t="shared" si="40"/>
        <v>0</v>
      </c>
      <c r="EZ45" s="336">
        <f t="shared" si="41"/>
        <v>0</v>
      </c>
      <c r="FA45" s="336">
        <f t="shared" si="42"/>
        <v>0</v>
      </c>
      <c r="FB45" s="336">
        <f t="shared" si="43"/>
        <v>0</v>
      </c>
      <c r="FC45" s="336">
        <f t="shared" si="44"/>
        <v>0</v>
      </c>
      <c r="FD45" s="336">
        <f t="shared" si="45"/>
        <v>0</v>
      </c>
      <c r="FE45" s="336">
        <f t="shared" si="46"/>
        <v>0</v>
      </c>
      <c r="FF45" s="336">
        <f t="shared" si="47"/>
        <v>0</v>
      </c>
      <c r="FG45" s="336">
        <f t="shared" si="48"/>
        <v>0</v>
      </c>
      <c r="FH45" s="336">
        <f t="shared" si="49"/>
        <v>0</v>
      </c>
      <c r="FI45" s="336">
        <f t="shared" si="50"/>
        <v>0</v>
      </c>
      <c r="FJ45" s="336">
        <f t="shared" si="51"/>
        <v>0</v>
      </c>
      <c r="FK45" s="336">
        <f t="shared" si="52"/>
        <v>0</v>
      </c>
      <c r="FL45" s="336">
        <f t="shared" si="53"/>
        <v>0</v>
      </c>
      <c r="FM45" s="336">
        <f t="shared" si="54"/>
        <v>0</v>
      </c>
      <c r="FN45" s="336">
        <f t="shared" si="55"/>
        <v>0</v>
      </c>
      <c r="FO45" s="336">
        <f t="shared" si="56"/>
        <v>0</v>
      </c>
      <c r="FP45" s="336">
        <f t="shared" si="57"/>
        <v>0</v>
      </c>
      <c r="FQ45" s="336">
        <f t="shared" si="58"/>
        <v>0</v>
      </c>
      <c r="FR45" s="336">
        <f t="shared" si="59"/>
        <v>0</v>
      </c>
      <c r="FS45" s="336">
        <f t="shared" si="60"/>
        <v>0</v>
      </c>
      <c r="FT45" s="336">
        <f t="shared" si="61"/>
        <v>0</v>
      </c>
      <c r="FU45" s="336">
        <f t="shared" si="62"/>
        <v>0</v>
      </c>
      <c r="FV45" s="336">
        <f t="shared" si="63"/>
        <v>0</v>
      </c>
      <c r="FW45" s="336">
        <f t="shared" si="64"/>
        <v>0</v>
      </c>
      <c r="FX45" s="336">
        <f t="shared" si="65"/>
        <v>0</v>
      </c>
      <c r="FY45" s="336">
        <f t="shared" si="66"/>
        <v>0</v>
      </c>
      <c r="FZ45" s="336">
        <f t="shared" si="67"/>
        <v>0</v>
      </c>
      <c r="GA45" s="336">
        <f t="shared" si="68"/>
        <v>0</v>
      </c>
      <c r="GB45" s="336">
        <f t="shared" si="69"/>
        <v>0</v>
      </c>
      <c r="GC45" s="336">
        <f t="shared" si="70"/>
        <v>0</v>
      </c>
      <c r="GD45" s="336">
        <f t="shared" si="71"/>
        <v>0</v>
      </c>
      <c r="GE45" s="336">
        <f t="shared" si="72"/>
        <v>0</v>
      </c>
      <c r="GF45" s="336">
        <f t="shared" si="73"/>
        <v>0</v>
      </c>
      <c r="GG45" s="336">
        <f t="shared" si="74"/>
        <v>0</v>
      </c>
      <c r="GH45" s="336">
        <f t="shared" si="75"/>
        <v>0</v>
      </c>
      <c r="GI45" s="336">
        <f t="shared" si="76"/>
        <v>0</v>
      </c>
      <c r="GJ45" s="336">
        <f t="shared" si="77"/>
        <v>0</v>
      </c>
      <c r="GK45" s="336">
        <f t="shared" si="78"/>
        <v>0</v>
      </c>
      <c r="GL45" s="336">
        <f t="shared" si="79"/>
        <v>0</v>
      </c>
      <c r="GM45" s="336">
        <f t="shared" si="80"/>
        <v>0</v>
      </c>
    </row>
    <row r="46" spans="1:195" ht="25.5">
      <c r="A46" s="337">
        <f t="shared" si="242"/>
        <v>30</v>
      </c>
      <c r="B46" s="806" t="s">
        <v>1472</v>
      </c>
      <c r="C46" s="567" t="str">
        <f t="shared" si="230"/>
        <v>PDB-3</v>
      </c>
      <c r="D46" s="372" t="s">
        <v>1473</v>
      </c>
      <c r="E46" s="500" t="s">
        <v>427</v>
      </c>
      <c r="F46" s="500"/>
      <c r="G46" s="337" t="s">
        <v>329</v>
      </c>
      <c r="H46" s="350">
        <v>3</v>
      </c>
      <c r="I46" s="337" t="s">
        <v>330</v>
      </c>
      <c r="J46" s="337" t="s">
        <v>331</v>
      </c>
      <c r="K46" s="349">
        <v>400</v>
      </c>
      <c r="L46" s="343">
        <v>0.85</v>
      </c>
      <c r="M46" s="350">
        <v>0.95</v>
      </c>
      <c r="N46" s="342">
        <f t="shared" si="205"/>
        <v>5.3625437047311939</v>
      </c>
      <c r="O46" s="342">
        <f t="shared" si="206"/>
        <v>0</v>
      </c>
      <c r="P46" s="343" t="str">
        <f t="shared" si="207"/>
        <v>0.00</v>
      </c>
      <c r="Q46" s="350">
        <v>65</v>
      </c>
      <c r="R46" s="350">
        <v>0</v>
      </c>
      <c r="S46" s="350">
        <f t="shared" si="208"/>
        <v>0</v>
      </c>
      <c r="T46" s="343" t="s">
        <v>131</v>
      </c>
      <c r="U46" s="350" t="s">
        <v>522</v>
      </c>
      <c r="V46" s="343">
        <v>4</v>
      </c>
      <c r="W46" s="343" t="str">
        <f t="shared" si="209"/>
        <v>4C X 4</v>
      </c>
      <c r="X46" s="343" t="str">
        <f t="shared" si="231"/>
        <v>4C X 4</v>
      </c>
      <c r="Y46" s="343" t="s">
        <v>358</v>
      </c>
      <c r="Z46" s="344">
        <f>IF(T46="AIR",VLOOKUP(W46,'Catalogue Aluminium'!$B$9:$G$93,2,FALSE),IF(T46="GROUND",VLOOKUP(W46,'Catalogue Aluminium'!$B$9:$G$93,3,FALSE),IF(T46="DUCT",VLOOKUP(W46,'Catalogue Aluminium'!$B$9:$G$93,4,FALSE),IF(T46="TRENCH",VLOOKUP(W46,'Catalogue Aluminium'!$B$9:$G$93,2,FALSE)))))</f>
        <v>38</v>
      </c>
      <c r="AA46" s="345">
        <f>VLOOKUP(W46,'Catalogue Aluminium'!$B$9:$G$93,5,FALSE)</f>
        <v>5.9</v>
      </c>
      <c r="AB46" s="345">
        <f>VLOOKUP(W46,'Catalogue Aluminium'!$B$9:$G$93,6,FALSE)</f>
        <v>9.4700000000000006E-2</v>
      </c>
      <c r="AC46" s="337">
        <f t="shared" si="232"/>
        <v>29</v>
      </c>
      <c r="AD46" s="346">
        <f>3+3+8</f>
        <v>14</v>
      </c>
      <c r="AE46" s="346">
        <v>10</v>
      </c>
      <c r="AF46" s="346">
        <v>8</v>
      </c>
      <c r="AG46" s="346">
        <f t="shared" si="84"/>
        <v>7</v>
      </c>
      <c r="AH46" s="802">
        <f t="shared" si="233"/>
        <v>68</v>
      </c>
      <c r="AI46" s="344">
        <f>IF(T46="AIR",'Catalogue Aluminium'!$K$9,IF(T46="TRENCH",'Catalogue Aluminium'!$K$12,"NA"))</f>
        <v>0.89</v>
      </c>
      <c r="AJ46" s="342">
        <f>IF(T46="Air",(IF(U46="1C",'Catalogue Aluminium'!$L$9,'Catalogue Aluminium'!$M$9)),IF(T46="DUCT",(IF($U46="1C",'Catalogue Aluminium'!$L$10,'Catalogue Aluminium'!$M$10)),IF(T46="GROUND",(IF($U46="1C",'Catalogue Aluminium'!$L$11,'Catalogue Aluminium'!$M$11)),IF(T46="TRENCH",(IF($U46="1C",'Catalogue Aluminium'!$L$12,'Catalogue Aluminium'!$M$12))))))</f>
        <v>0.66</v>
      </c>
      <c r="AK46" s="344" t="str">
        <f>IF(T46="Air",'Catalogue Aluminium'!$N$9,IF(T46="GROUND",'Catalogue Aluminium'!$N$10,IF(T46="DUCT",'Catalogue Aluminium'!$N$11,IF(T46="TRENCH",'Catalogue Aluminium'!$N$12,"NA"))))</f>
        <v>NA</v>
      </c>
      <c r="AL46" s="344" t="str">
        <f>IF(T46="Air",(IF(U46="1C",'Catalogue Aluminium'!$O$9,'Catalogue Aluminium'!$P$9)),IF(T46="DUCT",(IF($U46="1C",'Catalogue Aluminium'!$O$10,'Catalogue Aluminium'!$P$10)),IF(T46="GROUND",(IF($U46="1C",'Catalogue Aluminium'!$O$11,'Catalogue Aluminium'!$P$11)),IF(T46="TRENCH",(IF($U46="1C",'Catalogue Aluminium'!$O$12,'Catalogue Aluminium'!$P$12))))))</f>
        <v>NA</v>
      </c>
      <c r="AM46" s="344" t="str">
        <f>IF(T46="AIR","NA",IF(T46="TRENCH","NA",IF(T46="DUCT",IF(U46="1C",VLOOKUP(V46,'Catalogue Aluminium'!$Q$9:$S$28,2,FALSE),VLOOKUP(V46,'Catalogue Aluminium'!$Q$9:$S$28,3)),IF(T46="GROUND",IF(U46="1C",VLOOKUP(V46,'Catalogue Aluminium'!$Q$9:$S$28,2,FALSE),VLOOKUP(V46,'Catalogue Aluminium'!$Q$9:$S$28,3))))))</f>
        <v>NA</v>
      </c>
      <c r="AN46" s="351">
        <f t="shared" si="213"/>
        <v>0.58740000000000003</v>
      </c>
      <c r="AO46" s="350">
        <f t="shared" si="214"/>
        <v>22.321200000000001</v>
      </c>
      <c r="AP46" s="349">
        <f t="shared" si="215"/>
        <v>1</v>
      </c>
      <c r="AQ46" s="350" t="str">
        <f t="shared" si="216"/>
        <v>YES</v>
      </c>
      <c r="AR46" s="351">
        <f t="shared" si="217"/>
        <v>0.79974235216672007</v>
      </c>
      <c r="AS46" s="343" t="str">
        <f t="shared" si="234"/>
        <v>YES</v>
      </c>
      <c r="AT46" s="351" t="str">
        <f t="shared" si="235"/>
        <v>NA</v>
      </c>
      <c r="AU46" s="343" t="str">
        <f t="shared" si="236"/>
        <v>NA</v>
      </c>
      <c r="AV46" s="354" t="str">
        <f t="shared" si="237"/>
        <v>1R x 0.6/1kV x 4C x 4 Sqmm</v>
      </c>
      <c r="AW46" s="354" t="str">
        <f t="shared" si="238"/>
        <v>1R x 0.6/1kV x 4C x 4 Sqmm</v>
      </c>
      <c r="AX46" s="343">
        <f t="shared" si="239"/>
        <v>68</v>
      </c>
      <c r="AY46" s="355"/>
      <c r="AZ46" s="355">
        <f t="shared" si="240"/>
        <v>2</v>
      </c>
      <c r="BA46" s="356" t="str">
        <f t="shared" si="241"/>
        <v/>
      </c>
      <c r="BB46" s="336">
        <f>VLOOKUP(W46,'Catalogue Aluminium'!$B$9:$H$93,7,FALSE)</f>
        <v>16</v>
      </c>
      <c r="BC46" s="336">
        <f>AP46*BB46</f>
        <v>16</v>
      </c>
      <c r="BE46" s="336"/>
      <c r="BF46" s="336"/>
      <c r="BG46" s="336"/>
      <c r="BH46" s="336"/>
      <c r="BI46" s="336"/>
      <c r="BJ46" s="336"/>
      <c r="BK46" s="336"/>
      <c r="BL46" s="336"/>
      <c r="BM46" s="336"/>
      <c r="BN46" s="336"/>
      <c r="BO46" s="336"/>
      <c r="BP46" s="336"/>
      <c r="BQ46" s="336"/>
      <c r="BR46" s="336"/>
      <c r="BS46" s="336"/>
      <c r="BT46" s="336"/>
      <c r="BU46" s="336"/>
      <c r="BV46" s="336"/>
      <c r="BW46" s="336"/>
      <c r="BX46" s="336"/>
      <c r="BY46" s="336"/>
      <c r="BZ46" s="336"/>
      <c r="CA46" s="336"/>
      <c r="CB46" s="336"/>
      <c r="CC46" s="336"/>
      <c r="CD46" s="336"/>
      <c r="CE46" s="336"/>
      <c r="CF46" s="336"/>
      <c r="CG46" s="336"/>
      <c r="CH46" s="336"/>
      <c r="CI46" s="336"/>
      <c r="CJ46" s="336"/>
      <c r="CK46" s="336"/>
      <c r="CL46" s="336"/>
      <c r="CM46" s="336"/>
      <c r="CN46" s="336"/>
      <c r="CO46" s="336"/>
      <c r="CP46" s="336"/>
      <c r="CQ46" s="336"/>
      <c r="CR46" s="336"/>
      <c r="CS46" s="336"/>
      <c r="CT46" s="336"/>
      <c r="CU46" s="336"/>
      <c r="CV46" s="336"/>
      <c r="CW46" s="336"/>
      <c r="CX46" s="336"/>
      <c r="CY46" s="336"/>
      <c r="CZ46" s="336"/>
      <c r="DA46" s="336"/>
      <c r="DB46" s="336"/>
      <c r="DC46" s="336"/>
      <c r="DD46" s="336"/>
      <c r="DE46" s="336"/>
      <c r="DF46" s="336"/>
      <c r="DG46" s="336"/>
      <c r="DH46" s="336"/>
      <c r="DI46" s="336"/>
      <c r="DJ46" s="336"/>
      <c r="DK46" s="336"/>
      <c r="DL46" s="336"/>
      <c r="DM46" s="336"/>
      <c r="DN46" s="336"/>
      <c r="DO46" s="336"/>
      <c r="DP46" s="336"/>
      <c r="DQ46" s="336"/>
      <c r="DR46" s="336"/>
      <c r="DS46" s="336"/>
      <c r="DT46" s="336"/>
      <c r="DU46" s="336"/>
      <c r="DW46" s="336">
        <f t="shared" si="93"/>
        <v>0</v>
      </c>
      <c r="DX46" s="336">
        <f t="shared" si="14"/>
        <v>0</v>
      </c>
      <c r="DY46" s="336">
        <f t="shared" si="15"/>
        <v>0</v>
      </c>
      <c r="DZ46" s="336">
        <f t="shared" si="16"/>
        <v>0</v>
      </c>
      <c r="EA46" s="336">
        <f t="shared" si="17"/>
        <v>0</v>
      </c>
      <c r="EB46" s="336">
        <f t="shared" si="18"/>
        <v>0</v>
      </c>
      <c r="EC46" s="336">
        <f t="shared" si="19"/>
        <v>0</v>
      </c>
      <c r="ED46" s="336">
        <f t="shared" si="20"/>
        <v>0</v>
      </c>
      <c r="EE46" s="336">
        <f t="shared" si="21"/>
        <v>0</v>
      </c>
      <c r="EF46" s="336">
        <f t="shared" si="22"/>
        <v>0</v>
      </c>
      <c r="EG46" s="336">
        <f t="shared" si="23"/>
        <v>0</v>
      </c>
      <c r="EH46" s="336">
        <f t="shared" si="24"/>
        <v>0</v>
      </c>
      <c r="EI46" s="336">
        <f t="shared" si="25"/>
        <v>0</v>
      </c>
      <c r="EJ46" s="336">
        <f t="shared" si="26"/>
        <v>0</v>
      </c>
      <c r="EK46" s="336">
        <f t="shared" si="27"/>
        <v>0</v>
      </c>
      <c r="EL46" s="336">
        <f t="shared" si="28"/>
        <v>0</v>
      </c>
      <c r="EM46" s="336">
        <f t="shared" si="29"/>
        <v>0</v>
      </c>
      <c r="EN46" s="336">
        <f t="shared" si="30"/>
        <v>0</v>
      </c>
      <c r="EO46" s="336">
        <f t="shared" si="31"/>
        <v>0</v>
      </c>
      <c r="EP46" s="336">
        <f t="shared" si="32"/>
        <v>0</v>
      </c>
      <c r="EQ46" s="336">
        <f t="shared" si="33"/>
        <v>0</v>
      </c>
      <c r="ER46" s="336">
        <f t="shared" si="34"/>
        <v>0</v>
      </c>
      <c r="ES46" s="336">
        <f t="shared" si="35"/>
        <v>0</v>
      </c>
      <c r="ET46" s="336">
        <f t="shared" si="35"/>
        <v>0</v>
      </c>
      <c r="EU46" s="336">
        <f t="shared" si="36"/>
        <v>0</v>
      </c>
      <c r="EV46" s="336">
        <f t="shared" si="37"/>
        <v>0</v>
      </c>
      <c r="EW46" s="336">
        <f t="shared" si="38"/>
        <v>0</v>
      </c>
      <c r="EX46" s="336">
        <f t="shared" si="39"/>
        <v>0</v>
      </c>
      <c r="EY46" s="336">
        <f t="shared" si="40"/>
        <v>0</v>
      </c>
      <c r="EZ46" s="336">
        <f t="shared" si="41"/>
        <v>0</v>
      </c>
      <c r="FA46" s="336">
        <f t="shared" si="42"/>
        <v>0</v>
      </c>
      <c r="FB46" s="336">
        <f t="shared" si="43"/>
        <v>0</v>
      </c>
      <c r="FC46" s="336">
        <f t="shared" si="44"/>
        <v>0</v>
      </c>
      <c r="FD46" s="336">
        <f t="shared" si="45"/>
        <v>0</v>
      </c>
      <c r="FE46" s="336">
        <f t="shared" si="46"/>
        <v>0</v>
      </c>
      <c r="FF46" s="336">
        <f t="shared" si="47"/>
        <v>0</v>
      </c>
      <c r="FG46" s="336">
        <f t="shared" si="48"/>
        <v>0</v>
      </c>
      <c r="FH46" s="336">
        <f t="shared" si="49"/>
        <v>0</v>
      </c>
      <c r="FI46" s="336">
        <f t="shared" si="50"/>
        <v>0</v>
      </c>
      <c r="FJ46" s="336">
        <f t="shared" si="51"/>
        <v>0</v>
      </c>
      <c r="FK46" s="336">
        <f t="shared" si="52"/>
        <v>0</v>
      </c>
      <c r="FL46" s="336">
        <f t="shared" si="53"/>
        <v>0</v>
      </c>
      <c r="FM46" s="336">
        <f t="shared" si="54"/>
        <v>0</v>
      </c>
      <c r="FN46" s="336">
        <f t="shared" si="55"/>
        <v>0</v>
      </c>
      <c r="FO46" s="336">
        <f t="shared" si="56"/>
        <v>0</v>
      </c>
      <c r="FP46" s="336">
        <f t="shared" si="57"/>
        <v>0</v>
      </c>
      <c r="FQ46" s="336">
        <f t="shared" si="58"/>
        <v>0</v>
      </c>
      <c r="FR46" s="336">
        <f t="shared" si="59"/>
        <v>0</v>
      </c>
      <c r="FS46" s="336">
        <f t="shared" si="60"/>
        <v>0</v>
      </c>
      <c r="FT46" s="336">
        <f t="shared" si="61"/>
        <v>0</v>
      </c>
      <c r="FU46" s="336">
        <f t="shared" si="62"/>
        <v>0</v>
      </c>
      <c r="FV46" s="336">
        <f t="shared" si="63"/>
        <v>0</v>
      </c>
      <c r="FW46" s="336">
        <f t="shared" si="64"/>
        <v>0</v>
      </c>
      <c r="FX46" s="336">
        <f t="shared" si="65"/>
        <v>0</v>
      </c>
      <c r="FY46" s="336">
        <f t="shared" si="66"/>
        <v>0</v>
      </c>
      <c r="FZ46" s="336">
        <f t="shared" si="67"/>
        <v>0</v>
      </c>
      <c r="GA46" s="336">
        <f t="shared" si="68"/>
        <v>0</v>
      </c>
      <c r="GB46" s="336">
        <f t="shared" si="69"/>
        <v>0</v>
      </c>
      <c r="GC46" s="336">
        <f t="shared" si="70"/>
        <v>0</v>
      </c>
      <c r="GD46" s="336">
        <f t="shared" si="71"/>
        <v>0</v>
      </c>
      <c r="GE46" s="336">
        <f t="shared" si="72"/>
        <v>0</v>
      </c>
      <c r="GF46" s="336">
        <f t="shared" si="73"/>
        <v>0</v>
      </c>
      <c r="GG46" s="336">
        <f t="shared" si="74"/>
        <v>0</v>
      </c>
      <c r="GH46" s="336">
        <f t="shared" si="75"/>
        <v>0</v>
      </c>
      <c r="GI46" s="336">
        <f t="shared" si="76"/>
        <v>0</v>
      </c>
      <c r="GJ46" s="336">
        <f t="shared" si="77"/>
        <v>0</v>
      </c>
      <c r="GK46" s="336">
        <f t="shared" si="78"/>
        <v>0</v>
      </c>
      <c r="GL46" s="336">
        <f t="shared" si="79"/>
        <v>0</v>
      </c>
      <c r="GM46" s="336">
        <f t="shared" si="80"/>
        <v>0</v>
      </c>
    </row>
    <row r="47" spans="1:195">
      <c r="A47" s="337">
        <f t="shared" si="242"/>
        <v>31</v>
      </c>
      <c r="B47" s="397" t="s">
        <v>1452</v>
      </c>
      <c r="C47" s="567" t="str">
        <f t="shared" si="230"/>
        <v>PDB-3</v>
      </c>
      <c r="D47" s="372" t="s">
        <v>1474</v>
      </c>
      <c r="E47" s="500" t="s">
        <v>427</v>
      </c>
      <c r="F47" s="500"/>
      <c r="G47" s="340" t="s">
        <v>337</v>
      </c>
      <c r="H47" s="350">
        <v>17.810526315789478</v>
      </c>
      <c r="I47" s="337" t="s">
        <v>330</v>
      </c>
      <c r="J47" s="337" t="s">
        <v>331</v>
      </c>
      <c r="K47" s="349">
        <v>400</v>
      </c>
      <c r="L47" s="343">
        <v>0.84999999999999987</v>
      </c>
      <c r="M47" s="350">
        <v>0.95099999999999985</v>
      </c>
      <c r="N47" s="342">
        <f t="shared" si="205"/>
        <v>31.803098311970501</v>
      </c>
      <c r="O47" s="926"/>
      <c r="P47" s="927"/>
      <c r="Q47" s="927"/>
      <c r="R47" s="927"/>
      <c r="S47" s="927"/>
      <c r="T47" s="927"/>
      <c r="U47" s="927"/>
      <c r="V47" s="927"/>
      <c r="W47" s="927"/>
      <c r="X47" s="927"/>
      <c r="Y47" s="927"/>
      <c r="Z47" s="927"/>
      <c r="AA47" s="927"/>
      <c r="AB47" s="927"/>
      <c r="AC47" s="927"/>
      <c r="AD47" s="927"/>
      <c r="AE47" s="927"/>
      <c r="AF47" s="927"/>
      <c r="AG47" s="927"/>
      <c r="AH47" s="927"/>
      <c r="AI47" s="927"/>
      <c r="AJ47" s="927"/>
      <c r="AK47" s="927"/>
      <c r="AL47" s="927"/>
      <c r="AM47" s="927"/>
      <c r="AN47" s="927"/>
      <c r="AO47" s="927"/>
      <c r="AP47" s="927"/>
      <c r="AQ47" s="927"/>
      <c r="AR47" s="927"/>
      <c r="AS47" s="927"/>
      <c r="AT47" s="927"/>
      <c r="AU47" s="927"/>
      <c r="AV47" s="927"/>
      <c r="AW47" s="927"/>
      <c r="AX47" s="927"/>
      <c r="AY47" s="927"/>
      <c r="AZ47" s="927"/>
      <c r="BA47" s="927"/>
      <c r="BB47" s="927"/>
      <c r="BC47" s="1020"/>
      <c r="BE47" s="336"/>
      <c r="BF47" s="336"/>
      <c r="BG47" s="336"/>
      <c r="BH47" s="336"/>
      <c r="BI47" s="336"/>
      <c r="BJ47" s="336"/>
      <c r="BK47" s="336"/>
      <c r="BL47" s="336"/>
      <c r="BM47" s="336"/>
      <c r="BN47" s="336"/>
      <c r="BO47" s="336"/>
      <c r="BP47" s="336"/>
      <c r="BQ47" s="336"/>
      <c r="BR47" s="336"/>
      <c r="BS47" s="336"/>
      <c r="BT47" s="336"/>
      <c r="BU47" s="336"/>
      <c r="BV47" s="336"/>
      <c r="BW47" s="336"/>
      <c r="BX47" s="336"/>
      <c r="BY47" s="336"/>
      <c r="BZ47" s="336"/>
      <c r="CA47" s="336"/>
      <c r="CB47" s="336"/>
      <c r="CC47" s="336"/>
      <c r="CD47" s="336"/>
      <c r="CE47" s="336"/>
      <c r="CF47" s="336"/>
      <c r="CG47" s="336"/>
      <c r="CH47" s="336"/>
      <c r="CI47" s="336"/>
      <c r="CJ47" s="336"/>
      <c r="CK47" s="336"/>
      <c r="CL47" s="336"/>
      <c r="CM47" s="336"/>
      <c r="CN47" s="336"/>
      <c r="CO47" s="336"/>
      <c r="CP47" s="336"/>
      <c r="CQ47" s="336"/>
      <c r="CR47" s="336"/>
      <c r="CS47" s="336"/>
      <c r="CT47" s="336"/>
      <c r="CU47" s="336"/>
      <c r="CV47" s="336"/>
      <c r="CW47" s="336"/>
      <c r="CX47" s="336"/>
      <c r="CY47" s="336"/>
      <c r="CZ47" s="336"/>
      <c r="DA47" s="336"/>
      <c r="DB47" s="336"/>
      <c r="DC47" s="336"/>
      <c r="DD47" s="336"/>
      <c r="DE47" s="336"/>
      <c r="DF47" s="336"/>
      <c r="DG47" s="336"/>
      <c r="DH47" s="336"/>
      <c r="DI47" s="336"/>
      <c r="DJ47" s="336"/>
      <c r="DK47" s="336"/>
      <c r="DL47" s="336"/>
      <c r="DM47" s="336"/>
      <c r="DN47" s="336"/>
      <c r="DO47" s="336"/>
      <c r="DP47" s="336"/>
      <c r="DQ47" s="336"/>
      <c r="DR47" s="336"/>
      <c r="DS47" s="336"/>
      <c r="DT47" s="336"/>
      <c r="DU47" s="336"/>
      <c r="DW47" s="336">
        <f t="shared" si="93"/>
        <v>0</v>
      </c>
      <c r="DX47" s="336">
        <f t="shared" si="14"/>
        <v>0</v>
      </c>
      <c r="DY47" s="336">
        <f t="shared" si="15"/>
        <v>0</v>
      </c>
      <c r="DZ47" s="336">
        <f t="shared" si="16"/>
        <v>0</v>
      </c>
      <c r="EA47" s="336">
        <f t="shared" si="17"/>
        <v>0</v>
      </c>
      <c r="EB47" s="336">
        <f t="shared" si="18"/>
        <v>0</v>
      </c>
      <c r="EC47" s="336">
        <f t="shared" si="19"/>
        <v>0</v>
      </c>
      <c r="ED47" s="336">
        <f t="shared" si="20"/>
        <v>0</v>
      </c>
      <c r="EE47" s="336">
        <f t="shared" si="21"/>
        <v>0</v>
      </c>
      <c r="EF47" s="336">
        <f t="shared" si="22"/>
        <v>0</v>
      </c>
      <c r="EG47" s="336">
        <f t="shared" si="23"/>
        <v>0</v>
      </c>
      <c r="EH47" s="336">
        <f t="shared" si="24"/>
        <v>0</v>
      </c>
      <c r="EI47" s="336">
        <f t="shared" si="25"/>
        <v>0</v>
      </c>
      <c r="EJ47" s="336">
        <f t="shared" si="26"/>
        <v>0</v>
      </c>
      <c r="EK47" s="336">
        <f t="shared" si="27"/>
        <v>0</v>
      </c>
      <c r="EL47" s="336">
        <f t="shared" si="28"/>
        <v>0</v>
      </c>
      <c r="EM47" s="336">
        <f t="shared" si="29"/>
        <v>0</v>
      </c>
      <c r="EN47" s="336">
        <f t="shared" si="30"/>
        <v>0</v>
      </c>
      <c r="EO47" s="336">
        <f t="shared" si="31"/>
        <v>0</v>
      </c>
      <c r="EP47" s="336">
        <f t="shared" si="32"/>
        <v>0</v>
      </c>
      <c r="EQ47" s="336">
        <f t="shared" si="33"/>
        <v>0</v>
      </c>
      <c r="ER47" s="336">
        <f t="shared" si="34"/>
        <v>0</v>
      </c>
      <c r="ES47" s="336">
        <f t="shared" si="35"/>
        <v>0</v>
      </c>
      <c r="ET47" s="336">
        <f t="shared" si="35"/>
        <v>0</v>
      </c>
      <c r="EU47" s="336">
        <f t="shared" si="36"/>
        <v>0</v>
      </c>
      <c r="EV47" s="336">
        <f t="shared" si="37"/>
        <v>0</v>
      </c>
      <c r="EW47" s="336">
        <f t="shared" si="38"/>
        <v>0</v>
      </c>
      <c r="EX47" s="336">
        <f t="shared" si="39"/>
        <v>0</v>
      </c>
      <c r="EY47" s="336">
        <f t="shared" si="40"/>
        <v>0</v>
      </c>
      <c r="EZ47" s="336">
        <f t="shared" si="41"/>
        <v>0</v>
      </c>
      <c r="FA47" s="336">
        <f t="shared" si="42"/>
        <v>0</v>
      </c>
      <c r="FB47" s="336">
        <f t="shared" si="43"/>
        <v>0</v>
      </c>
      <c r="FC47" s="336">
        <f t="shared" si="44"/>
        <v>0</v>
      </c>
      <c r="FD47" s="336">
        <f t="shared" si="45"/>
        <v>0</v>
      </c>
      <c r="FE47" s="336">
        <f t="shared" si="46"/>
        <v>0</v>
      </c>
      <c r="FF47" s="336">
        <f t="shared" si="47"/>
        <v>0</v>
      </c>
      <c r="FG47" s="336">
        <f t="shared" si="48"/>
        <v>0</v>
      </c>
      <c r="FH47" s="336">
        <f t="shared" si="49"/>
        <v>0</v>
      </c>
      <c r="FI47" s="336">
        <f t="shared" si="50"/>
        <v>0</v>
      </c>
      <c r="FJ47" s="336">
        <f t="shared" si="51"/>
        <v>0</v>
      </c>
      <c r="FK47" s="336">
        <f t="shared" si="52"/>
        <v>0</v>
      </c>
      <c r="FL47" s="336">
        <f t="shared" si="53"/>
        <v>0</v>
      </c>
      <c r="FM47" s="336">
        <f t="shared" si="54"/>
        <v>0</v>
      </c>
      <c r="FN47" s="336">
        <f t="shared" si="55"/>
        <v>0</v>
      </c>
      <c r="FO47" s="336">
        <f t="shared" si="56"/>
        <v>0</v>
      </c>
      <c r="FP47" s="336">
        <f t="shared" si="57"/>
        <v>0</v>
      </c>
      <c r="FQ47" s="336">
        <f t="shared" si="58"/>
        <v>0</v>
      </c>
      <c r="FR47" s="336">
        <f t="shared" si="59"/>
        <v>0</v>
      </c>
      <c r="FS47" s="336">
        <f t="shared" si="60"/>
        <v>0</v>
      </c>
      <c r="FT47" s="336">
        <f t="shared" si="61"/>
        <v>0</v>
      </c>
      <c r="FU47" s="336">
        <f t="shared" si="62"/>
        <v>0</v>
      </c>
      <c r="FV47" s="336">
        <f t="shared" si="63"/>
        <v>0</v>
      </c>
      <c r="FW47" s="336">
        <f t="shared" si="64"/>
        <v>0</v>
      </c>
      <c r="FX47" s="336">
        <f t="shared" si="65"/>
        <v>0</v>
      </c>
      <c r="FY47" s="336">
        <f t="shared" si="66"/>
        <v>0</v>
      </c>
      <c r="FZ47" s="336">
        <f t="shared" si="67"/>
        <v>0</v>
      </c>
      <c r="GA47" s="336">
        <f t="shared" si="68"/>
        <v>0</v>
      </c>
      <c r="GB47" s="336">
        <f t="shared" si="69"/>
        <v>0</v>
      </c>
      <c r="GC47" s="336">
        <f t="shared" si="70"/>
        <v>0</v>
      </c>
      <c r="GD47" s="336">
        <f t="shared" si="71"/>
        <v>0</v>
      </c>
      <c r="GE47" s="336">
        <f t="shared" si="72"/>
        <v>0</v>
      </c>
      <c r="GF47" s="336">
        <f t="shared" si="73"/>
        <v>0</v>
      </c>
      <c r="GG47" s="336">
        <f t="shared" si="74"/>
        <v>0</v>
      </c>
      <c r="GH47" s="336">
        <f t="shared" si="75"/>
        <v>0</v>
      </c>
      <c r="GI47" s="336">
        <f t="shared" si="76"/>
        <v>0</v>
      </c>
      <c r="GJ47" s="336">
        <f t="shared" si="77"/>
        <v>0</v>
      </c>
      <c r="GK47" s="336">
        <f t="shared" si="78"/>
        <v>0</v>
      </c>
      <c r="GL47" s="336">
        <f t="shared" si="79"/>
        <v>0</v>
      </c>
      <c r="GM47" s="336">
        <f t="shared" si="80"/>
        <v>0</v>
      </c>
    </row>
    <row r="48" spans="1:195">
      <c r="A48" s="337">
        <f t="shared" si="242"/>
        <v>32</v>
      </c>
      <c r="B48" s="397" t="s">
        <v>1452</v>
      </c>
      <c r="C48" s="567" t="str">
        <f t="shared" si="230"/>
        <v>PDB-3</v>
      </c>
      <c r="D48" s="372" t="s">
        <v>1475</v>
      </c>
      <c r="E48" s="500" t="s">
        <v>427</v>
      </c>
      <c r="F48" s="500"/>
      <c r="G48" s="340" t="s">
        <v>337</v>
      </c>
      <c r="H48" s="350">
        <v>17.810526315789478</v>
      </c>
      <c r="I48" s="337" t="s">
        <v>330</v>
      </c>
      <c r="J48" s="337" t="s">
        <v>331</v>
      </c>
      <c r="K48" s="349">
        <v>400</v>
      </c>
      <c r="L48" s="343">
        <v>0.84999999999999987</v>
      </c>
      <c r="M48" s="350">
        <v>0.95099999999999985</v>
      </c>
      <c r="N48" s="342">
        <f t="shared" si="205"/>
        <v>31.803098311970501</v>
      </c>
      <c r="O48" s="926"/>
      <c r="P48" s="927"/>
      <c r="Q48" s="927"/>
      <c r="R48" s="927"/>
      <c r="S48" s="927"/>
      <c r="T48" s="927"/>
      <c r="U48" s="927"/>
      <c r="V48" s="927"/>
      <c r="W48" s="927"/>
      <c r="X48" s="927"/>
      <c r="Y48" s="927"/>
      <c r="Z48" s="927"/>
      <c r="AA48" s="927"/>
      <c r="AB48" s="927"/>
      <c r="AC48" s="927"/>
      <c r="AD48" s="927"/>
      <c r="AE48" s="927"/>
      <c r="AF48" s="927"/>
      <c r="AG48" s="927"/>
      <c r="AH48" s="927"/>
      <c r="AI48" s="927"/>
      <c r="AJ48" s="927"/>
      <c r="AK48" s="927"/>
      <c r="AL48" s="927"/>
      <c r="AM48" s="927"/>
      <c r="AN48" s="927"/>
      <c r="AO48" s="927"/>
      <c r="AP48" s="927"/>
      <c r="AQ48" s="927"/>
      <c r="AR48" s="927"/>
      <c r="AS48" s="927"/>
      <c r="AT48" s="927"/>
      <c r="AU48" s="927"/>
      <c r="AV48" s="927"/>
      <c r="AW48" s="927"/>
      <c r="AX48" s="927"/>
      <c r="AY48" s="927"/>
      <c r="AZ48" s="927"/>
      <c r="BA48" s="927"/>
      <c r="BB48" s="927"/>
      <c r="BC48" s="1020"/>
      <c r="BE48" s="336"/>
      <c r="BF48" s="336"/>
      <c r="BG48" s="336"/>
      <c r="BH48" s="336"/>
      <c r="BI48" s="336"/>
      <c r="BJ48" s="336"/>
      <c r="BK48" s="336"/>
      <c r="BL48" s="336"/>
      <c r="BM48" s="336"/>
      <c r="BN48" s="336"/>
      <c r="BO48" s="336"/>
      <c r="BP48" s="336"/>
      <c r="BQ48" s="336"/>
      <c r="BR48" s="336"/>
      <c r="BS48" s="336"/>
      <c r="BT48" s="336"/>
      <c r="BU48" s="336"/>
      <c r="BV48" s="336"/>
      <c r="BW48" s="336"/>
      <c r="BX48" s="336"/>
      <c r="BY48" s="336"/>
      <c r="BZ48" s="336"/>
      <c r="CA48" s="336"/>
      <c r="CB48" s="336"/>
      <c r="CC48" s="336"/>
      <c r="CD48" s="336"/>
      <c r="CE48" s="336"/>
      <c r="CF48" s="336"/>
      <c r="CG48" s="336"/>
      <c r="CH48" s="336"/>
      <c r="CI48" s="336"/>
      <c r="CJ48" s="336"/>
      <c r="CK48" s="336"/>
      <c r="CL48" s="336"/>
      <c r="CM48" s="336"/>
      <c r="CN48" s="336"/>
      <c r="CO48" s="336"/>
      <c r="CP48" s="336"/>
      <c r="CQ48" s="336"/>
      <c r="CR48" s="336"/>
      <c r="CS48" s="336"/>
      <c r="CT48" s="336"/>
      <c r="CU48" s="336"/>
      <c r="CV48" s="336"/>
      <c r="CW48" s="336"/>
      <c r="CX48" s="336"/>
      <c r="CY48" s="336"/>
      <c r="CZ48" s="336"/>
      <c r="DA48" s="336"/>
      <c r="DB48" s="336"/>
      <c r="DC48" s="336"/>
      <c r="DD48" s="336"/>
      <c r="DE48" s="336"/>
      <c r="DF48" s="336"/>
      <c r="DG48" s="336"/>
      <c r="DH48" s="336"/>
      <c r="DI48" s="336"/>
      <c r="DJ48" s="336"/>
      <c r="DK48" s="336"/>
      <c r="DL48" s="336"/>
      <c r="DM48" s="336"/>
      <c r="DN48" s="336"/>
      <c r="DO48" s="336"/>
      <c r="DP48" s="336"/>
      <c r="DQ48" s="336"/>
      <c r="DR48" s="336"/>
      <c r="DS48" s="336"/>
      <c r="DT48" s="336"/>
      <c r="DU48" s="336"/>
      <c r="DW48" s="336">
        <f t="shared" si="93"/>
        <v>0</v>
      </c>
      <c r="DX48" s="336">
        <f t="shared" si="14"/>
        <v>0</v>
      </c>
      <c r="DY48" s="336">
        <f t="shared" si="15"/>
        <v>0</v>
      </c>
      <c r="DZ48" s="336">
        <f t="shared" si="16"/>
        <v>0</v>
      </c>
      <c r="EA48" s="336">
        <f t="shared" si="17"/>
        <v>0</v>
      </c>
      <c r="EB48" s="336">
        <f t="shared" si="18"/>
        <v>0</v>
      </c>
      <c r="EC48" s="336">
        <f t="shared" si="19"/>
        <v>0</v>
      </c>
      <c r="ED48" s="336">
        <f t="shared" si="20"/>
        <v>0</v>
      </c>
      <c r="EE48" s="336">
        <f t="shared" si="21"/>
        <v>0</v>
      </c>
      <c r="EF48" s="336">
        <f t="shared" si="22"/>
        <v>0</v>
      </c>
      <c r="EG48" s="336">
        <f t="shared" si="23"/>
        <v>0</v>
      </c>
      <c r="EH48" s="336">
        <f t="shared" si="24"/>
        <v>0</v>
      </c>
      <c r="EI48" s="336">
        <f t="shared" si="25"/>
        <v>0</v>
      </c>
      <c r="EJ48" s="336">
        <f t="shared" si="26"/>
        <v>0</v>
      </c>
      <c r="EK48" s="336">
        <f t="shared" si="27"/>
        <v>0</v>
      </c>
      <c r="EL48" s="336">
        <f t="shared" si="28"/>
        <v>0</v>
      </c>
      <c r="EM48" s="336">
        <f t="shared" si="29"/>
        <v>0</v>
      </c>
      <c r="EN48" s="336">
        <f t="shared" si="30"/>
        <v>0</v>
      </c>
      <c r="EO48" s="336">
        <f t="shared" si="31"/>
        <v>0</v>
      </c>
      <c r="EP48" s="336">
        <f t="shared" si="32"/>
        <v>0</v>
      </c>
      <c r="EQ48" s="336">
        <f t="shared" si="33"/>
        <v>0</v>
      </c>
      <c r="ER48" s="336">
        <f t="shared" si="34"/>
        <v>0</v>
      </c>
      <c r="ES48" s="336">
        <f t="shared" si="35"/>
        <v>0</v>
      </c>
      <c r="ET48" s="336">
        <f t="shared" si="35"/>
        <v>0</v>
      </c>
      <c r="EU48" s="336">
        <f t="shared" si="36"/>
        <v>0</v>
      </c>
      <c r="EV48" s="336">
        <f t="shared" si="37"/>
        <v>0</v>
      </c>
      <c r="EW48" s="336">
        <f t="shared" si="38"/>
        <v>0</v>
      </c>
      <c r="EX48" s="336">
        <f t="shared" si="39"/>
        <v>0</v>
      </c>
      <c r="EY48" s="336">
        <f t="shared" si="40"/>
        <v>0</v>
      </c>
      <c r="EZ48" s="336">
        <f t="shared" si="41"/>
        <v>0</v>
      </c>
      <c r="FA48" s="336">
        <f t="shared" si="42"/>
        <v>0</v>
      </c>
      <c r="FB48" s="336">
        <f t="shared" si="43"/>
        <v>0</v>
      </c>
      <c r="FC48" s="336">
        <f t="shared" si="44"/>
        <v>0</v>
      </c>
      <c r="FD48" s="336">
        <f t="shared" si="45"/>
        <v>0</v>
      </c>
      <c r="FE48" s="336">
        <f t="shared" si="46"/>
        <v>0</v>
      </c>
      <c r="FF48" s="336">
        <f t="shared" si="47"/>
        <v>0</v>
      </c>
      <c r="FG48" s="336">
        <f t="shared" si="48"/>
        <v>0</v>
      </c>
      <c r="FH48" s="336">
        <f t="shared" si="49"/>
        <v>0</v>
      </c>
      <c r="FI48" s="336">
        <f t="shared" si="50"/>
        <v>0</v>
      </c>
      <c r="FJ48" s="336">
        <f t="shared" si="51"/>
        <v>0</v>
      </c>
      <c r="FK48" s="336">
        <f t="shared" si="52"/>
        <v>0</v>
      </c>
      <c r="FL48" s="336">
        <f t="shared" si="53"/>
        <v>0</v>
      </c>
      <c r="FM48" s="336">
        <f t="shared" si="54"/>
        <v>0</v>
      </c>
      <c r="FN48" s="336">
        <f t="shared" si="55"/>
        <v>0</v>
      </c>
      <c r="FO48" s="336">
        <f t="shared" si="56"/>
        <v>0</v>
      </c>
      <c r="FP48" s="336">
        <f t="shared" si="57"/>
        <v>0</v>
      </c>
      <c r="FQ48" s="336">
        <f t="shared" si="58"/>
        <v>0</v>
      </c>
      <c r="FR48" s="336">
        <f t="shared" si="59"/>
        <v>0</v>
      </c>
      <c r="FS48" s="336">
        <f t="shared" si="60"/>
        <v>0</v>
      </c>
      <c r="FT48" s="336">
        <f t="shared" si="61"/>
        <v>0</v>
      </c>
      <c r="FU48" s="336">
        <f t="shared" si="62"/>
        <v>0</v>
      </c>
      <c r="FV48" s="336">
        <f t="shared" si="63"/>
        <v>0</v>
      </c>
      <c r="FW48" s="336">
        <f t="shared" si="64"/>
        <v>0</v>
      </c>
      <c r="FX48" s="336">
        <f t="shared" si="65"/>
        <v>0</v>
      </c>
      <c r="FY48" s="336">
        <f t="shared" si="66"/>
        <v>0</v>
      </c>
      <c r="FZ48" s="336">
        <f t="shared" si="67"/>
        <v>0</v>
      </c>
      <c r="GA48" s="336">
        <f t="shared" si="68"/>
        <v>0</v>
      </c>
      <c r="GB48" s="336">
        <f t="shared" si="69"/>
        <v>0</v>
      </c>
      <c r="GC48" s="336">
        <f t="shared" si="70"/>
        <v>0</v>
      </c>
      <c r="GD48" s="336">
        <f t="shared" si="71"/>
        <v>0</v>
      </c>
      <c r="GE48" s="336">
        <f t="shared" si="72"/>
        <v>0</v>
      </c>
      <c r="GF48" s="336">
        <f t="shared" si="73"/>
        <v>0</v>
      </c>
      <c r="GG48" s="336">
        <f t="shared" si="74"/>
        <v>0</v>
      </c>
      <c r="GH48" s="336">
        <f t="shared" si="75"/>
        <v>0</v>
      </c>
      <c r="GI48" s="336">
        <f t="shared" si="76"/>
        <v>0</v>
      </c>
      <c r="GJ48" s="336">
        <f t="shared" si="77"/>
        <v>0</v>
      </c>
      <c r="GK48" s="336">
        <f t="shared" si="78"/>
        <v>0</v>
      </c>
      <c r="GL48" s="336">
        <f t="shared" si="79"/>
        <v>0</v>
      </c>
      <c r="GM48" s="336">
        <f t="shared" si="80"/>
        <v>0</v>
      </c>
    </row>
    <row r="49" spans="1:195" s="76" customFormat="1" ht="26.25" customHeight="1">
      <c r="A49" s="531"/>
      <c r="B49" s="531"/>
      <c r="C49" s="531"/>
      <c r="D49" s="477" t="s">
        <v>1476</v>
      </c>
      <c r="E49" s="533"/>
      <c r="F49" s="533"/>
      <c r="G49" s="531"/>
      <c r="H49" s="534"/>
      <c r="I49" s="531"/>
      <c r="J49" s="531"/>
      <c r="K49" s="535"/>
      <c r="L49" s="536"/>
      <c r="M49" s="534"/>
      <c r="N49" s="537"/>
      <c r="O49" s="537"/>
      <c r="P49" s="536"/>
      <c r="Q49" s="534"/>
      <c r="R49" s="534"/>
      <c r="S49" s="534"/>
      <c r="T49" s="536"/>
      <c r="U49" s="534"/>
      <c r="V49" s="536"/>
      <c r="W49" s="536"/>
      <c r="X49" s="536"/>
      <c r="Y49" s="536"/>
      <c r="Z49" s="538"/>
      <c r="AA49" s="539"/>
      <c r="AB49" s="539"/>
      <c r="AC49" s="491"/>
      <c r="AD49" s="491"/>
      <c r="AE49" s="491"/>
      <c r="AF49" s="491"/>
      <c r="AG49" s="491"/>
      <c r="AH49" s="805"/>
      <c r="AI49" s="538"/>
      <c r="AJ49" s="537"/>
      <c r="AK49" s="538"/>
      <c r="AL49" s="538"/>
      <c r="AM49" s="538"/>
      <c r="AN49" s="541"/>
      <c r="AO49" s="534"/>
      <c r="AP49" s="535"/>
      <c r="AQ49" s="534"/>
      <c r="AR49" s="541"/>
      <c r="AS49" s="536"/>
      <c r="AT49" s="541"/>
      <c r="AU49" s="541"/>
      <c r="AV49" s="542"/>
      <c r="AW49" s="542"/>
      <c r="AX49" s="536"/>
      <c r="AY49" s="543"/>
      <c r="AZ49" s="543"/>
      <c r="BA49" s="536"/>
      <c r="BB49" s="490"/>
      <c r="BC49" s="490"/>
      <c r="BD49" s="61"/>
      <c r="BE49" s="336"/>
      <c r="BF49" s="336"/>
      <c r="BG49" s="336"/>
      <c r="BH49" s="336"/>
      <c r="BI49" s="336"/>
      <c r="BJ49" s="336"/>
      <c r="BK49" s="336"/>
      <c r="BL49" s="336"/>
      <c r="BM49" s="336"/>
      <c r="BN49" s="336"/>
      <c r="BO49" s="336"/>
      <c r="BP49" s="336"/>
      <c r="BQ49" s="336"/>
      <c r="BR49" s="336"/>
      <c r="BS49" s="336"/>
      <c r="BT49" s="336"/>
      <c r="BU49" s="336"/>
      <c r="BV49" s="336"/>
      <c r="BW49" s="336"/>
      <c r="BX49" s="336"/>
      <c r="BY49" s="336"/>
      <c r="BZ49" s="336"/>
      <c r="CA49" s="336"/>
      <c r="CB49" s="336"/>
      <c r="CC49" s="336"/>
      <c r="CD49" s="336"/>
      <c r="CE49" s="336"/>
      <c r="CF49" s="336"/>
      <c r="CG49" s="336"/>
      <c r="CH49" s="336"/>
      <c r="CI49" s="336"/>
      <c r="CJ49" s="336"/>
      <c r="CK49" s="336"/>
      <c r="CL49" s="336"/>
      <c r="CM49" s="336"/>
      <c r="CN49" s="336"/>
      <c r="CO49" s="336"/>
      <c r="CP49" s="336"/>
      <c r="CQ49" s="336"/>
      <c r="CR49" s="336"/>
      <c r="CS49" s="336"/>
      <c r="CT49" s="336"/>
      <c r="CU49" s="336"/>
      <c r="CV49" s="336"/>
      <c r="CW49" s="336"/>
      <c r="CX49" s="336"/>
      <c r="CY49" s="336"/>
      <c r="CZ49" s="336"/>
      <c r="DA49" s="336"/>
      <c r="DB49" s="336"/>
      <c r="DC49" s="336"/>
      <c r="DD49" s="336"/>
      <c r="DE49" s="336"/>
      <c r="DF49" s="336"/>
      <c r="DG49" s="336"/>
      <c r="DH49" s="336"/>
      <c r="DI49" s="336"/>
      <c r="DJ49" s="336"/>
      <c r="DK49" s="336"/>
      <c r="DL49" s="336"/>
      <c r="DM49" s="336"/>
      <c r="DN49" s="336"/>
      <c r="DO49" s="336"/>
      <c r="DP49" s="336"/>
      <c r="DQ49" s="336"/>
      <c r="DR49" s="336"/>
      <c r="DS49" s="336"/>
      <c r="DT49" s="336"/>
      <c r="DU49" s="336"/>
      <c r="DV49" s="61"/>
      <c r="DW49" s="336">
        <f t="shared" si="93"/>
        <v>0</v>
      </c>
      <c r="DX49" s="336">
        <f t="shared" si="14"/>
        <v>0</v>
      </c>
      <c r="DY49" s="336">
        <f t="shared" si="15"/>
        <v>0</v>
      </c>
      <c r="DZ49" s="336">
        <f t="shared" si="16"/>
        <v>0</v>
      </c>
      <c r="EA49" s="336">
        <f t="shared" si="17"/>
        <v>0</v>
      </c>
      <c r="EB49" s="336">
        <f t="shared" si="18"/>
        <v>0</v>
      </c>
      <c r="EC49" s="336">
        <f t="shared" si="19"/>
        <v>0</v>
      </c>
      <c r="ED49" s="336">
        <f t="shared" si="20"/>
        <v>0</v>
      </c>
      <c r="EE49" s="336">
        <f t="shared" si="21"/>
        <v>0</v>
      </c>
      <c r="EF49" s="336">
        <f t="shared" si="22"/>
        <v>0</v>
      </c>
      <c r="EG49" s="336">
        <f t="shared" si="23"/>
        <v>0</v>
      </c>
      <c r="EH49" s="336">
        <f t="shared" si="24"/>
        <v>0</v>
      </c>
      <c r="EI49" s="336">
        <f t="shared" si="25"/>
        <v>0</v>
      </c>
      <c r="EJ49" s="336">
        <f t="shared" si="26"/>
        <v>0</v>
      </c>
      <c r="EK49" s="336">
        <f t="shared" si="27"/>
        <v>0</v>
      </c>
      <c r="EL49" s="336">
        <f t="shared" si="28"/>
        <v>0</v>
      </c>
      <c r="EM49" s="336">
        <f t="shared" si="29"/>
        <v>0</v>
      </c>
      <c r="EN49" s="336">
        <f t="shared" si="30"/>
        <v>0</v>
      </c>
      <c r="EO49" s="336">
        <f t="shared" si="31"/>
        <v>0</v>
      </c>
      <c r="EP49" s="336">
        <f t="shared" si="32"/>
        <v>0</v>
      </c>
      <c r="EQ49" s="336">
        <f t="shared" si="33"/>
        <v>0</v>
      </c>
      <c r="ER49" s="336">
        <f t="shared" si="34"/>
        <v>0</v>
      </c>
      <c r="ES49" s="336">
        <f t="shared" si="35"/>
        <v>0</v>
      </c>
      <c r="ET49" s="336">
        <f t="shared" si="35"/>
        <v>0</v>
      </c>
      <c r="EU49" s="336">
        <f t="shared" si="36"/>
        <v>0</v>
      </c>
      <c r="EV49" s="336">
        <f t="shared" si="37"/>
        <v>0</v>
      </c>
      <c r="EW49" s="336">
        <f t="shared" si="38"/>
        <v>0</v>
      </c>
      <c r="EX49" s="336">
        <f t="shared" si="39"/>
        <v>0</v>
      </c>
      <c r="EY49" s="336">
        <f t="shared" si="40"/>
        <v>0</v>
      </c>
      <c r="EZ49" s="336">
        <f t="shared" si="41"/>
        <v>0</v>
      </c>
      <c r="FA49" s="336">
        <f t="shared" si="42"/>
        <v>0</v>
      </c>
      <c r="FB49" s="336">
        <f t="shared" si="43"/>
        <v>0</v>
      </c>
      <c r="FC49" s="336">
        <f t="shared" si="44"/>
        <v>0</v>
      </c>
      <c r="FD49" s="336">
        <f t="shared" si="45"/>
        <v>0</v>
      </c>
      <c r="FE49" s="336">
        <f t="shared" si="46"/>
        <v>0</v>
      </c>
      <c r="FF49" s="336">
        <f t="shared" si="47"/>
        <v>0</v>
      </c>
      <c r="FG49" s="336">
        <f t="shared" si="48"/>
        <v>0</v>
      </c>
      <c r="FH49" s="336">
        <f t="shared" si="49"/>
        <v>0</v>
      </c>
      <c r="FI49" s="336">
        <f t="shared" si="50"/>
        <v>0</v>
      </c>
      <c r="FJ49" s="336">
        <f t="shared" si="51"/>
        <v>0</v>
      </c>
      <c r="FK49" s="336">
        <f t="shared" si="52"/>
        <v>0</v>
      </c>
      <c r="FL49" s="336">
        <f t="shared" si="53"/>
        <v>0</v>
      </c>
      <c r="FM49" s="336">
        <f t="shared" si="54"/>
        <v>0</v>
      </c>
      <c r="FN49" s="336">
        <f t="shared" si="55"/>
        <v>0</v>
      </c>
      <c r="FO49" s="336">
        <f t="shared" si="56"/>
        <v>0</v>
      </c>
      <c r="FP49" s="336">
        <f t="shared" si="57"/>
        <v>0</v>
      </c>
      <c r="FQ49" s="336">
        <f t="shared" si="58"/>
        <v>0</v>
      </c>
      <c r="FR49" s="336">
        <f t="shared" si="59"/>
        <v>0</v>
      </c>
      <c r="FS49" s="336">
        <f t="shared" si="60"/>
        <v>0</v>
      </c>
      <c r="FT49" s="336">
        <f t="shared" si="61"/>
        <v>0</v>
      </c>
      <c r="FU49" s="336">
        <f t="shared" si="62"/>
        <v>0</v>
      </c>
      <c r="FV49" s="336">
        <f t="shared" si="63"/>
        <v>0</v>
      </c>
      <c r="FW49" s="336">
        <f t="shared" si="64"/>
        <v>0</v>
      </c>
      <c r="FX49" s="336">
        <f t="shared" si="65"/>
        <v>0</v>
      </c>
      <c r="FY49" s="336">
        <f t="shared" si="66"/>
        <v>0</v>
      </c>
      <c r="FZ49" s="336">
        <f t="shared" si="67"/>
        <v>0</v>
      </c>
      <c r="GA49" s="336">
        <f t="shared" si="68"/>
        <v>0</v>
      </c>
      <c r="GB49" s="336">
        <f t="shared" si="69"/>
        <v>0</v>
      </c>
      <c r="GC49" s="336">
        <f t="shared" si="70"/>
        <v>0</v>
      </c>
      <c r="GD49" s="336">
        <f t="shared" si="71"/>
        <v>0</v>
      </c>
      <c r="GE49" s="336">
        <f t="shared" si="72"/>
        <v>0</v>
      </c>
      <c r="GF49" s="336">
        <f t="shared" si="73"/>
        <v>0</v>
      </c>
      <c r="GG49" s="336">
        <f t="shared" si="74"/>
        <v>0</v>
      </c>
      <c r="GH49" s="336">
        <f t="shared" si="75"/>
        <v>0</v>
      </c>
      <c r="GI49" s="336">
        <f t="shared" si="76"/>
        <v>0</v>
      </c>
      <c r="GJ49" s="336">
        <f t="shared" si="77"/>
        <v>0</v>
      </c>
      <c r="GK49" s="336">
        <f t="shared" si="78"/>
        <v>0</v>
      </c>
      <c r="GL49" s="336">
        <f t="shared" si="79"/>
        <v>0</v>
      </c>
      <c r="GM49" s="336">
        <f t="shared" si="80"/>
        <v>0</v>
      </c>
    </row>
    <row r="50" spans="1:195">
      <c r="A50" s="337">
        <f>A48+1</f>
        <v>33</v>
      </c>
      <c r="B50" s="337" t="s">
        <v>1477</v>
      </c>
      <c r="C50" s="337" t="s">
        <v>1478</v>
      </c>
      <c r="D50" s="372" t="s">
        <v>1479</v>
      </c>
      <c r="E50" s="500" t="s">
        <v>732</v>
      </c>
      <c r="F50" s="500"/>
      <c r="G50" s="337" t="s">
        <v>329</v>
      </c>
      <c r="H50" s="350">
        <v>5</v>
      </c>
      <c r="I50" s="337" t="s">
        <v>330</v>
      </c>
      <c r="J50" s="337" t="s">
        <v>331</v>
      </c>
      <c r="K50" s="349">
        <v>400</v>
      </c>
      <c r="L50" s="343">
        <v>0.84999999999999987</v>
      </c>
      <c r="M50" s="350">
        <v>0.95099999999999985</v>
      </c>
      <c r="N50" s="342">
        <f t="shared" ref="N50:N53" si="254">IF(I50="kVA",IF(J50="3Ph",(H50*1000/(1.732*M50*K50)),(H50*1000/(M50*K50))),IF(I50="kW",IF(J50="3Ph",(H50*1000/(1.732*M50*K50*L50)),(H50*1000/(M50*K50*L50)))))</f>
        <v>8.9281747625212677</v>
      </c>
      <c r="O50" s="342">
        <f t="shared" ref="O50:O51" si="255">IF(G50="MOTOR",(6*N50),IF(G50="VFD",(1*N50),0))</f>
        <v>0</v>
      </c>
      <c r="P50" s="343" t="str">
        <f t="shared" ref="P50:P51" si="256">IF(G50="MOTOR",0.2,"0.00")</f>
        <v>0.00</v>
      </c>
      <c r="Q50" s="350">
        <v>65</v>
      </c>
      <c r="R50" s="350">
        <v>0</v>
      </c>
      <c r="S50" s="350">
        <f t="shared" ref="S50:S51" si="257">(Q50*1000*SQRT(R50)/143)</f>
        <v>0</v>
      </c>
      <c r="T50" s="343" t="s">
        <v>131</v>
      </c>
      <c r="U50" s="350" t="s">
        <v>522</v>
      </c>
      <c r="V50" s="343">
        <v>16</v>
      </c>
      <c r="W50" s="343" t="str">
        <f t="shared" ref="W50:W51" si="258">CONCATENATE(U50," X ",V50)</f>
        <v>4C X 16</v>
      </c>
      <c r="X50" s="343" t="str">
        <f t="shared" ref="X50:X51" si="259">(IF(J50="1Ph",W50,IF(J50="3Ph",(IF(G50="MOTOR",(CONCATENATE(W50,"+PE")),W50)))))</f>
        <v>4C X 16</v>
      </c>
      <c r="Y50" s="343" t="s">
        <v>358</v>
      </c>
      <c r="Z50" s="344">
        <f>IF(T50="AIR",VLOOKUP(W50,'Catalogue Aluminium'!$B$9:$G$93,2,FALSE),IF(T50="GROUND",VLOOKUP(W50,'Catalogue Aluminium'!$B$9:$G$93,3,FALSE),IF(T50="DUCT",VLOOKUP(W50,'Catalogue Aluminium'!$B$9:$G$93,4,FALSE),IF(T50="TRENCH",VLOOKUP(W50,'Catalogue Aluminium'!$B$9:$G$93,2,FALSE)))))</f>
        <v>70</v>
      </c>
      <c r="AA50" s="345">
        <f>VLOOKUP(W50,'Catalogue Aluminium'!$B$9:$G$93,5,FALSE)</f>
        <v>2.44</v>
      </c>
      <c r="AB50" s="345">
        <f>VLOOKUP(W50,'Catalogue Aluminium'!$B$9:$G$93,6,FALSE)</f>
        <v>8.1500000000000003E-2</v>
      </c>
      <c r="AC50" s="388">
        <v>13</v>
      </c>
      <c r="AD50" s="346">
        <v>0</v>
      </c>
      <c r="AE50" s="346">
        <f t="shared" ref="AE50:AE53" si="260">3+3</f>
        <v>6</v>
      </c>
      <c r="AF50" s="346">
        <f t="shared" ref="AF50:AF53" si="261">5+5</f>
        <v>10</v>
      </c>
      <c r="AG50" s="346">
        <f t="shared" ref="AG50:AG51" si="262">ROUNDUP((SUM(AC50:AF50)*0.1),0)</f>
        <v>3</v>
      </c>
      <c r="AH50" s="802">
        <f t="shared" ref="AH50:AH53" si="263">SUM(AC50:AG50)</f>
        <v>32</v>
      </c>
      <c r="AI50" s="344">
        <f>IF(T50="AIR",'Catalogue Aluminium'!$K$9,IF(T50="TRENCH",'Catalogue Aluminium'!$K$12,"NA"))</f>
        <v>0.89</v>
      </c>
      <c r="AJ50" s="342">
        <f>IF(T50="Air",(IF(U50="1C",'Catalogue Aluminium'!$L$9,'Catalogue Aluminium'!$M$9)),IF(T50="DUCT",(IF($U50="1C",'Catalogue Aluminium'!$L$10,'Catalogue Aluminium'!$M$10)),IF(T50="GROUND",(IF($U50="1C",'Catalogue Aluminium'!$L$11,'Catalogue Aluminium'!$M$11)),IF(T50="TRENCH",(IF($U50="1C",'Catalogue Aluminium'!$L$12,'Catalogue Aluminium'!$M$12))))))</f>
        <v>0.66</v>
      </c>
      <c r="AK50" s="344" t="str">
        <f>IF(T50="Air",'Catalogue Aluminium'!$N$9,IF(T50="GROUND",'Catalogue Aluminium'!$N$10,IF(T50="DUCT",'Catalogue Aluminium'!$N$11,IF(T50="TRENCH",'Catalogue Aluminium'!$N$12,"NA"))))</f>
        <v>NA</v>
      </c>
      <c r="AL50" s="344" t="str">
        <f>IF(T50="Air",(IF(U50="1C",'Catalogue Aluminium'!$O$9,'Catalogue Aluminium'!$P$9)),IF(T50="DUCT",(IF($U50="1C",'Catalogue Aluminium'!$O$10,'Catalogue Aluminium'!$P$10)),IF(T50="GROUND",(IF($U50="1C",'Catalogue Aluminium'!$O$11,'Catalogue Aluminium'!$P$11)),IF(T50="TRENCH",(IF($U50="1C",'Catalogue Aluminium'!$O$12,'Catalogue Aluminium'!$P$12))))))</f>
        <v>NA</v>
      </c>
      <c r="AM50" s="344" t="str">
        <f>IF(T50="AIR","NA",IF(T50="TRENCH","NA",IF(T50="DUCT",IF(U50="1C",VLOOKUP(V50,'Catalogue Aluminium'!$Q$9:$S$28,2,FALSE),VLOOKUP(V50,'Catalogue Aluminium'!$Q$9:$S$28,3)),IF(T50="GROUND",IF(U50="1C",VLOOKUP(V50,'Catalogue Aluminium'!$Q$9:$S$28,2,FALSE),VLOOKUP(V50,'Catalogue Aluminium'!$Q$9:$S$28,3))))))</f>
        <v>NA</v>
      </c>
      <c r="AN50" s="351">
        <f t="shared" ref="AN50:AN51" si="264">IF(T50="AIR",AI50*AJ50,IF(T50="TRENCH",AI50*AJ50,IF(T50="DUCT",AJ50*AK50*AL50*AM50,IF(T50="GROUND",AJ50*AK50*AL50*AM50))))</f>
        <v>0.58740000000000003</v>
      </c>
      <c r="AO50" s="350">
        <f t="shared" ref="AO50:AO51" si="265">Z50*AN50</f>
        <v>41.118000000000002</v>
      </c>
      <c r="AP50" s="349">
        <f t="shared" ref="AP50:AP51" si="266">CEILING(((N50)/AO50),1)</f>
        <v>1</v>
      </c>
      <c r="AQ50" s="350" t="str">
        <f t="shared" ref="AQ50:AQ51" si="267">IF(AO50*AP50&gt;=N50,"YES","NO")</f>
        <v>YES</v>
      </c>
      <c r="AR50" s="351">
        <f t="shared" ref="AR50:AR51" si="268">SQRT(3)*AH50*N50*((AA50*L50)+(AB50*SIN(ACOS(L50))))*100/(AP50*K50*1000)</f>
        <v>0.26189087505046188</v>
      </c>
      <c r="AS50" s="343" t="str">
        <f>IF(G50="INCOMER",(IF(AR50&lt;=2,"YES","NO")),IF(G50="POWER",(IF(AR50&lt;=2.5,"YES","NO")),IF(G50="MOTOR",(IF(AR50&lt;=3,"YES","NO")))))</f>
        <v>YES</v>
      </c>
      <c r="AT50" s="351" t="str">
        <f>IF(G50="MOTOR",(SQRT(3)*AH50*O50*((AA50*P50)+(AB50*SIN(ACOS(P50))))*100/(AP50*K50*1000)),"NA")</f>
        <v>NA</v>
      </c>
      <c r="AU50" s="343" t="str">
        <f>IF(G50="MOTOR",IF(AT50&lt;=15,"YES","NO"),"NA")</f>
        <v>NA</v>
      </c>
      <c r="AV50" s="351" t="str">
        <f>IF(U50="1C",CONCATENATE(AP50,"R x ",Y50,"kV x ",U50," x ",V50," Sqmm/Phase"),CONCATENATE(AP50,"R x ",0.6,"/1kV x ",U50," x ",V50," Sqmm"))</f>
        <v>1R x 0.6/1kV x 4C x 16 Sqmm</v>
      </c>
      <c r="AW50" s="351" t="str">
        <f t="shared" ref="AW50:AW53" si="269">IF(U50="1C",CONCATENATE(AP50,"R x ",Y50,"kV x ",U50," x ",V50," Sqmm/Phase"),CONCATENATE(AP50,"R x ",0.6,"/1kV x ",U50," x ",V50,(IF(G50="MOTOR","+PE",""))," Sqmm"))</f>
        <v>1R x 0.6/1kV x 4C x 16 Sqmm</v>
      </c>
      <c r="AX50" s="343">
        <f>(IF(K50=400,(IF(U50="1C",(4*AH50*AP50),(AH50*AP50))),IF(K50=230,(AH50*AP50))))</f>
        <v>32</v>
      </c>
      <c r="AY50" s="343"/>
      <c r="AZ50" s="343">
        <f>IF(U50="1C",(3*AP50*2),(AP50*2))</f>
        <v>2</v>
      </c>
      <c r="BA50" s="356" t="str">
        <f t="shared" ref="BA50:BA53" si="270">CONCATENATE(IF(BE50=1,BE$4,""),IF(BF50=1,BF$4,""),IF(BG50=1,BG$4,""),IF(BH50=1,BH$4,""),IF(BI50=1,BI$4,""),IF(BJ50=1,BJ$4,""),IF(BK50=1,BK$4,""),IF(BL50=1,BL$4,""),IF(BM50=1,BM$4,""),IF(BN50=1,BN$4,""),IF(BO50=1,BO$4,""),IF(BP50=1,BP$4,""),IF(BQ50=1,BQ$4,""),IF(BR50=1,BR$4,""),IF(BS50=1,BS$4,""),IF(BT50=1,BT$4,""),IF(BU50=1,BU$4,""),IF(BV50=1,BV$4,""),IF(BW50=1,BW$4,""),IF(BX50=1,BX$4,""),IF(BY50=1,BY$4,""),IF(BZ50=1,BZ$4,""),IF(CA50=1,CA$4,""),IF(CB50=1,CB$4,""),IF(CC50=1,CC$4,""),IF(CD50=1,CD$4,""),IF(CE50=1,CE$4,""),IF(CF50=1,CF$4,""),IF(CG50=1,CG$4,""),IF(CH50=1,CH$4,""),IF(CI50=1,CI$4,""),IF(CJ50=1,CJ$4,""),IF(CK50=1,CK$4,""),IF(CL50=1,CL$4,""),IF(CM50=1,CM$4,""),IF(CN50=1,CN$4,""),IF(CO50=1,CO$4,""),IF(CP50=1,CP$4,""),IF(CQ50=1,CQ$4,""),IF(CR50=1,CR$4,""),IF(CS50=1,CS$4,""),IF(CT50=1,CT$4,""),IF(CU50=1,CU$4,""),IF(CV50=1,CV$4,""),IF(CW50=1,CW$4,""),IF(CX50=1,CX$4,""),IF(CY50=1,CY$4,""),IF(CZ50=1,CZ$4,""),IF(DA50=1,DA$4,""),IF(DB50=1,DB$4,""),IF(DC50=1,DC$4,""),IF(DD50=1,DD$4,""),IF(DE50=1,DE$4,""),IF(DF50=1,DF$4,""),IF(DG50=1,DG$4,""),IF(DH50=1,DH$4,""),IF(DI50=1,DI$4,""),IF(DJ50=1,DJ$4,""),IF(DK50=1,DK$4,""),IF(DL50=1,DL$4,""),IF(DM50=1,DM$4,""),IF(DN50=1,DN$4,""),IF(DO50=1,DO$4,""),IF(DP50=1,DP$4,""),IF(DQ50=1,DQ$4,""),IF(DR50=1,DR$4,""),IF(DS50=1,DS$4,""),IF(DT50=1,DT$4,""),IF(DU50=1,DU$4,""))</f>
        <v/>
      </c>
      <c r="BB50" s="336">
        <f>VLOOKUP(W50,'Catalogue Aluminium'!$B$9:$H$93,7,FALSE)</f>
        <v>21</v>
      </c>
      <c r="BC50" s="336">
        <f>AP50*BB50</f>
        <v>21</v>
      </c>
      <c r="BE50" s="336"/>
      <c r="BF50" s="336"/>
      <c r="BG50" s="336"/>
      <c r="BH50" s="336"/>
      <c r="BI50" s="336"/>
      <c r="BJ50" s="336"/>
      <c r="BK50" s="336"/>
      <c r="BL50" s="336"/>
      <c r="BM50" s="336"/>
      <c r="BN50" s="336"/>
      <c r="BO50" s="336"/>
      <c r="BP50" s="336"/>
      <c r="BQ50" s="336"/>
      <c r="BR50" s="336"/>
      <c r="BS50" s="336"/>
      <c r="BT50" s="336"/>
      <c r="BU50" s="336"/>
      <c r="BV50" s="336"/>
      <c r="BW50" s="336"/>
      <c r="BX50" s="336"/>
      <c r="BY50" s="336"/>
      <c r="BZ50" s="336"/>
      <c r="CA50" s="336"/>
      <c r="CB50" s="336"/>
      <c r="CC50" s="336"/>
      <c r="CD50" s="336"/>
      <c r="CE50" s="336"/>
      <c r="CF50" s="336"/>
      <c r="CG50" s="336"/>
      <c r="CH50" s="336"/>
      <c r="CI50" s="336"/>
      <c r="CJ50" s="336"/>
      <c r="CK50" s="336"/>
      <c r="CL50" s="336"/>
      <c r="CM50" s="336"/>
      <c r="CN50" s="336"/>
      <c r="CO50" s="336"/>
      <c r="CP50" s="336"/>
      <c r="CQ50" s="336"/>
      <c r="CR50" s="336"/>
      <c r="CS50" s="336"/>
      <c r="CT50" s="336"/>
      <c r="CU50" s="336"/>
      <c r="CV50" s="336"/>
      <c r="CW50" s="336"/>
      <c r="CX50" s="336"/>
      <c r="CY50" s="336"/>
      <c r="CZ50" s="336"/>
      <c r="DA50" s="336"/>
      <c r="DB50" s="336"/>
      <c r="DC50" s="336"/>
      <c r="DD50" s="336"/>
      <c r="DE50" s="336"/>
      <c r="DF50" s="336"/>
      <c r="DG50" s="336"/>
      <c r="DH50" s="336"/>
      <c r="DI50" s="336"/>
      <c r="DJ50" s="336"/>
      <c r="DK50" s="336"/>
      <c r="DL50" s="336"/>
      <c r="DM50" s="336"/>
      <c r="DN50" s="336"/>
      <c r="DO50" s="336"/>
      <c r="DP50" s="336"/>
      <c r="DQ50" s="336"/>
      <c r="DR50" s="336"/>
      <c r="DS50" s="336"/>
      <c r="DT50" s="336"/>
      <c r="DU50" s="336"/>
      <c r="DW50" s="336">
        <f t="shared" si="93"/>
        <v>0</v>
      </c>
      <c r="DX50" s="336">
        <f t="shared" si="14"/>
        <v>0</v>
      </c>
      <c r="DY50" s="336">
        <f t="shared" si="15"/>
        <v>0</v>
      </c>
      <c r="DZ50" s="336">
        <f t="shared" si="16"/>
        <v>0</v>
      </c>
      <c r="EA50" s="336">
        <f t="shared" si="17"/>
        <v>0</v>
      </c>
      <c r="EB50" s="336">
        <f t="shared" si="18"/>
        <v>0</v>
      </c>
      <c r="EC50" s="336">
        <f t="shared" si="19"/>
        <v>0</v>
      </c>
      <c r="ED50" s="336">
        <f t="shared" si="20"/>
        <v>0</v>
      </c>
      <c r="EE50" s="336">
        <f t="shared" si="21"/>
        <v>0</v>
      </c>
      <c r="EF50" s="336">
        <f t="shared" si="22"/>
        <v>0</v>
      </c>
      <c r="EG50" s="336">
        <f t="shared" si="23"/>
        <v>0</v>
      </c>
      <c r="EH50" s="336">
        <f t="shared" si="24"/>
        <v>0</v>
      </c>
      <c r="EI50" s="336">
        <f t="shared" si="25"/>
        <v>0</v>
      </c>
      <c r="EJ50" s="336">
        <f t="shared" si="26"/>
        <v>0</v>
      </c>
      <c r="EK50" s="336">
        <f t="shared" si="27"/>
        <v>0</v>
      </c>
      <c r="EL50" s="336">
        <f t="shared" si="28"/>
        <v>0</v>
      </c>
      <c r="EM50" s="336">
        <f t="shared" si="29"/>
        <v>0</v>
      </c>
      <c r="EN50" s="336">
        <f t="shared" si="30"/>
        <v>0</v>
      </c>
      <c r="EO50" s="336">
        <f t="shared" si="31"/>
        <v>0</v>
      </c>
      <c r="EP50" s="336">
        <f t="shared" si="32"/>
        <v>0</v>
      </c>
      <c r="EQ50" s="336">
        <f t="shared" si="33"/>
        <v>0</v>
      </c>
      <c r="ER50" s="336">
        <f t="shared" si="34"/>
        <v>0</v>
      </c>
      <c r="ES50" s="336">
        <f t="shared" si="35"/>
        <v>0</v>
      </c>
      <c r="ET50" s="336">
        <f t="shared" si="35"/>
        <v>0</v>
      </c>
      <c r="EU50" s="336">
        <f t="shared" si="36"/>
        <v>0</v>
      </c>
      <c r="EV50" s="336">
        <f t="shared" si="37"/>
        <v>0</v>
      </c>
      <c r="EW50" s="336">
        <f t="shared" si="38"/>
        <v>0</v>
      </c>
      <c r="EX50" s="336">
        <f t="shared" si="39"/>
        <v>0</v>
      </c>
      <c r="EY50" s="336">
        <f t="shared" si="40"/>
        <v>0</v>
      </c>
      <c r="EZ50" s="336">
        <f t="shared" si="41"/>
        <v>0</v>
      </c>
      <c r="FA50" s="336">
        <f t="shared" si="42"/>
        <v>0</v>
      </c>
      <c r="FB50" s="336">
        <f t="shared" si="43"/>
        <v>0</v>
      </c>
      <c r="FC50" s="336">
        <f t="shared" si="44"/>
        <v>0</v>
      </c>
      <c r="FD50" s="336">
        <f t="shared" si="45"/>
        <v>0</v>
      </c>
      <c r="FE50" s="336">
        <f t="shared" si="46"/>
        <v>0</v>
      </c>
      <c r="FF50" s="336">
        <f t="shared" si="47"/>
        <v>0</v>
      </c>
      <c r="FG50" s="336">
        <f t="shared" si="48"/>
        <v>0</v>
      </c>
      <c r="FH50" s="336">
        <f t="shared" si="49"/>
        <v>0</v>
      </c>
      <c r="FI50" s="336">
        <f t="shared" si="50"/>
        <v>0</v>
      </c>
      <c r="FJ50" s="336">
        <f t="shared" si="51"/>
        <v>0</v>
      </c>
      <c r="FK50" s="336">
        <f t="shared" si="52"/>
        <v>0</v>
      </c>
      <c r="FL50" s="336">
        <f t="shared" si="53"/>
        <v>0</v>
      </c>
      <c r="FM50" s="336">
        <f t="shared" si="54"/>
        <v>0</v>
      </c>
      <c r="FN50" s="336">
        <f t="shared" si="55"/>
        <v>0</v>
      </c>
      <c r="FO50" s="336">
        <f t="shared" si="56"/>
        <v>0</v>
      </c>
      <c r="FP50" s="336">
        <f t="shared" si="57"/>
        <v>0</v>
      </c>
      <c r="FQ50" s="336">
        <f t="shared" si="58"/>
        <v>0</v>
      </c>
      <c r="FR50" s="336">
        <f t="shared" si="59"/>
        <v>0</v>
      </c>
      <c r="FS50" s="336">
        <f t="shared" si="60"/>
        <v>0</v>
      </c>
      <c r="FT50" s="336">
        <f t="shared" si="61"/>
        <v>0</v>
      </c>
      <c r="FU50" s="336">
        <f t="shared" si="62"/>
        <v>0</v>
      </c>
      <c r="FV50" s="336">
        <f t="shared" si="63"/>
        <v>0</v>
      </c>
      <c r="FW50" s="336">
        <f t="shared" si="64"/>
        <v>0</v>
      </c>
      <c r="FX50" s="336">
        <f t="shared" si="65"/>
        <v>0</v>
      </c>
      <c r="FY50" s="336">
        <f t="shared" si="66"/>
        <v>0</v>
      </c>
      <c r="FZ50" s="336">
        <f t="shared" si="67"/>
        <v>0</v>
      </c>
      <c r="GA50" s="336">
        <f t="shared" si="68"/>
        <v>0</v>
      </c>
      <c r="GB50" s="336">
        <f t="shared" si="69"/>
        <v>0</v>
      </c>
      <c r="GC50" s="336">
        <f t="shared" si="70"/>
        <v>0</v>
      </c>
      <c r="GD50" s="336">
        <f t="shared" si="71"/>
        <v>0</v>
      </c>
      <c r="GE50" s="336">
        <f t="shared" si="72"/>
        <v>0</v>
      </c>
      <c r="GF50" s="336">
        <f t="shared" si="73"/>
        <v>0</v>
      </c>
      <c r="GG50" s="336">
        <f t="shared" si="74"/>
        <v>0</v>
      </c>
      <c r="GH50" s="336">
        <f t="shared" si="75"/>
        <v>0</v>
      </c>
      <c r="GI50" s="336">
        <f t="shared" si="76"/>
        <v>0</v>
      </c>
      <c r="GJ50" s="336">
        <f t="shared" si="77"/>
        <v>0</v>
      </c>
      <c r="GK50" s="336">
        <f t="shared" si="78"/>
        <v>0</v>
      </c>
      <c r="GL50" s="336">
        <f t="shared" si="79"/>
        <v>0</v>
      </c>
      <c r="GM50" s="336">
        <f t="shared" si="80"/>
        <v>0</v>
      </c>
    </row>
    <row r="51" spans="1:195" ht="33.75" customHeight="1">
      <c r="A51" s="337">
        <f>A50+1</f>
        <v>34</v>
      </c>
      <c r="B51" s="337" t="s">
        <v>1480</v>
      </c>
      <c r="C51" s="337" t="s">
        <v>1478</v>
      </c>
      <c r="D51" s="372" t="s">
        <v>1481</v>
      </c>
      <c r="E51" s="500" t="s">
        <v>1482</v>
      </c>
      <c r="F51" s="500"/>
      <c r="G51" s="337" t="s">
        <v>329</v>
      </c>
      <c r="H51" s="350">
        <v>5</v>
      </c>
      <c r="I51" s="337" t="s">
        <v>330</v>
      </c>
      <c r="J51" s="337" t="s">
        <v>331</v>
      </c>
      <c r="K51" s="349">
        <v>400</v>
      </c>
      <c r="L51" s="343">
        <v>0.84999999999999987</v>
      </c>
      <c r="M51" s="350">
        <v>0.95099999999999985</v>
      </c>
      <c r="N51" s="342">
        <f t="shared" si="254"/>
        <v>8.9281747625212677</v>
      </c>
      <c r="O51" s="342">
        <f t="shared" si="255"/>
        <v>0</v>
      </c>
      <c r="P51" s="343" t="str">
        <f t="shared" si="256"/>
        <v>0.00</v>
      </c>
      <c r="Q51" s="350">
        <v>65</v>
      </c>
      <c r="R51" s="350">
        <v>0</v>
      </c>
      <c r="S51" s="350">
        <f t="shared" si="257"/>
        <v>0</v>
      </c>
      <c r="T51" s="343" t="s">
        <v>131</v>
      </c>
      <c r="U51" s="350" t="s">
        <v>522</v>
      </c>
      <c r="V51" s="343">
        <v>16</v>
      </c>
      <c r="W51" s="343" t="str">
        <f t="shared" si="258"/>
        <v>4C X 16</v>
      </c>
      <c r="X51" s="343" t="str">
        <f t="shared" si="259"/>
        <v>4C X 16</v>
      </c>
      <c r="Y51" s="343" t="s">
        <v>358</v>
      </c>
      <c r="Z51" s="344">
        <f>IF(T51="AIR",VLOOKUP(W51,'Catalogue Aluminium'!$B$9:$G$93,2,FALSE),IF(T51="GROUND",VLOOKUP(W51,'Catalogue Aluminium'!$B$9:$G$93,3,FALSE),IF(T51="DUCT",VLOOKUP(W51,'Catalogue Aluminium'!$B$9:$G$93,4,FALSE),IF(T51="TRENCH",VLOOKUP(W51,'Catalogue Aluminium'!$B$9:$G$93,2,FALSE)))))</f>
        <v>70</v>
      </c>
      <c r="AA51" s="345">
        <f>VLOOKUP(W51,'Catalogue Aluminium'!$B$9:$G$93,5,FALSE)</f>
        <v>2.44</v>
      </c>
      <c r="AB51" s="345">
        <f>VLOOKUP(W51,'Catalogue Aluminium'!$B$9:$G$93,6,FALSE)</f>
        <v>8.1500000000000003E-2</v>
      </c>
      <c r="AC51" s="337">
        <f>4</f>
        <v>4</v>
      </c>
      <c r="AD51" s="346">
        <f>5+37+6</f>
        <v>48</v>
      </c>
      <c r="AE51" s="346">
        <f t="shared" si="260"/>
        <v>6</v>
      </c>
      <c r="AF51" s="346">
        <f t="shared" si="261"/>
        <v>10</v>
      </c>
      <c r="AG51" s="346">
        <f t="shared" si="262"/>
        <v>7</v>
      </c>
      <c r="AH51" s="802">
        <f t="shared" si="263"/>
        <v>75</v>
      </c>
      <c r="AI51" s="344">
        <f>IF(T51="AIR",'Catalogue Aluminium'!$K$9,IF(T51="TRENCH",'Catalogue Aluminium'!$K$12,"NA"))</f>
        <v>0.89</v>
      </c>
      <c r="AJ51" s="342">
        <f>IF(T51="Air",(IF(U51="1C",'Catalogue Aluminium'!$L$9,'Catalogue Aluminium'!$M$9)),IF(T51="DUCT",(IF($U51="1C",'Catalogue Aluminium'!$L$10,'Catalogue Aluminium'!$M$10)),IF(T51="GROUND",(IF($U51="1C",'Catalogue Aluminium'!$L$11,'Catalogue Aluminium'!$M$11)),IF(T51="TRENCH",(IF($U51="1C",'Catalogue Aluminium'!$L$12,'Catalogue Aluminium'!$M$12))))))</f>
        <v>0.66</v>
      </c>
      <c r="AK51" s="344" t="str">
        <f>IF(T51="Air",'Catalogue Aluminium'!$N$9,IF(T51="GROUND",'Catalogue Aluminium'!$N$10,IF(T51="DUCT",'Catalogue Aluminium'!$N$11,IF(T51="TRENCH",'Catalogue Aluminium'!$N$12,"NA"))))</f>
        <v>NA</v>
      </c>
      <c r="AL51" s="344" t="str">
        <f>IF(T51="Air",(IF(U51="1C",'Catalogue Aluminium'!$O$9,'Catalogue Aluminium'!$P$9)),IF(T51="DUCT",(IF($U51="1C",'Catalogue Aluminium'!$O$10,'Catalogue Aluminium'!$P$10)),IF(T51="GROUND",(IF($U51="1C",'Catalogue Aluminium'!$O$11,'Catalogue Aluminium'!$P$11)),IF(T51="TRENCH",(IF($U51="1C",'Catalogue Aluminium'!$O$12,'Catalogue Aluminium'!$P$12))))))</f>
        <v>NA</v>
      </c>
      <c r="AM51" s="344" t="str">
        <f>IF(T51="AIR","NA",IF(T51="TRENCH","NA",IF(T51="DUCT",IF(U51="1C",VLOOKUP(V51,'Catalogue Aluminium'!$Q$9:$S$28,2,FALSE),VLOOKUP(V51,'Catalogue Aluminium'!$Q$9:$S$28,3)),IF(T51="GROUND",IF(U51="1C",VLOOKUP(V51,'Catalogue Aluminium'!$Q$9:$S$28,2,FALSE),VLOOKUP(V51,'Catalogue Aluminium'!$Q$9:$S$28,3))))))</f>
        <v>NA</v>
      </c>
      <c r="AN51" s="351">
        <f t="shared" si="264"/>
        <v>0.58740000000000003</v>
      </c>
      <c r="AO51" s="350">
        <f t="shared" si="265"/>
        <v>41.118000000000002</v>
      </c>
      <c r="AP51" s="349">
        <f t="shared" si="266"/>
        <v>1</v>
      </c>
      <c r="AQ51" s="350" t="str">
        <f t="shared" si="267"/>
        <v>YES</v>
      </c>
      <c r="AR51" s="351">
        <f t="shared" si="268"/>
        <v>0.61380673839952016</v>
      </c>
      <c r="AS51" s="343" t="str">
        <f t="shared" ref="AS51:AS53" si="271">IF(G51="INCOMER",(IF(AR51&lt;=2,"YES","NO")),IF(G51="POWER",(IF(AR51&lt;=2.5,"YES","NO")),IF(G51="MOTOR",(IF(AR51&lt;=3,"YES","NO")))))</f>
        <v>YES</v>
      </c>
      <c r="AT51" s="351" t="str">
        <f>IF(G51="MOTOR",(SQRT(3)*AH51*O51*((AA51*P51)+(AB51*SIN(ACOS(P51))))*100/(AP51*K51*1000)),"NA")</f>
        <v>NA</v>
      </c>
      <c r="AU51" s="343" t="str">
        <f>IF(G51="MOTOR",IF(AT51&lt;=15,"YES","NO"),"NA")</f>
        <v>NA</v>
      </c>
      <c r="AV51" s="351" t="str">
        <f>IF(U51="1C",CONCATENATE(AP51,"R x ",Y51,"kV x ",U51," x ",V51," Sqmm/Phase"),CONCATENATE(AP51,"R x ",0.6,"/1kV x ",U51," x ",V51," Sqmm"))</f>
        <v>1R x 0.6/1kV x 4C x 16 Sqmm</v>
      </c>
      <c r="AW51" s="351" t="str">
        <f t="shared" si="269"/>
        <v>1R x 0.6/1kV x 4C x 16 Sqmm</v>
      </c>
      <c r="AX51" s="343">
        <f>(IF(K51=400,(IF(U51="1C",(4*AH51*AP51),(AH51*AP51))),IF(K51=230,(AH51*AP51))))</f>
        <v>75</v>
      </c>
      <c r="AY51" s="343"/>
      <c r="AZ51" s="343">
        <f>IF(U51="1C",(3*AP51*2),(AP51*2))</f>
        <v>2</v>
      </c>
      <c r="BA51" s="356" t="str">
        <f t="shared" si="270"/>
        <v/>
      </c>
      <c r="BB51" s="336">
        <f>VLOOKUP(W51,'Catalogue Aluminium'!$B$9:$H$93,7,FALSE)</f>
        <v>21</v>
      </c>
      <c r="BC51" s="336">
        <f>AP51*BB51</f>
        <v>21</v>
      </c>
      <c r="BE51" s="336"/>
      <c r="BF51" s="336"/>
      <c r="BG51" s="336"/>
      <c r="BH51" s="336"/>
      <c r="BI51" s="336"/>
      <c r="BJ51" s="336"/>
      <c r="BK51" s="336"/>
      <c r="BL51" s="336"/>
      <c r="BM51" s="336"/>
      <c r="BN51" s="336"/>
      <c r="BO51" s="336"/>
      <c r="BP51" s="336"/>
      <c r="BQ51" s="336"/>
      <c r="BR51" s="336"/>
      <c r="BS51" s="336"/>
      <c r="BT51" s="336"/>
      <c r="BU51" s="336"/>
      <c r="BV51" s="336"/>
      <c r="BW51" s="336"/>
      <c r="BX51" s="336"/>
      <c r="BY51" s="336"/>
      <c r="BZ51" s="336"/>
      <c r="CA51" s="336"/>
      <c r="CB51" s="336"/>
      <c r="CC51" s="336"/>
      <c r="CD51" s="336"/>
      <c r="CE51" s="336"/>
      <c r="CF51" s="336"/>
      <c r="CG51" s="336"/>
      <c r="CH51" s="336"/>
      <c r="CI51" s="336"/>
      <c r="CJ51" s="336"/>
      <c r="CK51" s="336"/>
      <c r="CL51" s="336"/>
      <c r="CM51" s="336"/>
      <c r="CN51" s="336"/>
      <c r="CO51" s="336"/>
      <c r="CP51" s="336"/>
      <c r="CQ51" s="336"/>
      <c r="CR51" s="336"/>
      <c r="CS51" s="336"/>
      <c r="CT51" s="336"/>
      <c r="CU51" s="336"/>
      <c r="CV51" s="336"/>
      <c r="CW51" s="336"/>
      <c r="CX51" s="336"/>
      <c r="CY51" s="336"/>
      <c r="CZ51" s="336"/>
      <c r="DA51" s="336"/>
      <c r="DB51" s="336"/>
      <c r="DC51" s="336"/>
      <c r="DD51" s="336"/>
      <c r="DE51" s="336"/>
      <c r="DF51" s="336"/>
      <c r="DG51" s="336"/>
      <c r="DH51" s="336"/>
      <c r="DI51" s="336"/>
      <c r="DJ51" s="336"/>
      <c r="DK51" s="336"/>
      <c r="DL51" s="336"/>
      <c r="DM51" s="336"/>
      <c r="DN51" s="336"/>
      <c r="DO51" s="336"/>
      <c r="DP51" s="336"/>
      <c r="DQ51" s="336"/>
      <c r="DR51" s="336"/>
      <c r="DS51" s="336"/>
      <c r="DT51" s="336"/>
      <c r="DU51" s="336"/>
      <c r="DW51" s="336">
        <f t="shared" si="93"/>
        <v>0</v>
      </c>
      <c r="DX51" s="336">
        <f t="shared" si="14"/>
        <v>0</v>
      </c>
      <c r="DY51" s="336">
        <f t="shared" si="15"/>
        <v>0</v>
      </c>
      <c r="DZ51" s="336">
        <f t="shared" si="16"/>
        <v>0</v>
      </c>
      <c r="EA51" s="336">
        <f t="shared" si="17"/>
        <v>0</v>
      </c>
      <c r="EB51" s="336">
        <f t="shared" si="18"/>
        <v>0</v>
      </c>
      <c r="EC51" s="336">
        <f t="shared" si="19"/>
        <v>0</v>
      </c>
      <c r="ED51" s="336">
        <f t="shared" si="20"/>
        <v>0</v>
      </c>
      <c r="EE51" s="336">
        <f t="shared" si="21"/>
        <v>0</v>
      </c>
      <c r="EF51" s="336">
        <f t="shared" si="22"/>
        <v>0</v>
      </c>
      <c r="EG51" s="336">
        <f t="shared" si="23"/>
        <v>0</v>
      </c>
      <c r="EH51" s="336">
        <f t="shared" si="24"/>
        <v>0</v>
      </c>
      <c r="EI51" s="336">
        <f t="shared" si="25"/>
        <v>0</v>
      </c>
      <c r="EJ51" s="336">
        <f t="shared" si="26"/>
        <v>0</v>
      </c>
      <c r="EK51" s="336">
        <f t="shared" si="27"/>
        <v>0</v>
      </c>
      <c r="EL51" s="336">
        <f t="shared" si="28"/>
        <v>0</v>
      </c>
      <c r="EM51" s="336">
        <f t="shared" si="29"/>
        <v>0</v>
      </c>
      <c r="EN51" s="336">
        <f t="shared" si="30"/>
        <v>0</v>
      </c>
      <c r="EO51" s="336">
        <f t="shared" si="31"/>
        <v>0</v>
      </c>
      <c r="EP51" s="336">
        <f t="shared" si="32"/>
        <v>0</v>
      </c>
      <c r="EQ51" s="336">
        <f t="shared" si="33"/>
        <v>0</v>
      </c>
      <c r="ER51" s="336">
        <f t="shared" si="34"/>
        <v>0</v>
      </c>
      <c r="ES51" s="336">
        <f t="shared" si="35"/>
        <v>0</v>
      </c>
      <c r="ET51" s="336">
        <f t="shared" si="35"/>
        <v>0</v>
      </c>
      <c r="EU51" s="336">
        <f t="shared" si="36"/>
        <v>0</v>
      </c>
      <c r="EV51" s="336">
        <f t="shared" si="37"/>
        <v>0</v>
      </c>
      <c r="EW51" s="336">
        <f t="shared" si="38"/>
        <v>0</v>
      </c>
      <c r="EX51" s="336">
        <f t="shared" si="39"/>
        <v>0</v>
      </c>
      <c r="EY51" s="336">
        <f t="shared" si="40"/>
        <v>0</v>
      </c>
      <c r="EZ51" s="336">
        <f t="shared" si="41"/>
        <v>0</v>
      </c>
      <c r="FA51" s="336">
        <f t="shared" si="42"/>
        <v>0</v>
      </c>
      <c r="FB51" s="336">
        <f t="shared" si="43"/>
        <v>0</v>
      </c>
      <c r="FC51" s="336">
        <f t="shared" si="44"/>
        <v>0</v>
      </c>
      <c r="FD51" s="336">
        <f t="shared" si="45"/>
        <v>0</v>
      </c>
      <c r="FE51" s="336">
        <f t="shared" si="46"/>
        <v>0</v>
      </c>
      <c r="FF51" s="336">
        <f t="shared" si="47"/>
        <v>0</v>
      </c>
      <c r="FG51" s="336">
        <f t="shared" si="48"/>
        <v>0</v>
      </c>
      <c r="FH51" s="336">
        <f t="shared" si="49"/>
        <v>0</v>
      </c>
      <c r="FI51" s="336">
        <f t="shared" si="50"/>
        <v>0</v>
      </c>
      <c r="FJ51" s="336">
        <f t="shared" si="51"/>
        <v>0</v>
      </c>
      <c r="FK51" s="336">
        <f t="shared" si="52"/>
        <v>0</v>
      </c>
      <c r="FL51" s="336">
        <f t="shared" si="53"/>
        <v>0</v>
      </c>
      <c r="FM51" s="336">
        <f t="shared" si="54"/>
        <v>0</v>
      </c>
      <c r="FN51" s="336">
        <f t="shared" si="55"/>
        <v>0</v>
      </c>
      <c r="FO51" s="336">
        <f t="shared" si="56"/>
        <v>0</v>
      </c>
      <c r="FP51" s="336">
        <f t="shared" si="57"/>
        <v>0</v>
      </c>
      <c r="FQ51" s="336">
        <f t="shared" si="58"/>
        <v>0</v>
      </c>
      <c r="FR51" s="336">
        <f t="shared" si="59"/>
        <v>0</v>
      </c>
      <c r="FS51" s="336">
        <f t="shared" si="60"/>
        <v>0</v>
      </c>
      <c r="FT51" s="336">
        <f t="shared" si="61"/>
        <v>0</v>
      </c>
      <c r="FU51" s="336">
        <f t="shared" si="62"/>
        <v>0</v>
      </c>
      <c r="FV51" s="336">
        <f t="shared" si="63"/>
        <v>0</v>
      </c>
      <c r="FW51" s="336">
        <f t="shared" si="64"/>
        <v>0</v>
      </c>
      <c r="FX51" s="336">
        <f t="shared" si="65"/>
        <v>0</v>
      </c>
      <c r="FY51" s="336">
        <f t="shared" si="66"/>
        <v>0</v>
      </c>
      <c r="FZ51" s="336">
        <f t="shared" si="67"/>
        <v>0</v>
      </c>
      <c r="GA51" s="336">
        <f t="shared" si="68"/>
        <v>0</v>
      </c>
      <c r="GB51" s="336">
        <f t="shared" si="69"/>
        <v>0</v>
      </c>
      <c r="GC51" s="336">
        <f t="shared" si="70"/>
        <v>0</v>
      </c>
      <c r="GD51" s="336">
        <f t="shared" si="71"/>
        <v>0</v>
      </c>
      <c r="GE51" s="336">
        <f t="shared" si="72"/>
        <v>0</v>
      </c>
      <c r="GF51" s="336">
        <f t="shared" si="73"/>
        <v>0</v>
      </c>
      <c r="GG51" s="336">
        <f t="shared" si="74"/>
        <v>0</v>
      </c>
      <c r="GH51" s="336">
        <f t="shared" si="75"/>
        <v>0</v>
      </c>
      <c r="GI51" s="336">
        <f t="shared" si="76"/>
        <v>0</v>
      </c>
      <c r="GJ51" s="336">
        <f t="shared" si="77"/>
        <v>0</v>
      </c>
      <c r="GK51" s="336">
        <f t="shared" si="78"/>
        <v>0</v>
      </c>
      <c r="GL51" s="336">
        <f t="shared" si="79"/>
        <v>0</v>
      </c>
      <c r="GM51" s="336">
        <f t="shared" si="80"/>
        <v>0</v>
      </c>
    </row>
    <row r="52" spans="1:195" ht="31.5" customHeight="1">
      <c r="A52" s="337">
        <f t="shared" ref="A52:A54" si="272">A51+1</f>
        <v>35</v>
      </c>
      <c r="B52" s="337" t="s">
        <v>1483</v>
      </c>
      <c r="C52" s="337" t="s">
        <v>1478</v>
      </c>
      <c r="D52" s="372" t="s">
        <v>1484</v>
      </c>
      <c r="E52" s="500" t="s">
        <v>1485</v>
      </c>
      <c r="F52" s="500"/>
      <c r="G52" s="337" t="s">
        <v>329</v>
      </c>
      <c r="H52" s="350">
        <v>5</v>
      </c>
      <c r="I52" s="337" t="s">
        <v>330</v>
      </c>
      <c r="J52" s="337" t="s">
        <v>331</v>
      </c>
      <c r="K52" s="349">
        <v>400</v>
      </c>
      <c r="L52" s="343">
        <v>0.84999999999999987</v>
      </c>
      <c r="M52" s="350">
        <v>0.95099999999999985</v>
      </c>
      <c r="N52" s="342">
        <f t="shared" si="254"/>
        <v>8.9281747625212677</v>
      </c>
      <c r="O52" s="342">
        <f>IF(G52="MOTOR",(6*N52),IF(G52="VFD",(1*N52),0))</f>
        <v>0</v>
      </c>
      <c r="P52" s="343" t="str">
        <f>IF(G52="MOTOR",0.2,"0.00")</f>
        <v>0.00</v>
      </c>
      <c r="Q52" s="350">
        <v>65</v>
      </c>
      <c r="R52" s="350">
        <v>0</v>
      </c>
      <c r="S52" s="350">
        <f>(Q52*1000*SQRT(R52)/143)</f>
        <v>0</v>
      </c>
      <c r="T52" s="343" t="s">
        <v>131</v>
      </c>
      <c r="U52" s="350" t="s">
        <v>522</v>
      </c>
      <c r="V52" s="343">
        <v>16</v>
      </c>
      <c r="W52" s="343" t="str">
        <f>CONCATENATE(U52," X ",V52)</f>
        <v>4C X 16</v>
      </c>
      <c r="X52" s="343" t="str">
        <f>(IF(J52="1Ph",W52,IF(J52="3Ph",(IF(G52="MOTOR",(CONCATENATE(W52,"+PE")),W52)))))</f>
        <v>4C X 16</v>
      </c>
      <c r="Y52" s="343" t="s">
        <v>358</v>
      </c>
      <c r="Z52" s="344">
        <f>IF(T52="AIR",VLOOKUP(W52,'Catalogue Aluminium'!$B$9:$G$93,2,FALSE),IF(T52="GROUND",VLOOKUP(W52,'Catalogue Aluminium'!$B$9:$G$93,3,FALSE),IF(T52="DUCT",VLOOKUP(W52,'Catalogue Aluminium'!$B$9:$G$93,4,FALSE),IF(T52="TRENCH",VLOOKUP(W52,'Catalogue Aluminium'!$B$9:$G$93,2,FALSE)))))</f>
        <v>70</v>
      </c>
      <c r="AA52" s="345">
        <f>VLOOKUP(W52,'Catalogue Aluminium'!$B$9:$G$93,5,FALSE)</f>
        <v>2.44</v>
      </c>
      <c r="AB52" s="345">
        <f>VLOOKUP(W52,'Catalogue Aluminium'!$B$9:$G$93,6,FALSE)</f>
        <v>8.1500000000000003E-2</v>
      </c>
      <c r="AC52" s="337">
        <f>4</f>
        <v>4</v>
      </c>
      <c r="AD52" s="346">
        <f>5+30+28+16</f>
        <v>79</v>
      </c>
      <c r="AE52" s="346">
        <f t="shared" si="260"/>
        <v>6</v>
      </c>
      <c r="AF52" s="346">
        <f t="shared" si="261"/>
        <v>10</v>
      </c>
      <c r="AG52" s="346">
        <f>ROUNDUP((SUM(AC52:AF52)*0.1),0)</f>
        <v>10</v>
      </c>
      <c r="AH52" s="802">
        <f t="shared" si="263"/>
        <v>109</v>
      </c>
      <c r="AI52" s="344">
        <f>IF(T52="AIR",'Catalogue Aluminium'!$K$9,IF(T52="TRENCH",'Catalogue Aluminium'!$K$12,"NA"))</f>
        <v>0.89</v>
      </c>
      <c r="AJ52" s="342">
        <f>IF(T52="Air",(IF(U52="1C",'Catalogue Aluminium'!$L$9,'Catalogue Aluminium'!$M$9)),IF(T52="DUCT",(IF($U52="1C",'Catalogue Aluminium'!$L$10,'Catalogue Aluminium'!$M$10)),IF(T52="GROUND",(IF($U52="1C",'Catalogue Aluminium'!$L$11,'Catalogue Aluminium'!$M$11)),IF(T52="TRENCH",(IF($U52="1C",'Catalogue Aluminium'!$L$12,'Catalogue Aluminium'!$M$12))))))</f>
        <v>0.66</v>
      </c>
      <c r="AK52" s="344" t="str">
        <f>IF(T52="Air",'Catalogue Aluminium'!$N$9,IF(T52="GROUND",'Catalogue Aluminium'!$N$10,IF(T52="DUCT",'Catalogue Aluminium'!$N$11,IF(T52="TRENCH",'Catalogue Aluminium'!$N$12,"NA"))))</f>
        <v>NA</v>
      </c>
      <c r="AL52" s="344" t="str">
        <f>IF(T52="Air",(IF(U52="1C",'Catalogue Aluminium'!$O$9,'Catalogue Aluminium'!$P$9)),IF(T52="DUCT",(IF($U52="1C",'Catalogue Aluminium'!$O$10,'Catalogue Aluminium'!$P$10)),IF(T52="GROUND",(IF($U52="1C",'Catalogue Aluminium'!$O$11,'Catalogue Aluminium'!$P$11)),IF(T52="TRENCH",(IF($U52="1C",'Catalogue Aluminium'!$O$12,'Catalogue Aluminium'!$P$12))))))</f>
        <v>NA</v>
      </c>
      <c r="AM52" s="344" t="str">
        <f>IF(T52="AIR","NA",IF(T52="TRENCH","NA",IF(T52="DUCT",IF(U52="1C",VLOOKUP(V52,'Catalogue Aluminium'!$Q$9:$S$28,2,FALSE),VLOOKUP(V52,'Catalogue Aluminium'!$Q$9:$S$28,3)),IF(T52="GROUND",IF(U52="1C",VLOOKUP(V52,'Catalogue Aluminium'!$Q$9:$S$28,2,FALSE),VLOOKUP(V52,'Catalogue Aluminium'!$Q$9:$S$28,3))))))</f>
        <v>NA</v>
      </c>
      <c r="AN52" s="351">
        <f>IF(T52="AIR",AI52*AJ52,IF(T52="TRENCH",AI52*AJ52,IF(T52="DUCT",AJ52*AK52*AL52*AM52,IF(T52="GROUND",AJ52*AK52*AL52*AM52))))</f>
        <v>0.58740000000000003</v>
      </c>
      <c r="AO52" s="350">
        <f>Z52*AN52</f>
        <v>41.118000000000002</v>
      </c>
      <c r="AP52" s="349">
        <f>CEILING(((N52)/AO52),1)</f>
        <v>1</v>
      </c>
      <c r="AQ52" s="350" t="str">
        <f>IF(AO52*AP52&gt;=N52,"YES","NO")</f>
        <v>YES</v>
      </c>
      <c r="AR52" s="351">
        <f>SQRT(3)*AH52*N52*((AA52*L52)+(AB52*SIN(ACOS(L52))))*100/(AP52*K52*1000)</f>
        <v>0.89206579314063583</v>
      </c>
      <c r="AS52" s="343" t="str">
        <f t="shared" si="271"/>
        <v>YES</v>
      </c>
      <c r="AT52" s="351" t="str">
        <f>IF(G52="MOTOR",(SQRT(3)*AH52*O52*((AA52*P52)+(AB52*SIN(ACOS(P52))))*100/(AP52*K52*1000)),"NA")</f>
        <v>NA</v>
      </c>
      <c r="AU52" s="343" t="str">
        <f>IF(G52="MOTOR",IF(AT52&lt;=15,"YES","NO"),"NA")</f>
        <v>NA</v>
      </c>
      <c r="AV52" s="351" t="str">
        <f>IF(U52="1C",CONCATENATE(AP52,"R x ",Y52,"kV x ",U52," x ",V52," Sqmm/Phase"),CONCATENATE(AP52,"R x ",0.6,"/1kV x ",U52," x ",V52," Sqmm"))</f>
        <v>1R x 0.6/1kV x 4C x 16 Sqmm</v>
      </c>
      <c r="AW52" s="351" t="str">
        <f t="shared" si="269"/>
        <v>1R x 0.6/1kV x 4C x 16 Sqmm</v>
      </c>
      <c r="AX52" s="343">
        <f>(IF(K52=400,(IF(U52="1C",(4*AH52*AP52),(AH52*AP52))),IF(K52=230,(AH52*AP52))))</f>
        <v>109</v>
      </c>
      <c r="AY52" s="343"/>
      <c r="AZ52" s="343">
        <f>IF(U52="1C",(3*AP52*2),(AP52*2))</f>
        <v>2</v>
      </c>
      <c r="BA52" s="356" t="str">
        <f t="shared" si="270"/>
        <v/>
      </c>
      <c r="BB52" s="336">
        <f>VLOOKUP(W52,'Catalogue Aluminium'!$B$9:$H$93,7,FALSE)</f>
        <v>21</v>
      </c>
      <c r="BC52" s="336">
        <f>AP52*BB52</f>
        <v>21</v>
      </c>
      <c r="BE52" s="336"/>
      <c r="BF52" s="336"/>
      <c r="BG52" s="336"/>
      <c r="BH52" s="336"/>
      <c r="BI52" s="336"/>
      <c r="BJ52" s="336"/>
      <c r="BK52" s="336"/>
      <c r="BL52" s="336"/>
      <c r="BM52" s="336"/>
      <c r="BN52" s="336"/>
      <c r="BO52" s="336"/>
      <c r="BP52" s="336"/>
      <c r="BQ52" s="336"/>
      <c r="BR52" s="336"/>
      <c r="BS52" s="336"/>
      <c r="BT52" s="336"/>
      <c r="BU52" s="336"/>
      <c r="BV52" s="336"/>
      <c r="BW52" s="336"/>
      <c r="BX52" s="336"/>
      <c r="BY52" s="336"/>
      <c r="BZ52" s="336"/>
      <c r="CA52" s="336"/>
      <c r="CB52" s="336"/>
      <c r="CC52" s="336"/>
      <c r="CD52" s="336"/>
      <c r="CE52" s="336"/>
      <c r="CF52" s="336"/>
      <c r="CG52" s="336"/>
      <c r="CH52" s="336"/>
      <c r="CI52" s="336"/>
      <c r="CJ52" s="336"/>
      <c r="CK52" s="336"/>
      <c r="CL52" s="336"/>
      <c r="CM52" s="336"/>
      <c r="CN52" s="336"/>
      <c r="CO52" s="336"/>
      <c r="CP52" s="336"/>
      <c r="CQ52" s="336"/>
      <c r="CR52" s="336"/>
      <c r="CS52" s="336"/>
      <c r="CT52" s="336"/>
      <c r="CU52" s="336"/>
      <c r="CV52" s="336"/>
      <c r="CW52" s="336"/>
      <c r="CX52" s="336"/>
      <c r="CY52" s="336"/>
      <c r="CZ52" s="336"/>
      <c r="DA52" s="336"/>
      <c r="DB52" s="336"/>
      <c r="DC52" s="336"/>
      <c r="DD52" s="336"/>
      <c r="DE52" s="336"/>
      <c r="DF52" s="336"/>
      <c r="DG52" s="336"/>
      <c r="DH52" s="336"/>
      <c r="DI52" s="336"/>
      <c r="DJ52" s="336"/>
      <c r="DK52" s="336"/>
      <c r="DL52" s="336"/>
      <c r="DM52" s="336"/>
      <c r="DN52" s="336"/>
      <c r="DO52" s="336"/>
      <c r="DP52" s="336"/>
      <c r="DQ52" s="336"/>
      <c r="DR52" s="336"/>
      <c r="DS52" s="336"/>
      <c r="DT52" s="336"/>
      <c r="DU52" s="336"/>
      <c r="DW52" s="336">
        <f t="shared" si="93"/>
        <v>0</v>
      </c>
      <c r="DX52" s="336">
        <f t="shared" si="14"/>
        <v>0</v>
      </c>
      <c r="DY52" s="336">
        <f t="shared" si="15"/>
        <v>0</v>
      </c>
      <c r="DZ52" s="336">
        <f t="shared" si="16"/>
        <v>0</v>
      </c>
      <c r="EA52" s="336">
        <f t="shared" si="17"/>
        <v>0</v>
      </c>
      <c r="EB52" s="336">
        <f t="shared" si="18"/>
        <v>0</v>
      </c>
      <c r="EC52" s="336">
        <f t="shared" si="19"/>
        <v>0</v>
      </c>
      <c r="ED52" s="336">
        <f t="shared" si="20"/>
        <v>0</v>
      </c>
      <c r="EE52" s="336">
        <f t="shared" si="21"/>
        <v>0</v>
      </c>
      <c r="EF52" s="336">
        <f t="shared" si="22"/>
        <v>0</v>
      </c>
      <c r="EG52" s="336">
        <f t="shared" si="23"/>
        <v>0</v>
      </c>
      <c r="EH52" s="336">
        <f t="shared" si="24"/>
        <v>0</v>
      </c>
      <c r="EI52" s="336">
        <f t="shared" si="25"/>
        <v>0</v>
      </c>
      <c r="EJ52" s="336">
        <f t="shared" si="26"/>
        <v>0</v>
      </c>
      <c r="EK52" s="336">
        <f t="shared" si="27"/>
        <v>0</v>
      </c>
      <c r="EL52" s="336">
        <f t="shared" si="28"/>
        <v>0</v>
      </c>
      <c r="EM52" s="336">
        <f t="shared" si="29"/>
        <v>0</v>
      </c>
      <c r="EN52" s="336">
        <f t="shared" si="30"/>
        <v>0</v>
      </c>
      <c r="EO52" s="336">
        <f t="shared" si="31"/>
        <v>0</v>
      </c>
      <c r="EP52" s="336">
        <f t="shared" si="32"/>
        <v>0</v>
      </c>
      <c r="EQ52" s="336">
        <f t="shared" si="33"/>
        <v>0</v>
      </c>
      <c r="ER52" s="336">
        <f t="shared" si="34"/>
        <v>0</v>
      </c>
      <c r="ES52" s="336">
        <f t="shared" si="35"/>
        <v>0</v>
      </c>
      <c r="ET52" s="336">
        <f t="shared" si="35"/>
        <v>0</v>
      </c>
      <c r="EU52" s="336">
        <f t="shared" si="36"/>
        <v>0</v>
      </c>
      <c r="EV52" s="336">
        <f t="shared" si="37"/>
        <v>0</v>
      </c>
      <c r="EW52" s="336">
        <f t="shared" si="38"/>
        <v>0</v>
      </c>
      <c r="EX52" s="336">
        <f t="shared" si="39"/>
        <v>0</v>
      </c>
      <c r="EY52" s="336">
        <f t="shared" si="40"/>
        <v>0</v>
      </c>
      <c r="EZ52" s="336">
        <f t="shared" si="41"/>
        <v>0</v>
      </c>
      <c r="FA52" s="336">
        <f t="shared" si="42"/>
        <v>0</v>
      </c>
      <c r="FB52" s="336">
        <f t="shared" si="43"/>
        <v>0</v>
      </c>
      <c r="FC52" s="336">
        <f t="shared" si="44"/>
        <v>0</v>
      </c>
      <c r="FD52" s="336">
        <f t="shared" si="45"/>
        <v>0</v>
      </c>
      <c r="FE52" s="336">
        <f t="shared" si="46"/>
        <v>0</v>
      </c>
      <c r="FF52" s="336">
        <f t="shared" si="47"/>
        <v>0</v>
      </c>
      <c r="FG52" s="336">
        <f t="shared" si="48"/>
        <v>0</v>
      </c>
      <c r="FH52" s="336">
        <f t="shared" si="49"/>
        <v>0</v>
      </c>
      <c r="FI52" s="336">
        <f t="shared" si="50"/>
        <v>0</v>
      </c>
      <c r="FJ52" s="336">
        <f t="shared" si="51"/>
        <v>0</v>
      </c>
      <c r="FK52" s="336">
        <f t="shared" si="52"/>
        <v>0</v>
      </c>
      <c r="FL52" s="336">
        <f t="shared" si="53"/>
        <v>0</v>
      </c>
      <c r="FM52" s="336">
        <f t="shared" si="54"/>
        <v>0</v>
      </c>
      <c r="FN52" s="336">
        <f t="shared" si="55"/>
        <v>0</v>
      </c>
      <c r="FO52" s="336">
        <f t="shared" si="56"/>
        <v>0</v>
      </c>
      <c r="FP52" s="336">
        <f t="shared" si="57"/>
        <v>0</v>
      </c>
      <c r="FQ52" s="336">
        <f t="shared" si="58"/>
        <v>0</v>
      </c>
      <c r="FR52" s="336">
        <f t="shared" si="59"/>
        <v>0</v>
      </c>
      <c r="FS52" s="336">
        <f t="shared" si="60"/>
        <v>0</v>
      </c>
      <c r="FT52" s="336">
        <f t="shared" si="61"/>
        <v>0</v>
      </c>
      <c r="FU52" s="336">
        <f t="shared" si="62"/>
        <v>0</v>
      </c>
      <c r="FV52" s="336">
        <f t="shared" si="63"/>
        <v>0</v>
      </c>
      <c r="FW52" s="336">
        <f t="shared" si="64"/>
        <v>0</v>
      </c>
      <c r="FX52" s="336">
        <f t="shared" si="65"/>
        <v>0</v>
      </c>
      <c r="FY52" s="336">
        <f t="shared" si="66"/>
        <v>0</v>
      </c>
      <c r="FZ52" s="336">
        <f t="shared" si="67"/>
        <v>0</v>
      </c>
      <c r="GA52" s="336">
        <f t="shared" si="68"/>
        <v>0</v>
      </c>
      <c r="GB52" s="336">
        <f t="shared" si="69"/>
        <v>0</v>
      </c>
      <c r="GC52" s="336">
        <f t="shared" si="70"/>
        <v>0</v>
      </c>
      <c r="GD52" s="336">
        <f t="shared" si="71"/>
        <v>0</v>
      </c>
      <c r="GE52" s="336">
        <f t="shared" si="72"/>
        <v>0</v>
      </c>
      <c r="GF52" s="336">
        <f t="shared" si="73"/>
        <v>0</v>
      </c>
      <c r="GG52" s="336">
        <f t="shared" si="74"/>
        <v>0</v>
      </c>
      <c r="GH52" s="336">
        <f t="shared" si="75"/>
        <v>0</v>
      </c>
      <c r="GI52" s="336">
        <f t="shared" si="76"/>
        <v>0</v>
      </c>
      <c r="GJ52" s="336">
        <f t="shared" si="77"/>
        <v>0</v>
      </c>
      <c r="GK52" s="336">
        <f t="shared" si="78"/>
        <v>0</v>
      </c>
      <c r="GL52" s="336">
        <f t="shared" si="79"/>
        <v>0</v>
      </c>
      <c r="GM52" s="336">
        <f t="shared" si="80"/>
        <v>0</v>
      </c>
    </row>
    <row r="53" spans="1:195">
      <c r="A53" s="337">
        <f t="shared" si="272"/>
        <v>36</v>
      </c>
      <c r="B53" s="337" t="s">
        <v>1486</v>
      </c>
      <c r="C53" s="337" t="s">
        <v>1487</v>
      </c>
      <c r="D53" s="372" t="s">
        <v>1488</v>
      </c>
      <c r="E53" s="500" t="s">
        <v>1489</v>
      </c>
      <c r="F53" s="500"/>
      <c r="G53" s="337" t="s">
        <v>329</v>
      </c>
      <c r="H53" s="350">
        <v>5</v>
      </c>
      <c r="I53" s="337" t="s">
        <v>330</v>
      </c>
      <c r="J53" s="337" t="s">
        <v>331</v>
      </c>
      <c r="K53" s="349">
        <v>400</v>
      </c>
      <c r="L53" s="343">
        <v>0.84999999999999987</v>
      </c>
      <c r="M53" s="350">
        <v>0.95099999999999985</v>
      </c>
      <c r="N53" s="342">
        <f t="shared" si="254"/>
        <v>8.9281747625212677</v>
      </c>
      <c r="O53" s="342">
        <f>IF(G53="MOTOR",(6*N53),IF(G53="VFD",(1*N53),0))</f>
        <v>0</v>
      </c>
      <c r="P53" s="343" t="str">
        <f>IF(G53="MOTOR",0.2,"0.00")</f>
        <v>0.00</v>
      </c>
      <c r="Q53" s="350">
        <v>65</v>
      </c>
      <c r="R53" s="350">
        <v>0</v>
      </c>
      <c r="S53" s="350">
        <f>(Q53*1000*SQRT(R53)/143)</f>
        <v>0</v>
      </c>
      <c r="T53" s="343" t="s">
        <v>131</v>
      </c>
      <c r="U53" s="350" t="s">
        <v>522</v>
      </c>
      <c r="V53" s="343">
        <v>10</v>
      </c>
      <c r="W53" s="343" t="str">
        <f>CONCATENATE(U53," X ",V53)</f>
        <v>4C X 10</v>
      </c>
      <c r="X53" s="343" t="str">
        <f>(IF(J53="1Ph",W53,IF(J53="3Ph",(IF(G53="MOTOR",(CONCATENATE(W53,"+PE")),W53)))))</f>
        <v>4C X 10</v>
      </c>
      <c r="Y53" s="343" t="s">
        <v>358</v>
      </c>
      <c r="Z53" s="344">
        <f>IF(T53="AIR",VLOOKUP(W53,'Catalogue Aluminium'!$B$9:$G$93,2,FALSE),IF(T53="GROUND",VLOOKUP(W53,'Catalogue Aluminium'!$B$9:$G$93,3,FALSE),IF(T53="DUCT",VLOOKUP(W53,'Catalogue Aluminium'!$B$9:$G$93,4,FALSE),IF(T53="TRENCH",VLOOKUP(W53,'Catalogue Aluminium'!$B$9:$G$93,2,FALSE)))))</f>
        <v>60</v>
      </c>
      <c r="AA53" s="345">
        <f>VLOOKUP(W53,'Catalogue Aluminium'!$B$9:$G$93,5,FALSE)</f>
        <v>3.94</v>
      </c>
      <c r="AB53" s="345">
        <f>VLOOKUP(W53,'Catalogue Aluminium'!$B$9:$G$93,6,FALSE)</f>
        <v>8.5199999999999998E-2</v>
      </c>
      <c r="AC53" s="337">
        <f>4</f>
        <v>4</v>
      </c>
      <c r="AD53" s="346">
        <f>5+30+28+16</f>
        <v>79</v>
      </c>
      <c r="AE53" s="346">
        <f t="shared" si="260"/>
        <v>6</v>
      </c>
      <c r="AF53" s="346">
        <f t="shared" si="261"/>
        <v>10</v>
      </c>
      <c r="AG53" s="346">
        <f>ROUNDUP((SUM(AC53:AF53)*0.1),0)</f>
        <v>10</v>
      </c>
      <c r="AH53" s="802">
        <f t="shared" si="263"/>
        <v>109</v>
      </c>
      <c r="AI53" s="344">
        <f>IF(T53="AIR",'Catalogue Aluminium'!$K$9,IF(T53="TRENCH",'Catalogue Aluminium'!$K$12,"NA"))</f>
        <v>0.89</v>
      </c>
      <c r="AJ53" s="342">
        <f>IF(T53="Air",(IF(U53="1C",'Catalogue Aluminium'!$L$9,'Catalogue Aluminium'!$M$9)),IF(T53="DUCT",(IF($U53="1C",'Catalogue Aluminium'!$L$10,'Catalogue Aluminium'!$M$10)),IF(T53="GROUND",(IF($U53="1C",'Catalogue Aluminium'!$L$11,'Catalogue Aluminium'!$M$11)),IF(T53="TRENCH",(IF($U53="1C",'Catalogue Aluminium'!$L$12,'Catalogue Aluminium'!$M$12))))))</f>
        <v>0.66</v>
      </c>
      <c r="AK53" s="344" t="str">
        <f>IF(T53="Air",'Catalogue Aluminium'!$N$9,IF(T53="GROUND",'Catalogue Aluminium'!$N$10,IF(T53="DUCT",'Catalogue Aluminium'!$N$11,IF(T53="TRENCH",'Catalogue Aluminium'!$N$12,"NA"))))</f>
        <v>NA</v>
      </c>
      <c r="AL53" s="344" t="str">
        <f>IF(T53="Air",(IF(U53="1C",'Catalogue Aluminium'!$O$9,'Catalogue Aluminium'!$P$9)),IF(T53="DUCT",(IF($U53="1C",'Catalogue Aluminium'!$O$10,'Catalogue Aluminium'!$P$10)),IF(T53="GROUND",(IF($U53="1C",'Catalogue Aluminium'!$O$11,'Catalogue Aluminium'!$P$11)),IF(T53="TRENCH",(IF($U53="1C",'Catalogue Aluminium'!$O$12,'Catalogue Aluminium'!$P$12))))))</f>
        <v>NA</v>
      </c>
      <c r="AM53" s="344" t="str">
        <f>IF(T53="AIR","NA",IF(T53="TRENCH","NA",IF(T53="DUCT",IF(U53="1C",VLOOKUP(V53,'Catalogue Aluminium'!$Q$9:$S$28,2,FALSE),VLOOKUP(V53,'Catalogue Aluminium'!$Q$9:$S$28,3)),IF(T53="GROUND",IF(U53="1C",VLOOKUP(V53,'Catalogue Aluminium'!$Q$9:$S$28,2,FALSE),VLOOKUP(V53,'Catalogue Aluminium'!$Q$9:$S$28,3))))))</f>
        <v>NA</v>
      </c>
      <c r="AN53" s="351">
        <f>IF(T53="AIR",AI53*AJ53,IF(T53="TRENCH",AI53*AJ53,IF(T53="DUCT",AJ53*AK53*AL53*AM53,IF(T53="GROUND",AJ53*AK53*AL53*AM53))))</f>
        <v>0.58740000000000003</v>
      </c>
      <c r="AO53" s="350">
        <f>Z53*AN53</f>
        <v>35.244</v>
      </c>
      <c r="AP53" s="349">
        <f>CEILING(((N53)/AO53),1)</f>
        <v>1</v>
      </c>
      <c r="AQ53" s="350" t="str">
        <f>IF(AO53*AP53&gt;=N53,"YES","NO")</f>
        <v>YES</v>
      </c>
      <c r="AR53" s="351">
        <f>SQRT(3)*AH53*N53*((AA53*L53)+(AB53*SIN(ACOS(L53))))*100/(AP53*K53*1000)</f>
        <v>1.4301663006153107</v>
      </c>
      <c r="AS53" s="343" t="str">
        <f t="shared" si="271"/>
        <v>YES</v>
      </c>
      <c r="AT53" s="351" t="str">
        <f>IF(G53="MOTOR",(SQRT(3)*AH53*O53*((AA53*P53)+(AB53*SIN(ACOS(P53))))*100/(AP53*K53*1000)),"NA")</f>
        <v>NA</v>
      </c>
      <c r="AU53" s="343" t="str">
        <f>IF(G53="MOTOR",IF(AT53&lt;=15,"YES","NO"),"NA")</f>
        <v>NA</v>
      </c>
      <c r="AV53" s="351" t="str">
        <f>IF(U53="1C",CONCATENATE(AP53,"R x ",Y53,"kV x ",U53," x ",V53," Sqmm/Phase"),CONCATENATE(AP53,"R x ",0.6,"/1kV x ",U53," x ",V53," Sqmm"))</f>
        <v>1R x 0.6/1kV x 4C x 10 Sqmm</v>
      </c>
      <c r="AW53" s="351" t="str">
        <f t="shared" si="269"/>
        <v>1R x 0.6/1kV x 4C x 10 Sqmm</v>
      </c>
      <c r="AX53" s="343">
        <f>(IF(K53=400,(IF(U53="1C",(4*AH53*AP53),(AH53*AP53))),IF(K53=230,(AH53*AP53))))</f>
        <v>109</v>
      </c>
      <c r="AY53" s="343"/>
      <c r="AZ53" s="343">
        <f>IF(U53="1C",(3*AP53*2),(AP53*2))</f>
        <v>2</v>
      </c>
      <c r="BA53" s="356" t="str">
        <f t="shared" si="270"/>
        <v/>
      </c>
      <c r="BB53" s="336">
        <f>VLOOKUP(W53,'Catalogue Aluminium'!$B$9:$H$93,7,FALSE)</f>
        <v>20</v>
      </c>
      <c r="BC53" s="336">
        <f>AP53*BB53</f>
        <v>20</v>
      </c>
      <c r="BE53" s="336"/>
      <c r="BF53" s="336"/>
      <c r="BG53" s="336"/>
      <c r="BH53" s="336"/>
      <c r="BI53" s="336"/>
      <c r="BJ53" s="336"/>
      <c r="BK53" s="336"/>
      <c r="BL53" s="336"/>
      <c r="BM53" s="336"/>
      <c r="BN53" s="336"/>
      <c r="BO53" s="336"/>
      <c r="BP53" s="336"/>
      <c r="BQ53" s="336"/>
      <c r="BR53" s="336"/>
      <c r="BS53" s="336"/>
      <c r="BT53" s="336"/>
      <c r="BU53" s="336"/>
      <c r="BV53" s="336"/>
      <c r="BW53" s="336"/>
      <c r="BX53" s="336"/>
      <c r="BY53" s="336"/>
      <c r="BZ53" s="336"/>
      <c r="CA53" s="336"/>
      <c r="CB53" s="336"/>
      <c r="CC53" s="336"/>
      <c r="CD53" s="336"/>
      <c r="CE53" s="336"/>
      <c r="CF53" s="336"/>
      <c r="CG53" s="336"/>
      <c r="CH53" s="336"/>
      <c r="CI53" s="336"/>
      <c r="CJ53" s="336"/>
      <c r="CK53" s="336"/>
      <c r="CL53" s="336"/>
      <c r="CM53" s="336"/>
      <c r="CN53" s="336"/>
      <c r="CO53" s="336"/>
      <c r="CP53" s="336"/>
      <c r="CQ53" s="336"/>
      <c r="CR53" s="336"/>
      <c r="CS53" s="336"/>
      <c r="CT53" s="336"/>
      <c r="CU53" s="336"/>
      <c r="CV53" s="336"/>
      <c r="CW53" s="336"/>
      <c r="CX53" s="336"/>
      <c r="CY53" s="336"/>
      <c r="CZ53" s="336"/>
      <c r="DA53" s="336"/>
      <c r="DB53" s="336"/>
      <c r="DC53" s="336"/>
      <c r="DD53" s="336"/>
      <c r="DE53" s="336"/>
      <c r="DF53" s="336"/>
      <c r="DG53" s="336"/>
      <c r="DH53" s="336"/>
      <c r="DI53" s="336"/>
      <c r="DJ53" s="336"/>
      <c r="DK53" s="336"/>
      <c r="DL53" s="336"/>
      <c r="DM53" s="336"/>
      <c r="DN53" s="336"/>
      <c r="DO53" s="336"/>
      <c r="DP53" s="336"/>
      <c r="DQ53" s="336"/>
      <c r="DR53" s="336"/>
      <c r="DS53" s="336"/>
      <c r="DT53" s="336"/>
      <c r="DU53" s="336"/>
      <c r="DW53" s="336">
        <f t="shared" si="93"/>
        <v>0</v>
      </c>
      <c r="DX53" s="336">
        <f t="shared" si="14"/>
        <v>0</v>
      </c>
      <c r="DY53" s="336">
        <f t="shared" si="15"/>
        <v>0</v>
      </c>
      <c r="DZ53" s="336">
        <f t="shared" si="16"/>
        <v>0</v>
      </c>
      <c r="EA53" s="336">
        <f t="shared" si="17"/>
        <v>0</v>
      </c>
      <c r="EB53" s="336">
        <f t="shared" si="18"/>
        <v>0</v>
      </c>
      <c r="EC53" s="336">
        <f t="shared" si="19"/>
        <v>0</v>
      </c>
      <c r="ED53" s="336">
        <f t="shared" si="20"/>
        <v>0</v>
      </c>
      <c r="EE53" s="336">
        <f t="shared" si="21"/>
        <v>0</v>
      </c>
      <c r="EF53" s="336">
        <f t="shared" si="22"/>
        <v>0</v>
      </c>
      <c r="EG53" s="336">
        <f t="shared" si="23"/>
        <v>0</v>
      </c>
      <c r="EH53" s="336">
        <f t="shared" si="24"/>
        <v>0</v>
      </c>
      <c r="EI53" s="336">
        <f t="shared" si="25"/>
        <v>0</v>
      </c>
      <c r="EJ53" s="336">
        <f t="shared" si="26"/>
        <v>0</v>
      </c>
      <c r="EK53" s="336">
        <f t="shared" si="27"/>
        <v>0</v>
      </c>
      <c r="EL53" s="336">
        <f t="shared" si="28"/>
        <v>0</v>
      </c>
      <c r="EM53" s="336">
        <f t="shared" si="29"/>
        <v>0</v>
      </c>
      <c r="EN53" s="336">
        <f t="shared" si="30"/>
        <v>0</v>
      </c>
      <c r="EO53" s="336">
        <f t="shared" si="31"/>
        <v>0</v>
      </c>
      <c r="EP53" s="336">
        <f t="shared" si="32"/>
        <v>0</v>
      </c>
      <c r="EQ53" s="336">
        <f t="shared" si="33"/>
        <v>0</v>
      </c>
      <c r="ER53" s="336">
        <f t="shared" si="34"/>
        <v>0</v>
      </c>
      <c r="ES53" s="336">
        <f t="shared" si="35"/>
        <v>0</v>
      </c>
      <c r="ET53" s="336">
        <f t="shared" si="35"/>
        <v>0</v>
      </c>
      <c r="EU53" s="336">
        <f t="shared" si="36"/>
        <v>0</v>
      </c>
      <c r="EV53" s="336">
        <f t="shared" si="37"/>
        <v>0</v>
      </c>
      <c r="EW53" s="336">
        <f t="shared" si="38"/>
        <v>0</v>
      </c>
      <c r="EX53" s="336">
        <f t="shared" si="39"/>
        <v>0</v>
      </c>
      <c r="EY53" s="336">
        <f t="shared" si="40"/>
        <v>0</v>
      </c>
      <c r="EZ53" s="336">
        <f t="shared" si="41"/>
        <v>0</v>
      </c>
      <c r="FA53" s="336">
        <f t="shared" si="42"/>
        <v>0</v>
      </c>
      <c r="FB53" s="336">
        <f t="shared" si="43"/>
        <v>0</v>
      </c>
      <c r="FC53" s="336">
        <f t="shared" si="44"/>
        <v>0</v>
      </c>
      <c r="FD53" s="336">
        <f t="shared" si="45"/>
        <v>0</v>
      </c>
      <c r="FE53" s="336">
        <f t="shared" si="46"/>
        <v>0</v>
      </c>
      <c r="FF53" s="336">
        <f t="shared" si="47"/>
        <v>0</v>
      </c>
      <c r="FG53" s="336">
        <f t="shared" si="48"/>
        <v>0</v>
      </c>
      <c r="FH53" s="336">
        <f t="shared" si="49"/>
        <v>0</v>
      </c>
      <c r="FI53" s="336">
        <f t="shared" si="50"/>
        <v>0</v>
      </c>
      <c r="FJ53" s="336">
        <f t="shared" si="51"/>
        <v>0</v>
      </c>
      <c r="FK53" s="336">
        <f t="shared" si="52"/>
        <v>0</v>
      </c>
      <c r="FL53" s="336">
        <f t="shared" si="53"/>
        <v>0</v>
      </c>
      <c r="FM53" s="336">
        <f t="shared" si="54"/>
        <v>0</v>
      </c>
      <c r="FN53" s="336">
        <f t="shared" si="55"/>
        <v>0</v>
      </c>
      <c r="FO53" s="336">
        <f t="shared" si="56"/>
        <v>0</v>
      </c>
      <c r="FP53" s="336">
        <f t="shared" si="57"/>
        <v>0</v>
      </c>
      <c r="FQ53" s="336">
        <f t="shared" si="58"/>
        <v>0</v>
      </c>
      <c r="FR53" s="336">
        <f t="shared" si="59"/>
        <v>0</v>
      </c>
      <c r="FS53" s="336">
        <f t="shared" si="60"/>
        <v>0</v>
      </c>
      <c r="FT53" s="336">
        <f t="shared" si="61"/>
        <v>0</v>
      </c>
      <c r="FU53" s="336">
        <f t="shared" si="62"/>
        <v>0</v>
      </c>
      <c r="FV53" s="336">
        <f t="shared" si="63"/>
        <v>0</v>
      </c>
      <c r="FW53" s="336">
        <f t="shared" si="64"/>
        <v>0</v>
      </c>
      <c r="FX53" s="336">
        <f t="shared" si="65"/>
        <v>0</v>
      </c>
      <c r="FY53" s="336">
        <f t="shared" si="66"/>
        <v>0</v>
      </c>
      <c r="FZ53" s="336">
        <f t="shared" si="67"/>
        <v>0</v>
      </c>
      <c r="GA53" s="336">
        <f t="shared" si="68"/>
        <v>0</v>
      </c>
      <c r="GB53" s="336">
        <f t="shared" si="69"/>
        <v>0</v>
      </c>
      <c r="GC53" s="336">
        <f t="shared" si="70"/>
        <v>0</v>
      </c>
      <c r="GD53" s="336">
        <f t="shared" si="71"/>
        <v>0</v>
      </c>
      <c r="GE53" s="336">
        <f t="shared" si="72"/>
        <v>0</v>
      </c>
      <c r="GF53" s="336">
        <f t="shared" si="73"/>
        <v>0</v>
      </c>
      <c r="GG53" s="336">
        <f t="shared" si="74"/>
        <v>0</v>
      </c>
      <c r="GH53" s="336">
        <f t="shared" si="75"/>
        <v>0</v>
      </c>
      <c r="GI53" s="336">
        <f t="shared" si="76"/>
        <v>0</v>
      </c>
      <c r="GJ53" s="336">
        <f t="shared" si="77"/>
        <v>0</v>
      </c>
      <c r="GK53" s="336">
        <f t="shared" si="78"/>
        <v>0</v>
      </c>
      <c r="GL53" s="336">
        <f t="shared" si="79"/>
        <v>0</v>
      </c>
      <c r="GM53" s="336">
        <f t="shared" si="80"/>
        <v>0</v>
      </c>
    </row>
    <row r="54" spans="1:195">
      <c r="A54" s="337">
        <f t="shared" si="272"/>
        <v>37</v>
      </c>
      <c r="B54" s="337" t="s">
        <v>1448</v>
      </c>
      <c r="C54" s="337"/>
      <c r="D54" s="372" t="s">
        <v>1490</v>
      </c>
      <c r="E54" s="500" t="s">
        <v>732</v>
      </c>
      <c r="F54" s="500"/>
      <c r="G54" s="340" t="s">
        <v>337</v>
      </c>
      <c r="H54" s="350">
        <v>42.5</v>
      </c>
      <c r="I54" s="337" t="s">
        <v>330</v>
      </c>
      <c r="J54" s="337" t="s">
        <v>331</v>
      </c>
      <c r="K54" s="349">
        <v>400</v>
      </c>
      <c r="L54" s="343">
        <v>0.84999999999999987</v>
      </c>
      <c r="M54" s="350">
        <v>0.95099999999999985</v>
      </c>
      <c r="N54" s="342">
        <v>100</v>
      </c>
      <c r="O54" s="926"/>
      <c r="P54" s="927"/>
      <c r="Q54" s="927"/>
      <c r="R54" s="927"/>
      <c r="S54" s="927"/>
      <c r="T54" s="927"/>
      <c r="U54" s="927"/>
      <c r="V54" s="927"/>
      <c r="W54" s="927"/>
      <c r="X54" s="927"/>
      <c r="Y54" s="927"/>
      <c r="Z54" s="927"/>
      <c r="AA54" s="927"/>
      <c r="AB54" s="927"/>
      <c r="AC54" s="927"/>
      <c r="AD54" s="927"/>
      <c r="AE54" s="927"/>
      <c r="AF54" s="927"/>
      <c r="AG54" s="927"/>
      <c r="AH54" s="927"/>
      <c r="AI54" s="927"/>
      <c r="AJ54" s="927"/>
      <c r="AK54" s="927"/>
      <c r="AL54" s="927"/>
      <c r="AM54" s="927"/>
      <c r="AN54" s="927"/>
      <c r="AO54" s="927"/>
      <c r="AP54" s="927"/>
      <c r="AQ54" s="927"/>
      <c r="AR54" s="927"/>
      <c r="AS54" s="927"/>
      <c r="AT54" s="927"/>
      <c r="AU54" s="927"/>
      <c r="AV54" s="927"/>
      <c r="AW54" s="927"/>
      <c r="AX54" s="927"/>
      <c r="AY54" s="927"/>
      <c r="AZ54" s="927"/>
      <c r="BA54" s="927"/>
      <c r="BB54" s="927"/>
      <c r="BC54" s="1020"/>
      <c r="BE54" s="336"/>
      <c r="BF54" s="336"/>
      <c r="BG54" s="336"/>
      <c r="BH54" s="336"/>
      <c r="BI54" s="336"/>
      <c r="BJ54" s="336"/>
      <c r="BK54" s="336"/>
      <c r="BL54" s="336"/>
      <c r="BM54" s="336"/>
      <c r="BN54" s="336"/>
      <c r="BO54" s="336"/>
      <c r="BP54" s="336"/>
      <c r="BQ54" s="336"/>
      <c r="BR54" s="336"/>
      <c r="BS54" s="336"/>
      <c r="BT54" s="336"/>
      <c r="BU54" s="336"/>
      <c r="BV54" s="336"/>
      <c r="BW54" s="336"/>
      <c r="BX54" s="336"/>
      <c r="BY54" s="336"/>
      <c r="BZ54" s="336"/>
      <c r="CA54" s="336"/>
      <c r="CB54" s="336"/>
      <c r="CC54" s="336"/>
      <c r="CD54" s="336"/>
      <c r="CE54" s="336"/>
      <c r="CF54" s="336"/>
      <c r="CG54" s="336"/>
      <c r="CH54" s="336"/>
      <c r="CI54" s="336"/>
      <c r="CJ54" s="336"/>
      <c r="CK54" s="336"/>
      <c r="CL54" s="336"/>
      <c r="CM54" s="336"/>
      <c r="CN54" s="336"/>
      <c r="CO54" s="336"/>
      <c r="CP54" s="336"/>
      <c r="CQ54" s="336"/>
      <c r="CR54" s="336"/>
      <c r="CS54" s="336"/>
      <c r="CT54" s="336"/>
      <c r="CU54" s="336"/>
      <c r="CV54" s="336"/>
      <c r="CW54" s="336"/>
      <c r="CX54" s="336"/>
      <c r="CY54" s="336"/>
      <c r="CZ54" s="336"/>
      <c r="DA54" s="336"/>
      <c r="DB54" s="336"/>
      <c r="DC54" s="336"/>
      <c r="DD54" s="336"/>
      <c r="DE54" s="336"/>
      <c r="DF54" s="336"/>
      <c r="DG54" s="336"/>
      <c r="DH54" s="336"/>
      <c r="DI54" s="336"/>
      <c r="DJ54" s="336"/>
      <c r="DK54" s="336"/>
      <c r="DL54" s="336"/>
      <c r="DM54" s="336"/>
      <c r="DN54" s="336"/>
      <c r="DO54" s="336"/>
      <c r="DP54" s="336"/>
      <c r="DQ54" s="336"/>
      <c r="DR54" s="336"/>
      <c r="DS54" s="336"/>
      <c r="DT54" s="336"/>
      <c r="DU54" s="336"/>
      <c r="DW54" s="336">
        <f t="shared" si="93"/>
        <v>0</v>
      </c>
      <c r="DX54" s="336">
        <f t="shared" si="14"/>
        <v>0</v>
      </c>
      <c r="DY54" s="336">
        <f t="shared" si="15"/>
        <v>0</v>
      </c>
      <c r="DZ54" s="336">
        <f t="shared" si="16"/>
        <v>0</v>
      </c>
      <c r="EA54" s="336">
        <f t="shared" si="17"/>
        <v>0</v>
      </c>
      <c r="EB54" s="336">
        <f t="shared" si="18"/>
        <v>0</v>
      </c>
      <c r="EC54" s="336">
        <f t="shared" si="19"/>
        <v>0</v>
      </c>
      <c r="ED54" s="336">
        <f t="shared" si="20"/>
        <v>0</v>
      </c>
      <c r="EE54" s="336">
        <f t="shared" si="21"/>
        <v>0</v>
      </c>
      <c r="EF54" s="336">
        <f t="shared" si="22"/>
        <v>0</v>
      </c>
      <c r="EG54" s="336">
        <f t="shared" si="23"/>
        <v>0</v>
      </c>
      <c r="EH54" s="336">
        <f t="shared" si="24"/>
        <v>0</v>
      </c>
      <c r="EI54" s="336">
        <f t="shared" si="25"/>
        <v>0</v>
      </c>
      <c r="EJ54" s="336">
        <f t="shared" si="26"/>
        <v>0</v>
      </c>
      <c r="EK54" s="336">
        <f t="shared" si="27"/>
        <v>0</v>
      </c>
      <c r="EL54" s="336">
        <f t="shared" si="28"/>
        <v>0</v>
      </c>
      <c r="EM54" s="336">
        <f t="shared" si="29"/>
        <v>0</v>
      </c>
      <c r="EN54" s="336">
        <f t="shared" si="30"/>
        <v>0</v>
      </c>
      <c r="EO54" s="336">
        <f t="shared" si="31"/>
        <v>0</v>
      </c>
      <c r="EP54" s="336">
        <f t="shared" si="32"/>
        <v>0</v>
      </c>
      <c r="EQ54" s="336">
        <f t="shared" si="33"/>
        <v>0</v>
      </c>
      <c r="ER54" s="336">
        <f t="shared" si="34"/>
        <v>0</v>
      </c>
      <c r="ES54" s="336">
        <f t="shared" si="35"/>
        <v>0</v>
      </c>
      <c r="ET54" s="336">
        <f t="shared" si="35"/>
        <v>0</v>
      </c>
      <c r="EU54" s="336">
        <f t="shared" si="36"/>
        <v>0</v>
      </c>
      <c r="EV54" s="336">
        <f t="shared" si="37"/>
        <v>0</v>
      </c>
      <c r="EW54" s="336">
        <f t="shared" si="38"/>
        <v>0</v>
      </c>
      <c r="EX54" s="336">
        <f t="shared" si="39"/>
        <v>0</v>
      </c>
      <c r="EY54" s="336">
        <f t="shared" si="40"/>
        <v>0</v>
      </c>
      <c r="EZ54" s="336">
        <f t="shared" si="41"/>
        <v>0</v>
      </c>
      <c r="FA54" s="336">
        <f t="shared" si="42"/>
        <v>0</v>
      </c>
      <c r="FB54" s="336">
        <f t="shared" si="43"/>
        <v>0</v>
      </c>
      <c r="FC54" s="336">
        <f t="shared" si="44"/>
        <v>0</v>
      </c>
      <c r="FD54" s="336">
        <f t="shared" si="45"/>
        <v>0</v>
      </c>
      <c r="FE54" s="336">
        <f t="shared" si="46"/>
        <v>0</v>
      </c>
      <c r="FF54" s="336">
        <f t="shared" si="47"/>
        <v>0</v>
      </c>
      <c r="FG54" s="336">
        <f t="shared" si="48"/>
        <v>0</v>
      </c>
      <c r="FH54" s="336">
        <f t="shared" si="49"/>
        <v>0</v>
      </c>
      <c r="FI54" s="336">
        <f t="shared" si="50"/>
        <v>0</v>
      </c>
      <c r="FJ54" s="336">
        <f t="shared" si="51"/>
        <v>0</v>
      </c>
      <c r="FK54" s="336">
        <f t="shared" si="52"/>
        <v>0</v>
      </c>
      <c r="FL54" s="336">
        <f t="shared" si="53"/>
        <v>0</v>
      </c>
      <c r="FM54" s="336">
        <f t="shared" si="54"/>
        <v>0</v>
      </c>
      <c r="FN54" s="336">
        <f t="shared" si="55"/>
        <v>0</v>
      </c>
      <c r="FO54" s="336">
        <f t="shared" si="56"/>
        <v>0</v>
      </c>
      <c r="FP54" s="336">
        <f t="shared" si="57"/>
        <v>0</v>
      </c>
      <c r="FQ54" s="336">
        <f t="shared" si="58"/>
        <v>0</v>
      </c>
      <c r="FR54" s="336">
        <f t="shared" si="59"/>
        <v>0</v>
      </c>
      <c r="FS54" s="336">
        <f t="shared" si="60"/>
        <v>0</v>
      </c>
      <c r="FT54" s="336">
        <f t="shared" si="61"/>
        <v>0</v>
      </c>
      <c r="FU54" s="336">
        <f t="shared" si="62"/>
        <v>0</v>
      </c>
      <c r="FV54" s="336">
        <f t="shared" si="63"/>
        <v>0</v>
      </c>
      <c r="FW54" s="336">
        <f t="shared" si="64"/>
        <v>0</v>
      </c>
      <c r="FX54" s="336">
        <f t="shared" si="65"/>
        <v>0</v>
      </c>
      <c r="FY54" s="336">
        <f t="shared" si="66"/>
        <v>0</v>
      </c>
      <c r="FZ54" s="336">
        <f t="shared" si="67"/>
        <v>0</v>
      </c>
      <c r="GA54" s="336">
        <f t="shared" si="68"/>
        <v>0</v>
      </c>
      <c r="GB54" s="336">
        <f t="shared" si="69"/>
        <v>0</v>
      </c>
      <c r="GC54" s="336">
        <f t="shared" si="70"/>
        <v>0</v>
      </c>
      <c r="GD54" s="336">
        <f t="shared" si="71"/>
        <v>0</v>
      </c>
      <c r="GE54" s="336">
        <f t="shared" si="72"/>
        <v>0</v>
      </c>
      <c r="GF54" s="336">
        <f t="shared" si="73"/>
        <v>0</v>
      </c>
      <c r="GG54" s="336">
        <f t="shared" si="74"/>
        <v>0</v>
      </c>
      <c r="GH54" s="336">
        <f t="shared" si="75"/>
        <v>0</v>
      </c>
      <c r="GI54" s="336">
        <f t="shared" si="76"/>
        <v>0</v>
      </c>
      <c r="GJ54" s="336">
        <f t="shared" si="77"/>
        <v>0</v>
      </c>
      <c r="GK54" s="336">
        <f t="shared" si="78"/>
        <v>0</v>
      </c>
      <c r="GL54" s="336">
        <f t="shared" si="79"/>
        <v>0</v>
      </c>
      <c r="GM54" s="336">
        <f t="shared" si="80"/>
        <v>0</v>
      </c>
    </row>
    <row r="55" spans="1:195" s="76" customFormat="1" ht="26.25" customHeight="1">
      <c r="A55" s="531"/>
      <c r="B55" s="531"/>
      <c r="C55" s="531"/>
      <c r="D55" s="477" t="s">
        <v>1491</v>
      </c>
      <c r="E55" s="533"/>
      <c r="F55" s="533"/>
      <c r="G55" s="531"/>
      <c r="H55" s="534"/>
      <c r="I55" s="531"/>
      <c r="J55" s="531"/>
      <c r="K55" s="535"/>
      <c r="L55" s="536"/>
      <c r="M55" s="534"/>
      <c r="N55" s="537"/>
      <c r="O55" s="537"/>
      <c r="P55" s="536"/>
      <c r="Q55" s="534"/>
      <c r="R55" s="534"/>
      <c r="S55" s="534"/>
      <c r="T55" s="536"/>
      <c r="U55" s="534"/>
      <c r="V55" s="536"/>
      <c r="W55" s="536"/>
      <c r="X55" s="536"/>
      <c r="Y55" s="536"/>
      <c r="Z55" s="538"/>
      <c r="AA55" s="539"/>
      <c r="AB55" s="539"/>
      <c r="AC55" s="491"/>
      <c r="AD55" s="491"/>
      <c r="AE55" s="491"/>
      <c r="AF55" s="491"/>
      <c r="AG55" s="491"/>
      <c r="AH55" s="805"/>
      <c r="AI55" s="538"/>
      <c r="AJ55" s="537"/>
      <c r="AK55" s="538"/>
      <c r="AL55" s="538"/>
      <c r="AM55" s="538"/>
      <c r="AN55" s="541"/>
      <c r="AO55" s="534"/>
      <c r="AP55" s="535"/>
      <c r="AQ55" s="534"/>
      <c r="AR55" s="541"/>
      <c r="AS55" s="536"/>
      <c r="AT55" s="541"/>
      <c r="AU55" s="541"/>
      <c r="AV55" s="542"/>
      <c r="AW55" s="542"/>
      <c r="AX55" s="536"/>
      <c r="AY55" s="543"/>
      <c r="AZ55" s="543"/>
      <c r="BA55" s="536"/>
      <c r="BB55" s="490"/>
      <c r="BC55" s="490"/>
      <c r="BD55" s="61"/>
      <c r="BE55" s="336"/>
      <c r="BF55" s="336"/>
      <c r="BG55" s="336"/>
      <c r="BH55" s="336"/>
      <c r="BI55" s="336"/>
      <c r="BJ55" s="336"/>
      <c r="BK55" s="336"/>
      <c r="BL55" s="336"/>
      <c r="BM55" s="336"/>
      <c r="BN55" s="336"/>
      <c r="BO55" s="336"/>
      <c r="BP55" s="336"/>
      <c r="BQ55" s="336"/>
      <c r="BR55" s="336"/>
      <c r="BS55" s="336"/>
      <c r="BT55" s="336"/>
      <c r="BU55" s="336"/>
      <c r="BV55" s="336"/>
      <c r="BW55" s="336"/>
      <c r="BX55" s="336"/>
      <c r="BY55" s="336"/>
      <c r="BZ55" s="336"/>
      <c r="CA55" s="336"/>
      <c r="CB55" s="336"/>
      <c r="CC55" s="336"/>
      <c r="CD55" s="336"/>
      <c r="CE55" s="336"/>
      <c r="CF55" s="336"/>
      <c r="CG55" s="336"/>
      <c r="CH55" s="336"/>
      <c r="CI55" s="336"/>
      <c r="CJ55" s="336"/>
      <c r="CK55" s="336"/>
      <c r="CL55" s="336"/>
      <c r="CM55" s="336"/>
      <c r="CN55" s="336"/>
      <c r="CO55" s="336"/>
      <c r="CP55" s="336"/>
      <c r="CQ55" s="336"/>
      <c r="CR55" s="336"/>
      <c r="CS55" s="336"/>
      <c r="CT55" s="336"/>
      <c r="CU55" s="336"/>
      <c r="CV55" s="336"/>
      <c r="CW55" s="336"/>
      <c r="CX55" s="336"/>
      <c r="CY55" s="336"/>
      <c r="CZ55" s="336"/>
      <c r="DA55" s="336"/>
      <c r="DB55" s="336"/>
      <c r="DC55" s="336"/>
      <c r="DD55" s="336"/>
      <c r="DE55" s="336"/>
      <c r="DF55" s="336"/>
      <c r="DG55" s="336"/>
      <c r="DH55" s="336"/>
      <c r="DI55" s="336"/>
      <c r="DJ55" s="336"/>
      <c r="DK55" s="336"/>
      <c r="DL55" s="336"/>
      <c r="DM55" s="336"/>
      <c r="DN55" s="336"/>
      <c r="DO55" s="336"/>
      <c r="DP55" s="336"/>
      <c r="DQ55" s="336"/>
      <c r="DR55" s="336"/>
      <c r="DS55" s="336"/>
      <c r="DT55" s="336"/>
      <c r="DU55" s="336"/>
      <c r="DV55" s="61"/>
      <c r="DW55" s="336">
        <f t="shared" si="93"/>
        <v>0</v>
      </c>
      <c r="DX55" s="336">
        <f t="shared" si="14"/>
        <v>0</v>
      </c>
      <c r="DY55" s="336">
        <f t="shared" si="15"/>
        <v>0</v>
      </c>
      <c r="DZ55" s="336">
        <f t="shared" si="16"/>
        <v>0</v>
      </c>
      <c r="EA55" s="336">
        <f t="shared" si="17"/>
        <v>0</v>
      </c>
      <c r="EB55" s="336">
        <f t="shared" si="18"/>
        <v>0</v>
      </c>
      <c r="EC55" s="336">
        <f t="shared" si="19"/>
        <v>0</v>
      </c>
      <c r="ED55" s="336">
        <f t="shared" si="20"/>
        <v>0</v>
      </c>
      <c r="EE55" s="336">
        <f t="shared" si="21"/>
        <v>0</v>
      </c>
      <c r="EF55" s="336">
        <f t="shared" si="22"/>
        <v>0</v>
      </c>
      <c r="EG55" s="336">
        <f t="shared" si="23"/>
        <v>0</v>
      </c>
      <c r="EH55" s="336">
        <f t="shared" si="24"/>
        <v>0</v>
      </c>
      <c r="EI55" s="336">
        <f t="shared" si="25"/>
        <v>0</v>
      </c>
      <c r="EJ55" s="336">
        <f t="shared" si="26"/>
        <v>0</v>
      </c>
      <c r="EK55" s="336">
        <f t="shared" si="27"/>
        <v>0</v>
      </c>
      <c r="EL55" s="336">
        <f t="shared" si="28"/>
        <v>0</v>
      </c>
      <c r="EM55" s="336">
        <f t="shared" si="29"/>
        <v>0</v>
      </c>
      <c r="EN55" s="336">
        <f t="shared" si="30"/>
        <v>0</v>
      </c>
      <c r="EO55" s="336">
        <f t="shared" si="31"/>
        <v>0</v>
      </c>
      <c r="EP55" s="336">
        <f t="shared" si="32"/>
        <v>0</v>
      </c>
      <c r="EQ55" s="336">
        <f t="shared" si="33"/>
        <v>0</v>
      </c>
      <c r="ER55" s="336">
        <f t="shared" si="34"/>
        <v>0</v>
      </c>
      <c r="ES55" s="336">
        <f t="shared" si="35"/>
        <v>0</v>
      </c>
      <c r="ET55" s="336">
        <f t="shared" si="35"/>
        <v>0</v>
      </c>
      <c r="EU55" s="336">
        <f t="shared" si="36"/>
        <v>0</v>
      </c>
      <c r="EV55" s="336">
        <f t="shared" si="37"/>
        <v>0</v>
      </c>
      <c r="EW55" s="336">
        <f t="shared" si="38"/>
        <v>0</v>
      </c>
      <c r="EX55" s="336">
        <f t="shared" si="39"/>
        <v>0</v>
      </c>
      <c r="EY55" s="336">
        <f t="shared" si="40"/>
        <v>0</v>
      </c>
      <c r="EZ55" s="336">
        <f t="shared" si="41"/>
        <v>0</v>
      </c>
      <c r="FA55" s="336">
        <f t="shared" si="42"/>
        <v>0</v>
      </c>
      <c r="FB55" s="336">
        <f t="shared" si="43"/>
        <v>0</v>
      </c>
      <c r="FC55" s="336">
        <f t="shared" si="44"/>
        <v>0</v>
      </c>
      <c r="FD55" s="336">
        <f t="shared" si="45"/>
        <v>0</v>
      </c>
      <c r="FE55" s="336">
        <f t="shared" si="46"/>
        <v>0</v>
      </c>
      <c r="FF55" s="336">
        <f t="shared" si="47"/>
        <v>0</v>
      </c>
      <c r="FG55" s="336">
        <f t="shared" si="48"/>
        <v>0</v>
      </c>
      <c r="FH55" s="336">
        <f t="shared" si="49"/>
        <v>0</v>
      </c>
      <c r="FI55" s="336">
        <f t="shared" si="50"/>
        <v>0</v>
      </c>
      <c r="FJ55" s="336">
        <f t="shared" si="51"/>
        <v>0</v>
      </c>
      <c r="FK55" s="336">
        <f t="shared" si="52"/>
        <v>0</v>
      </c>
      <c r="FL55" s="336">
        <f t="shared" si="53"/>
        <v>0</v>
      </c>
      <c r="FM55" s="336">
        <f t="shared" si="54"/>
        <v>0</v>
      </c>
      <c r="FN55" s="336">
        <f t="shared" si="55"/>
        <v>0</v>
      </c>
      <c r="FO55" s="336">
        <f t="shared" si="56"/>
        <v>0</v>
      </c>
      <c r="FP55" s="336">
        <f t="shared" si="57"/>
        <v>0</v>
      </c>
      <c r="FQ55" s="336">
        <f t="shared" si="58"/>
        <v>0</v>
      </c>
      <c r="FR55" s="336">
        <f t="shared" si="59"/>
        <v>0</v>
      </c>
      <c r="FS55" s="336">
        <f t="shared" si="60"/>
        <v>0</v>
      </c>
      <c r="FT55" s="336">
        <f t="shared" si="61"/>
        <v>0</v>
      </c>
      <c r="FU55" s="336">
        <f t="shared" si="62"/>
        <v>0</v>
      </c>
      <c r="FV55" s="336">
        <f t="shared" si="63"/>
        <v>0</v>
      </c>
      <c r="FW55" s="336">
        <f t="shared" si="64"/>
        <v>0</v>
      </c>
      <c r="FX55" s="336">
        <f t="shared" si="65"/>
        <v>0</v>
      </c>
      <c r="FY55" s="336">
        <f t="shared" si="66"/>
        <v>0</v>
      </c>
      <c r="FZ55" s="336">
        <f t="shared" si="67"/>
        <v>0</v>
      </c>
      <c r="GA55" s="336">
        <f t="shared" si="68"/>
        <v>0</v>
      </c>
      <c r="GB55" s="336">
        <f t="shared" si="69"/>
        <v>0</v>
      </c>
      <c r="GC55" s="336">
        <f t="shared" si="70"/>
        <v>0</v>
      </c>
      <c r="GD55" s="336">
        <f t="shared" si="71"/>
        <v>0</v>
      </c>
      <c r="GE55" s="336">
        <f t="shared" si="72"/>
        <v>0</v>
      </c>
      <c r="GF55" s="336">
        <f t="shared" si="73"/>
        <v>0</v>
      </c>
      <c r="GG55" s="336">
        <f t="shared" si="74"/>
        <v>0</v>
      </c>
      <c r="GH55" s="336">
        <f t="shared" si="75"/>
        <v>0</v>
      </c>
      <c r="GI55" s="336">
        <f t="shared" si="76"/>
        <v>0</v>
      </c>
      <c r="GJ55" s="336">
        <f t="shared" si="77"/>
        <v>0</v>
      </c>
      <c r="GK55" s="336">
        <f t="shared" si="78"/>
        <v>0</v>
      </c>
      <c r="GL55" s="336">
        <f t="shared" si="79"/>
        <v>0</v>
      </c>
      <c r="GM55" s="336">
        <f t="shared" si="80"/>
        <v>0</v>
      </c>
    </row>
    <row r="56" spans="1:195">
      <c r="A56" s="337">
        <f>A54+1</f>
        <v>38</v>
      </c>
      <c r="B56" s="526" t="s">
        <v>1492</v>
      </c>
      <c r="C56" s="526" t="s">
        <v>1493</v>
      </c>
      <c r="D56" s="500" t="s">
        <v>1494</v>
      </c>
      <c r="E56" s="500" t="s">
        <v>732</v>
      </c>
      <c r="F56" s="500"/>
      <c r="G56" s="337" t="s">
        <v>329</v>
      </c>
      <c r="H56" s="350">
        <v>5</v>
      </c>
      <c r="I56" s="337" t="s">
        <v>330</v>
      </c>
      <c r="J56" s="337" t="s">
        <v>331</v>
      </c>
      <c r="K56" s="349">
        <v>400</v>
      </c>
      <c r="L56" s="343">
        <v>0.84999999999999987</v>
      </c>
      <c r="M56" s="350">
        <v>0.95099999999999985</v>
      </c>
      <c r="N56" s="342">
        <f t="shared" ref="N56:N58" si="273">IF(I56="kVA",IF(J56="3Ph",(H56*1000/(1.732*M56*K56)),(H56*1000/(M56*K56))),IF(I56="kW",IF(J56="3Ph",(H56*1000/(1.732*M56*K56*L56)),(H56*1000/(M56*K56*L56)))))</f>
        <v>8.9281747625212677</v>
      </c>
      <c r="O56" s="342">
        <f t="shared" ref="O56:O58" si="274">IF(G56="MOTOR",(6*N56),IF(G56="VFD",(1*N56),0))</f>
        <v>0</v>
      </c>
      <c r="P56" s="343" t="str">
        <f t="shared" ref="P56:P58" si="275">IF(G56="MOTOR",0.2,"0.00")</f>
        <v>0.00</v>
      </c>
      <c r="Q56" s="350">
        <v>65</v>
      </c>
      <c r="R56" s="350">
        <v>0</v>
      </c>
      <c r="S56" s="350">
        <f t="shared" ref="S56:S58" si="276">(Q56*1000*SQRT(R56)/143)</f>
        <v>0</v>
      </c>
      <c r="T56" s="343" t="s">
        <v>131</v>
      </c>
      <c r="U56" s="350" t="s">
        <v>522</v>
      </c>
      <c r="V56" s="343">
        <v>10</v>
      </c>
      <c r="W56" s="343" t="str">
        <f t="shared" ref="W56:W58" si="277">CONCATENATE(U56," X ",V56)</f>
        <v>4C X 10</v>
      </c>
      <c r="X56" s="343" t="str">
        <f t="shared" ref="X56:X58" si="278">(IF(J56="1Ph",W56,IF(J56="3Ph",(IF(G56="MOTOR",(CONCATENATE(W56,"+PE")),W56)))))</f>
        <v>4C X 10</v>
      </c>
      <c r="Y56" s="343" t="s">
        <v>358</v>
      </c>
      <c r="Z56" s="344">
        <f>IF(T56="AIR",VLOOKUP(W56,'Catalogue Aluminium'!$B$9:$G$93,2,FALSE),IF(T56="GROUND",VLOOKUP(W56,'Catalogue Aluminium'!$B$9:$G$93,3,FALSE),IF(T56="DUCT",VLOOKUP(W56,'Catalogue Aluminium'!$B$9:$G$93,4,FALSE),IF(T56="TRENCH",VLOOKUP(W56,'Catalogue Aluminium'!$B$9:$G$93,2,FALSE)))))</f>
        <v>60</v>
      </c>
      <c r="AA56" s="345">
        <f>VLOOKUP(W56,'Catalogue Aluminium'!$B$9:$G$93,5,FALSE)</f>
        <v>3.94</v>
      </c>
      <c r="AB56" s="345">
        <f>VLOOKUP(W56,'Catalogue Aluminium'!$B$9:$G$93,6,FALSE)</f>
        <v>8.5199999999999998E-2</v>
      </c>
      <c r="AC56" s="388">
        <v>11</v>
      </c>
      <c r="AD56" s="346">
        <v>0</v>
      </c>
      <c r="AE56" s="346">
        <f>3+3</f>
        <v>6</v>
      </c>
      <c r="AF56" s="346">
        <f t="shared" ref="AF56:AF58" si="279">5+5</f>
        <v>10</v>
      </c>
      <c r="AG56" s="346">
        <f t="shared" ref="AG56:AG58" si="280">ROUNDUP((SUM(AC56:AF56)*0.1),0)</f>
        <v>3</v>
      </c>
      <c r="AH56" s="347">
        <f t="shared" ref="AH56:AH58" si="281">SUM(AC56:AG56)</f>
        <v>30</v>
      </c>
      <c r="AI56" s="344">
        <f>IF(T56="AIR",'Catalogue Aluminium'!$K$9,IF(T56="TRENCH",'Catalogue Aluminium'!$K$12,"NA"))</f>
        <v>0.89</v>
      </c>
      <c r="AJ56" s="342">
        <f>IF(T56="Air",(IF(U56="1C",'Catalogue Aluminium'!$L$9,'Catalogue Aluminium'!$M$9)),IF(T56="DUCT",(IF($U56="1C",'Catalogue Aluminium'!$L$10,'Catalogue Aluminium'!$M$10)),IF(T56="GROUND",(IF($U56="1C",'Catalogue Aluminium'!$L$11,'Catalogue Aluminium'!$M$11)),IF(T56="TRENCH",(IF($U56="1C",'Catalogue Aluminium'!$L$12,'Catalogue Aluminium'!$M$12))))))</f>
        <v>0.66</v>
      </c>
      <c r="AK56" s="344" t="str">
        <f>IF(T56="Air",'Catalogue Aluminium'!$N$9,IF(T56="GROUND",'Catalogue Aluminium'!$N$10,IF(T56="DUCT",'Catalogue Aluminium'!$N$11,IF(T56="TRENCH",'Catalogue Aluminium'!$N$12,"NA"))))</f>
        <v>NA</v>
      </c>
      <c r="AL56" s="344" t="str">
        <f>IF(T56="Air",(IF(U56="1C",'Catalogue Aluminium'!$O$9,'Catalogue Aluminium'!$P$9)),IF(T56="DUCT",(IF($U56="1C",'Catalogue Aluminium'!$O$10,'Catalogue Aluminium'!$P$10)),IF(T56="GROUND",(IF($U56="1C",'Catalogue Aluminium'!$O$11,'Catalogue Aluminium'!$P$11)),IF(T56="TRENCH",(IF($U56="1C",'Catalogue Aluminium'!$O$12,'Catalogue Aluminium'!$P$12))))))</f>
        <v>NA</v>
      </c>
      <c r="AM56" s="344" t="str">
        <f>IF(T56="AIR","NA",IF(T56="TRENCH","NA",IF(T56="DUCT",IF(U56="1C",VLOOKUP(V56,'Catalogue Aluminium'!$Q$9:$S$28,2,FALSE),VLOOKUP(V56,'Catalogue Aluminium'!$Q$9:$S$28,3)),IF(T56="GROUND",IF(U56="1C",VLOOKUP(V56,'Catalogue Aluminium'!$Q$9:$S$28,2,FALSE),VLOOKUP(V56,'Catalogue Aluminium'!$Q$9:$S$28,3))))))</f>
        <v>NA</v>
      </c>
      <c r="AN56" s="351">
        <f t="shared" ref="AN56:AN58" si="282">IF(T56="AIR",AI56*AJ56,IF(T56="TRENCH",AI56*AJ56,IF(T56="DUCT",AJ56*AK56*AL56*AM56,IF(T56="GROUND",AJ56*AK56*AL56*AM56))))</f>
        <v>0.58740000000000003</v>
      </c>
      <c r="AO56" s="350">
        <f t="shared" ref="AO56:AO58" si="283">Z56*AN56</f>
        <v>35.244</v>
      </c>
      <c r="AP56" s="349">
        <f t="shared" ref="AP56:AP58" si="284">CEILING(((N56)/AO56),1)</f>
        <v>1</v>
      </c>
      <c r="AQ56" s="350" t="str">
        <f t="shared" ref="AQ56:AQ58" si="285">IF(AO56*AP56&gt;=N56,"YES","NO")</f>
        <v>YES</v>
      </c>
      <c r="AR56" s="351">
        <f t="shared" ref="AR56:AR58" si="286">SQRT(3)*AH56*N56*((AA56*L56)+(AB56*SIN(ACOS(L56))))*100/(AP56*K56*1000)</f>
        <v>0.39362375246292947</v>
      </c>
      <c r="AS56" s="343" t="str">
        <f t="shared" ref="AS56:AS58" si="287">IF(G56="INCOMER",(IF(AR56&lt;=2,"YES","NO")),IF(G56="POWER",(IF(AR56&lt;=2.5,"YES","NO")),IF(G56="MOTOR",(IF(AR56&lt;=3,"YES","NO")))))</f>
        <v>YES</v>
      </c>
      <c r="AT56" s="351" t="str">
        <f>IF(G56="MOTOR",(SQRT(3)*AH56*O56*((AA56*P56)+(AB56*SIN(ACOS(P56))))*100/(AP56*K56*1000)),"NA")</f>
        <v>NA</v>
      </c>
      <c r="AU56" s="343" t="str">
        <f>IF(G56="MOTOR",IF(AT56&lt;=15,"YES","NO"),"NA")</f>
        <v>NA</v>
      </c>
      <c r="AV56" s="351" t="str">
        <f>IF(U56="1C",CONCATENATE(AP56,"R x ",Y56,"kV x ",U56," x ",V56," Sqmm/Phase"),CONCATENATE(AP56,"R x ",0.6,"/1kV x ",U56," x ",V56," Sqmm"))</f>
        <v>1R x 0.6/1kV x 4C x 10 Sqmm</v>
      </c>
      <c r="AW56" s="351" t="str">
        <f t="shared" ref="AW56:AW58" si="288">IF(U56="1C",CONCATENATE(AP56,"R x ",Y56,"kV x ",U56," x ",V56," Sqmm/Phase"),CONCATENATE(AP56,"R x ",0.6,"/1kV x ",U56," x ",V56,(IF(G56="MOTOR","+PE",""))," Sqmm"))</f>
        <v>1R x 0.6/1kV x 4C x 10 Sqmm</v>
      </c>
      <c r="AX56" s="343"/>
      <c r="AY56" s="343"/>
      <c r="AZ56" s="343"/>
      <c r="BA56" s="356" t="str">
        <f t="shared" ref="BA56:BA58" si="289">CONCATENATE(IF(BE56=1,BE$4,""),IF(BF56=1,BF$4,""),IF(BG56=1,BG$4,""),IF(BH56=1,BH$4,""),IF(BI56=1,BI$4,""),IF(BJ56=1,BJ$4,""),IF(BK56=1,BK$4,""),IF(BL56=1,BL$4,""),IF(BM56=1,BM$4,""),IF(BN56=1,BN$4,""),IF(BO56=1,BO$4,""),IF(BP56=1,BP$4,""),IF(BQ56=1,BQ$4,""),IF(BR56=1,BR$4,""),IF(BS56=1,BS$4,""),IF(BT56=1,BT$4,""),IF(BU56=1,BU$4,""),IF(BV56=1,BV$4,""),IF(BW56=1,BW$4,""),IF(BX56=1,BX$4,""),IF(BY56=1,BY$4,""),IF(BZ56=1,BZ$4,""),IF(CA56=1,CA$4,""),IF(CB56=1,CB$4,""),IF(CC56=1,CC$4,""),IF(CD56=1,CD$4,""),IF(CE56=1,CE$4,""),IF(CF56=1,CF$4,""),IF(CG56=1,CG$4,""),IF(CH56=1,CH$4,""),IF(CI56=1,CI$4,""),IF(CJ56=1,CJ$4,""),IF(CK56=1,CK$4,""),IF(CL56=1,CL$4,""),IF(CM56=1,CM$4,""),IF(CN56=1,CN$4,""),IF(CO56=1,CO$4,""),IF(CP56=1,CP$4,""),IF(CQ56=1,CQ$4,""),IF(CR56=1,CR$4,""),IF(CS56=1,CS$4,""),IF(CT56=1,CT$4,""),IF(CU56=1,CU$4,""),IF(CV56=1,CV$4,""),IF(CW56=1,CW$4,""),IF(CX56=1,CX$4,""),IF(CY56=1,CY$4,""),IF(CZ56=1,CZ$4,""),IF(DA56=1,DA$4,""),IF(DB56=1,DB$4,""),IF(DC56=1,DC$4,""),IF(DD56=1,DD$4,""),IF(DE56=1,DE$4,""),IF(DF56=1,DF$4,""),IF(DG56=1,DG$4,""),IF(DH56=1,DH$4,""),IF(DI56=1,DI$4,""),IF(DJ56=1,DJ$4,""),IF(DK56=1,DK$4,""),IF(DL56=1,DL$4,""),IF(DM56=1,DM$4,""),IF(DN56=1,DN$4,""),IF(DO56=1,DO$4,""),IF(DP56=1,DP$4,""),IF(DQ56=1,DQ$4,""),IF(DR56=1,DR$4,""),IF(DS56=1,DS$4,""),IF(DT56=1,DT$4,""),IF(DU56=1,DU$4,""))</f>
        <v/>
      </c>
      <c r="BB56" s="336"/>
      <c r="BC56" s="336"/>
      <c r="BE56" s="336"/>
      <c r="BF56" s="336"/>
      <c r="BG56" s="336"/>
      <c r="BH56" s="336"/>
      <c r="BI56" s="336"/>
      <c r="BJ56" s="336"/>
      <c r="BK56" s="336"/>
      <c r="BL56" s="336"/>
      <c r="BM56" s="336"/>
      <c r="BN56" s="336"/>
      <c r="BO56" s="336"/>
      <c r="BP56" s="336"/>
      <c r="BQ56" s="336"/>
      <c r="BR56" s="336"/>
      <c r="BS56" s="336"/>
      <c r="BT56" s="336"/>
      <c r="BU56" s="336"/>
      <c r="BV56" s="336"/>
      <c r="BW56" s="336"/>
      <c r="BX56" s="336"/>
      <c r="BY56" s="336"/>
      <c r="BZ56" s="336"/>
      <c r="CA56" s="336"/>
      <c r="CB56" s="336"/>
      <c r="CC56" s="336"/>
      <c r="CD56" s="336"/>
      <c r="CE56" s="336"/>
      <c r="CF56" s="336"/>
      <c r="CG56" s="336"/>
      <c r="CH56" s="336"/>
      <c r="CI56" s="336"/>
      <c r="CJ56" s="336"/>
      <c r="CK56" s="336"/>
      <c r="CL56" s="336"/>
      <c r="CM56" s="336"/>
      <c r="CN56" s="336"/>
      <c r="CO56" s="336"/>
      <c r="CP56" s="336"/>
      <c r="CQ56" s="336"/>
      <c r="CR56" s="336"/>
      <c r="CS56" s="336"/>
      <c r="CT56" s="336"/>
      <c r="CU56" s="336"/>
      <c r="CV56" s="336"/>
      <c r="CW56" s="336"/>
      <c r="CX56" s="336"/>
      <c r="CY56" s="336"/>
      <c r="CZ56" s="336"/>
      <c r="DA56" s="336"/>
      <c r="DB56" s="336"/>
      <c r="DC56" s="336"/>
      <c r="DD56" s="336"/>
      <c r="DE56" s="336"/>
      <c r="DF56" s="336"/>
      <c r="DG56" s="336"/>
      <c r="DH56" s="336"/>
      <c r="DI56" s="336"/>
      <c r="DJ56" s="336"/>
      <c r="DK56" s="336"/>
      <c r="DL56" s="336"/>
      <c r="DM56" s="336"/>
      <c r="DN56" s="336"/>
      <c r="DO56" s="336"/>
      <c r="DP56" s="336"/>
      <c r="DQ56" s="336"/>
      <c r="DR56" s="336"/>
      <c r="DS56" s="336"/>
      <c r="DT56" s="336"/>
      <c r="DU56" s="336"/>
      <c r="DW56" s="336">
        <f t="shared" si="93"/>
        <v>0</v>
      </c>
      <c r="DX56" s="336">
        <f t="shared" si="14"/>
        <v>0</v>
      </c>
      <c r="DY56" s="336">
        <f t="shared" si="15"/>
        <v>0</v>
      </c>
      <c r="DZ56" s="336">
        <f t="shared" si="16"/>
        <v>0</v>
      </c>
      <c r="EA56" s="336">
        <f t="shared" si="17"/>
        <v>0</v>
      </c>
      <c r="EB56" s="336">
        <f t="shared" si="18"/>
        <v>0</v>
      </c>
      <c r="EC56" s="336">
        <f t="shared" si="19"/>
        <v>0</v>
      </c>
      <c r="ED56" s="336">
        <f t="shared" si="20"/>
        <v>0</v>
      </c>
      <c r="EE56" s="336">
        <f t="shared" si="21"/>
        <v>0</v>
      </c>
      <c r="EF56" s="336">
        <f t="shared" si="22"/>
        <v>0</v>
      </c>
      <c r="EG56" s="336">
        <f t="shared" si="23"/>
        <v>0</v>
      </c>
      <c r="EH56" s="336">
        <f t="shared" si="24"/>
        <v>0</v>
      </c>
      <c r="EI56" s="336">
        <f t="shared" si="25"/>
        <v>0</v>
      </c>
      <c r="EJ56" s="336">
        <f t="shared" si="26"/>
        <v>0</v>
      </c>
      <c r="EK56" s="336">
        <f t="shared" si="27"/>
        <v>0</v>
      </c>
      <c r="EL56" s="336">
        <f t="shared" si="28"/>
        <v>0</v>
      </c>
      <c r="EM56" s="336">
        <f t="shared" si="29"/>
        <v>0</v>
      </c>
      <c r="EN56" s="336">
        <f t="shared" si="30"/>
        <v>0</v>
      </c>
      <c r="EO56" s="336">
        <f t="shared" si="31"/>
        <v>0</v>
      </c>
      <c r="EP56" s="336">
        <f t="shared" si="32"/>
        <v>0</v>
      </c>
      <c r="EQ56" s="336">
        <f t="shared" si="33"/>
        <v>0</v>
      </c>
      <c r="ER56" s="336">
        <f t="shared" si="34"/>
        <v>0</v>
      </c>
      <c r="ES56" s="336">
        <f t="shared" si="35"/>
        <v>0</v>
      </c>
      <c r="ET56" s="336">
        <f t="shared" si="35"/>
        <v>0</v>
      </c>
      <c r="EU56" s="336">
        <f t="shared" si="36"/>
        <v>0</v>
      </c>
      <c r="EV56" s="336">
        <f t="shared" si="37"/>
        <v>0</v>
      </c>
      <c r="EW56" s="336">
        <f t="shared" si="38"/>
        <v>0</v>
      </c>
      <c r="EX56" s="336">
        <f t="shared" si="39"/>
        <v>0</v>
      </c>
      <c r="EY56" s="336">
        <f t="shared" si="40"/>
        <v>0</v>
      </c>
      <c r="EZ56" s="336">
        <f t="shared" si="41"/>
        <v>0</v>
      </c>
      <c r="FA56" s="336">
        <f t="shared" si="42"/>
        <v>0</v>
      </c>
      <c r="FB56" s="336">
        <f t="shared" si="43"/>
        <v>0</v>
      </c>
      <c r="FC56" s="336">
        <f t="shared" si="44"/>
        <v>0</v>
      </c>
      <c r="FD56" s="336">
        <f t="shared" si="45"/>
        <v>0</v>
      </c>
      <c r="FE56" s="336">
        <f t="shared" si="46"/>
        <v>0</v>
      </c>
      <c r="FF56" s="336">
        <f t="shared" si="47"/>
        <v>0</v>
      </c>
      <c r="FG56" s="336">
        <f t="shared" si="48"/>
        <v>0</v>
      </c>
      <c r="FH56" s="336">
        <f t="shared" si="49"/>
        <v>0</v>
      </c>
      <c r="FI56" s="336">
        <f t="shared" si="50"/>
        <v>0</v>
      </c>
      <c r="FJ56" s="336">
        <f t="shared" si="51"/>
        <v>0</v>
      </c>
      <c r="FK56" s="336">
        <f t="shared" si="52"/>
        <v>0</v>
      </c>
      <c r="FL56" s="336">
        <f t="shared" si="53"/>
        <v>0</v>
      </c>
      <c r="FM56" s="336">
        <f t="shared" si="54"/>
        <v>0</v>
      </c>
      <c r="FN56" s="336">
        <f t="shared" si="55"/>
        <v>0</v>
      </c>
      <c r="FO56" s="336">
        <f t="shared" si="56"/>
        <v>0</v>
      </c>
      <c r="FP56" s="336">
        <f t="shared" si="57"/>
        <v>0</v>
      </c>
      <c r="FQ56" s="336">
        <f t="shared" si="58"/>
        <v>0</v>
      </c>
      <c r="FR56" s="336">
        <f t="shared" si="59"/>
        <v>0</v>
      </c>
      <c r="FS56" s="336">
        <f t="shared" si="60"/>
        <v>0</v>
      </c>
      <c r="FT56" s="336">
        <f t="shared" si="61"/>
        <v>0</v>
      </c>
      <c r="FU56" s="336">
        <f t="shared" si="62"/>
        <v>0</v>
      </c>
      <c r="FV56" s="336">
        <f t="shared" si="63"/>
        <v>0</v>
      </c>
      <c r="FW56" s="336">
        <f t="shared" si="64"/>
        <v>0</v>
      </c>
      <c r="FX56" s="336">
        <f t="shared" si="65"/>
        <v>0</v>
      </c>
      <c r="FY56" s="336">
        <f t="shared" si="66"/>
        <v>0</v>
      </c>
      <c r="FZ56" s="336">
        <f t="shared" si="67"/>
        <v>0</v>
      </c>
      <c r="GA56" s="336">
        <f t="shared" si="68"/>
        <v>0</v>
      </c>
      <c r="GB56" s="336">
        <f t="shared" si="69"/>
        <v>0</v>
      </c>
      <c r="GC56" s="336">
        <f t="shared" si="70"/>
        <v>0</v>
      </c>
      <c r="GD56" s="336">
        <f t="shared" si="71"/>
        <v>0</v>
      </c>
      <c r="GE56" s="336">
        <f t="shared" si="72"/>
        <v>0</v>
      </c>
      <c r="GF56" s="336">
        <f t="shared" si="73"/>
        <v>0</v>
      </c>
      <c r="GG56" s="336">
        <f t="shared" si="74"/>
        <v>0</v>
      </c>
      <c r="GH56" s="336">
        <f t="shared" si="75"/>
        <v>0</v>
      </c>
      <c r="GI56" s="336">
        <f t="shared" si="76"/>
        <v>0</v>
      </c>
      <c r="GJ56" s="336">
        <f t="shared" si="77"/>
        <v>0</v>
      </c>
      <c r="GK56" s="336">
        <f t="shared" si="78"/>
        <v>0</v>
      </c>
      <c r="GL56" s="336">
        <f t="shared" si="79"/>
        <v>0</v>
      </c>
      <c r="GM56" s="336">
        <f t="shared" si="80"/>
        <v>0</v>
      </c>
    </row>
    <row r="57" spans="1:195" ht="25.5">
      <c r="A57" s="337">
        <f>A56+1</f>
        <v>39</v>
      </c>
      <c r="B57" s="453" t="s">
        <v>1495</v>
      </c>
      <c r="C57" s="453" t="s">
        <v>1493</v>
      </c>
      <c r="D57" s="500" t="s">
        <v>1496</v>
      </c>
      <c r="E57" s="500" t="s">
        <v>1497</v>
      </c>
      <c r="F57" s="500"/>
      <c r="G57" s="337" t="s">
        <v>329</v>
      </c>
      <c r="H57" s="350">
        <v>5</v>
      </c>
      <c r="I57" s="337" t="s">
        <v>330</v>
      </c>
      <c r="J57" s="337" t="s">
        <v>331</v>
      </c>
      <c r="K57" s="349">
        <v>400</v>
      </c>
      <c r="L57" s="343">
        <v>0.84999999999999987</v>
      </c>
      <c r="M57" s="350">
        <v>0.95099999999999985</v>
      </c>
      <c r="N57" s="342">
        <f t="shared" si="273"/>
        <v>8.9281747625212677</v>
      </c>
      <c r="O57" s="342">
        <f t="shared" si="274"/>
        <v>0</v>
      </c>
      <c r="P57" s="343" t="str">
        <f t="shared" si="275"/>
        <v>0.00</v>
      </c>
      <c r="Q57" s="350">
        <v>65</v>
      </c>
      <c r="R57" s="350">
        <v>0</v>
      </c>
      <c r="S57" s="350">
        <f t="shared" si="276"/>
        <v>0</v>
      </c>
      <c r="T57" s="343" t="s">
        <v>131</v>
      </c>
      <c r="U57" s="350" t="s">
        <v>522</v>
      </c>
      <c r="V57" s="343">
        <v>10</v>
      </c>
      <c r="W57" s="343" t="str">
        <f t="shared" si="277"/>
        <v>4C X 10</v>
      </c>
      <c r="X57" s="343" t="str">
        <f t="shared" si="278"/>
        <v>4C X 10</v>
      </c>
      <c r="Y57" s="343" t="s">
        <v>358</v>
      </c>
      <c r="Z57" s="344">
        <f>IF(T57="AIR",VLOOKUP(W57,'Catalogue Aluminium'!$B$9:$G$93,2,FALSE),IF(T57="GROUND",VLOOKUP(W57,'Catalogue Aluminium'!$B$9:$G$93,3,FALSE),IF(T57="DUCT",VLOOKUP(W57,'Catalogue Aluminium'!$B$9:$G$93,4,FALSE),IF(T57="TRENCH",VLOOKUP(W57,'Catalogue Aluminium'!$B$9:$G$93,2,FALSE)))))</f>
        <v>60</v>
      </c>
      <c r="AA57" s="345">
        <f>VLOOKUP(W57,'Catalogue Aluminium'!$B$9:$G$93,5,FALSE)</f>
        <v>3.94</v>
      </c>
      <c r="AB57" s="345">
        <f>VLOOKUP(W57,'Catalogue Aluminium'!$B$9:$G$93,6,FALSE)</f>
        <v>8.5199999999999998E-2</v>
      </c>
      <c r="AC57" s="337">
        <f>8</f>
        <v>8</v>
      </c>
      <c r="AD57" s="346">
        <f>5+37+6</f>
        <v>48</v>
      </c>
      <c r="AE57" s="346">
        <f t="shared" ref="AE57:AE58" si="290">3+3</f>
        <v>6</v>
      </c>
      <c r="AF57" s="346">
        <f t="shared" si="279"/>
        <v>10</v>
      </c>
      <c r="AG57" s="346">
        <f t="shared" si="280"/>
        <v>8</v>
      </c>
      <c r="AH57" s="802">
        <f t="shared" si="281"/>
        <v>80</v>
      </c>
      <c r="AI57" s="344">
        <f>IF(T57="AIR",'Catalogue Aluminium'!$K$9,IF(T57="TRENCH",'Catalogue Aluminium'!$K$12,"NA"))</f>
        <v>0.89</v>
      </c>
      <c r="AJ57" s="342">
        <f>IF(T57="Air",(IF(U57="1C",'Catalogue Aluminium'!$L$9,'Catalogue Aluminium'!$M$9)),IF(T57="DUCT",(IF($U57="1C",'Catalogue Aluminium'!$L$10,'Catalogue Aluminium'!$M$10)),IF(T57="GROUND",(IF($U57="1C",'Catalogue Aluminium'!$L$11,'Catalogue Aluminium'!$M$11)),IF(T57="TRENCH",(IF($U57="1C",'Catalogue Aluminium'!$L$12,'Catalogue Aluminium'!$M$12))))))</f>
        <v>0.66</v>
      </c>
      <c r="AK57" s="344" t="str">
        <f>IF(T57="Air",'Catalogue Aluminium'!$N$9,IF(T57="GROUND",'Catalogue Aluminium'!$N$10,IF(T57="DUCT",'Catalogue Aluminium'!$N$11,IF(T57="TRENCH",'Catalogue Aluminium'!$N$12,"NA"))))</f>
        <v>NA</v>
      </c>
      <c r="AL57" s="344" t="str">
        <f>IF(T57="Air",(IF(U57="1C",'Catalogue Aluminium'!$O$9,'Catalogue Aluminium'!$P$9)),IF(T57="DUCT",(IF($U57="1C",'Catalogue Aluminium'!$O$10,'Catalogue Aluminium'!$P$10)),IF(T57="GROUND",(IF($U57="1C",'Catalogue Aluminium'!$O$11,'Catalogue Aluminium'!$P$11)),IF(T57="TRENCH",(IF($U57="1C",'Catalogue Aluminium'!$O$12,'Catalogue Aluminium'!$P$12))))))</f>
        <v>NA</v>
      </c>
      <c r="AM57" s="344" t="str">
        <f>IF(T57="AIR","NA",IF(T57="TRENCH","NA",IF(T57="DUCT",IF(U57="1C",VLOOKUP(V57,'Catalogue Aluminium'!$Q$9:$S$28,2,FALSE),VLOOKUP(V57,'Catalogue Aluminium'!$Q$9:$S$28,3)),IF(T57="GROUND",IF(U57="1C",VLOOKUP(V57,'Catalogue Aluminium'!$Q$9:$S$28,2,FALSE),VLOOKUP(V57,'Catalogue Aluminium'!$Q$9:$S$28,3))))))</f>
        <v>NA</v>
      </c>
      <c r="AN57" s="351">
        <f t="shared" si="282"/>
        <v>0.58740000000000003</v>
      </c>
      <c r="AO57" s="350">
        <f t="shared" si="283"/>
        <v>35.244</v>
      </c>
      <c r="AP57" s="349">
        <f t="shared" si="284"/>
        <v>1</v>
      </c>
      <c r="AQ57" s="350" t="str">
        <f t="shared" si="285"/>
        <v>YES</v>
      </c>
      <c r="AR57" s="351">
        <f t="shared" si="286"/>
        <v>1.0496633399011452</v>
      </c>
      <c r="AS57" s="343" t="str">
        <f t="shared" si="287"/>
        <v>YES</v>
      </c>
      <c r="AT57" s="351" t="str">
        <f>IF(G57="MOTOR",(SQRT(3)*AH57*O57*((AA57*P57)+(AB57*SIN(ACOS(P57))))*100/(AP57*K57*1000)),"NA")</f>
        <v>NA</v>
      </c>
      <c r="AU57" s="343" t="str">
        <f>IF(G57="MOTOR",IF(AT57&lt;=15,"YES","NO"),"NA")</f>
        <v>NA</v>
      </c>
      <c r="AV57" s="351" t="str">
        <f>IF(U57="1C",CONCATENATE(AP57,"R x ",Y57,"kV x ",U57," x ",V57," Sqmm/Phase"),CONCATENATE(AP57,"R x ",0.6,"/1kV x ",U57," x ",V57," Sqmm"))</f>
        <v>1R x 0.6/1kV x 4C x 10 Sqmm</v>
      </c>
      <c r="AW57" s="351" t="str">
        <f t="shared" si="288"/>
        <v>1R x 0.6/1kV x 4C x 10 Sqmm</v>
      </c>
      <c r="AX57" s="343">
        <f>(IF(K57=400,(IF(U57="1C",(4*AH57*AP57),(AH57*AP57))),IF(K57=230,(AH57*AP57))))</f>
        <v>80</v>
      </c>
      <c r="AY57" s="343"/>
      <c r="AZ57" s="343">
        <f>IF(U57="1C",(3*AP57*2),(AP57*2))</f>
        <v>2</v>
      </c>
      <c r="BA57" s="356" t="str">
        <f t="shared" si="289"/>
        <v/>
      </c>
      <c r="BB57" s="336">
        <f>VLOOKUP(W57,'Catalogue Aluminium'!$B$9:$H$93,7,FALSE)</f>
        <v>20</v>
      </c>
      <c r="BC57" s="336">
        <f>AP57*BB57</f>
        <v>20</v>
      </c>
      <c r="BE57" s="336"/>
      <c r="BF57" s="336"/>
      <c r="BG57" s="336"/>
      <c r="BH57" s="336"/>
      <c r="BI57" s="336"/>
      <c r="BJ57" s="336"/>
      <c r="BK57" s="336"/>
      <c r="BL57" s="336"/>
      <c r="BM57" s="336"/>
      <c r="BN57" s="336"/>
      <c r="BO57" s="336"/>
      <c r="BP57" s="336"/>
      <c r="BQ57" s="336"/>
      <c r="BR57" s="336"/>
      <c r="BS57" s="336"/>
      <c r="BT57" s="336"/>
      <c r="BU57" s="336"/>
      <c r="BV57" s="336"/>
      <c r="BW57" s="336"/>
      <c r="BX57" s="336"/>
      <c r="BY57" s="336"/>
      <c r="BZ57" s="336"/>
      <c r="CA57" s="336"/>
      <c r="CB57" s="336"/>
      <c r="CC57" s="336"/>
      <c r="CD57" s="336"/>
      <c r="CE57" s="336"/>
      <c r="CF57" s="336"/>
      <c r="CG57" s="336"/>
      <c r="CH57" s="336"/>
      <c r="CI57" s="336"/>
      <c r="CJ57" s="336"/>
      <c r="CK57" s="336"/>
      <c r="CL57" s="336"/>
      <c r="CM57" s="336"/>
      <c r="CN57" s="336"/>
      <c r="CO57" s="336"/>
      <c r="CP57" s="336"/>
      <c r="CQ57" s="336"/>
      <c r="CR57" s="336"/>
      <c r="CS57" s="336"/>
      <c r="CT57" s="336"/>
      <c r="CU57" s="336"/>
      <c r="CV57" s="336"/>
      <c r="CW57" s="336"/>
      <c r="CX57" s="336"/>
      <c r="CY57" s="336"/>
      <c r="CZ57" s="336"/>
      <c r="DA57" s="336"/>
      <c r="DB57" s="336"/>
      <c r="DC57" s="336"/>
      <c r="DD57" s="336"/>
      <c r="DE57" s="336"/>
      <c r="DF57" s="336"/>
      <c r="DG57" s="336"/>
      <c r="DH57" s="336"/>
      <c r="DI57" s="336"/>
      <c r="DJ57" s="336"/>
      <c r="DK57" s="336"/>
      <c r="DL57" s="336"/>
      <c r="DM57" s="336"/>
      <c r="DN57" s="336"/>
      <c r="DO57" s="336"/>
      <c r="DP57" s="336"/>
      <c r="DQ57" s="336"/>
      <c r="DR57" s="336"/>
      <c r="DS57" s="336"/>
      <c r="DT57" s="336"/>
      <c r="DU57" s="336"/>
      <c r="DW57" s="336">
        <f t="shared" si="93"/>
        <v>0</v>
      </c>
      <c r="DX57" s="336">
        <f t="shared" si="14"/>
        <v>0</v>
      </c>
      <c r="DY57" s="336">
        <f t="shared" si="15"/>
        <v>0</v>
      </c>
      <c r="DZ57" s="336">
        <f t="shared" si="16"/>
        <v>0</v>
      </c>
      <c r="EA57" s="336">
        <f t="shared" si="17"/>
        <v>0</v>
      </c>
      <c r="EB57" s="336">
        <f t="shared" si="18"/>
        <v>0</v>
      </c>
      <c r="EC57" s="336">
        <f t="shared" si="19"/>
        <v>0</v>
      </c>
      <c r="ED57" s="336">
        <f t="shared" si="20"/>
        <v>0</v>
      </c>
      <c r="EE57" s="336">
        <f t="shared" si="21"/>
        <v>0</v>
      </c>
      <c r="EF57" s="336">
        <f t="shared" si="22"/>
        <v>0</v>
      </c>
      <c r="EG57" s="336">
        <f t="shared" si="23"/>
        <v>0</v>
      </c>
      <c r="EH57" s="336">
        <f t="shared" si="24"/>
        <v>0</v>
      </c>
      <c r="EI57" s="336">
        <f t="shared" si="25"/>
        <v>0</v>
      </c>
      <c r="EJ57" s="336">
        <f t="shared" si="26"/>
        <v>0</v>
      </c>
      <c r="EK57" s="336">
        <f t="shared" si="27"/>
        <v>0</v>
      </c>
      <c r="EL57" s="336">
        <f t="shared" si="28"/>
        <v>0</v>
      </c>
      <c r="EM57" s="336">
        <f t="shared" si="29"/>
        <v>0</v>
      </c>
      <c r="EN57" s="336">
        <f t="shared" si="30"/>
        <v>0</v>
      </c>
      <c r="EO57" s="336">
        <f t="shared" si="31"/>
        <v>0</v>
      </c>
      <c r="EP57" s="336">
        <f t="shared" si="32"/>
        <v>0</v>
      </c>
      <c r="EQ57" s="336">
        <f t="shared" si="33"/>
        <v>0</v>
      </c>
      <c r="ER57" s="336">
        <f t="shared" si="34"/>
        <v>0</v>
      </c>
      <c r="ES57" s="336">
        <f t="shared" si="35"/>
        <v>0</v>
      </c>
      <c r="ET57" s="336">
        <f t="shared" si="35"/>
        <v>0</v>
      </c>
      <c r="EU57" s="336">
        <f t="shared" si="36"/>
        <v>0</v>
      </c>
      <c r="EV57" s="336">
        <f t="shared" si="37"/>
        <v>0</v>
      </c>
      <c r="EW57" s="336">
        <f t="shared" si="38"/>
        <v>0</v>
      </c>
      <c r="EX57" s="336">
        <f t="shared" si="39"/>
        <v>0</v>
      </c>
      <c r="EY57" s="336">
        <f t="shared" si="40"/>
        <v>0</v>
      </c>
      <c r="EZ57" s="336">
        <f t="shared" si="41"/>
        <v>0</v>
      </c>
      <c r="FA57" s="336">
        <f t="shared" si="42"/>
        <v>0</v>
      </c>
      <c r="FB57" s="336">
        <f t="shared" si="43"/>
        <v>0</v>
      </c>
      <c r="FC57" s="336">
        <f t="shared" si="44"/>
        <v>0</v>
      </c>
      <c r="FD57" s="336">
        <f t="shared" si="45"/>
        <v>0</v>
      </c>
      <c r="FE57" s="336">
        <f t="shared" si="46"/>
        <v>0</v>
      </c>
      <c r="FF57" s="336">
        <f t="shared" si="47"/>
        <v>0</v>
      </c>
      <c r="FG57" s="336">
        <f t="shared" si="48"/>
        <v>0</v>
      </c>
      <c r="FH57" s="336">
        <f t="shared" si="49"/>
        <v>0</v>
      </c>
      <c r="FI57" s="336">
        <f t="shared" si="50"/>
        <v>0</v>
      </c>
      <c r="FJ57" s="336">
        <f t="shared" si="51"/>
        <v>0</v>
      </c>
      <c r="FK57" s="336">
        <f t="shared" si="52"/>
        <v>0</v>
      </c>
      <c r="FL57" s="336">
        <f t="shared" si="53"/>
        <v>0</v>
      </c>
      <c r="FM57" s="336">
        <f t="shared" si="54"/>
        <v>0</v>
      </c>
      <c r="FN57" s="336">
        <f t="shared" si="55"/>
        <v>0</v>
      </c>
      <c r="FO57" s="336">
        <f t="shared" si="56"/>
        <v>0</v>
      </c>
      <c r="FP57" s="336">
        <f t="shared" si="57"/>
        <v>0</v>
      </c>
      <c r="FQ57" s="336">
        <f t="shared" si="58"/>
        <v>0</v>
      </c>
      <c r="FR57" s="336">
        <f t="shared" si="59"/>
        <v>0</v>
      </c>
      <c r="FS57" s="336">
        <f t="shared" si="60"/>
        <v>0</v>
      </c>
      <c r="FT57" s="336">
        <f t="shared" si="61"/>
        <v>0</v>
      </c>
      <c r="FU57" s="336">
        <f t="shared" si="62"/>
        <v>0</v>
      </c>
      <c r="FV57" s="336">
        <f t="shared" si="63"/>
        <v>0</v>
      </c>
      <c r="FW57" s="336">
        <f t="shared" si="64"/>
        <v>0</v>
      </c>
      <c r="FX57" s="336">
        <f t="shared" si="65"/>
        <v>0</v>
      </c>
      <c r="FY57" s="336">
        <f t="shared" si="66"/>
        <v>0</v>
      </c>
      <c r="FZ57" s="336">
        <f t="shared" si="67"/>
        <v>0</v>
      </c>
      <c r="GA57" s="336">
        <f t="shared" si="68"/>
        <v>0</v>
      </c>
      <c r="GB57" s="336">
        <f t="shared" si="69"/>
        <v>0</v>
      </c>
      <c r="GC57" s="336">
        <f t="shared" si="70"/>
        <v>0</v>
      </c>
      <c r="GD57" s="336">
        <f t="shared" si="71"/>
        <v>0</v>
      </c>
      <c r="GE57" s="336">
        <f t="shared" si="72"/>
        <v>0</v>
      </c>
      <c r="GF57" s="336">
        <f t="shared" si="73"/>
        <v>0</v>
      </c>
      <c r="GG57" s="336">
        <f t="shared" si="74"/>
        <v>0</v>
      </c>
      <c r="GH57" s="336">
        <f t="shared" si="75"/>
        <v>0</v>
      </c>
      <c r="GI57" s="336">
        <f t="shared" si="76"/>
        <v>0</v>
      </c>
      <c r="GJ57" s="336">
        <f t="shared" si="77"/>
        <v>0</v>
      </c>
      <c r="GK57" s="336">
        <f t="shared" si="78"/>
        <v>0</v>
      </c>
      <c r="GL57" s="336">
        <f t="shared" si="79"/>
        <v>0</v>
      </c>
      <c r="GM57" s="336">
        <f t="shared" si="80"/>
        <v>0</v>
      </c>
    </row>
    <row r="58" spans="1:195" ht="25.5">
      <c r="A58" s="337">
        <f t="shared" ref="A58:A59" si="291">A57+1</f>
        <v>40</v>
      </c>
      <c r="B58" s="453" t="s">
        <v>1498</v>
      </c>
      <c r="C58" s="453" t="s">
        <v>1493</v>
      </c>
      <c r="D58" s="500" t="s">
        <v>1499</v>
      </c>
      <c r="E58" s="500" t="s">
        <v>1497</v>
      </c>
      <c r="F58" s="500"/>
      <c r="G58" s="337" t="s">
        <v>329</v>
      </c>
      <c r="H58" s="350">
        <v>5</v>
      </c>
      <c r="I58" s="337" t="s">
        <v>330</v>
      </c>
      <c r="J58" s="337" t="s">
        <v>331</v>
      </c>
      <c r="K58" s="349">
        <v>400</v>
      </c>
      <c r="L58" s="343">
        <v>0.84999999999999987</v>
      </c>
      <c r="M58" s="350">
        <v>0.95099999999999985</v>
      </c>
      <c r="N58" s="342">
        <f t="shared" si="273"/>
        <v>8.9281747625212677</v>
      </c>
      <c r="O58" s="342">
        <f t="shared" si="274"/>
        <v>0</v>
      </c>
      <c r="P58" s="343" t="str">
        <f t="shared" si="275"/>
        <v>0.00</v>
      </c>
      <c r="Q58" s="350">
        <v>65</v>
      </c>
      <c r="R58" s="350">
        <v>0</v>
      </c>
      <c r="S58" s="350">
        <f t="shared" si="276"/>
        <v>0</v>
      </c>
      <c r="T58" s="343" t="s">
        <v>131</v>
      </c>
      <c r="U58" s="350" t="s">
        <v>522</v>
      </c>
      <c r="V58" s="343">
        <v>10</v>
      </c>
      <c r="W58" s="343" t="str">
        <f t="shared" si="277"/>
        <v>4C X 10</v>
      </c>
      <c r="X58" s="343" t="str">
        <f t="shared" si="278"/>
        <v>4C X 10</v>
      </c>
      <c r="Y58" s="343" t="s">
        <v>358</v>
      </c>
      <c r="Z58" s="344">
        <f>IF(T58="AIR",VLOOKUP(W58,'Catalogue Aluminium'!$B$9:$G$93,2,FALSE),IF(T58="GROUND",VLOOKUP(W58,'Catalogue Aluminium'!$B$9:$G$93,3,FALSE),IF(T58="DUCT",VLOOKUP(W58,'Catalogue Aluminium'!$B$9:$G$93,4,FALSE),IF(T58="TRENCH",VLOOKUP(W58,'Catalogue Aluminium'!$B$9:$G$93,2,FALSE)))))</f>
        <v>60</v>
      </c>
      <c r="AA58" s="345">
        <f>VLOOKUP(W58,'Catalogue Aluminium'!$B$9:$G$93,5,FALSE)</f>
        <v>3.94</v>
      </c>
      <c r="AB58" s="345">
        <f>VLOOKUP(W58,'Catalogue Aluminium'!$B$9:$G$93,6,FALSE)</f>
        <v>8.5199999999999998E-2</v>
      </c>
      <c r="AC58" s="337">
        <f>8</f>
        <v>8</v>
      </c>
      <c r="AD58" s="346">
        <f>5+30+28+16</f>
        <v>79</v>
      </c>
      <c r="AE58" s="346">
        <f t="shared" si="290"/>
        <v>6</v>
      </c>
      <c r="AF58" s="346">
        <f t="shared" si="279"/>
        <v>10</v>
      </c>
      <c r="AG58" s="346">
        <f t="shared" si="280"/>
        <v>11</v>
      </c>
      <c r="AH58" s="802">
        <f t="shared" si="281"/>
        <v>114</v>
      </c>
      <c r="AI58" s="344">
        <f>IF(T58="AIR",'Catalogue Aluminium'!$K$9,IF(T58="TRENCH",'Catalogue Aluminium'!$K$12,"NA"))</f>
        <v>0.89</v>
      </c>
      <c r="AJ58" s="342">
        <f>IF(T58="Air",(IF(U58="1C",'Catalogue Aluminium'!$L$9,'Catalogue Aluminium'!$M$9)),IF(T58="DUCT",(IF($U58="1C",'Catalogue Aluminium'!$L$10,'Catalogue Aluminium'!$M$10)),IF(T58="GROUND",(IF($U58="1C",'Catalogue Aluminium'!$L$11,'Catalogue Aluminium'!$M$11)),IF(T58="TRENCH",(IF($U58="1C",'Catalogue Aluminium'!$L$12,'Catalogue Aluminium'!$M$12))))))</f>
        <v>0.66</v>
      </c>
      <c r="AK58" s="344" t="str">
        <f>IF(T58="Air",'Catalogue Aluminium'!$N$9,IF(T58="GROUND",'Catalogue Aluminium'!$N$10,IF(T58="DUCT",'Catalogue Aluminium'!$N$11,IF(T58="TRENCH",'Catalogue Aluminium'!$N$12,"NA"))))</f>
        <v>NA</v>
      </c>
      <c r="AL58" s="344" t="str">
        <f>IF(T58="Air",(IF(U58="1C",'Catalogue Aluminium'!$O$9,'Catalogue Aluminium'!$P$9)),IF(T58="DUCT",(IF($U58="1C",'Catalogue Aluminium'!$O$10,'Catalogue Aluminium'!$P$10)),IF(T58="GROUND",(IF($U58="1C",'Catalogue Aluminium'!$O$11,'Catalogue Aluminium'!$P$11)),IF(T58="TRENCH",(IF($U58="1C",'Catalogue Aluminium'!$O$12,'Catalogue Aluminium'!$P$12))))))</f>
        <v>NA</v>
      </c>
      <c r="AM58" s="344" t="str">
        <f>IF(T58="AIR","NA",IF(T58="TRENCH","NA",IF(T58="DUCT",IF(U58="1C",VLOOKUP(V58,'Catalogue Aluminium'!$Q$9:$S$28,2,FALSE),VLOOKUP(V58,'Catalogue Aluminium'!$Q$9:$S$28,3)),IF(T58="GROUND",IF(U58="1C",VLOOKUP(V58,'Catalogue Aluminium'!$Q$9:$S$28,2,FALSE),VLOOKUP(V58,'Catalogue Aluminium'!$Q$9:$S$28,3))))))</f>
        <v>NA</v>
      </c>
      <c r="AN58" s="351">
        <f t="shared" si="282"/>
        <v>0.58740000000000003</v>
      </c>
      <c r="AO58" s="350">
        <f t="shared" si="283"/>
        <v>35.244</v>
      </c>
      <c r="AP58" s="349">
        <f t="shared" si="284"/>
        <v>1</v>
      </c>
      <c r="AQ58" s="350" t="str">
        <f t="shared" si="285"/>
        <v>YES</v>
      </c>
      <c r="AR58" s="351">
        <f t="shared" si="286"/>
        <v>1.495770259359132</v>
      </c>
      <c r="AS58" s="343" t="str">
        <f t="shared" si="287"/>
        <v>YES</v>
      </c>
      <c r="AT58" s="351" t="str">
        <f>IF(G58="MOTOR",(SQRT(3)*AH58*O58*((AA58*P58)+(AB58*SIN(ACOS(P58))))*100/(AP58*K58*1000)),"NA")</f>
        <v>NA</v>
      </c>
      <c r="AU58" s="343" t="str">
        <f>IF(G58="MOTOR",IF(AT58&lt;=15,"YES","NO"),"NA")</f>
        <v>NA</v>
      </c>
      <c r="AV58" s="351" t="str">
        <f>IF(U58="1C",CONCATENATE(AP58,"R x ",Y58,"kV x ",U58," x ",V58," Sqmm/Phase"),CONCATENATE(AP58,"R x ",0.6,"/1kV x ",U58," x ",V58," Sqmm"))</f>
        <v>1R x 0.6/1kV x 4C x 10 Sqmm</v>
      </c>
      <c r="AW58" s="351" t="str">
        <f t="shared" si="288"/>
        <v>1R x 0.6/1kV x 4C x 10 Sqmm</v>
      </c>
      <c r="AX58" s="343">
        <f>(IF(K58=400,(IF(U58="1C",(4*AH58*AP58),(AH58*AP58))),IF(K58=230,(AH58*AP58))))</f>
        <v>114</v>
      </c>
      <c r="AY58" s="343"/>
      <c r="AZ58" s="343">
        <f>IF(U58="1C",(3*AP58*2),(AP58*2))</f>
        <v>2</v>
      </c>
      <c r="BA58" s="356" t="str">
        <f t="shared" si="289"/>
        <v/>
      </c>
      <c r="BB58" s="336">
        <f>VLOOKUP(W58,'Catalogue Aluminium'!$B$9:$H$93,7,FALSE)</f>
        <v>20</v>
      </c>
      <c r="BC58" s="336">
        <f>AP58*BB58</f>
        <v>20</v>
      </c>
      <c r="BE58" s="336"/>
      <c r="BF58" s="336"/>
      <c r="BG58" s="336"/>
      <c r="BH58" s="336"/>
      <c r="BI58" s="336"/>
      <c r="BJ58" s="336"/>
      <c r="BK58" s="336"/>
      <c r="BL58" s="336"/>
      <c r="BM58" s="336"/>
      <c r="BN58" s="336"/>
      <c r="BO58" s="336"/>
      <c r="BP58" s="336"/>
      <c r="BQ58" s="336"/>
      <c r="BR58" s="336"/>
      <c r="BS58" s="336"/>
      <c r="BT58" s="336"/>
      <c r="BU58" s="336"/>
      <c r="BV58" s="336"/>
      <c r="BW58" s="336"/>
      <c r="BX58" s="336"/>
      <c r="BY58" s="336"/>
      <c r="BZ58" s="336"/>
      <c r="CA58" s="336"/>
      <c r="CB58" s="336"/>
      <c r="CC58" s="336"/>
      <c r="CD58" s="336"/>
      <c r="CE58" s="336"/>
      <c r="CF58" s="336"/>
      <c r="CG58" s="336"/>
      <c r="CH58" s="336"/>
      <c r="CI58" s="336"/>
      <c r="CJ58" s="336"/>
      <c r="CK58" s="336"/>
      <c r="CL58" s="336"/>
      <c r="CM58" s="336"/>
      <c r="CN58" s="336"/>
      <c r="CO58" s="336"/>
      <c r="CP58" s="336"/>
      <c r="CQ58" s="336"/>
      <c r="CR58" s="336"/>
      <c r="CS58" s="336"/>
      <c r="CT58" s="336"/>
      <c r="CU58" s="336"/>
      <c r="CV58" s="336"/>
      <c r="CW58" s="336"/>
      <c r="CX58" s="336"/>
      <c r="CY58" s="336"/>
      <c r="CZ58" s="336"/>
      <c r="DA58" s="336"/>
      <c r="DB58" s="336"/>
      <c r="DC58" s="336"/>
      <c r="DD58" s="336"/>
      <c r="DE58" s="336"/>
      <c r="DF58" s="336"/>
      <c r="DG58" s="336"/>
      <c r="DH58" s="336"/>
      <c r="DI58" s="336"/>
      <c r="DJ58" s="336"/>
      <c r="DK58" s="336"/>
      <c r="DL58" s="336"/>
      <c r="DM58" s="336"/>
      <c r="DN58" s="336"/>
      <c r="DO58" s="336"/>
      <c r="DP58" s="336"/>
      <c r="DQ58" s="336"/>
      <c r="DR58" s="336"/>
      <c r="DS58" s="336"/>
      <c r="DT58" s="336"/>
      <c r="DU58" s="336"/>
      <c r="DW58" s="336">
        <f t="shared" si="93"/>
        <v>0</v>
      </c>
      <c r="DX58" s="336">
        <f t="shared" si="14"/>
        <v>0</v>
      </c>
      <c r="DY58" s="336">
        <f t="shared" si="15"/>
        <v>0</v>
      </c>
      <c r="DZ58" s="336">
        <f t="shared" si="16"/>
        <v>0</v>
      </c>
      <c r="EA58" s="336">
        <f t="shared" si="17"/>
        <v>0</v>
      </c>
      <c r="EB58" s="336">
        <f t="shared" si="18"/>
        <v>0</v>
      </c>
      <c r="EC58" s="336">
        <f t="shared" si="19"/>
        <v>0</v>
      </c>
      <c r="ED58" s="336">
        <f t="shared" si="20"/>
        <v>0</v>
      </c>
      <c r="EE58" s="336">
        <f t="shared" si="21"/>
        <v>0</v>
      </c>
      <c r="EF58" s="336">
        <f t="shared" si="22"/>
        <v>0</v>
      </c>
      <c r="EG58" s="336">
        <f t="shared" si="23"/>
        <v>0</v>
      </c>
      <c r="EH58" s="336">
        <f t="shared" si="24"/>
        <v>0</v>
      </c>
      <c r="EI58" s="336">
        <f t="shared" si="25"/>
        <v>0</v>
      </c>
      <c r="EJ58" s="336">
        <f t="shared" si="26"/>
        <v>0</v>
      </c>
      <c r="EK58" s="336">
        <f t="shared" si="27"/>
        <v>0</v>
      </c>
      <c r="EL58" s="336">
        <f t="shared" si="28"/>
        <v>0</v>
      </c>
      <c r="EM58" s="336">
        <f t="shared" si="29"/>
        <v>0</v>
      </c>
      <c r="EN58" s="336">
        <f t="shared" si="30"/>
        <v>0</v>
      </c>
      <c r="EO58" s="336">
        <f t="shared" si="31"/>
        <v>0</v>
      </c>
      <c r="EP58" s="336">
        <f t="shared" si="32"/>
        <v>0</v>
      </c>
      <c r="EQ58" s="336">
        <f t="shared" si="33"/>
        <v>0</v>
      </c>
      <c r="ER58" s="336">
        <f t="shared" si="34"/>
        <v>0</v>
      </c>
      <c r="ES58" s="336">
        <f t="shared" si="35"/>
        <v>0</v>
      </c>
      <c r="ET58" s="336">
        <f t="shared" si="35"/>
        <v>0</v>
      </c>
      <c r="EU58" s="336">
        <f t="shared" si="36"/>
        <v>0</v>
      </c>
      <c r="EV58" s="336">
        <f t="shared" si="37"/>
        <v>0</v>
      </c>
      <c r="EW58" s="336">
        <f t="shared" si="38"/>
        <v>0</v>
      </c>
      <c r="EX58" s="336">
        <f t="shared" si="39"/>
        <v>0</v>
      </c>
      <c r="EY58" s="336">
        <f t="shared" si="40"/>
        <v>0</v>
      </c>
      <c r="EZ58" s="336">
        <f t="shared" si="41"/>
        <v>0</v>
      </c>
      <c r="FA58" s="336">
        <f t="shared" si="42"/>
        <v>0</v>
      </c>
      <c r="FB58" s="336">
        <f t="shared" si="43"/>
        <v>0</v>
      </c>
      <c r="FC58" s="336">
        <f t="shared" si="44"/>
        <v>0</v>
      </c>
      <c r="FD58" s="336">
        <f t="shared" si="45"/>
        <v>0</v>
      </c>
      <c r="FE58" s="336">
        <f t="shared" si="46"/>
        <v>0</v>
      </c>
      <c r="FF58" s="336">
        <f t="shared" si="47"/>
        <v>0</v>
      </c>
      <c r="FG58" s="336">
        <f t="shared" si="48"/>
        <v>0</v>
      </c>
      <c r="FH58" s="336">
        <f t="shared" si="49"/>
        <v>0</v>
      </c>
      <c r="FI58" s="336">
        <f t="shared" si="50"/>
        <v>0</v>
      </c>
      <c r="FJ58" s="336">
        <f t="shared" si="51"/>
        <v>0</v>
      </c>
      <c r="FK58" s="336">
        <f t="shared" si="52"/>
        <v>0</v>
      </c>
      <c r="FL58" s="336">
        <f t="shared" si="53"/>
        <v>0</v>
      </c>
      <c r="FM58" s="336">
        <f t="shared" si="54"/>
        <v>0</v>
      </c>
      <c r="FN58" s="336">
        <f t="shared" si="55"/>
        <v>0</v>
      </c>
      <c r="FO58" s="336">
        <f t="shared" si="56"/>
        <v>0</v>
      </c>
      <c r="FP58" s="336">
        <f t="shared" si="57"/>
        <v>0</v>
      </c>
      <c r="FQ58" s="336">
        <f t="shared" si="58"/>
        <v>0</v>
      </c>
      <c r="FR58" s="336">
        <f t="shared" si="59"/>
        <v>0</v>
      </c>
      <c r="FS58" s="336">
        <f t="shared" si="60"/>
        <v>0</v>
      </c>
      <c r="FT58" s="336">
        <f t="shared" si="61"/>
        <v>0</v>
      </c>
      <c r="FU58" s="336">
        <f t="shared" si="62"/>
        <v>0</v>
      </c>
      <c r="FV58" s="336">
        <f t="shared" si="63"/>
        <v>0</v>
      </c>
      <c r="FW58" s="336">
        <f t="shared" si="64"/>
        <v>0</v>
      </c>
      <c r="FX58" s="336">
        <f t="shared" si="65"/>
        <v>0</v>
      </c>
      <c r="FY58" s="336">
        <f t="shared" si="66"/>
        <v>0</v>
      </c>
      <c r="FZ58" s="336">
        <f t="shared" si="67"/>
        <v>0</v>
      </c>
      <c r="GA58" s="336">
        <f t="shared" si="68"/>
        <v>0</v>
      </c>
      <c r="GB58" s="336">
        <f t="shared" si="69"/>
        <v>0</v>
      </c>
      <c r="GC58" s="336">
        <f t="shared" si="70"/>
        <v>0</v>
      </c>
      <c r="GD58" s="336">
        <f t="shared" si="71"/>
        <v>0</v>
      </c>
      <c r="GE58" s="336">
        <f t="shared" si="72"/>
        <v>0</v>
      </c>
      <c r="GF58" s="336">
        <f t="shared" si="73"/>
        <v>0</v>
      </c>
      <c r="GG58" s="336">
        <f t="shared" si="74"/>
        <v>0</v>
      </c>
      <c r="GH58" s="336">
        <f t="shared" si="75"/>
        <v>0</v>
      </c>
      <c r="GI58" s="336">
        <f t="shared" si="76"/>
        <v>0</v>
      </c>
      <c r="GJ58" s="336">
        <f t="shared" si="77"/>
        <v>0</v>
      </c>
      <c r="GK58" s="336">
        <f t="shared" si="78"/>
        <v>0</v>
      </c>
      <c r="GL58" s="336">
        <f t="shared" si="79"/>
        <v>0</v>
      </c>
      <c r="GM58" s="336">
        <f t="shared" si="80"/>
        <v>0</v>
      </c>
    </row>
    <row r="59" spans="1:195">
      <c r="A59" s="337">
        <f t="shared" si="291"/>
        <v>41</v>
      </c>
      <c r="B59" s="453" t="s">
        <v>726</v>
      </c>
      <c r="C59" s="453"/>
      <c r="D59" s="500" t="s">
        <v>848</v>
      </c>
      <c r="E59" s="500" t="s">
        <v>732</v>
      </c>
      <c r="F59" s="500"/>
      <c r="G59" s="340" t="s">
        <v>337</v>
      </c>
      <c r="H59" s="350">
        <v>10</v>
      </c>
      <c r="I59" s="337" t="s">
        <v>330</v>
      </c>
      <c r="J59" s="337" t="s">
        <v>331</v>
      </c>
      <c r="K59" s="349">
        <v>400</v>
      </c>
      <c r="L59" s="343">
        <v>0.84999999999999987</v>
      </c>
      <c r="M59" s="350">
        <v>0.95099999999999985</v>
      </c>
      <c r="N59" s="342">
        <v>63</v>
      </c>
      <c r="O59" s="926"/>
      <c r="P59" s="927"/>
      <c r="Q59" s="927"/>
      <c r="R59" s="927"/>
      <c r="S59" s="927"/>
      <c r="T59" s="927"/>
      <c r="U59" s="927"/>
      <c r="V59" s="927"/>
      <c r="W59" s="927"/>
      <c r="X59" s="927"/>
      <c r="Y59" s="927"/>
      <c r="Z59" s="927"/>
      <c r="AA59" s="927"/>
      <c r="AB59" s="927"/>
      <c r="AC59" s="927"/>
      <c r="AD59" s="927"/>
      <c r="AE59" s="927"/>
      <c r="AF59" s="927"/>
      <c r="AG59" s="927"/>
      <c r="AH59" s="927"/>
      <c r="AI59" s="927"/>
      <c r="AJ59" s="927"/>
      <c r="AK59" s="927"/>
      <c r="AL59" s="927"/>
      <c r="AM59" s="927"/>
      <c r="AN59" s="927"/>
      <c r="AO59" s="927"/>
      <c r="AP59" s="927"/>
      <c r="AQ59" s="927"/>
      <c r="AR59" s="927"/>
      <c r="AS59" s="927"/>
      <c r="AT59" s="927"/>
      <c r="AU59" s="927"/>
      <c r="AV59" s="927"/>
      <c r="AW59" s="927"/>
      <c r="AX59" s="927"/>
      <c r="AY59" s="927"/>
      <c r="AZ59" s="927"/>
      <c r="BA59" s="927"/>
      <c r="BB59" s="927"/>
      <c r="BC59" s="1020"/>
      <c r="BE59" s="336"/>
      <c r="BF59" s="336"/>
      <c r="BG59" s="336"/>
      <c r="BH59" s="336"/>
      <c r="BI59" s="336"/>
      <c r="BJ59" s="336"/>
      <c r="BK59" s="336"/>
      <c r="BL59" s="336"/>
      <c r="BM59" s="336"/>
      <c r="BN59" s="336"/>
      <c r="BO59" s="336"/>
      <c r="BP59" s="336"/>
      <c r="BQ59" s="336"/>
      <c r="BR59" s="336"/>
      <c r="BS59" s="336"/>
      <c r="BT59" s="336"/>
      <c r="BU59" s="336"/>
      <c r="BV59" s="336"/>
      <c r="BW59" s="336"/>
      <c r="BX59" s="336"/>
      <c r="BY59" s="336"/>
      <c r="BZ59" s="336"/>
      <c r="CA59" s="336"/>
      <c r="CB59" s="336"/>
      <c r="CC59" s="336"/>
      <c r="CD59" s="336"/>
      <c r="CE59" s="336"/>
      <c r="CF59" s="336"/>
      <c r="CG59" s="336"/>
      <c r="CH59" s="336"/>
      <c r="CI59" s="336"/>
      <c r="CJ59" s="336"/>
      <c r="CK59" s="336"/>
      <c r="CL59" s="336"/>
      <c r="CM59" s="336"/>
      <c r="CN59" s="336"/>
      <c r="CO59" s="336"/>
      <c r="CP59" s="336"/>
      <c r="CQ59" s="336"/>
      <c r="CR59" s="336"/>
      <c r="CS59" s="336"/>
      <c r="CT59" s="336"/>
      <c r="CU59" s="336"/>
      <c r="CV59" s="336"/>
      <c r="CW59" s="336"/>
      <c r="CX59" s="336"/>
      <c r="CY59" s="336"/>
      <c r="CZ59" s="336"/>
      <c r="DA59" s="336"/>
      <c r="DB59" s="336"/>
      <c r="DC59" s="336"/>
      <c r="DD59" s="336"/>
      <c r="DE59" s="336"/>
      <c r="DF59" s="336"/>
      <c r="DG59" s="336"/>
      <c r="DH59" s="336"/>
      <c r="DI59" s="336"/>
      <c r="DJ59" s="336"/>
      <c r="DK59" s="336"/>
      <c r="DL59" s="336"/>
      <c r="DM59" s="336"/>
      <c r="DN59" s="336"/>
      <c r="DO59" s="336"/>
      <c r="DP59" s="336"/>
      <c r="DQ59" s="336"/>
      <c r="DR59" s="336"/>
      <c r="DS59" s="336"/>
      <c r="DT59" s="336"/>
      <c r="DU59" s="336"/>
      <c r="DW59" s="336">
        <f t="shared" si="93"/>
        <v>0</v>
      </c>
      <c r="DX59" s="336">
        <f t="shared" si="14"/>
        <v>0</v>
      </c>
      <c r="DY59" s="336">
        <f t="shared" si="15"/>
        <v>0</v>
      </c>
      <c r="DZ59" s="336">
        <f t="shared" si="16"/>
        <v>0</v>
      </c>
      <c r="EA59" s="336">
        <f t="shared" si="17"/>
        <v>0</v>
      </c>
      <c r="EB59" s="336">
        <f t="shared" si="18"/>
        <v>0</v>
      </c>
      <c r="EC59" s="336">
        <f t="shared" si="19"/>
        <v>0</v>
      </c>
      <c r="ED59" s="336">
        <f t="shared" si="20"/>
        <v>0</v>
      </c>
      <c r="EE59" s="336">
        <f t="shared" si="21"/>
        <v>0</v>
      </c>
      <c r="EF59" s="336">
        <f t="shared" si="22"/>
        <v>0</v>
      </c>
      <c r="EG59" s="336">
        <f t="shared" si="23"/>
        <v>0</v>
      </c>
      <c r="EH59" s="336">
        <f t="shared" si="24"/>
        <v>0</v>
      </c>
      <c r="EI59" s="336">
        <f t="shared" si="25"/>
        <v>0</v>
      </c>
      <c r="EJ59" s="336">
        <f t="shared" si="26"/>
        <v>0</v>
      </c>
      <c r="EK59" s="336">
        <f t="shared" si="27"/>
        <v>0</v>
      </c>
      <c r="EL59" s="336">
        <f t="shared" si="28"/>
        <v>0</v>
      </c>
      <c r="EM59" s="336">
        <f t="shared" si="29"/>
        <v>0</v>
      </c>
      <c r="EN59" s="336">
        <f t="shared" si="30"/>
        <v>0</v>
      </c>
      <c r="EO59" s="336">
        <f t="shared" si="31"/>
        <v>0</v>
      </c>
      <c r="EP59" s="336">
        <f t="shared" si="32"/>
        <v>0</v>
      </c>
      <c r="EQ59" s="336">
        <f t="shared" si="33"/>
        <v>0</v>
      </c>
      <c r="ER59" s="336">
        <f t="shared" si="34"/>
        <v>0</v>
      </c>
      <c r="ES59" s="336">
        <f t="shared" si="35"/>
        <v>0</v>
      </c>
      <c r="ET59" s="336">
        <f t="shared" si="35"/>
        <v>0</v>
      </c>
      <c r="EU59" s="336">
        <f t="shared" si="36"/>
        <v>0</v>
      </c>
      <c r="EV59" s="336">
        <f t="shared" si="37"/>
        <v>0</v>
      </c>
      <c r="EW59" s="336">
        <f t="shared" si="38"/>
        <v>0</v>
      </c>
      <c r="EX59" s="336">
        <f t="shared" si="39"/>
        <v>0</v>
      </c>
      <c r="EY59" s="336">
        <f t="shared" si="40"/>
        <v>0</v>
      </c>
      <c r="EZ59" s="336">
        <f t="shared" si="41"/>
        <v>0</v>
      </c>
      <c r="FA59" s="336">
        <f t="shared" si="42"/>
        <v>0</v>
      </c>
      <c r="FB59" s="336">
        <f t="shared" si="43"/>
        <v>0</v>
      </c>
      <c r="FC59" s="336">
        <f t="shared" si="44"/>
        <v>0</v>
      </c>
      <c r="FD59" s="336">
        <f t="shared" si="45"/>
        <v>0</v>
      </c>
      <c r="FE59" s="336">
        <f t="shared" si="46"/>
        <v>0</v>
      </c>
      <c r="FF59" s="336">
        <f t="shared" si="47"/>
        <v>0</v>
      </c>
      <c r="FG59" s="336">
        <f t="shared" si="48"/>
        <v>0</v>
      </c>
      <c r="FH59" s="336">
        <f t="shared" si="49"/>
        <v>0</v>
      </c>
      <c r="FI59" s="336">
        <f t="shared" si="50"/>
        <v>0</v>
      </c>
      <c r="FJ59" s="336">
        <f t="shared" si="51"/>
        <v>0</v>
      </c>
      <c r="FK59" s="336">
        <f t="shared" si="52"/>
        <v>0</v>
      </c>
      <c r="FL59" s="336">
        <f t="shared" si="53"/>
        <v>0</v>
      </c>
      <c r="FM59" s="336">
        <f t="shared" si="54"/>
        <v>0</v>
      </c>
      <c r="FN59" s="336">
        <f t="shared" si="55"/>
        <v>0</v>
      </c>
      <c r="FO59" s="336">
        <f t="shared" si="56"/>
        <v>0</v>
      </c>
      <c r="FP59" s="336">
        <f t="shared" si="57"/>
        <v>0</v>
      </c>
      <c r="FQ59" s="336">
        <f t="shared" si="58"/>
        <v>0</v>
      </c>
      <c r="FR59" s="336">
        <f t="shared" si="59"/>
        <v>0</v>
      </c>
      <c r="FS59" s="336">
        <f t="shared" si="60"/>
        <v>0</v>
      </c>
      <c r="FT59" s="336">
        <f t="shared" si="61"/>
        <v>0</v>
      </c>
      <c r="FU59" s="336">
        <f t="shared" si="62"/>
        <v>0</v>
      </c>
      <c r="FV59" s="336">
        <f t="shared" si="63"/>
        <v>0</v>
      </c>
      <c r="FW59" s="336">
        <f t="shared" si="64"/>
        <v>0</v>
      </c>
      <c r="FX59" s="336">
        <f t="shared" si="65"/>
        <v>0</v>
      </c>
      <c r="FY59" s="336">
        <f t="shared" si="66"/>
        <v>0</v>
      </c>
      <c r="FZ59" s="336">
        <f t="shared" si="67"/>
        <v>0</v>
      </c>
      <c r="GA59" s="336">
        <f t="shared" si="68"/>
        <v>0</v>
      </c>
      <c r="GB59" s="336">
        <f t="shared" si="69"/>
        <v>0</v>
      </c>
      <c r="GC59" s="336">
        <f t="shared" si="70"/>
        <v>0</v>
      </c>
      <c r="GD59" s="336">
        <f t="shared" si="71"/>
        <v>0</v>
      </c>
      <c r="GE59" s="336">
        <f t="shared" si="72"/>
        <v>0</v>
      </c>
      <c r="GF59" s="336">
        <f t="shared" si="73"/>
        <v>0</v>
      </c>
      <c r="GG59" s="336">
        <f t="shared" si="74"/>
        <v>0</v>
      </c>
      <c r="GH59" s="336">
        <f t="shared" si="75"/>
        <v>0</v>
      </c>
      <c r="GI59" s="336">
        <f t="shared" si="76"/>
        <v>0</v>
      </c>
      <c r="GJ59" s="336">
        <f t="shared" si="77"/>
        <v>0</v>
      </c>
      <c r="GK59" s="336">
        <f t="shared" si="78"/>
        <v>0</v>
      </c>
      <c r="GL59" s="336">
        <f t="shared" si="79"/>
        <v>0</v>
      </c>
      <c r="GM59" s="336">
        <f t="shared" si="80"/>
        <v>0</v>
      </c>
    </row>
    <row r="60" spans="1:195" s="76" customFormat="1" ht="26.25" customHeight="1">
      <c r="A60" s="531"/>
      <c r="B60" s="531"/>
      <c r="C60" s="531"/>
      <c r="D60" s="477" t="s">
        <v>1500</v>
      </c>
      <c r="E60" s="533"/>
      <c r="F60" s="533"/>
      <c r="G60" s="531"/>
      <c r="H60" s="534"/>
      <c r="I60" s="531"/>
      <c r="J60" s="531"/>
      <c r="K60" s="535"/>
      <c r="L60" s="536"/>
      <c r="M60" s="534"/>
      <c r="N60" s="537"/>
      <c r="O60" s="537"/>
      <c r="P60" s="536"/>
      <c r="Q60" s="534"/>
      <c r="R60" s="534"/>
      <c r="S60" s="534"/>
      <c r="T60" s="536"/>
      <c r="U60" s="534"/>
      <c r="V60" s="536"/>
      <c r="W60" s="536"/>
      <c r="X60" s="536"/>
      <c r="Y60" s="536"/>
      <c r="Z60" s="538"/>
      <c r="AA60" s="539"/>
      <c r="AB60" s="539"/>
      <c r="AC60" s="491"/>
      <c r="AD60" s="491"/>
      <c r="AE60" s="491"/>
      <c r="AF60" s="491"/>
      <c r="AG60" s="491"/>
      <c r="AH60" s="805"/>
      <c r="AI60" s="538"/>
      <c r="AJ60" s="537"/>
      <c r="AK60" s="538"/>
      <c r="AL60" s="538"/>
      <c r="AM60" s="538"/>
      <c r="AN60" s="541"/>
      <c r="AO60" s="534"/>
      <c r="AP60" s="535"/>
      <c r="AQ60" s="534"/>
      <c r="AR60" s="541"/>
      <c r="AS60" s="536"/>
      <c r="AT60" s="541"/>
      <c r="AU60" s="541"/>
      <c r="AV60" s="542"/>
      <c r="AW60" s="542"/>
      <c r="AX60" s="536"/>
      <c r="AY60" s="543"/>
      <c r="AZ60" s="543"/>
      <c r="BA60" s="536"/>
      <c r="BB60" s="490"/>
      <c r="BC60" s="490"/>
      <c r="BD60" s="61"/>
      <c r="BE60" s="336"/>
      <c r="BF60" s="336"/>
      <c r="BG60" s="336"/>
      <c r="BH60" s="336"/>
      <c r="BI60" s="336"/>
      <c r="BJ60" s="336"/>
      <c r="BK60" s="336"/>
      <c r="BL60" s="336"/>
      <c r="BM60" s="336"/>
      <c r="BN60" s="336"/>
      <c r="BO60" s="336"/>
      <c r="BP60" s="336"/>
      <c r="BQ60" s="336"/>
      <c r="BR60" s="336"/>
      <c r="BS60" s="336"/>
      <c r="BT60" s="336"/>
      <c r="BU60" s="336"/>
      <c r="BV60" s="336"/>
      <c r="BW60" s="336"/>
      <c r="BX60" s="336"/>
      <c r="BY60" s="336"/>
      <c r="BZ60" s="336"/>
      <c r="CA60" s="336"/>
      <c r="CB60" s="336"/>
      <c r="CC60" s="336"/>
      <c r="CD60" s="336"/>
      <c r="CE60" s="336"/>
      <c r="CF60" s="336"/>
      <c r="CG60" s="336"/>
      <c r="CH60" s="336"/>
      <c r="CI60" s="336"/>
      <c r="CJ60" s="336"/>
      <c r="CK60" s="336"/>
      <c r="CL60" s="336"/>
      <c r="CM60" s="336"/>
      <c r="CN60" s="336"/>
      <c r="CO60" s="336"/>
      <c r="CP60" s="336"/>
      <c r="CQ60" s="336"/>
      <c r="CR60" s="336"/>
      <c r="CS60" s="336"/>
      <c r="CT60" s="336"/>
      <c r="CU60" s="336"/>
      <c r="CV60" s="336"/>
      <c r="CW60" s="336"/>
      <c r="CX60" s="336"/>
      <c r="CY60" s="336"/>
      <c r="CZ60" s="336"/>
      <c r="DA60" s="336"/>
      <c r="DB60" s="336"/>
      <c r="DC60" s="336"/>
      <c r="DD60" s="336"/>
      <c r="DE60" s="336"/>
      <c r="DF60" s="336"/>
      <c r="DG60" s="336"/>
      <c r="DH60" s="336"/>
      <c r="DI60" s="336"/>
      <c r="DJ60" s="336"/>
      <c r="DK60" s="336"/>
      <c r="DL60" s="336"/>
      <c r="DM60" s="336"/>
      <c r="DN60" s="336"/>
      <c r="DO60" s="336"/>
      <c r="DP60" s="336"/>
      <c r="DQ60" s="336"/>
      <c r="DR60" s="336"/>
      <c r="DS60" s="336"/>
      <c r="DT60" s="336"/>
      <c r="DU60" s="336"/>
      <c r="DV60" s="61"/>
      <c r="DW60" s="336">
        <f t="shared" si="93"/>
        <v>0</v>
      </c>
      <c r="DX60" s="336">
        <f t="shared" si="14"/>
        <v>0</v>
      </c>
      <c r="DY60" s="336">
        <f t="shared" si="15"/>
        <v>0</v>
      </c>
      <c r="DZ60" s="336">
        <f t="shared" si="16"/>
        <v>0</v>
      </c>
      <c r="EA60" s="336">
        <f t="shared" si="17"/>
        <v>0</v>
      </c>
      <c r="EB60" s="336">
        <f t="shared" si="18"/>
        <v>0</v>
      </c>
      <c r="EC60" s="336">
        <f t="shared" si="19"/>
        <v>0</v>
      </c>
      <c r="ED60" s="336">
        <f t="shared" si="20"/>
        <v>0</v>
      </c>
      <c r="EE60" s="336">
        <f t="shared" si="21"/>
        <v>0</v>
      </c>
      <c r="EF60" s="336">
        <f t="shared" si="22"/>
        <v>0</v>
      </c>
      <c r="EG60" s="336">
        <f t="shared" si="23"/>
        <v>0</v>
      </c>
      <c r="EH60" s="336">
        <f t="shared" si="24"/>
        <v>0</v>
      </c>
      <c r="EI60" s="336">
        <f t="shared" si="25"/>
        <v>0</v>
      </c>
      <c r="EJ60" s="336">
        <f t="shared" si="26"/>
        <v>0</v>
      </c>
      <c r="EK60" s="336">
        <f t="shared" si="27"/>
        <v>0</v>
      </c>
      <c r="EL60" s="336">
        <f t="shared" si="28"/>
        <v>0</v>
      </c>
      <c r="EM60" s="336">
        <f t="shared" si="29"/>
        <v>0</v>
      </c>
      <c r="EN60" s="336">
        <f t="shared" si="30"/>
        <v>0</v>
      </c>
      <c r="EO60" s="336">
        <f t="shared" si="31"/>
        <v>0</v>
      </c>
      <c r="EP60" s="336">
        <f t="shared" si="32"/>
        <v>0</v>
      </c>
      <c r="EQ60" s="336">
        <f t="shared" si="33"/>
        <v>0</v>
      </c>
      <c r="ER60" s="336">
        <f t="shared" si="34"/>
        <v>0</v>
      </c>
      <c r="ES60" s="336">
        <f t="shared" si="35"/>
        <v>0</v>
      </c>
      <c r="ET60" s="336">
        <f t="shared" si="35"/>
        <v>0</v>
      </c>
      <c r="EU60" s="336">
        <f t="shared" si="36"/>
        <v>0</v>
      </c>
      <c r="EV60" s="336">
        <f t="shared" si="37"/>
        <v>0</v>
      </c>
      <c r="EW60" s="336">
        <f t="shared" si="38"/>
        <v>0</v>
      </c>
      <c r="EX60" s="336">
        <f t="shared" si="39"/>
        <v>0</v>
      </c>
      <c r="EY60" s="336">
        <f t="shared" si="40"/>
        <v>0</v>
      </c>
      <c r="EZ60" s="336">
        <f t="shared" si="41"/>
        <v>0</v>
      </c>
      <c r="FA60" s="336">
        <f t="shared" si="42"/>
        <v>0</v>
      </c>
      <c r="FB60" s="336">
        <f t="shared" si="43"/>
        <v>0</v>
      </c>
      <c r="FC60" s="336">
        <f t="shared" si="44"/>
        <v>0</v>
      </c>
      <c r="FD60" s="336">
        <f t="shared" si="45"/>
        <v>0</v>
      </c>
      <c r="FE60" s="336">
        <f t="shared" si="46"/>
        <v>0</v>
      </c>
      <c r="FF60" s="336">
        <f t="shared" si="47"/>
        <v>0</v>
      </c>
      <c r="FG60" s="336">
        <f t="shared" si="48"/>
        <v>0</v>
      </c>
      <c r="FH60" s="336">
        <f t="shared" si="49"/>
        <v>0</v>
      </c>
      <c r="FI60" s="336">
        <f t="shared" si="50"/>
        <v>0</v>
      </c>
      <c r="FJ60" s="336">
        <f t="shared" si="51"/>
        <v>0</v>
      </c>
      <c r="FK60" s="336">
        <f t="shared" si="52"/>
        <v>0</v>
      </c>
      <c r="FL60" s="336">
        <f t="shared" si="53"/>
        <v>0</v>
      </c>
      <c r="FM60" s="336">
        <f t="shared" si="54"/>
        <v>0</v>
      </c>
      <c r="FN60" s="336">
        <f t="shared" si="55"/>
        <v>0</v>
      </c>
      <c r="FO60" s="336">
        <f t="shared" si="56"/>
        <v>0</v>
      </c>
      <c r="FP60" s="336">
        <f t="shared" si="57"/>
        <v>0</v>
      </c>
      <c r="FQ60" s="336">
        <f t="shared" si="58"/>
        <v>0</v>
      </c>
      <c r="FR60" s="336">
        <f t="shared" si="59"/>
        <v>0</v>
      </c>
      <c r="FS60" s="336">
        <f t="shared" si="60"/>
        <v>0</v>
      </c>
      <c r="FT60" s="336">
        <f t="shared" si="61"/>
        <v>0</v>
      </c>
      <c r="FU60" s="336">
        <f t="shared" si="62"/>
        <v>0</v>
      </c>
      <c r="FV60" s="336">
        <f t="shared" si="63"/>
        <v>0</v>
      </c>
      <c r="FW60" s="336">
        <f t="shared" si="64"/>
        <v>0</v>
      </c>
      <c r="FX60" s="336">
        <f t="shared" si="65"/>
        <v>0</v>
      </c>
      <c r="FY60" s="336">
        <f t="shared" si="66"/>
        <v>0</v>
      </c>
      <c r="FZ60" s="336">
        <f t="shared" si="67"/>
        <v>0</v>
      </c>
      <c r="GA60" s="336">
        <f t="shared" si="68"/>
        <v>0</v>
      </c>
      <c r="GB60" s="336">
        <f t="shared" si="69"/>
        <v>0</v>
      </c>
      <c r="GC60" s="336">
        <f t="shared" si="70"/>
        <v>0</v>
      </c>
      <c r="GD60" s="336">
        <f t="shared" si="71"/>
        <v>0</v>
      </c>
      <c r="GE60" s="336">
        <f t="shared" si="72"/>
        <v>0</v>
      </c>
      <c r="GF60" s="336">
        <f t="shared" si="73"/>
        <v>0</v>
      </c>
      <c r="GG60" s="336">
        <f t="shared" si="74"/>
        <v>0</v>
      </c>
      <c r="GH60" s="336">
        <f t="shared" si="75"/>
        <v>0</v>
      </c>
      <c r="GI60" s="336">
        <f t="shared" si="76"/>
        <v>0</v>
      </c>
      <c r="GJ60" s="336">
        <f t="shared" si="77"/>
        <v>0</v>
      </c>
      <c r="GK60" s="336">
        <f t="shared" si="78"/>
        <v>0</v>
      </c>
      <c r="GL60" s="336">
        <f t="shared" si="79"/>
        <v>0</v>
      </c>
      <c r="GM60" s="336">
        <f t="shared" si="80"/>
        <v>0</v>
      </c>
    </row>
    <row r="61" spans="1:195" ht="15.75">
      <c r="A61" s="337">
        <f>A59+1</f>
        <v>42</v>
      </c>
      <c r="B61" s="337" t="s">
        <v>1501</v>
      </c>
      <c r="C61" s="337" t="s">
        <v>1502</v>
      </c>
      <c r="D61" s="372" t="s">
        <v>1503</v>
      </c>
      <c r="E61" s="500" t="s">
        <v>732</v>
      </c>
      <c r="F61" s="500"/>
      <c r="G61" s="337" t="s">
        <v>329</v>
      </c>
      <c r="H61" s="350">
        <v>10</v>
      </c>
      <c r="I61" s="337" t="s">
        <v>330</v>
      </c>
      <c r="J61" s="337" t="s">
        <v>331</v>
      </c>
      <c r="K61" s="349">
        <v>400</v>
      </c>
      <c r="L61" s="343">
        <v>0.84999999999999987</v>
      </c>
      <c r="M61" s="350">
        <v>0.95099999999999985</v>
      </c>
      <c r="N61" s="342">
        <f t="shared" ref="N61:N63" si="292">IF(I61="kVA",IF(J61="3Ph",(H61*1000/(1.732*M61*K61)),(H61*1000/(M61*K61))),IF(I61="kW",IF(J61="3Ph",(H61*1000/(1.732*M61*K61*L61)),(H61*1000/(M61*K61*L61)))))</f>
        <v>17.856349525042535</v>
      </c>
      <c r="O61" s="342">
        <f t="shared" ref="O61:O63" si="293">IF(G61="MOTOR",(6*N61),IF(G61="VFD",(1*N61),0))</f>
        <v>0</v>
      </c>
      <c r="P61" s="343" t="str">
        <f t="shared" ref="P61:P63" si="294">IF(G61="MOTOR",0.2,"0.00")</f>
        <v>0.00</v>
      </c>
      <c r="Q61" s="350">
        <v>65</v>
      </c>
      <c r="R61" s="350">
        <v>0</v>
      </c>
      <c r="S61" s="350">
        <f t="shared" ref="S61:S63" si="295">(Q61*1000*SQRT(R61)/143)</f>
        <v>0</v>
      </c>
      <c r="T61" s="343" t="s">
        <v>131</v>
      </c>
      <c r="U61" s="350" t="s">
        <v>535</v>
      </c>
      <c r="V61" s="343">
        <v>25</v>
      </c>
      <c r="W61" s="343" t="str">
        <f t="shared" ref="W61:W63" si="296">CONCATENATE(U61," X ",V61)</f>
        <v>3.5C X 25</v>
      </c>
      <c r="X61" s="343" t="str">
        <f t="shared" ref="X61:X63" si="297">(IF(J61="1Ph",W61,IF(J61="3Ph",(IF(G61="MOTOR",(CONCATENATE(W61,"+PE")),W61)))))</f>
        <v>3.5C X 25</v>
      </c>
      <c r="Y61" s="343" t="s">
        <v>358</v>
      </c>
      <c r="Z61" s="344">
        <f>IF(T61="AIR",VLOOKUP(W61,'Catalogue Aluminium'!$B$9:$G$93,2,FALSE),IF(T61="GROUND",VLOOKUP(W61,'Catalogue Aluminium'!$B$9:$G$93,3,FALSE),IF(T61="DUCT",VLOOKUP(W61,'Catalogue Aluminium'!$B$9:$G$93,4,FALSE),IF(T61="TRENCH",VLOOKUP(W61,'Catalogue Aluminium'!$B$9:$G$93,2,FALSE)))))</f>
        <v>95</v>
      </c>
      <c r="AA61" s="345">
        <f>VLOOKUP(W61,'Catalogue Aluminium'!$B$9:$G$93,5,FALSE)</f>
        <v>1.54</v>
      </c>
      <c r="AB61" s="345">
        <f>VLOOKUP(W61,'Catalogue Aluminium'!$B$9:$G$93,6,FALSE)</f>
        <v>8.1600000000000006E-2</v>
      </c>
      <c r="AC61" s="388">
        <v>7</v>
      </c>
      <c r="AD61" s="346">
        <v>0</v>
      </c>
      <c r="AE61" s="346">
        <f>3+3</f>
        <v>6</v>
      </c>
      <c r="AF61" s="346">
        <f t="shared" ref="AF61:AF63" si="298">5+5</f>
        <v>10</v>
      </c>
      <c r="AG61" s="346">
        <f t="shared" ref="AG61:AG62" si="299">ROUNDUP((SUM(AC61:AF61)*0.1),0)</f>
        <v>3</v>
      </c>
      <c r="AH61" s="802">
        <f t="shared" ref="AH61:AH63" si="300">SUM(AC61:AG61)</f>
        <v>26</v>
      </c>
      <c r="AI61" s="344">
        <f>IF(T61="AIR",'Catalogue Aluminium'!$K$9,IF(T61="TRENCH",'Catalogue Aluminium'!$K$12,"NA"))</f>
        <v>0.89</v>
      </c>
      <c r="AJ61" s="342">
        <f>IF(T61="Air",(IF(U61="1C",'Catalogue Aluminium'!$L$9,'Catalogue Aluminium'!$M$9)),IF(T61="DUCT",(IF($U61="1C",'Catalogue Aluminium'!$L$10,'Catalogue Aluminium'!$M$10)),IF(T61="GROUND",(IF($U61="1C",'Catalogue Aluminium'!$L$11,'Catalogue Aluminium'!$M$11)),IF(T61="TRENCH",(IF($U61="1C",'Catalogue Aluminium'!$L$12,'Catalogue Aluminium'!$M$12))))))</f>
        <v>0.66</v>
      </c>
      <c r="AK61" s="344" t="str">
        <f>IF(T61="Air",'Catalogue Aluminium'!$N$9,IF(T61="GROUND",'Catalogue Aluminium'!$N$10,IF(T61="DUCT",'Catalogue Aluminium'!$N$11,IF(T61="TRENCH",'Catalogue Aluminium'!$N$12,"NA"))))</f>
        <v>NA</v>
      </c>
      <c r="AL61" s="344" t="str">
        <f>IF(T61="Air",(IF(U61="1C",'Catalogue Aluminium'!$O$9,'Catalogue Aluminium'!$P$9)),IF(T61="DUCT",(IF($U61="1C",'Catalogue Aluminium'!$O$10,'Catalogue Aluminium'!$P$10)),IF(T61="GROUND",(IF($U61="1C",'Catalogue Aluminium'!$O$11,'Catalogue Aluminium'!$P$11)),IF(T61="TRENCH",(IF($U61="1C",'Catalogue Aluminium'!$O$12,'Catalogue Aluminium'!$P$12))))))</f>
        <v>NA</v>
      </c>
      <c r="AM61" s="344" t="str">
        <f>IF(T61="AIR","NA",IF(T61="TRENCH","NA",IF(T61="DUCT",IF(U61="1C",VLOOKUP(V61,'Catalogue Aluminium'!$Q$9:$S$28,2,FALSE),VLOOKUP(V61,'Catalogue Aluminium'!$Q$9:$S$28,3)),IF(T61="GROUND",IF(U61="1C",VLOOKUP(V61,'Catalogue Aluminium'!$Q$9:$S$28,2,FALSE),VLOOKUP(V61,'Catalogue Aluminium'!$Q$9:$S$28,3))))))</f>
        <v>NA</v>
      </c>
      <c r="AN61" s="351">
        <f t="shared" ref="AN61:AN63" si="301">IF(T61="AIR",AI61*AJ61,IF(T61="TRENCH",AI61*AJ61,IF(T61="DUCT",AJ61*AK61*AL61*AM61,IF(T61="GROUND",AJ61*AK61*AL61*AM61))))</f>
        <v>0.58740000000000003</v>
      </c>
      <c r="AO61" s="350">
        <f t="shared" ref="AO61:AO63" si="302">Z61*AN61</f>
        <v>55.803000000000004</v>
      </c>
      <c r="AP61" s="349">
        <f t="shared" ref="AP61:AP63" si="303">CEILING(((N61)/AO61),1)</f>
        <v>1</v>
      </c>
      <c r="AQ61" s="350" t="str">
        <f t="shared" ref="AQ61:AQ63" si="304">IF(AO61*AP61&gt;=N61,"YES","NO")</f>
        <v>YES</v>
      </c>
      <c r="AR61" s="351">
        <f t="shared" ref="AR61:AR63" si="305">SQRT(3)*AH61*N61*((AA61*L61)+(AB61*SIN(ACOS(L61))))*100/(AP61*K61*1000)</f>
        <v>0.27179326181205232</v>
      </c>
      <c r="AS61" s="343" t="str">
        <f t="shared" ref="AS61:AS63" si="306">IF(G61="INCOMER",(IF(AR61&lt;=2,"YES","NO")),IF(G61="POWER",(IF(AR61&lt;=2.5,"YES","NO")),IF(G61="MOTOR",(IF(AR61&lt;=3,"YES","NO")))))</f>
        <v>YES</v>
      </c>
      <c r="AT61" s="351" t="str">
        <f>IF(G61="MOTOR",(SQRT(3)*AH61*O61*((AA61*P61)+(AB61*SIN(ACOS(P61))))*100/(AP61*K61*1000)),"NA")</f>
        <v>NA</v>
      </c>
      <c r="AU61" s="343" t="str">
        <f>IF(G61="MOTOR",IF(AT61&lt;=15,"YES","NO"),"NA")</f>
        <v>NA</v>
      </c>
      <c r="AV61" s="351" t="str">
        <f>IF(U61="1C",CONCATENATE(AP61,"R x ",Y61,"kV x ",U61," x ",V61," Sqmm/Phase"),CONCATENATE(AP61,"R x ",0.6,"/1kV x ",U61," x ",V61," Sqmm"))</f>
        <v>1R x 0.6/1kV x 3.5C x 25 Sqmm</v>
      </c>
      <c r="AW61" s="351" t="str">
        <f t="shared" ref="AW61:AW63" si="307">IF(U61="1C",CONCATENATE(AP61,"R x ",Y61,"kV x ",U61," x ",V61," Sqmm/Phase"),CONCATENATE(AP61,"R x ",0.6,"/1kV x ",U61," x ",V61,(IF(G61="MOTOR","+PE",""))," Sqmm"))</f>
        <v>1R x 0.6/1kV x 3.5C x 25 Sqmm</v>
      </c>
      <c r="AX61" s="343">
        <f>(IF(K61=400,(IF(U61="1C",(4*AH61*AP61),(AH61*AP61))),IF(K61=230,(AH61*AP61))))</f>
        <v>26</v>
      </c>
      <c r="AY61" s="343"/>
      <c r="AZ61" s="343">
        <f>IF(U61="1C",(3*AP61*2),(AP61*2))</f>
        <v>2</v>
      </c>
      <c r="BA61" s="356" t="str">
        <f t="shared" ref="BA61:BA63" si="308">CONCATENATE(IF(BE61=1,BE$4,""),IF(BF61=1,BF$4,""),IF(BG61=1,BG$4,""),IF(BH61=1,BH$4,""),IF(BI61=1,BI$4,""),IF(BJ61=1,BJ$4,""),IF(BK61=1,BK$4,""),IF(BL61=1,BL$4,""),IF(BM61=1,BM$4,""),IF(BN61=1,BN$4,""),IF(BO61=1,BO$4,""),IF(BP61=1,BP$4,""),IF(BQ61=1,BQ$4,""),IF(BR61=1,BR$4,""),IF(BS61=1,BS$4,""),IF(BT61=1,BT$4,""),IF(BU61=1,BU$4,""),IF(BV61=1,BV$4,""),IF(BW61=1,BW$4,""),IF(BX61=1,BX$4,""),IF(BY61=1,BY$4,""),IF(BZ61=1,BZ$4,""),IF(CA61=1,CA$4,""),IF(CB61=1,CB$4,""),IF(CC61=1,CC$4,""),IF(CD61=1,CD$4,""),IF(CE61=1,CE$4,""),IF(CF61=1,CF$4,""),IF(CG61=1,CG$4,""),IF(CH61=1,CH$4,""),IF(CI61=1,CI$4,""),IF(CJ61=1,CJ$4,""),IF(CK61=1,CK$4,""),IF(CL61=1,CL$4,""),IF(CM61=1,CM$4,""),IF(CN61=1,CN$4,""),IF(CO61=1,CO$4,""),IF(CP61=1,CP$4,""),IF(CQ61=1,CQ$4,""),IF(CR61=1,CR$4,""),IF(CS61=1,CS$4,""),IF(CT61=1,CT$4,""),IF(CU61=1,CU$4,""),IF(CV61=1,CV$4,""),IF(CW61=1,CW$4,""),IF(CX61=1,CX$4,""),IF(CY61=1,CY$4,""),IF(CZ61=1,CZ$4,""),IF(DA61=1,DA$4,""),IF(DB61=1,DB$4,""),IF(DC61=1,DC$4,""),IF(DD61=1,DD$4,""),IF(DE61=1,DE$4,""),IF(DF61=1,DF$4,""),IF(DG61=1,DG$4,""),IF(DH61=1,DH$4,""),IF(DI61=1,DI$4,""),IF(DJ61=1,DJ$4,""),IF(DK61=1,DK$4,""),IF(DL61=1,DL$4,""),IF(DM61=1,DM$4,""),IF(DN61=1,DN$4,""),IF(DO61=1,DO$4,""),IF(DP61=1,DP$4,""),IF(DQ61=1,DQ$4,""),IF(DR61=1,DR$4,""),IF(DS61=1,DS$4,""),IF(DT61=1,DT$4,""),IF(DU61=1,DU$4,""))</f>
        <v/>
      </c>
      <c r="BB61" s="336">
        <f>VLOOKUP(W61,'Catalogue Aluminium'!$B$9:$H$93,7,FALSE)</f>
        <v>25</v>
      </c>
      <c r="BC61" s="336">
        <f>AP61*BB61</f>
        <v>25</v>
      </c>
      <c r="BE61" s="336"/>
      <c r="BF61" s="336"/>
      <c r="BG61" s="336"/>
      <c r="BH61" s="336"/>
      <c r="BI61" s="336"/>
      <c r="BJ61" s="336"/>
      <c r="BK61" s="336"/>
      <c r="BL61" s="336"/>
      <c r="BM61" s="336"/>
      <c r="BN61" s="336"/>
      <c r="BO61" s="336"/>
      <c r="BP61" s="336"/>
      <c r="BQ61" s="336"/>
      <c r="BR61" s="336"/>
      <c r="BS61" s="336"/>
      <c r="BT61" s="336"/>
      <c r="BU61" s="336"/>
      <c r="BV61" s="336"/>
      <c r="BW61" s="336"/>
      <c r="BX61" s="336"/>
      <c r="BY61" s="336"/>
      <c r="BZ61" s="336"/>
      <c r="CA61" s="336"/>
      <c r="CB61" s="336"/>
      <c r="CC61" s="336"/>
      <c r="CD61" s="336"/>
      <c r="CE61" s="336"/>
      <c r="CF61" s="336"/>
      <c r="CG61" s="336"/>
      <c r="CH61" s="336"/>
      <c r="CI61" s="336"/>
      <c r="CJ61" s="336"/>
      <c r="CK61" s="336"/>
      <c r="CL61" s="336"/>
      <c r="CM61" s="336"/>
      <c r="CN61" s="336"/>
      <c r="CO61" s="336"/>
      <c r="CP61" s="336"/>
      <c r="CQ61" s="336"/>
      <c r="CR61" s="336"/>
      <c r="CS61" s="336"/>
      <c r="CT61" s="336"/>
      <c r="CU61" s="336"/>
      <c r="CV61" s="336"/>
      <c r="CW61" s="336"/>
      <c r="CX61" s="336"/>
      <c r="CY61" s="336"/>
      <c r="CZ61" s="755"/>
      <c r="DA61" s="755"/>
      <c r="DB61" s="755"/>
      <c r="DC61" s="755"/>
      <c r="DD61" s="755"/>
      <c r="DE61" s="755"/>
      <c r="DF61" s="755"/>
      <c r="DG61" s="755"/>
      <c r="DH61" s="755"/>
      <c r="DI61" s="755"/>
      <c r="DJ61" s="755"/>
      <c r="DK61" s="755"/>
      <c r="DL61" s="755"/>
      <c r="DM61" s="755"/>
      <c r="DN61" s="755"/>
      <c r="DO61" s="755"/>
      <c r="DP61" s="755"/>
      <c r="DQ61" s="755"/>
      <c r="DR61" s="755"/>
      <c r="DS61" s="755"/>
      <c r="DT61" s="755"/>
      <c r="DU61" s="755"/>
      <c r="DW61" s="336">
        <f t="shared" si="93"/>
        <v>0</v>
      </c>
      <c r="DX61" s="336">
        <f t="shared" si="14"/>
        <v>0</v>
      </c>
      <c r="DY61" s="336">
        <f t="shared" si="15"/>
        <v>0</v>
      </c>
      <c r="DZ61" s="336">
        <f t="shared" si="16"/>
        <v>0</v>
      </c>
      <c r="EA61" s="336">
        <f t="shared" si="17"/>
        <v>0</v>
      </c>
      <c r="EB61" s="336">
        <f t="shared" si="18"/>
        <v>0</v>
      </c>
      <c r="EC61" s="336">
        <f t="shared" si="19"/>
        <v>0</v>
      </c>
      <c r="ED61" s="336">
        <f t="shared" si="20"/>
        <v>0</v>
      </c>
      <c r="EE61" s="336">
        <f t="shared" si="21"/>
        <v>0</v>
      </c>
      <c r="EF61" s="336">
        <f t="shared" si="22"/>
        <v>0</v>
      </c>
      <c r="EG61" s="336">
        <f t="shared" si="23"/>
        <v>0</v>
      </c>
      <c r="EH61" s="336">
        <f t="shared" si="24"/>
        <v>0</v>
      </c>
      <c r="EI61" s="336">
        <f t="shared" si="25"/>
        <v>0</v>
      </c>
      <c r="EJ61" s="336">
        <f t="shared" si="26"/>
        <v>0</v>
      </c>
      <c r="EK61" s="336">
        <f t="shared" si="27"/>
        <v>0</v>
      </c>
      <c r="EL61" s="336">
        <f t="shared" si="28"/>
        <v>0</v>
      </c>
      <c r="EM61" s="336">
        <f t="shared" si="29"/>
        <v>0</v>
      </c>
      <c r="EN61" s="336">
        <f t="shared" si="30"/>
        <v>0</v>
      </c>
      <c r="EO61" s="336">
        <f t="shared" si="31"/>
        <v>0</v>
      </c>
      <c r="EP61" s="336">
        <f t="shared" si="32"/>
        <v>0</v>
      </c>
      <c r="EQ61" s="336">
        <f t="shared" si="33"/>
        <v>0</v>
      </c>
      <c r="ER61" s="336">
        <f t="shared" si="34"/>
        <v>0</v>
      </c>
      <c r="ES61" s="336">
        <f t="shared" si="35"/>
        <v>0</v>
      </c>
      <c r="ET61" s="336">
        <f t="shared" si="35"/>
        <v>0</v>
      </c>
      <c r="EU61" s="336">
        <f t="shared" si="36"/>
        <v>0</v>
      </c>
      <c r="EV61" s="336">
        <f t="shared" si="37"/>
        <v>0</v>
      </c>
      <c r="EW61" s="336">
        <f t="shared" si="38"/>
        <v>0</v>
      </c>
      <c r="EX61" s="336">
        <f t="shared" si="39"/>
        <v>0</v>
      </c>
      <c r="EY61" s="336">
        <f t="shared" si="40"/>
        <v>0</v>
      </c>
      <c r="EZ61" s="336">
        <f t="shared" si="41"/>
        <v>0</v>
      </c>
      <c r="FA61" s="336">
        <f t="shared" si="42"/>
        <v>0</v>
      </c>
      <c r="FB61" s="336">
        <f t="shared" si="43"/>
        <v>0</v>
      </c>
      <c r="FC61" s="336">
        <f t="shared" si="44"/>
        <v>0</v>
      </c>
      <c r="FD61" s="336">
        <f t="shared" si="45"/>
        <v>0</v>
      </c>
      <c r="FE61" s="336">
        <f t="shared" si="46"/>
        <v>0</v>
      </c>
      <c r="FF61" s="336">
        <f t="shared" si="47"/>
        <v>0</v>
      </c>
      <c r="FG61" s="336">
        <f t="shared" si="48"/>
        <v>0</v>
      </c>
      <c r="FH61" s="336">
        <f t="shared" si="49"/>
        <v>0</v>
      </c>
      <c r="FI61" s="336">
        <f t="shared" si="50"/>
        <v>0</v>
      </c>
      <c r="FJ61" s="336">
        <f t="shared" si="51"/>
        <v>0</v>
      </c>
      <c r="FK61" s="336">
        <f t="shared" si="52"/>
        <v>0</v>
      </c>
      <c r="FL61" s="336">
        <f t="shared" si="53"/>
        <v>0</v>
      </c>
      <c r="FM61" s="336">
        <f t="shared" si="54"/>
        <v>0</v>
      </c>
      <c r="FN61" s="336">
        <f t="shared" si="55"/>
        <v>0</v>
      </c>
      <c r="FO61" s="336">
        <f t="shared" si="56"/>
        <v>0</v>
      </c>
      <c r="FP61" s="336">
        <f t="shared" si="57"/>
        <v>0</v>
      </c>
      <c r="FQ61" s="336">
        <f t="shared" si="58"/>
        <v>0</v>
      </c>
      <c r="FR61" s="336">
        <f t="shared" si="59"/>
        <v>0</v>
      </c>
      <c r="FS61" s="336">
        <f t="shared" si="60"/>
        <v>0</v>
      </c>
      <c r="FT61" s="336">
        <f t="shared" si="61"/>
        <v>0</v>
      </c>
      <c r="FU61" s="336">
        <f t="shared" si="62"/>
        <v>0</v>
      </c>
      <c r="FV61" s="336">
        <f t="shared" si="63"/>
        <v>0</v>
      </c>
      <c r="FW61" s="336">
        <f t="shared" si="64"/>
        <v>0</v>
      </c>
      <c r="FX61" s="336">
        <f t="shared" si="65"/>
        <v>0</v>
      </c>
      <c r="FY61" s="336">
        <f t="shared" si="66"/>
        <v>0</v>
      </c>
      <c r="FZ61" s="336">
        <f t="shared" si="67"/>
        <v>0</v>
      </c>
      <c r="GA61" s="336">
        <f t="shared" si="68"/>
        <v>0</v>
      </c>
      <c r="GB61" s="336">
        <f t="shared" si="69"/>
        <v>0</v>
      </c>
      <c r="GC61" s="336">
        <f t="shared" si="70"/>
        <v>0</v>
      </c>
      <c r="GD61" s="336">
        <f t="shared" si="71"/>
        <v>0</v>
      </c>
      <c r="GE61" s="336">
        <f t="shared" si="72"/>
        <v>0</v>
      </c>
      <c r="GF61" s="336">
        <f t="shared" si="73"/>
        <v>0</v>
      </c>
      <c r="GG61" s="336">
        <f t="shared" si="74"/>
        <v>0</v>
      </c>
      <c r="GH61" s="336">
        <f t="shared" si="75"/>
        <v>0</v>
      </c>
      <c r="GI61" s="336">
        <f t="shared" si="76"/>
        <v>0</v>
      </c>
      <c r="GJ61" s="336">
        <f t="shared" si="77"/>
        <v>0</v>
      </c>
      <c r="GK61" s="336">
        <f t="shared" si="78"/>
        <v>0</v>
      </c>
      <c r="GL61" s="336">
        <f t="shared" si="79"/>
        <v>0</v>
      </c>
      <c r="GM61" s="336">
        <f t="shared" si="80"/>
        <v>0</v>
      </c>
    </row>
    <row r="62" spans="1:195" ht="25.5">
      <c r="A62" s="337">
        <f>A61+1</f>
        <v>43</v>
      </c>
      <c r="B62" s="337" t="s">
        <v>1504</v>
      </c>
      <c r="C62" s="337" t="s">
        <v>1502</v>
      </c>
      <c r="D62" s="372" t="s">
        <v>1505</v>
      </c>
      <c r="E62" s="500" t="s">
        <v>1506</v>
      </c>
      <c r="F62" s="500"/>
      <c r="G62" s="337" t="s">
        <v>329</v>
      </c>
      <c r="H62" s="350">
        <v>10</v>
      </c>
      <c r="I62" s="337" t="s">
        <v>330</v>
      </c>
      <c r="J62" s="337" t="s">
        <v>331</v>
      </c>
      <c r="K62" s="349">
        <v>400</v>
      </c>
      <c r="L62" s="343">
        <v>0.84999999999999987</v>
      </c>
      <c r="M62" s="350">
        <v>0.95099999999999985</v>
      </c>
      <c r="N62" s="342">
        <f t="shared" si="292"/>
        <v>17.856349525042535</v>
      </c>
      <c r="O62" s="342">
        <f t="shared" si="293"/>
        <v>0</v>
      </c>
      <c r="P62" s="343" t="str">
        <f t="shared" si="294"/>
        <v>0.00</v>
      </c>
      <c r="Q62" s="350">
        <v>65</v>
      </c>
      <c r="R62" s="350">
        <v>0</v>
      </c>
      <c r="S62" s="350">
        <f t="shared" si="295"/>
        <v>0</v>
      </c>
      <c r="T62" s="343" t="s">
        <v>131</v>
      </c>
      <c r="U62" s="350" t="s">
        <v>535</v>
      </c>
      <c r="V62" s="343">
        <v>25</v>
      </c>
      <c r="W62" s="343" t="str">
        <f t="shared" si="296"/>
        <v>3.5C X 25</v>
      </c>
      <c r="X62" s="343" t="str">
        <f t="shared" si="297"/>
        <v>3.5C X 25</v>
      </c>
      <c r="Y62" s="343" t="s">
        <v>358</v>
      </c>
      <c r="Z62" s="344">
        <f>IF(T62="AIR",VLOOKUP(W62,'Catalogue Aluminium'!$B$9:$G$93,2,FALSE),IF(T62="GROUND",VLOOKUP(W62,'Catalogue Aluminium'!$B$9:$G$93,3,FALSE),IF(T62="DUCT",VLOOKUP(W62,'Catalogue Aluminium'!$B$9:$G$93,4,FALSE),IF(T62="TRENCH",VLOOKUP(W62,'Catalogue Aluminium'!$B$9:$G$93,2,FALSE)))))</f>
        <v>95</v>
      </c>
      <c r="AA62" s="345">
        <f>VLOOKUP(W62,'Catalogue Aluminium'!$B$9:$G$93,5,FALSE)</f>
        <v>1.54</v>
      </c>
      <c r="AB62" s="345">
        <f>VLOOKUP(W62,'Catalogue Aluminium'!$B$9:$G$93,6,FALSE)</f>
        <v>8.1600000000000006E-2</v>
      </c>
      <c r="AC62" s="337">
        <v>10</v>
      </c>
      <c r="AD62" s="346">
        <v>0</v>
      </c>
      <c r="AE62" s="346">
        <f>3+3</f>
        <v>6</v>
      </c>
      <c r="AF62" s="346">
        <f t="shared" si="298"/>
        <v>10</v>
      </c>
      <c r="AG62" s="346">
        <f t="shared" si="299"/>
        <v>3</v>
      </c>
      <c r="AH62" s="802">
        <f t="shared" si="300"/>
        <v>29</v>
      </c>
      <c r="AI62" s="344">
        <f>IF(T62="AIR",'Catalogue Aluminium'!$K$9,IF(T62="TRENCH",'Catalogue Aluminium'!$K$12,"NA"))</f>
        <v>0.89</v>
      </c>
      <c r="AJ62" s="342">
        <f>IF(T62="Air",(IF(U62="1C",'Catalogue Aluminium'!$L$9,'Catalogue Aluminium'!$M$9)),IF(T62="DUCT",(IF($U62="1C",'Catalogue Aluminium'!$L$10,'Catalogue Aluminium'!$M$10)),IF(T62="GROUND",(IF($U62="1C",'Catalogue Aluminium'!$L$11,'Catalogue Aluminium'!$M$11)),IF(T62="TRENCH",(IF($U62="1C",'Catalogue Aluminium'!$L$12,'Catalogue Aluminium'!$M$12))))))</f>
        <v>0.66</v>
      </c>
      <c r="AK62" s="344" t="str">
        <f>IF(T62="Air",'Catalogue Aluminium'!$N$9,IF(T62="GROUND",'Catalogue Aluminium'!$N$10,IF(T62="DUCT",'Catalogue Aluminium'!$N$11,IF(T62="TRENCH",'Catalogue Aluminium'!$N$12,"NA"))))</f>
        <v>NA</v>
      </c>
      <c r="AL62" s="344" t="str">
        <f>IF(T62="Air",(IF(U62="1C",'Catalogue Aluminium'!$O$9,'Catalogue Aluminium'!$P$9)),IF(T62="DUCT",(IF($U62="1C",'Catalogue Aluminium'!$O$10,'Catalogue Aluminium'!$P$10)),IF(T62="GROUND",(IF($U62="1C",'Catalogue Aluminium'!$O$11,'Catalogue Aluminium'!$P$11)),IF(T62="TRENCH",(IF($U62="1C",'Catalogue Aluminium'!$O$12,'Catalogue Aluminium'!$P$12))))))</f>
        <v>NA</v>
      </c>
      <c r="AM62" s="344" t="str">
        <f>IF(T62="AIR","NA",IF(T62="TRENCH","NA",IF(T62="DUCT",IF(U62="1C",VLOOKUP(V62,'Catalogue Aluminium'!$Q$9:$S$28,2,FALSE),VLOOKUP(V62,'Catalogue Aluminium'!$Q$9:$S$28,3)),IF(T62="GROUND",IF(U62="1C",VLOOKUP(V62,'Catalogue Aluminium'!$Q$9:$S$28,2,FALSE),VLOOKUP(V62,'Catalogue Aluminium'!$Q$9:$S$28,3))))))</f>
        <v>NA</v>
      </c>
      <c r="AN62" s="351">
        <f t="shared" si="301"/>
        <v>0.58740000000000003</v>
      </c>
      <c r="AO62" s="350">
        <f t="shared" si="302"/>
        <v>55.803000000000004</v>
      </c>
      <c r="AP62" s="349">
        <f t="shared" si="303"/>
        <v>1</v>
      </c>
      <c r="AQ62" s="350" t="str">
        <f t="shared" si="304"/>
        <v>YES</v>
      </c>
      <c r="AR62" s="351">
        <f t="shared" si="305"/>
        <v>0.30315402279036607</v>
      </c>
      <c r="AS62" s="343" t="str">
        <f t="shared" si="306"/>
        <v>YES</v>
      </c>
      <c r="AT62" s="351" t="str">
        <f>IF(G62="MOTOR",(SQRT(3)*AH62*O62*((AA62*P62)+(AB62*SIN(ACOS(P62))))*100/(AP62*K62*1000)),"NA")</f>
        <v>NA</v>
      </c>
      <c r="AU62" s="343" t="str">
        <f>IF(G62="MOTOR",IF(AT62&lt;=15,"YES","NO"),"NA")</f>
        <v>NA</v>
      </c>
      <c r="AV62" s="351" t="str">
        <f>IF(U62="1C",CONCATENATE(AP62,"R x ",Y62,"kV x ",U62," x ",V62," Sqmm/Phase"),CONCATENATE(AP62,"R x ",0.6,"/1kV x ",U62," x ",V62," Sqmm"))</f>
        <v>1R x 0.6/1kV x 3.5C x 25 Sqmm</v>
      </c>
      <c r="AW62" s="351" t="str">
        <f t="shared" si="307"/>
        <v>1R x 0.6/1kV x 3.5C x 25 Sqmm</v>
      </c>
      <c r="AX62" s="343">
        <f>(IF(K62=400,(IF(U62="1C",(4*AH62*AP62),(AH62*AP62))),IF(K62=230,(AH62*AP62))))</f>
        <v>29</v>
      </c>
      <c r="AY62" s="343"/>
      <c r="AZ62" s="343">
        <f>IF(U62="1C",(3*AP62*2),(AP62*2))</f>
        <v>2</v>
      </c>
      <c r="BA62" s="356" t="str">
        <f t="shared" si="308"/>
        <v/>
      </c>
      <c r="BB62" s="336">
        <f>VLOOKUP(W62,'Catalogue Aluminium'!$B$9:$H$93,7,FALSE)</f>
        <v>25</v>
      </c>
      <c r="BC62" s="336">
        <f>AP62*BB62</f>
        <v>25</v>
      </c>
      <c r="BE62" s="336"/>
      <c r="BF62" s="336"/>
      <c r="BG62" s="336"/>
      <c r="BH62" s="336"/>
      <c r="BI62" s="336"/>
      <c r="BJ62" s="336"/>
      <c r="BK62" s="336"/>
      <c r="BL62" s="336"/>
      <c r="BM62" s="336"/>
      <c r="BN62" s="336"/>
      <c r="BO62" s="336"/>
      <c r="BP62" s="336"/>
      <c r="BQ62" s="336"/>
      <c r="BR62" s="336"/>
      <c r="BS62" s="336"/>
      <c r="BT62" s="336"/>
      <c r="BU62" s="336"/>
      <c r="BV62" s="336"/>
      <c r="BW62" s="336"/>
      <c r="BX62" s="336"/>
      <c r="BY62" s="336"/>
      <c r="BZ62" s="336"/>
      <c r="CA62" s="336"/>
      <c r="CB62" s="336"/>
      <c r="CC62" s="336"/>
      <c r="CD62" s="336"/>
      <c r="CE62" s="336"/>
      <c r="CF62" s="336"/>
      <c r="CG62" s="336"/>
      <c r="CH62" s="336"/>
      <c r="CI62" s="336"/>
      <c r="CJ62" s="336"/>
      <c r="CK62" s="336"/>
      <c r="CL62" s="336"/>
      <c r="CM62" s="336"/>
      <c r="CN62" s="336"/>
      <c r="CO62" s="336"/>
      <c r="CP62" s="336"/>
      <c r="CQ62" s="336"/>
      <c r="CR62" s="336"/>
      <c r="CS62" s="336"/>
      <c r="CT62" s="336"/>
      <c r="CU62" s="336"/>
      <c r="CV62" s="336"/>
      <c r="CW62" s="336"/>
      <c r="CX62" s="336"/>
      <c r="CY62" s="336"/>
      <c r="CZ62" s="755"/>
      <c r="DA62" s="755"/>
      <c r="DB62" s="755"/>
      <c r="DC62" s="755"/>
      <c r="DD62" s="755"/>
      <c r="DE62" s="755"/>
      <c r="DF62" s="755"/>
      <c r="DG62" s="755"/>
      <c r="DH62" s="755"/>
      <c r="DI62" s="755"/>
      <c r="DJ62" s="755"/>
      <c r="DK62" s="755"/>
      <c r="DL62" s="755"/>
      <c r="DM62" s="755"/>
      <c r="DN62" s="755"/>
      <c r="DO62" s="755"/>
      <c r="DP62" s="755"/>
      <c r="DQ62" s="755"/>
      <c r="DR62" s="755"/>
      <c r="DS62" s="755"/>
      <c r="DT62" s="755"/>
      <c r="DU62" s="755"/>
      <c r="DW62" s="336">
        <f t="shared" si="93"/>
        <v>0</v>
      </c>
      <c r="DX62" s="336">
        <f t="shared" si="14"/>
        <v>0</v>
      </c>
      <c r="DY62" s="336">
        <f t="shared" si="15"/>
        <v>0</v>
      </c>
      <c r="DZ62" s="336">
        <f t="shared" si="16"/>
        <v>0</v>
      </c>
      <c r="EA62" s="336">
        <f t="shared" si="17"/>
        <v>0</v>
      </c>
      <c r="EB62" s="336">
        <f t="shared" si="18"/>
        <v>0</v>
      </c>
      <c r="EC62" s="336">
        <f t="shared" si="19"/>
        <v>0</v>
      </c>
      <c r="ED62" s="336">
        <f t="shared" si="20"/>
        <v>0</v>
      </c>
      <c r="EE62" s="336">
        <f t="shared" si="21"/>
        <v>0</v>
      </c>
      <c r="EF62" s="336">
        <f t="shared" si="22"/>
        <v>0</v>
      </c>
      <c r="EG62" s="336">
        <f t="shared" si="23"/>
        <v>0</v>
      </c>
      <c r="EH62" s="336">
        <f t="shared" si="24"/>
        <v>0</v>
      </c>
      <c r="EI62" s="336">
        <f t="shared" si="25"/>
        <v>0</v>
      </c>
      <c r="EJ62" s="336">
        <f t="shared" si="26"/>
        <v>0</v>
      </c>
      <c r="EK62" s="336">
        <f t="shared" si="27"/>
        <v>0</v>
      </c>
      <c r="EL62" s="336">
        <f t="shared" si="28"/>
        <v>0</v>
      </c>
      <c r="EM62" s="336">
        <f t="shared" si="29"/>
        <v>0</v>
      </c>
      <c r="EN62" s="336">
        <f t="shared" si="30"/>
        <v>0</v>
      </c>
      <c r="EO62" s="336">
        <f t="shared" si="31"/>
        <v>0</v>
      </c>
      <c r="EP62" s="336">
        <f t="shared" si="32"/>
        <v>0</v>
      </c>
      <c r="EQ62" s="336">
        <f t="shared" si="33"/>
        <v>0</v>
      </c>
      <c r="ER62" s="336">
        <f t="shared" si="34"/>
        <v>0</v>
      </c>
      <c r="ES62" s="336">
        <f t="shared" si="35"/>
        <v>0</v>
      </c>
      <c r="ET62" s="336">
        <f t="shared" si="35"/>
        <v>0</v>
      </c>
      <c r="EU62" s="336">
        <f t="shared" si="36"/>
        <v>0</v>
      </c>
      <c r="EV62" s="336">
        <f t="shared" si="37"/>
        <v>0</v>
      </c>
      <c r="EW62" s="336">
        <f t="shared" si="38"/>
        <v>0</v>
      </c>
      <c r="EX62" s="336">
        <f t="shared" si="39"/>
        <v>0</v>
      </c>
      <c r="EY62" s="336">
        <f t="shared" si="40"/>
        <v>0</v>
      </c>
      <c r="EZ62" s="336">
        <f t="shared" si="41"/>
        <v>0</v>
      </c>
      <c r="FA62" s="336">
        <f t="shared" si="42"/>
        <v>0</v>
      </c>
      <c r="FB62" s="336">
        <f t="shared" si="43"/>
        <v>0</v>
      </c>
      <c r="FC62" s="336">
        <f t="shared" si="44"/>
        <v>0</v>
      </c>
      <c r="FD62" s="336">
        <f t="shared" si="45"/>
        <v>0</v>
      </c>
      <c r="FE62" s="336">
        <f t="shared" si="46"/>
        <v>0</v>
      </c>
      <c r="FF62" s="336">
        <f t="shared" si="47"/>
        <v>0</v>
      </c>
      <c r="FG62" s="336">
        <f t="shared" si="48"/>
        <v>0</v>
      </c>
      <c r="FH62" s="336">
        <f t="shared" si="49"/>
        <v>0</v>
      </c>
      <c r="FI62" s="336">
        <f t="shared" si="50"/>
        <v>0</v>
      </c>
      <c r="FJ62" s="336">
        <f t="shared" si="51"/>
        <v>0</v>
      </c>
      <c r="FK62" s="336">
        <f t="shared" si="52"/>
        <v>0</v>
      </c>
      <c r="FL62" s="336">
        <f t="shared" si="53"/>
        <v>0</v>
      </c>
      <c r="FM62" s="336">
        <f t="shared" si="54"/>
        <v>0</v>
      </c>
      <c r="FN62" s="336">
        <f t="shared" si="55"/>
        <v>0</v>
      </c>
      <c r="FO62" s="336">
        <f t="shared" si="56"/>
        <v>0</v>
      </c>
      <c r="FP62" s="336">
        <f t="shared" si="57"/>
        <v>0</v>
      </c>
      <c r="FQ62" s="336">
        <f t="shared" si="58"/>
        <v>0</v>
      </c>
      <c r="FR62" s="336">
        <f t="shared" si="59"/>
        <v>0</v>
      </c>
      <c r="FS62" s="336">
        <f t="shared" si="60"/>
        <v>0</v>
      </c>
      <c r="FT62" s="336">
        <f t="shared" si="61"/>
        <v>0</v>
      </c>
      <c r="FU62" s="336">
        <f t="shared" si="62"/>
        <v>0</v>
      </c>
      <c r="FV62" s="336">
        <f t="shared" si="63"/>
        <v>0</v>
      </c>
      <c r="FW62" s="336">
        <f t="shared" si="64"/>
        <v>0</v>
      </c>
      <c r="FX62" s="336">
        <f t="shared" si="65"/>
        <v>0</v>
      </c>
      <c r="FY62" s="336">
        <f t="shared" si="66"/>
        <v>0</v>
      </c>
      <c r="FZ62" s="336">
        <f t="shared" si="67"/>
        <v>0</v>
      </c>
      <c r="GA62" s="336">
        <f t="shared" si="68"/>
        <v>0</v>
      </c>
      <c r="GB62" s="336">
        <f t="shared" si="69"/>
        <v>0</v>
      </c>
      <c r="GC62" s="336">
        <f t="shared" si="70"/>
        <v>0</v>
      </c>
      <c r="GD62" s="336">
        <f t="shared" si="71"/>
        <v>0</v>
      </c>
      <c r="GE62" s="336">
        <f t="shared" si="72"/>
        <v>0</v>
      </c>
      <c r="GF62" s="336">
        <f t="shared" si="73"/>
        <v>0</v>
      </c>
      <c r="GG62" s="336">
        <f t="shared" si="74"/>
        <v>0</v>
      </c>
      <c r="GH62" s="336">
        <f t="shared" si="75"/>
        <v>0</v>
      </c>
      <c r="GI62" s="336">
        <f t="shared" si="76"/>
        <v>0</v>
      </c>
      <c r="GJ62" s="336">
        <f t="shared" si="77"/>
        <v>0</v>
      </c>
      <c r="GK62" s="336">
        <f t="shared" si="78"/>
        <v>0</v>
      </c>
      <c r="GL62" s="336">
        <f t="shared" si="79"/>
        <v>0</v>
      </c>
      <c r="GM62" s="336">
        <f t="shared" si="80"/>
        <v>0</v>
      </c>
    </row>
    <row r="63" spans="1:195" ht="38.25">
      <c r="A63" s="337">
        <f t="shared" ref="A63:A64" si="309">A62+1</f>
        <v>44</v>
      </c>
      <c r="B63" s="337" t="s">
        <v>1507</v>
      </c>
      <c r="C63" s="337" t="s">
        <v>1502</v>
      </c>
      <c r="D63" s="372" t="s">
        <v>1508</v>
      </c>
      <c r="E63" s="500" t="s">
        <v>1509</v>
      </c>
      <c r="F63" s="500"/>
      <c r="G63" s="337" t="s">
        <v>329</v>
      </c>
      <c r="H63" s="350">
        <v>5</v>
      </c>
      <c r="I63" s="337" t="s">
        <v>330</v>
      </c>
      <c r="J63" s="337" t="s">
        <v>331</v>
      </c>
      <c r="K63" s="349">
        <v>400</v>
      </c>
      <c r="L63" s="343">
        <v>0.84999999999999987</v>
      </c>
      <c r="M63" s="350">
        <v>0.95099999999999985</v>
      </c>
      <c r="N63" s="342">
        <f t="shared" si="292"/>
        <v>8.9281747625212677</v>
      </c>
      <c r="O63" s="342">
        <f t="shared" si="293"/>
        <v>0</v>
      </c>
      <c r="P63" s="343" t="str">
        <f t="shared" si="294"/>
        <v>0.00</v>
      </c>
      <c r="Q63" s="350">
        <v>65</v>
      </c>
      <c r="R63" s="350">
        <v>0</v>
      </c>
      <c r="S63" s="350">
        <f t="shared" si="295"/>
        <v>0</v>
      </c>
      <c r="T63" s="343" t="s">
        <v>131</v>
      </c>
      <c r="U63" s="350" t="s">
        <v>522</v>
      </c>
      <c r="V63" s="343">
        <v>16</v>
      </c>
      <c r="W63" s="343" t="str">
        <f t="shared" si="296"/>
        <v>4C X 16</v>
      </c>
      <c r="X63" s="343" t="str">
        <f t="shared" si="297"/>
        <v>4C X 16</v>
      </c>
      <c r="Y63" s="343" t="s">
        <v>358</v>
      </c>
      <c r="Z63" s="344">
        <f>IF(T63="AIR",VLOOKUP(W63,'Catalogue Aluminium'!$B$9:$G$93,2,FALSE),IF(T63="GROUND",VLOOKUP(W63,'Catalogue Aluminium'!$B$9:$G$93,3,FALSE),IF(T63="DUCT",VLOOKUP(W63,'Catalogue Aluminium'!$B$9:$G$93,4,FALSE),IF(T63="TRENCH",VLOOKUP(W63,'Catalogue Aluminium'!$B$9:$G$93,2,FALSE)))))</f>
        <v>70</v>
      </c>
      <c r="AA63" s="345">
        <f>VLOOKUP(W63,'Catalogue Aluminium'!$B$9:$G$93,5,FALSE)</f>
        <v>2.44</v>
      </c>
      <c r="AB63" s="345">
        <f>VLOOKUP(W63,'Catalogue Aluminium'!$B$9:$G$93,6,FALSE)</f>
        <v>8.1500000000000003E-2</v>
      </c>
      <c r="AC63" s="337">
        <f>10</f>
        <v>10</v>
      </c>
      <c r="AD63" s="346">
        <v>0</v>
      </c>
      <c r="AE63" s="346">
        <f>3+3</f>
        <v>6</v>
      </c>
      <c r="AF63" s="346">
        <f t="shared" si="298"/>
        <v>10</v>
      </c>
      <c r="AG63" s="346">
        <f t="shared" ref="AG63" si="310">ROUNDUP((SUM(AC63:AF63)*0.1),0)</f>
        <v>3</v>
      </c>
      <c r="AH63" s="802">
        <f t="shared" si="300"/>
        <v>29</v>
      </c>
      <c r="AI63" s="344">
        <f>IF(T63="AIR",'Catalogue Aluminium'!$K$9,IF(T63="TRENCH",'Catalogue Aluminium'!$K$12,"NA"))</f>
        <v>0.89</v>
      </c>
      <c r="AJ63" s="342">
        <f>IF(T63="Air",(IF(U63="1C",'Catalogue Aluminium'!$L$9,'Catalogue Aluminium'!$M$9)),IF(T63="DUCT",(IF($U63="1C",'Catalogue Aluminium'!$L$10,'Catalogue Aluminium'!$M$10)),IF(T63="GROUND",(IF($U63="1C",'Catalogue Aluminium'!$L$11,'Catalogue Aluminium'!$M$11)),IF(T63="TRENCH",(IF($U63="1C",'Catalogue Aluminium'!$L$12,'Catalogue Aluminium'!$M$12))))))</f>
        <v>0.66</v>
      </c>
      <c r="AK63" s="344" t="str">
        <f>IF(T63="Air",'Catalogue Aluminium'!$N$9,IF(T63="GROUND",'Catalogue Aluminium'!$N$10,IF(T63="DUCT",'Catalogue Aluminium'!$N$11,IF(T63="TRENCH",'Catalogue Aluminium'!$N$12,"NA"))))</f>
        <v>NA</v>
      </c>
      <c r="AL63" s="344" t="str">
        <f>IF(T63="Air",(IF(U63="1C",'Catalogue Aluminium'!$O$9,'Catalogue Aluminium'!$P$9)),IF(T63="DUCT",(IF($U63="1C",'Catalogue Aluminium'!$O$10,'Catalogue Aluminium'!$P$10)),IF(T63="GROUND",(IF($U63="1C",'Catalogue Aluminium'!$O$11,'Catalogue Aluminium'!$P$11)),IF(T63="TRENCH",(IF($U63="1C",'Catalogue Aluminium'!$O$12,'Catalogue Aluminium'!$P$12))))))</f>
        <v>NA</v>
      </c>
      <c r="AM63" s="344" t="str">
        <f>IF(T63="AIR","NA",IF(T63="TRENCH","NA",IF(T63="DUCT",IF(U63="1C",VLOOKUP(V63,'Catalogue Aluminium'!$Q$9:$S$28,2,FALSE),VLOOKUP(V63,'Catalogue Aluminium'!$Q$9:$S$28,3)),IF(T63="GROUND",IF(U63="1C",VLOOKUP(V63,'Catalogue Aluminium'!$Q$9:$S$28,2,FALSE),VLOOKUP(V63,'Catalogue Aluminium'!$Q$9:$S$28,3))))))</f>
        <v>NA</v>
      </c>
      <c r="AN63" s="351">
        <f t="shared" si="301"/>
        <v>0.58740000000000003</v>
      </c>
      <c r="AO63" s="350">
        <f t="shared" si="302"/>
        <v>41.118000000000002</v>
      </c>
      <c r="AP63" s="349">
        <f t="shared" si="303"/>
        <v>1</v>
      </c>
      <c r="AQ63" s="350" t="str">
        <f t="shared" si="304"/>
        <v>YES</v>
      </c>
      <c r="AR63" s="351">
        <f t="shared" si="305"/>
        <v>0.2373386055144811</v>
      </c>
      <c r="AS63" s="343" t="str">
        <f t="shared" si="306"/>
        <v>YES</v>
      </c>
      <c r="AT63" s="351" t="str">
        <f>IF(G63="MOTOR",(SQRT(3)*AH63*O63*((AA63*P63)+(AB63*SIN(ACOS(P63))))*100/(AP63*K63*1000)),"NA")</f>
        <v>NA</v>
      </c>
      <c r="AU63" s="343" t="str">
        <f>IF(G63="MOTOR",IF(AT63&lt;=15,"YES","NO"),"NA")</f>
        <v>NA</v>
      </c>
      <c r="AV63" s="351" t="str">
        <f>IF(U63="1C",CONCATENATE(AP63,"R x ",Y63,"kV x ",U63," x ",V63," Sqmm/Phase"),CONCATENATE(AP63,"R x ",0.6,"/1kV x ",U63," x ",V63," Sqmm"))</f>
        <v>1R x 0.6/1kV x 4C x 16 Sqmm</v>
      </c>
      <c r="AW63" s="351" t="str">
        <f t="shared" si="307"/>
        <v>1R x 0.6/1kV x 4C x 16 Sqmm</v>
      </c>
      <c r="AX63" s="343">
        <f>(IF(K63=400,(IF(U63="1C",(4*AH63*AP63),(AH63*AP63))),IF(K63=230,(AH63*AP63))))</f>
        <v>29</v>
      </c>
      <c r="AY63" s="343"/>
      <c r="AZ63" s="343">
        <f>IF(U63="1C",(3*AP63*2),(AP63*2))</f>
        <v>2</v>
      </c>
      <c r="BA63" s="356" t="str">
        <f t="shared" si="308"/>
        <v/>
      </c>
      <c r="BB63" s="336">
        <f>VLOOKUP(W63,'Catalogue Aluminium'!$B$9:$H$93,7,FALSE)</f>
        <v>21</v>
      </c>
      <c r="BC63" s="336">
        <f>AP63*BB63</f>
        <v>21</v>
      </c>
      <c r="BE63" s="336"/>
      <c r="BF63" s="336"/>
      <c r="BG63" s="336"/>
      <c r="BH63" s="336"/>
      <c r="BI63" s="336"/>
      <c r="BJ63" s="336"/>
      <c r="BK63" s="336"/>
      <c r="BL63" s="336"/>
      <c r="BM63" s="336"/>
      <c r="BN63" s="336"/>
      <c r="BO63" s="336"/>
      <c r="BP63" s="336"/>
      <c r="BQ63" s="336"/>
      <c r="BR63" s="336"/>
      <c r="BS63" s="336"/>
      <c r="BT63" s="336"/>
      <c r="BU63" s="336"/>
      <c r="BV63" s="336"/>
      <c r="BW63" s="336"/>
      <c r="BX63" s="336"/>
      <c r="BY63" s="336"/>
      <c r="BZ63" s="336"/>
      <c r="CA63" s="336"/>
      <c r="CB63" s="336"/>
      <c r="CC63" s="336"/>
      <c r="CD63" s="336"/>
      <c r="CE63" s="336"/>
      <c r="CF63" s="336"/>
      <c r="CG63" s="336"/>
      <c r="CH63" s="336"/>
      <c r="CI63" s="336"/>
      <c r="CJ63" s="336"/>
      <c r="CK63" s="336"/>
      <c r="CL63" s="336"/>
      <c r="CM63" s="336"/>
      <c r="CN63" s="336"/>
      <c r="CO63" s="336"/>
      <c r="CP63" s="336"/>
      <c r="CQ63" s="336"/>
      <c r="CR63" s="336"/>
      <c r="CS63" s="336"/>
      <c r="CT63" s="336"/>
      <c r="CU63" s="336"/>
      <c r="CV63" s="336"/>
      <c r="CW63" s="336"/>
      <c r="CX63" s="336"/>
      <c r="CY63" s="336"/>
      <c r="CZ63" s="755"/>
      <c r="DA63" s="755"/>
      <c r="DB63" s="755"/>
      <c r="DC63" s="755"/>
      <c r="DD63" s="755"/>
      <c r="DE63" s="755"/>
      <c r="DF63" s="755"/>
      <c r="DG63" s="755"/>
      <c r="DH63" s="755"/>
      <c r="DI63" s="755"/>
      <c r="DJ63" s="755"/>
      <c r="DK63" s="755"/>
      <c r="DL63" s="755"/>
      <c r="DM63" s="755"/>
      <c r="DN63" s="755"/>
      <c r="DO63" s="755"/>
      <c r="DP63" s="755"/>
      <c r="DQ63" s="755"/>
      <c r="DR63" s="755"/>
      <c r="DS63" s="755"/>
      <c r="DT63" s="755"/>
      <c r="DU63" s="755"/>
      <c r="DW63" s="336">
        <f t="shared" si="93"/>
        <v>0</v>
      </c>
      <c r="DX63" s="336">
        <f t="shared" si="14"/>
        <v>0</v>
      </c>
      <c r="DY63" s="336">
        <f t="shared" si="15"/>
        <v>0</v>
      </c>
      <c r="DZ63" s="336">
        <f t="shared" si="16"/>
        <v>0</v>
      </c>
      <c r="EA63" s="336">
        <f t="shared" si="17"/>
        <v>0</v>
      </c>
      <c r="EB63" s="336">
        <f t="shared" si="18"/>
        <v>0</v>
      </c>
      <c r="EC63" s="336">
        <f t="shared" si="19"/>
        <v>0</v>
      </c>
      <c r="ED63" s="336">
        <f t="shared" si="20"/>
        <v>0</v>
      </c>
      <c r="EE63" s="336">
        <f t="shared" si="21"/>
        <v>0</v>
      </c>
      <c r="EF63" s="336">
        <f t="shared" si="22"/>
        <v>0</v>
      </c>
      <c r="EG63" s="336">
        <f t="shared" si="23"/>
        <v>0</v>
      </c>
      <c r="EH63" s="336">
        <f t="shared" si="24"/>
        <v>0</v>
      </c>
      <c r="EI63" s="336">
        <f t="shared" si="25"/>
        <v>0</v>
      </c>
      <c r="EJ63" s="336">
        <f t="shared" si="26"/>
        <v>0</v>
      </c>
      <c r="EK63" s="336">
        <f t="shared" si="27"/>
        <v>0</v>
      </c>
      <c r="EL63" s="336">
        <f t="shared" si="28"/>
        <v>0</v>
      </c>
      <c r="EM63" s="336">
        <f t="shared" si="29"/>
        <v>0</v>
      </c>
      <c r="EN63" s="336">
        <f t="shared" si="30"/>
        <v>0</v>
      </c>
      <c r="EO63" s="336">
        <f t="shared" si="31"/>
        <v>0</v>
      </c>
      <c r="EP63" s="336">
        <f t="shared" si="32"/>
        <v>0</v>
      </c>
      <c r="EQ63" s="336">
        <f t="shared" si="33"/>
        <v>0</v>
      </c>
      <c r="ER63" s="336">
        <f t="shared" si="34"/>
        <v>0</v>
      </c>
      <c r="ES63" s="336">
        <f t="shared" si="35"/>
        <v>0</v>
      </c>
      <c r="ET63" s="336">
        <f t="shared" si="35"/>
        <v>0</v>
      </c>
      <c r="EU63" s="336">
        <f t="shared" si="36"/>
        <v>0</v>
      </c>
      <c r="EV63" s="336">
        <f t="shared" si="37"/>
        <v>0</v>
      </c>
      <c r="EW63" s="336">
        <f t="shared" si="38"/>
        <v>0</v>
      </c>
      <c r="EX63" s="336">
        <f t="shared" si="39"/>
        <v>0</v>
      </c>
      <c r="EY63" s="336">
        <f t="shared" si="40"/>
        <v>0</v>
      </c>
      <c r="EZ63" s="336">
        <f t="shared" si="41"/>
        <v>0</v>
      </c>
      <c r="FA63" s="336">
        <f t="shared" si="42"/>
        <v>0</v>
      </c>
      <c r="FB63" s="336">
        <f t="shared" si="43"/>
        <v>0</v>
      </c>
      <c r="FC63" s="336">
        <f t="shared" si="44"/>
        <v>0</v>
      </c>
      <c r="FD63" s="336">
        <f t="shared" si="45"/>
        <v>0</v>
      </c>
      <c r="FE63" s="336">
        <f t="shared" si="46"/>
        <v>0</v>
      </c>
      <c r="FF63" s="336">
        <f t="shared" si="47"/>
        <v>0</v>
      </c>
      <c r="FG63" s="336">
        <f t="shared" si="48"/>
        <v>0</v>
      </c>
      <c r="FH63" s="336">
        <f t="shared" si="49"/>
        <v>0</v>
      </c>
      <c r="FI63" s="336">
        <f t="shared" si="50"/>
        <v>0</v>
      </c>
      <c r="FJ63" s="336">
        <f t="shared" si="51"/>
        <v>0</v>
      </c>
      <c r="FK63" s="336">
        <f t="shared" si="52"/>
        <v>0</v>
      </c>
      <c r="FL63" s="336">
        <f t="shared" si="53"/>
        <v>0</v>
      </c>
      <c r="FM63" s="336">
        <f t="shared" si="54"/>
        <v>0</v>
      </c>
      <c r="FN63" s="336">
        <f t="shared" si="55"/>
        <v>0</v>
      </c>
      <c r="FO63" s="336">
        <f t="shared" si="56"/>
        <v>0</v>
      </c>
      <c r="FP63" s="336">
        <f t="shared" si="57"/>
        <v>0</v>
      </c>
      <c r="FQ63" s="336">
        <f t="shared" si="58"/>
        <v>0</v>
      </c>
      <c r="FR63" s="336">
        <f t="shared" si="59"/>
        <v>0</v>
      </c>
      <c r="FS63" s="336">
        <f t="shared" si="60"/>
        <v>0</v>
      </c>
      <c r="FT63" s="336">
        <f t="shared" si="61"/>
        <v>0</v>
      </c>
      <c r="FU63" s="336">
        <f t="shared" si="62"/>
        <v>0</v>
      </c>
      <c r="FV63" s="336">
        <f t="shared" si="63"/>
        <v>0</v>
      </c>
      <c r="FW63" s="336">
        <f t="shared" si="64"/>
        <v>0</v>
      </c>
      <c r="FX63" s="336">
        <f t="shared" si="65"/>
        <v>0</v>
      </c>
      <c r="FY63" s="336">
        <f t="shared" si="66"/>
        <v>0</v>
      </c>
      <c r="FZ63" s="336">
        <f t="shared" si="67"/>
        <v>0</v>
      </c>
      <c r="GA63" s="336">
        <f t="shared" si="68"/>
        <v>0</v>
      </c>
      <c r="GB63" s="336">
        <f t="shared" si="69"/>
        <v>0</v>
      </c>
      <c r="GC63" s="336">
        <f t="shared" si="70"/>
        <v>0</v>
      </c>
      <c r="GD63" s="336">
        <f t="shared" si="71"/>
        <v>0</v>
      </c>
      <c r="GE63" s="336">
        <f t="shared" si="72"/>
        <v>0</v>
      </c>
      <c r="GF63" s="336">
        <f t="shared" si="73"/>
        <v>0</v>
      </c>
      <c r="GG63" s="336">
        <f t="shared" si="74"/>
        <v>0</v>
      </c>
      <c r="GH63" s="336">
        <f t="shared" si="75"/>
        <v>0</v>
      </c>
      <c r="GI63" s="336">
        <f t="shared" si="76"/>
        <v>0</v>
      </c>
      <c r="GJ63" s="336">
        <f t="shared" si="77"/>
        <v>0</v>
      </c>
      <c r="GK63" s="336">
        <f t="shared" si="78"/>
        <v>0</v>
      </c>
      <c r="GL63" s="336">
        <f t="shared" si="79"/>
        <v>0</v>
      </c>
      <c r="GM63" s="336">
        <f t="shared" si="80"/>
        <v>0</v>
      </c>
    </row>
    <row r="64" spans="1:195" ht="15">
      <c r="A64" s="337">
        <f t="shared" si="309"/>
        <v>45</v>
      </c>
      <c r="B64" s="337" t="s">
        <v>1450</v>
      </c>
      <c r="C64" s="337"/>
      <c r="D64" s="372" t="s">
        <v>1510</v>
      </c>
      <c r="E64" s="500" t="s">
        <v>732</v>
      </c>
      <c r="F64" s="500"/>
      <c r="G64" s="340" t="s">
        <v>337</v>
      </c>
      <c r="H64" s="350">
        <v>42.5</v>
      </c>
      <c r="I64" s="337" t="s">
        <v>330</v>
      </c>
      <c r="J64" s="337" t="s">
        <v>331</v>
      </c>
      <c r="K64" s="349">
        <v>400</v>
      </c>
      <c r="L64" s="343">
        <v>0.84999999999999987</v>
      </c>
      <c r="M64" s="350">
        <v>0.95099999999999985</v>
      </c>
      <c r="N64" s="342">
        <v>125</v>
      </c>
      <c r="O64" s="926"/>
      <c r="P64" s="927"/>
      <c r="Q64" s="927"/>
      <c r="R64" s="927"/>
      <c r="S64" s="927"/>
      <c r="T64" s="927"/>
      <c r="U64" s="927"/>
      <c r="V64" s="927"/>
      <c r="W64" s="927"/>
      <c r="X64" s="927"/>
      <c r="Y64" s="927"/>
      <c r="Z64" s="927"/>
      <c r="AA64" s="927"/>
      <c r="AB64" s="927"/>
      <c r="AC64" s="927"/>
      <c r="AD64" s="927"/>
      <c r="AE64" s="927"/>
      <c r="AF64" s="927"/>
      <c r="AG64" s="927"/>
      <c r="AH64" s="927"/>
      <c r="AI64" s="927"/>
      <c r="AJ64" s="927"/>
      <c r="AK64" s="927"/>
      <c r="AL64" s="927"/>
      <c r="AM64" s="927"/>
      <c r="AN64" s="927"/>
      <c r="AO64" s="927"/>
      <c r="AP64" s="927"/>
      <c r="AQ64" s="927"/>
      <c r="AR64" s="927"/>
      <c r="AS64" s="927"/>
      <c r="AT64" s="927"/>
      <c r="AU64" s="927"/>
      <c r="AV64" s="927"/>
      <c r="AW64" s="927"/>
      <c r="AX64" s="927"/>
      <c r="AY64" s="927"/>
      <c r="AZ64" s="927"/>
      <c r="BA64" s="927"/>
      <c r="BB64" s="927"/>
      <c r="BC64" s="1020"/>
      <c r="BE64" s="336"/>
      <c r="BF64" s="336"/>
      <c r="BG64" s="336"/>
      <c r="BH64" s="336"/>
      <c r="BI64" s="336"/>
      <c r="BJ64" s="336"/>
      <c r="BK64" s="336"/>
      <c r="BL64" s="336"/>
      <c r="BM64" s="336"/>
      <c r="BN64" s="336"/>
      <c r="BO64" s="336"/>
      <c r="BP64" s="336"/>
      <c r="BQ64" s="336"/>
      <c r="BR64" s="336"/>
      <c r="BS64" s="336"/>
      <c r="BT64" s="336"/>
      <c r="BU64" s="336"/>
      <c r="BV64" s="336"/>
      <c r="BW64" s="336"/>
      <c r="BX64" s="336"/>
      <c r="BY64" s="336"/>
      <c r="BZ64" s="336"/>
      <c r="CA64" s="336"/>
      <c r="CB64" s="336"/>
      <c r="CC64" s="336"/>
      <c r="CD64" s="336"/>
      <c r="CE64" s="336"/>
      <c r="CF64" s="336"/>
      <c r="CG64" s="336"/>
      <c r="CH64" s="336"/>
      <c r="CI64" s="336"/>
      <c r="CJ64" s="336"/>
      <c r="CK64" s="336"/>
      <c r="CL64" s="336"/>
      <c r="CM64" s="336"/>
      <c r="CN64" s="336"/>
      <c r="CO64" s="336"/>
      <c r="CP64" s="336"/>
      <c r="CQ64" s="336"/>
      <c r="CR64" s="336"/>
      <c r="CS64" s="336"/>
      <c r="CT64" s="336"/>
      <c r="CU64" s="336"/>
      <c r="CV64" s="336"/>
      <c r="CW64" s="336"/>
      <c r="CX64" s="336"/>
      <c r="CY64" s="336"/>
      <c r="CZ64" s="752"/>
      <c r="DA64" s="752"/>
      <c r="DB64" s="752"/>
      <c r="DC64" s="752"/>
      <c r="DD64" s="752"/>
      <c r="DE64" s="752"/>
      <c r="DF64" s="752"/>
      <c r="DG64" s="752"/>
      <c r="DH64" s="752"/>
      <c r="DI64" s="752"/>
      <c r="DJ64" s="752"/>
      <c r="DK64" s="752"/>
      <c r="DL64" s="752"/>
      <c r="DM64" s="752"/>
      <c r="DN64" s="752"/>
      <c r="DO64" s="752"/>
      <c r="DP64" s="752"/>
      <c r="DQ64" s="752"/>
      <c r="DR64" s="752"/>
      <c r="DS64" s="752"/>
      <c r="DT64" s="752"/>
      <c r="DU64" s="752"/>
      <c r="DW64" s="336">
        <f t="shared" si="93"/>
        <v>0</v>
      </c>
      <c r="DX64" s="336">
        <f t="shared" ref="DX64:DX98" si="311">IF(BF64=1,($BC64*BF64),0)</f>
        <v>0</v>
      </c>
      <c r="DY64" s="336">
        <f t="shared" ref="DY64:DY98" si="312">IF(BG64=1,($BC64*BG64),0)</f>
        <v>0</v>
      </c>
      <c r="DZ64" s="336">
        <f t="shared" ref="DZ64:DZ98" si="313">IF(BH64=1,($BC64*BH64),0)</f>
        <v>0</v>
      </c>
      <c r="EA64" s="336">
        <f t="shared" ref="EA64:EA98" si="314">IF(BI64=1,($BC64*BI64),0)</f>
        <v>0</v>
      </c>
      <c r="EB64" s="336">
        <f t="shared" ref="EB64:EB98" si="315">IF(BJ64=1,($BC64*BJ64),0)</f>
        <v>0</v>
      </c>
      <c r="EC64" s="336">
        <f t="shared" ref="EC64:EC98" si="316">IF(BK64=1,($BC64*BK64),0)</f>
        <v>0</v>
      </c>
      <c r="ED64" s="336">
        <f t="shared" ref="ED64:ED98" si="317">IF(BL64=1,($BC64*BL64),0)</f>
        <v>0</v>
      </c>
      <c r="EE64" s="336">
        <f t="shared" ref="EE64:EE98" si="318">IF(BM64=1,($BC64*BM64),0)</f>
        <v>0</v>
      </c>
      <c r="EF64" s="336">
        <f t="shared" ref="EF64:EF98" si="319">IF(BN64=1,($BC64*BN64),0)</f>
        <v>0</v>
      </c>
      <c r="EG64" s="336">
        <f t="shared" ref="EG64:EG98" si="320">IF(BO64=1,($BC64*BO64),0)</f>
        <v>0</v>
      </c>
      <c r="EH64" s="336">
        <f t="shared" ref="EH64:EH98" si="321">IF(BP64=1,($BC64*BP64),0)</f>
        <v>0</v>
      </c>
      <c r="EI64" s="336">
        <f t="shared" ref="EI64:EI98" si="322">IF(BQ64=1,($BC64*BQ64),0)</f>
        <v>0</v>
      </c>
      <c r="EJ64" s="336">
        <f t="shared" ref="EJ64:EJ98" si="323">IF(BR64=1,($BC64*BR64),0)</f>
        <v>0</v>
      </c>
      <c r="EK64" s="336">
        <f t="shared" ref="EK64:EK98" si="324">IF(BS64=1,($BC64*BS64),0)</f>
        <v>0</v>
      </c>
      <c r="EL64" s="336">
        <f t="shared" ref="EL64:EL98" si="325">IF(BT64=1,($BC64*BT64),0)</f>
        <v>0</v>
      </c>
      <c r="EM64" s="336">
        <f t="shared" ref="EM64:EM98" si="326">IF(BU64=1,($BC64*BU64),0)</f>
        <v>0</v>
      </c>
      <c r="EN64" s="336">
        <f t="shared" ref="EN64:EN98" si="327">IF(BV64=1,($BC64*BV64),0)</f>
        <v>0</v>
      </c>
      <c r="EO64" s="336">
        <f t="shared" ref="EO64:EO98" si="328">IF(BW64=1,($BC64*BW64),0)</f>
        <v>0</v>
      </c>
      <c r="EP64" s="336">
        <f t="shared" ref="EP64:EP98" si="329">IF(BX64=1,($BC64*BX64),0)</f>
        <v>0</v>
      </c>
      <c r="EQ64" s="336">
        <f t="shared" ref="EQ64:EQ98" si="330">IF(BY64=1,($BC64*BY64),0)</f>
        <v>0</v>
      </c>
      <c r="ER64" s="336">
        <f t="shared" ref="ER64:ER98" si="331">IF(BZ64=1,($BC64*BZ64),0)</f>
        <v>0</v>
      </c>
      <c r="ES64" s="336">
        <f t="shared" ref="ES64:ET98" si="332">IF(CA64=1,($BC64*CA64),0)</f>
        <v>0</v>
      </c>
      <c r="ET64" s="336">
        <f t="shared" si="332"/>
        <v>0</v>
      </c>
      <c r="EU64" s="336">
        <f t="shared" ref="EU64:EU98" si="333">IF(CC64=1,($BC64*CC64),0)</f>
        <v>0</v>
      </c>
      <c r="EV64" s="336">
        <f t="shared" ref="EV64:EV98" si="334">IF(CD64=1,($BC64*CD64),0)</f>
        <v>0</v>
      </c>
      <c r="EW64" s="336">
        <f t="shared" ref="EW64:EW98" si="335">IF(CE64=1,($BC64*CE64),0)</f>
        <v>0</v>
      </c>
      <c r="EX64" s="336">
        <f t="shared" ref="EX64:EX98" si="336">IF(CF64=1,($BC64*CF64),0)</f>
        <v>0</v>
      </c>
      <c r="EY64" s="336">
        <f t="shared" ref="EY64:EY98" si="337">IF(CG64=1,($BC64*CG64),0)</f>
        <v>0</v>
      </c>
      <c r="EZ64" s="336">
        <f t="shared" ref="EZ64:EZ98" si="338">IF(CH64=1,($BC64*CH64),0)</f>
        <v>0</v>
      </c>
      <c r="FA64" s="336">
        <f t="shared" ref="FA64:FA98" si="339">IF(CI64=1,($BC64*CI64),0)</f>
        <v>0</v>
      </c>
      <c r="FB64" s="336">
        <f t="shared" ref="FB64:FB98" si="340">IF(CJ64=1,($BC64*CJ64),0)</f>
        <v>0</v>
      </c>
      <c r="FC64" s="336">
        <f t="shared" ref="FC64:FC98" si="341">IF(CK64=1,($BC64*CK64),0)</f>
        <v>0</v>
      </c>
      <c r="FD64" s="336">
        <f t="shared" ref="FD64:FD98" si="342">IF(CL64=1,($BC64*CL64),0)</f>
        <v>0</v>
      </c>
      <c r="FE64" s="336">
        <f t="shared" ref="FE64:FE98" si="343">IF(CM64=1,($BC64*CM64),0)</f>
        <v>0</v>
      </c>
      <c r="FF64" s="336">
        <f t="shared" ref="FF64:FF98" si="344">IF(CN64=1,($BC64*CN64),0)</f>
        <v>0</v>
      </c>
      <c r="FG64" s="336">
        <f t="shared" ref="FG64:FG98" si="345">IF(CO64=1,($BC64*CO64),0)</f>
        <v>0</v>
      </c>
      <c r="FH64" s="336">
        <f t="shared" ref="FH64:FH98" si="346">IF(CP64=1,($BC64*CP64),0)</f>
        <v>0</v>
      </c>
      <c r="FI64" s="336">
        <f t="shared" ref="FI64:FI98" si="347">IF(CQ64=1,($BC64*CQ64),0)</f>
        <v>0</v>
      </c>
      <c r="FJ64" s="336">
        <f t="shared" ref="FJ64:FJ98" si="348">IF(CR64=1,($BC64*CR64),0)</f>
        <v>0</v>
      </c>
      <c r="FK64" s="336">
        <f t="shared" ref="FK64:FK98" si="349">IF(CS64=1,($BC64*CS64),0)</f>
        <v>0</v>
      </c>
      <c r="FL64" s="336">
        <f t="shared" ref="FL64:FL98" si="350">IF(CT64=1,($BC64*CT64),0)</f>
        <v>0</v>
      </c>
      <c r="FM64" s="336">
        <f t="shared" ref="FM64:FM98" si="351">IF(CU64=1,($BC64*CU64),0)</f>
        <v>0</v>
      </c>
      <c r="FN64" s="336">
        <f t="shared" ref="FN64:FN98" si="352">IF(CV64=1,($BC64*CV64),0)</f>
        <v>0</v>
      </c>
      <c r="FO64" s="336">
        <f t="shared" ref="FO64:FO98" si="353">IF(CW64=1,($BC64*CW64),0)</f>
        <v>0</v>
      </c>
      <c r="FP64" s="336">
        <f t="shared" ref="FP64:FP98" si="354">IF(CX64=1,($BC64*CX64),0)</f>
        <v>0</v>
      </c>
      <c r="FQ64" s="336">
        <f t="shared" ref="FQ64:FQ98" si="355">IF(CY64=1,($BC64*CY64),0)</f>
        <v>0</v>
      </c>
      <c r="FR64" s="336">
        <f t="shared" ref="FR64:FR98" si="356">IF(CZ64=1,($BC64*CZ64),0)</f>
        <v>0</v>
      </c>
      <c r="FS64" s="336">
        <f t="shared" ref="FS64:FS98" si="357">IF(DA64=1,($BC64*DA64),0)</f>
        <v>0</v>
      </c>
      <c r="FT64" s="336">
        <f t="shared" ref="FT64:FT98" si="358">IF(DB64=1,($BC64*DB64),0)</f>
        <v>0</v>
      </c>
      <c r="FU64" s="336">
        <f t="shared" si="62"/>
        <v>0</v>
      </c>
      <c r="FV64" s="336">
        <f t="shared" si="63"/>
        <v>0</v>
      </c>
      <c r="FW64" s="336">
        <f t="shared" si="64"/>
        <v>0</v>
      </c>
      <c r="FX64" s="336">
        <f t="shared" si="65"/>
        <v>0</v>
      </c>
      <c r="FY64" s="336">
        <f t="shared" si="66"/>
        <v>0</v>
      </c>
      <c r="FZ64" s="336">
        <f t="shared" si="67"/>
        <v>0</v>
      </c>
      <c r="GA64" s="336">
        <f t="shared" si="68"/>
        <v>0</v>
      </c>
      <c r="GB64" s="336">
        <f t="shared" si="69"/>
        <v>0</v>
      </c>
      <c r="GC64" s="336">
        <f t="shared" si="70"/>
        <v>0</v>
      </c>
      <c r="GD64" s="336">
        <f t="shared" si="71"/>
        <v>0</v>
      </c>
      <c r="GE64" s="336">
        <f t="shared" si="72"/>
        <v>0</v>
      </c>
      <c r="GF64" s="336">
        <f t="shared" si="73"/>
        <v>0</v>
      </c>
      <c r="GG64" s="336">
        <f t="shared" si="74"/>
        <v>0</v>
      </c>
      <c r="GH64" s="336">
        <f t="shared" si="75"/>
        <v>0</v>
      </c>
      <c r="GI64" s="336">
        <f t="shared" si="76"/>
        <v>0</v>
      </c>
      <c r="GJ64" s="336">
        <f t="shared" si="77"/>
        <v>0</v>
      </c>
      <c r="GK64" s="336">
        <f t="shared" si="78"/>
        <v>0</v>
      </c>
      <c r="GL64" s="336">
        <f t="shared" si="79"/>
        <v>0</v>
      </c>
      <c r="GM64" s="336">
        <f t="shared" si="80"/>
        <v>0</v>
      </c>
    </row>
    <row r="65" spans="1:195" s="76" customFormat="1" ht="26.25" hidden="1" customHeight="1">
      <c r="A65" s="807" t="s">
        <v>334</v>
      </c>
      <c r="B65" s="531"/>
      <c r="C65" s="531"/>
      <c r="D65" s="477" t="s">
        <v>1511</v>
      </c>
      <c r="E65" s="533"/>
      <c r="F65" s="533"/>
      <c r="G65" s="531"/>
      <c r="H65" s="534"/>
      <c r="I65" s="531"/>
      <c r="J65" s="531"/>
      <c r="K65" s="535"/>
      <c r="L65" s="536"/>
      <c r="M65" s="534"/>
      <c r="N65" s="537"/>
      <c r="O65" s="537"/>
      <c r="P65" s="536"/>
      <c r="Q65" s="534"/>
      <c r="R65" s="534"/>
      <c r="S65" s="534"/>
      <c r="T65" s="536"/>
      <c r="U65" s="534"/>
      <c r="V65" s="536"/>
      <c r="W65" s="536"/>
      <c r="X65" s="536"/>
      <c r="Y65" s="536"/>
      <c r="Z65" s="538"/>
      <c r="AA65" s="539"/>
      <c r="AB65" s="539"/>
      <c r="AC65" s="491"/>
      <c r="AD65" s="491"/>
      <c r="AE65" s="491"/>
      <c r="AF65" s="491"/>
      <c r="AG65" s="491"/>
      <c r="AH65" s="805"/>
      <c r="AI65" s="538"/>
      <c r="AJ65" s="537"/>
      <c r="AK65" s="538"/>
      <c r="AL65" s="538"/>
      <c r="AM65" s="538"/>
      <c r="AN65" s="541"/>
      <c r="AO65" s="534"/>
      <c r="AP65" s="535"/>
      <c r="AQ65" s="534"/>
      <c r="AR65" s="541"/>
      <c r="AS65" s="536"/>
      <c r="AT65" s="541"/>
      <c r="AU65" s="541"/>
      <c r="AV65" s="542"/>
      <c r="AW65" s="542"/>
      <c r="AX65" s="536"/>
      <c r="AY65" s="543"/>
      <c r="AZ65" s="543"/>
      <c r="BA65" s="536"/>
      <c r="BB65" s="490"/>
      <c r="BC65" s="490"/>
      <c r="BD65" s="61"/>
      <c r="BE65" s="336"/>
      <c r="BF65" s="336"/>
      <c r="BG65" s="336"/>
      <c r="BH65" s="336"/>
      <c r="BI65" s="336"/>
      <c r="BJ65" s="336"/>
      <c r="BK65" s="336"/>
      <c r="BL65" s="336"/>
      <c r="BM65" s="336"/>
      <c r="BN65" s="336"/>
      <c r="BO65" s="336"/>
      <c r="BP65" s="336"/>
      <c r="BQ65" s="336"/>
      <c r="BR65" s="336"/>
      <c r="BS65" s="336"/>
      <c r="BT65" s="336"/>
      <c r="BU65" s="336"/>
      <c r="BV65" s="336"/>
      <c r="BW65" s="336"/>
      <c r="BX65" s="336"/>
      <c r="BY65" s="336"/>
      <c r="BZ65" s="336"/>
      <c r="CA65" s="336"/>
      <c r="CB65" s="336"/>
      <c r="CC65" s="336"/>
      <c r="CD65" s="336"/>
      <c r="CE65" s="336"/>
      <c r="CF65" s="336"/>
      <c r="CG65" s="336"/>
      <c r="CH65" s="336"/>
      <c r="CI65" s="336"/>
      <c r="CJ65" s="336"/>
      <c r="CK65" s="336"/>
      <c r="CL65" s="336"/>
      <c r="CM65" s="336"/>
      <c r="CN65" s="336"/>
      <c r="CO65" s="336"/>
      <c r="CP65" s="336"/>
      <c r="CQ65" s="336"/>
      <c r="CR65" s="336"/>
      <c r="CS65" s="336"/>
      <c r="CT65" s="336"/>
      <c r="CU65" s="336"/>
      <c r="CV65" s="336"/>
      <c r="CW65" s="336"/>
      <c r="CX65" s="336"/>
      <c r="CY65" s="336"/>
      <c r="CZ65" s="336"/>
      <c r="DA65" s="336"/>
      <c r="DB65" s="336"/>
      <c r="DC65" s="336"/>
      <c r="DD65" s="336"/>
      <c r="DE65" s="336"/>
      <c r="DF65" s="336"/>
      <c r="DG65" s="336"/>
      <c r="DH65" s="336"/>
      <c r="DI65" s="336"/>
      <c r="DJ65" s="336"/>
      <c r="DK65" s="336"/>
      <c r="DL65" s="336"/>
      <c r="DM65" s="336"/>
      <c r="DN65" s="336"/>
      <c r="DO65" s="336"/>
      <c r="DP65" s="336"/>
      <c r="DQ65" s="336"/>
      <c r="DR65" s="336"/>
      <c r="DS65" s="336"/>
      <c r="DT65" s="336"/>
      <c r="DU65" s="336"/>
      <c r="DV65" s="61"/>
      <c r="DW65" s="336">
        <f t="shared" si="93"/>
        <v>0</v>
      </c>
      <c r="DX65" s="336">
        <f t="shared" si="311"/>
        <v>0</v>
      </c>
      <c r="DY65" s="336">
        <f t="shared" si="312"/>
        <v>0</v>
      </c>
      <c r="DZ65" s="336">
        <f t="shared" si="313"/>
        <v>0</v>
      </c>
      <c r="EA65" s="336">
        <f t="shared" si="314"/>
        <v>0</v>
      </c>
      <c r="EB65" s="336">
        <f t="shared" si="315"/>
        <v>0</v>
      </c>
      <c r="EC65" s="336">
        <f t="shared" si="316"/>
        <v>0</v>
      </c>
      <c r="ED65" s="336">
        <f t="shared" si="317"/>
        <v>0</v>
      </c>
      <c r="EE65" s="336">
        <f t="shared" si="318"/>
        <v>0</v>
      </c>
      <c r="EF65" s="336">
        <f t="shared" si="319"/>
        <v>0</v>
      </c>
      <c r="EG65" s="336">
        <f t="shared" si="320"/>
        <v>0</v>
      </c>
      <c r="EH65" s="336">
        <f t="shared" si="321"/>
        <v>0</v>
      </c>
      <c r="EI65" s="336">
        <f t="shared" si="322"/>
        <v>0</v>
      </c>
      <c r="EJ65" s="336">
        <f t="shared" si="323"/>
        <v>0</v>
      </c>
      <c r="EK65" s="336">
        <f t="shared" si="324"/>
        <v>0</v>
      </c>
      <c r="EL65" s="336">
        <f t="shared" si="325"/>
        <v>0</v>
      </c>
      <c r="EM65" s="336">
        <f t="shared" si="326"/>
        <v>0</v>
      </c>
      <c r="EN65" s="336">
        <f t="shared" si="327"/>
        <v>0</v>
      </c>
      <c r="EO65" s="336">
        <f t="shared" si="328"/>
        <v>0</v>
      </c>
      <c r="EP65" s="336">
        <f t="shared" si="329"/>
        <v>0</v>
      </c>
      <c r="EQ65" s="336">
        <f t="shared" si="330"/>
        <v>0</v>
      </c>
      <c r="ER65" s="336">
        <f t="shared" si="331"/>
        <v>0</v>
      </c>
      <c r="ES65" s="336">
        <f t="shared" si="332"/>
        <v>0</v>
      </c>
      <c r="ET65" s="336">
        <f t="shared" si="332"/>
        <v>0</v>
      </c>
      <c r="EU65" s="336">
        <f t="shared" si="333"/>
        <v>0</v>
      </c>
      <c r="EV65" s="336">
        <f t="shared" si="334"/>
        <v>0</v>
      </c>
      <c r="EW65" s="336">
        <f t="shared" si="335"/>
        <v>0</v>
      </c>
      <c r="EX65" s="336">
        <f t="shared" si="336"/>
        <v>0</v>
      </c>
      <c r="EY65" s="336">
        <f t="shared" si="337"/>
        <v>0</v>
      </c>
      <c r="EZ65" s="336">
        <f t="shared" si="338"/>
        <v>0</v>
      </c>
      <c r="FA65" s="336">
        <f t="shared" si="339"/>
        <v>0</v>
      </c>
      <c r="FB65" s="336">
        <f t="shared" si="340"/>
        <v>0</v>
      </c>
      <c r="FC65" s="336">
        <f t="shared" si="341"/>
        <v>0</v>
      </c>
      <c r="FD65" s="336">
        <f t="shared" si="342"/>
        <v>0</v>
      </c>
      <c r="FE65" s="336">
        <f t="shared" si="343"/>
        <v>0</v>
      </c>
      <c r="FF65" s="336">
        <f t="shared" si="344"/>
        <v>0</v>
      </c>
      <c r="FG65" s="336">
        <f t="shared" si="345"/>
        <v>0</v>
      </c>
      <c r="FH65" s="336">
        <f t="shared" si="346"/>
        <v>0</v>
      </c>
      <c r="FI65" s="336">
        <f t="shared" si="347"/>
        <v>0</v>
      </c>
      <c r="FJ65" s="336">
        <f t="shared" si="348"/>
        <v>0</v>
      </c>
      <c r="FK65" s="336">
        <f t="shared" si="349"/>
        <v>0</v>
      </c>
      <c r="FL65" s="336">
        <f t="shared" si="350"/>
        <v>0</v>
      </c>
      <c r="FM65" s="336">
        <f t="shared" si="351"/>
        <v>0</v>
      </c>
      <c r="FN65" s="336">
        <f t="shared" si="352"/>
        <v>0</v>
      </c>
      <c r="FO65" s="336">
        <f t="shared" si="353"/>
        <v>0</v>
      </c>
      <c r="FP65" s="336">
        <f t="shared" si="354"/>
        <v>0</v>
      </c>
      <c r="FQ65" s="336">
        <f t="shared" si="355"/>
        <v>0</v>
      </c>
      <c r="FR65" s="336">
        <f t="shared" si="356"/>
        <v>0</v>
      </c>
      <c r="FS65" s="336">
        <f t="shared" si="357"/>
        <v>0</v>
      </c>
      <c r="FT65" s="336">
        <f t="shared" si="358"/>
        <v>0</v>
      </c>
      <c r="FU65" s="336">
        <f t="shared" si="62"/>
        <v>0</v>
      </c>
      <c r="FV65" s="336">
        <f t="shared" si="63"/>
        <v>0</v>
      </c>
      <c r="FW65" s="336">
        <f t="shared" si="64"/>
        <v>0</v>
      </c>
      <c r="FX65" s="336">
        <f t="shared" si="65"/>
        <v>0</v>
      </c>
      <c r="FY65" s="336">
        <f t="shared" si="66"/>
        <v>0</v>
      </c>
      <c r="FZ65" s="336">
        <f t="shared" si="67"/>
        <v>0</v>
      </c>
      <c r="GA65" s="336">
        <f t="shared" si="68"/>
        <v>0</v>
      </c>
      <c r="GB65" s="336">
        <f t="shared" si="69"/>
        <v>0</v>
      </c>
      <c r="GC65" s="336">
        <f t="shared" si="70"/>
        <v>0</v>
      </c>
      <c r="GD65" s="336">
        <f t="shared" si="71"/>
        <v>0</v>
      </c>
      <c r="GE65" s="336">
        <f t="shared" si="72"/>
        <v>0</v>
      </c>
      <c r="GF65" s="336">
        <f t="shared" si="73"/>
        <v>0</v>
      </c>
      <c r="GG65" s="336">
        <f t="shared" si="74"/>
        <v>0</v>
      </c>
      <c r="GH65" s="336">
        <f t="shared" si="75"/>
        <v>0</v>
      </c>
      <c r="GI65" s="336">
        <f t="shared" si="76"/>
        <v>0</v>
      </c>
      <c r="GJ65" s="336">
        <f t="shared" si="77"/>
        <v>0</v>
      </c>
      <c r="GK65" s="336">
        <f t="shared" si="78"/>
        <v>0</v>
      </c>
      <c r="GL65" s="336">
        <f t="shared" si="79"/>
        <v>0</v>
      </c>
      <c r="GM65" s="336">
        <f t="shared" si="80"/>
        <v>0</v>
      </c>
    </row>
    <row r="66" spans="1:195" s="83" customFormat="1" hidden="1">
      <c r="A66" s="357" t="s">
        <v>334</v>
      </c>
      <c r="B66" s="357"/>
      <c r="C66" s="357"/>
      <c r="D66" s="395" t="s">
        <v>1512</v>
      </c>
      <c r="E66" s="493" t="s">
        <v>1513</v>
      </c>
      <c r="F66" s="493"/>
      <c r="G66" s="357" t="s">
        <v>329</v>
      </c>
      <c r="H66" s="352"/>
      <c r="I66" s="357" t="s">
        <v>330</v>
      </c>
      <c r="J66" s="357" t="s">
        <v>357</v>
      </c>
      <c r="K66" s="353">
        <v>230</v>
      </c>
      <c r="L66" s="360">
        <v>0.85</v>
      </c>
      <c r="M66" s="352">
        <v>0.95</v>
      </c>
      <c r="N66" s="359">
        <v>6</v>
      </c>
      <c r="O66" s="359">
        <f t="shared" ref="O66:O95" si="359">IF(G66="MOTOR",(6*N66),IF(G66="VFD",(1*N66),0))</f>
        <v>0</v>
      </c>
      <c r="P66" s="360" t="str">
        <f t="shared" ref="P66:P95" si="360">IF(G66="MOTOR",0.2,"0.00")</f>
        <v>0.00</v>
      </c>
      <c r="Q66" s="352">
        <v>65</v>
      </c>
      <c r="R66" s="352">
        <v>0</v>
      </c>
      <c r="S66" s="352">
        <f t="shared" ref="S66:S95" si="361">(Q66*1000*SQRT(R66)/143)</f>
        <v>0</v>
      </c>
      <c r="T66" s="360" t="s">
        <v>131</v>
      </c>
      <c r="U66" s="352" t="s">
        <v>333</v>
      </c>
      <c r="V66" s="360">
        <v>4</v>
      </c>
      <c r="W66" s="360" t="str">
        <f t="shared" ref="W66:W95" si="362">CONCATENATE(U66," X ",V66)</f>
        <v>3C X 4</v>
      </c>
      <c r="X66" s="360" t="str">
        <f t="shared" ref="X66:X95" si="363">(IF(J66="1Ph",W66,IF(J66="3Ph",(IF(G66="MOTOR",(CONCATENATE(W66,"+PE")),W66)))))</f>
        <v>3C X 4</v>
      </c>
      <c r="Y66" s="360" t="s">
        <v>358</v>
      </c>
      <c r="Z66" s="361">
        <f>IF(T66="AIR",VLOOKUP(W66,'Catalogue Aluminium'!$B$9:$G$93,2,FALSE),IF(T66="GROUND",VLOOKUP(W66,'Catalogue Aluminium'!$B$9:$G$93,3,FALSE),IF(T66="DUCT",VLOOKUP(W66,'Catalogue Aluminium'!$B$9:$G$93,4,FALSE),IF(T66="TRENCH",VLOOKUP(W66,'Catalogue Aluminium'!$B$9:$G$93,2,FALSE)))))</f>
        <v>38</v>
      </c>
      <c r="AA66" s="362">
        <f>VLOOKUP(W66,'Catalogue Aluminium'!$B$9:$G$93,5,FALSE)</f>
        <v>5.9</v>
      </c>
      <c r="AB66" s="362">
        <f>VLOOKUP(W66,'Catalogue Aluminium'!$B$9:$G$93,6,FALSE)</f>
        <v>9.4700000000000006E-2</v>
      </c>
      <c r="AC66" s="564"/>
      <c r="AD66" s="564"/>
      <c r="AE66" s="564">
        <v>10</v>
      </c>
      <c r="AF66" s="564">
        <v>8</v>
      </c>
      <c r="AG66" s="564">
        <f t="shared" si="84"/>
        <v>2</v>
      </c>
      <c r="AH66" s="363">
        <f t="shared" ref="AH66:AH95" si="364">SUM(AC66:AG66)</f>
        <v>20</v>
      </c>
      <c r="AI66" s="361">
        <f>IF(T66="AIR",'Catalogue Aluminium'!$K$9,IF(T66="TRENCH",'Catalogue Aluminium'!$K$12,"NA"))</f>
        <v>0.89</v>
      </c>
      <c r="AJ66" s="359">
        <f>IF(T66="Air",(IF(U66="1C",'Catalogue Aluminium'!$L$9,'Catalogue Aluminium'!$M$9)),IF(T66="DUCT",(IF($U66="1C",'Catalogue Aluminium'!$L$10,'Catalogue Aluminium'!$M$10)),IF(T66="GROUND",(IF($U66="1C",'Catalogue Aluminium'!$L$11,'Catalogue Aluminium'!$M$11)),IF(T66="TRENCH",(IF($U66="1C",'Catalogue Aluminium'!$L$12,'Catalogue Aluminium'!$M$12))))))</f>
        <v>0.66</v>
      </c>
      <c r="AK66" s="361" t="str">
        <f>IF(T66="Air",'Catalogue Aluminium'!$N$9,IF(T66="GROUND",'Catalogue Aluminium'!$N$10,IF(T66="DUCT",'Catalogue Aluminium'!$N$11,IF(T66="TRENCH",'Catalogue Aluminium'!$N$12,"NA"))))</f>
        <v>NA</v>
      </c>
      <c r="AL66" s="361" t="str">
        <f>IF(T66="Air",(IF(U66="1C",'Catalogue Aluminium'!$O$9,'Catalogue Aluminium'!$P$9)),IF(T66="DUCT",(IF($U66="1C",'Catalogue Aluminium'!$O$10,'Catalogue Aluminium'!$P$10)),IF(T66="GROUND",(IF($U66="1C",'Catalogue Aluminium'!$O$11,'Catalogue Aluminium'!$P$11)),IF(T66="TRENCH",(IF($U66="1C",'Catalogue Aluminium'!$O$12,'Catalogue Aluminium'!$P$12))))))</f>
        <v>NA</v>
      </c>
      <c r="AM66" s="361" t="str">
        <f>IF(T66="AIR","NA",IF(T66="TRENCH","NA",IF(T66="DUCT",IF(U66="1C",VLOOKUP(V66,'Catalogue Aluminium'!$Q$9:$S$28,2,FALSE),VLOOKUP(V66,'Catalogue Aluminium'!$Q$9:$S$28,3)),IF(T66="GROUND",IF(U66="1C",VLOOKUP(V66,'Catalogue Aluminium'!$Q$9:$S$28,2,FALSE),VLOOKUP(V66,'Catalogue Aluminium'!$Q$9:$S$28,3))))))</f>
        <v>NA</v>
      </c>
      <c r="AN66" s="365">
        <f t="shared" ref="AN66:AN95" si="365">IF(T66="AIR",AI66*AJ66,IF(T66="TRENCH",AI66*AJ66,IF(T66="DUCT",AJ66*AK66*AL66*AM66,IF(T66="GROUND",AJ66*AK66*AL66*AM66))))</f>
        <v>0.58740000000000003</v>
      </c>
      <c r="AO66" s="352">
        <f t="shared" ref="AO66:AO95" si="366">Z66*AN66</f>
        <v>22.321200000000001</v>
      </c>
      <c r="AP66" s="353">
        <f t="shared" ref="AP66:AP95" si="367">CEILING(((N66)/AO66),1)</f>
        <v>1</v>
      </c>
      <c r="AQ66" s="352" t="str">
        <f t="shared" ref="AQ66:AQ95" si="368">IF(AO66*AP66&gt;=N66,"YES","NO")</f>
        <v>YES</v>
      </c>
      <c r="AR66" s="365">
        <f t="shared" ref="AR66:AR95" si="369">SQRT(3)*AH66*N66*((AA66*L66)+(AB66*SIN(ACOS(L66))))*100/(AP66*K66*1000)</f>
        <v>0.45770297956699862</v>
      </c>
      <c r="AS66" s="360" t="str">
        <f t="shared" ref="AS66:AS95" si="370">IF(G66="INCOMER",(IF(AR66&lt;=2,"YES","NO")),IF(G66="POWER",(IF(AR66&lt;=2.5,"YES","NO")),IF(G66="MOTOR",(IF(AR66&lt;=3,"YES","NO")))))</f>
        <v>YES</v>
      </c>
      <c r="AT66" s="365" t="str">
        <f t="shared" ref="AT66:AT95" si="371">IF(G66="MOTOR",(SQRT(3)*AH66*O66*((AA66*P66)+(AB66*SIN(ACOS(P66))))*100/(AP66*K66*1000)),"NA")</f>
        <v>NA</v>
      </c>
      <c r="AU66" s="360" t="str">
        <f t="shared" ref="AU66:AU95" si="372">IF(G66="MOTOR",IF(AT66&lt;=15,"YES","NO"),"NA")</f>
        <v>NA</v>
      </c>
      <c r="AV66" s="366" t="str">
        <f t="shared" ref="AV66:AV95" si="373">IF(U66="1C",CONCATENATE(AP66,"R x ",Y66,"kV x ",U66," x ",V66," Sqmm/Phase"),CONCATENATE(AP66,"R x ",0.6,"/1kV x ",U66," x ",V66," Sqmm"))</f>
        <v>1R x 0.6/1kV x 3C x 4 Sqmm</v>
      </c>
      <c r="AW66" s="366" t="str">
        <f t="shared" ref="AW66:AW95" si="374">IF(U66="1C",CONCATENATE(AP66,"R x ",Y66,"kV x ",U66," x ",V66," Sqmm/Phase"),CONCATENATE(AP66,"R x ",0.6,"/1kV x ",U66," x ",V66,(IF(G66="MOTOR","+PE",""))," Sqmm"))</f>
        <v>1R x 0.6/1kV x 3C x 4 Sqmm</v>
      </c>
      <c r="AX66" s="360"/>
      <c r="AY66" s="367"/>
      <c r="AZ66" s="367"/>
      <c r="BA66" s="751" t="str">
        <f t="shared" ref="BA66:BA95" si="375">CONCATENATE(IF(BE66=1,BE$4,""),IF(BF66=1,BF$4,""),IF(BG66=1,BG$4,""),IF(BH66=1,BH$4,""),IF(BI66=1,BI$4,""),IF(BJ66=1,BJ$4,""),IF(BK66=1,BK$4,""),IF(BL66=1,BL$4,""),IF(BM66=1,BM$4,""),IF(BN66=1,BN$4,""),IF(BO66=1,BO$4,""),IF(BP66=1,BP$4,""),IF(BQ66=1,BQ$4,""),IF(BR66=1,BR$4,""),IF(BS66=1,BS$4,""),IF(BT66=1,BT$4,""),IF(BU66=1,BU$4,""),IF(BV66=1,BV$4,""),IF(BW66=1,BW$4,""),IF(BX66=1,BX$4,""),IF(BY66=1,BY$4,""),IF(BZ66=1,BZ$4,""),IF(CA66=1,CA$4,""),IF(CB66=1,CB$4,""),IF(CC66=1,CC$4,""),IF(CD66=1,CD$4,""),IF(CE66=1,CE$4,""),IF(CF66=1,CF$4,""),IF(CG66=1,CG$4,""),IF(CH66=1,CH$4,""),IF(CI66=1,CI$4,""),IF(CJ66=1,CJ$4,""),IF(CK66=1,CK$4,""),IF(CL66=1,CL$4,""),IF(CM66=1,CM$4,""),IF(CN66=1,CN$4,""),IF(CO66=1,CO$4,""),IF(CP66=1,CP$4,""),IF(CQ66=1,CQ$4,""),IF(CR66=1,CR$4,""),IF(CS66=1,CS$4,""),IF(CT66=1,CT$4,""),IF(CU66=1,CU$4,""),IF(CV66=1,CV$4,""),IF(CW66=1,CW$4,""),IF(CX66=1,CX$4,""),IF(CY66=1,CY$4,""),IF(CZ66=1,CZ$4,""),IF(DA66=1,DA$4,""),IF(DB66=1,DB$4,""),IF(DC66=1,DC$4,""),IF(DD66=1,DD$4,""),IF(DE66=1,DE$4,""),IF(DF66=1,DF$4,""),IF(DG66=1,DG$4,""),IF(DH66=1,DH$4,""),IF(DI66=1,DI$4,""),IF(DJ66=1,DJ$4,""),IF(DK66=1,DK$4,""),IF(DL66=1,DL$4,""),IF(DM66=1,DM$4,""),IF(DN66=1,DN$4,""),IF(DO66=1,DO$4,""),IF(DP66=1,DP$4,""),IF(DQ66=1,DQ$4,""),IF(DR66=1,DR$4,""),IF(DS66=1,DS$4,""),IF(DT66=1,DT$4,""),IF(DU66=1,DU$4,""))</f>
        <v/>
      </c>
      <c r="BB66" s="368"/>
      <c r="BC66" s="368"/>
      <c r="BE66" s="368"/>
      <c r="BF66" s="368"/>
      <c r="BG66" s="368"/>
      <c r="BH66" s="368"/>
      <c r="BI66" s="368"/>
      <c r="BJ66" s="368"/>
      <c r="BK66" s="368"/>
      <c r="BL66" s="368"/>
      <c r="BM66" s="368"/>
      <c r="BN66" s="368"/>
      <c r="BO66" s="368"/>
      <c r="BP66" s="368"/>
      <c r="BQ66" s="368"/>
      <c r="BR66" s="368"/>
      <c r="BS66" s="368"/>
      <c r="BT66" s="368"/>
      <c r="BU66" s="368"/>
      <c r="BV66" s="368"/>
      <c r="BW66" s="368"/>
      <c r="BX66" s="368"/>
      <c r="BY66" s="368"/>
      <c r="BZ66" s="368"/>
      <c r="CA66" s="368"/>
      <c r="CB66" s="368"/>
      <c r="CC66" s="368"/>
      <c r="CD66" s="368"/>
      <c r="CE66" s="368"/>
      <c r="CF66" s="368"/>
      <c r="CG66" s="368"/>
      <c r="CH66" s="368"/>
      <c r="CI66" s="368"/>
      <c r="CJ66" s="368"/>
      <c r="CK66" s="368"/>
      <c r="CL66" s="368"/>
      <c r="CM66" s="368"/>
      <c r="CN66" s="368"/>
      <c r="CO66" s="368"/>
      <c r="CP66" s="368"/>
      <c r="CQ66" s="368"/>
      <c r="CR66" s="368"/>
      <c r="CS66" s="368"/>
      <c r="CT66" s="368"/>
      <c r="CU66" s="368"/>
      <c r="CV66" s="368"/>
      <c r="CW66" s="368"/>
      <c r="CX66" s="368"/>
      <c r="CY66" s="368"/>
      <c r="CZ66" s="368"/>
      <c r="DA66" s="368"/>
      <c r="DB66" s="368"/>
      <c r="DC66" s="368"/>
      <c r="DD66" s="368"/>
      <c r="DE66" s="368"/>
      <c r="DF66" s="368"/>
      <c r="DG66" s="368"/>
      <c r="DH66" s="368"/>
      <c r="DI66" s="368"/>
      <c r="DJ66" s="368"/>
      <c r="DK66" s="368"/>
      <c r="DL66" s="368"/>
      <c r="DM66" s="368"/>
      <c r="DN66" s="368"/>
      <c r="DO66" s="368"/>
      <c r="DP66" s="368"/>
      <c r="DQ66" s="368"/>
      <c r="DR66" s="368"/>
      <c r="DS66" s="368"/>
      <c r="DT66" s="368"/>
      <c r="DU66" s="368"/>
      <c r="DW66" s="368">
        <f t="shared" ref="DW66:DW98" si="376">IF(BE66=1,($BC66*BE66),0)</f>
        <v>0</v>
      </c>
      <c r="DX66" s="368">
        <f t="shared" si="311"/>
        <v>0</v>
      </c>
      <c r="DY66" s="368">
        <f t="shared" si="312"/>
        <v>0</v>
      </c>
      <c r="DZ66" s="368">
        <f t="shared" si="313"/>
        <v>0</v>
      </c>
      <c r="EA66" s="368">
        <f t="shared" si="314"/>
        <v>0</v>
      </c>
      <c r="EB66" s="368">
        <f t="shared" si="315"/>
        <v>0</v>
      </c>
      <c r="EC66" s="368">
        <f t="shared" si="316"/>
        <v>0</v>
      </c>
      <c r="ED66" s="368">
        <f t="shared" si="317"/>
        <v>0</v>
      </c>
      <c r="EE66" s="368">
        <f t="shared" si="318"/>
        <v>0</v>
      </c>
      <c r="EF66" s="368">
        <f t="shared" si="319"/>
        <v>0</v>
      </c>
      <c r="EG66" s="368">
        <f t="shared" si="320"/>
        <v>0</v>
      </c>
      <c r="EH66" s="368">
        <f t="shared" si="321"/>
        <v>0</v>
      </c>
      <c r="EI66" s="368">
        <f t="shared" si="322"/>
        <v>0</v>
      </c>
      <c r="EJ66" s="368">
        <f t="shared" si="323"/>
        <v>0</v>
      </c>
      <c r="EK66" s="368">
        <f t="shared" si="324"/>
        <v>0</v>
      </c>
      <c r="EL66" s="368">
        <f t="shared" si="325"/>
        <v>0</v>
      </c>
      <c r="EM66" s="368">
        <f t="shared" si="326"/>
        <v>0</v>
      </c>
      <c r="EN66" s="368">
        <f t="shared" si="327"/>
        <v>0</v>
      </c>
      <c r="EO66" s="368">
        <f t="shared" si="328"/>
        <v>0</v>
      </c>
      <c r="EP66" s="368">
        <f t="shared" si="329"/>
        <v>0</v>
      </c>
      <c r="EQ66" s="368">
        <f t="shared" si="330"/>
        <v>0</v>
      </c>
      <c r="ER66" s="368">
        <f t="shared" si="331"/>
        <v>0</v>
      </c>
      <c r="ES66" s="368">
        <f t="shared" si="332"/>
        <v>0</v>
      </c>
      <c r="ET66" s="368">
        <f t="shared" si="332"/>
        <v>0</v>
      </c>
      <c r="EU66" s="368">
        <f t="shared" si="333"/>
        <v>0</v>
      </c>
      <c r="EV66" s="368">
        <f t="shared" si="334"/>
        <v>0</v>
      </c>
      <c r="EW66" s="368">
        <f t="shared" si="335"/>
        <v>0</v>
      </c>
      <c r="EX66" s="368">
        <f t="shared" si="336"/>
        <v>0</v>
      </c>
      <c r="EY66" s="368">
        <f t="shared" si="337"/>
        <v>0</v>
      </c>
      <c r="EZ66" s="368">
        <f t="shared" si="338"/>
        <v>0</v>
      </c>
      <c r="FA66" s="368">
        <f t="shared" si="339"/>
        <v>0</v>
      </c>
      <c r="FB66" s="368">
        <f t="shared" si="340"/>
        <v>0</v>
      </c>
      <c r="FC66" s="368">
        <f t="shared" si="341"/>
        <v>0</v>
      </c>
      <c r="FD66" s="368">
        <f t="shared" si="342"/>
        <v>0</v>
      </c>
      <c r="FE66" s="368">
        <f t="shared" si="343"/>
        <v>0</v>
      </c>
      <c r="FF66" s="368">
        <f t="shared" si="344"/>
        <v>0</v>
      </c>
      <c r="FG66" s="368">
        <f t="shared" si="345"/>
        <v>0</v>
      </c>
      <c r="FH66" s="368">
        <f t="shared" si="346"/>
        <v>0</v>
      </c>
      <c r="FI66" s="368">
        <f t="shared" si="347"/>
        <v>0</v>
      </c>
      <c r="FJ66" s="368">
        <f t="shared" si="348"/>
        <v>0</v>
      </c>
      <c r="FK66" s="368">
        <f t="shared" si="349"/>
        <v>0</v>
      </c>
      <c r="FL66" s="368">
        <f t="shared" si="350"/>
        <v>0</v>
      </c>
      <c r="FM66" s="368">
        <f t="shared" si="351"/>
        <v>0</v>
      </c>
      <c r="FN66" s="368">
        <f t="shared" si="352"/>
        <v>0</v>
      </c>
      <c r="FO66" s="368">
        <f t="shared" si="353"/>
        <v>0</v>
      </c>
      <c r="FP66" s="368">
        <f t="shared" si="354"/>
        <v>0</v>
      </c>
      <c r="FQ66" s="368">
        <f t="shared" si="355"/>
        <v>0</v>
      </c>
      <c r="FR66" s="368">
        <f t="shared" si="356"/>
        <v>0</v>
      </c>
      <c r="FS66" s="368">
        <f t="shared" si="357"/>
        <v>0</v>
      </c>
      <c r="FT66" s="368">
        <f t="shared" si="358"/>
        <v>0</v>
      </c>
      <c r="FU66" s="368">
        <f t="shared" si="62"/>
        <v>0</v>
      </c>
      <c r="FV66" s="368">
        <f t="shared" si="63"/>
        <v>0</v>
      </c>
      <c r="FW66" s="368">
        <f t="shared" si="64"/>
        <v>0</v>
      </c>
      <c r="FX66" s="368">
        <f t="shared" si="65"/>
        <v>0</v>
      </c>
      <c r="FY66" s="368">
        <f t="shared" si="66"/>
        <v>0</v>
      </c>
      <c r="FZ66" s="368">
        <f t="shared" si="67"/>
        <v>0</v>
      </c>
      <c r="GA66" s="368">
        <f t="shared" si="68"/>
        <v>0</v>
      </c>
      <c r="GB66" s="368">
        <f t="shared" si="69"/>
        <v>0</v>
      </c>
      <c r="GC66" s="368">
        <f t="shared" si="70"/>
        <v>0</v>
      </c>
      <c r="GD66" s="368">
        <f t="shared" si="71"/>
        <v>0</v>
      </c>
      <c r="GE66" s="368">
        <f t="shared" si="72"/>
        <v>0</v>
      </c>
      <c r="GF66" s="368">
        <f t="shared" si="73"/>
        <v>0</v>
      </c>
      <c r="GG66" s="368">
        <f t="shared" si="74"/>
        <v>0</v>
      </c>
      <c r="GH66" s="368">
        <f t="shared" si="75"/>
        <v>0</v>
      </c>
      <c r="GI66" s="368">
        <f t="shared" si="76"/>
        <v>0</v>
      </c>
      <c r="GJ66" s="368">
        <f t="shared" si="77"/>
        <v>0</v>
      </c>
      <c r="GK66" s="368">
        <f t="shared" si="78"/>
        <v>0</v>
      </c>
      <c r="GL66" s="368">
        <f t="shared" si="79"/>
        <v>0</v>
      </c>
      <c r="GM66" s="368">
        <f t="shared" si="80"/>
        <v>0</v>
      </c>
    </row>
    <row r="67" spans="1:195" s="83" customFormat="1" hidden="1">
      <c r="A67" s="357" t="s">
        <v>334</v>
      </c>
      <c r="B67" s="357"/>
      <c r="C67" s="357"/>
      <c r="D67" s="395" t="s">
        <v>1514</v>
      </c>
      <c r="E67" s="493" t="s">
        <v>1513</v>
      </c>
      <c r="F67" s="493"/>
      <c r="G67" s="357" t="s">
        <v>329</v>
      </c>
      <c r="H67" s="352"/>
      <c r="I67" s="357" t="s">
        <v>330</v>
      </c>
      <c r="J67" s="357" t="s">
        <v>357</v>
      </c>
      <c r="K67" s="353">
        <v>230</v>
      </c>
      <c r="L67" s="360">
        <v>0.85</v>
      </c>
      <c r="M67" s="352">
        <v>0.95</v>
      </c>
      <c r="N67" s="359">
        <v>6</v>
      </c>
      <c r="O67" s="359">
        <f t="shared" si="359"/>
        <v>0</v>
      </c>
      <c r="P67" s="360" t="str">
        <f t="shared" si="360"/>
        <v>0.00</v>
      </c>
      <c r="Q67" s="352">
        <v>65</v>
      </c>
      <c r="R67" s="352">
        <v>0</v>
      </c>
      <c r="S67" s="352">
        <f t="shared" si="361"/>
        <v>0</v>
      </c>
      <c r="T67" s="360" t="s">
        <v>131</v>
      </c>
      <c r="U67" s="352" t="s">
        <v>333</v>
      </c>
      <c r="V67" s="360">
        <v>4</v>
      </c>
      <c r="W67" s="360" t="str">
        <f t="shared" si="362"/>
        <v>3C X 4</v>
      </c>
      <c r="X67" s="360" t="str">
        <f t="shared" si="363"/>
        <v>3C X 4</v>
      </c>
      <c r="Y67" s="360" t="s">
        <v>358</v>
      </c>
      <c r="Z67" s="361">
        <f>IF(T67="AIR",VLOOKUP(W67,'Catalogue Aluminium'!$B$9:$G$93,2,FALSE),IF(T67="GROUND",VLOOKUP(W67,'Catalogue Aluminium'!$B$9:$G$93,3,FALSE),IF(T67="DUCT",VLOOKUP(W67,'Catalogue Aluminium'!$B$9:$G$93,4,FALSE),IF(T67="TRENCH",VLOOKUP(W67,'Catalogue Aluminium'!$B$9:$G$93,2,FALSE)))))</f>
        <v>38</v>
      </c>
      <c r="AA67" s="362">
        <f>VLOOKUP(W67,'Catalogue Aluminium'!$B$9:$G$93,5,FALSE)</f>
        <v>5.9</v>
      </c>
      <c r="AB67" s="362">
        <f>VLOOKUP(W67,'Catalogue Aluminium'!$B$9:$G$93,6,FALSE)</f>
        <v>9.4700000000000006E-2</v>
      </c>
      <c r="AC67" s="564"/>
      <c r="AD67" s="564"/>
      <c r="AE67" s="564">
        <v>10</v>
      </c>
      <c r="AF67" s="564">
        <v>8</v>
      </c>
      <c r="AG67" s="564">
        <f t="shared" si="84"/>
        <v>2</v>
      </c>
      <c r="AH67" s="363">
        <f t="shared" si="364"/>
        <v>20</v>
      </c>
      <c r="AI67" s="361">
        <f>IF(T67="AIR",'Catalogue Aluminium'!$K$9,IF(T67="TRENCH",'Catalogue Aluminium'!$K$12,"NA"))</f>
        <v>0.89</v>
      </c>
      <c r="AJ67" s="359">
        <f>IF(T67="Air",(IF(U67="1C",'Catalogue Aluminium'!$L$9,'Catalogue Aluminium'!$M$9)),IF(T67="DUCT",(IF($U67="1C",'Catalogue Aluminium'!$L$10,'Catalogue Aluminium'!$M$10)),IF(T67="GROUND",(IF($U67="1C",'Catalogue Aluminium'!$L$11,'Catalogue Aluminium'!$M$11)),IF(T67="TRENCH",(IF($U67="1C",'Catalogue Aluminium'!$L$12,'Catalogue Aluminium'!$M$12))))))</f>
        <v>0.66</v>
      </c>
      <c r="AK67" s="361" t="str">
        <f>IF(T67="Air",'Catalogue Aluminium'!$N$9,IF(T67="GROUND",'Catalogue Aluminium'!$N$10,IF(T67="DUCT",'Catalogue Aluminium'!$N$11,IF(T67="TRENCH",'Catalogue Aluminium'!$N$12,"NA"))))</f>
        <v>NA</v>
      </c>
      <c r="AL67" s="361" t="str">
        <f>IF(T67="Air",(IF(U67="1C",'Catalogue Aluminium'!$O$9,'Catalogue Aluminium'!$P$9)),IF(T67="DUCT",(IF($U67="1C",'Catalogue Aluminium'!$O$10,'Catalogue Aluminium'!$P$10)),IF(T67="GROUND",(IF($U67="1C",'Catalogue Aluminium'!$O$11,'Catalogue Aluminium'!$P$11)),IF(T67="TRENCH",(IF($U67="1C",'Catalogue Aluminium'!$O$12,'Catalogue Aluminium'!$P$12))))))</f>
        <v>NA</v>
      </c>
      <c r="AM67" s="361" t="str">
        <f>IF(T67="AIR","NA",IF(T67="TRENCH","NA",IF(T67="DUCT",IF(U67="1C",VLOOKUP(V67,'Catalogue Aluminium'!$Q$9:$S$28,2,FALSE),VLOOKUP(V67,'Catalogue Aluminium'!$Q$9:$S$28,3)),IF(T67="GROUND",IF(U67="1C",VLOOKUP(V67,'Catalogue Aluminium'!$Q$9:$S$28,2,FALSE),VLOOKUP(V67,'Catalogue Aluminium'!$Q$9:$S$28,3))))))</f>
        <v>NA</v>
      </c>
      <c r="AN67" s="365">
        <f t="shared" si="365"/>
        <v>0.58740000000000003</v>
      </c>
      <c r="AO67" s="352">
        <f t="shared" si="366"/>
        <v>22.321200000000001</v>
      </c>
      <c r="AP67" s="353">
        <f t="shared" si="367"/>
        <v>1</v>
      </c>
      <c r="AQ67" s="352" t="str">
        <f t="shared" si="368"/>
        <v>YES</v>
      </c>
      <c r="AR67" s="365">
        <f t="shared" si="369"/>
        <v>0.45770297956699862</v>
      </c>
      <c r="AS67" s="360" t="str">
        <f t="shared" si="370"/>
        <v>YES</v>
      </c>
      <c r="AT67" s="365" t="str">
        <f t="shared" si="371"/>
        <v>NA</v>
      </c>
      <c r="AU67" s="360" t="str">
        <f t="shared" si="372"/>
        <v>NA</v>
      </c>
      <c r="AV67" s="366" t="str">
        <f t="shared" si="373"/>
        <v>1R x 0.6/1kV x 3C x 4 Sqmm</v>
      </c>
      <c r="AW67" s="366" t="str">
        <f t="shared" si="374"/>
        <v>1R x 0.6/1kV x 3C x 4 Sqmm</v>
      </c>
      <c r="AX67" s="360"/>
      <c r="AY67" s="367"/>
      <c r="AZ67" s="367"/>
      <c r="BA67" s="751" t="str">
        <f t="shared" si="375"/>
        <v/>
      </c>
      <c r="BB67" s="368"/>
      <c r="BC67" s="368"/>
      <c r="BE67" s="368"/>
      <c r="BF67" s="368"/>
      <c r="BG67" s="368"/>
      <c r="BH67" s="368"/>
      <c r="BI67" s="368"/>
      <c r="BJ67" s="368"/>
      <c r="BK67" s="368"/>
      <c r="BL67" s="368"/>
      <c r="BM67" s="368"/>
      <c r="BN67" s="368"/>
      <c r="BO67" s="368"/>
      <c r="BP67" s="368"/>
      <c r="BQ67" s="368"/>
      <c r="BR67" s="368"/>
      <c r="BS67" s="368"/>
      <c r="BT67" s="368"/>
      <c r="BU67" s="368"/>
      <c r="BV67" s="368"/>
      <c r="BW67" s="368"/>
      <c r="BX67" s="368"/>
      <c r="BY67" s="368"/>
      <c r="BZ67" s="368"/>
      <c r="CA67" s="368"/>
      <c r="CB67" s="368"/>
      <c r="CC67" s="368"/>
      <c r="CD67" s="368"/>
      <c r="CE67" s="368"/>
      <c r="CF67" s="368"/>
      <c r="CG67" s="368"/>
      <c r="CH67" s="368"/>
      <c r="CI67" s="368"/>
      <c r="CJ67" s="368"/>
      <c r="CK67" s="368"/>
      <c r="CL67" s="368"/>
      <c r="CM67" s="368"/>
      <c r="CN67" s="368"/>
      <c r="CO67" s="368"/>
      <c r="CP67" s="368"/>
      <c r="CQ67" s="368"/>
      <c r="CR67" s="368"/>
      <c r="CS67" s="368"/>
      <c r="CT67" s="368"/>
      <c r="CU67" s="368"/>
      <c r="CV67" s="368"/>
      <c r="CW67" s="368"/>
      <c r="CX67" s="368"/>
      <c r="CY67" s="368"/>
      <c r="CZ67" s="368"/>
      <c r="DA67" s="368"/>
      <c r="DB67" s="368"/>
      <c r="DC67" s="368"/>
      <c r="DD67" s="368"/>
      <c r="DE67" s="368"/>
      <c r="DF67" s="368"/>
      <c r="DG67" s="368"/>
      <c r="DH67" s="368"/>
      <c r="DI67" s="368"/>
      <c r="DJ67" s="368"/>
      <c r="DK67" s="368"/>
      <c r="DL67" s="368"/>
      <c r="DM67" s="368"/>
      <c r="DN67" s="368"/>
      <c r="DO67" s="368"/>
      <c r="DP67" s="368"/>
      <c r="DQ67" s="368"/>
      <c r="DR67" s="368"/>
      <c r="DS67" s="368"/>
      <c r="DT67" s="368"/>
      <c r="DU67" s="368"/>
      <c r="DW67" s="368">
        <f t="shared" si="376"/>
        <v>0</v>
      </c>
      <c r="DX67" s="368">
        <f t="shared" si="311"/>
        <v>0</v>
      </c>
      <c r="DY67" s="368">
        <f t="shared" si="312"/>
        <v>0</v>
      </c>
      <c r="DZ67" s="368">
        <f t="shared" si="313"/>
        <v>0</v>
      </c>
      <c r="EA67" s="368">
        <f t="shared" si="314"/>
        <v>0</v>
      </c>
      <c r="EB67" s="368">
        <f t="shared" si="315"/>
        <v>0</v>
      </c>
      <c r="EC67" s="368">
        <f t="shared" si="316"/>
        <v>0</v>
      </c>
      <c r="ED67" s="368">
        <f t="shared" si="317"/>
        <v>0</v>
      </c>
      <c r="EE67" s="368">
        <f t="shared" si="318"/>
        <v>0</v>
      </c>
      <c r="EF67" s="368">
        <f t="shared" si="319"/>
        <v>0</v>
      </c>
      <c r="EG67" s="368">
        <f t="shared" si="320"/>
        <v>0</v>
      </c>
      <c r="EH67" s="368">
        <f t="shared" si="321"/>
        <v>0</v>
      </c>
      <c r="EI67" s="368">
        <f t="shared" si="322"/>
        <v>0</v>
      </c>
      <c r="EJ67" s="368">
        <f t="shared" si="323"/>
        <v>0</v>
      </c>
      <c r="EK67" s="368">
        <f t="shared" si="324"/>
        <v>0</v>
      </c>
      <c r="EL67" s="368">
        <f t="shared" si="325"/>
        <v>0</v>
      </c>
      <c r="EM67" s="368">
        <f t="shared" si="326"/>
        <v>0</v>
      </c>
      <c r="EN67" s="368">
        <f t="shared" si="327"/>
        <v>0</v>
      </c>
      <c r="EO67" s="368">
        <f t="shared" si="328"/>
        <v>0</v>
      </c>
      <c r="EP67" s="368">
        <f t="shared" si="329"/>
        <v>0</v>
      </c>
      <c r="EQ67" s="368">
        <f t="shared" si="330"/>
        <v>0</v>
      </c>
      <c r="ER67" s="368">
        <f t="shared" si="331"/>
        <v>0</v>
      </c>
      <c r="ES67" s="368">
        <f t="shared" si="332"/>
        <v>0</v>
      </c>
      <c r="ET67" s="368">
        <f t="shared" si="332"/>
        <v>0</v>
      </c>
      <c r="EU67" s="368">
        <f t="shared" si="333"/>
        <v>0</v>
      </c>
      <c r="EV67" s="368">
        <f t="shared" si="334"/>
        <v>0</v>
      </c>
      <c r="EW67" s="368">
        <f t="shared" si="335"/>
        <v>0</v>
      </c>
      <c r="EX67" s="368">
        <f t="shared" si="336"/>
        <v>0</v>
      </c>
      <c r="EY67" s="368">
        <f t="shared" si="337"/>
        <v>0</v>
      </c>
      <c r="EZ67" s="368">
        <f t="shared" si="338"/>
        <v>0</v>
      </c>
      <c r="FA67" s="368">
        <f t="shared" si="339"/>
        <v>0</v>
      </c>
      <c r="FB67" s="368">
        <f t="shared" si="340"/>
        <v>0</v>
      </c>
      <c r="FC67" s="368">
        <f t="shared" si="341"/>
        <v>0</v>
      </c>
      <c r="FD67" s="368">
        <f t="shared" si="342"/>
        <v>0</v>
      </c>
      <c r="FE67" s="368">
        <f t="shared" si="343"/>
        <v>0</v>
      </c>
      <c r="FF67" s="368">
        <f t="shared" si="344"/>
        <v>0</v>
      </c>
      <c r="FG67" s="368">
        <f t="shared" si="345"/>
        <v>0</v>
      </c>
      <c r="FH67" s="368">
        <f t="shared" si="346"/>
        <v>0</v>
      </c>
      <c r="FI67" s="368">
        <f t="shared" si="347"/>
        <v>0</v>
      </c>
      <c r="FJ67" s="368">
        <f t="shared" si="348"/>
        <v>0</v>
      </c>
      <c r="FK67" s="368">
        <f t="shared" si="349"/>
        <v>0</v>
      </c>
      <c r="FL67" s="368">
        <f t="shared" si="350"/>
        <v>0</v>
      </c>
      <c r="FM67" s="368">
        <f t="shared" si="351"/>
        <v>0</v>
      </c>
      <c r="FN67" s="368">
        <f t="shared" si="352"/>
        <v>0</v>
      </c>
      <c r="FO67" s="368">
        <f t="shared" si="353"/>
        <v>0</v>
      </c>
      <c r="FP67" s="368">
        <f t="shared" si="354"/>
        <v>0</v>
      </c>
      <c r="FQ67" s="368">
        <f t="shared" si="355"/>
        <v>0</v>
      </c>
      <c r="FR67" s="368">
        <f t="shared" si="356"/>
        <v>0</v>
      </c>
      <c r="FS67" s="368">
        <f t="shared" si="357"/>
        <v>0</v>
      </c>
      <c r="FT67" s="368">
        <f t="shared" si="358"/>
        <v>0</v>
      </c>
      <c r="FU67" s="368">
        <f t="shared" si="62"/>
        <v>0</v>
      </c>
      <c r="FV67" s="368">
        <f t="shared" si="63"/>
        <v>0</v>
      </c>
      <c r="FW67" s="368">
        <f t="shared" si="64"/>
        <v>0</v>
      </c>
      <c r="FX67" s="368">
        <f t="shared" si="65"/>
        <v>0</v>
      </c>
      <c r="FY67" s="368">
        <f t="shared" si="66"/>
        <v>0</v>
      </c>
      <c r="FZ67" s="368">
        <f t="shared" si="67"/>
        <v>0</v>
      </c>
      <c r="GA67" s="368">
        <f t="shared" si="68"/>
        <v>0</v>
      </c>
      <c r="GB67" s="368">
        <f t="shared" si="69"/>
        <v>0</v>
      </c>
      <c r="GC67" s="368">
        <f t="shared" si="70"/>
        <v>0</v>
      </c>
      <c r="GD67" s="368">
        <f t="shared" si="71"/>
        <v>0</v>
      </c>
      <c r="GE67" s="368">
        <f t="shared" si="72"/>
        <v>0</v>
      </c>
      <c r="GF67" s="368">
        <f t="shared" si="73"/>
        <v>0</v>
      </c>
      <c r="GG67" s="368">
        <f t="shared" si="74"/>
        <v>0</v>
      </c>
      <c r="GH67" s="368">
        <f t="shared" si="75"/>
        <v>0</v>
      </c>
      <c r="GI67" s="368">
        <f t="shared" si="76"/>
        <v>0</v>
      </c>
      <c r="GJ67" s="368">
        <f t="shared" si="77"/>
        <v>0</v>
      </c>
      <c r="GK67" s="368">
        <f t="shared" si="78"/>
        <v>0</v>
      </c>
      <c r="GL67" s="368">
        <f t="shared" si="79"/>
        <v>0</v>
      </c>
      <c r="GM67" s="368">
        <f t="shared" si="80"/>
        <v>0</v>
      </c>
    </row>
    <row r="68" spans="1:195" s="83" customFormat="1" hidden="1">
      <c r="A68" s="357" t="s">
        <v>334</v>
      </c>
      <c r="B68" s="357"/>
      <c r="C68" s="357"/>
      <c r="D68" s="395" t="s">
        <v>1515</v>
      </c>
      <c r="E68" s="493" t="s">
        <v>1513</v>
      </c>
      <c r="F68" s="493"/>
      <c r="G68" s="357" t="s">
        <v>329</v>
      </c>
      <c r="H68" s="352"/>
      <c r="I68" s="357" t="s">
        <v>330</v>
      </c>
      <c r="J68" s="357" t="s">
        <v>357</v>
      </c>
      <c r="K68" s="353">
        <v>230</v>
      </c>
      <c r="L68" s="360">
        <v>0.85</v>
      </c>
      <c r="M68" s="352">
        <v>0.95</v>
      </c>
      <c r="N68" s="359">
        <v>6</v>
      </c>
      <c r="O68" s="359">
        <f t="shared" si="359"/>
        <v>0</v>
      </c>
      <c r="P68" s="360" t="str">
        <f t="shared" si="360"/>
        <v>0.00</v>
      </c>
      <c r="Q68" s="352">
        <v>65</v>
      </c>
      <c r="R68" s="352">
        <v>0</v>
      </c>
      <c r="S68" s="352">
        <f t="shared" si="361"/>
        <v>0</v>
      </c>
      <c r="T68" s="360" t="s">
        <v>131</v>
      </c>
      <c r="U68" s="352" t="s">
        <v>333</v>
      </c>
      <c r="V68" s="360">
        <v>4</v>
      </c>
      <c r="W68" s="360" t="str">
        <f t="shared" si="362"/>
        <v>3C X 4</v>
      </c>
      <c r="X68" s="360" t="str">
        <f t="shared" si="363"/>
        <v>3C X 4</v>
      </c>
      <c r="Y68" s="360" t="s">
        <v>358</v>
      </c>
      <c r="Z68" s="361">
        <f>IF(T68="AIR",VLOOKUP(W68,'Catalogue Aluminium'!$B$9:$G$93,2,FALSE),IF(T68="GROUND",VLOOKUP(W68,'Catalogue Aluminium'!$B$9:$G$93,3,FALSE),IF(T68="DUCT",VLOOKUP(W68,'Catalogue Aluminium'!$B$9:$G$93,4,FALSE),IF(T68="TRENCH",VLOOKUP(W68,'Catalogue Aluminium'!$B$9:$G$93,2,FALSE)))))</f>
        <v>38</v>
      </c>
      <c r="AA68" s="362">
        <f>VLOOKUP(W68,'Catalogue Aluminium'!$B$9:$G$93,5,FALSE)</f>
        <v>5.9</v>
      </c>
      <c r="AB68" s="362">
        <f>VLOOKUP(W68,'Catalogue Aluminium'!$B$9:$G$93,6,FALSE)</f>
        <v>9.4700000000000006E-2</v>
      </c>
      <c r="AC68" s="564"/>
      <c r="AD68" s="564"/>
      <c r="AE68" s="564">
        <v>10</v>
      </c>
      <c r="AF68" s="564">
        <v>8</v>
      </c>
      <c r="AG68" s="564">
        <f t="shared" si="84"/>
        <v>2</v>
      </c>
      <c r="AH68" s="363">
        <f t="shared" si="364"/>
        <v>20</v>
      </c>
      <c r="AI68" s="361">
        <f>IF(T68="AIR",'Catalogue Aluminium'!$K$9,IF(T68="TRENCH",'Catalogue Aluminium'!$K$12,"NA"))</f>
        <v>0.89</v>
      </c>
      <c r="AJ68" s="359">
        <f>IF(T68="Air",(IF(U68="1C",'Catalogue Aluminium'!$L$9,'Catalogue Aluminium'!$M$9)),IF(T68="DUCT",(IF($U68="1C",'Catalogue Aluminium'!$L$10,'Catalogue Aluminium'!$M$10)),IF(T68="GROUND",(IF($U68="1C",'Catalogue Aluminium'!$L$11,'Catalogue Aluminium'!$M$11)),IF(T68="TRENCH",(IF($U68="1C",'Catalogue Aluminium'!$L$12,'Catalogue Aluminium'!$M$12))))))</f>
        <v>0.66</v>
      </c>
      <c r="AK68" s="361" t="str">
        <f>IF(T68="Air",'Catalogue Aluminium'!$N$9,IF(T68="GROUND",'Catalogue Aluminium'!$N$10,IF(T68="DUCT",'Catalogue Aluminium'!$N$11,IF(T68="TRENCH",'Catalogue Aluminium'!$N$12,"NA"))))</f>
        <v>NA</v>
      </c>
      <c r="AL68" s="361" t="str">
        <f>IF(T68="Air",(IF(U68="1C",'Catalogue Aluminium'!$O$9,'Catalogue Aluminium'!$P$9)),IF(T68="DUCT",(IF($U68="1C",'Catalogue Aluminium'!$O$10,'Catalogue Aluminium'!$P$10)),IF(T68="GROUND",(IF($U68="1C",'Catalogue Aluminium'!$O$11,'Catalogue Aluminium'!$P$11)),IF(T68="TRENCH",(IF($U68="1C",'Catalogue Aluminium'!$O$12,'Catalogue Aluminium'!$P$12))))))</f>
        <v>NA</v>
      </c>
      <c r="AM68" s="361" t="str">
        <f>IF(T68="AIR","NA",IF(T68="TRENCH","NA",IF(T68="DUCT",IF(U68="1C",VLOOKUP(V68,'Catalogue Aluminium'!$Q$9:$S$28,2,FALSE),VLOOKUP(V68,'Catalogue Aluminium'!$Q$9:$S$28,3)),IF(T68="GROUND",IF(U68="1C",VLOOKUP(V68,'Catalogue Aluminium'!$Q$9:$S$28,2,FALSE),VLOOKUP(V68,'Catalogue Aluminium'!$Q$9:$S$28,3))))))</f>
        <v>NA</v>
      </c>
      <c r="AN68" s="365">
        <f t="shared" si="365"/>
        <v>0.58740000000000003</v>
      </c>
      <c r="AO68" s="352">
        <f t="shared" si="366"/>
        <v>22.321200000000001</v>
      </c>
      <c r="AP68" s="353">
        <f t="shared" si="367"/>
        <v>1</v>
      </c>
      <c r="AQ68" s="352" t="str">
        <f t="shared" si="368"/>
        <v>YES</v>
      </c>
      <c r="AR68" s="365">
        <f t="shared" si="369"/>
        <v>0.45770297956699862</v>
      </c>
      <c r="AS68" s="360" t="str">
        <f t="shared" si="370"/>
        <v>YES</v>
      </c>
      <c r="AT68" s="365" t="str">
        <f t="shared" si="371"/>
        <v>NA</v>
      </c>
      <c r="AU68" s="360" t="str">
        <f t="shared" si="372"/>
        <v>NA</v>
      </c>
      <c r="AV68" s="366" t="str">
        <f t="shared" si="373"/>
        <v>1R x 0.6/1kV x 3C x 4 Sqmm</v>
      </c>
      <c r="AW68" s="366" t="str">
        <f t="shared" si="374"/>
        <v>1R x 0.6/1kV x 3C x 4 Sqmm</v>
      </c>
      <c r="AX68" s="360"/>
      <c r="AY68" s="367"/>
      <c r="AZ68" s="367"/>
      <c r="BA68" s="751" t="str">
        <f t="shared" si="375"/>
        <v/>
      </c>
      <c r="BB68" s="368"/>
      <c r="BC68" s="368"/>
      <c r="BE68" s="368"/>
      <c r="BF68" s="368"/>
      <c r="BG68" s="368"/>
      <c r="BH68" s="368"/>
      <c r="BI68" s="368"/>
      <c r="BJ68" s="368"/>
      <c r="BK68" s="368"/>
      <c r="BL68" s="368"/>
      <c r="BM68" s="368"/>
      <c r="BN68" s="368"/>
      <c r="BO68" s="368"/>
      <c r="BP68" s="368"/>
      <c r="BQ68" s="368"/>
      <c r="BR68" s="368"/>
      <c r="BS68" s="368"/>
      <c r="BT68" s="368"/>
      <c r="BU68" s="368"/>
      <c r="BV68" s="368"/>
      <c r="BW68" s="368"/>
      <c r="BX68" s="368"/>
      <c r="BY68" s="368"/>
      <c r="BZ68" s="368"/>
      <c r="CA68" s="368"/>
      <c r="CB68" s="368"/>
      <c r="CC68" s="368"/>
      <c r="CD68" s="368"/>
      <c r="CE68" s="368"/>
      <c r="CF68" s="368"/>
      <c r="CG68" s="368"/>
      <c r="CH68" s="368"/>
      <c r="CI68" s="368"/>
      <c r="CJ68" s="368"/>
      <c r="CK68" s="368"/>
      <c r="CL68" s="368"/>
      <c r="CM68" s="368"/>
      <c r="CN68" s="368"/>
      <c r="CO68" s="368"/>
      <c r="CP68" s="368"/>
      <c r="CQ68" s="368"/>
      <c r="CR68" s="368"/>
      <c r="CS68" s="368"/>
      <c r="CT68" s="368"/>
      <c r="CU68" s="368"/>
      <c r="CV68" s="368"/>
      <c r="CW68" s="368"/>
      <c r="CX68" s="368"/>
      <c r="CY68" s="368"/>
      <c r="CZ68" s="368"/>
      <c r="DA68" s="368"/>
      <c r="DB68" s="368"/>
      <c r="DC68" s="368"/>
      <c r="DD68" s="368"/>
      <c r="DE68" s="368"/>
      <c r="DF68" s="368"/>
      <c r="DG68" s="368"/>
      <c r="DH68" s="368"/>
      <c r="DI68" s="368"/>
      <c r="DJ68" s="368"/>
      <c r="DK68" s="368"/>
      <c r="DL68" s="368"/>
      <c r="DM68" s="368"/>
      <c r="DN68" s="368"/>
      <c r="DO68" s="368"/>
      <c r="DP68" s="368"/>
      <c r="DQ68" s="368"/>
      <c r="DR68" s="368"/>
      <c r="DS68" s="368"/>
      <c r="DT68" s="368"/>
      <c r="DU68" s="368"/>
      <c r="DW68" s="368">
        <f t="shared" si="376"/>
        <v>0</v>
      </c>
      <c r="DX68" s="368">
        <f t="shared" si="311"/>
        <v>0</v>
      </c>
      <c r="DY68" s="368">
        <f t="shared" si="312"/>
        <v>0</v>
      </c>
      <c r="DZ68" s="368">
        <f t="shared" si="313"/>
        <v>0</v>
      </c>
      <c r="EA68" s="368">
        <f t="shared" si="314"/>
        <v>0</v>
      </c>
      <c r="EB68" s="368">
        <f t="shared" si="315"/>
        <v>0</v>
      </c>
      <c r="EC68" s="368">
        <f t="shared" si="316"/>
        <v>0</v>
      </c>
      <c r="ED68" s="368">
        <f t="shared" si="317"/>
        <v>0</v>
      </c>
      <c r="EE68" s="368">
        <f t="shared" si="318"/>
        <v>0</v>
      </c>
      <c r="EF68" s="368">
        <f t="shared" si="319"/>
        <v>0</v>
      </c>
      <c r="EG68" s="368">
        <f t="shared" si="320"/>
        <v>0</v>
      </c>
      <c r="EH68" s="368">
        <f t="shared" si="321"/>
        <v>0</v>
      </c>
      <c r="EI68" s="368">
        <f t="shared" si="322"/>
        <v>0</v>
      </c>
      <c r="EJ68" s="368">
        <f t="shared" si="323"/>
        <v>0</v>
      </c>
      <c r="EK68" s="368">
        <f t="shared" si="324"/>
        <v>0</v>
      </c>
      <c r="EL68" s="368">
        <f t="shared" si="325"/>
        <v>0</v>
      </c>
      <c r="EM68" s="368">
        <f t="shared" si="326"/>
        <v>0</v>
      </c>
      <c r="EN68" s="368">
        <f t="shared" si="327"/>
        <v>0</v>
      </c>
      <c r="EO68" s="368">
        <f t="shared" si="328"/>
        <v>0</v>
      </c>
      <c r="EP68" s="368">
        <f t="shared" si="329"/>
        <v>0</v>
      </c>
      <c r="EQ68" s="368">
        <f t="shared" si="330"/>
        <v>0</v>
      </c>
      <c r="ER68" s="368">
        <f t="shared" si="331"/>
        <v>0</v>
      </c>
      <c r="ES68" s="368">
        <f t="shared" si="332"/>
        <v>0</v>
      </c>
      <c r="ET68" s="368">
        <f t="shared" si="332"/>
        <v>0</v>
      </c>
      <c r="EU68" s="368">
        <f t="shared" si="333"/>
        <v>0</v>
      </c>
      <c r="EV68" s="368">
        <f t="shared" si="334"/>
        <v>0</v>
      </c>
      <c r="EW68" s="368">
        <f t="shared" si="335"/>
        <v>0</v>
      </c>
      <c r="EX68" s="368">
        <f t="shared" si="336"/>
        <v>0</v>
      </c>
      <c r="EY68" s="368">
        <f t="shared" si="337"/>
        <v>0</v>
      </c>
      <c r="EZ68" s="368">
        <f t="shared" si="338"/>
        <v>0</v>
      </c>
      <c r="FA68" s="368">
        <f t="shared" si="339"/>
        <v>0</v>
      </c>
      <c r="FB68" s="368">
        <f t="shared" si="340"/>
        <v>0</v>
      </c>
      <c r="FC68" s="368">
        <f t="shared" si="341"/>
        <v>0</v>
      </c>
      <c r="FD68" s="368">
        <f t="shared" si="342"/>
        <v>0</v>
      </c>
      <c r="FE68" s="368">
        <f t="shared" si="343"/>
        <v>0</v>
      </c>
      <c r="FF68" s="368">
        <f t="shared" si="344"/>
        <v>0</v>
      </c>
      <c r="FG68" s="368">
        <f t="shared" si="345"/>
        <v>0</v>
      </c>
      <c r="FH68" s="368">
        <f t="shared" si="346"/>
        <v>0</v>
      </c>
      <c r="FI68" s="368">
        <f t="shared" si="347"/>
        <v>0</v>
      </c>
      <c r="FJ68" s="368">
        <f t="shared" si="348"/>
        <v>0</v>
      </c>
      <c r="FK68" s="368">
        <f t="shared" si="349"/>
        <v>0</v>
      </c>
      <c r="FL68" s="368">
        <f t="shared" si="350"/>
        <v>0</v>
      </c>
      <c r="FM68" s="368">
        <f t="shared" si="351"/>
        <v>0</v>
      </c>
      <c r="FN68" s="368">
        <f t="shared" si="352"/>
        <v>0</v>
      </c>
      <c r="FO68" s="368">
        <f t="shared" si="353"/>
        <v>0</v>
      </c>
      <c r="FP68" s="368">
        <f t="shared" si="354"/>
        <v>0</v>
      </c>
      <c r="FQ68" s="368">
        <f t="shared" si="355"/>
        <v>0</v>
      </c>
      <c r="FR68" s="368">
        <f t="shared" si="356"/>
        <v>0</v>
      </c>
      <c r="FS68" s="368">
        <f t="shared" si="357"/>
        <v>0</v>
      </c>
      <c r="FT68" s="368">
        <f t="shared" si="358"/>
        <v>0</v>
      </c>
      <c r="FU68" s="368">
        <f t="shared" si="62"/>
        <v>0</v>
      </c>
      <c r="FV68" s="368">
        <f t="shared" si="63"/>
        <v>0</v>
      </c>
      <c r="FW68" s="368">
        <f t="shared" si="64"/>
        <v>0</v>
      </c>
      <c r="FX68" s="368">
        <f t="shared" si="65"/>
        <v>0</v>
      </c>
      <c r="FY68" s="368">
        <f t="shared" si="66"/>
        <v>0</v>
      </c>
      <c r="FZ68" s="368">
        <f t="shared" si="67"/>
        <v>0</v>
      </c>
      <c r="GA68" s="368">
        <f t="shared" si="68"/>
        <v>0</v>
      </c>
      <c r="GB68" s="368">
        <f t="shared" si="69"/>
        <v>0</v>
      </c>
      <c r="GC68" s="368">
        <f t="shared" si="70"/>
        <v>0</v>
      </c>
      <c r="GD68" s="368">
        <f t="shared" si="71"/>
        <v>0</v>
      </c>
      <c r="GE68" s="368">
        <f t="shared" si="72"/>
        <v>0</v>
      </c>
      <c r="GF68" s="368">
        <f t="shared" si="73"/>
        <v>0</v>
      </c>
      <c r="GG68" s="368">
        <f t="shared" si="74"/>
        <v>0</v>
      </c>
      <c r="GH68" s="368">
        <f t="shared" si="75"/>
        <v>0</v>
      </c>
      <c r="GI68" s="368">
        <f t="shared" si="76"/>
        <v>0</v>
      </c>
      <c r="GJ68" s="368">
        <f t="shared" si="77"/>
        <v>0</v>
      </c>
      <c r="GK68" s="368">
        <f t="shared" si="78"/>
        <v>0</v>
      </c>
      <c r="GL68" s="368">
        <f t="shared" si="79"/>
        <v>0</v>
      </c>
      <c r="GM68" s="368">
        <f t="shared" si="80"/>
        <v>0</v>
      </c>
    </row>
    <row r="69" spans="1:195" s="83" customFormat="1" hidden="1">
      <c r="A69" s="357" t="s">
        <v>334</v>
      </c>
      <c r="B69" s="357"/>
      <c r="C69" s="357"/>
      <c r="D69" s="395" t="s">
        <v>1516</v>
      </c>
      <c r="E69" s="493" t="s">
        <v>1513</v>
      </c>
      <c r="F69" s="493"/>
      <c r="G69" s="357" t="s">
        <v>329</v>
      </c>
      <c r="H69" s="352"/>
      <c r="I69" s="357" t="s">
        <v>330</v>
      </c>
      <c r="J69" s="357" t="s">
        <v>357</v>
      </c>
      <c r="K69" s="353">
        <v>230</v>
      </c>
      <c r="L69" s="360">
        <v>0.85</v>
      </c>
      <c r="M69" s="352">
        <v>0.95</v>
      </c>
      <c r="N69" s="359">
        <v>6</v>
      </c>
      <c r="O69" s="359">
        <f t="shared" si="359"/>
        <v>0</v>
      </c>
      <c r="P69" s="360" t="str">
        <f t="shared" si="360"/>
        <v>0.00</v>
      </c>
      <c r="Q69" s="352">
        <v>65</v>
      </c>
      <c r="R69" s="352">
        <v>0</v>
      </c>
      <c r="S69" s="352">
        <f t="shared" si="361"/>
        <v>0</v>
      </c>
      <c r="T69" s="360" t="s">
        <v>131</v>
      </c>
      <c r="U69" s="352" t="s">
        <v>333</v>
      </c>
      <c r="V69" s="360">
        <v>4</v>
      </c>
      <c r="W69" s="360" t="str">
        <f t="shared" si="362"/>
        <v>3C X 4</v>
      </c>
      <c r="X69" s="360" t="str">
        <f t="shared" si="363"/>
        <v>3C X 4</v>
      </c>
      <c r="Y69" s="360" t="s">
        <v>358</v>
      </c>
      <c r="Z69" s="361">
        <f>IF(T69="AIR",VLOOKUP(W69,'Catalogue Aluminium'!$B$9:$G$93,2,FALSE),IF(T69="GROUND",VLOOKUP(W69,'Catalogue Aluminium'!$B$9:$G$93,3,FALSE),IF(T69="DUCT",VLOOKUP(W69,'Catalogue Aluminium'!$B$9:$G$93,4,FALSE),IF(T69="TRENCH",VLOOKUP(W69,'Catalogue Aluminium'!$B$9:$G$93,2,FALSE)))))</f>
        <v>38</v>
      </c>
      <c r="AA69" s="362">
        <f>VLOOKUP(W69,'Catalogue Aluminium'!$B$9:$G$93,5,FALSE)</f>
        <v>5.9</v>
      </c>
      <c r="AB69" s="362">
        <f>VLOOKUP(W69,'Catalogue Aluminium'!$B$9:$G$93,6,FALSE)</f>
        <v>9.4700000000000006E-2</v>
      </c>
      <c r="AC69" s="564"/>
      <c r="AD69" s="564"/>
      <c r="AE69" s="564">
        <v>10</v>
      </c>
      <c r="AF69" s="564">
        <v>8</v>
      </c>
      <c r="AG69" s="564">
        <f t="shared" si="84"/>
        <v>2</v>
      </c>
      <c r="AH69" s="363">
        <f t="shared" si="364"/>
        <v>20</v>
      </c>
      <c r="AI69" s="361">
        <f>IF(T69="AIR",'Catalogue Aluminium'!$K$9,IF(T69="TRENCH",'Catalogue Aluminium'!$K$12,"NA"))</f>
        <v>0.89</v>
      </c>
      <c r="AJ69" s="359">
        <f>IF(T69="Air",(IF(U69="1C",'Catalogue Aluminium'!$L$9,'Catalogue Aluminium'!$M$9)),IF(T69="DUCT",(IF($U69="1C",'Catalogue Aluminium'!$L$10,'Catalogue Aluminium'!$M$10)),IF(T69="GROUND",(IF($U69="1C",'Catalogue Aluminium'!$L$11,'Catalogue Aluminium'!$M$11)),IF(T69="TRENCH",(IF($U69="1C",'Catalogue Aluminium'!$L$12,'Catalogue Aluminium'!$M$12))))))</f>
        <v>0.66</v>
      </c>
      <c r="AK69" s="361" t="str">
        <f>IF(T69="Air",'Catalogue Aluminium'!$N$9,IF(T69="GROUND",'Catalogue Aluminium'!$N$10,IF(T69="DUCT",'Catalogue Aluminium'!$N$11,IF(T69="TRENCH",'Catalogue Aluminium'!$N$12,"NA"))))</f>
        <v>NA</v>
      </c>
      <c r="AL69" s="361" t="str">
        <f>IF(T69="Air",(IF(U69="1C",'Catalogue Aluminium'!$O$9,'Catalogue Aluminium'!$P$9)),IF(T69="DUCT",(IF($U69="1C",'Catalogue Aluminium'!$O$10,'Catalogue Aluminium'!$P$10)),IF(T69="GROUND",(IF($U69="1C",'Catalogue Aluminium'!$O$11,'Catalogue Aluminium'!$P$11)),IF(T69="TRENCH",(IF($U69="1C",'Catalogue Aluminium'!$O$12,'Catalogue Aluminium'!$P$12))))))</f>
        <v>NA</v>
      </c>
      <c r="AM69" s="361" t="str">
        <f>IF(T69="AIR","NA",IF(T69="TRENCH","NA",IF(T69="DUCT",IF(U69="1C",VLOOKUP(V69,'Catalogue Aluminium'!$Q$9:$S$28,2,FALSE),VLOOKUP(V69,'Catalogue Aluminium'!$Q$9:$S$28,3)),IF(T69="GROUND",IF(U69="1C",VLOOKUP(V69,'Catalogue Aluminium'!$Q$9:$S$28,2,FALSE),VLOOKUP(V69,'Catalogue Aluminium'!$Q$9:$S$28,3))))))</f>
        <v>NA</v>
      </c>
      <c r="AN69" s="365">
        <f t="shared" si="365"/>
        <v>0.58740000000000003</v>
      </c>
      <c r="AO69" s="352">
        <f t="shared" si="366"/>
        <v>22.321200000000001</v>
      </c>
      <c r="AP69" s="353">
        <f t="shared" si="367"/>
        <v>1</v>
      </c>
      <c r="AQ69" s="352" t="str">
        <f t="shared" si="368"/>
        <v>YES</v>
      </c>
      <c r="AR69" s="365">
        <f t="shared" si="369"/>
        <v>0.45770297956699862</v>
      </c>
      <c r="AS69" s="360" t="str">
        <f t="shared" si="370"/>
        <v>YES</v>
      </c>
      <c r="AT69" s="365" t="str">
        <f t="shared" si="371"/>
        <v>NA</v>
      </c>
      <c r="AU69" s="360" t="str">
        <f t="shared" si="372"/>
        <v>NA</v>
      </c>
      <c r="AV69" s="366" t="str">
        <f t="shared" si="373"/>
        <v>1R x 0.6/1kV x 3C x 4 Sqmm</v>
      </c>
      <c r="AW69" s="366" t="str">
        <f t="shared" si="374"/>
        <v>1R x 0.6/1kV x 3C x 4 Sqmm</v>
      </c>
      <c r="AX69" s="360"/>
      <c r="AY69" s="367"/>
      <c r="AZ69" s="367"/>
      <c r="BA69" s="751" t="str">
        <f t="shared" si="375"/>
        <v/>
      </c>
      <c r="BB69" s="368"/>
      <c r="BC69" s="368"/>
      <c r="BE69" s="781"/>
      <c r="BF69" s="781"/>
      <c r="BG69" s="781"/>
      <c r="BH69" s="781"/>
      <c r="BI69" s="781"/>
      <c r="BJ69" s="781"/>
      <c r="BK69" s="781"/>
      <c r="BL69" s="781"/>
      <c r="BM69" s="781"/>
      <c r="BN69" s="781"/>
      <c r="BO69" s="781"/>
      <c r="BP69" s="781"/>
      <c r="BQ69" s="781"/>
      <c r="BR69" s="781"/>
      <c r="BS69" s="781"/>
      <c r="BT69" s="781"/>
      <c r="BU69" s="781"/>
      <c r="BV69" s="781"/>
      <c r="BW69" s="781"/>
      <c r="BX69" s="781"/>
      <c r="BY69" s="781"/>
      <c r="BZ69" s="781"/>
      <c r="CA69" s="781"/>
      <c r="CB69" s="781"/>
      <c r="CC69" s="781"/>
      <c r="CD69" s="781"/>
      <c r="CE69" s="781"/>
      <c r="CF69" s="781"/>
      <c r="CG69" s="781"/>
      <c r="CH69" s="781"/>
      <c r="CI69" s="781"/>
      <c r="CJ69" s="781"/>
      <c r="CK69" s="781"/>
      <c r="CL69" s="781"/>
      <c r="CM69" s="781"/>
      <c r="CN69" s="781"/>
      <c r="CO69" s="781"/>
      <c r="CP69" s="781"/>
      <c r="CQ69" s="781"/>
      <c r="CR69" s="781"/>
      <c r="CS69" s="781"/>
      <c r="CT69" s="781"/>
      <c r="CU69" s="781"/>
      <c r="CV69" s="781"/>
      <c r="CW69" s="781"/>
      <c r="CX69" s="781"/>
      <c r="CY69" s="781"/>
      <c r="CZ69" s="368"/>
      <c r="DA69" s="368"/>
      <c r="DB69" s="368"/>
      <c r="DC69" s="368"/>
      <c r="DD69" s="368"/>
      <c r="DE69" s="368"/>
      <c r="DF69" s="368"/>
      <c r="DG69" s="368"/>
      <c r="DH69" s="368"/>
      <c r="DI69" s="368"/>
      <c r="DJ69" s="368"/>
      <c r="DK69" s="368"/>
      <c r="DL69" s="368"/>
      <c r="DM69" s="368"/>
      <c r="DN69" s="368"/>
      <c r="DO69" s="368"/>
      <c r="DP69" s="368"/>
      <c r="DQ69" s="368"/>
      <c r="DR69" s="368"/>
      <c r="DS69" s="368"/>
      <c r="DT69" s="368"/>
      <c r="DU69" s="368"/>
      <c r="DW69" s="368">
        <f t="shared" si="376"/>
        <v>0</v>
      </c>
      <c r="DX69" s="368">
        <f t="shared" si="311"/>
        <v>0</v>
      </c>
      <c r="DY69" s="368">
        <f t="shared" si="312"/>
        <v>0</v>
      </c>
      <c r="DZ69" s="368">
        <f t="shared" si="313"/>
        <v>0</v>
      </c>
      <c r="EA69" s="368">
        <f t="shared" si="314"/>
        <v>0</v>
      </c>
      <c r="EB69" s="368">
        <f t="shared" si="315"/>
        <v>0</v>
      </c>
      <c r="EC69" s="368">
        <f t="shared" si="316"/>
        <v>0</v>
      </c>
      <c r="ED69" s="368">
        <f t="shared" si="317"/>
        <v>0</v>
      </c>
      <c r="EE69" s="368">
        <f t="shared" si="318"/>
        <v>0</v>
      </c>
      <c r="EF69" s="368">
        <f t="shared" si="319"/>
        <v>0</v>
      </c>
      <c r="EG69" s="368">
        <f t="shared" si="320"/>
        <v>0</v>
      </c>
      <c r="EH69" s="368">
        <f t="shared" si="321"/>
        <v>0</v>
      </c>
      <c r="EI69" s="368">
        <f t="shared" si="322"/>
        <v>0</v>
      </c>
      <c r="EJ69" s="368">
        <f t="shared" si="323"/>
        <v>0</v>
      </c>
      <c r="EK69" s="368">
        <f t="shared" si="324"/>
        <v>0</v>
      </c>
      <c r="EL69" s="368">
        <f t="shared" si="325"/>
        <v>0</v>
      </c>
      <c r="EM69" s="368">
        <f t="shared" si="326"/>
        <v>0</v>
      </c>
      <c r="EN69" s="368">
        <f t="shared" si="327"/>
        <v>0</v>
      </c>
      <c r="EO69" s="368">
        <f t="shared" si="328"/>
        <v>0</v>
      </c>
      <c r="EP69" s="368">
        <f t="shared" si="329"/>
        <v>0</v>
      </c>
      <c r="EQ69" s="368">
        <f t="shared" si="330"/>
        <v>0</v>
      </c>
      <c r="ER69" s="368">
        <f t="shared" si="331"/>
        <v>0</v>
      </c>
      <c r="ES69" s="368">
        <f t="shared" si="332"/>
        <v>0</v>
      </c>
      <c r="ET69" s="368">
        <f t="shared" si="332"/>
        <v>0</v>
      </c>
      <c r="EU69" s="368">
        <f t="shared" si="333"/>
        <v>0</v>
      </c>
      <c r="EV69" s="368">
        <f t="shared" si="334"/>
        <v>0</v>
      </c>
      <c r="EW69" s="368">
        <f t="shared" si="335"/>
        <v>0</v>
      </c>
      <c r="EX69" s="368">
        <f t="shared" si="336"/>
        <v>0</v>
      </c>
      <c r="EY69" s="368">
        <f t="shared" si="337"/>
        <v>0</v>
      </c>
      <c r="EZ69" s="368">
        <f t="shared" si="338"/>
        <v>0</v>
      </c>
      <c r="FA69" s="368">
        <f t="shared" si="339"/>
        <v>0</v>
      </c>
      <c r="FB69" s="368">
        <f t="shared" si="340"/>
        <v>0</v>
      </c>
      <c r="FC69" s="368">
        <f t="shared" si="341"/>
        <v>0</v>
      </c>
      <c r="FD69" s="368">
        <f t="shared" si="342"/>
        <v>0</v>
      </c>
      <c r="FE69" s="368">
        <f t="shared" si="343"/>
        <v>0</v>
      </c>
      <c r="FF69" s="368">
        <f t="shared" si="344"/>
        <v>0</v>
      </c>
      <c r="FG69" s="368">
        <f t="shared" si="345"/>
        <v>0</v>
      </c>
      <c r="FH69" s="368">
        <f t="shared" si="346"/>
        <v>0</v>
      </c>
      <c r="FI69" s="368">
        <f t="shared" si="347"/>
        <v>0</v>
      </c>
      <c r="FJ69" s="368">
        <f t="shared" si="348"/>
        <v>0</v>
      </c>
      <c r="FK69" s="368">
        <f t="shared" si="349"/>
        <v>0</v>
      </c>
      <c r="FL69" s="368">
        <f t="shared" si="350"/>
        <v>0</v>
      </c>
      <c r="FM69" s="368">
        <f t="shared" si="351"/>
        <v>0</v>
      </c>
      <c r="FN69" s="368">
        <f t="shared" si="352"/>
        <v>0</v>
      </c>
      <c r="FO69" s="368">
        <f t="shared" si="353"/>
        <v>0</v>
      </c>
      <c r="FP69" s="368">
        <f t="shared" si="354"/>
        <v>0</v>
      </c>
      <c r="FQ69" s="368">
        <f t="shared" si="355"/>
        <v>0</v>
      </c>
      <c r="FR69" s="368">
        <f t="shared" si="356"/>
        <v>0</v>
      </c>
      <c r="FS69" s="368">
        <f t="shared" si="357"/>
        <v>0</v>
      </c>
      <c r="FT69" s="368">
        <f t="shared" si="358"/>
        <v>0</v>
      </c>
      <c r="FU69" s="368">
        <f t="shared" si="62"/>
        <v>0</v>
      </c>
      <c r="FV69" s="368">
        <f t="shared" si="63"/>
        <v>0</v>
      </c>
      <c r="FW69" s="368">
        <f t="shared" si="64"/>
        <v>0</v>
      </c>
      <c r="FX69" s="368">
        <f t="shared" si="65"/>
        <v>0</v>
      </c>
      <c r="FY69" s="368">
        <f t="shared" si="66"/>
        <v>0</v>
      </c>
      <c r="FZ69" s="368">
        <f t="shared" si="67"/>
        <v>0</v>
      </c>
      <c r="GA69" s="368">
        <f t="shared" si="68"/>
        <v>0</v>
      </c>
      <c r="GB69" s="368">
        <f t="shared" si="69"/>
        <v>0</v>
      </c>
      <c r="GC69" s="368">
        <f t="shared" si="70"/>
        <v>0</v>
      </c>
      <c r="GD69" s="368">
        <f t="shared" si="71"/>
        <v>0</v>
      </c>
      <c r="GE69" s="368">
        <f t="shared" si="72"/>
        <v>0</v>
      </c>
      <c r="GF69" s="368">
        <f t="shared" si="73"/>
        <v>0</v>
      </c>
      <c r="GG69" s="368">
        <f t="shared" si="74"/>
        <v>0</v>
      </c>
      <c r="GH69" s="368">
        <f t="shared" si="75"/>
        <v>0</v>
      </c>
      <c r="GI69" s="368">
        <f t="shared" si="76"/>
        <v>0</v>
      </c>
      <c r="GJ69" s="368">
        <f t="shared" si="77"/>
        <v>0</v>
      </c>
      <c r="GK69" s="368">
        <f t="shared" si="78"/>
        <v>0</v>
      </c>
      <c r="GL69" s="368">
        <f t="shared" si="79"/>
        <v>0</v>
      </c>
      <c r="GM69" s="368">
        <f t="shared" si="80"/>
        <v>0</v>
      </c>
    </row>
    <row r="70" spans="1:195" s="83" customFormat="1" hidden="1">
      <c r="A70" s="357" t="s">
        <v>334</v>
      </c>
      <c r="B70" s="357"/>
      <c r="C70" s="357"/>
      <c r="D70" s="395" t="s">
        <v>1517</v>
      </c>
      <c r="E70" s="493" t="s">
        <v>1513</v>
      </c>
      <c r="F70" s="493"/>
      <c r="G70" s="357" t="s">
        <v>329</v>
      </c>
      <c r="H70" s="352"/>
      <c r="I70" s="357" t="s">
        <v>330</v>
      </c>
      <c r="J70" s="357" t="s">
        <v>357</v>
      </c>
      <c r="K70" s="353">
        <v>230</v>
      </c>
      <c r="L70" s="360">
        <v>0.85</v>
      </c>
      <c r="M70" s="352">
        <v>0.95</v>
      </c>
      <c r="N70" s="359">
        <v>6</v>
      </c>
      <c r="O70" s="359">
        <f t="shared" si="359"/>
        <v>0</v>
      </c>
      <c r="P70" s="360" t="str">
        <f t="shared" si="360"/>
        <v>0.00</v>
      </c>
      <c r="Q70" s="352">
        <v>65</v>
      </c>
      <c r="R70" s="352">
        <v>0</v>
      </c>
      <c r="S70" s="352">
        <f t="shared" si="361"/>
        <v>0</v>
      </c>
      <c r="T70" s="360" t="s">
        <v>131</v>
      </c>
      <c r="U70" s="352" t="s">
        <v>333</v>
      </c>
      <c r="V70" s="360">
        <v>4</v>
      </c>
      <c r="W70" s="360" t="str">
        <f t="shared" si="362"/>
        <v>3C X 4</v>
      </c>
      <c r="X70" s="360" t="str">
        <f t="shared" si="363"/>
        <v>3C X 4</v>
      </c>
      <c r="Y70" s="360" t="s">
        <v>358</v>
      </c>
      <c r="Z70" s="361">
        <f>IF(T70="AIR",VLOOKUP(W70,'Catalogue Aluminium'!$B$9:$G$93,2,FALSE),IF(T70="GROUND",VLOOKUP(W70,'Catalogue Aluminium'!$B$9:$G$93,3,FALSE),IF(T70="DUCT",VLOOKUP(W70,'Catalogue Aluminium'!$B$9:$G$93,4,FALSE),IF(T70="TRENCH",VLOOKUP(W70,'Catalogue Aluminium'!$B$9:$G$93,2,FALSE)))))</f>
        <v>38</v>
      </c>
      <c r="AA70" s="362">
        <f>VLOOKUP(W70,'Catalogue Aluminium'!$B$9:$G$93,5,FALSE)</f>
        <v>5.9</v>
      </c>
      <c r="AB70" s="362">
        <f>VLOOKUP(W70,'Catalogue Aluminium'!$B$9:$G$93,6,FALSE)</f>
        <v>9.4700000000000006E-2</v>
      </c>
      <c r="AC70" s="564"/>
      <c r="AD70" s="564"/>
      <c r="AE70" s="564">
        <v>10</v>
      </c>
      <c r="AF70" s="564">
        <v>8</v>
      </c>
      <c r="AG70" s="564">
        <f t="shared" si="84"/>
        <v>2</v>
      </c>
      <c r="AH70" s="363">
        <f t="shared" si="364"/>
        <v>20</v>
      </c>
      <c r="AI70" s="361">
        <f>IF(T70="AIR",'Catalogue Aluminium'!$K$9,IF(T70="TRENCH",'Catalogue Aluminium'!$K$12,"NA"))</f>
        <v>0.89</v>
      </c>
      <c r="AJ70" s="359">
        <f>IF(T70="Air",(IF(U70="1C",'Catalogue Aluminium'!$L$9,'Catalogue Aluminium'!$M$9)),IF(T70="DUCT",(IF($U70="1C",'Catalogue Aluminium'!$L$10,'Catalogue Aluminium'!$M$10)),IF(T70="GROUND",(IF($U70="1C",'Catalogue Aluminium'!$L$11,'Catalogue Aluminium'!$M$11)),IF(T70="TRENCH",(IF($U70="1C",'Catalogue Aluminium'!$L$12,'Catalogue Aluminium'!$M$12))))))</f>
        <v>0.66</v>
      </c>
      <c r="AK70" s="361" t="str">
        <f>IF(T70="Air",'Catalogue Aluminium'!$N$9,IF(T70="GROUND",'Catalogue Aluminium'!$N$10,IF(T70="DUCT",'Catalogue Aluminium'!$N$11,IF(T70="TRENCH",'Catalogue Aluminium'!$N$12,"NA"))))</f>
        <v>NA</v>
      </c>
      <c r="AL70" s="361" t="str">
        <f>IF(T70="Air",(IF(U70="1C",'Catalogue Aluminium'!$O$9,'Catalogue Aluminium'!$P$9)),IF(T70="DUCT",(IF($U70="1C",'Catalogue Aluminium'!$O$10,'Catalogue Aluminium'!$P$10)),IF(T70="GROUND",(IF($U70="1C",'Catalogue Aluminium'!$O$11,'Catalogue Aluminium'!$P$11)),IF(T70="TRENCH",(IF($U70="1C",'Catalogue Aluminium'!$O$12,'Catalogue Aluminium'!$P$12))))))</f>
        <v>NA</v>
      </c>
      <c r="AM70" s="361" t="str">
        <f>IF(T70="AIR","NA",IF(T70="TRENCH","NA",IF(T70="DUCT",IF(U70="1C",VLOOKUP(V70,'Catalogue Aluminium'!$Q$9:$S$28,2,FALSE),VLOOKUP(V70,'Catalogue Aluminium'!$Q$9:$S$28,3)),IF(T70="GROUND",IF(U70="1C",VLOOKUP(V70,'Catalogue Aluminium'!$Q$9:$S$28,2,FALSE),VLOOKUP(V70,'Catalogue Aluminium'!$Q$9:$S$28,3))))))</f>
        <v>NA</v>
      </c>
      <c r="AN70" s="365">
        <f t="shared" si="365"/>
        <v>0.58740000000000003</v>
      </c>
      <c r="AO70" s="352">
        <f t="shared" si="366"/>
        <v>22.321200000000001</v>
      </c>
      <c r="AP70" s="353">
        <f t="shared" si="367"/>
        <v>1</v>
      </c>
      <c r="AQ70" s="352" t="str">
        <f t="shared" si="368"/>
        <v>YES</v>
      </c>
      <c r="AR70" s="365">
        <f t="shared" si="369"/>
        <v>0.45770297956699862</v>
      </c>
      <c r="AS70" s="360" t="str">
        <f t="shared" si="370"/>
        <v>YES</v>
      </c>
      <c r="AT70" s="365" t="str">
        <f t="shared" si="371"/>
        <v>NA</v>
      </c>
      <c r="AU70" s="360" t="str">
        <f t="shared" si="372"/>
        <v>NA</v>
      </c>
      <c r="AV70" s="366" t="str">
        <f t="shared" si="373"/>
        <v>1R x 0.6/1kV x 3C x 4 Sqmm</v>
      </c>
      <c r="AW70" s="366" t="str">
        <f t="shared" si="374"/>
        <v>1R x 0.6/1kV x 3C x 4 Sqmm</v>
      </c>
      <c r="AX70" s="360"/>
      <c r="AY70" s="367"/>
      <c r="AZ70" s="367"/>
      <c r="BA70" s="751" t="str">
        <f t="shared" si="375"/>
        <v/>
      </c>
      <c r="BB70" s="368"/>
      <c r="BC70" s="368"/>
      <c r="BE70" s="781"/>
      <c r="BF70" s="781"/>
      <c r="BG70" s="781"/>
      <c r="BH70" s="781"/>
      <c r="BI70" s="781"/>
      <c r="BJ70" s="781"/>
      <c r="BK70" s="781"/>
      <c r="BL70" s="781"/>
      <c r="BM70" s="781"/>
      <c r="BN70" s="781"/>
      <c r="BO70" s="781"/>
      <c r="BP70" s="781"/>
      <c r="BQ70" s="781"/>
      <c r="BR70" s="781"/>
      <c r="BS70" s="781"/>
      <c r="BT70" s="781"/>
      <c r="BU70" s="781"/>
      <c r="BV70" s="781"/>
      <c r="BW70" s="781"/>
      <c r="BX70" s="781"/>
      <c r="BY70" s="781"/>
      <c r="BZ70" s="781"/>
      <c r="CA70" s="781"/>
      <c r="CB70" s="781"/>
      <c r="CC70" s="781"/>
      <c r="CD70" s="781"/>
      <c r="CE70" s="781"/>
      <c r="CF70" s="781"/>
      <c r="CG70" s="781"/>
      <c r="CH70" s="781"/>
      <c r="CI70" s="781"/>
      <c r="CJ70" s="781"/>
      <c r="CK70" s="781"/>
      <c r="CL70" s="781"/>
      <c r="CM70" s="781"/>
      <c r="CN70" s="781"/>
      <c r="CO70" s="781"/>
      <c r="CP70" s="781"/>
      <c r="CQ70" s="781"/>
      <c r="CR70" s="781"/>
      <c r="CS70" s="781"/>
      <c r="CT70" s="781"/>
      <c r="CU70" s="781"/>
      <c r="CV70" s="781"/>
      <c r="CW70" s="781"/>
      <c r="CX70" s="781"/>
      <c r="CY70" s="781"/>
      <c r="CZ70" s="368"/>
      <c r="DA70" s="368"/>
      <c r="DB70" s="368"/>
      <c r="DC70" s="368"/>
      <c r="DD70" s="368"/>
      <c r="DE70" s="368"/>
      <c r="DF70" s="368"/>
      <c r="DG70" s="368"/>
      <c r="DH70" s="368"/>
      <c r="DI70" s="368"/>
      <c r="DJ70" s="368"/>
      <c r="DK70" s="368"/>
      <c r="DL70" s="368"/>
      <c r="DM70" s="368"/>
      <c r="DN70" s="368"/>
      <c r="DO70" s="368"/>
      <c r="DP70" s="368"/>
      <c r="DQ70" s="368"/>
      <c r="DR70" s="368"/>
      <c r="DS70" s="368"/>
      <c r="DT70" s="368"/>
      <c r="DU70" s="368"/>
      <c r="DW70" s="368">
        <f t="shared" si="376"/>
        <v>0</v>
      </c>
      <c r="DX70" s="368">
        <f t="shared" si="311"/>
        <v>0</v>
      </c>
      <c r="DY70" s="368">
        <f t="shared" si="312"/>
        <v>0</v>
      </c>
      <c r="DZ70" s="368">
        <f t="shared" si="313"/>
        <v>0</v>
      </c>
      <c r="EA70" s="368">
        <f t="shared" si="314"/>
        <v>0</v>
      </c>
      <c r="EB70" s="368">
        <f t="shared" si="315"/>
        <v>0</v>
      </c>
      <c r="EC70" s="368">
        <f t="shared" si="316"/>
        <v>0</v>
      </c>
      <c r="ED70" s="368">
        <f t="shared" si="317"/>
        <v>0</v>
      </c>
      <c r="EE70" s="368">
        <f t="shared" si="318"/>
        <v>0</v>
      </c>
      <c r="EF70" s="368">
        <f t="shared" si="319"/>
        <v>0</v>
      </c>
      <c r="EG70" s="368">
        <f t="shared" si="320"/>
        <v>0</v>
      </c>
      <c r="EH70" s="368">
        <f t="shared" si="321"/>
        <v>0</v>
      </c>
      <c r="EI70" s="368">
        <f t="shared" si="322"/>
        <v>0</v>
      </c>
      <c r="EJ70" s="368">
        <f t="shared" si="323"/>
        <v>0</v>
      </c>
      <c r="EK70" s="368">
        <f t="shared" si="324"/>
        <v>0</v>
      </c>
      <c r="EL70" s="368">
        <f t="shared" si="325"/>
        <v>0</v>
      </c>
      <c r="EM70" s="368">
        <f t="shared" si="326"/>
        <v>0</v>
      </c>
      <c r="EN70" s="368">
        <f t="shared" si="327"/>
        <v>0</v>
      </c>
      <c r="EO70" s="368">
        <f t="shared" si="328"/>
        <v>0</v>
      </c>
      <c r="EP70" s="368">
        <f t="shared" si="329"/>
        <v>0</v>
      </c>
      <c r="EQ70" s="368">
        <f t="shared" si="330"/>
        <v>0</v>
      </c>
      <c r="ER70" s="368">
        <f t="shared" si="331"/>
        <v>0</v>
      </c>
      <c r="ES70" s="368">
        <f t="shared" si="332"/>
        <v>0</v>
      </c>
      <c r="ET70" s="368">
        <f t="shared" si="332"/>
        <v>0</v>
      </c>
      <c r="EU70" s="368">
        <f t="shared" si="333"/>
        <v>0</v>
      </c>
      <c r="EV70" s="368">
        <f t="shared" si="334"/>
        <v>0</v>
      </c>
      <c r="EW70" s="368">
        <f t="shared" si="335"/>
        <v>0</v>
      </c>
      <c r="EX70" s="368">
        <f t="shared" si="336"/>
        <v>0</v>
      </c>
      <c r="EY70" s="368">
        <f t="shared" si="337"/>
        <v>0</v>
      </c>
      <c r="EZ70" s="368">
        <f t="shared" si="338"/>
        <v>0</v>
      </c>
      <c r="FA70" s="368">
        <f t="shared" si="339"/>
        <v>0</v>
      </c>
      <c r="FB70" s="368">
        <f t="shared" si="340"/>
        <v>0</v>
      </c>
      <c r="FC70" s="368">
        <f t="shared" si="341"/>
        <v>0</v>
      </c>
      <c r="FD70" s="368">
        <f t="shared" si="342"/>
        <v>0</v>
      </c>
      <c r="FE70" s="368">
        <f t="shared" si="343"/>
        <v>0</v>
      </c>
      <c r="FF70" s="368">
        <f t="shared" si="344"/>
        <v>0</v>
      </c>
      <c r="FG70" s="368">
        <f t="shared" si="345"/>
        <v>0</v>
      </c>
      <c r="FH70" s="368">
        <f t="shared" si="346"/>
        <v>0</v>
      </c>
      <c r="FI70" s="368">
        <f t="shared" si="347"/>
        <v>0</v>
      </c>
      <c r="FJ70" s="368">
        <f t="shared" si="348"/>
        <v>0</v>
      </c>
      <c r="FK70" s="368">
        <f t="shared" si="349"/>
        <v>0</v>
      </c>
      <c r="FL70" s="368">
        <f t="shared" si="350"/>
        <v>0</v>
      </c>
      <c r="FM70" s="368">
        <f t="shared" si="351"/>
        <v>0</v>
      </c>
      <c r="FN70" s="368">
        <f t="shared" si="352"/>
        <v>0</v>
      </c>
      <c r="FO70" s="368">
        <f t="shared" si="353"/>
        <v>0</v>
      </c>
      <c r="FP70" s="368">
        <f t="shared" si="354"/>
        <v>0</v>
      </c>
      <c r="FQ70" s="368">
        <f t="shared" si="355"/>
        <v>0</v>
      </c>
      <c r="FR70" s="368">
        <f t="shared" si="356"/>
        <v>0</v>
      </c>
      <c r="FS70" s="368">
        <f t="shared" si="357"/>
        <v>0</v>
      </c>
      <c r="FT70" s="368">
        <f t="shared" si="358"/>
        <v>0</v>
      </c>
      <c r="FU70" s="368">
        <f t="shared" si="62"/>
        <v>0</v>
      </c>
      <c r="FV70" s="368">
        <f t="shared" si="63"/>
        <v>0</v>
      </c>
      <c r="FW70" s="368">
        <f t="shared" si="64"/>
        <v>0</v>
      </c>
      <c r="FX70" s="368">
        <f t="shared" si="65"/>
        <v>0</v>
      </c>
      <c r="FY70" s="368">
        <f t="shared" si="66"/>
        <v>0</v>
      </c>
      <c r="FZ70" s="368">
        <f t="shared" si="67"/>
        <v>0</v>
      </c>
      <c r="GA70" s="368">
        <f t="shared" si="68"/>
        <v>0</v>
      </c>
      <c r="GB70" s="368">
        <f t="shared" si="69"/>
        <v>0</v>
      </c>
      <c r="GC70" s="368">
        <f t="shared" si="70"/>
        <v>0</v>
      </c>
      <c r="GD70" s="368">
        <f t="shared" si="71"/>
        <v>0</v>
      </c>
      <c r="GE70" s="368">
        <f t="shared" si="72"/>
        <v>0</v>
      </c>
      <c r="GF70" s="368">
        <f t="shared" si="73"/>
        <v>0</v>
      </c>
      <c r="GG70" s="368">
        <f t="shared" si="74"/>
        <v>0</v>
      </c>
      <c r="GH70" s="368">
        <f t="shared" si="75"/>
        <v>0</v>
      </c>
      <c r="GI70" s="368">
        <f t="shared" si="76"/>
        <v>0</v>
      </c>
      <c r="GJ70" s="368">
        <f t="shared" si="77"/>
        <v>0</v>
      </c>
      <c r="GK70" s="368">
        <f t="shared" si="78"/>
        <v>0</v>
      </c>
      <c r="GL70" s="368">
        <f t="shared" si="79"/>
        <v>0</v>
      </c>
      <c r="GM70" s="368">
        <f t="shared" si="80"/>
        <v>0</v>
      </c>
    </row>
    <row r="71" spans="1:195" s="83" customFormat="1" ht="18" hidden="1">
      <c r="A71" s="357" t="s">
        <v>334</v>
      </c>
      <c r="B71" s="357"/>
      <c r="C71" s="357"/>
      <c r="D71" s="395" t="s">
        <v>1518</v>
      </c>
      <c r="E71" s="493" t="s">
        <v>1513</v>
      </c>
      <c r="F71" s="493"/>
      <c r="G71" s="357" t="s">
        <v>329</v>
      </c>
      <c r="H71" s="352"/>
      <c r="I71" s="357" t="s">
        <v>330</v>
      </c>
      <c r="J71" s="357" t="s">
        <v>357</v>
      </c>
      <c r="K71" s="353">
        <v>230</v>
      </c>
      <c r="L71" s="360">
        <v>0.85</v>
      </c>
      <c r="M71" s="352">
        <v>0.95</v>
      </c>
      <c r="N71" s="359">
        <v>6</v>
      </c>
      <c r="O71" s="359">
        <f t="shared" si="359"/>
        <v>0</v>
      </c>
      <c r="P71" s="360" t="str">
        <f t="shared" si="360"/>
        <v>0.00</v>
      </c>
      <c r="Q71" s="352">
        <v>65</v>
      </c>
      <c r="R71" s="352">
        <v>0</v>
      </c>
      <c r="S71" s="352">
        <f t="shared" si="361"/>
        <v>0</v>
      </c>
      <c r="T71" s="360" t="s">
        <v>131</v>
      </c>
      <c r="U71" s="352" t="s">
        <v>333</v>
      </c>
      <c r="V71" s="360">
        <v>4</v>
      </c>
      <c r="W71" s="360" t="str">
        <f t="shared" si="362"/>
        <v>3C X 4</v>
      </c>
      <c r="X71" s="360" t="str">
        <f t="shared" si="363"/>
        <v>3C X 4</v>
      </c>
      <c r="Y71" s="360" t="s">
        <v>358</v>
      </c>
      <c r="Z71" s="361">
        <f>IF(T71="AIR",VLOOKUP(W71,'Catalogue Aluminium'!$B$9:$G$93,2,FALSE),IF(T71="GROUND",VLOOKUP(W71,'Catalogue Aluminium'!$B$9:$G$93,3,FALSE),IF(T71="DUCT",VLOOKUP(W71,'Catalogue Aluminium'!$B$9:$G$93,4,FALSE),IF(T71="TRENCH",VLOOKUP(W71,'Catalogue Aluminium'!$B$9:$G$93,2,FALSE)))))</f>
        <v>38</v>
      </c>
      <c r="AA71" s="362">
        <f>VLOOKUP(W71,'Catalogue Aluminium'!$B$9:$G$93,5,FALSE)</f>
        <v>5.9</v>
      </c>
      <c r="AB71" s="362">
        <f>VLOOKUP(W71,'Catalogue Aluminium'!$B$9:$G$93,6,FALSE)</f>
        <v>9.4700000000000006E-2</v>
      </c>
      <c r="AC71" s="564"/>
      <c r="AD71" s="564"/>
      <c r="AE71" s="564">
        <v>10</v>
      </c>
      <c r="AF71" s="564">
        <v>8</v>
      </c>
      <c r="AG71" s="564">
        <f t="shared" si="84"/>
        <v>2</v>
      </c>
      <c r="AH71" s="363">
        <f t="shared" si="364"/>
        <v>20</v>
      </c>
      <c r="AI71" s="361">
        <f>IF(T71="AIR",'Catalogue Aluminium'!$K$9,IF(T71="TRENCH",'Catalogue Aluminium'!$K$12,"NA"))</f>
        <v>0.89</v>
      </c>
      <c r="AJ71" s="359">
        <f>IF(T71="Air",(IF(U71="1C",'Catalogue Aluminium'!$L$9,'Catalogue Aluminium'!$M$9)),IF(T71="DUCT",(IF($U71="1C",'Catalogue Aluminium'!$L$10,'Catalogue Aluminium'!$M$10)),IF(T71="GROUND",(IF($U71="1C",'Catalogue Aluminium'!$L$11,'Catalogue Aluminium'!$M$11)),IF(T71="TRENCH",(IF($U71="1C",'Catalogue Aluminium'!$L$12,'Catalogue Aluminium'!$M$12))))))</f>
        <v>0.66</v>
      </c>
      <c r="AK71" s="361" t="str">
        <f>IF(T71="Air",'Catalogue Aluminium'!$N$9,IF(T71="GROUND",'Catalogue Aluminium'!$N$10,IF(T71="DUCT",'Catalogue Aluminium'!$N$11,IF(T71="TRENCH",'Catalogue Aluminium'!$N$12,"NA"))))</f>
        <v>NA</v>
      </c>
      <c r="AL71" s="361" t="str">
        <f>IF(T71="Air",(IF(U71="1C",'Catalogue Aluminium'!$O$9,'Catalogue Aluminium'!$P$9)),IF(T71="DUCT",(IF($U71="1C",'Catalogue Aluminium'!$O$10,'Catalogue Aluminium'!$P$10)),IF(T71="GROUND",(IF($U71="1C",'Catalogue Aluminium'!$O$11,'Catalogue Aluminium'!$P$11)),IF(T71="TRENCH",(IF($U71="1C",'Catalogue Aluminium'!$O$12,'Catalogue Aluminium'!$P$12))))))</f>
        <v>NA</v>
      </c>
      <c r="AM71" s="361" t="str">
        <f>IF(T71="AIR","NA",IF(T71="TRENCH","NA",IF(T71="DUCT",IF(U71="1C",VLOOKUP(V71,'Catalogue Aluminium'!$Q$9:$S$28,2,FALSE),VLOOKUP(V71,'Catalogue Aluminium'!$Q$9:$S$28,3)),IF(T71="GROUND",IF(U71="1C",VLOOKUP(V71,'Catalogue Aluminium'!$Q$9:$S$28,2,FALSE),VLOOKUP(V71,'Catalogue Aluminium'!$Q$9:$S$28,3))))))</f>
        <v>NA</v>
      </c>
      <c r="AN71" s="365">
        <f t="shared" si="365"/>
        <v>0.58740000000000003</v>
      </c>
      <c r="AO71" s="352">
        <f t="shared" si="366"/>
        <v>22.321200000000001</v>
      </c>
      <c r="AP71" s="353">
        <f t="shared" si="367"/>
        <v>1</v>
      </c>
      <c r="AQ71" s="352" t="str">
        <f t="shared" si="368"/>
        <v>YES</v>
      </c>
      <c r="AR71" s="365">
        <f t="shared" si="369"/>
        <v>0.45770297956699862</v>
      </c>
      <c r="AS71" s="360" t="str">
        <f t="shared" si="370"/>
        <v>YES</v>
      </c>
      <c r="AT71" s="365" t="str">
        <f t="shared" si="371"/>
        <v>NA</v>
      </c>
      <c r="AU71" s="360" t="str">
        <f t="shared" si="372"/>
        <v>NA</v>
      </c>
      <c r="AV71" s="366" t="str">
        <f t="shared" si="373"/>
        <v>1R x 0.6/1kV x 3C x 4 Sqmm</v>
      </c>
      <c r="AW71" s="366" t="str">
        <f t="shared" si="374"/>
        <v>1R x 0.6/1kV x 3C x 4 Sqmm</v>
      </c>
      <c r="AX71" s="360"/>
      <c r="AY71" s="367"/>
      <c r="AZ71" s="367"/>
      <c r="BA71" s="751" t="str">
        <f t="shared" si="375"/>
        <v/>
      </c>
      <c r="BB71" s="368"/>
      <c r="BC71" s="368"/>
      <c r="BE71" s="782"/>
      <c r="BF71" s="782"/>
      <c r="BG71" s="782"/>
      <c r="BH71" s="782"/>
      <c r="BI71" s="782"/>
      <c r="BJ71" s="782"/>
      <c r="BK71" s="782"/>
      <c r="BL71" s="782"/>
      <c r="BM71" s="782"/>
      <c r="BN71" s="782"/>
      <c r="BO71" s="782"/>
      <c r="BP71" s="782"/>
      <c r="BQ71" s="782"/>
      <c r="BR71" s="782"/>
      <c r="BS71" s="782"/>
      <c r="BT71" s="782"/>
      <c r="BU71" s="782"/>
      <c r="BV71" s="782"/>
      <c r="BW71" s="782"/>
      <c r="BX71" s="782"/>
      <c r="BY71" s="782"/>
      <c r="BZ71" s="782"/>
      <c r="CA71" s="782"/>
      <c r="CB71" s="782"/>
      <c r="CC71" s="782"/>
      <c r="CD71" s="782"/>
      <c r="CE71" s="782"/>
      <c r="CF71" s="782"/>
      <c r="CG71" s="782"/>
      <c r="CH71" s="782"/>
      <c r="CI71" s="782"/>
      <c r="CJ71" s="782"/>
      <c r="CK71" s="782"/>
      <c r="CL71" s="782"/>
      <c r="CM71" s="782"/>
      <c r="CN71" s="782"/>
      <c r="CO71" s="782"/>
      <c r="CP71" s="782"/>
      <c r="CQ71" s="782"/>
      <c r="CR71" s="782"/>
      <c r="CS71" s="782"/>
      <c r="CT71" s="782"/>
      <c r="CU71" s="782"/>
      <c r="CV71" s="782"/>
      <c r="CW71" s="782"/>
      <c r="CX71" s="782"/>
      <c r="CY71" s="782"/>
      <c r="CZ71" s="368"/>
      <c r="DA71" s="368"/>
      <c r="DB71" s="368"/>
      <c r="DC71" s="368"/>
      <c r="DD71" s="368"/>
      <c r="DE71" s="368"/>
      <c r="DF71" s="368"/>
      <c r="DG71" s="368"/>
      <c r="DH71" s="368"/>
      <c r="DI71" s="368"/>
      <c r="DJ71" s="368"/>
      <c r="DK71" s="368"/>
      <c r="DL71" s="368"/>
      <c r="DM71" s="368"/>
      <c r="DN71" s="368"/>
      <c r="DO71" s="368"/>
      <c r="DP71" s="368"/>
      <c r="DQ71" s="368"/>
      <c r="DR71" s="368"/>
      <c r="DS71" s="368"/>
      <c r="DT71" s="368"/>
      <c r="DU71" s="368"/>
      <c r="DW71" s="368">
        <f t="shared" si="376"/>
        <v>0</v>
      </c>
      <c r="DX71" s="368">
        <f t="shared" si="311"/>
        <v>0</v>
      </c>
      <c r="DY71" s="368">
        <f t="shared" si="312"/>
        <v>0</v>
      </c>
      <c r="DZ71" s="368">
        <f t="shared" si="313"/>
        <v>0</v>
      </c>
      <c r="EA71" s="368">
        <f t="shared" si="314"/>
        <v>0</v>
      </c>
      <c r="EB71" s="368">
        <f t="shared" si="315"/>
        <v>0</v>
      </c>
      <c r="EC71" s="368">
        <f t="shared" si="316"/>
        <v>0</v>
      </c>
      <c r="ED71" s="368">
        <f t="shared" si="317"/>
        <v>0</v>
      </c>
      <c r="EE71" s="368">
        <f t="shared" si="318"/>
        <v>0</v>
      </c>
      <c r="EF71" s="368">
        <f t="shared" si="319"/>
        <v>0</v>
      </c>
      <c r="EG71" s="368">
        <f t="shared" si="320"/>
        <v>0</v>
      </c>
      <c r="EH71" s="368">
        <f t="shared" si="321"/>
        <v>0</v>
      </c>
      <c r="EI71" s="368">
        <f t="shared" si="322"/>
        <v>0</v>
      </c>
      <c r="EJ71" s="368">
        <f t="shared" si="323"/>
        <v>0</v>
      </c>
      <c r="EK71" s="368">
        <f t="shared" si="324"/>
        <v>0</v>
      </c>
      <c r="EL71" s="368">
        <f t="shared" si="325"/>
        <v>0</v>
      </c>
      <c r="EM71" s="368">
        <f t="shared" si="326"/>
        <v>0</v>
      </c>
      <c r="EN71" s="368">
        <f t="shared" si="327"/>
        <v>0</v>
      </c>
      <c r="EO71" s="368">
        <f t="shared" si="328"/>
        <v>0</v>
      </c>
      <c r="EP71" s="368">
        <f t="shared" si="329"/>
        <v>0</v>
      </c>
      <c r="EQ71" s="368">
        <f t="shared" si="330"/>
        <v>0</v>
      </c>
      <c r="ER71" s="368">
        <f t="shared" si="331"/>
        <v>0</v>
      </c>
      <c r="ES71" s="368">
        <f t="shared" si="332"/>
        <v>0</v>
      </c>
      <c r="ET71" s="368">
        <f t="shared" si="332"/>
        <v>0</v>
      </c>
      <c r="EU71" s="368">
        <f t="shared" si="333"/>
        <v>0</v>
      </c>
      <c r="EV71" s="368">
        <f t="shared" si="334"/>
        <v>0</v>
      </c>
      <c r="EW71" s="368">
        <f t="shared" si="335"/>
        <v>0</v>
      </c>
      <c r="EX71" s="368">
        <f t="shared" si="336"/>
        <v>0</v>
      </c>
      <c r="EY71" s="368">
        <f t="shared" si="337"/>
        <v>0</v>
      </c>
      <c r="EZ71" s="368">
        <f t="shared" si="338"/>
        <v>0</v>
      </c>
      <c r="FA71" s="368">
        <f t="shared" si="339"/>
        <v>0</v>
      </c>
      <c r="FB71" s="368">
        <f t="shared" si="340"/>
        <v>0</v>
      </c>
      <c r="FC71" s="368">
        <f t="shared" si="341"/>
        <v>0</v>
      </c>
      <c r="FD71" s="368">
        <f t="shared" si="342"/>
        <v>0</v>
      </c>
      <c r="FE71" s="368">
        <f t="shared" si="343"/>
        <v>0</v>
      </c>
      <c r="FF71" s="368">
        <f t="shared" si="344"/>
        <v>0</v>
      </c>
      <c r="FG71" s="368">
        <f t="shared" si="345"/>
        <v>0</v>
      </c>
      <c r="FH71" s="368">
        <f t="shared" si="346"/>
        <v>0</v>
      </c>
      <c r="FI71" s="368">
        <f t="shared" si="347"/>
        <v>0</v>
      </c>
      <c r="FJ71" s="368">
        <f t="shared" si="348"/>
        <v>0</v>
      </c>
      <c r="FK71" s="368">
        <f t="shared" si="349"/>
        <v>0</v>
      </c>
      <c r="FL71" s="368">
        <f t="shared" si="350"/>
        <v>0</v>
      </c>
      <c r="FM71" s="368">
        <f t="shared" si="351"/>
        <v>0</v>
      </c>
      <c r="FN71" s="368">
        <f t="shared" si="352"/>
        <v>0</v>
      </c>
      <c r="FO71" s="368">
        <f t="shared" si="353"/>
        <v>0</v>
      </c>
      <c r="FP71" s="368">
        <f t="shared" si="354"/>
        <v>0</v>
      </c>
      <c r="FQ71" s="368">
        <f t="shared" si="355"/>
        <v>0</v>
      </c>
      <c r="FR71" s="368">
        <f t="shared" si="356"/>
        <v>0</v>
      </c>
      <c r="FS71" s="368">
        <f t="shared" si="357"/>
        <v>0</v>
      </c>
      <c r="FT71" s="368">
        <f t="shared" si="358"/>
        <v>0</v>
      </c>
      <c r="FU71" s="368">
        <f t="shared" si="62"/>
        <v>0</v>
      </c>
      <c r="FV71" s="368">
        <f t="shared" si="63"/>
        <v>0</v>
      </c>
      <c r="FW71" s="368">
        <f t="shared" si="64"/>
        <v>0</v>
      </c>
      <c r="FX71" s="368">
        <f t="shared" si="65"/>
        <v>0</v>
      </c>
      <c r="FY71" s="368">
        <f t="shared" si="66"/>
        <v>0</v>
      </c>
      <c r="FZ71" s="368">
        <f t="shared" si="67"/>
        <v>0</v>
      </c>
      <c r="GA71" s="368">
        <f t="shared" si="68"/>
        <v>0</v>
      </c>
      <c r="GB71" s="368">
        <f t="shared" si="69"/>
        <v>0</v>
      </c>
      <c r="GC71" s="368">
        <f t="shared" si="70"/>
        <v>0</v>
      </c>
      <c r="GD71" s="368">
        <f t="shared" si="71"/>
        <v>0</v>
      </c>
      <c r="GE71" s="368">
        <f t="shared" si="72"/>
        <v>0</v>
      </c>
      <c r="GF71" s="368">
        <f t="shared" si="73"/>
        <v>0</v>
      </c>
      <c r="GG71" s="368">
        <f t="shared" si="74"/>
        <v>0</v>
      </c>
      <c r="GH71" s="368">
        <f t="shared" si="75"/>
        <v>0</v>
      </c>
      <c r="GI71" s="368">
        <f t="shared" si="76"/>
        <v>0</v>
      </c>
      <c r="GJ71" s="368">
        <f t="shared" si="77"/>
        <v>0</v>
      </c>
      <c r="GK71" s="368">
        <f t="shared" si="78"/>
        <v>0</v>
      </c>
      <c r="GL71" s="368">
        <f t="shared" si="79"/>
        <v>0</v>
      </c>
      <c r="GM71" s="368">
        <f t="shared" si="80"/>
        <v>0</v>
      </c>
    </row>
    <row r="72" spans="1:195" s="83" customFormat="1" hidden="1">
      <c r="A72" s="357" t="s">
        <v>334</v>
      </c>
      <c r="B72" s="357"/>
      <c r="C72" s="357"/>
      <c r="D72" s="395" t="s">
        <v>1519</v>
      </c>
      <c r="E72" s="493" t="s">
        <v>1513</v>
      </c>
      <c r="F72" s="493"/>
      <c r="G72" s="357" t="s">
        <v>329</v>
      </c>
      <c r="H72" s="352"/>
      <c r="I72" s="357" t="s">
        <v>330</v>
      </c>
      <c r="J72" s="357" t="s">
        <v>357</v>
      </c>
      <c r="K72" s="353">
        <v>230</v>
      </c>
      <c r="L72" s="360">
        <v>0.85</v>
      </c>
      <c r="M72" s="352">
        <v>0.95</v>
      </c>
      <c r="N72" s="359">
        <v>6</v>
      </c>
      <c r="O72" s="359">
        <f t="shared" si="359"/>
        <v>0</v>
      </c>
      <c r="P72" s="360" t="str">
        <f t="shared" si="360"/>
        <v>0.00</v>
      </c>
      <c r="Q72" s="352">
        <v>65</v>
      </c>
      <c r="R72" s="352">
        <v>0</v>
      </c>
      <c r="S72" s="352">
        <f t="shared" si="361"/>
        <v>0</v>
      </c>
      <c r="T72" s="360" t="s">
        <v>131</v>
      </c>
      <c r="U72" s="352" t="s">
        <v>333</v>
      </c>
      <c r="V72" s="360">
        <v>4</v>
      </c>
      <c r="W72" s="360" t="str">
        <f t="shared" si="362"/>
        <v>3C X 4</v>
      </c>
      <c r="X72" s="360" t="str">
        <f t="shared" si="363"/>
        <v>3C X 4</v>
      </c>
      <c r="Y72" s="360" t="s">
        <v>358</v>
      </c>
      <c r="Z72" s="361">
        <f>IF(T72="AIR",VLOOKUP(W72,'Catalogue Aluminium'!$B$9:$G$93,2,FALSE),IF(T72="GROUND",VLOOKUP(W72,'Catalogue Aluminium'!$B$9:$G$93,3,FALSE),IF(T72="DUCT",VLOOKUP(W72,'Catalogue Aluminium'!$B$9:$G$93,4,FALSE),IF(T72="TRENCH",VLOOKUP(W72,'Catalogue Aluminium'!$B$9:$G$93,2,FALSE)))))</f>
        <v>38</v>
      </c>
      <c r="AA72" s="362">
        <f>VLOOKUP(W72,'Catalogue Aluminium'!$B$9:$G$93,5,FALSE)</f>
        <v>5.9</v>
      </c>
      <c r="AB72" s="362">
        <f>VLOOKUP(W72,'Catalogue Aluminium'!$B$9:$G$93,6,FALSE)</f>
        <v>9.4700000000000006E-2</v>
      </c>
      <c r="AC72" s="564"/>
      <c r="AD72" s="564"/>
      <c r="AE72" s="564">
        <v>10</v>
      </c>
      <c r="AF72" s="564">
        <v>8</v>
      </c>
      <c r="AG72" s="564">
        <f t="shared" si="84"/>
        <v>2</v>
      </c>
      <c r="AH72" s="363">
        <f t="shared" si="364"/>
        <v>20</v>
      </c>
      <c r="AI72" s="361">
        <f>IF(T72="AIR",'Catalogue Aluminium'!$K$9,IF(T72="TRENCH",'Catalogue Aluminium'!$K$12,"NA"))</f>
        <v>0.89</v>
      </c>
      <c r="AJ72" s="359">
        <f>IF(T72="Air",(IF(U72="1C",'Catalogue Aluminium'!$L$9,'Catalogue Aluminium'!$M$9)),IF(T72="DUCT",(IF($U72="1C",'Catalogue Aluminium'!$L$10,'Catalogue Aluminium'!$M$10)),IF(T72="GROUND",(IF($U72="1C",'Catalogue Aluminium'!$L$11,'Catalogue Aluminium'!$M$11)),IF(T72="TRENCH",(IF($U72="1C",'Catalogue Aluminium'!$L$12,'Catalogue Aluminium'!$M$12))))))</f>
        <v>0.66</v>
      </c>
      <c r="AK72" s="361" t="str">
        <f>IF(T72="Air",'Catalogue Aluminium'!$N$9,IF(T72="GROUND",'Catalogue Aluminium'!$N$10,IF(T72="DUCT",'Catalogue Aluminium'!$N$11,IF(T72="TRENCH",'Catalogue Aluminium'!$N$12,"NA"))))</f>
        <v>NA</v>
      </c>
      <c r="AL72" s="361" t="str">
        <f>IF(T72="Air",(IF(U72="1C",'Catalogue Aluminium'!$O$9,'Catalogue Aluminium'!$P$9)),IF(T72="DUCT",(IF($U72="1C",'Catalogue Aluminium'!$O$10,'Catalogue Aluminium'!$P$10)),IF(T72="GROUND",(IF($U72="1C",'Catalogue Aluminium'!$O$11,'Catalogue Aluminium'!$P$11)),IF(T72="TRENCH",(IF($U72="1C",'Catalogue Aluminium'!$O$12,'Catalogue Aluminium'!$P$12))))))</f>
        <v>NA</v>
      </c>
      <c r="AM72" s="361" t="str">
        <f>IF(T72="AIR","NA",IF(T72="TRENCH","NA",IF(T72="DUCT",IF(U72="1C",VLOOKUP(V72,'Catalogue Aluminium'!$Q$9:$S$28,2,FALSE),VLOOKUP(V72,'Catalogue Aluminium'!$Q$9:$S$28,3)),IF(T72="GROUND",IF(U72="1C",VLOOKUP(V72,'Catalogue Aluminium'!$Q$9:$S$28,2,FALSE),VLOOKUP(V72,'Catalogue Aluminium'!$Q$9:$S$28,3))))))</f>
        <v>NA</v>
      </c>
      <c r="AN72" s="365">
        <f t="shared" si="365"/>
        <v>0.58740000000000003</v>
      </c>
      <c r="AO72" s="352">
        <f t="shared" si="366"/>
        <v>22.321200000000001</v>
      </c>
      <c r="AP72" s="353">
        <f t="shared" si="367"/>
        <v>1</v>
      </c>
      <c r="AQ72" s="352" t="str">
        <f t="shared" si="368"/>
        <v>YES</v>
      </c>
      <c r="AR72" s="365">
        <f t="shared" si="369"/>
        <v>0.45770297956699862</v>
      </c>
      <c r="AS72" s="360" t="str">
        <f t="shared" si="370"/>
        <v>YES</v>
      </c>
      <c r="AT72" s="365" t="str">
        <f t="shared" si="371"/>
        <v>NA</v>
      </c>
      <c r="AU72" s="360" t="str">
        <f t="shared" si="372"/>
        <v>NA</v>
      </c>
      <c r="AV72" s="366" t="str">
        <f t="shared" si="373"/>
        <v>1R x 0.6/1kV x 3C x 4 Sqmm</v>
      </c>
      <c r="AW72" s="366" t="str">
        <f t="shared" si="374"/>
        <v>1R x 0.6/1kV x 3C x 4 Sqmm</v>
      </c>
      <c r="AX72" s="360"/>
      <c r="AY72" s="367"/>
      <c r="AZ72" s="367"/>
      <c r="BA72" s="751" t="str">
        <f t="shared" si="375"/>
        <v/>
      </c>
      <c r="BB72" s="368"/>
      <c r="BC72" s="368"/>
      <c r="BE72" s="368"/>
      <c r="BF72" s="368"/>
      <c r="BG72" s="368"/>
      <c r="BH72" s="368"/>
      <c r="BI72" s="368"/>
      <c r="BJ72" s="368"/>
      <c r="BK72" s="368"/>
      <c r="BL72" s="368"/>
      <c r="BM72" s="368"/>
      <c r="BN72" s="368"/>
      <c r="BO72" s="368"/>
      <c r="BP72" s="368"/>
      <c r="BQ72" s="368"/>
      <c r="BR72" s="368"/>
      <c r="BS72" s="368"/>
      <c r="BT72" s="368"/>
      <c r="BU72" s="368"/>
      <c r="BV72" s="368"/>
      <c r="BW72" s="368"/>
      <c r="BX72" s="368"/>
      <c r="BY72" s="368"/>
      <c r="BZ72" s="368"/>
      <c r="CA72" s="368"/>
      <c r="CB72" s="368"/>
      <c r="CC72" s="368"/>
      <c r="CD72" s="368"/>
      <c r="CE72" s="368"/>
      <c r="CF72" s="368"/>
      <c r="CG72" s="368"/>
      <c r="CH72" s="368"/>
      <c r="CI72" s="368"/>
      <c r="CJ72" s="368"/>
      <c r="CK72" s="368"/>
      <c r="CL72" s="368"/>
      <c r="CM72" s="368"/>
      <c r="CN72" s="368"/>
      <c r="CO72" s="368"/>
      <c r="CP72" s="368"/>
      <c r="CQ72" s="368"/>
      <c r="CR72" s="368"/>
      <c r="CS72" s="368"/>
      <c r="CT72" s="368"/>
      <c r="CU72" s="368"/>
      <c r="CV72" s="368"/>
      <c r="CW72" s="368"/>
      <c r="CX72" s="368"/>
      <c r="CY72" s="368"/>
      <c r="CZ72" s="368"/>
      <c r="DA72" s="368"/>
      <c r="DB72" s="368"/>
      <c r="DC72" s="368"/>
      <c r="DD72" s="368"/>
      <c r="DE72" s="368"/>
      <c r="DF72" s="368"/>
      <c r="DG72" s="368"/>
      <c r="DH72" s="368"/>
      <c r="DI72" s="368"/>
      <c r="DJ72" s="368"/>
      <c r="DK72" s="368"/>
      <c r="DL72" s="368"/>
      <c r="DM72" s="368"/>
      <c r="DN72" s="368"/>
      <c r="DO72" s="368"/>
      <c r="DP72" s="368"/>
      <c r="DQ72" s="368"/>
      <c r="DR72" s="368"/>
      <c r="DS72" s="368"/>
      <c r="DT72" s="368"/>
      <c r="DU72" s="368"/>
      <c r="DW72" s="368">
        <f t="shared" si="376"/>
        <v>0</v>
      </c>
      <c r="DX72" s="368">
        <f t="shared" si="311"/>
        <v>0</v>
      </c>
      <c r="DY72" s="368">
        <f t="shared" si="312"/>
        <v>0</v>
      </c>
      <c r="DZ72" s="368">
        <f t="shared" si="313"/>
        <v>0</v>
      </c>
      <c r="EA72" s="368">
        <f t="shared" si="314"/>
        <v>0</v>
      </c>
      <c r="EB72" s="368">
        <f t="shared" si="315"/>
        <v>0</v>
      </c>
      <c r="EC72" s="368">
        <f t="shared" si="316"/>
        <v>0</v>
      </c>
      <c r="ED72" s="368">
        <f t="shared" si="317"/>
        <v>0</v>
      </c>
      <c r="EE72" s="368">
        <f t="shared" si="318"/>
        <v>0</v>
      </c>
      <c r="EF72" s="368">
        <f t="shared" si="319"/>
        <v>0</v>
      </c>
      <c r="EG72" s="368">
        <f t="shared" si="320"/>
        <v>0</v>
      </c>
      <c r="EH72" s="368">
        <f t="shared" si="321"/>
        <v>0</v>
      </c>
      <c r="EI72" s="368">
        <f t="shared" si="322"/>
        <v>0</v>
      </c>
      <c r="EJ72" s="368">
        <f t="shared" si="323"/>
        <v>0</v>
      </c>
      <c r="EK72" s="368">
        <f t="shared" si="324"/>
        <v>0</v>
      </c>
      <c r="EL72" s="368">
        <f t="shared" si="325"/>
        <v>0</v>
      </c>
      <c r="EM72" s="368">
        <f t="shared" si="326"/>
        <v>0</v>
      </c>
      <c r="EN72" s="368">
        <f t="shared" si="327"/>
        <v>0</v>
      </c>
      <c r="EO72" s="368">
        <f t="shared" si="328"/>
        <v>0</v>
      </c>
      <c r="EP72" s="368">
        <f t="shared" si="329"/>
        <v>0</v>
      </c>
      <c r="EQ72" s="368">
        <f t="shared" si="330"/>
        <v>0</v>
      </c>
      <c r="ER72" s="368">
        <f t="shared" si="331"/>
        <v>0</v>
      </c>
      <c r="ES72" s="368">
        <f t="shared" si="332"/>
        <v>0</v>
      </c>
      <c r="ET72" s="368">
        <f t="shared" si="332"/>
        <v>0</v>
      </c>
      <c r="EU72" s="368">
        <f t="shared" si="333"/>
        <v>0</v>
      </c>
      <c r="EV72" s="368">
        <f t="shared" si="334"/>
        <v>0</v>
      </c>
      <c r="EW72" s="368">
        <f t="shared" si="335"/>
        <v>0</v>
      </c>
      <c r="EX72" s="368">
        <f t="shared" si="336"/>
        <v>0</v>
      </c>
      <c r="EY72" s="368">
        <f t="shared" si="337"/>
        <v>0</v>
      </c>
      <c r="EZ72" s="368">
        <f t="shared" si="338"/>
        <v>0</v>
      </c>
      <c r="FA72" s="368">
        <f t="shared" si="339"/>
        <v>0</v>
      </c>
      <c r="FB72" s="368">
        <f t="shared" si="340"/>
        <v>0</v>
      </c>
      <c r="FC72" s="368">
        <f t="shared" si="341"/>
        <v>0</v>
      </c>
      <c r="FD72" s="368">
        <f t="shared" si="342"/>
        <v>0</v>
      </c>
      <c r="FE72" s="368">
        <f t="shared" si="343"/>
        <v>0</v>
      </c>
      <c r="FF72" s="368">
        <f t="shared" si="344"/>
        <v>0</v>
      </c>
      <c r="FG72" s="368">
        <f t="shared" si="345"/>
        <v>0</v>
      </c>
      <c r="FH72" s="368">
        <f t="shared" si="346"/>
        <v>0</v>
      </c>
      <c r="FI72" s="368">
        <f t="shared" si="347"/>
        <v>0</v>
      </c>
      <c r="FJ72" s="368">
        <f t="shared" si="348"/>
        <v>0</v>
      </c>
      <c r="FK72" s="368">
        <f t="shared" si="349"/>
        <v>0</v>
      </c>
      <c r="FL72" s="368">
        <f t="shared" si="350"/>
        <v>0</v>
      </c>
      <c r="FM72" s="368">
        <f t="shared" si="351"/>
        <v>0</v>
      </c>
      <c r="FN72" s="368">
        <f t="shared" si="352"/>
        <v>0</v>
      </c>
      <c r="FO72" s="368">
        <f t="shared" si="353"/>
        <v>0</v>
      </c>
      <c r="FP72" s="368">
        <f t="shared" si="354"/>
        <v>0</v>
      </c>
      <c r="FQ72" s="368">
        <f t="shared" si="355"/>
        <v>0</v>
      </c>
      <c r="FR72" s="368">
        <f t="shared" si="356"/>
        <v>0</v>
      </c>
      <c r="FS72" s="368">
        <f t="shared" si="357"/>
        <v>0</v>
      </c>
      <c r="FT72" s="368">
        <f t="shared" si="358"/>
        <v>0</v>
      </c>
      <c r="FU72" s="368">
        <f t="shared" si="62"/>
        <v>0</v>
      </c>
      <c r="FV72" s="368">
        <f t="shared" si="63"/>
        <v>0</v>
      </c>
      <c r="FW72" s="368">
        <f t="shared" si="64"/>
        <v>0</v>
      </c>
      <c r="FX72" s="368">
        <f t="shared" si="65"/>
        <v>0</v>
      </c>
      <c r="FY72" s="368">
        <f t="shared" si="66"/>
        <v>0</v>
      </c>
      <c r="FZ72" s="368">
        <f t="shared" si="67"/>
        <v>0</v>
      </c>
      <c r="GA72" s="368">
        <f t="shared" si="68"/>
        <v>0</v>
      </c>
      <c r="GB72" s="368">
        <f t="shared" si="69"/>
        <v>0</v>
      </c>
      <c r="GC72" s="368">
        <f t="shared" si="70"/>
        <v>0</v>
      </c>
      <c r="GD72" s="368">
        <f t="shared" si="71"/>
        <v>0</v>
      </c>
      <c r="GE72" s="368">
        <f t="shared" si="72"/>
        <v>0</v>
      </c>
      <c r="GF72" s="368">
        <f t="shared" si="73"/>
        <v>0</v>
      </c>
      <c r="GG72" s="368">
        <f t="shared" si="74"/>
        <v>0</v>
      </c>
      <c r="GH72" s="368">
        <f t="shared" si="75"/>
        <v>0</v>
      </c>
      <c r="GI72" s="368">
        <f t="shared" si="76"/>
        <v>0</v>
      </c>
      <c r="GJ72" s="368">
        <f t="shared" si="77"/>
        <v>0</v>
      </c>
      <c r="GK72" s="368">
        <f t="shared" si="78"/>
        <v>0</v>
      </c>
      <c r="GL72" s="368">
        <f t="shared" si="79"/>
        <v>0</v>
      </c>
      <c r="GM72" s="368">
        <f t="shared" si="80"/>
        <v>0</v>
      </c>
    </row>
    <row r="73" spans="1:195" s="83" customFormat="1" hidden="1">
      <c r="A73" s="357" t="s">
        <v>334</v>
      </c>
      <c r="B73" s="357"/>
      <c r="C73" s="357"/>
      <c r="D73" s="395" t="s">
        <v>1520</v>
      </c>
      <c r="E73" s="493" t="s">
        <v>1513</v>
      </c>
      <c r="F73" s="493"/>
      <c r="G73" s="357" t="s">
        <v>329</v>
      </c>
      <c r="H73" s="352"/>
      <c r="I73" s="357" t="s">
        <v>330</v>
      </c>
      <c r="J73" s="357" t="s">
        <v>357</v>
      </c>
      <c r="K73" s="353">
        <v>230</v>
      </c>
      <c r="L73" s="360">
        <v>0.85</v>
      </c>
      <c r="M73" s="352">
        <v>0.95</v>
      </c>
      <c r="N73" s="359">
        <v>6</v>
      </c>
      <c r="O73" s="359">
        <f t="shared" si="359"/>
        <v>0</v>
      </c>
      <c r="P73" s="360" t="str">
        <f t="shared" si="360"/>
        <v>0.00</v>
      </c>
      <c r="Q73" s="352">
        <v>65</v>
      </c>
      <c r="R73" s="352">
        <v>0</v>
      </c>
      <c r="S73" s="352">
        <f t="shared" si="361"/>
        <v>0</v>
      </c>
      <c r="T73" s="360" t="s">
        <v>131</v>
      </c>
      <c r="U73" s="352" t="s">
        <v>333</v>
      </c>
      <c r="V73" s="360">
        <v>4</v>
      </c>
      <c r="W73" s="360" t="str">
        <f t="shared" si="362"/>
        <v>3C X 4</v>
      </c>
      <c r="X73" s="360" t="str">
        <f t="shared" si="363"/>
        <v>3C X 4</v>
      </c>
      <c r="Y73" s="360" t="s">
        <v>358</v>
      </c>
      <c r="Z73" s="361">
        <f>IF(T73="AIR",VLOOKUP(W73,'Catalogue Aluminium'!$B$9:$G$93,2,FALSE),IF(T73="GROUND",VLOOKUP(W73,'Catalogue Aluminium'!$B$9:$G$93,3,FALSE),IF(T73="DUCT",VLOOKUP(W73,'Catalogue Aluminium'!$B$9:$G$93,4,FALSE),IF(T73="TRENCH",VLOOKUP(W73,'Catalogue Aluminium'!$B$9:$G$93,2,FALSE)))))</f>
        <v>38</v>
      </c>
      <c r="AA73" s="362">
        <f>VLOOKUP(W73,'Catalogue Aluminium'!$B$9:$G$93,5,FALSE)</f>
        <v>5.9</v>
      </c>
      <c r="AB73" s="362">
        <f>VLOOKUP(W73,'Catalogue Aluminium'!$B$9:$G$93,6,FALSE)</f>
        <v>9.4700000000000006E-2</v>
      </c>
      <c r="AC73" s="564"/>
      <c r="AD73" s="564"/>
      <c r="AE73" s="564">
        <v>10</v>
      </c>
      <c r="AF73" s="564">
        <v>8</v>
      </c>
      <c r="AG73" s="564">
        <f t="shared" si="84"/>
        <v>2</v>
      </c>
      <c r="AH73" s="363">
        <f t="shared" si="364"/>
        <v>20</v>
      </c>
      <c r="AI73" s="361">
        <f>IF(T73="AIR",'Catalogue Aluminium'!$K$9,IF(T73="TRENCH",'Catalogue Aluminium'!$K$12,"NA"))</f>
        <v>0.89</v>
      </c>
      <c r="AJ73" s="359">
        <f>IF(T73="Air",(IF(U73="1C",'Catalogue Aluminium'!$L$9,'Catalogue Aluminium'!$M$9)),IF(T73="DUCT",(IF($U73="1C",'Catalogue Aluminium'!$L$10,'Catalogue Aluminium'!$M$10)),IF(T73="GROUND",(IF($U73="1C",'Catalogue Aluminium'!$L$11,'Catalogue Aluminium'!$M$11)),IF(T73="TRENCH",(IF($U73="1C",'Catalogue Aluminium'!$L$12,'Catalogue Aluminium'!$M$12))))))</f>
        <v>0.66</v>
      </c>
      <c r="AK73" s="361" t="str">
        <f>IF(T73="Air",'Catalogue Aluminium'!$N$9,IF(T73="GROUND",'Catalogue Aluminium'!$N$10,IF(T73="DUCT",'Catalogue Aluminium'!$N$11,IF(T73="TRENCH",'Catalogue Aluminium'!$N$12,"NA"))))</f>
        <v>NA</v>
      </c>
      <c r="AL73" s="361" t="str">
        <f>IF(T73="Air",(IF(U73="1C",'Catalogue Aluminium'!$O$9,'Catalogue Aluminium'!$P$9)),IF(T73="DUCT",(IF($U73="1C",'Catalogue Aluminium'!$O$10,'Catalogue Aluminium'!$P$10)),IF(T73="GROUND",(IF($U73="1C",'Catalogue Aluminium'!$O$11,'Catalogue Aluminium'!$P$11)),IF(T73="TRENCH",(IF($U73="1C",'Catalogue Aluminium'!$O$12,'Catalogue Aluminium'!$P$12))))))</f>
        <v>NA</v>
      </c>
      <c r="AM73" s="361" t="str">
        <f>IF(T73="AIR","NA",IF(T73="TRENCH","NA",IF(T73="DUCT",IF(U73="1C",VLOOKUP(V73,'Catalogue Aluminium'!$Q$9:$S$28,2,FALSE),VLOOKUP(V73,'Catalogue Aluminium'!$Q$9:$S$28,3)),IF(T73="GROUND",IF(U73="1C",VLOOKUP(V73,'Catalogue Aluminium'!$Q$9:$S$28,2,FALSE),VLOOKUP(V73,'Catalogue Aluminium'!$Q$9:$S$28,3))))))</f>
        <v>NA</v>
      </c>
      <c r="AN73" s="365">
        <f t="shared" si="365"/>
        <v>0.58740000000000003</v>
      </c>
      <c r="AO73" s="352">
        <f t="shared" si="366"/>
        <v>22.321200000000001</v>
      </c>
      <c r="AP73" s="353">
        <f t="shared" si="367"/>
        <v>1</v>
      </c>
      <c r="AQ73" s="352" t="str">
        <f t="shared" si="368"/>
        <v>YES</v>
      </c>
      <c r="AR73" s="365">
        <f t="shared" si="369"/>
        <v>0.45770297956699862</v>
      </c>
      <c r="AS73" s="360" t="str">
        <f t="shared" si="370"/>
        <v>YES</v>
      </c>
      <c r="AT73" s="365" t="str">
        <f t="shared" si="371"/>
        <v>NA</v>
      </c>
      <c r="AU73" s="360" t="str">
        <f t="shared" si="372"/>
        <v>NA</v>
      </c>
      <c r="AV73" s="366" t="str">
        <f t="shared" si="373"/>
        <v>1R x 0.6/1kV x 3C x 4 Sqmm</v>
      </c>
      <c r="AW73" s="366" t="str">
        <f t="shared" si="374"/>
        <v>1R x 0.6/1kV x 3C x 4 Sqmm</v>
      </c>
      <c r="AX73" s="360"/>
      <c r="AY73" s="367"/>
      <c r="AZ73" s="367"/>
      <c r="BA73" s="751" t="str">
        <f t="shared" si="375"/>
        <v/>
      </c>
      <c r="BB73" s="368"/>
      <c r="BC73" s="368"/>
      <c r="BE73" s="368"/>
      <c r="BF73" s="368"/>
      <c r="BG73" s="368"/>
      <c r="BH73" s="368"/>
      <c r="BI73" s="368"/>
      <c r="BJ73" s="368"/>
      <c r="BK73" s="368"/>
      <c r="BL73" s="368"/>
      <c r="BM73" s="368"/>
      <c r="BN73" s="368"/>
      <c r="BO73" s="368"/>
      <c r="BP73" s="368"/>
      <c r="BQ73" s="368"/>
      <c r="BR73" s="368"/>
      <c r="BS73" s="368"/>
      <c r="BT73" s="368"/>
      <c r="BU73" s="368"/>
      <c r="BV73" s="368"/>
      <c r="BW73" s="368"/>
      <c r="BX73" s="368"/>
      <c r="BY73" s="368"/>
      <c r="BZ73" s="368"/>
      <c r="CA73" s="368"/>
      <c r="CB73" s="368"/>
      <c r="CC73" s="368"/>
      <c r="CD73" s="368"/>
      <c r="CE73" s="368"/>
      <c r="CF73" s="368"/>
      <c r="CG73" s="368"/>
      <c r="CH73" s="368"/>
      <c r="CI73" s="368"/>
      <c r="CJ73" s="368"/>
      <c r="CK73" s="368"/>
      <c r="CL73" s="368"/>
      <c r="CM73" s="368"/>
      <c r="CN73" s="368"/>
      <c r="CO73" s="368"/>
      <c r="CP73" s="368"/>
      <c r="CQ73" s="368"/>
      <c r="CR73" s="368"/>
      <c r="CS73" s="368"/>
      <c r="CT73" s="368"/>
      <c r="CU73" s="368"/>
      <c r="CV73" s="368"/>
      <c r="CW73" s="368"/>
      <c r="CX73" s="368"/>
      <c r="CY73" s="368"/>
      <c r="CZ73" s="368"/>
      <c r="DA73" s="368"/>
      <c r="DB73" s="368"/>
      <c r="DC73" s="368"/>
      <c r="DD73" s="368"/>
      <c r="DE73" s="368"/>
      <c r="DF73" s="368"/>
      <c r="DG73" s="368"/>
      <c r="DH73" s="368"/>
      <c r="DI73" s="368"/>
      <c r="DJ73" s="368"/>
      <c r="DK73" s="368"/>
      <c r="DL73" s="368"/>
      <c r="DM73" s="368"/>
      <c r="DN73" s="368"/>
      <c r="DO73" s="368"/>
      <c r="DP73" s="368"/>
      <c r="DQ73" s="368"/>
      <c r="DR73" s="368"/>
      <c r="DS73" s="368"/>
      <c r="DT73" s="368"/>
      <c r="DU73" s="368"/>
      <c r="DW73" s="368">
        <f t="shared" si="376"/>
        <v>0</v>
      </c>
      <c r="DX73" s="368">
        <f t="shared" si="311"/>
        <v>0</v>
      </c>
      <c r="DY73" s="368">
        <f t="shared" si="312"/>
        <v>0</v>
      </c>
      <c r="DZ73" s="368">
        <f t="shared" si="313"/>
        <v>0</v>
      </c>
      <c r="EA73" s="368">
        <f t="shared" si="314"/>
        <v>0</v>
      </c>
      <c r="EB73" s="368">
        <f t="shared" si="315"/>
        <v>0</v>
      </c>
      <c r="EC73" s="368">
        <f t="shared" si="316"/>
        <v>0</v>
      </c>
      <c r="ED73" s="368">
        <f t="shared" si="317"/>
        <v>0</v>
      </c>
      <c r="EE73" s="368">
        <f t="shared" si="318"/>
        <v>0</v>
      </c>
      <c r="EF73" s="368">
        <f t="shared" si="319"/>
        <v>0</v>
      </c>
      <c r="EG73" s="368">
        <f t="shared" si="320"/>
        <v>0</v>
      </c>
      <c r="EH73" s="368">
        <f t="shared" si="321"/>
        <v>0</v>
      </c>
      <c r="EI73" s="368">
        <f t="shared" si="322"/>
        <v>0</v>
      </c>
      <c r="EJ73" s="368">
        <f t="shared" si="323"/>
        <v>0</v>
      </c>
      <c r="EK73" s="368">
        <f t="shared" si="324"/>
        <v>0</v>
      </c>
      <c r="EL73" s="368">
        <f t="shared" si="325"/>
        <v>0</v>
      </c>
      <c r="EM73" s="368">
        <f t="shared" si="326"/>
        <v>0</v>
      </c>
      <c r="EN73" s="368">
        <f t="shared" si="327"/>
        <v>0</v>
      </c>
      <c r="EO73" s="368">
        <f t="shared" si="328"/>
        <v>0</v>
      </c>
      <c r="EP73" s="368">
        <f t="shared" si="329"/>
        <v>0</v>
      </c>
      <c r="EQ73" s="368">
        <f t="shared" si="330"/>
        <v>0</v>
      </c>
      <c r="ER73" s="368">
        <f t="shared" si="331"/>
        <v>0</v>
      </c>
      <c r="ES73" s="368">
        <f t="shared" si="332"/>
        <v>0</v>
      </c>
      <c r="ET73" s="368">
        <f t="shared" si="332"/>
        <v>0</v>
      </c>
      <c r="EU73" s="368">
        <f t="shared" si="333"/>
        <v>0</v>
      </c>
      <c r="EV73" s="368">
        <f t="shared" si="334"/>
        <v>0</v>
      </c>
      <c r="EW73" s="368">
        <f t="shared" si="335"/>
        <v>0</v>
      </c>
      <c r="EX73" s="368">
        <f t="shared" si="336"/>
        <v>0</v>
      </c>
      <c r="EY73" s="368">
        <f t="shared" si="337"/>
        <v>0</v>
      </c>
      <c r="EZ73" s="368">
        <f t="shared" si="338"/>
        <v>0</v>
      </c>
      <c r="FA73" s="368">
        <f t="shared" si="339"/>
        <v>0</v>
      </c>
      <c r="FB73" s="368">
        <f t="shared" si="340"/>
        <v>0</v>
      </c>
      <c r="FC73" s="368">
        <f t="shared" si="341"/>
        <v>0</v>
      </c>
      <c r="FD73" s="368">
        <f t="shared" si="342"/>
        <v>0</v>
      </c>
      <c r="FE73" s="368">
        <f t="shared" si="343"/>
        <v>0</v>
      </c>
      <c r="FF73" s="368">
        <f t="shared" si="344"/>
        <v>0</v>
      </c>
      <c r="FG73" s="368">
        <f t="shared" si="345"/>
        <v>0</v>
      </c>
      <c r="FH73" s="368">
        <f t="shared" si="346"/>
        <v>0</v>
      </c>
      <c r="FI73" s="368">
        <f t="shared" si="347"/>
        <v>0</v>
      </c>
      <c r="FJ73" s="368">
        <f t="shared" si="348"/>
        <v>0</v>
      </c>
      <c r="FK73" s="368">
        <f t="shared" si="349"/>
        <v>0</v>
      </c>
      <c r="FL73" s="368">
        <f t="shared" si="350"/>
        <v>0</v>
      </c>
      <c r="FM73" s="368">
        <f t="shared" si="351"/>
        <v>0</v>
      </c>
      <c r="FN73" s="368">
        <f t="shared" si="352"/>
        <v>0</v>
      </c>
      <c r="FO73" s="368">
        <f t="shared" si="353"/>
        <v>0</v>
      </c>
      <c r="FP73" s="368">
        <f t="shared" si="354"/>
        <v>0</v>
      </c>
      <c r="FQ73" s="368">
        <f t="shared" si="355"/>
        <v>0</v>
      </c>
      <c r="FR73" s="368">
        <f t="shared" si="356"/>
        <v>0</v>
      </c>
      <c r="FS73" s="368">
        <f t="shared" si="357"/>
        <v>0</v>
      </c>
      <c r="FT73" s="368">
        <f t="shared" si="358"/>
        <v>0</v>
      </c>
      <c r="FU73" s="368">
        <f t="shared" si="62"/>
        <v>0</v>
      </c>
      <c r="FV73" s="368">
        <f t="shared" si="63"/>
        <v>0</v>
      </c>
      <c r="FW73" s="368">
        <f t="shared" si="64"/>
        <v>0</v>
      </c>
      <c r="FX73" s="368">
        <f t="shared" si="65"/>
        <v>0</v>
      </c>
      <c r="FY73" s="368">
        <f t="shared" si="66"/>
        <v>0</v>
      </c>
      <c r="FZ73" s="368">
        <f t="shared" si="67"/>
        <v>0</v>
      </c>
      <c r="GA73" s="368">
        <f t="shared" si="68"/>
        <v>0</v>
      </c>
      <c r="GB73" s="368">
        <f t="shared" si="69"/>
        <v>0</v>
      </c>
      <c r="GC73" s="368">
        <f t="shared" si="70"/>
        <v>0</v>
      </c>
      <c r="GD73" s="368">
        <f t="shared" si="71"/>
        <v>0</v>
      </c>
      <c r="GE73" s="368">
        <f t="shared" si="72"/>
        <v>0</v>
      </c>
      <c r="GF73" s="368">
        <f t="shared" si="73"/>
        <v>0</v>
      </c>
      <c r="GG73" s="368">
        <f t="shared" si="74"/>
        <v>0</v>
      </c>
      <c r="GH73" s="368">
        <f t="shared" si="75"/>
        <v>0</v>
      </c>
      <c r="GI73" s="368">
        <f t="shared" si="76"/>
        <v>0</v>
      </c>
      <c r="GJ73" s="368">
        <f t="shared" si="77"/>
        <v>0</v>
      </c>
      <c r="GK73" s="368">
        <f t="shared" si="78"/>
        <v>0</v>
      </c>
      <c r="GL73" s="368">
        <f t="shared" si="79"/>
        <v>0</v>
      </c>
      <c r="GM73" s="368">
        <f t="shared" si="80"/>
        <v>0</v>
      </c>
    </row>
    <row r="74" spans="1:195" s="83" customFormat="1" hidden="1">
      <c r="A74" s="357" t="s">
        <v>334</v>
      </c>
      <c r="B74" s="357"/>
      <c r="C74" s="357"/>
      <c r="D74" s="395" t="s">
        <v>1521</v>
      </c>
      <c r="E74" s="493" t="s">
        <v>1513</v>
      </c>
      <c r="F74" s="493"/>
      <c r="G74" s="357" t="s">
        <v>329</v>
      </c>
      <c r="H74" s="352"/>
      <c r="I74" s="357" t="s">
        <v>330</v>
      </c>
      <c r="J74" s="357" t="s">
        <v>357</v>
      </c>
      <c r="K74" s="353">
        <v>230</v>
      </c>
      <c r="L74" s="360">
        <v>0.85</v>
      </c>
      <c r="M74" s="352">
        <v>0.95</v>
      </c>
      <c r="N74" s="359">
        <v>6</v>
      </c>
      <c r="O74" s="359">
        <f t="shared" si="359"/>
        <v>0</v>
      </c>
      <c r="P74" s="360" t="str">
        <f t="shared" si="360"/>
        <v>0.00</v>
      </c>
      <c r="Q74" s="352">
        <v>65</v>
      </c>
      <c r="R74" s="352">
        <v>0</v>
      </c>
      <c r="S74" s="352">
        <f t="shared" si="361"/>
        <v>0</v>
      </c>
      <c r="T74" s="360" t="s">
        <v>131</v>
      </c>
      <c r="U74" s="352" t="s">
        <v>333</v>
      </c>
      <c r="V74" s="360">
        <v>4</v>
      </c>
      <c r="W74" s="360" t="str">
        <f t="shared" si="362"/>
        <v>3C X 4</v>
      </c>
      <c r="X74" s="360" t="str">
        <f t="shared" si="363"/>
        <v>3C X 4</v>
      </c>
      <c r="Y74" s="360" t="s">
        <v>358</v>
      </c>
      <c r="Z74" s="361">
        <f>IF(T74="AIR",VLOOKUP(W74,'Catalogue Aluminium'!$B$9:$G$93,2,FALSE),IF(T74="GROUND",VLOOKUP(W74,'Catalogue Aluminium'!$B$9:$G$93,3,FALSE),IF(T74="DUCT",VLOOKUP(W74,'Catalogue Aluminium'!$B$9:$G$93,4,FALSE),IF(T74="TRENCH",VLOOKUP(W74,'Catalogue Aluminium'!$B$9:$G$93,2,FALSE)))))</f>
        <v>38</v>
      </c>
      <c r="AA74" s="362">
        <f>VLOOKUP(W74,'Catalogue Aluminium'!$B$9:$G$93,5,FALSE)</f>
        <v>5.9</v>
      </c>
      <c r="AB74" s="362">
        <f>VLOOKUP(W74,'Catalogue Aluminium'!$B$9:$G$93,6,FALSE)</f>
        <v>9.4700000000000006E-2</v>
      </c>
      <c r="AC74" s="564"/>
      <c r="AD74" s="564"/>
      <c r="AE74" s="564">
        <v>10</v>
      </c>
      <c r="AF74" s="564">
        <v>8</v>
      </c>
      <c r="AG74" s="564">
        <f t="shared" si="84"/>
        <v>2</v>
      </c>
      <c r="AH74" s="363">
        <f t="shared" si="364"/>
        <v>20</v>
      </c>
      <c r="AI74" s="361">
        <f>IF(T74="AIR",'Catalogue Aluminium'!$K$9,IF(T74="TRENCH",'Catalogue Aluminium'!$K$12,"NA"))</f>
        <v>0.89</v>
      </c>
      <c r="AJ74" s="359">
        <f>IF(T74="Air",(IF(U74="1C",'Catalogue Aluminium'!$L$9,'Catalogue Aluminium'!$M$9)),IF(T74="DUCT",(IF($U74="1C",'Catalogue Aluminium'!$L$10,'Catalogue Aluminium'!$M$10)),IF(T74="GROUND",(IF($U74="1C",'Catalogue Aluminium'!$L$11,'Catalogue Aluminium'!$M$11)),IF(T74="TRENCH",(IF($U74="1C",'Catalogue Aluminium'!$L$12,'Catalogue Aluminium'!$M$12))))))</f>
        <v>0.66</v>
      </c>
      <c r="AK74" s="361" t="str">
        <f>IF(T74="Air",'Catalogue Aluminium'!$N$9,IF(T74="GROUND",'Catalogue Aluminium'!$N$10,IF(T74="DUCT",'Catalogue Aluminium'!$N$11,IF(T74="TRENCH",'Catalogue Aluminium'!$N$12,"NA"))))</f>
        <v>NA</v>
      </c>
      <c r="AL74" s="361" t="str">
        <f>IF(T74="Air",(IF(U74="1C",'Catalogue Aluminium'!$O$9,'Catalogue Aluminium'!$P$9)),IF(T74="DUCT",(IF($U74="1C",'Catalogue Aluminium'!$O$10,'Catalogue Aluminium'!$P$10)),IF(T74="GROUND",(IF($U74="1C",'Catalogue Aluminium'!$O$11,'Catalogue Aluminium'!$P$11)),IF(T74="TRENCH",(IF($U74="1C",'Catalogue Aluminium'!$O$12,'Catalogue Aluminium'!$P$12))))))</f>
        <v>NA</v>
      </c>
      <c r="AM74" s="361" t="str">
        <f>IF(T74="AIR","NA",IF(T74="TRENCH","NA",IF(T74="DUCT",IF(U74="1C",VLOOKUP(V74,'Catalogue Aluminium'!$Q$9:$S$28,2,FALSE),VLOOKUP(V74,'Catalogue Aluminium'!$Q$9:$S$28,3)),IF(T74="GROUND",IF(U74="1C",VLOOKUP(V74,'Catalogue Aluminium'!$Q$9:$S$28,2,FALSE),VLOOKUP(V74,'Catalogue Aluminium'!$Q$9:$S$28,3))))))</f>
        <v>NA</v>
      </c>
      <c r="AN74" s="365">
        <f t="shared" si="365"/>
        <v>0.58740000000000003</v>
      </c>
      <c r="AO74" s="352">
        <f t="shared" si="366"/>
        <v>22.321200000000001</v>
      </c>
      <c r="AP74" s="353">
        <f t="shared" si="367"/>
        <v>1</v>
      </c>
      <c r="AQ74" s="352" t="str">
        <f t="shared" si="368"/>
        <v>YES</v>
      </c>
      <c r="AR74" s="365">
        <f t="shared" si="369"/>
        <v>0.45770297956699862</v>
      </c>
      <c r="AS74" s="360" t="str">
        <f t="shared" si="370"/>
        <v>YES</v>
      </c>
      <c r="AT74" s="365" t="str">
        <f t="shared" si="371"/>
        <v>NA</v>
      </c>
      <c r="AU74" s="360" t="str">
        <f t="shared" si="372"/>
        <v>NA</v>
      </c>
      <c r="AV74" s="366" t="str">
        <f t="shared" si="373"/>
        <v>1R x 0.6/1kV x 3C x 4 Sqmm</v>
      </c>
      <c r="AW74" s="366" t="str">
        <f t="shared" si="374"/>
        <v>1R x 0.6/1kV x 3C x 4 Sqmm</v>
      </c>
      <c r="AX74" s="360"/>
      <c r="AY74" s="367"/>
      <c r="AZ74" s="367"/>
      <c r="BA74" s="751" t="str">
        <f t="shared" si="375"/>
        <v/>
      </c>
      <c r="BB74" s="368"/>
      <c r="BC74" s="368"/>
      <c r="BE74" s="368"/>
      <c r="BF74" s="368"/>
      <c r="BG74" s="368"/>
      <c r="BH74" s="368"/>
      <c r="BI74" s="368"/>
      <c r="BJ74" s="368"/>
      <c r="BK74" s="368"/>
      <c r="BL74" s="368"/>
      <c r="BM74" s="368"/>
      <c r="BN74" s="368"/>
      <c r="BO74" s="368"/>
      <c r="BP74" s="368"/>
      <c r="BQ74" s="368"/>
      <c r="BR74" s="368"/>
      <c r="BS74" s="368"/>
      <c r="BT74" s="368"/>
      <c r="BU74" s="368"/>
      <c r="BV74" s="368"/>
      <c r="BW74" s="368"/>
      <c r="BX74" s="368"/>
      <c r="BY74" s="368"/>
      <c r="BZ74" s="368"/>
      <c r="CA74" s="368"/>
      <c r="CB74" s="368"/>
      <c r="CC74" s="368"/>
      <c r="CD74" s="368"/>
      <c r="CE74" s="368"/>
      <c r="CF74" s="368"/>
      <c r="CG74" s="368"/>
      <c r="CH74" s="368"/>
      <c r="CI74" s="368"/>
      <c r="CJ74" s="368"/>
      <c r="CK74" s="368"/>
      <c r="CL74" s="368"/>
      <c r="CM74" s="368"/>
      <c r="CN74" s="368"/>
      <c r="CO74" s="368"/>
      <c r="CP74" s="368"/>
      <c r="CQ74" s="368"/>
      <c r="CR74" s="368"/>
      <c r="CS74" s="368"/>
      <c r="CT74" s="368"/>
      <c r="CU74" s="368"/>
      <c r="CV74" s="368"/>
      <c r="CW74" s="368"/>
      <c r="CX74" s="368"/>
      <c r="CY74" s="368"/>
      <c r="CZ74" s="368"/>
      <c r="DA74" s="368"/>
      <c r="DB74" s="368"/>
      <c r="DC74" s="368"/>
      <c r="DD74" s="368"/>
      <c r="DE74" s="368"/>
      <c r="DF74" s="368"/>
      <c r="DG74" s="368"/>
      <c r="DH74" s="368"/>
      <c r="DI74" s="368"/>
      <c r="DJ74" s="368"/>
      <c r="DK74" s="368"/>
      <c r="DL74" s="368"/>
      <c r="DM74" s="368"/>
      <c r="DN74" s="368"/>
      <c r="DO74" s="368"/>
      <c r="DP74" s="368"/>
      <c r="DQ74" s="368"/>
      <c r="DR74" s="368"/>
      <c r="DS74" s="368"/>
      <c r="DT74" s="368"/>
      <c r="DU74" s="368"/>
      <c r="DW74" s="368">
        <f t="shared" si="376"/>
        <v>0</v>
      </c>
      <c r="DX74" s="368">
        <f t="shared" si="311"/>
        <v>0</v>
      </c>
      <c r="DY74" s="368">
        <f t="shared" si="312"/>
        <v>0</v>
      </c>
      <c r="DZ74" s="368">
        <f t="shared" si="313"/>
        <v>0</v>
      </c>
      <c r="EA74" s="368">
        <f t="shared" si="314"/>
        <v>0</v>
      </c>
      <c r="EB74" s="368">
        <f t="shared" si="315"/>
        <v>0</v>
      </c>
      <c r="EC74" s="368">
        <f t="shared" si="316"/>
        <v>0</v>
      </c>
      <c r="ED74" s="368">
        <f t="shared" si="317"/>
        <v>0</v>
      </c>
      <c r="EE74" s="368">
        <f t="shared" si="318"/>
        <v>0</v>
      </c>
      <c r="EF74" s="368">
        <f t="shared" si="319"/>
        <v>0</v>
      </c>
      <c r="EG74" s="368">
        <f t="shared" si="320"/>
        <v>0</v>
      </c>
      <c r="EH74" s="368">
        <f t="shared" si="321"/>
        <v>0</v>
      </c>
      <c r="EI74" s="368">
        <f t="shared" si="322"/>
        <v>0</v>
      </c>
      <c r="EJ74" s="368">
        <f t="shared" si="323"/>
        <v>0</v>
      </c>
      <c r="EK74" s="368">
        <f t="shared" si="324"/>
        <v>0</v>
      </c>
      <c r="EL74" s="368">
        <f t="shared" si="325"/>
        <v>0</v>
      </c>
      <c r="EM74" s="368">
        <f t="shared" si="326"/>
        <v>0</v>
      </c>
      <c r="EN74" s="368">
        <f t="shared" si="327"/>
        <v>0</v>
      </c>
      <c r="EO74" s="368">
        <f t="shared" si="328"/>
        <v>0</v>
      </c>
      <c r="EP74" s="368">
        <f t="shared" si="329"/>
        <v>0</v>
      </c>
      <c r="EQ74" s="368">
        <f t="shared" si="330"/>
        <v>0</v>
      </c>
      <c r="ER74" s="368">
        <f t="shared" si="331"/>
        <v>0</v>
      </c>
      <c r="ES74" s="368">
        <f t="shared" si="332"/>
        <v>0</v>
      </c>
      <c r="ET74" s="368">
        <f t="shared" si="332"/>
        <v>0</v>
      </c>
      <c r="EU74" s="368">
        <f t="shared" si="333"/>
        <v>0</v>
      </c>
      <c r="EV74" s="368">
        <f t="shared" si="334"/>
        <v>0</v>
      </c>
      <c r="EW74" s="368">
        <f t="shared" si="335"/>
        <v>0</v>
      </c>
      <c r="EX74" s="368">
        <f t="shared" si="336"/>
        <v>0</v>
      </c>
      <c r="EY74" s="368">
        <f t="shared" si="337"/>
        <v>0</v>
      </c>
      <c r="EZ74" s="368">
        <f t="shared" si="338"/>
        <v>0</v>
      </c>
      <c r="FA74" s="368">
        <f t="shared" si="339"/>
        <v>0</v>
      </c>
      <c r="FB74" s="368">
        <f t="shared" si="340"/>
        <v>0</v>
      </c>
      <c r="FC74" s="368">
        <f t="shared" si="341"/>
        <v>0</v>
      </c>
      <c r="FD74" s="368">
        <f t="shared" si="342"/>
        <v>0</v>
      </c>
      <c r="FE74" s="368">
        <f t="shared" si="343"/>
        <v>0</v>
      </c>
      <c r="FF74" s="368">
        <f t="shared" si="344"/>
        <v>0</v>
      </c>
      <c r="FG74" s="368">
        <f t="shared" si="345"/>
        <v>0</v>
      </c>
      <c r="FH74" s="368">
        <f t="shared" si="346"/>
        <v>0</v>
      </c>
      <c r="FI74" s="368">
        <f t="shared" si="347"/>
        <v>0</v>
      </c>
      <c r="FJ74" s="368">
        <f t="shared" si="348"/>
        <v>0</v>
      </c>
      <c r="FK74" s="368">
        <f t="shared" si="349"/>
        <v>0</v>
      </c>
      <c r="FL74" s="368">
        <f t="shared" si="350"/>
        <v>0</v>
      </c>
      <c r="FM74" s="368">
        <f t="shared" si="351"/>
        <v>0</v>
      </c>
      <c r="FN74" s="368">
        <f t="shared" si="352"/>
        <v>0</v>
      </c>
      <c r="FO74" s="368">
        <f t="shared" si="353"/>
        <v>0</v>
      </c>
      <c r="FP74" s="368">
        <f t="shared" si="354"/>
        <v>0</v>
      </c>
      <c r="FQ74" s="368">
        <f t="shared" si="355"/>
        <v>0</v>
      </c>
      <c r="FR74" s="368">
        <f t="shared" si="356"/>
        <v>0</v>
      </c>
      <c r="FS74" s="368">
        <f t="shared" si="357"/>
        <v>0</v>
      </c>
      <c r="FT74" s="368">
        <f t="shared" si="358"/>
        <v>0</v>
      </c>
      <c r="FU74" s="368">
        <f t="shared" ref="FU74:FU98" si="377">IF(DC74=1,($BC74*DC74),0)</f>
        <v>0</v>
      </c>
      <c r="FV74" s="368">
        <f t="shared" ref="FV74:FV98" si="378">IF(DD74=1,($BC74*DD74),0)</f>
        <v>0</v>
      </c>
      <c r="FW74" s="368">
        <f t="shared" ref="FW74:FW98" si="379">IF(DE74=1,($BC74*DE74),0)</f>
        <v>0</v>
      </c>
      <c r="FX74" s="368">
        <f t="shared" ref="FX74:FX98" si="380">IF(DF74=1,($BC74*DF74),0)</f>
        <v>0</v>
      </c>
      <c r="FY74" s="368">
        <f t="shared" ref="FY74:FY98" si="381">IF(DG74=1,($BC74*DG74),0)</f>
        <v>0</v>
      </c>
      <c r="FZ74" s="368">
        <f t="shared" ref="FZ74:FZ98" si="382">IF(DH74=1,($BC74*DH74),0)</f>
        <v>0</v>
      </c>
      <c r="GA74" s="368">
        <f t="shared" ref="GA74:GA98" si="383">IF(DI74=1,($BC74*DI74),0)</f>
        <v>0</v>
      </c>
      <c r="GB74" s="368">
        <f t="shared" ref="GB74:GB98" si="384">IF(DJ74=1,($BC74*DJ74),0)</f>
        <v>0</v>
      </c>
      <c r="GC74" s="368">
        <f t="shared" ref="GC74:GC98" si="385">IF(DK74=1,($BC74*DK74),0)</f>
        <v>0</v>
      </c>
      <c r="GD74" s="368">
        <f t="shared" ref="GD74:GD98" si="386">IF(DL74=1,($BC74*DL74),0)</f>
        <v>0</v>
      </c>
      <c r="GE74" s="368">
        <f t="shared" ref="GE74:GE98" si="387">IF(DM74=1,($BC74*DM74),0)</f>
        <v>0</v>
      </c>
      <c r="GF74" s="368">
        <f t="shared" ref="GF74:GF98" si="388">IF(DN74=1,($BC74*DN74),0)</f>
        <v>0</v>
      </c>
      <c r="GG74" s="368">
        <f t="shared" ref="GG74:GG98" si="389">IF(DO74=1,($BC74*DO74),0)</f>
        <v>0</v>
      </c>
      <c r="GH74" s="368">
        <f t="shared" ref="GH74:GH98" si="390">IF(DP74=1,($BC74*DP74),0)</f>
        <v>0</v>
      </c>
      <c r="GI74" s="368">
        <f t="shared" ref="GI74:GI98" si="391">IF(DQ74=1,($BC74*DQ74),0)</f>
        <v>0</v>
      </c>
      <c r="GJ74" s="368">
        <f t="shared" ref="GJ74:GJ98" si="392">IF(DR74=1,($BC74*DR74),0)</f>
        <v>0</v>
      </c>
      <c r="GK74" s="368">
        <f t="shared" ref="GK74:GK98" si="393">IF(DS74=1,($BC74*DS74),0)</f>
        <v>0</v>
      </c>
      <c r="GL74" s="368">
        <f t="shared" ref="GL74:GL98" si="394">IF(DT74=1,($BC74*DT74),0)</f>
        <v>0</v>
      </c>
      <c r="GM74" s="368">
        <f t="shared" ref="GM74:GM98" si="395">IF(DU74=1,($BC74*DU74),0)</f>
        <v>0</v>
      </c>
    </row>
    <row r="75" spans="1:195" s="83" customFormat="1" hidden="1">
      <c r="A75" s="357" t="s">
        <v>334</v>
      </c>
      <c r="B75" s="357"/>
      <c r="C75" s="357"/>
      <c r="D75" s="395" t="s">
        <v>1522</v>
      </c>
      <c r="E75" s="493" t="s">
        <v>1513</v>
      </c>
      <c r="F75" s="493"/>
      <c r="G75" s="357" t="s">
        <v>329</v>
      </c>
      <c r="H75" s="352"/>
      <c r="I75" s="357" t="s">
        <v>330</v>
      </c>
      <c r="J75" s="357" t="s">
        <v>357</v>
      </c>
      <c r="K75" s="353">
        <v>230</v>
      </c>
      <c r="L75" s="360">
        <v>0.85</v>
      </c>
      <c r="M75" s="352">
        <v>0.95</v>
      </c>
      <c r="N75" s="359">
        <v>6</v>
      </c>
      <c r="O75" s="359">
        <f t="shared" si="359"/>
        <v>0</v>
      </c>
      <c r="P75" s="360" t="str">
        <f t="shared" si="360"/>
        <v>0.00</v>
      </c>
      <c r="Q75" s="352">
        <v>65</v>
      </c>
      <c r="R75" s="352">
        <v>0</v>
      </c>
      <c r="S75" s="352">
        <f t="shared" si="361"/>
        <v>0</v>
      </c>
      <c r="T75" s="360" t="s">
        <v>131</v>
      </c>
      <c r="U75" s="352" t="s">
        <v>333</v>
      </c>
      <c r="V75" s="360">
        <v>4</v>
      </c>
      <c r="W75" s="360" t="str">
        <f t="shared" si="362"/>
        <v>3C X 4</v>
      </c>
      <c r="X75" s="360" t="str">
        <f t="shared" si="363"/>
        <v>3C X 4</v>
      </c>
      <c r="Y75" s="360" t="s">
        <v>358</v>
      </c>
      <c r="Z75" s="361">
        <f>IF(T75="AIR",VLOOKUP(W75,'Catalogue Aluminium'!$B$9:$G$93,2,FALSE),IF(T75="GROUND",VLOOKUP(W75,'Catalogue Aluminium'!$B$9:$G$93,3,FALSE),IF(T75="DUCT",VLOOKUP(W75,'Catalogue Aluminium'!$B$9:$G$93,4,FALSE),IF(T75="TRENCH",VLOOKUP(W75,'Catalogue Aluminium'!$B$9:$G$93,2,FALSE)))))</f>
        <v>38</v>
      </c>
      <c r="AA75" s="362">
        <f>VLOOKUP(W75,'Catalogue Aluminium'!$B$9:$G$93,5,FALSE)</f>
        <v>5.9</v>
      </c>
      <c r="AB75" s="362">
        <f>VLOOKUP(W75,'Catalogue Aluminium'!$B$9:$G$93,6,FALSE)</f>
        <v>9.4700000000000006E-2</v>
      </c>
      <c r="AC75" s="564"/>
      <c r="AD75" s="564"/>
      <c r="AE75" s="564">
        <v>10</v>
      </c>
      <c r="AF75" s="564">
        <v>8</v>
      </c>
      <c r="AG75" s="564">
        <f t="shared" si="84"/>
        <v>2</v>
      </c>
      <c r="AH75" s="363">
        <f t="shared" si="364"/>
        <v>20</v>
      </c>
      <c r="AI75" s="361">
        <f>IF(T75="AIR",'Catalogue Aluminium'!$K$9,IF(T75="TRENCH",'Catalogue Aluminium'!$K$12,"NA"))</f>
        <v>0.89</v>
      </c>
      <c r="AJ75" s="359">
        <f>IF(T75="Air",(IF(U75="1C",'Catalogue Aluminium'!$L$9,'Catalogue Aluminium'!$M$9)),IF(T75="DUCT",(IF($U75="1C",'Catalogue Aluminium'!$L$10,'Catalogue Aluminium'!$M$10)),IF(T75="GROUND",(IF($U75="1C",'Catalogue Aluminium'!$L$11,'Catalogue Aluminium'!$M$11)),IF(T75="TRENCH",(IF($U75="1C",'Catalogue Aluminium'!$L$12,'Catalogue Aluminium'!$M$12))))))</f>
        <v>0.66</v>
      </c>
      <c r="AK75" s="361" t="str">
        <f>IF(T75="Air",'Catalogue Aluminium'!$N$9,IF(T75="GROUND",'Catalogue Aluminium'!$N$10,IF(T75="DUCT",'Catalogue Aluminium'!$N$11,IF(T75="TRENCH",'Catalogue Aluminium'!$N$12,"NA"))))</f>
        <v>NA</v>
      </c>
      <c r="AL75" s="361" t="str">
        <f>IF(T75="Air",(IF(U75="1C",'Catalogue Aluminium'!$O$9,'Catalogue Aluminium'!$P$9)),IF(T75="DUCT",(IF($U75="1C",'Catalogue Aluminium'!$O$10,'Catalogue Aluminium'!$P$10)),IF(T75="GROUND",(IF($U75="1C",'Catalogue Aluminium'!$O$11,'Catalogue Aluminium'!$P$11)),IF(T75="TRENCH",(IF($U75="1C",'Catalogue Aluminium'!$O$12,'Catalogue Aluminium'!$P$12))))))</f>
        <v>NA</v>
      </c>
      <c r="AM75" s="361" t="str">
        <f>IF(T75="AIR","NA",IF(T75="TRENCH","NA",IF(T75="DUCT",IF(U75="1C",VLOOKUP(V75,'Catalogue Aluminium'!$Q$9:$S$28,2,FALSE),VLOOKUP(V75,'Catalogue Aluminium'!$Q$9:$S$28,3)),IF(T75="GROUND",IF(U75="1C",VLOOKUP(V75,'Catalogue Aluminium'!$Q$9:$S$28,2,FALSE),VLOOKUP(V75,'Catalogue Aluminium'!$Q$9:$S$28,3))))))</f>
        <v>NA</v>
      </c>
      <c r="AN75" s="365">
        <f t="shared" si="365"/>
        <v>0.58740000000000003</v>
      </c>
      <c r="AO75" s="352">
        <f t="shared" si="366"/>
        <v>22.321200000000001</v>
      </c>
      <c r="AP75" s="353">
        <f t="shared" si="367"/>
        <v>1</v>
      </c>
      <c r="AQ75" s="352" t="str">
        <f t="shared" si="368"/>
        <v>YES</v>
      </c>
      <c r="AR75" s="365">
        <f t="shared" si="369"/>
        <v>0.45770297956699862</v>
      </c>
      <c r="AS75" s="360" t="str">
        <f t="shared" si="370"/>
        <v>YES</v>
      </c>
      <c r="AT75" s="365" t="str">
        <f t="shared" si="371"/>
        <v>NA</v>
      </c>
      <c r="AU75" s="360" t="str">
        <f t="shared" si="372"/>
        <v>NA</v>
      </c>
      <c r="AV75" s="366" t="str">
        <f t="shared" si="373"/>
        <v>1R x 0.6/1kV x 3C x 4 Sqmm</v>
      </c>
      <c r="AW75" s="366" t="str">
        <f t="shared" si="374"/>
        <v>1R x 0.6/1kV x 3C x 4 Sqmm</v>
      </c>
      <c r="AX75" s="360"/>
      <c r="AY75" s="367"/>
      <c r="AZ75" s="367"/>
      <c r="BA75" s="751" t="str">
        <f t="shared" si="375"/>
        <v/>
      </c>
      <c r="BB75" s="368"/>
      <c r="BC75" s="368"/>
      <c r="BE75" s="368"/>
      <c r="BF75" s="368"/>
      <c r="BG75" s="368"/>
      <c r="BH75" s="368"/>
      <c r="BI75" s="368"/>
      <c r="BJ75" s="368"/>
      <c r="BK75" s="368"/>
      <c r="BL75" s="368"/>
      <c r="BM75" s="368"/>
      <c r="BN75" s="368"/>
      <c r="BO75" s="368"/>
      <c r="BP75" s="368"/>
      <c r="BQ75" s="368"/>
      <c r="BR75" s="368"/>
      <c r="BS75" s="368"/>
      <c r="BT75" s="368"/>
      <c r="BU75" s="368"/>
      <c r="BV75" s="368"/>
      <c r="BW75" s="368"/>
      <c r="BX75" s="368"/>
      <c r="BY75" s="368"/>
      <c r="BZ75" s="368"/>
      <c r="CA75" s="368"/>
      <c r="CB75" s="368"/>
      <c r="CC75" s="368"/>
      <c r="CD75" s="368"/>
      <c r="CE75" s="368"/>
      <c r="CF75" s="368"/>
      <c r="CG75" s="368"/>
      <c r="CH75" s="368"/>
      <c r="CI75" s="368"/>
      <c r="CJ75" s="368"/>
      <c r="CK75" s="368"/>
      <c r="CL75" s="368"/>
      <c r="CM75" s="368"/>
      <c r="CN75" s="368"/>
      <c r="CO75" s="368"/>
      <c r="CP75" s="368"/>
      <c r="CQ75" s="368"/>
      <c r="CR75" s="368"/>
      <c r="CS75" s="368"/>
      <c r="CT75" s="368"/>
      <c r="CU75" s="368"/>
      <c r="CV75" s="368"/>
      <c r="CW75" s="368"/>
      <c r="CX75" s="368"/>
      <c r="CY75" s="368"/>
      <c r="CZ75" s="368"/>
      <c r="DA75" s="368"/>
      <c r="DB75" s="368"/>
      <c r="DC75" s="368"/>
      <c r="DD75" s="368"/>
      <c r="DE75" s="368"/>
      <c r="DF75" s="368"/>
      <c r="DG75" s="368"/>
      <c r="DH75" s="368"/>
      <c r="DI75" s="368"/>
      <c r="DJ75" s="368"/>
      <c r="DK75" s="368"/>
      <c r="DL75" s="368"/>
      <c r="DM75" s="368"/>
      <c r="DN75" s="368"/>
      <c r="DO75" s="368"/>
      <c r="DP75" s="368"/>
      <c r="DQ75" s="368"/>
      <c r="DR75" s="368"/>
      <c r="DS75" s="368"/>
      <c r="DT75" s="368"/>
      <c r="DU75" s="368"/>
      <c r="DW75" s="368">
        <f t="shared" si="376"/>
        <v>0</v>
      </c>
      <c r="DX75" s="368">
        <f t="shared" si="311"/>
        <v>0</v>
      </c>
      <c r="DY75" s="368">
        <f t="shared" si="312"/>
        <v>0</v>
      </c>
      <c r="DZ75" s="368">
        <f t="shared" si="313"/>
        <v>0</v>
      </c>
      <c r="EA75" s="368">
        <f t="shared" si="314"/>
        <v>0</v>
      </c>
      <c r="EB75" s="368">
        <f t="shared" si="315"/>
        <v>0</v>
      </c>
      <c r="EC75" s="368">
        <f t="shared" si="316"/>
        <v>0</v>
      </c>
      <c r="ED75" s="368">
        <f t="shared" si="317"/>
        <v>0</v>
      </c>
      <c r="EE75" s="368">
        <f t="shared" si="318"/>
        <v>0</v>
      </c>
      <c r="EF75" s="368">
        <f t="shared" si="319"/>
        <v>0</v>
      </c>
      <c r="EG75" s="368">
        <f t="shared" si="320"/>
        <v>0</v>
      </c>
      <c r="EH75" s="368">
        <f t="shared" si="321"/>
        <v>0</v>
      </c>
      <c r="EI75" s="368">
        <f t="shared" si="322"/>
        <v>0</v>
      </c>
      <c r="EJ75" s="368">
        <f t="shared" si="323"/>
        <v>0</v>
      </c>
      <c r="EK75" s="368">
        <f t="shared" si="324"/>
        <v>0</v>
      </c>
      <c r="EL75" s="368">
        <f t="shared" si="325"/>
        <v>0</v>
      </c>
      <c r="EM75" s="368">
        <f t="shared" si="326"/>
        <v>0</v>
      </c>
      <c r="EN75" s="368">
        <f t="shared" si="327"/>
        <v>0</v>
      </c>
      <c r="EO75" s="368">
        <f t="shared" si="328"/>
        <v>0</v>
      </c>
      <c r="EP75" s="368">
        <f t="shared" si="329"/>
        <v>0</v>
      </c>
      <c r="EQ75" s="368">
        <f t="shared" si="330"/>
        <v>0</v>
      </c>
      <c r="ER75" s="368">
        <f t="shared" si="331"/>
        <v>0</v>
      </c>
      <c r="ES75" s="368">
        <f t="shared" si="332"/>
        <v>0</v>
      </c>
      <c r="ET75" s="368">
        <f t="shared" si="332"/>
        <v>0</v>
      </c>
      <c r="EU75" s="368">
        <f t="shared" si="333"/>
        <v>0</v>
      </c>
      <c r="EV75" s="368">
        <f t="shared" si="334"/>
        <v>0</v>
      </c>
      <c r="EW75" s="368">
        <f t="shared" si="335"/>
        <v>0</v>
      </c>
      <c r="EX75" s="368">
        <f t="shared" si="336"/>
        <v>0</v>
      </c>
      <c r="EY75" s="368">
        <f t="shared" si="337"/>
        <v>0</v>
      </c>
      <c r="EZ75" s="368">
        <f t="shared" si="338"/>
        <v>0</v>
      </c>
      <c r="FA75" s="368">
        <f t="shared" si="339"/>
        <v>0</v>
      </c>
      <c r="FB75" s="368">
        <f t="shared" si="340"/>
        <v>0</v>
      </c>
      <c r="FC75" s="368">
        <f t="shared" si="341"/>
        <v>0</v>
      </c>
      <c r="FD75" s="368">
        <f t="shared" si="342"/>
        <v>0</v>
      </c>
      <c r="FE75" s="368">
        <f t="shared" si="343"/>
        <v>0</v>
      </c>
      <c r="FF75" s="368">
        <f t="shared" si="344"/>
        <v>0</v>
      </c>
      <c r="FG75" s="368">
        <f t="shared" si="345"/>
        <v>0</v>
      </c>
      <c r="FH75" s="368">
        <f t="shared" si="346"/>
        <v>0</v>
      </c>
      <c r="FI75" s="368">
        <f t="shared" si="347"/>
        <v>0</v>
      </c>
      <c r="FJ75" s="368">
        <f t="shared" si="348"/>
        <v>0</v>
      </c>
      <c r="FK75" s="368">
        <f t="shared" si="349"/>
        <v>0</v>
      </c>
      <c r="FL75" s="368">
        <f t="shared" si="350"/>
        <v>0</v>
      </c>
      <c r="FM75" s="368">
        <f t="shared" si="351"/>
        <v>0</v>
      </c>
      <c r="FN75" s="368">
        <f t="shared" si="352"/>
        <v>0</v>
      </c>
      <c r="FO75" s="368">
        <f t="shared" si="353"/>
        <v>0</v>
      </c>
      <c r="FP75" s="368">
        <f t="shared" si="354"/>
        <v>0</v>
      </c>
      <c r="FQ75" s="368">
        <f t="shared" si="355"/>
        <v>0</v>
      </c>
      <c r="FR75" s="368">
        <f t="shared" si="356"/>
        <v>0</v>
      </c>
      <c r="FS75" s="368">
        <f t="shared" si="357"/>
        <v>0</v>
      </c>
      <c r="FT75" s="368">
        <f t="shared" si="358"/>
        <v>0</v>
      </c>
      <c r="FU75" s="368">
        <f t="shared" si="377"/>
        <v>0</v>
      </c>
      <c r="FV75" s="368">
        <f t="shared" si="378"/>
        <v>0</v>
      </c>
      <c r="FW75" s="368">
        <f t="shared" si="379"/>
        <v>0</v>
      </c>
      <c r="FX75" s="368">
        <f t="shared" si="380"/>
        <v>0</v>
      </c>
      <c r="FY75" s="368">
        <f t="shared" si="381"/>
        <v>0</v>
      </c>
      <c r="FZ75" s="368">
        <f t="shared" si="382"/>
        <v>0</v>
      </c>
      <c r="GA75" s="368">
        <f t="shared" si="383"/>
        <v>0</v>
      </c>
      <c r="GB75" s="368">
        <f t="shared" si="384"/>
        <v>0</v>
      </c>
      <c r="GC75" s="368">
        <f t="shared" si="385"/>
        <v>0</v>
      </c>
      <c r="GD75" s="368">
        <f t="shared" si="386"/>
        <v>0</v>
      </c>
      <c r="GE75" s="368">
        <f t="shared" si="387"/>
        <v>0</v>
      </c>
      <c r="GF75" s="368">
        <f t="shared" si="388"/>
        <v>0</v>
      </c>
      <c r="GG75" s="368">
        <f t="shared" si="389"/>
        <v>0</v>
      </c>
      <c r="GH75" s="368">
        <f t="shared" si="390"/>
        <v>0</v>
      </c>
      <c r="GI75" s="368">
        <f t="shared" si="391"/>
        <v>0</v>
      </c>
      <c r="GJ75" s="368">
        <f t="shared" si="392"/>
        <v>0</v>
      </c>
      <c r="GK75" s="368">
        <f t="shared" si="393"/>
        <v>0</v>
      </c>
      <c r="GL75" s="368">
        <f t="shared" si="394"/>
        <v>0</v>
      </c>
      <c r="GM75" s="368">
        <f t="shared" si="395"/>
        <v>0</v>
      </c>
    </row>
    <row r="76" spans="1:195" s="83" customFormat="1" hidden="1">
      <c r="A76" s="357" t="s">
        <v>334</v>
      </c>
      <c r="B76" s="357"/>
      <c r="C76" s="357"/>
      <c r="D76" s="395" t="s">
        <v>1523</v>
      </c>
      <c r="E76" s="493" t="s">
        <v>1513</v>
      </c>
      <c r="F76" s="493"/>
      <c r="G76" s="357" t="s">
        <v>329</v>
      </c>
      <c r="H76" s="352"/>
      <c r="I76" s="357" t="s">
        <v>330</v>
      </c>
      <c r="J76" s="357" t="s">
        <v>357</v>
      </c>
      <c r="K76" s="353">
        <v>230</v>
      </c>
      <c r="L76" s="360">
        <v>0.85</v>
      </c>
      <c r="M76" s="352">
        <v>0.95</v>
      </c>
      <c r="N76" s="359">
        <v>6</v>
      </c>
      <c r="O76" s="359">
        <f t="shared" si="359"/>
        <v>0</v>
      </c>
      <c r="P76" s="360" t="str">
        <f t="shared" si="360"/>
        <v>0.00</v>
      </c>
      <c r="Q76" s="352">
        <v>65</v>
      </c>
      <c r="R76" s="352">
        <v>0</v>
      </c>
      <c r="S76" s="352">
        <f t="shared" si="361"/>
        <v>0</v>
      </c>
      <c r="T76" s="360" t="s">
        <v>131</v>
      </c>
      <c r="U76" s="352" t="s">
        <v>333</v>
      </c>
      <c r="V76" s="360">
        <v>4</v>
      </c>
      <c r="W76" s="360" t="str">
        <f t="shared" si="362"/>
        <v>3C X 4</v>
      </c>
      <c r="X76" s="360" t="str">
        <f t="shared" si="363"/>
        <v>3C X 4</v>
      </c>
      <c r="Y76" s="360" t="s">
        <v>358</v>
      </c>
      <c r="Z76" s="361">
        <f>IF(T76="AIR",VLOOKUP(W76,'Catalogue Aluminium'!$B$9:$G$93,2,FALSE),IF(T76="GROUND",VLOOKUP(W76,'Catalogue Aluminium'!$B$9:$G$93,3,FALSE),IF(T76="DUCT",VLOOKUP(W76,'Catalogue Aluminium'!$B$9:$G$93,4,FALSE),IF(T76="TRENCH",VLOOKUP(W76,'Catalogue Aluminium'!$B$9:$G$93,2,FALSE)))))</f>
        <v>38</v>
      </c>
      <c r="AA76" s="362">
        <f>VLOOKUP(W76,'Catalogue Aluminium'!$B$9:$G$93,5,FALSE)</f>
        <v>5.9</v>
      </c>
      <c r="AB76" s="362">
        <f>VLOOKUP(W76,'Catalogue Aluminium'!$B$9:$G$93,6,FALSE)</f>
        <v>9.4700000000000006E-2</v>
      </c>
      <c r="AC76" s="564"/>
      <c r="AD76" s="564"/>
      <c r="AE76" s="564">
        <v>10</v>
      </c>
      <c r="AF76" s="564">
        <v>8</v>
      </c>
      <c r="AG76" s="564">
        <f t="shared" si="84"/>
        <v>2</v>
      </c>
      <c r="AH76" s="363">
        <f t="shared" si="364"/>
        <v>20</v>
      </c>
      <c r="AI76" s="361">
        <f>IF(T76="AIR",'Catalogue Aluminium'!$K$9,IF(T76="TRENCH",'Catalogue Aluminium'!$K$12,"NA"))</f>
        <v>0.89</v>
      </c>
      <c r="AJ76" s="359">
        <f>IF(T76="Air",(IF(U76="1C",'Catalogue Aluminium'!$L$9,'Catalogue Aluminium'!$M$9)),IF(T76="DUCT",(IF($U76="1C",'Catalogue Aluminium'!$L$10,'Catalogue Aluminium'!$M$10)),IF(T76="GROUND",(IF($U76="1C",'Catalogue Aluminium'!$L$11,'Catalogue Aluminium'!$M$11)),IF(T76="TRENCH",(IF($U76="1C",'Catalogue Aluminium'!$L$12,'Catalogue Aluminium'!$M$12))))))</f>
        <v>0.66</v>
      </c>
      <c r="AK76" s="361" t="str">
        <f>IF(T76="Air",'Catalogue Aluminium'!$N$9,IF(T76="GROUND",'Catalogue Aluminium'!$N$10,IF(T76="DUCT",'Catalogue Aluminium'!$N$11,IF(T76="TRENCH",'Catalogue Aluminium'!$N$12,"NA"))))</f>
        <v>NA</v>
      </c>
      <c r="AL76" s="361" t="str">
        <f>IF(T76="Air",(IF(U76="1C",'Catalogue Aluminium'!$O$9,'Catalogue Aluminium'!$P$9)),IF(T76="DUCT",(IF($U76="1C",'Catalogue Aluminium'!$O$10,'Catalogue Aluminium'!$P$10)),IF(T76="GROUND",(IF($U76="1C",'Catalogue Aluminium'!$O$11,'Catalogue Aluminium'!$P$11)),IF(T76="TRENCH",(IF($U76="1C",'Catalogue Aluminium'!$O$12,'Catalogue Aluminium'!$P$12))))))</f>
        <v>NA</v>
      </c>
      <c r="AM76" s="361" t="str">
        <f>IF(T76="AIR","NA",IF(T76="TRENCH","NA",IF(T76="DUCT",IF(U76="1C",VLOOKUP(V76,'Catalogue Aluminium'!$Q$9:$S$28,2,FALSE),VLOOKUP(V76,'Catalogue Aluminium'!$Q$9:$S$28,3)),IF(T76="GROUND",IF(U76="1C",VLOOKUP(V76,'Catalogue Aluminium'!$Q$9:$S$28,2,FALSE),VLOOKUP(V76,'Catalogue Aluminium'!$Q$9:$S$28,3))))))</f>
        <v>NA</v>
      </c>
      <c r="AN76" s="365">
        <f t="shared" si="365"/>
        <v>0.58740000000000003</v>
      </c>
      <c r="AO76" s="352">
        <f t="shared" si="366"/>
        <v>22.321200000000001</v>
      </c>
      <c r="AP76" s="353">
        <f t="shared" si="367"/>
        <v>1</v>
      </c>
      <c r="AQ76" s="352" t="str">
        <f t="shared" si="368"/>
        <v>YES</v>
      </c>
      <c r="AR76" s="365">
        <f t="shared" si="369"/>
        <v>0.45770297956699862</v>
      </c>
      <c r="AS76" s="360" t="str">
        <f t="shared" si="370"/>
        <v>YES</v>
      </c>
      <c r="AT76" s="365" t="str">
        <f t="shared" si="371"/>
        <v>NA</v>
      </c>
      <c r="AU76" s="360" t="str">
        <f t="shared" si="372"/>
        <v>NA</v>
      </c>
      <c r="AV76" s="366" t="str">
        <f t="shared" si="373"/>
        <v>1R x 0.6/1kV x 3C x 4 Sqmm</v>
      </c>
      <c r="AW76" s="366" t="str">
        <f t="shared" si="374"/>
        <v>1R x 0.6/1kV x 3C x 4 Sqmm</v>
      </c>
      <c r="AX76" s="360"/>
      <c r="AY76" s="367"/>
      <c r="AZ76" s="367"/>
      <c r="BA76" s="751" t="str">
        <f t="shared" si="375"/>
        <v/>
      </c>
      <c r="BB76" s="368"/>
      <c r="BC76" s="368"/>
      <c r="BE76" s="368"/>
      <c r="BF76" s="368"/>
      <c r="BG76" s="368"/>
      <c r="BH76" s="368"/>
      <c r="BI76" s="368"/>
      <c r="BJ76" s="368"/>
      <c r="BK76" s="368"/>
      <c r="BL76" s="368"/>
      <c r="BM76" s="368"/>
      <c r="BN76" s="368"/>
      <c r="BO76" s="368"/>
      <c r="BP76" s="368"/>
      <c r="BQ76" s="368"/>
      <c r="BR76" s="368"/>
      <c r="BS76" s="368"/>
      <c r="BT76" s="368"/>
      <c r="BU76" s="368"/>
      <c r="BV76" s="368"/>
      <c r="BW76" s="368"/>
      <c r="BX76" s="368"/>
      <c r="BY76" s="368"/>
      <c r="BZ76" s="368"/>
      <c r="CA76" s="368"/>
      <c r="CB76" s="368"/>
      <c r="CC76" s="368"/>
      <c r="CD76" s="368"/>
      <c r="CE76" s="368"/>
      <c r="CF76" s="368"/>
      <c r="CG76" s="368"/>
      <c r="CH76" s="368"/>
      <c r="CI76" s="368"/>
      <c r="CJ76" s="368"/>
      <c r="CK76" s="368"/>
      <c r="CL76" s="368"/>
      <c r="CM76" s="368"/>
      <c r="CN76" s="368"/>
      <c r="CO76" s="368"/>
      <c r="CP76" s="368"/>
      <c r="CQ76" s="368"/>
      <c r="CR76" s="368"/>
      <c r="CS76" s="368"/>
      <c r="CT76" s="368"/>
      <c r="CU76" s="368"/>
      <c r="CV76" s="368"/>
      <c r="CW76" s="368"/>
      <c r="CX76" s="368"/>
      <c r="CY76" s="368"/>
      <c r="CZ76" s="368"/>
      <c r="DA76" s="368"/>
      <c r="DB76" s="368"/>
      <c r="DC76" s="368"/>
      <c r="DD76" s="368"/>
      <c r="DE76" s="368"/>
      <c r="DF76" s="368"/>
      <c r="DG76" s="368"/>
      <c r="DH76" s="368"/>
      <c r="DI76" s="368"/>
      <c r="DJ76" s="368"/>
      <c r="DK76" s="368"/>
      <c r="DL76" s="368"/>
      <c r="DM76" s="368"/>
      <c r="DN76" s="368"/>
      <c r="DO76" s="368"/>
      <c r="DP76" s="368"/>
      <c r="DQ76" s="368"/>
      <c r="DR76" s="368"/>
      <c r="DS76" s="368"/>
      <c r="DT76" s="368"/>
      <c r="DU76" s="368"/>
      <c r="DW76" s="368">
        <f t="shared" si="376"/>
        <v>0</v>
      </c>
      <c r="DX76" s="368">
        <f t="shared" si="311"/>
        <v>0</v>
      </c>
      <c r="DY76" s="368">
        <f t="shared" si="312"/>
        <v>0</v>
      </c>
      <c r="DZ76" s="368">
        <f t="shared" si="313"/>
        <v>0</v>
      </c>
      <c r="EA76" s="368">
        <f t="shared" si="314"/>
        <v>0</v>
      </c>
      <c r="EB76" s="368">
        <f t="shared" si="315"/>
        <v>0</v>
      </c>
      <c r="EC76" s="368">
        <f t="shared" si="316"/>
        <v>0</v>
      </c>
      <c r="ED76" s="368">
        <f t="shared" si="317"/>
        <v>0</v>
      </c>
      <c r="EE76" s="368">
        <f t="shared" si="318"/>
        <v>0</v>
      </c>
      <c r="EF76" s="368">
        <f t="shared" si="319"/>
        <v>0</v>
      </c>
      <c r="EG76" s="368">
        <f t="shared" si="320"/>
        <v>0</v>
      </c>
      <c r="EH76" s="368">
        <f t="shared" si="321"/>
        <v>0</v>
      </c>
      <c r="EI76" s="368">
        <f t="shared" si="322"/>
        <v>0</v>
      </c>
      <c r="EJ76" s="368">
        <f t="shared" si="323"/>
        <v>0</v>
      </c>
      <c r="EK76" s="368">
        <f t="shared" si="324"/>
        <v>0</v>
      </c>
      <c r="EL76" s="368">
        <f t="shared" si="325"/>
        <v>0</v>
      </c>
      <c r="EM76" s="368">
        <f t="shared" si="326"/>
        <v>0</v>
      </c>
      <c r="EN76" s="368">
        <f t="shared" si="327"/>
        <v>0</v>
      </c>
      <c r="EO76" s="368">
        <f t="shared" si="328"/>
        <v>0</v>
      </c>
      <c r="EP76" s="368">
        <f t="shared" si="329"/>
        <v>0</v>
      </c>
      <c r="EQ76" s="368">
        <f t="shared" si="330"/>
        <v>0</v>
      </c>
      <c r="ER76" s="368">
        <f t="shared" si="331"/>
        <v>0</v>
      </c>
      <c r="ES76" s="368">
        <f t="shared" si="332"/>
        <v>0</v>
      </c>
      <c r="ET76" s="368">
        <f t="shared" si="332"/>
        <v>0</v>
      </c>
      <c r="EU76" s="368">
        <f t="shared" si="333"/>
        <v>0</v>
      </c>
      <c r="EV76" s="368">
        <f t="shared" si="334"/>
        <v>0</v>
      </c>
      <c r="EW76" s="368">
        <f t="shared" si="335"/>
        <v>0</v>
      </c>
      <c r="EX76" s="368">
        <f t="shared" si="336"/>
        <v>0</v>
      </c>
      <c r="EY76" s="368">
        <f t="shared" si="337"/>
        <v>0</v>
      </c>
      <c r="EZ76" s="368">
        <f t="shared" si="338"/>
        <v>0</v>
      </c>
      <c r="FA76" s="368">
        <f t="shared" si="339"/>
        <v>0</v>
      </c>
      <c r="FB76" s="368">
        <f t="shared" si="340"/>
        <v>0</v>
      </c>
      <c r="FC76" s="368">
        <f t="shared" si="341"/>
        <v>0</v>
      </c>
      <c r="FD76" s="368">
        <f t="shared" si="342"/>
        <v>0</v>
      </c>
      <c r="FE76" s="368">
        <f t="shared" si="343"/>
        <v>0</v>
      </c>
      <c r="FF76" s="368">
        <f t="shared" si="344"/>
        <v>0</v>
      </c>
      <c r="FG76" s="368">
        <f t="shared" si="345"/>
        <v>0</v>
      </c>
      <c r="FH76" s="368">
        <f t="shared" si="346"/>
        <v>0</v>
      </c>
      <c r="FI76" s="368">
        <f t="shared" si="347"/>
        <v>0</v>
      </c>
      <c r="FJ76" s="368">
        <f t="shared" si="348"/>
        <v>0</v>
      </c>
      <c r="FK76" s="368">
        <f t="shared" si="349"/>
        <v>0</v>
      </c>
      <c r="FL76" s="368">
        <f t="shared" si="350"/>
        <v>0</v>
      </c>
      <c r="FM76" s="368">
        <f t="shared" si="351"/>
        <v>0</v>
      </c>
      <c r="FN76" s="368">
        <f t="shared" si="352"/>
        <v>0</v>
      </c>
      <c r="FO76" s="368">
        <f t="shared" si="353"/>
        <v>0</v>
      </c>
      <c r="FP76" s="368">
        <f t="shared" si="354"/>
        <v>0</v>
      </c>
      <c r="FQ76" s="368">
        <f t="shared" si="355"/>
        <v>0</v>
      </c>
      <c r="FR76" s="368">
        <f t="shared" si="356"/>
        <v>0</v>
      </c>
      <c r="FS76" s="368">
        <f t="shared" si="357"/>
        <v>0</v>
      </c>
      <c r="FT76" s="368">
        <f t="shared" si="358"/>
        <v>0</v>
      </c>
      <c r="FU76" s="368">
        <f t="shared" si="377"/>
        <v>0</v>
      </c>
      <c r="FV76" s="368">
        <f t="shared" si="378"/>
        <v>0</v>
      </c>
      <c r="FW76" s="368">
        <f t="shared" si="379"/>
        <v>0</v>
      </c>
      <c r="FX76" s="368">
        <f t="shared" si="380"/>
        <v>0</v>
      </c>
      <c r="FY76" s="368">
        <f t="shared" si="381"/>
        <v>0</v>
      </c>
      <c r="FZ76" s="368">
        <f t="shared" si="382"/>
        <v>0</v>
      </c>
      <c r="GA76" s="368">
        <f t="shared" si="383"/>
        <v>0</v>
      </c>
      <c r="GB76" s="368">
        <f t="shared" si="384"/>
        <v>0</v>
      </c>
      <c r="GC76" s="368">
        <f t="shared" si="385"/>
        <v>0</v>
      </c>
      <c r="GD76" s="368">
        <f t="shared" si="386"/>
        <v>0</v>
      </c>
      <c r="GE76" s="368">
        <f t="shared" si="387"/>
        <v>0</v>
      </c>
      <c r="GF76" s="368">
        <f t="shared" si="388"/>
        <v>0</v>
      </c>
      <c r="GG76" s="368">
        <f t="shared" si="389"/>
        <v>0</v>
      </c>
      <c r="GH76" s="368">
        <f t="shared" si="390"/>
        <v>0</v>
      </c>
      <c r="GI76" s="368">
        <f t="shared" si="391"/>
        <v>0</v>
      </c>
      <c r="GJ76" s="368">
        <f t="shared" si="392"/>
        <v>0</v>
      </c>
      <c r="GK76" s="368">
        <f t="shared" si="393"/>
        <v>0</v>
      </c>
      <c r="GL76" s="368">
        <f t="shared" si="394"/>
        <v>0</v>
      </c>
      <c r="GM76" s="368">
        <f t="shared" si="395"/>
        <v>0</v>
      </c>
    </row>
    <row r="77" spans="1:195" s="83" customFormat="1" hidden="1">
      <c r="A77" s="357" t="s">
        <v>334</v>
      </c>
      <c r="B77" s="357"/>
      <c r="C77" s="357"/>
      <c r="D77" s="395" t="s">
        <v>1524</v>
      </c>
      <c r="E77" s="493" t="s">
        <v>1513</v>
      </c>
      <c r="F77" s="493"/>
      <c r="G77" s="357" t="s">
        <v>329</v>
      </c>
      <c r="H77" s="352"/>
      <c r="I77" s="357" t="s">
        <v>330</v>
      </c>
      <c r="J77" s="357" t="s">
        <v>357</v>
      </c>
      <c r="K77" s="353">
        <v>230</v>
      </c>
      <c r="L77" s="360">
        <v>0.85</v>
      </c>
      <c r="M77" s="352">
        <v>0.95</v>
      </c>
      <c r="N77" s="359">
        <v>6</v>
      </c>
      <c r="O77" s="359">
        <f t="shared" si="359"/>
        <v>0</v>
      </c>
      <c r="P77" s="360" t="str">
        <f t="shared" si="360"/>
        <v>0.00</v>
      </c>
      <c r="Q77" s="352">
        <v>65</v>
      </c>
      <c r="R77" s="352">
        <v>0</v>
      </c>
      <c r="S77" s="352">
        <f t="shared" si="361"/>
        <v>0</v>
      </c>
      <c r="T77" s="360" t="s">
        <v>131</v>
      </c>
      <c r="U77" s="352" t="s">
        <v>333</v>
      </c>
      <c r="V77" s="360">
        <v>4</v>
      </c>
      <c r="W77" s="360" t="str">
        <f t="shared" si="362"/>
        <v>3C X 4</v>
      </c>
      <c r="X77" s="360" t="str">
        <f t="shared" si="363"/>
        <v>3C X 4</v>
      </c>
      <c r="Y77" s="360" t="s">
        <v>358</v>
      </c>
      <c r="Z77" s="361">
        <f>IF(T77="AIR",VLOOKUP(W77,'Catalogue Aluminium'!$B$9:$G$93,2,FALSE),IF(T77="GROUND",VLOOKUP(W77,'Catalogue Aluminium'!$B$9:$G$93,3,FALSE),IF(T77="DUCT",VLOOKUP(W77,'Catalogue Aluminium'!$B$9:$G$93,4,FALSE),IF(T77="TRENCH",VLOOKUP(W77,'Catalogue Aluminium'!$B$9:$G$93,2,FALSE)))))</f>
        <v>38</v>
      </c>
      <c r="AA77" s="362">
        <f>VLOOKUP(W77,'Catalogue Aluminium'!$B$9:$G$93,5,FALSE)</f>
        <v>5.9</v>
      </c>
      <c r="AB77" s="362">
        <f>VLOOKUP(W77,'Catalogue Aluminium'!$B$9:$G$93,6,FALSE)</f>
        <v>9.4700000000000006E-2</v>
      </c>
      <c r="AC77" s="564"/>
      <c r="AD77" s="564"/>
      <c r="AE77" s="564">
        <v>10</v>
      </c>
      <c r="AF77" s="564">
        <v>8</v>
      </c>
      <c r="AG77" s="564">
        <f t="shared" si="84"/>
        <v>2</v>
      </c>
      <c r="AH77" s="363">
        <f t="shared" si="364"/>
        <v>20</v>
      </c>
      <c r="AI77" s="361">
        <f>IF(T77="AIR",'Catalogue Aluminium'!$K$9,IF(T77="TRENCH",'Catalogue Aluminium'!$K$12,"NA"))</f>
        <v>0.89</v>
      </c>
      <c r="AJ77" s="359">
        <f>IF(T77="Air",(IF(U77="1C",'Catalogue Aluminium'!$L$9,'Catalogue Aluminium'!$M$9)),IF(T77="DUCT",(IF($U77="1C",'Catalogue Aluminium'!$L$10,'Catalogue Aluminium'!$M$10)),IF(T77="GROUND",(IF($U77="1C",'Catalogue Aluminium'!$L$11,'Catalogue Aluminium'!$M$11)),IF(T77="TRENCH",(IF($U77="1C",'Catalogue Aluminium'!$L$12,'Catalogue Aluminium'!$M$12))))))</f>
        <v>0.66</v>
      </c>
      <c r="AK77" s="361" t="str">
        <f>IF(T77="Air",'Catalogue Aluminium'!$N$9,IF(T77="GROUND",'Catalogue Aluminium'!$N$10,IF(T77="DUCT",'Catalogue Aluminium'!$N$11,IF(T77="TRENCH",'Catalogue Aluminium'!$N$12,"NA"))))</f>
        <v>NA</v>
      </c>
      <c r="AL77" s="361" t="str">
        <f>IF(T77="Air",(IF(U77="1C",'Catalogue Aluminium'!$O$9,'Catalogue Aluminium'!$P$9)),IF(T77="DUCT",(IF($U77="1C",'Catalogue Aluminium'!$O$10,'Catalogue Aluminium'!$P$10)),IF(T77="GROUND",(IF($U77="1C",'Catalogue Aluminium'!$O$11,'Catalogue Aluminium'!$P$11)),IF(T77="TRENCH",(IF($U77="1C",'Catalogue Aluminium'!$O$12,'Catalogue Aluminium'!$P$12))))))</f>
        <v>NA</v>
      </c>
      <c r="AM77" s="361" t="str">
        <f>IF(T77="AIR","NA",IF(T77="TRENCH","NA",IF(T77="DUCT",IF(U77="1C",VLOOKUP(V77,'Catalogue Aluminium'!$Q$9:$S$28,2,FALSE),VLOOKUP(V77,'Catalogue Aluminium'!$Q$9:$S$28,3)),IF(T77="GROUND",IF(U77="1C",VLOOKUP(V77,'Catalogue Aluminium'!$Q$9:$S$28,2,FALSE),VLOOKUP(V77,'Catalogue Aluminium'!$Q$9:$S$28,3))))))</f>
        <v>NA</v>
      </c>
      <c r="AN77" s="365">
        <f t="shared" si="365"/>
        <v>0.58740000000000003</v>
      </c>
      <c r="AO77" s="352">
        <f t="shared" si="366"/>
        <v>22.321200000000001</v>
      </c>
      <c r="AP77" s="353">
        <f t="shared" si="367"/>
        <v>1</v>
      </c>
      <c r="AQ77" s="352" t="str">
        <f t="shared" si="368"/>
        <v>YES</v>
      </c>
      <c r="AR77" s="365">
        <f t="shared" si="369"/>
        <v>0.45770297956699862</v>
      </c>
      <c r="AS77" s="360" t="str">
        <f t="shared" si="370"/>
        <v>YES</v>
      </c>
      <c r="AT77" s="365" t="str">
        <f t="shared" si="371"/>
        <v>NA</v>
      </c>
      <c r="AU77" s="360" t="str">
        <f t="shared" si="372"/>
        <v>NA</v>
      </c>
      <c r="AV77" s="366" t="str">
        <f t="shared" si="373"/>
        <v>1R x 0.6/1kV x 3C x 4 Sqmm</v>
      </c>
      <c r="AW77" s="366" t="str">
        <f t="shared" si="374"/>
        <v>1R x 0.6/1kV x 3C x 4 Sqmm</v>
      </c>
      <c r="AX77" s="360"/>
      <c r="AY77" s="367"/>
      <c r="AZ77" s="367"/>
      <c r="BA77" s="751" t="str">
        <f t="shared" si="375"/>
        <v/>
      </c>
      <c r="BB77" s="368"/>
      <c r="BC77" s="368"/>
      <c r="BE77" s="368"/>
      <c r="BF77" s="368"/>
      <c r="BG77" s="368"/>
      <c r="BH77" s="368"/>
      <c r="BI77" s="368"/>
      <c r="BJ77" s="368"/>
      <c r="BK77" s="368"/>
      <c r="BL77" s="368"/>
      <c r="BM77" s="368"/>
      <c r="BN77" s="368"/>
      <c r="BO77" s="368"/>
      <c r="BP77" s="368"/>
      <c r="BQ77" s="368"/>
      <c r="BR77" s="368"/>
      <c r="BS77" s="368"/>
      <c r="BT77" s="368"/>
      <c r="BU77" s="368"/>
      <c r="BV77" s="368"/>
      <c r="BW77" s="368"/>
      <c r="BX77" s="368"/>
      <c r="BY77" s="368"/>
      <c r="BZ77" s="368"/>
      <c r="CA77" s="368"/>
      <c r="CB77" s="368"/>
      <c r="CC77" s="368"/>
      <c r="CD77" s="368"/>
      <c r="CE77" s="368"/>
      <c r="CF77" s="368"/>
      <c r="CG77" s="368"/>
      <c r="CH77" s="368"/>
      <c r="CI77" s="368"/>
      <c r="CJ77" s="368"/>
      <c r="CK77" s="368"/>
      <c r="CL77" s="368"/>
      <c r="CM77" s="368"/>
      <c r="CN77" s="368"/>
      <c r="CO77" s="368"/>
      <c r="CP77" s="368"/>
      <c r="CQ77" s="368"/>
      <c r="CR77" s="368"/>
      <c r="CS77" s="368"/>
      <c r="CT77" s="368"/>
      <c r="CU77" s="368"/>
      <c r="CV77" s="368"/>
      <c r="CW77" s="368"/>
      <c r="CX77" s="368"/>
      <c r="CY77" s="368"/>
      <c r="CZ77" s="368"/>
      <c r="DA77" s="368"/>
      <c r="DB77" s="368"/>
      <c r="DC77" s="368"/>
      <c r="DD77" s="368"/>
      <c r="DE77" s="368"/>
      <c r="DF77" s="368"/>
      <c r="DG77" s="368"/>
      <c r="DH77" s="368"/>
      <c r="DI77" s="368"/>
      <c r="DJ77" s="368"/>
      <c r="DK77" s="368"/>
      <c r="DL77" s="368"/>
      <c r="DM77" s="368"/>
      <c r="DN77" s="368"/>
      <c r="DO77" s="368"/>
      <c r="DP77" s="368"/>
      <c r="DQ77" s="368"/>
      <c r="DR77" s="368"/>
      <c r="DS77" s="368"/>
      <c r="DT77" s="368"/>
      <c r="DU77" s="368"/>
      <c r="DW77" s="368">
        <f t="shared" si="376"/>
        <v>0</v>
      </c>
      <c r="DX77" s="368">
        <f t="shared" si="311"/>
        <v>0</v>
      </c>
      <c r="DY77" s="368">
        <f t="shared" si="312"/>
        <v>0</v>
      </c>
      <c r="DZ77" s="368">
        <f t="shared" si="313"/>
        <v>0</v>
      </c>
      <c r="EA77" s="368">
        <f t="shared" si="314"/>
        <v>0</v>
      </c>
      <c r="EB77" s="368">
        <f t="shared" si="315"/>
        <v>0</v>
      </c>
      <c r="EC77" s="368">
        <f t="shared" si="316"/>
        <v>0</v>
      </c>
      <c r="ED77" s="368">
        <f t="shared" si="317"/>
        <v>0</v>
      </c>
      <c r="EE77" s="368">
        <f t="shared" si="318"/>
        <v>0</v>
      </c>
      <c r="EF77" s="368">
        <f t="shared" si="319"/>
        <v>0</v>
      </c>
      <c r="EG77" s="368">
        <f t="shared" si="320"/>
        <v>0</v>
      </c>
      <c r="EH77" s="368">
        <f t="shared" si="321"/>
        <v>0</v>
      </c>
      <c r="EI77" s="368">
        <f t="shared" si="322"/>
        <v>0</v>
      </c>
      <c r="EJ77" s="368">
        <f t="shared" si="323"/>
        <v>0</v>
      </c>
      <c r="EK77" s="368">
        <f t="shared" si="324"/>
        <v>0</v>
      </c>
      <c r="EL77" s="368">
        <f t="shared" si="325"/>
        <v>0</v>
      </c>
      <c r="EM77" s="368">
        <f t="shared" si="326"/>
        <v>0</v>
      </c>
      <c r="EN77" s="368">
        <f t="shared" si="327"/>
        <v>0</v>
      </c>
      <c r="EO77" s="368">
        <f t="shared" si="328"/>
        <v>0</v>
      </c>
      <c r="EP77" s="368">
        <f t="shared" si="329"/>
        <v>0</v>
      </c>
      <c r="EQ77" s="368">
        <f t="shared" si="330"/>
        <v>0</v>
      </c>
      <c r="ER77" s="368">
        <f t="shared" si="331"/>
        <v>0</v>
      </c>
      <c r="ES77" s="368">
        <f t="shared" si="332"/>
        <v>0</v>
      </c>
      <c r="ET77" s="368">
        <f t="shared" si="332"/>
        <v>0</v>
      </c>
      <c r="EU77" s="368">
        <f t="shared" si="333"/>
        <v>0</v>
      </c>
      <c r="EV77" s="368">
        <f t="shared" si="334"/>
        <v>0</v>
      </c>
      <c r="EW77" s="368">
        <f t="shared" si="335"/>
        <v>0</v>
      </c>
      <c r="EX77" s="368">
        <f t="shared" si="336"/>
        <v>0</v>
      </c>
      <c r="EY77" s="368">
        <f t="shared" si="337"/>
        <v>0</v>
      </c>
      <c r="EZ77" s="368">
        <f t="shared" si="338"/>
        <v>0</v>
      </c>
      <c r="FA77" s="368">
        <f t="shared" si="339"/>
        <v>0</v>
      </c>
      <c r="FB77" s="368">
        <f t="shared" si="340"/>
        <v>0</v>
      </c>
      <c r="FC77" s="368">
        <f t="shared" si="341"/>
        <v>0</v>
      </c>
      <c r="FD77" s="368">
        <f t="shared" si="342"/>
        <v>0</v>
      </c>
      <c r="FE77" s="368">
        <f t="shared" si="343"/>
        <v>0</v>
      </c>
      <c r="FF77" s="368">
        <f t="shared" si="344"/>
        <v>0</v>
      </c>
      <c r="FG77" s="368">
        <f t="shared" si="345"/>
        <v>0</v>
      </c>
      <c r="FH77" s="368">
        <f t="shared" si="346"/>
        <v>0</v>
      </c>
      <c r="FI77" s="368">
        <f t="shared" si="347"/>
        <v>0</v>
      </c>
      <c r="FJ77" s="368">
        <f t="shared" si="348"/>
        <v>0</v>
      </c>
      <c r="FK77" s="368">
        <f t="shared" si="349"/>
        <v>0</v>
      </c>
      <c r="FL77" s="368">
        <f t="shared" si="350"/>
        <v>0</v>
      </c>
      <c r="FM77" s="368">
        <f t="shared" si="351"/>
        <v>0</v>
      </c>
      <c r="FN77" s="368">
        <f t="shared" si="352"/>
        <v>0</v>
      </c>
      <c r="FO77" s="368">
        <f t="shared" si="353"/>
        <v>0</v>
      </c>
      <c r="FP77" s="368">
        <f t="shared" si="354"/>
        <v>0</v>
      </c>
      <c r="FQ77" s="368">
        <f t="shared" si="355"/>
        <v>0</v>
      </c>
      <c r="FR77" s="368">
        <f t="shared" si="356"/>
        <v>0</v>
      </c>
      <c r="FS77" s="368">
        <f t="shared" si="357"/>
        <v>0</v>
      </c>
      <c r="FT77" s="368">
        <f t="shared" si="358"/>
        <v>0</v>
      </c>
      <c r="FU77" s="368">
        <f t="shared" si="377"/>
        <v>0</v>
      </c>
      <c r="FV77" s="368">
        <f t="shared" si="378"/>
        <v>0</v>
      </c>
      <c r="FW77" s="368">
        <f t="shared" si="379"/>
        <v>0</v>
      </c>
      <c r="FX77" s="368">
        <f t="shared" si="380"/>
        <v>0</v>
      </c>
      <c r="FY77" s="368">
        <f t="shared" si="381"/>
        <v>0</v>
      </c>
      <c r="FZ77" s="368">
        <f t="shared" si="382"/>
        <v>0</v>
      </c>
      <c r="GA77" s="368">
        <f t="shared" si="383"/>
        <v>0</v>
      </c>
      <c r="GB77" s="368">
        <f t="shared" si="384"/>
        <v>0</v>
      </c>
      <c r="GC77" s="368">
        <f t="shared" si="385"/>
        <v>0</v>
      </c>
      <c r="GD77" s="368">
        <f t="shared" si="386"/>
        <v>0</v>
      </c>
      <c r="GE77" s="368">
        <f t="shared" si="387"/>
        <v>0</v>
      </c>
      <c r="GF77" s="368">
        <f t="shared" si="388"/>
        <v>0</v>
      </c>
      <c r="GG77" s="368">
        <f t="shared" si="389"/>
        <v>0</v>
      </c>
      <c r="GH77" s="368">
        <f t="shared" si="390"/>
        <v>0</v>
      </c>
      <c r="GI77" s="368">
        <f t="shared" si="391"/>
        <v>0</v>
      </c>
      <c r="GJ77" s="368">
        <f t="shared" si="392"/>
        <v>0</v>
      </c>
      <c r="GK77" s="368">
        <f t="shared" si="393"/>
        <v>0</v>
      </c>
      <c r="GL77" s="368">
        <f t="shared" si="394"/>
        <v>0</v>
      </c>
      <c r="GM77" s="368">
        <f t="shared" si="395"/>
        <v>0</v>
      </c>
    </row>
    <row r="78" spans="1:195" s="83" customFormat="1" ht="15" hidden="1">
      <c r="A78" s="357" t="s">
        <v>334</v>
      </c>
      <c r="B78" s="357"/>
      <c r="C78" s="357"/>
      <c r="D78" s="395" t="s">
        <v>1525</v>
      </c>
      <c r="E78" s="493" t="s">
        <v>1513</v>
      </c>
      <c r="F78" s="493"/>
      <c r="G78" s="357" t="s">
        <v>329</v>
      </c>
      <c r="H78" s="352"/>
      <c r="I78" s="357" t="s">
        <v>330</v>
      </c>
      <c r="J78" s="357" t="s">
        <v>357</v>
      </c>
      <c r="K78" s="353">
        <v>230</v>
      </c>
      <c r="L78" s="360">
        <v>0.85</v>
      </c>
      <c r="M78" s="352">
        <v>0.95</v>
      </c>
      <c r="N78" s="359">
        <v>6</v>
      </c>
      <c r="O78" s="359">
        <f t="shared" si="359"/>
        <v>0</v>
      </c>
      <c r="P78" s="360" t="str">
        <f t="shared" si="360"/>
        <v>0.00</v>
      </c>
      <c r="Q78" s="352">
        <v>65</v>
      </c>
      <c r="R78" s="352">
        <v>0</v>
      </c>
      <c r="S78" s="352">
        <f t="shared" si="361"/>
        <v>0</v>
      </c>
      <c r="T78" s="360" t="s">
        <v>131</v>
      </c>
      <c r="U78" s="352" t="s">
        <v>333</v>
      </c>
      <c r="V78" s="360">
        <v>4</v>
      </c>
      <c r="W78" s="360" t="str">
        <f t="shared" si="362"/>
        <v>3C X 4</v>
      </c>
      <c r="X78" s="360" t="str">
        <f t="shared" si="363"/>
        <v>3C X 4</v>
      </c>
      <c r="Y78" s="360" t="s">
        <v>358</v>
      </c>
      <c r="Z78" s="361">
        <f>IF(T78="AIR",VLOOKUP(W78,'Catalogue Aluminium'!$B$9:$G$93,2,FALSE),IF(T78="GROUND",VLOOKUP(W78,'Catalogue Aluminium'!$B$9:$G$93,3,FALSE),IF(T78="DUCT",VLOOKUP(W78,'Catalogue Aluminium'!$B$9:$G$93,4,FALSE),IF(T78="TRENCH",VLOOKUP(W78,'Catalogue Aluminium'!$B$9:$G$93,2,FALSE)))))</f>
        <v>38</v>
      </c>
      <c r="AA78" s="362">
        <f>VLOOKUP(W78,'Catalogue Aluminium'!$B$9:$G$93,5,FALSE)</f>
        <v>5.9</v>
      </c>
      <c r="AB78" s="362">
        <f>VLOOKUP(W78,'Catalogue Aluminium'!$B$9:$G$93,6,FALSE)</f>
        <v>9.4700000000000006E-2</v>
      </c>
      <c r="AC78" s="564"/>
      <c r="AD78" s="564"/>
      <c r="AE78" s="564">
        <v>10</v>
      </c>
      <c r="AF78" s="564">
        <v>8</v>
      </c>
      <c r="AG78" s="564">
        <f t="shared" si="84"/>
        <v>2</v>
      </c>
      <c r="AH78" s="363">
        <f t="shared" si="364"/>
        <v>20</v>
      </c>
      <c r="AI78" s="361">
        <f>IF(T78="AIR",'Catalogue Aluminium'!$K$9,IF(T78="TRENCH",'Catalogue Aluminium'!$K$12,"NA"))</f>
        <v>0.89</v>
      </c>
      <c r="AJ78" s="359">
        <f>IF(T78="Air",(IF(U78="1C",'Catalogue Aluminium'!$L$9,'Catalogue Aluminium'!$M$9)),IF(T78="DUCT",(IF($U78="1C",'Catalogue Aluminium'!$L$10,'Catalogue Aluminium'!$M$10)),IF(T78="GROUND",(IF($U78="1C",'Catalogue Aluminium'!$L$11,'Catalogue Aluminium'!$M$11)),IF(T78="TRENCH",(IF($U78="1C",'Catalogue Aluminium'!$L$12,'Catalogue Aluminium'!$M$12))))))</f>
        <v>0.66</v>
      </c>
      <c r="AK78" s="361" t="str">
        <f>IF(T78="Air",'Catalogue Aluminium'!$N$9,IF(T78="GROUND",'Catalogue Aluminium'!$N$10,IF(T78="DUCT",'Catalogue Aluminium'!$N$11,IF(T78="TRENCH",'Catalogue Aluminium'!$N$12,"NA"))))</f>
        <v>NA</v>
      </c>
      <c r="AL78" s="361" t="str">
        <f>IF(T78="Air",(IF(U78="1C",'Catalogue Aluminium'!$O$9,'Catalogue Aluminium'!$P$9)),IF(T78="DUCT",(IF($U78="1C",'Catalogue Aluminium'!$O$10,'Catalogue Aluminium'!$P$10)),IF(T78="GROUND",(IF($U78="1C",'Catalogue Aluminium'!$O$11,'Catalogue Aluminium'!$P$11)),IF(T78="TRENCH",(IF($U78="1C",'Catalogue Aluminium'!$O$12,'Catalogue Aluminium'!$P$12))))))</f>
        <v>NA</v>
      </c>
      <c r="AM78" s="361" t="str">
        <f>IF(T78="AIR","NA",IF(T78="TRENCH","NA",IF(T78="DUCT",IF(U78="1C",VLOOKUP(V78,'Catalogue Aluminium'!$Q$9:$S$28,2,FALSE),VLOOKUP(V78,'Catalogue Aluminium'!$Q$9:$S$28,3)),IF(T78="GROUND",IF(U78="1C",VLOOKUP(V78,'Catalogue Aluminium'!$Q$9:$S$28,2,FALSE),VLOOKUP(V78,'Catalogue Aluminium'!$Q$9:$S$28,3))))))</f>
        <v>NA</v>
      </c>
      <c r="AN78" s="365">
        <f t="shared" si="365"/>
        <v>0.58740000000000003</v>
      </c>
      <c r="AO78" s="352">
        <f t="shared" si="366"/>
        <v>22.321200000000001</v>
      </c>
      <c r="AP78" s="353">
        <f t="shared" si="367"/>
        <v>1</v>
      </c>
      <c r="AQ78" s="352" t="str">
        <f t="shared" si="368"/>
        <v>YES</v>
      </c>
      <c r="AR78" s="365">
        <f t="shared" si="369"/>
        <v>0.45770297956699862</v>
      </c>
      <c r="AS78" s="360" t="str">
        <f t="shared" si="370"/>
        <v>YES</v>
      </c>
      <c r="AT78" s="365" t="str">
        <f t="shared" si="371"/>
        <v>NA</v>
      </c>
      <c r="AU78" s="360" t="str">
        <f t="shared" si="372"/>
        <v>NA</v>
      </c>
      <c r="AV78" s="366" t="str">
        <f t="shared" si="373"/>
        <v>1R x 0.6/1kV x 3C x 4 Sqmm</v>
      </c>
      <c r="AW78" s="366" t="str">
        <f t="shared" si="374"/>
        <v>1R x 0.6/1kV x 3C x 4 Sqmm</v>
      </c>
      <c r="AX78" s="360"/>
      <c r="AY78" s="367"/>
      <c r="AZ78" s="367"/>
      <c r="BA78" s="751" t="str">
        <f t="shared" si="375"/>
        <v/>
      </c>
      <c r="BB78" s="368"/>
      <c r="BC78" s="368"/>
      <c r="BE78" s="368"/>
      <c r="BF78" s="368"/>
      <c r="BG78" s="368"/>
      <c r="BH78" s="368"/>
      <c r="BI78" s="368"/>
      <c r="BJ78" s="368"/>
      <c r="BK78" s="368"/>
      <c r="BL78" s="368"/>
      <c r="BM78" s="368"/>
      <c r="BN78" s="368"/>
      <c r="BO78" s="368"/>
      <c r="BP78" s="368"/>
      <c r="BQ78" s="368"/>
      <c r="BR78" s="368"/>
      <c r="BS78" s="368"/>
      <c r="BT78" s="368"/>
      <c r="BU78" s="368"/>
      <c r="BV78" s="368"/>
      <c r="BW78" s="368"/>
      <c r="BX78" s="368"/>
      <c r="BY78" s="368"/>
      <c r="BZ78" s="368"/>
      <c r="CA78" s="368"/>
      <c r="CB78" s="368"/>
      <c r="CC78" s="368"/>
      <c r="CD78" s="368"/>
      <c r="CE78" s="368"/>
      <c r="CF78" s="368"/>
      <c r="CG78" s="368"/>
      <c r="CH78" s="368"/>
      <c r="CI78" s="368"/>
      <c r="CJ78" s="368"/>
      <c r="CK78" s="368"/>
      <c r="CL78" s="368"/>
      <c r="CM78" s="368"/>
      <c r="CN78" s="368"/>
      <c r="CO78" s="368"/>
      <c r="CP78" s="368"/>
      <c r="CQ78" s="368"/>
      <c r="CR78" s="368"/>
      <c r="CS78" s="368"/>
      <c r="CT78" s="368"/>
      <c r="CU78" s="368"/>
      <c r="CV78" s="368"/>
      <c r="CW78" s="368"/>
      <c r="CX78" s="368"/>
      <c r="CY78" s="368"/>
      <c r="CZ78" s="808"/>
      <c r="DA78" s="808"/>
      <c r="DB78" s="808"/>
      <c r="DC78" s="808"/>
      <c r="DD78" s="808"/>
      <c r="DE78" s="808"/>
      <c r="DF78" s="808"/>
      <c r="DG78" s="808"/>
      <c r="DH78" s="808"/>
      <c r="DI78" s="808"/>
      <c r="DJ78" s="808"/>
      <c r="DK78" s="808"/>
      <c r="DL78" s="808"/>
      <c r="DM78" s="808"/>
      <c r="DN78" s="808"/>
      <c r="DO78" s="808"/>
      <c r="DP78" s="808"/>
      <c r="DQ78" s="808"/>
      <c r="DR78" s="808"/>
      <c r="DS78" s="808"/>
      <c r="DT78" s="808"/>
      <c r="DU78" s="808"/>
      <c r="DW78" s="368">
        <f t="shared" si="376"/>
        <v>0</v>
      </c>
      <c r="DX78" s="368">
        <f t="shared" si="311"/>
        <v>0</v>
      </c>
      <c r="DY78" s="368">
        <f t="shared" si="312"/>
        <v>0</v>
      </c>
      <c r="DZ78" s="368">
        <f t="shared" si="313"/>
        <v>0</v>
      </c>
      <c r="EA78" s="368">
        <f t="shared" si="314"/>
        <v>0</v>
      </c>
      <c r="EB78" s="368">
        <f t="shared" si="315"/>
        <v>0</v>
      </c>
      <c r="EC78" s="368">
        <f t="shared" si="316"/>
        <v>0</v>
      </c>
      <c r="ED78" s="368">
        <f t="shared" si="317"/>
        <v>0</v>
      </c>
      <c r="EE78" s="368">
        <f t="shared" si="318"/>
        <v>0</v>
      </c>
      <c r="EF78" s="368">
        <f t="shared" si="319"/>
        <v>0</v>
      </c>
      <c r="EG78" s="368">
        <f t="shared" si="320"/>
        <v>0</v>
      </c>
      <c r="EH78" s="368">
        <f t="shared" si="321"/>
        <v>0</v>
      </c>
      <c r="EI78" s="368">
        <f t="shared" si="322"/>
        <v>0</v>
      </c>
      <c r="EJ78" s="368">
        <f t="shared" si="323"/>
        <v>0</v>
      </c>
      <c r="EK78" s="368">
        <f t="shared" si="324"/>
        <v>0</v>
      </c>
      <c r="EL78" s="368">
        <f t="shared" si="325"/>
        <v>0</v>
      </c>
      <c r="EM78" s="368">
        <f t="shared" si="326"/>
        <v>0</v>
      </c>
      <c r="EN78" s="368">
        <f t="shared" si="327"/>
        <v>0</v>
      </c>
      <c r="EO78" s="368">
        <f t="shared" si="328"/>
        <v>0</v>
      </c>
      <c r="EP78" s="368">
        <f t="shared" si="329"/>
        <v>0</v>
      </c>
      <c r="EQ78" s="368">
        <f t="shared" si="330"/>
        <v>0</v>
      </c>
      <c r="ER78" s="368">
        <f t="shared" si="331"/>
        <v>0</v>
      </c>
      <c r="ES78" s="368">
        <f t="shared" si="332"/>
        <v>0</v>
      </c>
      <c r="ET78" s="368">
        <f t="shared" si="332"/>
        <v>0</v>
      </c>
      <c r="EU78" s="368">
        <f t="shared" si="333"/>
        <v>0</v>
      </c>
      <c r="EV78" s="368">
        <f t="shared" si="334"/>
        <v>0</v>
      </c>
      <c r="EW78" s="368">
        <f t="shared" si="335"/>
        <v>0</v>
      </c>
      <c r="EX78" s="368">
        <f t="shared" si="336"/>
        <v>0</v>
      </c>
      <c r="EY78" s="368">
        <f t="shared" si="337"/>
        <v>0</v>
      </c>
      <c r="EZ78" s="368">
        <f t="shared" si="338"/>
        <v>0</v>
      </c>
      <c r="FA78" s="368">
        <f t="shared" si="339"/>
        <v>0</v>
      </c>
      <c r="FB78" s="368">
        <f t="shared" si="340"/>
        <v>0</v>
      </c>
      <c r="FC78" s="368">
        <f t="shared" si="341"/>
        <v>0</v>
      </c>
      <c r="FD78" s="368">
        <f t="shared" si="342"/>
        <v>0</v>
      </c>
      <c r="FE78" s="368">
        <f t="shared" si="343"/>
        <v>0</v>
      </c>
      <c r="FF78" s="368">
        <f t="shared" si="344"/>
        <v>0</v>
      </c>
      <c r="FG78" s="368">
        <f t="shared" si="345"/>
        <v>0</v>
      </c>
      <c r="FH78" s="368">
        <f t="shared" si="346"/>
        <v>0</v>
      </c>
      <c r="FI78" s="368">
        <f t="shared" si="347"/>
        <v>0</v>
      </c>
      <c r="FJ78" s="368">
        <f t="shared" si="348"/>
        <v>0</v>
      </c>
      <c r="FK78" s="368">
        <f t="shared" si="349"/>
        <v>0</v>
      </c>
      <c r="FL78" s="368">
        <f t="shared" si="350"/>
        <v>0</v>
      </c>
      <c r="FM78" s="368">
        <f t="shared" si="351"/>
        <v>0</v>
      </c>
      <c r="FN78" s="368">
        <f t="shared" si="352"/>
        <v>0</v>
      </c>
      <c r="FO78" s="368">
        <f t="shared" si="353"/>
        <v>0</v>
      </c>
      <c r="FP78" s="368">
        <f t="shared" si="354"/>
        <v>0</v>
      </c>
      <c r="FQ78" s="368">
        <f t="shared" si="355"/>
        <v>0</v>
      </c>
      <c r="FR78" s="368">
        <f t="shared" si="356"/>
        <v>0</v>
      </c>
      <c r="FS78" s="368">
        <f t="shared" si="357"/>
        <v>0</v>
      </c>
      <c r="FT78" s="368">
        <f t="shared" si="358"/>
        <v>0</v>
      </c>
      <c r="FU78" s="368">
        <f t="shared" si="377"/>
        <v>0</v>
      </c>
      <c r="FV78" s="368">
        <f t="shared" si="378"/>
        <v>0</v>
      </c>
      <c r="FW78" s="368">
        <f t="shared" si="379"/>
        <v>0</v>
      </c>
      <c r="FX78" s="368">
        <f t="shared" si="380"/>
        <v>0</v>
      </c>
      <c r="FY78" s="368">
        <f t="shared" si="381"/>
        <v>0</v>
      </c>
      <c r="FZ78" s="368">
        <f t="shared" si="382"/>
        <v>0</v>
      </c>
      <c r="GA78" s="368">
        <f t="shared" si="383"/>
        <v>0</v>
      </c>
      <c r="GB78" s="368">
        <f t="shared" si="384"/>
        <v>0</v>
      </c>
      <c r="GC78" s="368">
        <f t="shared" si="385"/>
        <v>0</v>
      </c>
      <c r="GD78" s="368">
        <f t="shared" si="386"/>
        <v>0</v>
      </c>
      <c r="GE78" s="368">
        <f t="shared" si="387"/>
        <v>0</v>
      </c>
      <c r="GF78" s="368">
        <f t="shared" si="388"/>
        <v>0</v>
      </c>
      <c r="GG78" s="368">
        <f t="shared" si="389"/>
        <v>0</v>
      </c>
      <c r="GH78" s="368">
        <f t="shared" si="390"/>
        <v>0</v>
      </c>
      <c r="GI78" s="368">
        <f t="shared" si="391"/>
        <v>0</v>
      </c>
      <c r="GJ78" s="368">
        <f t="shared" si="392"/>
        <v>0</v>
      </c>
      <c r="GK78" s="368">
        <f t="shared" si="393"/>
        <v>0</v>
      </c>
      <c r="GL78" s="368">
        <f t="shared" si="394"/>
        <v>0</v>
      </c>
      <c r="GM78" s="368">
        <f t="shared" si="395"/>
        <v>0</v>
      </c>
    </row>
    <row r="79" spans="1:195" s="83" customFormat="1" hidden="1">
      <c r="A79" s="357" t="s">
        <v>334</v>
      </c>
      <c r="B79" s="357"/>
      <c r="C79" s="357"/>
      <c r="D79" s="395" t="s">
        <v>1526</v>
      </c>
      <c r="E79" s="493" t="s">
        <v>1513</v>
      </c>
      <c r="F79" s="493"/>
      <c r="G79" s="357" t="s">
        <v>329</v>
      </c>
      <c r="H79" s="352"/>
      <c r="I79" s="357" t="s">
        <v>330</v>
      </c>
      <c r="J79" s="357" t="s">
        <v>357</v>
      </c>
      <c r="K79" s="353">
        <v>230</v>
      </c>
      <c r="L79" s="360">
        <v>0.85</v>
      </c>
      <c r="M79" s="352">
        <v>0.95</v>
      </c>
      <c r="N79" s="359">
        <v>6</v>
      </c>
      <c r="O79" s="359">
        <f t="shared" si="359"/>
        <v>0</v>
      </c>
      <c r="P79" s="360" t="str">
        <f t="shared" si="360"/>
        <v>0.00</v>
      </c>
      <c r="Q79" s="352">
        <v>65</v>
      </c>
      <c r="R79" s="352">
        <v>0</v>
      </c>
      <c r="S79" s="352">
        <f t="shared" si="361"/>
        <v>0</v>
      </c>
      <c r="T79" s="360" t="s">
        <v>131</v>
      </c>
      <c r="U79" s="352" t="s">
        <v>333</v>
      </c>
      <c r="V79" s="360">
        <v>4</v>
      </c>
      <c r="W79" s="360" t="str">
        <f t="shared" si="362"/>
        <v>3C X 4</v>
      </c>
      <c r="X79" s="360" t="str">
        <f t="shared" si="363"/>
        <v>3C X 4</v>
      </c>
      <c r="Y79" s="360" t="s">
        <v>358</v>
      </c>
      <c r="Z79" s="361">
        <f>IF(T79="AIR",VLOOKUP(W79,'Catalogue Aluminium'!$B$9:$G$93,2,FALSE),IF(T79="GROUND",VLOOKUP(W79,'Catalogue Aluminium'!$B$9:$G$93,3,FALSE),IF(T79="DUCT",VLOOKUP(W79,'Catalogue Aluminium'!$B$9:$G$93,4,FALSE),IF(T79="TRENCH",VLOOKUP(W79,'Catalogue Aluminium'!$B$9:$G$93,2,FALSE)))))</f>
        <v>38</v>
      </c>
      <c r="AA79" s="362">
        <f>VLOOKUP(W79,'Catalogue Aluminium'!$B$9:$G$93,5,FALSE)</f>
        <v>5.9</v>
      </c>
      <c r="AB79" s="362">
        <f>VLOOKUP(W79,'Catalogue Aluminium'!$B$9:$G$93,6,FALSE)</f>
        <v>9.4700000000000006E-2</v>
      </c>
      <c r="AC79" s="564"/>
      <c r="AD79" s="564"/>
      <c r="AE79" s="564">
        <v>10</v>
      </c>
      <c r="AF79" s="564">
        <v>8</v>
      </c>
      <c r="AG79" s="564">
        <f t="shared" si="84"/>
        <v>2</v>
      </c>
      <c r="AH79" s="363">
        <f t="shared" si="364"/>
        <v>20</v>
      </c>
      <c r="AI79" s="361">
        <f>IF(T79="AIR",'Catalogue Aluminium'!$K$9,IF(T79="TRENCH",'Catalogue Aluminium'!$K$12,"NA"))</f>
        <v>0.89</v>
      </c>
      <c r="AJ79" s="359">
        <f>IF(T79="Air",(IF(U79="1C",'Catalogue Aluminium'!$L$9,'Catalogue Aluminium'!$M$9)),IF(T79="DUCT",(IF($U79="1C",'Catalogue Aluminium'!$L$10,'Catalogue Aluminium'!$M$10)),IF(T79="GROUND",(IF($U79="1C",'Catalogue Aluminium'!$L$11,'Catalogue Aluminium'!$M$11)),IF(T79="TRENCH",(IF($U79="1C",'Catalogue Aluminium'!$L$12,'Catalogue Aluminium'!$M$12))))))</f>
        <v>0.66</v>
      </c>
      <c r="AK79" s="361" t="str">
        <f>IF(T79="Air",'Catalogue Aluminium'!$N$9,IF(T79="GROUND",'Catalogue Aluminium'!$N$10,IF(T79="DUCT",'Catalogue Aluminium'!$N$11,IF(T79="TRENCH",'Catalogue Aluminium'!$N$12,"NA"))))</f>
        <v>NA</v>
      </c>
      <c r="AL79" s="361" t="str">
        <f>IF(T79="Air",(IF(U79="1C",'Catalogue Aluminium'!$O$9,'Catalogue Aluminium'!$P$9)),IF(T79="DUCT",(IF($U79="1C",'Catalogue Aluminium'!$O$10,'Catalogue Aluminium'!$P$10)),IF(T79="GROUND",(IF($U79="1C",'Catalogue Aluminium'!$O$11,'Catalogue Aluminium'!$P$11)),IF(T79="TRENCH",(IF($U79="1C",'Catalogue Aluminium'!$O$12,'Catalogue Aluminium'!$P$12))))))</f>
        <v>NA</v>
      </c>
      <c r="AM79" s="361" t="str">
        <f>IF(T79="AIR","NA",IF(T79="TRENCH","NA",IF(T79="DUCT",IF(U79="1C",VLOOKUP(V79,'Catalogue Aluminium'!$Q$9:$S$28,2,FALSE),VLOOKUP(V79,'Catalogue Aluminium'!$Q$9:$S$28,3)),IF(T79="GROUND",IF(U79="1C",VLOOKUP(V79,'Catalogue Aluminium'!$Q$9:$S$28,2,FALSE),VLOOKUP(V79,'Catalogue Aluminium'!$Q$9:$S$28,3))))))</f>
        <v>NA</v>
      </c>
      <c r="AN79" s="365">
        <f t="shared" si="365"/>
        <v>0.58740000000000003</v>
      </c>
      <c r="AO79" s="352">
        <f t="shared" si="366"/>
        <v>22.321200000000001</v>
      </c>
      <c r="AP79" s="353">
        <f t="shared" si="367"/>
        <v>1</v>
      </c>
      <c r="AQ79" s="352" t="str">
        <f t="shared" si="368"/>
        <v>YES</v>
      </c>
      <c r="AR79" s="365">
        <f t="shared" si="369"/>
        <v>0.45770297956699862</v>
      </c>
      <c r="AS79" s="360" t="str">
        <f t="shared" si="370"/>
        <v>YES</v>
      </c>
      <c r="AT79" s="365" t="str">
        <f t="shared" si="371"/>
        <v>NA</v>
      </c>
      <c r="AU79" s="360" t="str">
        <f t="shared" si="372"/>
        <v>NA</v>
      </c>
      <c r="AV79" s="366" t="str">
        <f t="shared" si="373"/>
        <v>1R x 0.6/1kV x 3C x 4 Sqmm</v>
      </c>
      <c r="AW79" s="366" t="str">
        <f t="shared" si="374"/>
        <v>1R x 0.6/1kV x 3C x 4 Sqmm</v>
      </c>
      <c r="AX79" s="360"/>
      <c r="AY79" s="367"/>
      <c r="AZ79" s="367"/>
      <c r="BA79" s="751" t="str">
        <f t="shared" si="375"/>
        <v/>
      </c>
      <c r="BB79" s="368"/>
      <c r="BC79" s="368"/>
      <c r="BE79" s="368"/>
      <c r="BF79" s="368"/>
      <c r="BG79" s="368"/>
      <c r="BH79" s="368"/>
      <c r="BI79" s="368"/>
      <c r="BJ79" s="368"/>
      <c r="BK79" s="368"/>
      <c r="BL79" s="368"/>
      <c r="BM79" s="368"/>
      <c r="BN79" s="368"/>
      <c r="BO79" s="368"/>
      <c r="BP79" s="368"/>
      <c r="BQ79" s="368"/>
      <c r="BR79" s="368"/>
      <c r="BS79" s="368"/>
      <c r="BT79" s="368"/>
      <c r="BU79" s="368"/>
      <c r="BV79" s="368"/>
      <c r="BW79" s="368"/>
      <c r="BX79" s="368"/>
      <c r="BY79" s="368"/>
      <c r="BZ79" s="368"/>
      <c r="CA79" s="368"/>
      <c r="CB79" s="368"/>
      <c r="CC79" s="368"/>
      <c r="CD79" s="368"/>
      <c r="CE79" s="368"/>
      <c r="CF79" s="368"/>
      <c r="CG79" s="368"/>
      <c r="CH79" s="368"/>
      <c r="CI79" s="368"/>
      <c r="CJ79" s="368"/>
      <c r="CK79" s="368"/>
      <c r="CL79" s="368"/>
      <c r="CM79" s="368"/>
      <c r="CN79" s="368"/>
      <c r="CO79" s="368"/>
      <c r="CP79" s="368"/>
      <c r="CQ79" s="368"/>
      <c r="CR79" s="368"/>
      <c r="CS79" s="368"/>
      <c r="CT79" s="368"/>
      <c r="CU79" s="368"/>
      <c r="CV79" s="368"/>
      <c r="CW79" s="368"/>
      <c r="CX79" s="368"/>
      <c r="CY79" s="368"/>
      <c r="CZ79" s="368"/>
      <c r="DA79" s="368"/>
      <c r="DB79" s="368"/>
      <c r="DC79" s="368"/>
      <c r="DD79" s="368"/>
      <c r="DE79" s="368"/>
      <c r="DF79" s="368"/>
      <c r="DG79" s="368"/>
      <c r="DH79" s="368"/>
      <c r="DI79" s="368"/>
      <c r="DJ79" s="368"/>
      <c r="DK79" s="368"/>
      <c r="DL79" s="368"/>
      <c r="DM79" s="368"/>
      <c r="DN79" s="368"/>
      <c r="DO79" s="368"/>
      <c r="DP79" s="368"/>
      <c r="DQ79" s="368"/>
      <c r="DR79" s="368"/>
      <c r="DS79" s="368"/>
      <c r="DT79" s="368"/>
      <c r="DU79" s="368"/>
      <c r="DW79" s="368">
        <f t="shared" si="376"/>
        <v>0</v>
      </c>
      <c r="DX79" s="368">
        <f t="shared" si="311"/>
        <v>0</v>
      </c>
      <c r="DY79" s="368">
        <f t="shared" si="312"/>
        <v>0</v>
      </c>
      <c r="DZ79" s="368">
        <f t="shared" si="313"/>
        <v>0</v>
      </c>
      <c r="EA79" s="368">
        <f t="shared" si="314"/>
        <v>0</v>
      </c>
      <c r="EB79" s="368">
        <f t="shared" si="315"/>
        <v>0</v>
      </c>
      <c r="EC79" s="368">
        <f t="shared" si="316"/>
        <v>0</v>
      </c>
      <c r="ED79" s="368">
        <f t="shared" si="317"/>
        <v>0</v>
      </c>
      <c r="EE79" s="368">
        <f t="shared" si="318"/>
        <v>0</v>
      </c>
      <c r="EF79" s="368">
        <f t="shared" si="319"/>
        <v>0</v>
      </c>
      <c r="EG79" s="368">
        <f t="shared" si="320"/>
        <v>0</v>
      </c>
      <c r="EH79" s="368">
        <f t="shared" si="321"/>
        <v>0</v>
      </c>
      <c r="EI79" s="368">
        <f t="shared" si="322"/>
        <v>0</v>
      </c>
      <c r="EJ79" s="368">
        <f t="shared" si="323"/>
        <v>0</v>
      </c>
      <c r="EK79" s="368">
        <f t="shared" si="324"/>
        <v>0</v>
      </c>
      <c r="EL79" s="368">
        <f t="shared" si="325"/>
        <v>0</v>
      </c>
      <c r="EM79" s="368">
        <f t="shared" si="326"/>
        <v>0</v>
      </c>
      <c r="EN79" s="368">
        <f t="shared" si="327"/>
        <v>0</v>
      </c>
      <c r="EO79" s="368">
        <f t="shared" si="328"/>
        <v>0</v>
      </c>
      <c r="EP79" s="368">
        <f t="shared" si="329"/>
        <v>0</v>
      </c>
      <c r="EQ79" s="368">
        <f t="shared" si="330"/>
        <v>0</v>
      </c>
      <c r="ER79" s="368">
        <f t="shared" si="331"/>
        <v>0</v>
      </c>
      <c r="ES79" s="368">
        <f t="shared" si="332"/>
        <v>0</v>
      </c>
      <c r="ET79" s="368">
        <f t="shared" si="332"/>
        <v>0</v>
      </c>
      <c r="EU79" s="368">
        <f t="shared" si="333"/>
        <v>0</v>
      </c>
      <c r="EV79" s="368">
        <f t="shared" si="334"/>
        <v>0</v>
      </c>
      <c r="EW79" s="368">
        <f t="shared" si="335"/>
        <v>0</v>
      </c>
      <c r="EX79" s="368">
        <f t="shared" si="336"/>
        <v>0</v>
      </c>
      <c r="EY79" s="368">
        <f t="shared" si="337"/>
        <v>0</v>
      </c>
      <c r="EZ79" s="368">
        <f t="shared" si="338"/>
        <v>0</v>
      </c>
      <c r="FA79" s="368">
        <f t="shared" si="339"/>
        <v>0</v>
      </c>
      <c r="FB79" s="368">
        <f t="shared" si="340"/>
        <v>0</v>
      </c>
      <c r="FC79" s="368">
        <f t="shared" si="341"/>
        <v>0</v>
      </c>
      <c r="FD79" s="368">
        <f t="shared" si="342"/>
        <v>0</v>
      </c>
      <c r="FE79" s="368">
        <f t="shared" si="343"/>
        <v>0</v>
      </c>
      <c r="FF79" s="368">
        <f t="shared" si="344"/>
        <v>0</v>
      </c>
      <c r="FG79" s="368">
        <f t="shared" si="345"/>
        <v>0</v>
      </c>
      <c r="FH79" s="368">
        <f t="shared" si="346"/>
        <v>0</v>
      </c>
      <c r="FI79" s="368">
        <f t="shared" si="347"/>
        <v>0</v>
      </c>
      <c r="FJ79" s="368">
        <f t="shared" si="348"/>
        <v>0</v>
      </c>
      <c r="FK79" s="368">
        <f t="shared" si="349"/>
        <v>0</v>
      </c>
      <c r="FL79" s="368">
        <f t="shared" si="350"/>
        <v>0</v>
      </c>
      <c r="FM79" s="368">
        <f t="shared" si="351"/>
        <v>0</v>
      </c>
      <c r="FN79" s="368">
        <f t="shared" si="352"/>
        <v>0</v>
      </c>
      <c r="FO79" s="368">
        <f t="shared" si="353"/>
        <v>0</v>
      </c>
      <c r="FP79" s="368">
        <f t="shared" si="354"/>
        <v>0</v>
      </c>
      <c r="FQ79" s="368">
        <f t="shared" si="355"/>
        <v>0</v>
      </c>
      <c r="FR79" s="368">
        <f t="shared" si="356"/>
        <v>0</v>
      </c>
      <c r="FS79" s="368">
        <f t="shared" si="357"/>
        <v>0</v>
      </c>
      <c r="FT79" s="368">
        <f t="shared" si="358"/>
        <v>0</v>
      </c>
      <c r="FU79" s="368">
        <f t="shared" si="377"/>
        <v>0</v>
      </c>
      <c r="FV79" s="368">
        <f t="shared" si="378"/>
        <v>0</v>
      </c>
      <c r="FW79" s="368">
        <f t="shared" si="379"/>
        <v>0</v>
      </c>
      <c r="FX79" s="368">
        <f t="shared" si="380"/>
        <v>0</v>
      </c>
      <c r="FY79" s="368">
        <f t="shared" si="381"/>
        <v>0</v>
      </c>
      <c r="FZ79" s="368">
        <f t="shared" si="382"/>
        <v>0</v>
      </c>
      <c r="GA79" s="368">
        <f t="shared" si="383"/>
        <v>0</v>
      </c>
      <c r="GB79" s="368">
        <f t="shared" si="384"/>
        <v>0</v>
      </c>
      <c r="GC79" s="368">
        <f t="shared" si="385"/>
        <v>0</v>
      </c>
      <c r="GD79" s="368">
        <f t="shared" si="386"/>
        <v>0</v>
      </c>
      <c r="GE79" s="368">
        <f t="shared" si="387"/>
        <v>0</v>
      </c>
      <c r="GF79" s="368">
        <f t="shared" si="388"/>
        <v>0</v>
      </c>
      <c r="GG79" s="368">
        <f t="shared" si="389"/>
        <v>0</v>
      </c>
      <c r="GH79" s="368">
        <f t="shared" si="390"/>
        <v>0</v>
      </c>
      <c r="GI79" s="368">
        <f t="shared" si="391"/>
        <v>0</v>
      </c>
      <c r="GJ79" s="368">
        <f t="shared" si="392"/>
        <v>0</v>
      </c>
      <c r="GK79" s="368">
        <f t="shared" si="393"/>
        <v>0</v>
      </c>
      <c r="GL79" s="368">
        <f t="shared" si="394"/>
        <v>0</v>
      </c>
      <c r="GM79" s="368">
        <f t="shared" si="395"/>
        <v>0</v>
      </c>
    </row>
    <row r="80" spans="1:195" s="83" customFormat="1" hidden="1">
      <c r="A80" s="357" t="s">
        <v>334</v>
      </c>
      <c r="B80" s="357"/>
      <c r="C80" s="357"/>
      <c r="D80" s="395" t="s">
        <v>1527</v>
      </c>
      <c r="E80" s="493" t="s">
        <v>1513</v>
      </c>
      <c r="F80" s="493"/>
      <c r="G80" s="357" t="s">
        <v>329</v>
      </c>
      <c r="H80" s="352"/>
      <c r="I80" s="357" t="s">
        <v>330</v>
      </c>
      <c r="J80" s="357" t="s">
        <v>357</v>
      </c>
      <c r="K80" s="353">
        <v>230</v>
      </c>
      <c r="L80" s="360">
        <v>0.85</v>
      </c>
      <c r="M80" s="352">
        <v>0.95</v>
      </c>
      <c r="N80" s="359">
        <v>6</v>
      </c>
      <c r="O80" s="359">
        <f t="shared" si="359"/>
        <v>0</v>
      </c>
      <c r="P80" s="360" t="str">
        <f t="shared" si="360"/>
        <v>0.00</v>
      </c>
      <c r="Q80" s="352">
        <v>65</v>
      </c>
      <c r="R80" s="352">
        <v>0</v>
      </c>
      <c r="S80" s="352">
        <f t="shared" si="361"/>
        <v>0</v>
      </c>
      <c r="T80" s="360" t="s">
        <v>131</v>
      </c>
      <c r="U80" s="352" t="s">
        <v>333</v>
      </c>
      <c r="V80" s="360">
        <v>4</v>
      </c>
      <c r="W80" s="360" t="str">
        <f t="shared" si="362"/>
        <v>3C X 4</v>
      </c>
      <c r="X80" s="360" t="str">
        <f t="shared" si="363"/>
        <v>3C X 4</v>
      </c>
      <c r="Y80" s="360" t="s">
        <v>358</v>
      </c>
      <c r="Z80" s="361">
        <f>IF(T80="AIR",VLOOKUP(W80,'Catalogue Aluminium'!$B$9:$G$93,2,FALSE),IF(T80="GROUND",VLOOKUP(W80,'Catalogue Aluminium'!$B$9:$G$93,3,FALSE),IF(T80="DUCT",VLOOKUP(W80,'Catalogue Aluminium'!$B$9:$G$93,4,FALSE),IF(T80="TRENCH",VLOOKUP(W80,'Catalogue Aluminium'!$B$9:$G$93,2,FALSE)))))</f>
        <v>38</v>
      </c>
      <c r="AA80" s="362">
        <f>VLOOKUP(W80,'Catalogue Aluminium'!$B$9:$G$93,5,FALSE)</f>
        <v>5.9</v>
      </c>
      <c r="AB80" s="362">
        <f>VLOOKUP(W80,'Catalogue Aluminium'!$B$9:$G$93,6,FALSE)</f>
        <v>9.4700000000000006E-2</v>
      </c>
      <c r="AC80" s="564"/>
      <c r="AD80" s="564"/>
      <c r="AE80" s="564">
        <v>10</v>
      </c>
      <c r="AF80" s="564">
        <v>8</v>
      </c>
      <c r="AG80" s="564">
        <f t="shared" si="84"/>
        <v>2</v>
      </c>
      <c r="AH80" s="363">
        <f t="shared" si="364"/>
        <v>20</v>
      </c>
      <c r="AI80" s="361">
        <f>IF(T80="AIR",'Catalogue Aluminium'!$K$9,IF(T80="TRENCH",'Catalogue Aluminium'!$K$12,"NA"))</f>
        <v>0.89</v>
      </c>
      <c r="AJ80" s="359">
        <f>IF(T80="Air",(IF(U80="1C",'Catalogue Aluminium'!$L$9,'Catalogue Aluminium'!$M$9)),IF(T80="DUCT",(IF($U80="1C",'Catalogue Aluminium'!$L$10,'Catalogue Aluminium'!$M$10)),IF(T80="GROUND",(IF($U80="1C",'Catalogue Aluminium'!$L$11,'Catalogue Aluminium'!$M$11)),IF(T80="TRENCH",(IF($U80="1C",'Catalogue Aluminium'!$L$12,'Catalogue Aluminium'!$M$12))))))</f>
        <v>0.66</v>
      </c>
      <c r="AK80" s="361" t="str">
        <f>IF(T80="Air",'Catalogue Aluminium'!$N$9,IF(T80="GROUND",'Catalogue Aluminium'!$N$10,IF(T80="DUCT",'Catalogue Aluminium'!$N$11,IF(T80="TRENCH",'Catalogue Aluminium'!$N$12,"NA"))))</f>
        <v>NA</v>
      </c>
      <c r="AL80" s="361" t="str">
        <f>IF(T80="Air",(IF(U80="1C",'Catalogue Aluminium'!$O$9,'Catalogue Aluminium'!$P$9)),IF(T80="DUCT",(IF($U80="1C",'Catalogue Aluminium'!$O$10,'Catalogue Aluminium'!$P$10)),IF(T80="GROUND",(IF($U80="1C",'Catalogue Aluminium'!$O$11,'Catalogue Aluminium'!$P$11)),IF(T80="TRENCH",(IF($U80="1C",'Catalogue Aluminium'!$O$12,'Catalogue Aluminium'!$P$12))))))</f>
        <v>NA</v>
      </c>
      <c r="AM80" s="361" t="str">
        <f>IF(T80="AIR","NA",IF(T80="TRENCH","NA",IF(T80="DUCT",IF(U80="1C",VLOOKUP(V80,'Catalogue Aluminium'!$Q$9:$S$28,2,FALSE),VLOOKUP(V80,'Catalogue Aluminium'!$Q$9:$S$28,3)),IF(T80="GROUND",IF(U80="1C",VLOOKUP(V80,'Catalogue Aluminium'!$Q$9:$S$28,2,FALSE),VLOOKUP(V80,'Catalogue Aluminium'!$Q$9:$S$28,3))))))</f>
        <v>NA</v>
      </c>
      <c r="AN80" s="365">
        <f t="shared" si="365"/>
        <v>0.58740000000000003</v>
      </c>
      <c r="AO80" s="352">
        <f t="shared" si="366"/>
        <v>22.321200000000001</v>
      </c>
      <c r="AP80" s="353">
        <f t="shared" si="367"/>
        <v>1</v>
      </c>
      <c r="AQ80" s="352" t="str">
        <f t="shared" si="368"/>
        <v>YES</v>
      </c>
      <c r="AR80" s="365">
        <f t="shared" si="369"/>
        <v>0.45770297956699862</v>
      </c>
      <c r="AS80" s="360" t="str">
        <f t="shared" si="370"/>
        <v>YES</v>
      </c>
      <c r="AT80" s="365" t="str">
        <f t="shared" si="371"/>
        <v>NA</v>
      </c>
      <c r="AU80" s="360" t="str">
        <f t="shared" si="372"/>
        <v>NA</v>
      </c>
      <c r="AV80" s="366" t="str">
        <f t="shared" si="373"/>
        <v>1R x 0.6/1kV x 3C x 4 Sqmm</v>
      </c>
      <c r="AW80" s="366" t="str">
        <f t="shared" si="374"/>
        <v>1R x 0.6/1kV x 3C x 4 Sqmm</v>
      </c>
      <c r="AX80" s="360"/>
      <c r="AY80" s="367"/>
      <c r="AZ80" s="367"/>
      <c r="BA80" s="751" t="str">
        <f t="shared" si="375"/>
        <v/>
      </c>
      <c r="BB80" s="368"/>
      <c r="BC80" s="368"/>
      <c r="BE80" s="368"/>
      <c r="BF80" s="368"/>
      <c r="BG80" s="368"/>
      <c r="BH80" s="368"/>
      <c r="BI80" s="368"/>
      <c r="BJ80" s="368"/>
      <c r="BK80" s="368"/>
      <c r="BL80" s="368"/>
      <c r="BM80" s="368"/>
      <c r="BN80" s="368"/>
      <c r="BO80" s="368"/>
      <c r="BP80" s="368"/>
      <c r="BQ80" s="368"/>
      <c r="BR80" s="368"/>
      <c r="BS80" s="368"/>
      <c r="BT80" s="368"/>
      <c r="BU80" s="368"/>
      <c r="BV80" s="368"/>
      <c r="BW80" s="368"/>
      <c r="BX80" s="368"/>
      <c r="BY80" s="368"/>
      <c r="BZ80" s="368"/>
      <c r="CA80" s="368"/>
      <c r="CB80" s="368"/>
      <c r="CC80" s="368"/>
      <c r="CD80" s="368"/>
      <c r="CE80" s="368"/>
      <c r="CF80" s="368"/>
      <c r="CG80" s="368"/>
      <c r="CH80" s="368"/>
      <c r="CI80" s="368"/>
      <c r="CJ80" s="368"/>
      <c r="CK80" s="368"/>
      <c r="CL80" s="368"/>
      <c r="CM80" s="368"/>
      <c r="CN80" s="368"/>
      <c r="CO80" s="368"/>
      <c r="CP80" s="368"/>
      <c r="CQ80" s="368"/>
      <c r="CR80" s="368"/>
      <c r="CS80" s="368"/>
      <c r="CT80" s="368"/>
      <c r="CU80" s="368"/>
      <c r="CV80" s="368"/>
      <c r="CW80" s="368"/>
      <c r="CX80" s="368"/>
      <c r="CY80" s="368"/>
      <c r="CZ80" s="368"/>
      <c r="DA80" s="368"/>
      <c r="DB80" s="368"/>
      <c r="DC80" s="368"/>
      <c r="DD80" s="368"/>
      <c r="DE80" s="368"/>
      <c r="DF80" s="368"/>
      <c r="DG80" s="368"/>
      <c r="DH80" s="368"/>
      <c r="DI80" s="368"/>
      <c r="DJ80" s="368"/>
      <c r="DK80" s="368"/>
      <c r="DL80" s="368"/>
      <c r="DM80" s="368"/>
      <c r="DN80" s="368"/>
      <c r="DO80" s="368"/>
      <c r="DP80" s="368"/>
      <c r="DQ80" s="368"/>
      <c r="DR80" s="368"/>
      <c r="DS80" s="368"/>
      <c r="DT80" s="368"/>
      <c r="DU80" s="368"/>
      <c r="DW80" s="368">
        <f t="shared" si="376"/>
        <v>0</v>
      </c>
      <c r="DX80" s="368">
        <f t="shared" si="311"/>
        <v>0</v>
      </c>
      <c r="DY80" s="368">
        <f t="shared" si="312"/>
        <v>0</v>
      </c>
      <c r="DZ80" s="368">
        <f t="shared" si="313"/>
        <v>0</v>
      </c>
      <c r="EA80" s="368">
        <f t="shared" si="314"/>
        <v>0</v>
      </c>
      <c r="EB80" s="368">
        <f t="shared" si="315"/>
        <v>0</v>
      </c>
      <c r="EC80" s="368">
        <f t="shared" si="316"/>
        <v>0</v>
      </c>
      <c r="ED80" s="368">
        <f t="shared" si="317"/>
        <v>0</v>
      </c>
      <c r="EE80" s="368">
        <f t="shared" si="318"/>
        <v>0</v>
      </c>
      <c r="EF80" s="368">
        <f t="shared" si="319"/>
        <v>0</v>
      </c>
      <c r="EG80" s="368">
        <f t="shared" si="320"/>
        <v>0</v>
      </c>
      <c r="EH80" s="368">
        <f t="shared" si="321"/>
        <v>0</v>
      </c>
      <c r="EI80" s="368">
        <f t="shared" si="322"/>
        <v>0</v>
      </c>
      <c r="EJ80" s="368">
        <f t="shared" si="323"/>
        <v>0</v>
      </c>
      <c r="EK80" s="368">
        <f t="shared" si="324"/>
        <v>0</v>
      </c>
      <c r="EL80" s="368">
        <f t="shared" si="325"/>
        <v>0</v>
      </c>
      <c r="EM80" s="368">
        <f t="shared" si="326"/>
        <v>0</v>
      </c>
      <c r="EN80" s="368">
        <f t="shared" si="327"/>
        <v>0</v>
      </c>
      <c r="EO80" s="368">
        <f t="shared" si="328"/>
        <v>0</v>
      </c>
      <c r="EP80" s="368">
        <f t="shared" si="329"/>
        <v>0</v>
      </c>
      <c r="EQ80" s="368">
        <f t="shared" si="330"/>
        <v>0</v>
      </c>
      <c r="ER80" s="368">
        <f t="shared" si="331"/>
        <v>0</v>
      </c>
      <c r="ES80" s="368">
        <f t="shared" si="332"/>
        <v>0</v>
      </c>
      <c r="ET80" s="368">
        <f t="shared" si="332"/>
        <v>0</v>
      </c>
      <c r="EU80" s="368">
        <f t="shared" si="333"/>
        <v>0</v>
      </c>
      <c r="EV80" s="368">
        <f t="shared" si="334"/>
        <v>0</v>
      </c>
      <c r="EW80" s="368">
        <f t="shared" si="335"/>
        <v>0</v>
      </c>
      <c r="EX80" s="368">
        <f t="shared" si="336"/>
        <v>0</v>
      </c>
      <c r="EY80" s="368">
        <f t="shared" si="337"/>
        <v>0</v>
      </c>
      <c r="EZ80" s="368">
        <f t="shared" si="338"/>
        <v>0</v>
      </c>
      <c r="FA80" s="368">
        <f t="shared" si="339"/>
        <v>0</v>
      </c>
      <c r="FB80" s="368">
        <f t="shared" si="340"/>
        <v>0</v>
      </c>
      <c r="FC80" s="368">
        <f t="shared" si="341"/>
        <v>0</v>
      </c>
      <c r="FD80" s="368">
        <f t="shared" si="342"/>
        <v>0</v>
      </c>
      <c r="FE80" s="368">
        <f t="shared" si="343"/>
        <v>0</v>
      </c>
      <c r="FF80" s="368">
        <f t="shared" si="344"/>
        <v>0</v>
      </c>
      <c r="FG80" s="368">
        <f t="shared" si="345"/>
        <v>0</v>
      </c>
      <c r="FH80" s="368">
        <f t="shared" si="346"/>
        <v>0</v>
      </c>
      <c r="FI80" s="368">
        <f t="shared" si="347"/>
        <v>0</v>
      </c>
      <c r="FJ80" s="368">
        <f t="shared" si="348"/>
        <v>0</v>
      </c>
      <c r="FK80" s="368">
        <f t="shared" si="349"/>
        <v>0</v>
      </c>
      <c r="FL80" s="368">
        <f t="shared" si="350"/>
        <v>0</v>
      </c>
      <c r="FM80" s="368">
        <f t="shared" si="351"/>
        <v>0</v>
      </c>
      <c r="FN80" s="368">
        <f t="shared" si="352"/>
        <v>0</v>
      </c>
      <c r="FO80" s="368">
        <f t="shared" si="353"/>
        <v>0</v>
      </c>
      <c r="FP80" s="368">
        <f t="shared" si="354"/>
        <v>0</v>
      </c>
      <c r="FQ80" s="368">
        <f t="shared" si="355"/>
        <v>0</v>
      </c>
      <c r="FR80" s="368">
        <f t="shared" si="356"/>
        <v>0</v>
      </c>
      <c r="FS80" s="368">
        <f t="shared" si="357"/>
        <v>0</v>
      </c>
      <c r="FT80" s="368">
        <f t="shared" si="358"/>
        <v>0</v>
      </c>
      <c r="FU80" s="368">
        <f t="shared" si="377"/>
        <v>0</v>
      </c>
      <c r="FV80" s="368">
        <f t="shared" si="378"/>
        <v>0</v>
      </c>
      <c r="FW80" s="368">
        <f t="shared" si="379"/>
        <v>0</v>
      </c>
      <c r="FX80" s="368">
        <f t="shared" si="380"/>
        <v>0</v>
      </c>
      <c r="FY80" s="368">
        <f t="shared" si="381"/>
        <v>0</v>
      </c>
      <c r="FZ80" s="368">
        <f t="shared" si="382"/>
        <v>0</v>
      </c>
      <c r="GA80" s="368">
        <f t="shared" si="383"/>
        <v>0</v>
      </c>
      <c r="GB80" s="368">
        <f t="shared" si="384"/>
        <v>0</v>
      </c>
      <c r="GC80" s="368">
        <f t="shared" si="385"/>
        <v>0</v>
      </c>
      <c r="GD80" s="368">
        <f t="shared" si="386"/>
        <v>0</v>
      </c>
      <c r="GE80" s="368">
        <f t="shared" si="387"/>
        <v>0</v>
      </c>
      <c r="GF80" s="368">
        <f t="shared" si="388"/>
        <v>0</v>
      </c>
      <c r="GG80" s="368">
        <f t="shared" si="389"/>
        <v>0</v>
      </c>
      <c r="GH80" s="368">
        <f t="shared" si="390"/>
        <v>0</v>
      </c>
      <c r="GI80" s="368">
        <f t="shared" si="391"/>
        <v>0</v>
      </c>
      <c r="GJ80" s="368">
        <f t="shared" si="392"/>
        <v>0</v>
      </c>
      <c r="GK80" s="368">
        <f t="shared" si="393"/>
        <v>0</v>
      </c>
      <c r="GL80" s="368">
        <f t="shared" si="394"/>
        <v>0</v>
      </c>
      <c r="GM80" s="368">
        <f t="shared" si="395"/>
        <v>0</v>
      </c>
    </row>
    <row r="81" spans="1:195" s="83" customFormat="1" hidden="1">
      <c r="A81" s="357" t="s">
        <v>334</v>
      </c>
      <c r="B81" s="357"/>
      <c r="C81" s="357"/>
      <c r="D81" s="395" t="s">
        <v>1528</v>
      </c>
      <c r="E81" s="493" t="s">
        <v>1513</v>
      </c>
      <c r="F81" s="493"/>
      <c r="G81" s="357" t="s">
        <v>329</v>
      </c>
      <c r="H81" s="352"/>
      <c r="I81" s="357" t="s">
        <v>330</v>
      </c>
      <c r="J81" s="357" t="s">
        <v>357</v>
      </c>
      <c r="K81" s="353">
        <v>230</v>
      </c>
      <c r="L81" s="360">
        <v>0.85</v>
      </c>
      <c r="M81" s="352">
        <v>0.95</v>
      </c>
      <c r="N81" s="359">
        <v>6</v>
      </c>
      <c r="O81" s="359">
        <f t="shared" si="359"/>
        <v>0</v>
      </c>
      <c r="P81" s="360" t="str">
        <f t="shared" si="360"/>
        <v>0.00</v>
      </c>
      <c r="Q81" s="352">
        <v>65</v>
      </c>
      <c r="R81" s="352">
        <v>0</v>
      </c>
      <c r="S81" s="352">
        <f t="shared" si="361"/>
        <v>0</v>
      </c>
      <c r="T81" s="360" t="s">
        <v>131</v>
      </c>
      <c r="U81" s="352" t="s">
        <v>333</v>
      </c>
      <c r="V81" s="360">
        <v>4</v>
      </c>
      <c r="W81" s="360" t="str">
        <f t="shared" si="362"/>
        <v>3C X 4</v>
      </c>
      <c r="X81" s="360" t="str">
        <f t="shared" si="363"/>
        <v>3C X 4</v>
      </c>
      <c r="Y81" s="360" t="s">
        <v>358</v>
      </c>
      <c r="Z81" s="361">
        <f>IF(T81="AIR",VLOOKUP(W81,'Catalogue Aluminium'!$B$9:$G$93,2,FALSE),IF(T81="GROUND",VLOOKUP(W81,'Catalogue Aluminium'!$B$9:$G$93,3,FALSE),IF(T81="DUCT",VLOOKUP(W81,'Catalogue Aluminium'!$B$9:$G$93,4,FALSE),IF(T81="TRENCH",VLOOKUP(W81,'Catalogue Aluminium'!$B$9:$G$93,2,FALSE)))))</f>
        <v>38</v>
      </c>
      <c r="AA81" s="362">
        <f>VLOOKUP(W81,'Catalogue Aluminium'!$B$9:$G$93,5,FALSE)</f>
        <v>5.9</v>
      </c>
      <c r="AB81" s="362">
        <f>VLOOKUP(W81,'Catalogue Aluminium'!$B$9:$G$93,6,FALSE)</f>
        <v>9.4700000000000006E-2</v>
      </c>
      <c r="AC81" s="564"/>
      <c r="AD81" s="564"/>
      <c r="AE81" s="564">
        <v>10</v>
      </c>
      <c r="AF81" s="564">
        <v>8</v>
      </c>
      <c r="AG81" s="564">
        <f t="shared" ref="AG81:AG95" si="396">ROUNDUP((SUM(AC81:AF81)*0.1),0)</f>
        <v>2</v>
      </c>
      <c r="AH81" s="363">
        <f t="shared" si="364"/>
        <v>20</v>
      </c>
      <c r="AI81" s="361">
        <f>IF(T81="AIR",'Catalogue Aluminium'!$K$9,IF(T81="TRENCH",'Catalogue Aluminium'!$K$12,"NA"))</f>
        <v>0.89</v>
      </c>
      <c r="AJ81" s="359">
        <f>IF(T81="Air",(IF(U81="1C",'Catalogue Aluminium'!$L$9,'Catalogue Aluminium'!$M$9)),IF(T81="DUCT",(IF($U81="1C",'Catalogue Aluminium'!$L$10,'Catalogue Aluminium'!$M$10)),IF(T81="GROUND",(IF($U81="1C",'Catalogue Aluminium'!$L$11,'Catalogue Aluminium'!$M$11)),IF(T81="TRENCH",(IF($U81="1C",'Catalogue Aluminium'!$L$12,'Catalogue Aluminium'!$M$12))))))</f>
        <v>0.66</v>
      </c>
      <c r="AK81" s="361" t="str">
        <f>IF(T81="Air",'Catalogue Aluminium'!$N$9,IF(T81="GROUND",'Catalogue Aluminium'!$N$10,IF(T81="DUCT",'Catalogue Aluminium'!$N$11,IF(T81="TRENCH",'Catalogue Aluminium'!$N$12,"NA"))))</f>
        <v>NA</v>
      </c>
      <c r="AL81" s="361" t="str">
        <f>IF(T81="Air",(IF(U81="1C",'Catalogue Aluminium'!$O$9,'Catalogue Aluminium'!$P$9)),IF(T81="DUCT",(IF($U81="1C",'Catalogue Aluminium'!$O$10,'Catalogue Aluminium'!$P$10)),IF(T81="GROUND",(IF($U81="1C",'Catalogue Aluminium'!$O$11,'Catalogue Aluminium'!$P$11)),IF(T81="TRENCH",(IF($U81="1C",'Catalogue Aluminium'!$O$12,'Catalogue Aluminium'!$P$12))))))</f>
        <v>NA</v>
      </c>
      <c r="AM81" s="361" t="str">
        <f>IF(T81="AIR","NA",IF(T81="TRENCH","NA",IF(T81="DUCT",IF(U81="1C",VLOOKUP(V81,'Catalogue Aluminium'!$Q$9:$S$28,2,FALSE),VLOOKUP(V81,'Catalogue Aluminium'!$Q$9:$S$28,3)),IF(T81="GROUND",IF(U81="1C",VLOOKUP(V81,'Catalogue Aluminium'!$Q$9:$S$28,2,FALSE),VLOOKUP(V81,'Catalogue Aluminium'!$Q$9:$S$28,3))))))</f>
        <v>NA</v>
      </c>
      <c r="AN81" s="365">
        <f t="shared" si="365"/>
        <v>0.58740000000000003</v>
      </c>
      <c r="AO81" s="352">
        <f t="shared" si="366"/>
        <v>22.321200000000001</v>
      </c>
      <c r="AP81" s="353">
        <f t="shared" si="367"/>
        <v>1</v>
      </c>
      <c r="AQ81" s="352" t="str">
        <f t="shared" si="368"/>
        <v>YES</v>
      </c>
      <c r="AR81" s="365">
        <f t="shared" si="369"/>
        <v>0.45770297956699862</v>
      </c>
      <c r="AS81" s="360" t="str">
        <f t="shared" si="370"/>
        <v>YES</v>
      </c>
      <c r="AT81" s="365" t="str">
        <f t="shared" si="371"/>
        <v>NA</v>
      </c>
      <c r="AU81" s="360" t="str">
        <f t="shared" si="372"/>
        <v>NA</v>
      </c>
      <c r="AV81" s="366" t="str">
        <f t="shared" si="373"/>
        <v>1R x 0.6/1kV x 3C x 4 Sqmm</v>
      </c>
      <c r="AW81" s="366" t="str">
        <f t="shared" si="374"/>
        <v>1R x 0.6/1kV x 3C x 4 Sqmm</v>
      </c>
      <c r="AX81" s="360"/>
      <c r="AY81" s="367"/>
      <c r="AZ81" s="367"/>
      <c r="BA81" s="751" t="str">
        <f t="shared" si="375"/>
        <v/>
      </c>
      <c r="BB81" s="368"/>
      <c r="BC81" s="368"/>
      <c r="BE81" s="368"/>
      <c r="BF81" s="368"/>
      <c r="BG81" s="368"/>
      <c r="BH81" s="368"/>
      <c r="BI81" s="368"/>
      <c r="BJ81" s="368"/>
      <c r="BK81" s="368"/>
      <c r="BL81" s="368"/>
      <c r="BM81" s="368"/>
      <c r="BN81" s="368"/>
      <c r="BO81" s="368"/>
      <c r="BP81" s="368"/>
      <c r="BQ81" s="368"/>
      <c r="BR81" s="368"/>
      <c r="BS81" s="368"/>
      <c r="BT81" s="368"/>
      <c r="BU81" s="368"/>
      <c r="BV81" s="368"/>
      <c r="BW81" s="368"/>
      <c r="BX81" s="368"/>
      <c r="BY81" s="368"/>
      <c r="BZ81" s="368"/>
      <c r="CA81" s="368"/>
      <c r="CB81" s="368"/>
      <c r="CC81" s="368"/>
      <c r="CD81" s="368"/>
      <c r="CE81" s="368"/>
      <c r="CF81" s="368"/>
      <c r="CG81" s="368"/>
      <c r="CH81" s="368"/>
      <c r="CI81" s="368"/>
      <c r="CJ81" s="368"/>
      <c r="CK81" s="368"/>
      <c r="CL81" s="368"/>
      <c r="CM81" s="368"/>
      <c r="CN81" s="368"/>
      <c r="CO81" s="368"/>
      <c r="CP81" s="368"/>
      <c r="CQ81" s="368"/>
      <c r="CR81" s="368"/>
      <c r="CS81" s="368"/>
      <c r="CT81" s="368"/>
      <c r="CU81" s="368"/>
      <c r="CV81" s="368"/>
      <c r="CW81" s="368"/>
      <c r="CX81" s="368"/>
      <c r="CY81" s="368"/>
      <c r="CZ81" s="368"/>
      <c r="DA81" s="368"/>
      <c r="DB81" s="368"/>
      <c r="DC81" s="368"/>
      <c r="DD81" s="368"/>
      <c r="DE81" s="368"/>
      <c r="DF81" s="368"/>
      <c r="DG81" s="368"/>
      <c r="DH81" s="368"/>
      <c r="DI81" s="368"/>
      <c r="DJ81" s="368"/>
      <c r="DK81" s="368"/>
      <c r="DL81" s="368"/>
      <c r="DM81" s="368"/>
      <c r="DN81" s="368"/>
      <c r="DO81" s="368"/>
      <c r="DP81" s="368"/>
      <c r="DQ81" s="368"/>
      <c r="DR81" s="368"/>
      <c r="DS81" s="368"/>
      <c r="DT81" s="368"/>
      <c r="DU81" s="368"/>
      <c r="DW81" s="368">
        <f t="shared" si="376"/>
        <v>0</v>
      </c>
      <c r="DX81" s="368">
        <f t="shared" si="311"/>
        <v>0</v>
      </c>
      <c r="DY81" s="368">
        <f t="shared" si="312"/>
        <v>0</v>
      </c>
      <c r="DZ81" s="368">
        <f t="shared" si="313"/>
        <v>0</v>
      </c>
      <c r="EA81" s="368">
        <f t="shared" si="314"/>
        <v>0</v>
      </c>
      <c r="EB81" s="368">
        <f t="shared" si="315"/>
        <v>0</v>
      </c>
      <c r="EC81" s="368">
        <f t="shared" si="316"/>
        <v>0</v>
      </c>
      <c r="ED81" s="368">
        <f t="shared" si="317"/>
        <v>0</v>
      </c>
      <c r="EE81" s="368">
        <f t="shared" si="318"/>
        <v>0</v>
      </c>
      <c r="EF81" s="368">
        <f t="shared" si="319"/>
        <v>0</v>
      </c>
      <c r="EG81" s="368">
        <f t="shared" si="320"/>
        <v>0</v>
      </c>
      <c r="EH81" s="368">
        <f t="shared" si="321"/>
        <v>0</v>
      </c>
      <c r="EI81" s="368">
        <f t="shared" si="322"/>
        <v>0</v>
      </c>
      <c r="EJ81" s="368">
        <f t="shared" si="323"/>
        <v>0</v>
      </c>
      <c r="EK81" s="368">
        <f t="shared" si="324"/>
        <v>0</v>
      </c>
      <c r="EL81" s="368">
        <f t="shared" si="325"/>
        <v>0</v>
      </c>
      <c r="EM81" s="368">
        <f t="shared" si="326"/>
        <v>0</v>
      </c>
      <c r="EN81" s="368">
        <f t="shared" si="327"/>
        <v>0</v>
      </c>
      <c r="EO81" s="368">
        <f t="shared" si="328"/>
        <v>0</v>
      </c>
      <c r="EP81" s="368">
        <f t="shared" si="329"/>
        <v>0</v>
      </c>
      <c r="EQ81" s="368">
        <f t="shared" si="330"/>
        <v>0</v>
      </c>
      <c r="ER81" s="368">
        <f t="shared" si="331"/>
        <v>0</v>
      </c>
      <c r="ES81" s="368">
        <f t="shared" si="332"/>
        <v>0</v>
      </c>
      <c r="ET81" s="368">
        <f t="shared" si="332"/>
        <v>0</v>
      </c>
      <c r="EU81" s="368">
        <f t="shared" si="333"/>
        <v>0</v>
      </c>
      <c r="EV81" s="368">
        <f t="shared" si="334"/>
        <v>0</v>
      </c>
      <c r="EW81" s="368">
        <f t="shared" si="335"/>
        <v>0</v>
      </c>
      <c r="EX81" s="368">
        <f t="shared" si="336"/>
        <v>0</v>
      </c>
      <c r="EY81" s="368">
        <f t="shared" si="337"/>
        <v>0</v>
      </c>
      <c r="EZ81" s="368">
        <f t="shared" si="338"/>
        <v>0</v>
      </c>
      <c r="FA81" s="368">
        <f t="shared" si="339"/>
        <v>0</v>
      </c>
      <c r="FB81" s="368">
        <f t="shared" si="340"/>
        <v>0</v>
      </c>
      <c r="FC81" s="368">
        <f t="shared" si="341"/>
        <v>0</v>
      </c>
      <c r="FD81" s="368">
        <f t="shared" si="342"/>
        <v>0</v>
      </c>
      <c r="FE81" s="368">
        <f t="shared" si="343"/>
        <v>0</v>
      </c>
      <c r="FF81" s="368">
        <f t="shared" si="344"/>
        <v>0</v>
      </c>
      <c r="FG81" s="368">
        <f t="shared" si="345"/>
        <v>0</v>
      </c>
      <c r="FH81" s="368">
        <f t="shared" si="346"/>
        <v>0</v>
      </c>
      <c r="FI81" s="368">
        <f t="shared" si="347"/>
        <v>0</v>
      </c>
      <c r="FJ81" s="368">
        <f t="shared" si="348"/>
        <v>0</v>
      </c>
      <c r="FK81" s="368">
        <f t="shared" si="349"/>
        <v>0</v>
      </c>
      <c r="FL81" s="368">
        <f t="shared" si="350"/>
        <v>0</v>
      </c>
      <c r="FM81" s="368">
        <f t="shared" si="351"/>
        <v>0</v>
      </c>
      <c r="FN81" s="368">
        <f t="shared" si="352"/>
        <v>0</v>
      </c>
      <c r="FO81" s="368">
        <f t="shared" si="353"/>
        <v>0</v>
      </c>
      <c r="FP81" s="368">
        <f t="shared" si="354"/>
        <v>0</v>
      </c>
      <c r="FQ81" s="368">
        <f t="shared" si="355"/>
        <v>0</v>
      </c>
      <c r="FR81" s="368">
        <f t="shared" si="356"/>
        <v>0</v>
      </c>
      <c r="FS81" s="368">
        <f t="shared" si="357"/>
        <v>0</v>
      </c>
      <c r="FT81" s="368">
        <f t="shared" si="358"/>
        <v>0</v>
      </c>
      <c r="FU81" s="368">
        <f t="shared" si="377"/>
        <v>0</v>
      </c>
      <c r="FV81" s="368">
        <f t="shared" si="378"/>
        <v>0</v>
      </c>
      <c r="FW81" s="368">
        <f t="shared" si="379"/>
        <v>0</v>
      </c>
      <c r="FX81" s="368">
        <f t="shared" si="380"/>
        <v>0</v>
      </c>
      <c r="FY81" s="368">
        <f t="shared" si="381"/>
        <v>0</v>
      </c>
      <c r="FZ81" s="368">
        <f t="shared" si="382"/>
        <v>0</v>
      </c>
      <c r="GA81" s="368">
        <f t="shared" si="383"/>
        <v>0</v>
      </c>
      <c r="GB81" s="368">
        <f t="shared" si="384"/>
        <v>0</v>
      </c>
      <c r="GC81" s="368">
        <f t="shared" si="385"/>
        <v>0</v>
      </c>
      <c r="GD81" s="368">
        <f t="shared" si="386"/>
        <v>0</v>
      </c>
      <c r="GE81" s="368">
        <f t="shared" si="387"/>
        <v>0</v>
      </c>
      <c r="GF81" s="368">
        <f t="shared" si="388"/>
        <v>0</v>
      </c>
      <c r="GG81" s="368">
        <f t="shared" si="389"/>
        <v>0</v>
      </c>
      <c r="GH81" s="368">
        <f t="shared" si="390"/>
        <v>0</v>
      </c>
      <c r="GI81" s="368">
        <f t="shared" si="391"/>
        <v>0</v>
      </c>
      <c r="GJ81" s="368">
        <f t="shared" si="392"/>
        <v>0</v>
      </c>
      <c r="GK81" s="368">
        <f t="shared" si="393"/>
        <v>0</v>
      </c>
      <c r="GL81" s="368">
        <f t="shared" si="394"/>
        <v>0</v>
      </c>
      <c r="GM81" s="368">
        <f t="shared" si="395"/>
        <v>0</v>
      </c>
    </row>
    <row r="82" spans="1:195" s="83" customFormat="1" hidden="1">
      <c r="A82" s="357" t="s">
        <v>334</v>
      </c>
      <c r="B82" s="357"/>
      <c r="C82" s="357"/>
      <c r="D82" s="395" t="s">
        <v>1529</v>
      </c>
      <c r="E82" s="493" t="s">
        <v>1513</v>
      </c>
      <c r="F82" s="493"/>
      <c r="G82" s="357" t="s">
        <v>329</v>
      </c>
      <c r="H82" s="352"/>
      <c r="I82" s="357" t="s">
        <v>330</v>
      </c>
      <c r="J82" s="357" t="s">
        <v>357</v>
      </c>
      <c r="K82" s="353">
        <v>230</v>
      </c>
      <c r="L82" s="360">
        <v>0.85</v>
      </c>
      <c r="M82" s="352">
        <v>0.95</v>
      </c>
      <c r="N82" s="359">
        <v>6</v>
      </c>
      <c r="O82" s="359">
        <f t="shared" si="359"/>
        <v>0</v>
      </c>
      <c r="P82" s="360" t="str">
        <f t="shared" si="360"/>
        <v>0.00</v>
      </c>
      <c r="Q82" s="352">
        <v>65</v>
      </c>
      <c r="R82" s="352">
        <v>0</v>
      </c>
      <c r="S82" s="352">
        <f t="shared" si="361"/>
        <v>0</v>
      </c>
      <c r="T82" s="360" t="s">
        <v>131</v>
      </c>
      <c r="U82" s="352" t="s">
        <v>333</v>
      </c>
      <c r="V82" s="360">
        <v>4</v>
      </c>
      <c r="W82" s="360" t="str">
        <f t="shared" si="362"/>
        <v>3C X 4</v>
      </c>
      <c r="X82" s="360" t="str">
        <f t="shared" si="363"/>
        <v>3C X 4</v>
      </c>
      <c r="Y82" s="360" t="s">
        <v>358</v>
      </c>
      <c r="Z82" s="361">
        <f>IF(T82="AIR",VLOOKUP(W82,'Catalogue Aluminium'!$B$9:$G$93,2,FALSE),IF(T82="GROUND",VLOOKUP(W82,'Catalogue Aluminium'!$B$9:$G$93,3,FALSE),IF(T82="DUCT",VLOOKUP(W82,'Catalogue Aluminium'!$B$9:$G$93,4,FALSE),IF(T82="TRENCH",VLOOKUP(W82,'Catalogue Aluminium'!$B$9:$G$93,2,FALSE)))))</f>
        <v>38</v>
      </c>
      <c r="AA82" s="362">
        <f>VLOOKUP(W82,'Catalogue Aluminium'!$B$9:$G$93,5,FALSE)</f>
        <v>5.9</v>
      </c>
      <c r="AB82" s="362">
        <f>VLOOKUP(W82,'Catalogue Aluminium'!$B$9:$G$93,6,FALSE)</f>
        <v>9.4700000000000006E-2</v>
      </c>
      <c r="AC82" s="564"/>
      <c r="AD82" s="564"/>
      <c r="AE82" s="564">
        <v>10</v>
      </c>
      <c r="AF82" s="564">
        <v>8</v>
      </c>
      <c r="AG82" s="564">
        <f t="shared" si="396"/>
        <v>2</v>
      </c>
      <c r="AH82" s="363">
        <f t="shared" si="364"/>
        <v>20</v>
      </c>
      <c r="AI82" s="361">
        <f>IF(T82="AIR",'Catalogue Aluminium'!$K$9,IF(T82="TRENCH",'Catalogue Aluminium'!$K$12,"NA"))</f>
        <v>0.89</v>
      </c>
      <c r="AJ82" s="359">
        <f>IF(T82="Air",(IF(U82="1C",'Catalogue Aluminium'!$L$9,'Catalogue Aluminium'!$M$9)),IF(T82="DUCT",(IF($U82="1C",'Catalogue Aluminium'!$L$10,'Catalogue Aluminium'!$M$10)),IF(T82="GROUND",(IF($U82="1C",'Catalogue Aluminium'!$L$11,'Catalogue Aluminium'!$M$11)),IF(T82="TRENCH",(IF($U82="1C",'Catalogue Aluminium'!$L$12,'Catalogue Aluminium'!$M$12))))))</f>
        <v>0.66</v>
      </c>
      <c r="AK82" s="361" t="str">
        <f>IF(T82="Air",'Catalogue Aluminium'!$N$9,IF(T82="GROUND",'Catalogue Aluminium'!$N$10,IF(T82="DUCT",'Catalogue Aluminium'!$N$11,IF(T82="TRENCH",'Catalogue Aluminium'!$N$12,"NA"))))</f>
        <v>NA</v>
      </c>
      <c r="AL82" s="361" t="str">
        <f>IF(T82="Air",(IF(U82="1C",'Catalogue Aluminium'!$O$9,'Catalogue Aluminium'!$P$9)),IF(T82="DUCT",(IF($U82="1C",'Catalogue Aluminium'!$O$10,'Catalogue Aluminium'!$P$10)),IF(T82="GROUND",(IF($U82="1C",'Catalogue Aluminium'!$O$11,'Catalogue Aluminium'!$P$11)),IF(T82="TRENCH",(IF($U82="1C",'Catalogue Aluminium'!$O$12,'Catalogue Aluminium'!$P$12))))))</f>
        <v>NA</v>
      </c>
      <c r="AM82" s="361" t="str">
        <f>IF(T82="AIR","NA",IF(T82="TRENCH","NA",IF(T82="DUCT",IF(U82="1C",VLOOKUP(V82,'Catalogue Aluminium'!$Q$9:$S$28,2,FALSE),VLOOKUP(V82,'Catalogue Aluminium'!$Q$9:$S$28,3)),IF(T82="GROUND",IF(U82="1C",VLOOKUP(V82,'Catalogue Aluminium'!$Q$9:$S$28,2,FALSE),VLOOKUP(V82,'Catalogue Aluminium'!$Q$9:$S$28,3))))))</f>
        <v>NA</v>
      </c>
      <c r="AN82" s="365">
        <f t="shared" si="365"/>
        <v>0.58740000000000003</v>
      </c>
      <c r="AO82" s="352">
        <f t="shared" si="366"/>
        <v>22.321200000000001</v>
      </c>
      <c r="AP82" s="353">
        <f t="shared" si="367"/>
        <v>1</v>
      </c>
      <c r="AQ82" s="352" t="str">
        <f t="shared" si="368"/>
        <v>YES</v>
      </c>
      <c r="AR82" s="365">
        <f t="shared" si="369"/>
        <v>0.45770297956699862</v>
      </c>
      <c r="AS82" s="360" t="str">
        <f t="shared" si="370"/>
        <v>YES</v>
      </c>
      <c r="AT82" s="365" t="str">
        <f t="shared" si="371"/>
        <v>NA</v>
      </c>
      <c r="AU82" s="360" t="str">
        <f t="shared" si="372"/>
        <v>NA</v>
      </c>
      <c r="AV82" s="366" t="str">
        <f t="shared" si="373"/>
        <v>1R x 0.6/1kV x 3C x 4 Sqmm</v>
      </c>
      <c r="AW82" s="366" t="str">
        <f t="shared" si="374"/>
        <v>1R x 0.6/1kV x 3C x 4 Sqmm</v>
      </c>
      <c r="AX82" s="360"/>
      <c r="AY82" s="367"/>
      <c r="AZ82" s="367"/>
      <c r="BA82" s="751" t="str">
        <f t="shared" si="375"/>
        <v/>
      </c>
      <c r="BB82" s="368"/>
      <c r="BC82" s="368"/>
      <c r="BE82" s="368"/>
      <c r="BF82" s="368"/>
      <c r="BG82" s="368"/>
      <c r="BH82" s="368"/>
      <c r="BI82" s="368"/>
      <c r="BJ82" s="368"/>
      <c r="BK82" s="368"/>
      <c r="BL82" s="368"/>
      <c r="BM82" s="368"/>
      <c r="BN82" s="368"/>
      <c r="BO82" s="368"/>
      <c r="BP82" s="368"/>
      <c r="BQ82" s="368"/>
      <c r="BR82" s="368"/>
      <c r="BS82" s="368"/>
      <c r="BT82" s="368"/>
      <c r="BU82" s="368"/>
      <c r="BV82" s="368"/>
      <c r="BW82" s="368"/>
      <c r="BX82" s="368"/>
      <c r="BY82" s="368"/>
      <c r="BZ82" s="368"/>
      <c r="CA82" s="368"/>
      <c r="CB82" s="368"/>
      <c r="CC82" s="368"/>
      <c r="CD82" s="368"/>
      <c r="CE82" s="368"/>
      <c r="CF82" s="368"/>
      <c r="CG82" s="368"/>
      <c r="CH82" s="368"/>
      <c r="CI82" s="368"/>
      <c r="CJ82" s="368"/>
      <c r="CK82" s="368"/>
      <c r="CL82" s="368"/>
      <c r="CM82" s="368"/>
      <c r="CN82" s="368"/>
      <c r="CO82" s="368"/>
      <c r="CP82" s="368"/>
      <c r="CQ82" s="368"/>
      <c r="CR82" s="368"/>
      <c r="CS82" s="368"/>
      <c r="CT82" s="368"/>
      <c r="CU82" s="368"/>
      <c r="CV82" s="368"/>
      <c r="CW82" s="368"/>
      <c r="CX82" s="368"/>
      <c r="CY82" s="368"/>
      <c r="CZ82" s="368"/>
      <c r="DA82" s="368"/>
      <c r="DB82" s="368"/>
      <c r="DC82" s="368"/>
      <c r="DD82" s="368"/>
      <c r="DE82" s="368"/>
      <c r="DF82" s="368"/>
      <c r="DG82" s="368"/>
      <c r="DH82" s="368"/>
      <c r="DI82" s="368"/>
      <c r="DJ82" s="368"/>
      <c r="DK82" s="368"/>
      <c r="DL82" s="368"/>
      <c r="DM82" s="368"/>
      <c r="DN82" s="368"/>
      <c r="DO82" s="368"/>
      <c r="DP82" s="368"/>
      <c r="DQ82" s="368"/>
      <c r="DR82" s="368"/>
      <c r="DS82" s="368"/>
      <c r="DT82" s="368"/>
      <c r="DU82" s="368"/>
      <c r="DW82" s="368">
        <f t="shared" si="376"/>
        <v>0</v>
      </c>
      <c r="DX82" s="368">
        <f t="shared" si="311"/>
        <v>0</v>
      </c>
      <c r="DY82" s="368">
        <f t="shared" si="312"/>
        <v>0</v>
      </c>
      <c r="DZ82" s="368">
        <f t="shared" si="313"/>
        <v>0</v>
      </c>
      <c r="EA82" s="368">
        <f t="shared" si="314"/>
        <v>0</v>
      </c>
      <c r="EB82" s="368">
        <f t="shared" si="315"/>
        <v>0</v>
      </c>
      <c r="EC82" s="368">
        <f t="shared" si="316"/>
        <v>0</v>
      </c>
      <c r="ED82" s="368">
        <f t="shared" si="317"/>
        <v>0</v>
      </c>
      <c r="EE82" s="368">
        <f t="shared" si="318"/>
        <v>0</v>
      </c>
      <c r="EF82" s="368">
        <f t="shared" si="319"/>
        <v>0</v>
      </c>
      <c r="EG82" s="368">
        <f t="shared" si="320"/>
        <v>0</v>
      </c>
      <c r="EH82" s="368">
        <f t="shared" si="321"/>
        <v>0</v>
      </c>
      <c r="EI82" s="368">
        <f t="shared" si="322"/>
        <v>0</v>
      </c>
      <c r="EJ82" s="368">
        <f t="shared" si="323"/>
        <v>0</v>
      </c>
      <c r="EK82" s="368">
        <f t="shared" si="324"/>
        <v>0</v>
      </c>
      <c r="EL82" s="368">
        <f t="shared" si="325"/>
        <v>0</v>
      </c>
      <c r="EM82" s="368">
        <f t="shared" si="326"/>
        <v>0</v>
      </c>
      <c r="EN82" s="368">
        <f t="shared" si="327"/>
        <v>0</v>
      </c>
      <c r="EO82" s="368">
        <f t="shared" si="328"/>
        <v>0</v>
      </c>
      <c r="EP82" s="368">
        <f t="shared" si="329"/>
        <v>0</v>
      </c>
      <c r="EQ82" s="368">
        <f t="shared" si="330"/>
        <v>0</v>
      </c>
      <c r="ER82" s="368">
        <f t="shared" si="331"/>
        <v>0</v>
      </c>
      <c r="ES82" s="368">
        <f t="shared" si="332"/>
        <v>0</v>
      </c>
      <c r="ET82" s="368">
        <f t="shared" si="332"/>
        <v>0</v>
      </c>
      <c r="EU82" s="368">
        <f t="shared" si="333"/>
        <v>0</v>
      </c>
      <c r="EV82" s="368">
        <f t="shared" si="334"/>
        <v>0</v>
      </c>
      <c r="EW82" s="368">
        <f t="shared" si="335"/>
        <v>0</v>
      </c>
      <c r="EX82" s="368">
        <f t="shared" si="336"/>
        <v>0</v>
      </c>
      <c r="EY82" s="368">
        <f t="shared" si="337"/>
        <v>0</v>
      </c>
      <c r="EZ82" s="368">
        <f t="shared" si="338"/>
        <v>0</v>
      </c>
      <c r="FA82" s="368">
        <f t="shared" si="339"/>
        <v>0</v>
      </c>
      <c r="FB82" s="368">
        <f t="shared" si="340"/>
        <v>0</v>
      </c>
      <c r="FC82" s="368">
        <f t="shared" si="341"/>
        <v>0</v>
      </c>
      <c r="FD82" s="368">
        <f t="shared" si="342"/>
        <v>0</v>
      </c>
      <c r="FE82" s="368">
        <f t="shared" si="343"/>
        <v>0</v>
      </c>
      <c r="FF82" s="368">
        <f t="shared" si="344"/>
        <v>0</v>
      </c>
      <c r="FG82" s="368">
        <f t="shared" si="345"/>
        <v>0</v>
      </c>
      <c r="FH82" s="368">
        <f t="shared" si="346"/>
        <v>0</v>
      </c>
      <c r="FI82" s="368">
        <f t="shared" si="347"/>
        <v>0</v>
      </c>
      <c r="FJ82" s="368">
        <f t="shared" si="348"/>
        <v>0</v>
      </c>
      <c r="FK82" s="368">
        <f t="shared" si="349"/>
        <v>0</v>
      </c>
      <c r="FL82" s="368">
        <f t="shared" si="350"/>
        <v>0</v>
      </c>
      <c r="FM82" s="368">
        <f t="shared" si="351"/>
        <v>0</v>
      </c>
      <c r="FN82" s="368">
        <f t="shared" si="352"/>
        <v>0</v>
      </c>
      <c r="FO82" s="368">
        <f t="shared" si="353"/>
        <v>0</v>
      </c>
      <c r="FP82" s="368">
        <f t="shared" si="354"/>
        <v>0</v>
      </c>
      <c r="FQ82" s="368">
        <f t="shared" si="355"/>
        <v>0</v>
      </c>
      <c r="FR82" s="368">
        <f t="shared" si="356"/>
        <v>0</v>
      </c>
      <c r="FS82" s="368">
        <f t="shared" si="357"/>
        <v>0</v>
      </c>
      <c r="FT82" s="368">
        <f t="shared" si="358"/>
        <v>0</v>
      </c>
      <c r="FU82" s="368">
        <f t="shared" si="377"/>
        <v>0</v>
      </c>
      <c r="FV82" s="368">
        <f t="shared" si="378"/>
        <v>0</v>
      </c>
      <c r="FW82" s="368">
        <f t="shared" si="379"/>
        <v>0</v>
      </c>
      <c r="FX82" s="368">
        <f t="shared" si="380"/>
        <v>0</v>
      </c>
      <c r="FY82" s="368">
        <f t="shared" si="381"/>
        <v>0</v>
      </c>
      <c r="FZ82" s="368">
        <f t="shared" si="382"/>
        <v>0</v>
      </c>
      <c r="GA82" s="368">
        <f t="shared" si="383"/>
        <v>0</v>
      </c>
      <c r="GB82" s="368">
        <f t="shared" si="384"/>
        <v>0</v>
      </c>
      <c r="GC82" s="368">
        <f t="shared" si="385"/>
        <v>0</v>
      </c>
      <c r="GD82" s="368">
        <f t="shared" si="386"/>
        <v>0</v>
      </c>
      <c r="GE82" s="368">
        <f t="shared" si="387"/>
        <v>0</v>
      </c>
      <c r="GF82" s="368">
        <f t="shared" si="388"/>
        <v>0</v>
      </c>
      <c r="GG82" s="368">
        <f t="shared" si="389"/>
        <v>0</v>
      </c>
      <c r="GH82" s="368">
        <f t="shared" si="390"/>
        <v>0</v>
      </c>
      <c r="GI82" s="368">
        <f t="shared" si="391"/>
        <v>0</v>
      </c>
      <c r="GJ82" s="368">
        <f t="shared" si="392"/>
        <v>0</v>
      </c>
      <c r="GK82" s="368">
        <f t="shared" si="393"/>
        <v>0</v>
      </c>
      <c r="GL82" s="368">
        <f t="shared" si="394"/>
        <v>0</v>
      </c>
      <c r="GM82" s="368">
        <f t="shared" si="395"/>
        <v>0</v>
      </c>
    </row>
    <row r="83" spans="1:195" s="83" customFormat="1" hidden="1">
      <c r="A83" s="357" t="s">
        <v>334</v>
      </c>
      <c r="B83" s="357"/>
      <c r="C83" s="357"/>
      <c r="D83" s="395" t="s">
        <v>1530</v>
      </c>
      <c r="E83" s="493" t="s">
        <v>1513</v>
      </c>
      <c r="F83" s="493"/>
      <c r="G83" s="357" t="s">
        <v>329</v>
      </c>
      <c r="H83" s="352"/>
      <c r="I83" s="357" t="s">
        <v>330</v>
      </c>
      <c r="J83" s="357" t="s">
        <v>357</v>
      </c>
      <c r="K83" s="353">
        <v>230</v>
      </c>
      <c r="L83" s="360">
        <v>0.85</v>
      </c>
      <c r="M83" s="352">
        <v>0.95</v>
      </c>
      <c r="N83" s="359">
        <v>6</v>
      </c>
      <c r="O83" s="359">
        <f t="shared" si="359"/>
        <v>0</v>
      </c>
      <c r="P83" s="360" t="str">
        <f t="shared" si="360"/>
        <v>0.00</v>
      </c>
      <c r="Q83" s="352">
        <v>65</v>
      </c>
      <c r="R83" s="352">
        <v>0</v>
      </c>
      <c r="S83" s="352">
        <f t="shared" si="361"/>
        <v>0</v>
      </c>
      <c r="T83" s="360" t="s">
        <v>131</v>
      </c>
      <c r="U83" s="352" t="s">
        <v>333</v>
      </c>
      <c r="V83" s="360">
        <v>4</v>
      </c>
      <c r="W83" s="360" t="str">
        <f t="shared" si="362"/>
        <v>3C X 4</v>
      </c>
      <c r="X83" s="360" t="str">
        <f t="shared" si="363"/>
        <v>3C X 4</v>
      </c>
      <c r="Y83" s="360" t="s">
        <v>358</v>
      </c>
      <c r="Z83" s="361">
        <f>IF(T83="AIR",VLOOKUP(W83,'Catalogue Aluminium'!$B$9:$G$93,2,FALSE),IF(T83="GROUND",VLOOKUP(W83,'Catalogue Aluminium'!$B$9:$G$93,3,FALSE),IF(T83="DUCT",VLOOKUP(W83,'Catalogue Aluminium'!$B$9:$G$93,4,FALSE),IF(T83="TRENCH",VLOOKUP(W83,'Catalogue Aluminium'!$B$9:$G$93,2,FALSE)))))</f>
        <v>38</v>
      </c>
      <c r="AA83" s="362">
        <f>VLOOKUP(W83,'Catalogue Aluminium'!$B$9:$G$93,5,FALSE)</f>
        <v>5.9</v>
      </c>
      <c r="AB83" s="362">
        <f>VLOOKUP(W83,'Catalogue Aluminium'!$B$9:$G$93,6,FALSE)</f>
        <v>9.4700000000000006E-2</v>
      </c>
      <c r="AC83" s="564"/>
      <c r="AD83" s="564"/>
      <c r="AE83" s="564">
        <v>10</v>
      </c>
      <c r="AF83" s="564">
        <v>8</v>
      </c>
      <c r="AG83" s="564">
        <f t="shared" si="396"/>
        <v>2</v>
      </c>
      <c r="AH83" s="363">
        <f t="shared" si="364"/>
        <v>20</v>
      </c>
      <c r="AI83" s="361">
        <f>IF(T83="AIR",'Catalogue Aluminium'!$K$9,IF(T83="TRENCH",'Catalogue Aluminium'!$K$12,"NA"))</f>
        <v>0.89</v>
      </c>
      <c r="AJ83" s="359">
        <f>IF(T83="Air",(IF(U83="1C",'Catalogue Aluminium'!$L$9,'Catalogue Aluminium'!$M$9)),IF(T83="DUCT",(IF($U83="1C",'Catalogue Aluminium'!$L$10,'Catalogue Aluminium'!$M$10)),IF(T83="GROUND",(IF($U83="1C",'Catalogue Aluminium'!$L$11,'Catalogue Aluminium'!$M$11)),IF(T83="TRENCH",(IF($U83="1C",'Catalogue Aluminium'!$L$12,'Catalogue Aluminium'!$M$12))))))</f>
        <v>0.66</v>
      </c>
      <c r="AK83" s="361" t="str">
        <f>IF(T83="Air",'Catalogue Aluminium'!$N$9,IF(T83="GROUND",'Catalogue Aluminium'!$N$10,IF(T83="DUCT",'Catalogue Aluminium'!$N$11,IF(T83="TRENCH",'Catalogue Aluminium'!$N$12,"NA"))))</f>
        <v>NA</v>
      </c>
      <c r="AL83" s="361" t="str">
        <f>IF(T83="Air",(IF(U83="1C",'Catalogue Aluminium'!$O$9,'Catalogue Aluminium'!$P$9)),IF(T83="DUCT",(IF($U83="1C",'Catalogue Aluminium'!$O$10,'Catalogue Aluminium'!$P$10)),IF(T83="GROUND",(IF($U83="1C",'Catalogue Aluminium'!$O$11,'Catalogue Aluminium'!$P$11)),IF(T83="TRENCH",(IF($U83="1C",'Catalogue Aluminium'!$O$12,'Catalogue Aluminium'!$P$12))))))</f>
        <v>NA</v>
      </c>
      <c r="AM83" s="361" t="str">
        <f>IF(T83="AIR","NA",IF(T83="TRENCH","NA",IF(T83="DUCT",IF(U83="1C",VLOOKUP(V83,'Catalogue Aluminium'!$Q$9:$S$28,2,FALSE),VLOOKUP(V83,'Catalogue Aluminium'!$Q$9:$S$28,3)),IF(T83="GROUND",IF(U83="1C",VLOOKUP(V83,'Catalogue Aluminium'!$Q$9:$S$28,2,FALSE),VLOOKUP(V83,'Catalogue Aluminium'!$Q$9:$S$28,3))))))</f>
        <v>NA</v>
      </c>
      <c r="AN83" s="365">
        <f t="shared" si="365"/>
        <v>0.58740000000000003</v>
      </c>
      <c r="AO83" s="352">
        <f t="shared" si="366"/>
        <v>22.321200000000001</v>
      </c>
      <c r="AP83" s="353">
        <f t="shared" si="367"/>
        <v>1</v>
      </c>
      <c r="AQ83" s="352" t="str">
        <f t="shared" si="368"/>
        <v>YES</v>
      </c>
      <c r="AR83" s="365">
        <f t="shared" si="369"/>
        <v>0.45770297956699862</v>
      </c>
      <c r="AS83" s="360" t="str">
        <f t="shared" si="370"/>
        <v>YES</v>
      </c>
      <c r="AT83" s="365" t="str">
        <f t="shared" si="371"/>
        <v>NA</v>
      </c>
      <c r="AU83" s="360" t="str">
        <f t="shared" si="372"/>
        <v>NA</v>
      </c>
      <c r="AV83" s="366" t="str">
        <f t="shared" si="373"/>
        <v>1R x 0.6/1kV x 3C x 4 Sqmm</v>
      </c>
      <c r="AW83" s="366" t="str">
        <f t="shared" si="374"/>
        <v>1R x 0.6/1kV x 3C x 4 Sqmm</v>
      </c>
      <c r="AX83" s="360"/>
      <c r="AY83" s="367"/>
      <c r="AZ83" s="367"/>
      <c r="BA83" s="751" t="str">
        <f t="shared" si="375"/>
        <v/>
      </c>
      <c r="BB83" s="368"/>
      <c r="BC83" s="368"/>
      <c r="BE83" s="368"/>
      <c r="BF83" s="368"/>
      <c r="BG83" s="368"/>
      <c r="BH83" s="368"/>
      <c r="BI83" s="368"/>
      <c r="BJ83" s="368"/>
      <c r="BK83" s="368"/>
      <c r="BL83" s="368"/>
      <c r="BM83" s="368"/>
      <c r="BN83" s="368"/>
      <c r="BO83" s="368"/>
      <c r="BP83" s="368"/>
      <c r="BQ83" s="368"/>
      <c r="BR83" s="368"/>
      <c r="BS83" s="368"/>
      <c r="BT83" s="368"/>
      <c r="BU83" s="368"/>
      <c r="BV83" s="368"/>
      <c r="BW83" s="368"/>
      <c r="BX83" s="368"/>
      <c r="BY83" s="368"/>
      <c r="BZ83" s="368"/>
      <c r="CA83" s="368"/>
      <c r="CB83" s="368"/>
      <c r="CC83" s="368"/>
      <c r="CD83" s="368"/>
      <c r="CE83" s="368"/>
      <c r="CF83" s="368"/>
      <c r="CG83" s="368"/>
      <c r="CH83" s="368"/>
      <c r="CI83" s="368"/>
      <c r="CJ83" s="368"/>
      <c r="CK83" s="368"/>
      <c r="CL83" s="368"/>
      <c r="CM83" s="368"/>
      <c r="CN83" s="368"/>
      <c r="CO83" s="368"/>
      <c r="CP83" s="368"/>
      <c r="CQ83" s="368"/>
      <c r="CR83" s="368"/>
      <c r="CS83" s="368"/>
      <c r="CT83" s="368"/>
      <c r="CU83" s="368"/>
      <c r="CV83" s="368"/>
      <c r="CW83" s="368"/>
      <c r="CX83" s="368"/>
      <c r="CY83" s="368"/>
      <c r="CZ83" s="368"/>
      <c r="DA83" s="368"/>
      <c r="DB83" s="368"/>
      <c r="DC83" s="368"/>
      <c r="DD83" s="368"/>
      <c r="DE83" s="368"/>
      <c r="DF83" s="368"/>
      <c r="DG83" s="368"/>
      <c r="DH83" s="368"/>
      <c r="DI83" s="368"/>
      <c r="DJ83" s="368"/>
      <c r="DK83" s="368"/>
      <c r="DL83" s="368"/>
      <c r="DM83" s="368"/>
      <c r="DN83" s="368"/>
      <c r="DO83" s="368"/>
      <c r="DP83" s="368"/>
      <c r="DQ83" s="368"/>
      <c r="DR83" s="368"/>
      <c r="DS83" s="368"/>
      <c r="DT83" s="368"/>
      <c r="DU83" s="368"/>
      <c r="DW83" s="368">
        <f t="shared" si="376"/>
        <v>0</v>
      </c>
      <c r="DX83" s="368">
        <f t="shared" si="311"/>
        <v>0</v>
      </c>
      <c r="DY83" s="368">
        <f t="shared" si="312"/>
        <v>0</v>
      </c>
      <c r="DZ83" s="368">
        <f t="shared" si="313"/>
        <v>0</v>
      </c>
      <c r="EA83" s="368">
        <f t="shared" si="314"/>
        <v>0</v>
      </c>
      <c r="EB83" s="368">
        <f t="shared" si="315"/>
        <v>0</v>
      </c>
      <c r="EC83" s="368">
        <f t="shared" si="316"/>
        <v>0</v>
      </c>
      <c r="ED83" s="368">
        <f t="shared" si="317"/>
        <v>0</v>
      </c>
      <c r="EE83" s="368">
        <f t="shared" si="318"/>
        <v>0</v>
      </c>
      <c r="EF83" s="368">
        <f t="shared" si="319"/>
        <v>0</v>
      </c>
      <c r="EG83" s="368">
        <f t="shared" si="320"/>
        <v>0</v>
      </c>
      <c r="EH83" s="368">
        <f t="shared" si="321"/>
        <v>0</v>
      </c>
      <c r="EI83" s="368">
        <f t="shared" si="322"/>
        <v>0</v>
      </c>
      <c r="EJ83" s="368">
        <f t="shared" si="323"/>
        <v>0</v>
      </c>
      <c r="EK83" s="368">
        <f t="shared" si="324"/>
        <v>0</v>
      </c>
      <c r="EL83" s="368">
        <f t="shared" si="325"/>
        <v>0</v>
      </c>
      <c r="EM83" s="368">
        <f t="shared" si="326"/>
        <v>0</v>
      </c>
      <c r="EN83" s="368">
        <f t="shared" si="327"/>
        <v>0</v>
      </c>
      <c r="EO83" s="368">
        <f t="shared" si="328"/>
        <v>0</v>
      </c>
      <c r="EP83" s="368">
        <f t="shared" si="329"/>
        <v>0</v>
      </c>
      <c r="EQ83" s="368">
        <f t="shared" si="330"/>
        <v>0</v>
      </c>
      <c r="ER83" s="368">
        <f t="shared" si="331"/>
        <v>0</v>
      </c>
      <c r="ES83" s="368">
        <f t="shared" si="332"/>
        <v>0</v>
      </c>
      <c r="ET83" s="368">
        <f t="shared" si="332"/>
        <v>0</v>
      </c>
      <c r="EU83" s="368">
        <f t="shared" si="333"/>
        <v>0</v>
      </c>
      <c r="EV83" s="368">
        <f t="shared" si="334"/>
        <v>0</v>
      </c>
      <c r="EW83" s="368">
        <f t="shared" si="335"/>
        <v>0</v>
      </c>
      <c r="EX83" s="368">
        <f t="shared" si="336"/>
        <v>0</v>
      </c>
      <c r="EY83" s="368">
        <f t="shared" si="337"/>
        <v>0</v>
      </c>
      <c r="EZ83" s="368">
        <f t="shared" si="338"/>
        <v>0</v>
      </c>
      <c r="FA83" s="368">
        <f t="shared" si="339"/>
        <v>0</v>
      </c>
      <c r="FB83" s="368">
        <f t="shared" si="340"/>
        <v>0</v>
      </c>
      <c r="FC83" s="368">
        <f t="shared" si="341"/>
        <v>0</v>
      </c>
      <c r="FD83" s="368">
        <f t="shared" si="342"/>
        <v>0</v>
      </c>
      <c r="FE83" s="368">
        <f t="shared" si="343"/>
        <v>0</v>
      </c>
      <c r="FF83" s="368">
        <f t="shared" si="344"/>
        <v>0</v>
      </c>
      <c r="FG83" s="368">
        <f t="shared" si="345"/>
        <v>0</v>
      </c>
      <c r="FH83" s="368">
        <f t="shared" si="346"/>
        <v>0</v>
      </c>
      <c r="FI83" s="368">
        <f t="shared" si="347"/>
        <v>0</v>
      </c>
      <c r="FJ83" s="368">
        <f t="shared" si="348"/>
        <v>0</v>
      </c>
      <c r="FK83" s="368">
        <f t="shared" si="349"/>
        <v>0</v>
      </c>
      <c r="FL83" s="368">
        <f t="shared" si="350"/>
        <v>0</v>
      </c>
      <c r="FM83" s="368">
        <f t="shared" si="351"/>
        <v>0</v>
      </c>
      <c r="FN83" s="368">
        <f t="shared" si="352"/>
        <v>0</v>
      </c>
      <c r="FO83" s="368">
        <f t="shared" si="353"/>
        <v>0</v>
      </c>
      <c r="FP83" s="368">
        <f t="shared" si="354"/>
        <v>0</v>
      </c>
      <c r="FQ83" s="368">
        <f t="shared" si="355"/>
        <v>0</v>
      </c>
      <c r="FR83" s="368">
        <f t="shared" si="356"/>
        <v>0</v>
      </c>
      <c r="FS83" s="368">
        <f t="shared" si="357"/>
        <v>0</v>
      </c>
      <c r="FT83" s="368">
        <f t="shared" si="358"/>
        <v>0</v>
      </c>
      <c r="FU83" s="368">
        <f t="shared" si="377"/>
        <v>0</v>
      </c>
      <c r="FV83" s="368">
        <f t="shared" si="378"/>
        <v>0</v>
      </c>
      <c r="FW83" s="368">
        <f t="shared" si="379"/>
        <v>0</v>
      </c>
      <c r="FX83" s="368">
        <f t="shared" si="380"/>
        <v>0</v>
      </c>
      <c r="FY83" s="368">
        <f t="shared" si="381"/>
        <v>0</v>
      </c>
      <c r="FZ83" s="368">
        <f t="shared" si="382"/>
        <v>0</v>
      </c>
      <c r="GA83" s="368">
        <f t="shared" si="383"/>
        <v>0</v>
      </c>
      <c r="GB83" s="368">
        <f t="shared" si="384"/>
        <v>0</v>
      </c>
      <c r="GC83" s="368">
        <f t="shared" si="385"/>
        <v>0</v>
      </c>
      <c r="GD83" s="368">
        <f t="shared" si="386"/>
        <v>0</v>
      </c>
      <c r="GE83" s="368">
        <f t="shared" si="387"/>
        <v>0</v>
      </c>
      <c r="GF83" s="368">
        <f t="shared" si="388"/>
        <v>0</v>
      </c>
      <c r="GG83" s="368">
        <f t="shared" si="389"/>
        <v>0</v>
      </c>
      <c r="GH83" s="368">
        <f t="shared" si="390"/>
        <v>0</v>
      </c>
      <c r="GI83" s="368">
        <f t="shared" si="391"/>
        <v>0</v>
      </c>
      <c r="GJ83" s="368">
        <f t="shared" si="392"/>
        <v>0</v>
      </c>
      <c r="GK83" s="368">
        <f t="shared" si="393"/>
        <v>0</v>
      </c>
      <c r="GL83" s="368">
        <f t="shared" si="394"/>
        <v>0</v>
      </c>
      <c r="GM83" s="368">
        <f t="shared" si="395"/>
        <v>0</v>
      </c>
    </row>
    <row r="84" spans="1:195" s="83" customFormat="1" hidden="1">
      <c r="A84" s="357" t="s">
        <v>334</v>
      </c>
      <c r="B84" s="357"/>
      <c r="C84" s="357"/>
      <c r="D84" s="395" t="s">
        <v>1531</v>
      </c>
      <c r="E84" s="493" t="s">
        <v>1513</v>
      </c>
      <c r="F84" s="493"/>
      <c r="G84" s="357" t="s">
        <v>329</v>
      </c>
      <c r="H84" s="352"/>
      <c r="I84" s="357" t="s">
        <v>330</v>
      </c>
      <c r="J84" s="357" t="s">
        <v>357</v>
      </c>
      <c r="K84" s="353">
        <v>230</v>
      </c>
      <c r="L84" s="360">
        <v>0.85</v>
      </c>
      <c r="M84" s="352">
        <v>0.95</v>
      </c>
      <c r="N84" s="359">
        <v>6</v>
      </c>
      <c r="O84" s="359">
        <f t="shared" si="359"/>
        <v>0</v>
      </c>
      <c r="P84" s="360" t="str">
        <f t="shared" si="360"/>
        <v>0.00</v>
      </c>
      <c r="Q84" s="352">
        <v>65</v>
      </c>
      <c r="R84" s="352">
        <v>0</v>
      </c>
      <c r="S84" s="352">
        <f t="shared" si="361"/>
        <v>0</v>
      </c>
      <c r="T84" s="360" t="s">
        <v>131</v>
      </c>
      <c r="U84" s="352" t="s">
        <v>333</v>
      </c>
      <c r="V84" s="360">
        <v>4</v>
      </c>
      <c r="W84" s="360" t="str">
        <f t="shared" si="362"/>
        <v>3C X 4</v>
      </c>
      <c r="X84" s="360" t="str">
        <f t="shared" si="363"/>
        <v>3C X 4</v>
      </c>
      <c r="Y84" s="360" t="s">
        <v>358</v>
      </c>
      <c r="Z84" s="361">
        <f>IF(T84="AIR",VLOOKUP(W84,'Catalogue Aluminium'!$B$9:$G$93,2,FALSE),IF(T84="GROUND",VLOOKUP(W84,'Catalogue Aluminium'!$B$9:$G$93,3,FALSE),IF(T84="DUCT",VLOOKUP(W84,'Catalogue Aluminium'!$B$9:$G$93,4,FALSE),IF(T84="TRENCH",VLOOKUP(W84,'Catalogue Aluminium'!$B$9:$G$93,2,FALSE)))))</f>
        <v>38</v>
      </c>
      <c r="AA84" s="362">
        <f>VLOOKUP(W84,'Catalogue Aluminium'!$B$9:$G$93,5,FALSE)</f>
        <v>5.9</v>
      </c>
      <c r="AB84" s="362">
        <f>VLOOKUP(W84,'Catalogue Aluminium'!$B$9:$G$93,6,FALSE)</f>
        <v>9.4700000000000006E-2</v>
      </c>
      <c r="AC84" s="564"/>
      <c r="AD84" s="564"/>
      <c r="AE84" s="564">
        <v>10</v>
      </c>
      <c r="AF84" s="564">
        <v>8</v>
      </c>
      <c r="AG84" s="564">
        <f t="shared" si="396"/>
        <v>2</v>
      </c>
      <c r="AH84" s="363">
        <f t="shared" si="364"/>
        <v>20</v>
      </c>
      <c r="AI84" s="361">
        <f>IF(T84="AIR",'Catalogue Aluminium'!$K$9,IF(T84="TRENCH",'Catalogue Aluminium'!$K$12,"NA"))</f>
        <v>0.89</v>
      </c>
      <c r="AJ84" s="359">
        <f>IF(T84="Air",(IF(U84="1C",'Catalogue Aluminium'!$L$9,'Catalogue Aluminium'!$M$9)),IF(T84="DUCT",(IF($U84="1C",'Catalogue Aluminium'!$L$10,'Catalogue Aluminium'!$M$10)),IF(T84="GROUND",(IF($U84="1C",'Catalogue Aluminium'!$L$11,'Catalogue Aluminium'!$M$11)),IF(T84="TRENCH",(IF($U84="1C",'Catalogue Aluminium'!$L$12,'Catalogue Aluminium'!$M$12))))))</f>
        <v>0.66</v>
      </c>
      <c r="AK84" s="361" t="str">
        <f>IF(T84="Air",'Catalogue Aluminium'!$N$9,IF(T84="GROUND",'Catalogue Aluminium'!$N$10,IF(T84="DUCT",'Catalogue Aluminium'!$N$11,IF(T84="TRENCH",'Catalogue Aluminium'!$N$12,"NA"))))</f>
        <v>NA</v>
      </c>
      <c r="AL84" s="361" t="str">
        <f>IF(T84="Air",(IF(U84="1C",'Catalogue Aluminium'!$O$9,'Catalogue Aluminium'!$P$9)),IF(T84="DUCT",(IF($U84="1C",'Catalogue Aluminium'!$O$10,'Catalogue Aluminium'!$P$10)),IF(T84="GROUND",(IF($U84="1C",'Catalogue Aluminium'!$O$11,'Catalogue Aluminium'!$P$11)),IF(T84="TRENCH",(IF($U84="1C",'Catalogue Aluminium'!$O$12,'Catalogue Aluminium'!$P$12))))))</f>
        <v>NA</v>
      </c>
      <c r="AM84" s="361" t="str">
        <f>IF(T84="AIR","NA",IF(T84="TRENCH","NA",IF(T84="DUCT",IF(U84="1C",VLOOKUP(V84,'Catalogue Aluminium'!$Q$9:$S$28,2,FALSE),VLOOKUP(V84,'Catalogue Aluminium'!$Q$9:$S$28,3)),IF(T84="GROUND",IF(U84="1C",VLOOKUP(V84,'Catalogue Aluminium'!$Q$9:$S$28,2,FALSE),VLOOKUP(V84,'Catalogue Aluminium'!$Q$9:$S$28,3))))))</f>
        <v>NA</v>
      </c>
      <c r="AN84" s="365">
        <f t="shared" si="365"/>
        <v>0.58740000000000003</v>
      </c>
      <c r="AO84" s="352">
        <f t="shared" si="366"/>
        <v>22.321200000000001</v>
      </c>
      <c r="AP84" s="353">
        <f t="shared" si="367"/>
        <v>1</v>
      </c>
      <c r="AQ84" s="352" t="str">
        <f t="shared" si="368"/>
        <v>YES</v>
      </c>
      <c r="AR84" s="365">
        <f t="shared" si="369"/>
        <v>0.45770297956699862</v>
      </c>
      <c r="AS84" s="360" t="str">
        <f t="shared" si="370"/>
        <v>YES</v>
      </c>
      <c r="AT84" s="365" t="str">
        <f t="shared" si="371"/>
        <v>NA</v>
      </c>
      <c r="AU84" s="360" t="str">
        <f t="shared" si="372"/>
        <v>NA</v>
      </c>
      <c r="AV84" s="366" t="str">
        <f t="shared" si="373"/>
        <v>1R x 0.6/1kV x 3C x 4 Sqmm</v>
      </c>
      <c r="AW84" s="366" t="str">
        <f t="shared" si="374"/>
        <v>1R x 0.6/1kV x 3C x 4 Sqmm</v>
      </c>
      <c r="AX84" s="360"/>
      <c r="AY84" s="367"/>
      <c r="AZ84" s="367"/>
      <c r="BA84" s="751" t="str">
        <f t="shared" si="375"/>
        <v/>
      </c>
      <c r="BB84" s="368"/>
      <c r="BC84" s="368"/>
      <c r="BE84" s="368"/>
      <c r="BF84" s="368"/>
      <c r="BG84" s="368"/>
      <c r="BH84" s="368"/>
      <c r="BI84" s="368"/>
      <c r="BJ84" s="368"/>
      <c r="BK84" s="368"/>
      <c r="BL84" s="368"/>
      <c r="BM84" s="368"/>
      <c r="BN84" s="368"/>
      <c r="BO84" s="368"/>
      <c r="BP84" s="368"/>
      <c r="BQ84" s="368"/>
      <c r="BR84" s="368"/>
      <c r="BS84" s="368"/>
      <c r="BT84" s="368"/>
      <c r="BU84" s="368"/>
      <c r="BV84" s="368"/>
      <c r="BW84" s="368"/>
      <c r="BX84" s="368"/>
      <c r="BY84" s="368"/>
      <c r="BZ84" s="368"/>
      <c r="CA84" s="368"/>
      <c r="CB84" s="368"/>
      <c r="CC84" s="368"/>
      <c r="CD84" s="368"/>
      <c r="CE84" s="368"/>
      <c r="CF84" s="368"/>
      <c r="CG84" s="368"/>
      <c r="CH84" s="368"/>
      <c r="CI84" s="368"/>
      <c r="CJ84" s="368"/>
      <c r="CK84" s="368"/>
      <c r="CL84" s="368"/>
      <c r="CM84" s="368"/>
      <c r="CN84" s="368"/>
      <c r="CO84" s="368"/>
      <c r="CP84" s="368"/>
      <c r="CQ84" s="368"/>
      <c r="CR84" s="368"/>
      <c r="CS84" s="368"/>
      <c r="CT84" s="368"/>
      <c r="CU84" s="368"/>
      <c r="CV84" s="368"/>
      <c r="CW84" s="368"/>
      <c r="CX84" s="368"/>
      <c r="CY84" s="368"/>
      <c r="CZ84" s="368"/>
      <c r="DA84" s="368"/>
      <c r="DB84" s="368"/>
      <c r="DC84" s="368"/>
      <c r="DD84" s="368"/>
      <c r="DE84" s="368"/>
      <c r="DF84" s="368"/>
      <c r="DG84" s="368"/>
      <c r="DH84" s="368"/>
      <c r="DI84" s="368"/>
      <c r="DJ84" s="368"/>
      <c r="DK84" s="368"/>
      <c r="DL84" s="368"/>
      <c r="DM84" s="368"/>
      <c r="DN84" s="368"/>
      <c r="DO84" s="368"/>
      <c r="DP84" s="368"/>
      <c r="DQ84" s="368"/>
      <c r="DR84" s="368"/>
      <c r="DS84" s="368"/>
      <c r="DT84" s="368"/>
      <c r="DU84" s="368"/>
      <c r="DW84" s="368">
        <f t="shared" si="376"/>
        <v>0</v>
      </c>
      <c r="DX84" s="368">
        <f t="shared" si="311"/>
        <v>0</v>
      </c>
      <c r="DY84" s="368">
        <f t="shared" si="312"/>
        <v>0</v>
      </c>
      <c r="DZ84" s="368">
        <f t="shared" si="313"/>
        <v>0</v>
      </c>
      <c r="EA84" s="368">
        <f t="shared" si="314"/>
        <v>0</v>
      </c>
      <c r="EB84" s="368">
        <f t="shared" si="315"/>
        <v>0</v>
      </c>
      <c r="EC84" s="368">
        <f t="shared" si="316"/>
        <v>0</v>
      </c>
      <c r="ED84" s="368">
        <f t="shared" si="317"/>
        <v>0</v>
      </c>
      <c r="EE84" s="368">
        <f t="shared" si="318"/>
        <v>0</v>
      </c>
      <c r="EF84" s="368">
        <f t="shared" si="319"/>
        <v>0</v>
      </c>
      <c r="EG84" s="368">
        <f t="shared" si="320"/>
        <v>0</v>
      </c>
      <c r="EH84" s="368">
        <f t="shared" si="321"/>
        <v>0</v>
      </c>
      <c r="EI84" s="368">
        <f t="shared" si="322"/>
        <v>0</v>
      </c>
      <c r="EJ84" s="368">
        <f t="shared" si="323"/>
        <v>0</v>
      </c>
      <c r="EK84" s="368">
        <f t="shared" si="324"/>
        <v>0</v>
      </c>
      <c r="EL84" s="368">
        <f t="shared" si="325"/>
        <v>0</v>
      </c>
      <c r="EM84" s="368">
        <f t="shared" si="326"/>
        <v>0</v>
      </c>
      <c r="EN84" s="368">
        <f t="shared" si="327"/>
        <v>0</v>
      </c>
      <c r="EO84" s="368">
        <f t="shared" si="328"/>
        <v>0</v>
      </c>
      <c r="EP84" s="368">
        <f t="shared" si="329"/>
        <v>0</v>
      </c>
      <c r="EQ84" s="368">
        <f t="shared" si="330"/>
        <v>0</v>
      </c>
      <c r="ER84" s="368">
        <f t="shared" si="331"/>
        <v>0</v>
      </c>
      <c r="ES84" s="368">
        <f t="shared" si="332"/>
        <v>0</v>
      </c>
      <c r="ET84" s="368">
        <f t="shared" si="332"/>
        <v>0</v>
      </c>
      <c r="EU84" s="368">
        <f t="shared" si="333"/>
        <v>0</v>
      </c>
      <c r="EV84" s="368">
        <f t="shared" si="334"/>
        <v>0</v>
      </c>
      <c r="EW84" s="368">
        <f t="shared" si="335"/>
        <v>0</v>
      </c>
      <c r="EX84" s="368">
        <f t="shared" si="336"/>
        <v>0</v>
      </c>
      <c r="EY84" s="368">
        <f t="shared" si="337"/>
        <v>0</v>
      </c>
      <c r="EZ84" s="368">
        <f t="shared" si="338"/>
        <v>0</v>
      </c>
      <c r="FA84" s="368">
        <f t="shared" si="339"/>
        <v>0</v>
      </c>
      <c r="FB84" s="368">
        <f t="shared" si="340"/>
        <v>0</v>
      </c>
      <c r="FC84" s="368">
        <f t="shared" si="341"/>
        <v>0</v>
      </c>
      <c r="FD84" s="368">
        <f t="shared" si="342"/>
        <v>0</v>
      </c>
      <c r="FE84" s="368">
        <f t="shared" si="343"/>
        <v>0</v>
      </c>
      <c r="FF84" s="368">
        <f t="shared" si="344"/>
        <v>0</v>
      </c>
      <c r="FG84" s="368">
        <f t="shared" si="345"/>
        <v>0</v>
      </c>
      <c r="FH84" s="368">
        <f t="shared" si="346"/>
        <v>0</v>
      </c>
      <c r="FI84" s="368">
        <f t="shared" si="347"/>
        <v>0</v>
      </c>
      <c r="FJ84" s="368">
        <f t="shared" si="348"/>
        <v>0</v>
      </c>
      <c r="FK84" s="368">
        <f t="shared" si="349"/>
        <v>0</v>
      </c>
      <c r="FL84" s="368">
        <f t="shared" si="350"/>
        <v>0</v>
      </c>
      <c r="FM84" s="368">
        <f t="shared" si="351"/>
        <v>0</v>
      </c>
      <c r="FN84" s="368">
        <f t="shared" si="352"/>
        <v>0</v>
      </c>
      <c r="FO84" s="368">
        <f t="shared" si="353"/>
        <v>0</v>
      </c>
      <c r="FP84" s="368">
        <f t="shared" si="354"/>
        <v>0</v>
      </c>
      <c r="FQ84" s="368">
        <f t="shared" si="355"/>
        <v>0</v>
      </c>
      <c r="FR84" s="368">
        <f t="shared" si="356"/>
        <v>0</v>
      </c>
      <c r="FS84" s="368">
        <f t="shared" si="357"/>
        <v>0</v>
      </c>
      <c r="FT84" s="368">
        <f t="shared" si="358"/>
        <v>0</v>
      </c>
      <c r="FU84" s="368">
        <f t="shared" si="377"/>
        <v>0</v>
      </c>
      <c r="FV84" s="368">
        <f t="shared" si="378"/>
        <v>0</v>
      </c>
      <c r="FW84" s="368">
        <f t="shared" si="379"/>
        <v>0</v>
      </c>
      <c r="FX84" s="368">
        <f t="shared" si="380"/>
        <v>0</v>
      </c>
      <c r="FY84" s="368">
        <f t="shared" si="381"/>
        <v>0</v>
      </c>
      <c r="FZ84" s="368">
        <f t="shared" si="382"/>
        <v>0</v>
      </c>
      <c r="GA84" s="368">
        <f t="shared" si="383"/>
        <v>0</v>
      </c>
      <c r="GB84" s="368">
        <f t="shared" si="384"/>
        <v>0</v>
      </c>
      <c r="GC84" s="368">
        <f t="shared" si="385"/>
        <v>0</v>
      </c>
      <c r="GD84" s="368">
        <f t="shared" si="386"/>
        <v>0</v>
      </c>
      <c r="GE84" s="368">
        <f t="shared" si="387"/>
        <v>0</v>
      </c>
      <c r="GF84" s="368">
        <f t="shared" si="388"/>
        <v>0</v>
      </c>
      <c r="GG84" s="368">
        <f t="shared" si="389"/>
        <v>0</v>
      </c>
      <c r="GH84" s="368">
        <f t="shared" si="390"/>
        <v>0</v>
      </c>
      <c r="GI84" s="368">
        <f t="shared" si="391"/>
        <v>0</v>
      </c>
      <c r="GJ84" s="368">
        <f t="shared" si="392"/>
        <v>0</v>
      </c>
      <c r="GK84" s="368">
        <f t="shared" si="393"/>
        <v>0</v>
      </c>
      <c r="GL84" s="368">
        <f t="shared" si="394"/>
        <v>0</v>
      </c>
      <c r="GM84" s="368">
        <f t="shared" si="395"/>
        <v>0</v>
      </c>
    </row>
    <row r="85" spans="1:195" s="83" customFormat="1" hidden="1">
      <c r="A85" s="357" t="s">
        <v>334</v>
      </c>
      <c r="B85" s="357"/>
      <c r="C85" s="357"/>
      <c r="D85" s="395" t="s">
        <v>1532</v>
      </c>
      <c r="E85" s="493" t="s">
        <v>1513</v>
      </c>
      <c r="F85" s="493"/>
      <c r="G85" s="357" t="s">
        <v>329</v>
      </c>
      <c r="H85" s="352"/>
      <c r="I85" s="357" t="s">
        <v>330</v>
      </c>
      <c r="J85" s="357" t="s">
        <v>357</v>
      </c>
      <c r="K85" s="353">
        <v>230</v>
      </c>
      <c r="L85" s="360">
        <v>0.85</v>
      </c>
      <c r="M85" s="352">
        <v>0.95</v>
      </c>
      <c r="N85" s="359">
        <v>6</v>
      </c>
      <c r="O85" s="359">
        <f t="shared" si="359"/>
        <v>0</v>
      </c>
      <c r="P85" s="360" t="str">
        <f t="shared" si="360"/>
        <v>0.00</v>
      </c>
      <c r="Q85" s="352">
        <v>65</v>
      </c>
      <c r="R85" s="352">
        <v>0</v>
      </c>
      <c r="S85" s="352">
        <f t="shared" si="361"/>
        <v>0</v>
      </c>
      <c r="T85" s="360" t="s">
        <v>131</v>
      </c>
      <c r="U85" s="352" t="s">
        <v>333</v>
      </c>
      <c r="V85" s="360">
        <v>4</v>
      </c>
      <c r="W85" s="360" t="str">
        <f t="shared" si="362"/>
        <v>3C X 4</v>
      </c>
      <c r="X85" s="360" t="str">
        <f t="shared" si="363"/>
        <v>3C X 4</v>
      </c>
      <c r="Y85" s="360" t="s">
        <v>358</v>
      </c>
      <c r="Z85" s="361">
        <f>IF(T85="AIR",VLOOKUP(W85,'Catalogue Aluminium'!$B$9:$G$93,2,FALSE),IF(T85="GROUND",VLOOKUP(W85,'Catalogue Aluminium'!$B$9:$G$93,3,FALSE),IF(T85="DUCT",VLOOKUP(W85,'Catalogue Aluminium'!$B$9:$G$93,4,FALSE),IF(T85="TRENCH",VLOOKUP(W85,'Catalogue Aluminium'!$B$9:$G$93,2,FALSE)))))</f>
        <v>38</v>
      </c>
      <c r="AA85" s="362">
        <f>VLOOKUP(W85,'Catalogue Aluminium'!$B$9:$G$93,5,FALSE)</f>
        <v>5.9</v>
      </c>
      <c r="AB85" s="362">
        <f>VLOOKUP(W85,'Catalogue Aluminium'!$B$9:$G$93,6,FALSE)</f>
        <v>9.4700000000000006E-2</v>
      </c>
      <c r="AC85" s="564"/>
      <c r="AD85" s="564"/>
      <c r="AE85" s="564">
        <v>10</v>
      </c>
      <c r="AF85" s="564">
        <v>8</v>
      </c>
      <c r="AG85" s="564">
        <f t="shared" si="396"/>
        <v>2</v>
      </c>
      <c r="AH85" s="363">
        <f t="shared" si="364"/>
        <v>20</v>
      </c>
      <c r="AI85" s="361">
        <f>IF(T85="AIR",'Catalogue Aluminium'!$K$9,IF(T85="TRENCH",'Catalogue Aluminium'!$K$12,"NA"))</f>
        <v>0.89</v>
      </c>
      <c r="AJ85" s="359">
        <f>IF(T85="Air",(IF(U85="1C",'Catalogue Aluminium'!$L$9,'Catalogue Aluminium'!$M$9)),IF(T85="DUCT",(IF($U85="1C",'Catalogue Aluminium'!$L$10,'Catalogue Aluminium'!$M$10)),IF(T85="GROUND",(IF($U85="1C",'Catalogue Aluminium'!$L$11,'Catalogue Aluminium'!$M$11)),IF(T85="TRENCH",(IF($U85="1C",'Catalogue Aluminium'!$L$12,'Catalogue Aluminium'!$M$12))))))</f>
        <v>0.66</v>
      </c>
      <c r="AK85" s="361" t="str">
        <f>IF(T85="Air",'Catalogue Aluminium'!$N$9,IF(T85="GROUND",'Catalogue Aluminium'!$N$10,IF(T85="DUCT",'Catalogue Aluminium'!$N$11,IF(T85="TRENCH",'Catalogue Aluminium'!$N$12,"NA"))))</f>
        <v>NA</v>
      </c>
      <c r="AL85" s="361" t="str">
        <f>IF(T85="Air",(IF(U85="1C",'Catalogue Aluminium'!$O$9,'Catalogue Aluminium'!$P$9)),IF(T85="DUCT",(IF($U85="1C",'Catalogue Aluminium'!$O$10,'Catalogue Aluminium'!$P$10)),IF(T85="GROUND",(IF($U85="1C",'Catalogue Aluminium'!$O$11,'Catalogue Aluminium'!$P$11)),IF(T85="TRENCH",(IF($U85="1C",'Catalogue Aluminium'!$O$12,'Catalogue Aluminium'!$P$12))))))</f>
        <v>NA</v>
      </c>
      <c r="AM85" s="361" t="str">
        <f>IF(T85="AIR","NA",IF(T85="TRENCH","NA",IF(T85="DUCT",IF(U85="1C",VLOOKUP(V85,'Catalogue Aluminium'!$Q$9:$S$28,2,FALSE),VLOOKUP(V85,'Catalogue Aluminium'!$Q$9:$S$28,3)),IF(T85="GROUND",IF(U85="1C",VLOOKUP(V85,'Catalogue Aluminium'!$Q$9:$S$28,2,FALSE),VLOOKUP(V85,'Catalogue Aluminium'!$Q$9:$S$28,3))))))</f>
        <v>NA</v>
      </c>
      <c r="AN85" s="365">
        <f t="shared" si="365"/>
        <v>0.58740000000000003</v>
      </c>
      <c r="AO85" s="352">
        <f t="shared" si="366"/>
        <v>22.321200000000001</v>
      </c>
      <c r="AP85" s="353">
        <f t="shared" si="367"/>
        <v>1</v>
      </c>
      <c r="AQ85" s="352" t="str">
        <f t="shared" si="368"/>
        <v>YES</v>
      </c>
      <c r="AR85" s="365">
        <f t="shared" si="369"/>
        <v>0.45770297956699862</v>
      </c>
      <c r="AS85" s="360" t="str">
        <f t="shared" si="370"/>
        <v>YES</v>
      </c>
      <c r="AT85" s="365" t="str">
        <f t="shared" si="371"/>
        <v>NA</v>
      </c>
      <c r="AU85" s="360" t="str">
        <f t="shared" si="372"/>
        <v>NA</v>
      </c>
      <c r="AV85" s="366" t="str">
        <f t="shared" si="373"/>
        <v>1R x 0.6/1kV x 3C x 4 Sqmm</v>
      </c>
      <c r="AW85" s="366" t="str">
        <f t="shared" si="374"/>
        <v>1R x 0.6/1kV x 3C x 4 Sqmm</v>
      </c>
      <c r="AX85" s="360"/>
      <c r="AY85" s="367"/>
      <c r="AZ85" s="367"/>
      <c r="BA85" s="751" t="str">
        <f t="shared" si="375"/>
        <v/>
      </c>
      <c r="BB85" s="368"/>
      <c r="BC85" s="368"/>
      <c r="BE85" s="368"/>
      <c r="BF85" s="368"/>
      <c r="BG85" s="368"/>
      <c r="BH85" s="368"/>
      <c r="BI85" s="368"/>
      <c r="BJ85" s="368"/>
      <c r="BK85" s="368"/>
      <c r="BL85" s="368"/>
      <c r="BM85" s="368"/>
      <c r="BN85" s="368"/>
      <c r="BO85" s="368"/>
      <c r="BP85" s="368"/>
      <c r="BQ85" s="368"/>
      <c r="BR85" s="368"/>
      <c r="BS85" s="368"/>
      <c r="BT85" s="368"/>
      <c r="BU85" s="368"/>
      <c r="BV85" s="368"/>
      <c r="BW85" s="368"/>
      <c r="BX85" s="368"/>
      <c r="BY85" s="368"/>
      <c r="BZ85" s="368"/>
      <c r="CA85" s="368"/>
      <c r="CB85" s="368"/>
      <c r="CC85" s="368"/>
      <c r="CD85" s="368"/>
      <c r="CE85" s="368"/>
      <c r="CF85" s="368"/>
      <c r="CG85" s="368"/>
      <c r="CH85" s="368"/>
      <c r="CI85" s="368"/>
      <c r="CJ85" s="368"/>
      <c r="CK85" s="368"/>
      <c r="CL85" s="368"/>
      <c r="CM85" s="368"/>
      <c r="CN85" s="368"/>
      <c r="CO85" s="368"/>
      <c r="CP85" s="368"/>
      <c r="CQ85" s="368"/>
      <c r="CR85" s="368"/>
      <c r="CS85" s="368"/>
      <c r="CT85" s="368"/>
      <c r="CU85" s="368"/>
      <c r="CV85" s="368"/>
      <c r="CW85" s="368"/>
      <c r="CX85" s="368"/>
      <c r="CY85" s="368"/>
      <c r="CZ85" s="368"/>
      <c r="DA85" s="368"/>
      <c r="DB85" s="368"/>
      <c r="DC85" s="368"/>
      <c r="DD85" s="368"/>
      <c r="DE85" s="368"/>
      <c r="DF85" s="368"/>
      <c r="DG85" s="368"/>
      <c r="DH85" s="368"/>
      <c r="DI85" s="368"/>
      <c r="DJ85" s="368"/>
      <c r="DK85" s="368"/>
      <c r="DL85" s="368"/>
      <c r="DM85" s="368"/>
      <c r="DN85" s="368"/>
      <c r="DO85" s="368"/>
      <c r="DP85" s="368"/>
      <c r="DQ85" s="368"/>
      <c r="DR85" s="368"/>
      <c r="DS85" s="368"/>
      <c r="DT85" s="368"/>
      <c r="DU85" s="368"/>
      <c r="DW85" s="368">
        <f t="shared" si="376"/>
        <v>0</v>
      </c>
      <c r="DX85" s="368">
        <f t="shared" si="311"/>
        <v>0</v>
      </c>
      <c r="DY85" s="368">
        <f t="shared" si="312"/>
        <v>0</v>
      </c>
      <c r="DZ85" s="368">
        <f t="shared" si="313"/>
        <v>0</v>
      </c>
      <c r="EA85" s="368">
        <f t="shared" si="314"/>
        <v>0</v>
      </c>
      <c r="EB85" s="368">
        <f t="shared" si="315"/>
        <v>0</v>
      </c>
      <c r="EC85" s="368">
        <f t="shared" si="316"/>
        <v>0</v>
      </c>
      <c r="ED85" s="368">
        <f t="shared" si="317"/>
        <v>0</v>
      </c>
      <c r="EE85" s="368">
        <f t="shared" si="318"/>
        <v>0</v>
      </c>
      <c r="EF85" s="368">
        <f t="shared" si="319"/>
        <v>0</v>
      </c>
      <c r="EG85" s="368">
        <f t="shared" si="320"/>
        <v>0</v>
      </c>
      <c r="EH85" s="368">
        <f t="shared" si="321"/>
        <v>0</v>
      </c>
      <c r="EI85" s="368">
        <f t="shared" si="322"/>
        <v>0</v>
      </c>
      <c r="EJ85" s="368">
        <f t="shared" si="323"/>
        <v>0</v>
      </c>
      <c r="EK85" s="368">
        <f t="shared" si="324"/>
        <v>0</v>
      </c>
      <c r="EL85" s="368">
        <f t="shared" si="325"/>
        <v>0</v>
      </c>
      <c r="EM85" s="368">
        <f t="shared" si="326"/>
        <v>0</v>
      </c>
      <c r="EN85" s="368">
        <f t="shared" si="327"/>
        <v>0</v>
      </c>
      <c r="EO85" s="368">
        <f t="shared" si="328"/>
        <v>0</v>
      </c>
      <c r="EP85" s="368">
        <f t="shared" si="329"/>
        <v>0</v>
      </c>
      <c r="EQ85" s="368">
        <f t="shared" si="330"/>
        <v>0</v>
      </c>
      <c r="ER85" s="368">
        <f t="shared" si="331"/>
        <v>0</v>
      </c>
      <c r="ES85" s="368">
        <f t="shared" si="332"/>
        <v>0</v>
      </c>
      <c r="ET85" s="368">
        <f t="shared" si="332"/>
        <v>0</v>
      </c>
      <c r="EU85" s="368">
        <f t="shared" si="333"/>
        <v>0</v>
      </c>
      <c r="EV85" s="368">
        <f t="shared" si="334"/>
        <v>0</v>
      </c>
      <c r="EW85" s="368">
        <f t="shared" si="335"/>
        <v>0</v>
      </c>
      <c r="EX85" s="368">
        <f t="shared" si="336"/>
        <v>0</v>
      </c>
      <c r="EY85" s="368">
        <f t="shared" si="337"/>
        <v>0</v>
      </c>
      <c r="EZ85" s="368">
        <f t="shared" si="338"/>
        <v>0</v>
      </c>
      <c r="FA85" s="368">
        <f t="shared" si="339"/>
        <v>0</v>
      </c>
      <c r="FB85" s="368">
        <f t="shared" si="340"/>
        <v>0</v>
      </c>
      <c r="FC85" s="368">
        <f t="shared" si="341"/>
        <v>0</v>
      </c>
      <c r="FD85" s="368">
        <f t="shared" si="342"/>
        <v>0</v>
      </c>
      <c r="FE85" s="368">
        <f t="shared" si="343"/>
        <v>0</v>
      </c>
      <c r="FF85" s="368">
        <f t="shared" si="344"/>
        <v>0</v>
      </c>
      <c r="FG85" s="368">
        <f t="shared" si="345"/>
        <v>0</v>
      </c>
      <c r="FH85" s="368">
        <f t="shared" si="346"/>
        <v>0</v>
      </c>
      <c r="FI85" s="368">
        <f t="shared" si="347"/>
        <v>0</v>
      </c>
      <c r="FJ85" s="368">
        <f t="shared" si="348"/>
        <v>0</v>
      </c>
      <c r="FK85" s="368">
        <f t="shared" si="349"/>
        <v>0</v>
      </c>
      <c r="FL85" s="368">
        <f t="shared" si="350"/>
        <v>0</v>
      </c>
      <c r="FM85" s="368">
        <f t="shared" si="351"/>
        <v>0</v>
      </c>
      <c r="FN85" s="368">
        <f t="shared" si="352"/>
        <v>0</v>
      </c>
      <c r="FO85" s="368">
        <f t="shared" si="353"/>
        <v>0</v>
      </c>
      <c r="FP85" s="368">
        <f t="shared" si="354"/>
        <v>0</v>
      </c>
      <c r="FQ85" s="368">
        <f t="shared" si="355"/>
        <v>0</v>
      </c>
      <c r="FR85" s="368">
        <f t="shared" si="356"/>
        <v>0</v>
      </c>
      <c r="FS85" s="368">
        <f t="shared" si="357"/>
        <v>0</v>
      </c>
      <c r="FT85" s="368">
        <f t="shared" si="358"/>
        <v>0</v>
      </c>
      <c r="FU85" s="368">
        <f t="shared" si="377"/>
        <v>0</v>
      </c>
      <c r="FV85" s="368">
        <f t="shared" si="378"/>
        <v>0</v>
      </c>
      <c r="FW85" s="368">
        <f t="shared" si="379"/>
        <v>0</v>
      </c>
      <c r="FX85" s="368">
        <f t="shared" si="380"/>
        <v>0</v>
      </c>
      <c r="FY85" s="368">
        <f t="shared" si="381"/>
        <v>0</v>
      </c>
      <c r="FZ85" s="368">
        <f t="shared" si="382"/>
        <v>0</v>
      </c>
      <c r="GA85" s="368">
        <f t="shared" si="383"/>
        <v>0</v>
      </c>
      <c r="GB85" s="368">
        <f t="shared" si="384"/>
        <v>0</v>
      </c>
      <c r="GC85" s="368">
        <f t="shared" si="385"/>
        <v>0</v>
      </c>
      <c r="GD85" s="368">
        <f t="shared" si="386"/>
        <v>0</v>
      </c>
      <c r="GE85" s="368">
        <f t="shared" si="387"/>
        <v>0</v>
      </c>
      <c r="GF85" s="368">
        <f t="shared" si="388"/>
        <v>0</v>
      </c>
      <c r="GG85" s="368">
        <f t="shared" si="389"/>
        <v>0</v>
      </c>
      <c r="GH85" s="368">
        <f t="shared" si="390"/>
        <v>0</v>
      </c>
      <c r="GI85" s="368">
        <f t="shared" si="391"/>
        <v>0</v>
      </c>
      <c r="GJ85" s="368">
        <f t="shared" si="392"/>
        <v>0</v>
      </c>
      <c r="GK85" s="368">
        <f t="shared" si="393"/>
        <v>0</v>
      </c>
      <c r="GL85" s="368">
        <f t="shared" si="394"/>
        <v>0</v>
      </c>
      <c r="GM85" s="368">
        <f t="shared" si="395"/>
        <v>0</v>
      </c>
    </row>
    <row r="86" spans="1:195" s="83" customFormat="1" hidden="1">
      <c r="A86" s="357" t="s">
        <v>334</v>
      </c>
      <c r="B86" s="357"/>
      <c r="C86" s="357"/>
      <c r="D86" s="395" t="s">
        <v>1533</v>
      </c>
      <c r="E86" s="493" t="s">
        <v>1513</v>
      </c>
      <c r="F86" s="493"/>
      <c r="G86" s="357" t="s">
        <v>329</v>
      </c>
      <c r="H86" s="352"/>
      <c r="I86" s="357" t="s">
        <v>330</v>
      </c>
      <c r="J86" s="357" t="s">
        <v>357</v>
      </c>
      <c r="K86" s="353">
        <v>230</v>
      </c>
      <c r="L86" s="360">
        <v>0.85</v>
      </c>
      <c r="M86" s="352">
        <v>0.95</v>
      </c>
      <c r="N86" s="359">
        <v>6</v>
      </c>
      <c r="O86" s="359">
        <f t="shared" si="359"/>
        <v>0</v>
      </c>
      <c r="P86" s="360" t="str">
        <f t="shared" si="360"/>
        <v>0.00</v>
      </c>
      <c r="Q86" s="352">
        <v>65</v>
      </c>
      <c r="R86" s="352">
        <v>0</v>
      </c>
      <c r="S86" s="352">
        <f t="shared" si="361"/>
        <v>0</v>
      </c>
      <c r="T86" s="360" t="s">
        <v>131</v>
      </c>
      <c r="U86" s="352" t="s">
        <v>333</v>
      </c>
      <c r="V86" s="360">
        <v>4</v>
      </c>
      <c r="W86" s="360" t="str">
        <f t="shared" si="362"/>
        <v>3C X 4</v>
      </c>
      <c r="X86" s="360" t="str">
        <f t="shared" si="363"/>
        <v>3C X 4</v>
      </c>
      <c r="Y86" s="360" t="s">
        <v>358</v>
      </c>
      <c r="Z86" s="361">
        <f>IF(T86="AIR",VLOOKUP(W86,'Catalogue Aluminium'!$B$9:$G$93,2,FALSE),IF(T86="GROUND",VLOOKUP(W86,'Catalogue Aluminium'!$B$9:$G$93,3,FALSE),IF(T86="DUCT",VLOOKUP(W86,'Catalogue Aluminium'!$B$9:$G$93,4,FALSE),IF(T86="TRENCH",VLOOKUP(W86,'Catalogue Aluminium'!$B$9:$G$93,2,FALSE)))))</f>
        <v>38</v>
      </c>
      <c r="AA86" s="362">
        <f>VLOOKUP(W86,'Catalogue Aluminium'!$B$9:$G$93,5,FALSE)</f>
        <v>5.9</v>
      </c>
      <c r="AB86" s="362">
        <f>VLOOKUP(W86,'Catalogue Aluminium'!$B$9:$G$93,6,FALSE)</f>
        <v>9.4700000000000006E-2</v>
      </c>
      <c r="AC86" s="564"/>
      <c r="AD86" s="564"/>
      <c r="AE86" s="564">
        <v>10</v>
      </c>
      <c r="AF86" s="564">
        <v>8</v>
      </c>
      <c r="AG86" s="564">
        <f t="shared" si="396"/>
        <v>2</v>
      </c>
      <c r="AH86" s="363">
        <f t="shared" si="364"/>
        <v>20</v>
      </c>
      <c r="AI86" s="361">
        <f>IF(T86="AIR",'Catalogue Aluminium'!$K$9,IF(T86="TRENCH",'Catalogue Aluminium'!$K$12,"NA"))</f>
        <v>0.89</v>
      </c>
      <c r="AJ86" s="359">
        <f>IF(T86="Air",(IF(U86="1C",'Catalogue Aluminium'!$L$9,'Catalogue Aluminium'!$M$9)),IF(T86="DUCT",(IF($U86="1C",'Catalogue Aluminium'!$L$10,'Catalogue Aluminium'!$M$10)),IF(T86="GROUND",(IF($U86="1C",'Catalogue Aluminium'!$L$11,'Catalogue Aluminium'!$M$11)),IF(T86="TRENCH",(IF($U86="1C",'Catalogue Aluminium'!$L$12,'Catalogue Aluminium'!$M$12))))))</f>
        <v>0.66</v>
      </c>
      <c r="AK86" s="361" t="str">
        <f>IF(T86="Air",'Catalogue Aluminium'!$N$9,IF(T86="GROUND",'Catalogue Aluminium'!$N$10,IF(T86="DUCT",'Catalogue Aluminium'!$N$11,IF(T86="TRENCH",'Catalogue Aluminium'!$N$12,"NA"))))</f>
        <v>NA</v>
      </c>
      <c r="AL86" s="361" t="str">
        <f>IF(T86="Air",(IF(U86="1C",'Catalogue Aluminium'!$O$9,'Catalogue Aluminium'!$P$9)),IF(T86="DUCT",(IF($U86="1C",'Catalogue Aluminium'!$O$10,'Catalogue Aluminium'!$P$10)),IF(T86="GROUND",(IF($U86="1C",'Catalogue Aluminium'!$O$11,'Catalogue Aluminium'!$P$11)),IF(T86="TRENCH",(IF($U86="1C",'Catalogue Aluminium'!$O$12,'Catalogue Aluminium'!$P$12))))))</f>
        <v>NA</v>
      </c>
      <c r="AM86" s="361" t="str">
        <f>IF(T86="AIR","NA",IF(T86="TRENCH","NA",IF(T86="DUCT",IF(U86="1C",VLOOKUP(V86,'Catalogue Aluminium'!$Q$9:$S$28,2,FALSE),VLOOKUP(V86,'Catalogue Aluminium'!$Q$9:$S$28,3)),IF(T86="GROUND",IF(U86="1C",VLOOKUP(V86,'Catalogue Aluminium'!$Q$9:$S$28,2,FALSE),VLOOKUP(V86,'Catalogue Aluminium'!$Q$9:$S$28,3))))))</f>
        <v>NA</v>
      </c>
      <c r="AN86" s="365">
        <f t="shared" si="365"/>
        <v>0.58740000000000003</v>
      </c>
      <c r="AO86" s="352">
        <f t="shared" si="366"/>
        <v>22.321200000000001</v>
      </c>
      <c r="AP86" s="353">
        <f t="shared" si="367"/>
        <v>1</v>
      </c>
      <c r="AQ86" s="352" t="str">
        <f t="shared" si="368"/>
        <v>YES</v>
      </c>
      <c r="AR86" s="365">
        <f t="shared" si="369"/>
        <v>0.45770297956699862</v>
      </c>
      <c r="AS86" s="360" t="str">
        <f t="shared" si="370"/>
        <v>YES</v>
      </c>
      <c r="AT86" s="365" t="str">
        <f t="shared" si="371"/>
        <v>NA</v>
      </c>
      <c r="AU86" s="360" t="str">
        <f t="shared" si="372"/>
        <v>NA</v>
      </c>
      <c r="AV86" s="366" t="str">
        <f t="shared" si="373"/>
        <v>1R x 0.6/1kV x 3C x 4 Sqmm</v>
      </c>
      <c r="AW86" s="366" t="str">
        <f t="shared" si="374"/>
        <v>1R x 0.6/1kV x 3C x 4 Sqmm</v>
      </c>
      <c r="AX86" s="360"/>
      <c r="AY86" s="367"/>
      <c r="AZ86" s="367"/>
      <c r="BA86" s="751" t="str">
        <f t="shared" si="375"/>
        <v/>
      </c>
      <c r="BB86" s="368"/>
      <c r="BC86" s="368"/>
      <c r="BE86" s="368"/>
      <c r="BF86" s="368"/>
      <c r="BG86" s="368"/>
      <c r="BH86" s="368"/>
      <c r="BI86" s="368"/>
      <c r="BJ86" s="368"/>
      <c r="BK86" s="368"/>
      <c r="BL86" s="368"/>
      <c r="BM86" s="368"/>
      <c r="BN86" s="368"/>
      <c r="BO86" s="368"/>
      <c r="BP86" s="368"/>
      <c r="BQ86" s="368"/>
      <c r="BR86" s="368"/>
      <c r="BS86" s="368"/>
      <c r="BT86" s="368"/>
      <c r="BU86" s="368"/>
      <c r="BV86" s="368"/>
      <c r="BW86" s="368"/>
      <c r="BX86" s="368"/>
      <c r="BY86" s="368"/>
      <c r="BZ86" s="368"/>
      <c r="CA86" s="368"/>
      <c r="CB86" s="368"/>
      <c r="CC86" s="368"/>
      <c r="CD86" s="368"/>
      <c r="CE86" s="368"/>
      <c r="CF86" s="368"/>
      <c r="CG86" s="368"/>
      <c r="CH86" s="368"/>
      <c r="CI86" s="368"/>
      <c r="CJ86" s="368"/>
      <c r="CK86" s="368"/>
      <c r="CL86" s="368"/>
      <c r="CM86" s="368"/>
      <c r="CN86" s="368"/>
      <c r="CO86" s="368"/>
      <c r="CP86" s="368"/>
      <c r="CQ86" s="368"/>
      <c r="CR86" s="368"/>
      <c r="CS86" s="368"/>
      <c r="CT86" s="368"/>
      <c r="CU86" s="368"/>
      <c r="CV86" s="368"/>
      <c r="CW86" s="368"/>
      <c r="CX86" s="368"/>
      <c r="CY86" s="368"/>
      <c r="CZ86" s="368"/>
      <c r="DA86" s="368"/>
      <c r="DB86" s="368"/>
      <c r="DC86" s="368"/>
      <c r="DD86" s="368"/>
      <c r="DE86" s="368"/>
      <c r="DF86" s="368"/>
      <c r="DG86" s="368"/>
      <c r="DH86" s="368"/>
      <c r="DI86" s="368"/>
      <c r="DJ86" s="368"/>
      <c r="DK86" s="368"/>
      <c r="DL86" s="368"/>
      <c r="DM86" s="368"/>
      <c r="DN86" s="368"/>
      <c r="DO86" s="368"/>
      <c r="DP86" s="368"/>
      <c r="DQ86" s="368"/>
      <c r="DR86" s="368"/>
      <c r="DS86" s="368"/>
      <c r="DT86" s="368"/>
      <c r="DU86" s="368"/>
      <c r="DW86" s="368">
        <f t="shared" si="376"/>
        <v>0</v>
      </c>
      <c r="DX86" s="368">
        <f t="shared" si="311"/>
        <v>0</v>
      </c>
      <c r="DY86" s="368">
        <f t="shared" si="312"/>
        <v>0</v>
      </c>
      <c r="DZ86" s="368">
        <f t="shared" si="313"/>
        <v>0</v>
      </c>
      <c r="EA86" s="368">
        <f t="shared" si="314"/>
        <v>0</v>
      </c>
      <c r="EB86" s="368">
        <f t="shared" si="315"/>
        <v>0</v>
      </c>
      <c r="EC86" s="368">
        <f t="shared" si="316"/>
        <v>0</v>
      </c>
      <c r="ED86" s="368">
        <f t="shared" si="317"/>
        <v>0</v>
      </c>
      <c r="EE86" s="368">
        <f t="shared" si="318"/>
        <v>0</v>
      </c>
      <c r="EF86" s="368">
        <f t="shared" si="319"/>
        <v>0</v>
      </c>
      <c r="EG86" s="368">
        <f t="shared" si="320"/>
        <v>0</v>
      </c>
      <c r="EH86" s="368">
        <f t="shared" si="321"/>
        <v>0</v>
      </c>
      <c r="EI86" s="368">
        <f t="shared" si="322"/>
        <v>0</v>
      </c>
      <c r="EJ86" s="368">
        <f t="shared" si="323"/>
        <v>0</v>
      </c>
      <c r="EK86" s="368">
        <f t="shared" si="324"/>
        <v>0</v>
      </c>
      <c r="EL86" s="368">
        <f t="shared" si="325"/>
        <v>0</v>
      </c>
      <c r="EM86" s="368">
        <f t="shared" si="326"/>
        <v>0</v>
      </c>
      <c r="EN86" s="368">
        <f t="shared" si="327"/>
        <v>0</v>
      </c>
      <c r="EO86" s="368">
        <f t="shared" si="328"/>
        <v>0</v>
      </c>
      <c r="EP86" s="368">
        <f t="shared" si="329"/>
        <v>0</v>
      </c>
      <c r="EQ86" s="368">
        <f t="shared" si="330"/>
        <v>0</v>
      </c>
      <c r="ER86" s="368">
        <f t="shared" si="331"/>
        <v>0</v>
      </c>
      <c r="ES86" s="368">
        <f t="shared" si="332"/>
        <v>0</v>
      </c>
      <c r="ET86" s="368">
        <f t="shared" si="332"/>
        <v>0</v>
      </c>
      <c r="EU86" s="368">
        <f t="shared" si="333"/>
        <v>0</v>
      </c>
      <c r="EV86" s="368">
        <f t="shared" si="334"/>
        <v>0</v>
      </c>
      <c r="EW86" s="368">
        <f t="shared" si="335"/>
        <v>0</v>
      </c>
      <c r="EX86" s="368">
        <f t="shared" si="336"/>
        <v>0</v>
      </c>
      <c r="EY86" s="368">
        <f t="shared" si="337"/>
        <v>0</v>
      </c>
      <c r="EZ86" s="368">
        <f t="shared" si="338"/>
        <v>0</v>
      </c>
      <c r="FA86" s="368">
        <f t="shared" si="339"/>
        <v>0</v>
      </c>
      <c r="FB86" s="368">
        <f t="shared" si="340"/>
        <v>0</v>
      </c>
      <c r="FC86" s="368">
        <f t="shared" si="341"/>
        <v>0</v>
      </c>
      <c r="FD86" s="368">
        <f t="shared" si="342"/>
        <v>0</v>
      </c>
      <c r="FE86" s="368">
        <f t="shared" si="343"/>
        <v>0</v>
      </c>
      <c r="FF86" s="368">
        <f t="shared" si="344"/>
        <v>0</v>
      </c>
      <c r="FG86" s="368">
        <f t="shared" si="345"/>
        <v>0</v>
      </c>
      <c r="FH86" s="368">
        <f t="shared" si="346"/>
        <v>0</v>
      </c>
      <c r="FI86" s="368">
        <f t="shared" si="347"/>
        <v>0</v>
      </c>
      <c r="FJ86" s="368">
        <f t="shared" si="348"/>
        <v>0</v>
      </c>
      <c r="FK86" s="368">
        <f t="shared" si="349"/>
        <v>0</v>
      </c>
      <c r="FL86" s="368">
        <f t="shared" si="350"/>
        <v>0</v>
      </c>
      <c r="FM86" s="368">
        <f t="shared" si="351"/>
        <v>0</v>
      </c>
      <c r="FN86" s="368">
        <f t="shared" si="352"/>
        <v>0</v>
      </c>
      <c r="FO86" s="368">
        <f t="shared" si="353"/>
        <v>0</v>
      </c>
      <c r="FP86" s="368">
        <f t="shared" si="354"/>
        <v>0</v>
      </c>
      <c r="FQ86" s="368">
        <f t="shared" si="355"/>
        <v>0</v>
      </c>
      <c r="FR86" s="368">
        <f t="shared" si="356"/>
        <v>0</v>
      </c>
      <c r="FS86" s="368">
        <f t="shared" si="357"/>
        <v>0</v>
      </c>
      <c r="FT86" s="368">
        <f t="shared" si="358"/>
        <v>0</v>
      </c>
      <c r="FU86" s="368">
        <f t="shared" si="377"/>
        <v>0</v>
      </c>
      <c r="FV86" s="368">
        <f t="shared" si="378"/>
        <v>0</v>
      </c>
      <c r="FW86" s="368">
        <f t="shared" si="379"/>
        <v>0</v>
      </c>
      <c r="FX86" s="368">
        <f t="shared" si="380"/>
        <v>0</v>
      </c>
      <c r="FY86" s="368">
        <f t="shared" si="381"/>
        <v>0</v>
      </c>
      <c r="FZ86" s="368">
        <f t="shared" si="382"/>
        <v>0</v>
      </c>
      <c r="GA86" s="368">
        <f t="shared" si="383"/>
        <v>0</v>
      </c>
      <c r="GB86" s="368">
        <f t="shared" si="384"/>
        <v>0</v>
      </c>
      <c r="GC86" s="368">
        <f t="shared" si="385"/>
        <v>0</v>
      </c>
      <c r="GD86" s="368">
        <f t="shared" si="386"/>
        <v>0</v>
      </c>
      <c r="GE86" s="368">
        <f t="shared" si="387"/>
        <v>0</v>
      </c>
      <c r="GF86" s="368">
        <f t="shared" si="388"/>
        <v>0</v>
      </c>
      <c r="GG86" s="368">
        <f t="shared" si="389"/>
        <v>0</v>
      </c>
      <c r="GH86" s="368">
        <f t="shared" si="390"/>
        <v>0</v>
      </c>
      <c r="GI86" s="368">
        <f t="shared" si="391"/>
        <v>0</v>
      </c>
      <c r="GJ86" s="368">
        <f t="shared" si="392"/>
        <v>0</v>
      </c>
      <c r="GK86" s="368">
        <f t="shared" si="393"/>
        <v>0</v>
      </c>
      <c r="GL86" s="368">
        <f t="shared" si="394"/>
        <v>0</v>
      </c>
      <c r="GM86" s="368">
        <f t="shared" si="395"/>
        <v>0</v>
      </c>
    </row>
    <row r="87" spans="1:195" s="83" customFormat="1" ht="15" hidden="1">
      <c r="A87" s="357" t="s">
        <v>334</v>
      </c>
      <c r="B87" s="357"/>
      <c r="C87" s="357"/>
      <c r="D87" s="395" t="s">
        <v>1534</v>
      </c>
      <c r="E87" s="493" t="s">
        <v>1513</v>
      </c>
      <c r="F87" s="493"/>
      <c r="G87" s="357" t="s">
        <v>329</v>
      </c>
      <c r="H87" s="352"/>
      <c r="I87" s="357" t="s">
        <v>330</v>
      </c>
      <c r="J87" s="357" t="s">
        <v>357</v>
      </c>
      <c r="K87" s="353">
        <v>230</v>
      </c>
      <c r="L87" s="360">
        <v>0.85</v>
      </c>
      <c r="M87" s="352">
        <v>0.95</v>
      </c>
      <c r="N87" s="359">
        <v>6</v>
      </c>
      <c r="O87" s="359">
        <f t="shared" si="359"/>
        <v>0</v>
      </c>
      <c r="P87" s="360" t="str">
        <f t="shared" si="360"/>
        <v>0.00</v>
      </c>
      <c r="Q87" s="352">
        <v>65</v>
      </c>
      <c r="R87" s="352">
        <v>0</v>
      </c>
      <c r="S87" s="352">
        <f t="shared" si="361"/>
        <v>0</v>
      </c>
      <c r="T87" s="360" t="s">
        <v>131</v>
      </c>
      <c r="U87" s="352" t="s">
        <v>333</v>
      </c>
      <c r="V87" s="360">
        <v>4</v>
      </c>
      <c r="W87" s="360" t="str">
        <f t="shared" si="362"/>
        <v>3C X 4</v>
      </c>
      <c r="X87" s="360" t="str">
        <f t="shared" si="363"/>
        <v>3C X 4</v>
      </c>
      <c r="Y87" s="360" t="s">
        <v>358</v>
      </c>
      <c r="Z87" s="361">
        <f>IF(T87="AIR",VLOOKUP(W87,'Catalogue Aluminium'!$B$9:$G$93,2,FALSE),IF(T87="GROUND",VLOOKUP(W87,'Catalogue Aluminium'!$B$9:$G$93,3,FALSE),IF(T87="DUCT",VLOOKUP(W87,'Catalogue Aluminium'!$B$9:$G$93,4,FALSE),IF(T87="TRENCH",VLOOKUP(W87,'Catalogue Aluminium'!$B$9:$G$93,2,FALSE)))))</f>
        <v>38</v>
      </c>
      <c r="AA87" s="362">
        <f>VLOOKUP(W87,'Catalogue Aluminium'!$B$9:$G$93,5,FALSE)</f>
        <v>5.9</v>
      </c>
      <c r="AB87" s="362">
        <f>VLOOKUP(W87,'Catalogue Aluminium'!$B$9:$G$93,6,FALSE)</f>
        <v>9.4700000000000006E-2</v>
      </c>
      <c r="AC87" s="564"/>
      <c r="AD87" s="564"/>
      <c r="AE87" s="564">
        <v>10</v>
      </c>
      <c r="AF87" s="564">
        <v>8</v>
      </c>
      <c r="AG87" s="564">
        <f t="shared" si="396"/>
        <v>2</v>
      </c>
      <c r="AH87" s="363">
        <f t="shared" si="364"/>
        <v>20</v>
      </c>
      <c r="AI87" s="361">
        <f>IF(T87="AIR",'Catalogue Aluminium'!$K$9,IF(T87="TRENCH",'Catalogue Aluminium'!$K$12,"NA"))</f>
        <v>0.89</v>
      </c>
      <c r="AJ87" s="359">
        <f>IF(T87="Air",(IF(U87="1C",'Catalogue Aluminium'!$L$9,'Catalogue Aluminium'!$M$9)),IF(T87="DUCT",(IF($U87="1C",'Catalogue Aluminium'!$L$10,'Catalogue Aluminium'!$M$10)),IF(T87="GROUND",(IF($U87="1C",'Catalogue Aluminium'!$L$11,'Catalogue Aluminium'!$M$11)),IF(T87="TRENCH",(IF($U87="1C",'Catalogue Aluminium'!$L$12,'Catalogue Aluminium'!$M$12))))))</f>
        <v>0.66</v>
      </c>
      <c r="AK87" s="361" t="str">
        <f>IF(T87="Air",'Catalogue Aluminium'!$N$9,IF(T87="GROUND",'Catalogue Aluminium'!$N$10,IF(T87="DUCT",'Catalogue Aluminium'!$N$11,IF(T87="TRENCH",'Catalogue Aluminium'!$N$12,"NA"))))</f>
        <v>NA</v>
      </c>
      <c r="AL87" s="361" t="str">
        <f>IF(T87="Air",(IF(U87="1C",'Catalogue Aluminium'!$O$9,'Catalogue Aluminium'!$P$9)),IF(T87="DUCT",(IF($U87="1C",'Catalogue Aluminium'!$O$10,'Catalogue Aluminium'!$P$10)),IF(T87="GROUND",(IF($U87="1C",'Catalogue Aluminium'!$O$11,'Catalogue Aluminium'!$P$11)),IF(T87="TRENCH",(IF($U87="1C",'Catalogue Aluminium'!$O$12,'Catalogue Aluminium'!$P$12))))))</f>
        <v>NA</v>
      </c>
      <c r="AM87" s="361" t="str">
        <f>IF(T87="AIR","NA",IF(T87="TRENCH","NA",IF(T87="DUCT",IF(U87="1C",VLOOKUP(V87,'Catalogue Aluminium'!$Q$9:$S$28,2,FALSE),VLOOKUP(V87,'Catalogue Aluminium'!$Q$9:$S$28,3)),IF(T87="GROUND",IF(U87="1C",VLOOKUP(V87,'Catalogue Aluminium'!$Q$9:$S$28,2,FALSE),VLOOKUP(V87,'Catalogue Aluminium'!$Q$9:$S$28,3))))))</f>
        <v>NA</v>
      </c>
      <c r="AN87" s="365">
        <f t="shared" si="365"/>
        <v>0.58740000000000003</v>
      </c>
      <c r="AO87" s="352">
        <f t="shared" si="366"/>
        <v>22.321200000000001</v>
      </c>
      <c r="AP87" s="353">
        <f t="shared" si="367"/>
        <v>1</v>
      </c>
      <c r="AQ87" s="352" t="str">
        <f t="shared" si="368"/>
        <v>YES</v>
      </c>
      <c r="AR87" s="365">
        <f t="shared" si="369"/>
        <v>0.45770297956699862</v>
      </c>
      <c r="AS87" s="360" t="str">
        <f t="shared" si="370"/>
        <v>YES</v>
      </c>
      <c r="AT87" s="365" t="str">
        <f t="shared" si="371"/>
        <v>NA</v>
      </c>
      <c r="AU87" s="360" t="str">
        <f t="shared" si="372"/>
        <v>NA</v>
      </c>
      <c r="AV87" s="366" t="str">
        <f t="shared" si="373"/>
        <v>1R x 0.6/1kV x 3C x 4 Sqmm</v>
      </c>
      <c r="AW87" s="366" t="str">
        <f t="shared" si="374"/>
        <v>1R x 0.6/1kV x 3C x 4 Sqmm</v>
      </c>
      <c r="AX87" s="360"/>
      <c r="AY87" s="367"/>
      <c r="AZ87" s="367"/>
      <c r="BA87" s="751" t="str">
        <f t="shared" si="375"/>
        <v/>
      </c>
      <c r="BB87" s="368"/>
      <c r="BC87" s="368"/>
      <c r="BE87" s="368"/>
      <c r="BF87" s="368"/>
      <c r="BG87" s="368"/>
      <c r="BH87" s="368"/>
      <c r="BI87" s="368"/>
      <c r="BJ87" s="368"/>
      <c r="BK87" s="368"/>
      <c r="BL87" s="368"/>
      <c r="BM87" s="368"/>
      <c r="BN87" s="368"/>
      <c r="BO87" s="368"/>
      <c r="BP87" s="368"/>
      <c r="BQ87" s="368"/>
      <c r="BR87" s="368"/>
      <c r="BS87" s="368"/>
      <c r="BT87" s="368"/>
      <c r="BU87" s="368"/>
      <c r="BV87" s="368"/>
      <c r="BW87" s="368"/>
      <c r="BX87" s="368"/>
      <c r="BY87" s="368"/>
      <c r="BZ87" s="368"/>
      <c r="CA87" s="368"/>
      <c r="CB87" s="368"/>
      <c r="CC87" s="368"/>
      <c r="CD87" s="368"/>
      <c r="CE87" s="368"/>
      <c r="CF87" s="368"/>
      <c r="CG87" s="368"/>
      <c r="CH87" s="368"/>
      <c r="CI87" s="368"/>
      <c r="CJ87" s="368"/>
      <c r="CK87" s="368"/>
      <c r="CL87" s="368"/>
      <c r="CM87" s="368"/>
      <c r="CN87" s="368"/>
      <c r="CO87" s="368"/>
      <c r="CP87" s="368"/>
      <c r="CQ87" s="368"/>
      <c r="CR87" s="368"/>
      <c r="CS87" s="368"/>
      <c r="CT87" s="368"/>
      <c r="CU87" s="368"/>
      <c r="CV87" s="368"/>
      <c r="CW87" s="368"/>
      <c r="CX87" s="368"/>
      <c r="CY87" s="368"/>
      <c r="CZ87" s="809"/>
      <c r="DA87" s="809"/>
      <c r="DB87" s="809"/>
      <c r="DC87" s="809"/>
      <c r="DD87" s="809"/>
      <c r="DE87" s="809"/>
      <c r="DF87" s="809"/>
      <c r="DG87" s="809"/>
      <c r="DH87" s="809"/>
      <c r="DI87" s="809"/>
      <c r="DJ87" s="809"/>
      <c r="DK87" s="809"/>
      <c r="DL87" s="809"/>
      <c r="DM87" s="809"/>
      <c r="DN87" s="809"/>
      <c r="DO87" s="809"/>
      <c r="DP87" s="809"/>
      <c r="DQ87" s="809"/>
      <c r="DR87" s="809"/>
      <c r="DS87" s="809"/>
      <c r="DT87" s="809"/>
      <c r="DU87" s="809"/>
      <c r="DW87" s="368">
        <f t="shared" si="376"/>
        <v>0</v>
      </c>
      <c r="DX87" s="368">
        <f t="shared" si="311"/>
        <v>0</v>
      </c>
      <c r="DY87" s="368">
        <f t="shared" si="312"/>
        <v>0</v>
      </c>
      <c r="DZ87" s="368">
        <f t="shared" si="313"/>
        <v>0</v>
      </c>
      <c r="EA87" s="368">
        <f t="shared" si="314"/>
        <v>0</v>
      </c>
      <c r="EB87" s="368">
        <f t="shared" si="315"/>
        <v>0</v>
      </c>
      <c r="EC87" s="368">
        <f t="shared" si="316"/>
        <v>0</v>
      </c>
      <c r="ED87" s="368">
        <f t="shared" si="317"/>
        <v>0</v>
      </c>
      <c r="EE87" s="368">
        <f t="shared" si="318"/>
        <v>0</v>
      </c>
      <c r="EF87" s="368">
        <f t="shared" si="319"/>
        <v>0</v>
      </c>
      <c r="EG87" s="368">
        <f t="shared" si="320"/>
        <v>0</v>
      </c>
      <c r="EH87" s="368">
        <f t="shared" si="321"/>
        <v>0</v>
      </c>
      <c r="EI87" s="368">
        <f t="shared" si="322"/>
        <v>0</v>
      </c>
      <c r="EJ87" s="368">
        <f t="shared" si="323"/>
        <v>0</v>
      </c>
      <c r="EK87" s="368">
        <f t="shared" si="324"/>
        <v>0</v>
      </c>
      <c r="EL87" s="368">
        <f t="shared" si="325"/>
        <v>0</v>
      </c>
      <c r="EM87" s="368">
        <f t="shared" si="326"/>
        <v>0</v>
      </c>
      <c r="EN87" s="368">
        <f t="shared" si="327"/>
        <v>0</v>
      </c>
      <c r="EO87" s="368">
        <f t="shared" si="328"/>
        <v>0</v>
      </c>
      <c r="EP87" s="368">
        <f t="shared" si="329"/>
        <v>0</v>
      </c>
      <c r="EQ87" s="368">
        <f t="shared" si="330"/>
        <v>0</v>
      </c>
      <c r="ER87" s="368">
        <f t="shared" si="331"/>
        <v>0</v>
      </c>
      <c r="ES87" s="368">
        <f t="shared" si="332"/>
        <v>0</v>
      </c>
      <c r="ET87" s="368">
        <f t="shared" si="332"/>
        <v>0</v>
      </c>
      <c r="EU87" s="368">
        <f t="shared" si="333"/>
        <v>0</v>
      </c>
      <c r="EV87" s="368">
        <f t="shared" si="334"/>
        <v>0</v>
      </c>
      <c r="EW87" s="368">
        <f t="shared" si="335"/>
        <v>0</v>
      </c>
      <c r="EX87" s="368">
        <f t="shared" si="336"/>
        <v>0</v>
      </c>
      <c r="EY87" s="368">
        <f t="shared" si="337"/>
        <v>0</v>
      </c>
      <c r="EZ87" s="368">
        <f t="shared" si="338"/>
        <v>0</v>
      </c>
      <c r="FA87" s="368">
        <f t="shared" si="339"/>
        <v>0</v>
      </c>
      <c r="FB87" s="368">
        <f t="shared" si="340"/>
        <v>0</v>
      </c>
      <c r="FC87" s="368">
        <f t="shared" si="341"/>
        <v>0</v>
      </c>
      <c r="FD87" s="368">
        <f t="shared" si="342"/>
        <v>0</v>
      </c>
      <c r="FE87" s="368">
        <f t="shared" si="343"/>
        <v>0</v>
      </c>
      <c r="FF87" s="368">
        <f t="shared" si="344"/>
        <v>0</v>
      </c>
      <c r="FG87" s="368">
        <f t="shared" si="345"/>
        <v>0</v>
      </c>
      <c r="FH87" s="368">
        <f t="shared" si="346"/>
        <v>0</v>
      </c>
      <c r="FI87" s="368">
        <f t="shared" si="347"/>
        <v>0</v>
      </c>
      <c r="FJ87" s="368">
        <f t="shared" si="348"/>
        <v>0</v>
      </c>
      <c r="FK87" s="368">
        <f t="shared" si="349"/>
        <v>0</v>
      </c>
      <c r="FL87" s="368">
        <f t="shared" si="350"/>
        <v>0</v>
      </c>
      <c r="FM87" s="368">
        <f t="shared" si="351"/>
        <v>0</v>
      </c>
      <c r="FN87" s="368">
        <f t="shared" si="352"/>
        <v>0</v>
      </c>
      <c r="FO87" s="368">
        <f t="shared" si="353"/>
        <v>0</v>
      </c>
      <c r="FP87" s="368">
        <f t="shared" si="354"/>
        <v>0</v>
      </c>
      <c r="FQ87" s="368">
        <f t="shared" si="355"/>
        <v>0</v>
      </c>
      <c r="FR87" s="368">
        <f t="shared" si="356"/>
        <v>0</v>
      </c>
      <c r="FS87" s="368">
        <f t="shared" si="357"/>
        <v>0</v>
      </c>
      <c r="FT87" s="368">
        <f t="shared" si="358"/>
        <v>0</v>
      </c>
      <c r="FU87" s="368">
        <f t="shared" si="377"/>
        <v>0</v>
      </c>
      <c r="FV87" s="368">
        <f t="shared" si="378"/>
        <v>0</v>
      </c>
      <c r="FW87" s="368">
        <f t="shared" si="379"/>
        <v>0</v>
      </c>
      <c r="FX87" s="368">
        <f t="shared" si="380"/>
        <v>0</v>
      </c>
      <c r="FY87" s="368">
        <f t="shared" si="381"/>
        <v>0</v>
      </c>
      <c r="FZ87" s="368">
        <f t="shared" si="382"/>
        <v>0</v>
      </c>
      <c r="GA87" s="368">
        <f t="shared" si="383"/>
        <v>0</v>
      </c>
      <c r="GB87" s="368">
        <f t="shared" si="384"/>
        <v>0</v>
      </c>
      <c r="GC87" s="368">
        <f t="shared" si="385"/>
        <v>0</v>
      </c>
      <c r="GD87" s="368">
        <f t="shared" si="386"/>
        <v>0</v>
      </c>
      <c r="GE87" s="368">
        <f t="shared" si="387"/>
        <v>0</v>
      </c>
      <c r="GF87" s="368">
        <f t="shared" si="388"/>
        <v>0</v>
      </c>
      <c r="GG87" s="368">
        <f t="shared" si="389"/>
        <v>0</v>
      </c>
      <c r="GH87" s="368">
        <f t="shared" si="390"/>
        <v>0</v>
      </c>
      <c r="GI87" s="368">
        <f t="shared" si="391"/>
        <v>0</v>
      </c>
      <c r="GJ87" s="368">
        <f t="shared" si="392"/>
        <v>0</v>
      </c>
      <c r="GK87" s="368">
        <f t="shared" si="393"/>
        <v>0</v>
      </c>
      <c r="GL87" s="368">
        <f t="shared" si="394"/>
        <v>0</v>
      </c>
      <c r="GM87" s="368">
        <f t="shared" si="395"/>
        <v>0</v>
      </c>
    </row>
    <row r="88" spans="1:195" s="83" customFormat="1" hidden="1">
      <c r="A88" s="357" t="s">
        <v>334</v>
      </c>
      <c r="B88" s="357"/>
      <c r="C88" s="357"/>
      <c r="D88" s="395" t="s">
        <v>1535</v>
      </c>
      <c r="E88" s="493" t="s">
        <v>1513</v>
      </c>
      <c r="F88" s="493"/>
      <c r="G88" s="357" t="s">
        <v>329</v>
      </c>
      <c r="H88" s="352"/>
      <c r="I88" s="357" t="s">
        <v>330</v>
      </c>
      <c r="J88" s="357" t="s">
        <v>357</v>
      </c>
      <c r="K88" s="353">
        <v>230</v>
      </c>
      <c r="L88" s="360">
        <v>0.85</v>
      </c>
      <c r="M88" s="352">
        <v>0.95</v>
      </c>
      <c r="N88" s="359">
        <v>6</v>
      </c>
      <c r="O88" s="359">
        <f t="shared" si="359"/>
        <v>0</v>
      </c>
      <c r="P88" s="360" t="str">
        <f t="shared" si="360"/>
        <v>0.00</v>
      </c>
      <c r="Q88" s="352">
        <v>65</v>
      </c>
      <c r="R88" s="352">
        <v>0</v>
      </c>
      <c r="S88" s="352">
        <f t="shared" si="361"/>
        <v>0</v>
      </c>
      <c r="T88" s="360" t="s">
        <v>131</v>
      </c>
      <c r="U88" s="352" t="s">
        <v>333</v>
      </c>
      <c r="V88" s="360">
        <v>4</v>
      </c>
      <c r="W88" s="360" t="str">
        <f t="shared" si="362"/>
        <v>3C X 4</v>
      </c>
      <c r="X88" s="360" t="str">
        <f t="shared" si="363"/>
        <v>3C X 4</v>
      </c>
      <c r="Y88" s="360" t="s">
        <v>358</v>
      </c>
      <c r="Z88" s="361">
        <f>IF(T88="AIR",VLOOKUP(W88,'Catalogue Aluminium'!$B$9:$G$93,2,FALSE),IF(T88="GROUND",VLOOKUP(W88,'Catalogue Aluminium'!$B$9:$G$93,3,FALSE),IF(T88="DUCT",VLOOKUP(W88,'Catalogue Aluminium'!$B$9:$G$93,4,FALSE),IF(T88="TRENCH",VLOOKUP(W88,'Catalogue Aluminium'!$B$9:$G$93,2,FALSE)))))</f>
        <v>38</v>
      </c>
      <c r="AA88" s="362">
        <f>VLOOKUP(W88,'Catalogue Aluminium'!$B$9:$G$93,5,FALSE)</f>
        <v>5.9</v>
      </c>
      <c r="AB88" s="362">
        <f>VLOOKUP(W88,'Catalogue Aluminium'!$B$9:$G$93,6,FALSE)</f>
        <v>9.4700000000000006E-2</v>
      </c>
      <c r="AC88" s="564"/>
      <c r="AD88" s="564"/>
      <c r="AE88" s="564">
        <v>10</v>
      </c>
      <c r="AF88" s="564">
        <v>8</v>
      </c>
      <c r="AG88" s="564">
        <f t="shared" si="396"/>
        <v>2</v>
      </c>
      <c r="AH88" s="363">
        <f t="shared" si="364"/>
        <v>20</v>
      </c>
      <c r="AI88" s="361">
        <f>IF(T88="AIR",'Catalogue Aluminium'!$K$9,IF(T88="TRENCH",'Catalogue Aluminium'!$K$12,"NA"))</f>
        <v>0.89</v>
      </c>
      <c r="AJ88" s="359">
        <f>IF(T88="Air",(IF(U88="1C",'Catalogue Aluminium'!$L$9,'Catalogue Aluminium'!$M$9)),IF(T88="DUCT",(IF($U88="1C",'Catalogue Aluminium'!$L$10,'Catalogue Aluminium'!$M$10)),IF(T88="GROUND",(IF($U88="1C",'Catalogue Aluminium'!$L$11,'Catalogue Aluminium'!$M$11)),IF(T88="TRENCH",(IF($U88="1C",'Catalogue Aluminium'!$L$12,'Catalogue Aluminium'!$M$12))))))</f>
        <v>0.66</v>
      </c>
      <c r="AK88" s="361" t="str">
        <f>IF(T88="Air",'Catalogue Aluminium'!$N$9,IF(T88="GROUND",'Catalogue Aluminium'!$N$10,IF(T88="DUCT",'Catalogue Aluminium'!$N$11,IF(T88="TRENCH",'Catalogue Aluminium'!$N$12,"NA"))))</f>
        <v>NA</v>
      </c>
      <c r="AL88" s="361" t="str">
        <f>IF(T88="Air",(IF(U88="1C",'Catalogue Aluminium'!$O$9,'Catalogue Aluminium'!$P$9)),IF(T88="DUCT",(IF($U88="1C",'Catalogue Aluminium'!$O$10,'Catalogue Aluminium'!$P$10)),IF(T88="GROUND",(IF($U88="1C",'Catalogue Aluminium'!$O$11,'Catalogue Aluminium'!$P$11)),IF(T88="TRENCH",(IF($U88="1C",'Catalogue Aluminium'!$O$12,'Catalogue Aluminium'!$P$12))))))</f>
        <v>NA</v>
      </c>
      <c r="AM88" s="361" t="str">
        <f>IF(T88="AIR","NA",IF(T88="TRENCH","NA",IF(T88="DUCT",IF(U88="1C",VLOOKUP(V88,'Catalogue Aluminium'!$Q$9:$S$28,2,FALSE),VLOOKUP(V88,'Catalogue Aluminium'!$Q$9:$S$28,3)),IF(T88="GROUND",IF(U88="1C",VLOOKUP(V88,'Catalogue Aluminium'!$Q$9:$S$28,2,FALSE),VLOOKUP(V88,'Catalogue Aluminium'!$Q$9:$S$28,3))))))</f>
        <v>NA</v>
      </c>
      <c r="AN88" s="365">
        <f t="shared" si="365"/>
        <v>0.58740000000000003</v>
      </c>
      <c r="AO88" s="352">
        <f t="shared" si="366"/>
        <v>22.321200000000001</v>
      </c>
      <c r="AP88" s="353">
        <f t="shared" si="367"/>
        <v>1</v>
      </c>
      <c r="AQ88" s="352" t="str">
        <f t="shared" si="368"/>
        <v>YES</v>
      </c>
      <c r="AR88" s="365">
        <f t="shared" si="369"/>
        <v>0.45770297956699862</v>
      </c>
      <c r="AS88" s="360" t="str">
        <f t="shared" si="370"/>
        <v>YES</v>
      </c>
      <c r="AT88" s="365" t="str">
        <f t="shared" si="371"/>
        <v>NA</v>
      </c>
      <c r="AU88" s="360" t="str">
        <f t="shared" si="372"/>
        <v>NA</v>
      </c>
      <c r="AV88" s="366" t="str">
        <f t="shared" si="373"/>
        <v>1R x 0.6/1kV x 3C x 4 Sqmm</v>
      </c>
      <c r="AW88" s="366" t="str">
        <f t="shared" si="374"/>
        <v>1R x 0.6/1kV x 3C x 4 Sqmm</v>
      </c>
      <c r="AX88" s="360"/>
      <c r="AY88" s="367"/>
      <c r="AZ88" s="367"/>
      <c r="BA88" s="751" t="str">
        <f t="shared" si="375"/>
        <v/>
      </c>
      <c r="BB88" s="368"/>
      <c r="BC88" s="368"/>
      <c r="BE88" s="368"/>
      <c r="BF88" s="368"/>
      <c r="BG88" s="368"/>
      <c r="BH88" s="368"/>
      <c r="BI88" s="368"/>
      <c r="BJ88" s="368"/>
      <c r="BK88" s="368"/>
      <c r="BL88" s="368"/>
      <c r="BM88" s="368"/>
      <c r="BN88" s="368"/>
      <c r="BO88" s="368"/>
      <c r="BP88" s="368"/>
      <c r="BQ88" s="368"/>
      <c r="BR88" s="368"/>
      <c r="BS88" s="368"/>
      <c r="BT88" s="368"/>
      <c r="BU88" s="368"/>
      <c r="BV88" s="368"/>
      <c r="BW88" s="368"/>
      <c r="BX88" s="368"/>
      <c r="BY88" s="368"/>
      <c r="BZ88" s="368"/>
      <c r="CA88" s="368"/>
      <c r="CB88" s="368"/>
      <c r="CC88" s="368"/>
      <c r="CD88" s="368"/>
      <c r="CE88" s="368"/>
      <c r="CF88" s="368"/>
      <c r="CG88" s="368"/>
      <c r="CH88" s="368"/>
      <c r="CI88" s="368"/>
      <c r="CJ88" s="368"/>
      <c r="CK88" s="368"/>
      <c r="CL88" s="368"/>
      <c r="CM88" s="368"/>
      <c r="CN88" s="368"/>
      <c r="CO88" s="368"/>
      <c r="CP88" s="368"/>
      <c r="CQ88" s="368"/>
      <c r="CR88" s="368"/>
      <c r="CS88" s="368"/>
      <c r="CT88" s="368"/>
      <c r="CU88" s="368"/>
      <c r="CV88" s="368"/>
      <c r="CW88" s="368"/>
      <c r="CX88" s="368"/>
      <c r="CY88" s="368"/>
      <c r="CZ88" s="368"/>
      <c r="DA88" s="368"/>
      <c r="DB88" s="368"/>
      <c r="DC88" s="368"/>
      <c r="DD88" s="368"/>
      <c r="DE88" s="368"/>
      <c r="DF88" s="368"/>
      <c r="DG88" s="368"/>
      <c r="DH88" s="368"/>
      <c r="DI88" s="368"/>
      <c r="DJ88" s="368"/>
      <c r="DK88" s="368"/>
      <c r="DL88" s="368"/>
      <c r="DM88" s="368"/>
      <c r="DN88" s="368"/>
      <c r="DO88" s="368"/>
      <c r="DP88" s="368"/>
      <c r="DQ88" s="368"/>
      <c r="DR88" s="368"/>
      <c r="DS88" s="368"/>
      <c r="DT88" s="368"/>
      <c r="DU88" s="368"/>
      <c r="DW88" s="368">
        <f t="shared" si="376"/>
        <v>0</v>
      </c>
      <c r="DX88" s="368">
        <f t="shared" si="311"/>
        <v>0</v>
      </c>
      <c r="DY88" s="368">
        <f t="shared" si="312"/>
        <v>0</v>
      </c>
      <c r="DZ88" s="368">
        <f t="shared" si="313"/>
        <v>0</v>
      </c>
      <c r="EA88" s="368">
        <f t="shared" si="314"/>
        <v>0</v>
      </c>
      <c r="EB88" s="368">
        <f t="shared" si="315"/>
        <v>0</v>
      </c>
      <c r="EC88" s="368">
        <f t="shared" si="316"/>
        <v>0</v>
      </c>
      <c r="ED88" s="368">
        <f t="shared" si="317"/>
        <v>0</v>
      </c>
      <c r="EE88" s="368">
        <f t="shared" si="318"/>
        <v>0</v>
      </c>
      <c r="EF88" s="368">
        <f t="shared" si="319"/>
        <v>0</v>
      </c>
      <c r="EG88" s="368">
        <f t="shared" si="320"/>
        <v>0</v>
      </c>
      <c r="EH88" s="368">
        <f t="shared" si="321"/>
        <v>0</v>
      </c>
      <c r="EI88" s="368">
        <f t="shared" si="322"/>
        <v>0</v>
      </c>
      <c r="EJ88" s="368">
        <f t="shared" si="323"/>
        <v>0</v>
      </c>
      <c r="EK88" s="368">
        <f t="shared" si="324"/>
        <v>0</v>
      </c>
      <c r="EL88" s="368">
        <f t="shared" si="325"/>
        <v>0</v>
      </c>
      <c r="EM88" s="368">
        <f t="shared" si="326"/>
        <v>0</v>
      </c>
      <c r="EN88" s="368">
        <f t="shared" si="327"/>
        <v>0</v>
      </c>
      <c r="EO88" s="368">
        <f t="shared" si="328"/>
        <v>0</v>
      </c>
      <c r="EP88" s="368">
        <f t="shared" si="329"/>
        <v>0</v>
      </c>
      <c r="EQ88" s="368">
        <f t="shared" si="330"/>
        <v>0</v>
      </c>
      <c r="ER88" s="368">
        <f t="shared" si="331"/>
        <v>0</v>
      </c>
      <c r="ES88" s="368">
        <f t="shared" si="332"/>
        <v>0</v>
      </c>
      <c r="ET88" s="368">
        <f t="shared" si="332"/>
        <v>0</v>
      </c>
      <c r="EU88" s="368">
        <f t="shared" si="333"/>
        <v>0</v>
      </c>
      <c r="EV88" s="368">
        <f t="shared" si="334"/>
        <v>0</v>
      </c>
      <c r="EW88" s="368">
        <f t="shared" si="335"/>
        <v>0</v>
      </c>
      <c r="EX88" s="368">
        <f t="shared" si="336"/>
        <v>0</v>
      </c>
      <c r="EY88" s="368">
        <f t="shared" si="337"/>
        <v>0</v>
      </c>
      <c r="EZ88" s="368">
        <f t="shared" si="338"/>
        <v>0</v>
      </c>
      <c r="FA88" s="368">
        <f t="shared" si="339"/>
        <v>0</v>
      </c>
      <c r="FB88" s="368">
        <f t="shared" si="340"/>
        <v>0</v>
      </c>
      <c r="FC88" s="368">
        <f t="shared" si="341"/>
        <v>0</v>
      </c>
      <c r="FD88" s="368">
        <f t="shared" si="342"/>
        <v>0</v>
      </c>
      <c r="FE88" s="368">
        <f t="shared" si="343"/>
        <v>0</v>
      </c>
      <c r="FF88" s="368">
        <f t="shared" si="344"/>
        <v>0</v>
      </c>
      <c r="FG88" s="368">
        <f t="shared" si="345"/>
        <v>0</v>
      </c>
      <c r="FH88" s="368">
        <f t="shared" si="346"/>
        <v>0</v>
      </c>
      <c r="FI88" s="368">
        <f t="shared" si="347"/>
        <v>0</v>
      </c>
      <c r="FJ88" s="368">
        <f t="shared" si="348"/>
        <v>0</v>
      </c>
      <c r="FK88" s="368">
        <f t="shared" si="349"/>
        <v>0</v>
      </c>
      <c r="FL88" s="368">
        <f t="shared" si="350"/>
        <v>0</v>
      </c>
      <c r="FM88" s="368">
        <f t="shared" si="351"/>
        <v>0</v>
      </c>
      <c r="FN88" s="368">
        <f t="shared" si="352"/>
        <v>0</v>
      </c>
      <c r="FO88" s="368">
        <f t="shared" si="353"/>
        <v>0</v>
      </c>
      <c r="FP88" s="368">
        <f t="shared" si="354"/>
        <v>0</v>
      </c>
      <c r="FQ88" s="368">
        <f t="shared" si="355"/>
        <v>0</v>
      </c>
      <c r="FR88" s="368">
        <f t="shared" si="356"/>
        <v>0</v>
      </c>
      <c r="FS88" s="368">
        <f t="shared" si="357"/>
        <v>0</v>
      </c>
      <c r="FT88" s="368">
        <f t="shared" si="358"/>
        <v>0</v>
      </c>
      <c r="FU88" s="368">
        <f t="shared" si="377"/>
        <v>0</v>
      </c>
      <c r="FV88" s="368">
        <f t="shared" si="378"/>
        <v>0</v>
      </c>
      <c r="FW88" s="368">
        <f t="shared" si="379"/>
        <v>0</v>
      </c>
      <c r="FX88" s="368">
        <f t="shared" si="380"/>
        <v>0</v>
      </c>
      <c r="FY88" s="368">
        <f t="shared" si="381"/>
        <v>0</v>
      </c>
      <c r="FZ88" s="368">
        <f t="shared" si="382"/>
        <v>0</v>
      </c>
      <c r="GA88" s="368">
        <f t="shared" si="383"/>
        <v>0</v>
      </c>
      <c r="GB88" s="368">
        <f t="shared" si="384"/>
        <v>0</v>
      </c>
      <c r="GC88" s="368">
        <f t="shared" si="385"/>
        <v>0</v>
      </c>
      <c r="GD88" s="368">
        <f t="shared" si="386"/>
        <v>0</v>
      </c>
      <c r="GE88" s="368">
        <f t="shared" si="387"/>
        <v>0</v>
      </c>
      <c r="GF88" s="368">
        <f t="shared" si="388"/>
        <v>0</v>
      </c>
      <c r="GG88" s="368">
        <f t="shared" si="389"/>
        <v>0</v>
      </c>
      <c r="GH88" s="368">
        <f t="shared" si="390"/>
        <v>0</v>
      </c>
      <c r="GI88" s="368">
        <f t="shared" si="391"/>
        <v>0</v>
      </c>
      <c r="GJ88" s="368">
        <f t="shared" si="392"/>
        <v>0</v>
      </c>
      <c r="GK88" s="368">
        <f t="shared" si="393"/>
        <v>0</v>
      </c>
      <c r="GL88" s="368">
        <f t="shared" si="394"/>
        <v>0</v>
      </c>
      <c r="GM88" s="368">
        <f t="shared" si="395"/>
        <v>0</v>
      </c>
    </row>
    <row r="89" spans="1:195" s="83" customFormat="1" hidden="1">
      <c r="A89" s="357" t="s">
        <v>334</v>
      </c>
      <c r="B89" s="357"/>
      <c r="C89" s="357"/>
      <c r="D89" s="395" t="s">
        <v>1536</v>
      </c>
      <c r="E89" s="493" t="s">
        <v>1513</v>
      </c>
      <c r="F89" s="493"/>
      <c r="G89" s="357" t="s">
        <v>329</v>
      </c>
      <c r="H89" s="352"/>
      <c r="I89" s="357" t="s">
        <v>330</v>
      </c>
      <c r="J89" s="357" t="s">
        <v>357</v>
      </c>
      <c r="K89" s="353">
        <v>230</v>
      </c>
      <c r="L89" s="360">
        <v>0.85</v>
      </c>
      <c r="M89" s="352">
        <v>0.95</v>
      </c>
      <c r="N89" s="359">
        <v>6</v>
      </c>
      <c r="O89" s="359">
        <f t="shared" si="359"/>
        <v>0</v>
      </c>
      <c r="P89" s="360" t="str">
        <f t="shared" si="360"/>
        <v>0.00</v>
      </c>
      <c r="Q89" s="352">
        <v>65</v>
      </c>
      <c r="R89" s="352">
        <v>0</v>
      </c>
      <c r="S89" s="352">
        <f t="shared" si="361"/>
        <v>0</v>
      </c>
      <c r="T89" s="360" t="s">
        <v>131</v>
      </c>
      <c r="U89" s="352" t="s">
        <v>333</v>
      </c>
      <c r="V89" s="360">
        <v>4</v>
      </c>
      <c r="W89" s="360" t="str">
        <f t="shared" si="362"/>
        <v>3C X 4</v>
      </c>
      <c r="X89" s="360" t="str">
        <f t="shared" si="363"/>
        <v>3C X 4</v>
      </c>
      <c r="Y89" s="360" t="s">
        <v>358</v>
      </c>
      <c r="Z89" s="361">
        <f>IF(T89="AIR",VLOOKUP(W89,'Catalogue Aluminium'!$B$9:$G$93,2,FALSE),IF(T89="GROUND",VLOOKUP(W89,'Catalogue Aluminium'!$B$9:$G$93,3,FALSE),IF(T89="DUCT",VLOOKUP(W89,'Catalogue Aluminium'!$B$9:$G$93,4,FALSE),IF(T89="TRENCH",VLOOKUP(W89,'Catalogue Aluminium'!$B$9:$G$93,2,FALSE)))))</f>
        <v>38</v>
      </c>
      <c r="AA89" s="362">
        <f>VLOOKUP(W89,'Catalogue Aluminium'!$B$9:$G$93,5,FALSE)</f>
        <v>5.9</v>
      </c>
      <c r="AB89" s="362">
        <f>VLOOKUP(W89,'Catalogue Aluminium'!$B$9:$G$93,6,FALSE)</f>
        <v>9.4700000000000006E-2</v>
      </c>
      <c r="AC89" s="564"/>
      <c r="AD89" s="564"/>
      <c r="AE89" s="564">
        <v>10</v>
      </c>
      <c r="AF89" s="564">
        <v>8</v>
      </c>
      <c r="AG89" s="564">
        <f t="shared" si="396"/>
        <v>2</v>
      </c>
      <c r="AH89" s="363">
        <f t="shared" si="364"/>
        <v>20</v>
      </c>
      <c r="AI89" s="361">
        <f>IF(T89="AIR",'Catalogue Aluminium'!$K$9,IF(T89="TRENCH",'Catalogue Aluminium'!$K$12,"NA"))</f>
        <v>0.89</v>
      </c>
      <c r="AJ89" s="359">
        <f>IF(T89="Air",(IF(U89="1C",'Catalogue Aluminium'!$L$9,'Catalogue Aluminium'!$M$9)),IF(T89="DUCT",(IF($U89="1C",'Catalogue Aluminium'!$L$10,'Catalogue Aluminium'!$M$10)),IF(T89="GROUND",(IF($U89="1C",'Catalogue Aluminium'!$L$11,'Catalogue Aluminium'!$M$11)),IF(T89="TRENCH",(IF($U89="1C",'Catalogue Aluminium'!$L$12,'Catalogue Aluminium'!$M$12))))))</f>
        <v>0.66</v>
      </c>
      <c r="AK89" s="361" t="str">
        <f>IF(T89="Air",'Catalogue Aluminium'!$N$9,IF(T89="GROUND",'Catalogue Aluminium'!$N$10,IF(T89="DUCT",'Catalogue Aluminium'!$N$11,IF(T89="TRENCH",'Catalogue Aluminium'!$N$12,"NA"))))</f>
        <v>NA</v>
      </c>
      <c r="AL89" s="361" t="str">
        <f>IF(T89="Air",(IF(U89="1C",'Catalogue Aluminium'!$O$9,'Catalogue Aluminium'!$P$9)),IF(T89="DUCT",(IF($U89="1C",'Catalogue Aluminium'!$O$10,'Catalogue Aluminium'!$P$10)),IF(T89="GROUND",(IF($U89="1C",'Catalogue Aluminium'!$O$11,'Catalogue Aluminium'!$P$11)),IF(T89="TRENCH",(IF($U89="1C",'Catalogue Aluminium'!$O$12,'Catalogue Aluminium'!$P$12))))))</f>
        <v>NA</v>
      </c>
      <c r="AM89" s="361" t="str">
        <f>IF(T89="AIR","NA",IF(T89="TRENCH","NA",IF(T89="DUCT",IF(U89="1C",VLOOKUP(V89,'Catalogue Aluminium'!$Q$9:$S$28,2,FALSE),VLOOKUP(V89,'Catalogue Aluminium'!$Q$9:$S$28,3)),IF(T89="GROUND",IF(U89="1C",VLOOKUP(V89,'Catalogue Aluminium'!$Q$9:$S$28,2,FALSE),VLOOKUP(V89,'Catalogue Aluminium'!$Q$9:$S$28,3))))))</f>
        <v>NA</v>
      </c>
      <c r="AN89" s="365">
        <f t="shared" si="365"/>
        <v>0.58740000000000003</v>
      </c>
      <c r="AO89" s="352">
        <f t="shared" si="366"/>
        <v>22.321200000000001</v>
      </c>
      <c r="AP89" s="353">
        <f t="shared" si="367"/>
        <v>1</v>
      </c>
      <c r="AQ89" s="352" t="str">
        <f t="shared" si="368"/>
        <v>YES</v>
      </c>
      <c r="AR89" s="365">
        <f t="shared" si="369"/>
        <v>0.45770297956699862</v>
      </c>
      <c r="AS89" s="360" t="str">
        <f t="shared" si="370"/>
        <v>YES</v>
      </c>
      <c r="AT89" s="365" t="str">
        <f t="shared" si="371"/>
        <v>NA</v>
      </c>
      <c r="AU89" s="360" t="str">
        <f t="shared" si="372"/>
        <v>NA</v>
      </c>
      <c r="AV89" s="366" t="str">
        <f t="shared" si="373"/>
        <v>1R x 0.6/1kV x 3C x 4 Sqmm</v>
      </c>
      <c r="AW89" s="366" t="str">
        <f t="shared" si="374"/>
        <v>1R x 0.6/1kV x 3C x 4 Sqmm</v>
      </c>
      <c r="AX89" s="360"/>
      <c r="AY89" s="367"/>
      <c r="AZ89" s="367"/>
      <c r="BA89" s="751" t="str">
        <f t="shared" si="375"/>
        <v/>
      </c>
      <c r="BB89" s="368"/>
      <c r="BC89" s="368"/>
      <c r="BE89" s="368"/>
      <c r="BF89" s="368"/>
      <c r="BG89" s="368"/>
      <c r="BH89" s="368"/>
      <c r="BI89" s="368"/>
      <c r="BJ89" s="368"/>
      <c r="BK89" s="368"/>
      <c r="BL89" s="368"/>
      <c r="BM89" s="368"/>
      <c r="BN89" s="368"/>
      <c r="BO89" s="368"/>
      <c r="BP89" s="368"/>
      <c r="BQ89" s="368"/>
      <c r="BR89" s="368"/>
      <c r="BS89" s="368"/>
      <c r="BT89" s="368"/>
      <c r="BU89" s="368"/>
      <c r="BV89" s="368"/>
      <c r="BW89" s="368"/>
      <c r="BX89" s="368"/>
      <c r="BY89" s="368"/>
      <c r="BZ89" s="368"/>
      <c r="CA89" s="368"/>
      <c r="CB89" s="368"/>
      <c r="CC89" s="368"/>
      <c r="CD89" s="368"/>
      <c r="CE89" s="368"/>
      <c r="CF89" s="368"/>
      <c r="CG89" s="368"/>
      <c r="CH89" s="368"/>
      <c r="CI89" s="368"/>
      <c r="CJ89" s="368"/>
      <c r="CK89" s="368"/>
      <c r="CL89" s="368"/>
      <c r="CM89" s="368"/>
      <c r="CN89" s="368"/>
      <c r="CO89" s="368"/>
      <c r="CP89" s="368"/>
      <c r="CQ89" s="368"/>
      <c r="CR89" s="368"/>
      <c r="CS89" s="368"/>
      <c r="CT89" s="368"/>
      <c r="CU89" s="368"/>
      <c r="CV89" s="368"/>
      <c r="CW89" s="368"/>
      <c r="CX89" s="368"/>
      <c r="CY89" s="368"/>
      <c r="CZ89" s="368"/>
      <c r="DA89" s="368"/>
      <c r="DB89" s="368"/>
      <c r="DC89" s="368"/>
      <c r="DD89" s="368"/>
      <c r="DE89" s="368"/>
      <c r="DF89" s="368"/>
      <c r="DG89" s="368"/>
      <c r="DH89" s="368"/>
      <c r="DI89" s="368"/>
      <c r="DJ89" s="368"/>
      <c r="DK89" s="368"/>
      <c r="DL89" s="368"/>
      <c r="DM89" s="368"/>
      <c r="DN89" s="368"/>
      <c r="DO89" s="368"/>
      <c r="DP89" s="368"/>
      <c r="DQ89" s="368"/>
      <c r="DR89" s="368"/>
      <c r="DS89" s="368"/>
      <c r="DT89" s="368"/>
      <c r="DU89" s="368"/>
      <c r="DW89" s="368">
        <f t="shared" si="376"/>
        <v>0</v>
      </c>
      <c r="DX89" s="368">
        <f t="shared" si="311"/>
        <v>0</v>
      </c>
      <c r="DY89" s="368">
        <f t="shared" si="312"/>
        <v>0</v>
      </c>
      <c r="DZ89" s="368">
        <f t="shared" si="313"/>
        <v>0</v>
      </c>
      <c r="EA89" s="368">
        <f t="shared" si="314"/>
        <v>0</v>
      </c>
      <c r="EB89" s="368">
        <f t="shared" si="315"/>
        <v>0</v>
      </c>
      <c r="EC89" s="368">
        <f t="shared" si="316"/>
        <v>0</v>
      </c>
      <c r="ED89" s="368">
        <f t="shared" si="317"/>
        <v>0</v>
      </c>
      <c r="EE89" s="368">
        <f t="shared" si="318"/>
        <v>0</v>
      </c>
      <c r="EF89" s="368">
        <f t="shared" si="319"/>
        <v>0</v>
      </c>
      <c r="EG89" s="368">
        <f t="shared" si="320"/>
        <v>0</v>
      </c>
      <c r="EH89" s="368">
        <f t="shared" si="321"/>
        <v>0</v>
      </c>
      <c r="EI89" s="368">
        <f t="shared" si="322"/>
        <v>0</v>
      </c>
      <c r="EJ89" s="368">
        <f t="shared" si="323"/>
        <v>0</v>
      </c>
      <c r="EK89" s="368">
        <f t="shared" si="324"/>
        <v>0</v>
      </c>
      <c r="EL89" s="368">
        <f t="shared" si="325"/>
        <v>0</v>
      </c>
      <c r="EM89" s="368">
        <f t="shared" si="326"/>
        <v>0</v>
      </c>
      <c r="EN89" s="368">
        <f t="shared" si="327"/>
        <v>0</v>
      </c>
      <c r="EO89" s="368">
        <f t="shared" si="328"/>
        <v>0</v>
      </c>
      <c r="EP89" s="368">
        <f t="shared" si="329"/>
        <v>0</v>
      </c>
      <c r="EQ89" s="368">
        <f t="shared" si="330"/>
        <v>0</v>
      </c>
      <c r="ER89" s="368">
        <f t="shared" si="331"/>
        <v>0</v>
      </c>
      <c r="ES89" s="368">
        <f t="shared" si="332"/>
        <v>0</v>
      </c>
      <c r="ET89" s="368">
        <f t="shared" si="332"/>
        <v>0</v>
      </c>
      <c r="EU89" s="368">
        <f t="shared" si="333"/>
        <v>0</v>
      </c>
      <c r="EV89" s="368">
        <f t="shared" si="334"/>
        <v>0</v>
      </c>
      <c r="EW89" s="368">
        <f t="shared" si="335"/>
        <v>0</v>
      </c>
      <c r="EX89" s="368">
        <f t="shared" si="336"/>
        <v>0</v>
      </c>
      <c r="EY89" s="368">
        <f t="shared" si="337"/>
        <v>0</v>
      </c>
      <c r="EZ89" s="368">
        <f t="shared" si="338"/>
        <v>0</v>
      </c>
      <c r="FA89" s="368">
        <f t="shared" si="339"/>
        <v>0</v>
      </c>
      <c r="FB89" s="368">
        <f t="shared" si="340"/>
        <v>0</v>
      </c>
      <c r="FC89" s="368">
        <f t="shared" si="341"/>
        <v>0</v>
      </c>
      <c r="FD89" s="368">
        <f t="shared" si="342"/>
        <v>0</v>
      </c>
      <c r="FE89" s="368">
        <f t="shared" si="343"/>
        <v>0</v>
      </c>
      <c r="FF89" s="368">
        <f t="shared" si="344"/>
        <v>0</v>
      </c>
      <c r="FG89" s="368">
        <f t="shared" si="345"/>
        <v>0</v>
      </c>
      <c r="FH89" s="368">
        <f t="shared" si="346"/>
        <v>0</v>
      </c>
      <c r="FI89" s="368">
        <f t="shared" si="347"/>
        <v>0</v>
      </c>
      <c r="FJ89" s="368">
        <f t="shared" si="348"/>
        <v>0</v>
      </c>
      <c r="FK89" s="368">
        <f t="shared" si="349"/>
        <v>0</v>
      </c>
      <c r="FL89" s="368">
        <f t="shared" si="350"/>
        <v>0</v>
      </c>
      <c r="FM89" s="368">
        <f t="shared" si="351"/>
        <v>0</v>
      </c>
      <c r="FN89" s="368">
        <f t="shared" si="352"/>
        <v>0</v>
      </c>
      <c r="FO89" s="368">
        <f t="shared" si="353"/>
        <v>0</v>
      </c>
      <c r="FP89" s="368">
        <f t="shared" si="354"/>
        <v>0</v>
      </c>
      <c r="FQ89" s="368">
        <f t="shared" si="355"/>
        <v>0</v>
      </c>
      <c r="FR89" s="368">
        <f t="shared" si="356"/>
        <v>0</v>
      </c>
      <c r="FS89" s="368">
        <f t="shared" si="357"/>
        <v>0</v>
      </c>
      <c r="FT89" s="368">
        <f t="shared" si="358"/>
        <v>0</v>
      </c>
      <c r="FU89" s="368">
        <f t="shared" si="377"/>
        <v>0</v>
      </c>
      <c r="FV89" s="368">
        <f t="shared" si="378"/>
        <v>0</v>
      </c>
      <c r="FW89" s="368">
        <f t="shared" si="379"/>
        <v>0</v>
      </c>
      <c r="FX89" s="368">
        <f t="shared" si="380"/>
        <v>0</v>
      </c>
      <c r="FY89" s="368">
        <f t="shared" si="381"/>
        <v>0</v>
      </c>
      <c r="FZ89" s="368">
        <f t="shared" si="382"/>
        <v>0</v>
      </c>
      <c r="GA89" s="368">
        <f t="shared" si="383"/>
        <v>0</v>
      </c>
      <c r="GB89" s="368">
        <f t="shared" si="384"/>
        <v>0</v>
      </c>
      <c r="GC89" s="368">
        <f t="shared" si="385"/>
        <v>0</v>
      </c>
      <c r="GD89" s="368">
        <f t="shared" si="386"/>
        <v>0</v>
      </c>
      <c r="GE89" s="368">
        <f t="shared" si="387"/>
        <v>0</v>
      </c>
      <c r="GF89" s="368">
        <f t="shared" si="388"/>
        <v>0</v>
      </c>
      <c r="GG89" s="368">
        <f t="shared" si="389"/>
        <v>0</v>
      </c>
      <c r="GH89" s="368">
        <f t="shared" si="390"/>
        <v>0</v>
      </c>
      <c r="GI89" s="368">
        <f t="shared" si="391"/>
        <v>0</v>
      </c>
      <c r="GJ89" s="368">
        <f t="shared" si="392"/>
        <v>0</v>
      </c>
      <c r="GK89" s="368">
        <f t="shared" si="393"/>
        <v>0</v>
      </c>
      <c r="GL89" s="368">
        <f t="shared" si="394"/>
        <v>0</v>
      </c>
      <c r="GM89" s="368">
        <f t="shared" si="395"/>
        <v>0</v>
      </c>
    </row>
    <row r="90" spans="1:195" s="83" customFormat="1" hidden="1">
      <c r="A90" s="357" t="s">
        <v>334</v>
      </c>
      <c r="B90" s="357"/>
      <c r="C90" s="357"/>
      <c r="D90" s="395" t="s">
        <v>1537</v>
      </c>
      <c r="E90" s="493" t="s">
        <v>1513</v>
      </c>
      <c r="F90" s="493"/>
      <c r="G90" s="357" t="s">
        <v>329</v>
      </c>
      <c r="H90" s="352"/>
      <c r="I90" s="357" t="s">
        <v>330</v>
      </c>
      <c r="J90" s="357" t="s">
        <v>357</v>
      </c>
      <c r="K90" s="353">
        <v>230</v>
      </c>
      <c r="L90" s="360">
        <v>0.85</v>
      </c>
      <c r="M90" s="352">
        <v>0.95</v>
      </c>
      <c r="N90" s="359">
        <v>6</v>
      </c>
      <c r="O90" s="359">
        <f t="shared" si="359"/>
        <v>0</v>
      </c>
      <c r="P90" s="360" t="str">
        <f t="shared" si="360"/>
        <v>0.00</v>
      </c>
      <c r="Q90" s="352">
        <v>65</v>
      </c>
      <c r="R90" s="352">
        <v>0</v>
      </c>
      <c r="S90" s="352">
        <f t="shared" si="361"/>
        <v>0</v>
      </c>
      <c r="T90" s="360" t="s">
        <v>131</v>
      </c>
      <c r="U90" s="352" t="s">
        <v>333</v>
      </c>
      <c r="V90" s="360">
        <v>4</v>
      </c>
      <c r="W90" s="360" t="str">
        <f t="shared" si="362"/>
        <v>3C X 4</v>
      </c>
      <c r="X90" s="360" t="str">
        <f t="shared" si="363"/>
        <v>3C X 4</v>
      </c>
      <c r="Y90" s="360" t="s">
        <v>358</v>
      </c>
      <c r="Z90" s="361">
        <f>IF(T90="AIR",VLOOKUP(W90,'Catalogue Aluminium'!$B$9:$G$93,2,FALSE),IF(T90="GROUND",VLOOKUP(W90,'Catalogue Aluminium'!$B$9:$G$93,3,FALSE),IF(T90="DUCT",VLOOKUP(W90,'Catalogue Aluminium'!$B$9:$G$93,4,FALSE),IF(T90="TRENCH",VLOOKUP(W90,'Catalogue Aluminium'!$B$9:$G$93,2,FALSE)))))</f>
        <v>38</v>
      </c>
      <c r="AA90" s="362">
        <f>VLOOKUP(W90,'Catalogue Aluminium'!$B$9:$G$93,5,FALSE)</f>
        <v>5.9</v>
      </c>
      <c r="AB90" s="362">
        <f>VLOOKUP(W90,'Catalogue Aluminium'!$B$9:$G$93,6,FALSE)</f>
        <v>9.4700000000000006E-2</v>
      </c>
      <c r="AC90" s="564"/>
      <c r="AD90" s="564"/>
      <c r="AE90" s="564">
        <v>10</v>
      </c>
      <c r="AF90" s="564">
        <v>8</v>
      </c>
      <c r="AG90" s="564">
        <f t="shared" si="396"/>
        <v>2</v>
      </c>
      <c r="AH90" s="363">
        <f t="shared" si="364"/>
        <v>20</v>
      </c>
      <c r="AI90" s="361">
        <f>IF(T90="AIR",'Catalogue Aluminium'!$K$9,IF(T90="TRENCH",'Catalogue Aluminium'!$K$12,"NA"))</f>
        <v>0.89</v>
      </c>
      <c r="AJ90" s="359">
        <f>IF(T90="Air",(IF(U90="1C",'Catalogue Aluminium'!$L$9,'Catalogue Aluminium'!$M$9)),IF(T90="DUCT",(IF($U90="1C",'Catalogue Aluminium'!$L$10,'Catalogue Aluminium'!$M$10)),IF(T90="GROUND",(IF($U90="1C",'Catalogue Aluminium'!$L$11,'Catalogue Aluminium'!$M$11)),IF(T90="TRENCH",(IF($U90="1C",'Catalogue Aluminium'!$L$12,'Catalogue Aluminium'!$M$12))))))</f>
        <v>0.66</v>
      </c>
      <c r="AK90" s="361" t="str">
        <f>IF(T90="Air",'Catalogue Aluminium'!$N$9,IF(T90="GROUND",'Catalogue Aluminium'!$N$10,IF(T90="DUCT",'Catalogue Aluminium'!$N$11,IF(T90="TRENCH",'Catalogue Aluminium'!$N$12,"NA"))))</f>
        <v>NA</v>
      </c>
      <c r="AL90" s="361" t="str">
        <f>IF(T90="Air",(IF(U90="1C",'Catalogue Aluminium'!$O$9,'Catalogue Aluminium'!$P$9)),IF(T90="DUCT",(IF($U90="1C",'Catalogue Aluminium'!$O$10,'Catalogue Aluminium'!$P$10)),IF(T90="GROUND",(IF($U90="1C",'Catalogue Aluminium'!$O$11,'Catalogue Aluminium'!$P$11)),IF(T90="TRENCH",(IF($U90="1C",'Catalogue Aluminium'!$O$12,'Catalogue Aluminium'!$P$12))))))</f>
        <v>NA</v>
      </c>
      <c r="AM90" s="361" t="str">
        <f>IF(T90="AIR","NA",IF(T90="TRENCH","NA",IF(T90="DUCT",IF(U90="1C",VLOOKUP(V90,'Catalogue Aluminium'!$Q$9:$S$28,2,FALSE),VLOOKUP(V90,'Catalogue Aluminium'!$Q$9:$S$28,3)),IF(T90="GROUND",IF(U90="1C",VLOOKUP(V90,'Catalogue Aluminium'!$Q$9:$S$28,2,FALSE),VLOOKUP(V90,'Catalogue Aluminium'!$Q$9:$S$28,3))))))</f>
        <v>NA</v>
      </c>
      <c r="AN90" s="365">
        <f t="shared" si="365"/>
        <v>0.58740000000000003</v>
      </c>
      <c r="AO90" s="352">
        <f t="shared" si="366"/>
        <v>22.321200000000001</v>
      </c>
      <c r="AP90" s="353">
        <f t="shared" si="367"/>
        <v>1</v>
      </c>
      <c r="AQ90" s="352" t="str">
        <f t="shared" si="368"/>
        <v>YES</v>
      </c>
      <c r="AR90" s="365">
        <f t="shared" si="369"/>
        <v>0.45770297956699862</v>
      </c>
      <c r="AS90" s="360" t="str">
        <f t="shared" si="370"/>
        <v>YES</v>
      </c>
      <c r="AT90" s="365" t="str">
        <f t="shared" si="371"/>
        <v>NA</v>
      </c>
      <c r="AU90" s="360" t="str">
        <f t="shared" si="372"/>
        <v>NA</v>
      </c>
      <c r="AV90" s="366" t="str">
        <f t="shared" si="373"/>
        <v>1R x 0.6/1kV x 3C x 4 Sqmm</v>
      </c>
      <c r="AW90" s="366" t="str">
        <f t="shared" si="374"/>
        <v>1R x 0.6/1kV x 3C x 4 Sqmm</v>
      </c>
      <c r="AX90" s="360"/>
      <c r="AY90" s="367"/>
      <c r="AZ90" s="367"/>
      <c r="BA90" s="751" t="str">
        <f t="shared" si="375"/>
        <v/>
      </c>
      <c r="BB90" s="368"/>
      <c r="BC90" s="368"/>
      <c r="BE90" s="368"/>
      <c r="BF90" s="368"/>
      <c r="BG90" s="368"/>
      <c r="BH90" s="368"/>
      <c r="BI90" s="368"/>
      <c r="BJ90" s="368"/>
      <c r="BK90" s="368"/>
      <c r="BL90" s="368"/>
      <c r="BM90" s="368"/>
      <c r="BN90" s="368"/>
      <c r="BO90" s="368"/>
      <c r="BP90" s="368"/>
      <c r="BQ90" s="368"/>
      <c r="BR90" s="368"/>
      <c r="BS90" s="368"/>
      <c r="BT90" s="368"/>
      <c r="BU90" s="368"/>
      <c r="BV90" s="368"/>
      <c r="BW90" s="368"/>
      <c r="BX90" s="368"/>
      <c r="BY90" s="368"/>
      <c r="BZ90" s="368"/>
      <c r="CA90" s="368"/>
      <c r="CB90" s="368"/>
      <c r="CC90" s="368"/>
      <c r="CD90" s="368"/>
      <c r="CE90" s="368"/>
      <c r="CF90" s="368"/>
      <c r="CG90" s="368"/>
      <c r="CH90" s="368"/>
      <c r="CI90" s="368"/>
      <c r="CJ90" s="368"/>
      <c r="CK90" s="368"/>
      <c r="CL90" s="368"/>
      <c r="CM90" s="368"/>
      <c r="CN90" s="368"/>
      <c r="CO90" s="368"/>
      <c r="CP90" s="368"/>
      <c r="CQ90" s="368"/>
      <c r="CR90" s="368"/>
      <c r="CS90" s="368"/>
      <c r="CT90" s="368"/>
      <c r="CU90" s="368"/>
      <c r="CV90" s="368"/>
      <c r="CW90" s="368"/>
      <c r="CX90" s="368"/>
      <c r="CY90" s="368"/>
      <c r="CZ90" s="368"/>
      <c r="DA90" s="368"/>
      <c r="DB90" s="368"/>
      <c r="DC90" s="368"/>
      <c r="DD90" s="368"/>
      <c r="DE90" s="368"/>
      <c r="DF90" s="368"/>
      <c r="DG90" s="368"/>
      <c r="DH90" s="368"/>
      <c r="DI90" s="368"/>
      <c r="DJ90" s="368"/>
      <c r="DK90" s="368"/>
      <c r="DL90" s="368"/>
      <c r="DM90" s="368"/>
      <c r="DN90" s="368"/>
      <c r="DO90" s="368"/>
      <c r="DP90" s="368"/>
      <c r="DQ90" s="368"/>
      <c r="DR90" s="368"/>
      <c r="DS90" s="368"/>
      <c r="DT90" s="368"/>
      <c r="DU90" s="368"/>
      <c r="DW90" s="368">
        <f t="shared" si="376"/>
        <v>0</v>
      </c>
      <c r="DX90" s="368">
        <f t="shared" si="311"/>
        <v>0</v>
      </c>
      <c r="DY90" s="368">
        <f t="shared" si="312"/>
        <v>0</v>
      </c>
      <c r="DZ90" s="368">
        <f t="shared" si="313"/>
        <v>0</v>
      </c>
      <c r="EA90" s="368">
        <f t="shared" si="314"/>
        <v>0</v>
      </c>
      <c r="EB90" s="368">
        <f t="shared" si="315"/>
        <v>0</v>
      </c>
      <c r="EC90" s="368">
        <f t="shared" si="316"/>
        <v>0</v>
      </c>
      <c r="ED90" s="368">
        <f t="shared" si="317"/>
        <v>0</v>
      </c>
      <c r="EE90" s="368">
        <f t="shared" si="318"/>
        <v>0</v>
      </c>
      <c r="EF90" s="368">
        <f t="shared" si="319"/>
        <v>0</v>
      </c>
      <c r="EG90" s="368">
        <f t="shared" si="320"/>
        <v>0</v>
      </c>
      <c r="EH90" s="368">
        <f t="shared" si="321"/>
        <v>0</v>
      </c>
      <c r="EI90" s="368">
        <f t="shared" si="322"/>
        <v>0</v>
      </c>
      <c r="EJ90" s="368">
        <f t="shared" si="323"/>
        <v>0</v>
      </c>
      <c r="EK90" s="368">
        <f t="shared" si="324"/>
        <v>0</v>
      </c>
      <c r="EL90" s="368">
        <f t="shared" si="325"/>
        <v>0</v>
      </c>
      <c r="EM90" s="368">
        <f t="shared" si="326"/>
        <v>0</v>
      </c>
      <c r="EN90" s="368">
        <f t="shared" si="327"/>
        <v>0</v>
      </c>
      <c r="EO90" s="368">
        <f t="shared" si="328"/>
        <v>0</v>
      </c>
      <c r="EP90" s="368">
        <f t="shared" si="329"/>
        <v>0</v>
      </c>
      <c r="EQ90" s="368">
        <f t="shared" si="330"/>
        <v>0</v>
      </c>
      <c r="ER90" s="368">
        <f t="shared" si="331"/>
        <v>0</v>
      </c>
      <c r="ES90" s="368">
        <f t="shared" si="332"/>
        <v>0</v>
      </c>
      <c r="ET90" s="368">
        <f t="shared" si="332"/>
        <v>0</v>
      </c>
      <c r="EU90" s="368">
        <f t="shared" si="333"/>
        <v>0</v>
      </c>
      <c r="EV90" s="368">
        <f t="shared" si="334"/>
        <v>0</v>
      </c>
      <c r="EW90" s="368">
        <f t="shared" si="335"/>
        <v>0</v>
      </c>
      <c r="EX90" s="368">
        <f t="shared" si="336"/>
        <v>0</v>
      </c>
      <c r="EY90" s="368">
        <f t="shared" si="337"/>
        <v>0</v>
      </c>
      <c r="EZ90" s="368">
        <f t="shared" si="338"/>
        <v>0</v>
      </c>
      <c r="FA90" s="368">
        <f t="shared" si="339"/>
        <v>0</v>
      </c>
      <c r="FB90" s="368">
        <f t="shared" si="340"/>
        <v>0</v>
      </c>
      <c r="FC90" s="368">
        <f t="shared" si="341"/>
        <v>0</v>
      </c>
      <c r="FD90" s="368">
        <f t="shared" si="342"/>
        <v>0</v>
      </c>
      <c r="FE90" s="368">
        <f t="shared" si="343"/>
        <v>0</v>
      </c>
      <c r="FF90" s="368">
        <f t="shared" si="344"/>
        <v>0</v>
      </c>
      <c r="FG90" s="368">
        <f t="shared" si="345"/>
        <v>0</v>
      </c>
      <c r="FH90" s="368">
        <f t="shared" si="346"/>
        <v>0</v>
      </c>
      <c r="FI90" s="368">
        <f t="shared" si="347"/>
        <v>0</v>
      </c>
      <c r="FJ90" s="368">
        <f t="shared" si="348"/>
        <v>0</v>
      </c>
      <c r="FK90" s="368">
        <f t="shared" si="349"/>
        <v>0</v>
      </c>
      <c r="FL90" s="368">
        <f t="shared" si="350"/>
        <v>0</v>
      </c>
      <c r="FM90" s="368">
        <f t="shared" si="351"/>
        <v>0</v>
      </c>
      <c r="FN90" s="368">
        <f t="shared" si="352"/>
        <v>0</v>
      </c>
      <c r="FO90" s="368">
        <f t="shared" si="353"/>
        <v>0</v>
      </c>
      <c r="FP90" s="368">
        <f t="shared" si="354"/>
        <v>0</v>
      </c>
      <c r="FQ90" s="368">
        <f t="shared" si="355"/>
        <v>0</v>
      </c>
      <c r="FR90" s="368">
        <f t="shared" si="356"/>
        <v>0</v>
      </c>
      <c r="FS90" s="368">
        <f t="shared" si="357"/>
        <v>0</v>
      </c>
      <c r="FT90" s="368">
        <f t="shared" si="358"/>
        <v>0</v>
      </c>
      <c r="FU90" s="368">
        <f t="shared" si="377"/>
        <v>0</v>
      </c>
      <c r="FV90" s="368">
        <f t="shared" si="378"/>
        <v>0</v>
      </c>
      <c r="FW90" s="368">
        <f t="shared" si="379"/>
        <v>0</v>
      </c>
      <c r="FX90" s="368">
        <f t="shared" si="380"/>
        <v>0</v>
      </c>
      <c r="FY90" s="368">
        <f t="shared" si="381"/>
        <v>0</v>
      </c>
      <c r="FZ90" s="368">
        <f t="shared" si="382"/>
        <v>0</v>
      </c>
      <c r="GA90" s="368">
        <f t="shared" si="383"/>
        <v>0</v>
      </c>
      <c r="GB90" s="368">
        <f t="shared" si="384"/>
        <v>0</v>
      </c>
      <c r="GC90" s="368">
        <f t="shared" si="385"/>
        <v>0</v>
      </c>
      <c r="GD90" s="368">
        <f t="shared" si="386"/>
        <v>0</v>
      </c>
      <c r="GE90" s="368">
        <f t="shared" si="387"/>
        <v>0</v>
      </c>
      <c r="GF90" s="368">
        <f t="shared" si="388"/>
        <v>0</v>
      </c>
      <c r="GG90" s="368">
        <f t="shared" si="389"/>
        <v>0</v>
      </c>
      <c r="GH90" s="368">
        <f t="shared" si="390"/>
        <v>0</v>
      </c>
      <c r="GI90" s="368">
        <f t="shared" si="391"/>
        <v>0</v>
      </c>
      <c r="GJ90" s="368">
        <f t="shared" si="392"/>
        <v>0</v>
      </c>
      <c r="GK90" s="368">
        <f t="shared" si="393"/>
        <v>0</v>
      </c>
      <c r="GL90" s="368">
        <f t="shared" si="394"/>
        <v>0</v>
      </c>
      <c r="GM90" s="368">
        <f t="shared" si="395"/>
        <v>0</v>
      </c>
    </row>
    <row r="91" spans="1:195" s="83" customFormat="1" hidden="1">
      <c r="A91" s="357" t="s">
        <v>334</v>
      </c>
      <c r="B91" s="357"/>
      <c r="C91" s="357"/>
      <c r="D91" s="395" t="s">
        <v>1538</v>
      </c>
      <c r="E91" s="493" t="s">
        <v>1513</v>
      </c>
      <c r="F91" s="493"/>
      <c r="G91" s="357" t="s">
        <v>329</v>
      </c>
      <c r="H91" s="352"/>
      <c r="I91" s="357" t="s">
        <v>330</v>
      </c>
      <c r="J91" s="357" t="s">
        <v>357</v>
      </c>
      <c r="K91" s="353">
        <v>230</v>
      </c>
      <c r="L91" s="360">
        <v>0.85</v>
      </c>
      <c r="M91" s="352">
        <v>0.95</v>
      </c>
      <c r="N91" s="359">
        <v>6</v>
      </c>
      <c r="O91" s="359">
        <f t="shared" si="359"/>
        <v>0</v>
      </c>
      <c r="P91" s="360" t="str">
        <f t="shared" si="360"/>
        <v>0.00</v>
      </c>
      <c r="Q91" s="352">
        <v>65</v>
      </c>
      <c r="R91" s="352">
        <v>0</v>
      </c>
      <c r="S91" s="352">
        <f t="shared" si="361"/>
        <v>0</v>
      </c>
      <c r="T91" s="360" t="s">
        <v>131</v>
      </c>
      <c r="U91" s="352" t="s">
        <v>333</v>
      </c>
      <c r="V91" s="360">
        <v>4</v>
      </c>
      <c r="W91" s="360" t="str">
        <f t="shared" si="362"/>
        <v>3C X 4</v>
      </c>
      <c r="X91" s="360" t="str">
        <f t="shared" si="363"/>
        <v>3C X 4</v>
      </c>
      <c r="Y91" s="360" t="s">
        <v>358</v>
      </c>
      <c r="Z91" s="361">
        <f>IF(T91="AIR",VLOOKUP(W91,'Catalogue Aluminium'!$B$9:$G$93,2,FALSE),IF(T91="GROUND",VLOOKUP(W91,'Catalogue Aluminium'!$B$9:$G$93,3,FALSE),IF(T91="DUCT",VLOOKUP(W91,'Catalogue Aluminium'!$B$9:$G$93,4,FALSE),IF(T91="TRENCH",VLOOKUP(W91,'Catalogue Aluminium'!$B$9:$G$93,2,FALSE)))))</f>
        <v>38</v>
      </c>
      <c r="AA91" s="362">
        <f>VLOOKUP(W91,'Catalogue Aluminium'!$B$9:$G$93,5,FALSE)</f>
        <v>5.9</v>
      </c>
      <c r="AB91" s="362">
        <f>VLOOKUP(W91,'Catalogue Aluminium'!$B$9:$G$93,6,FALSE)</f>
        <v>9.4700000000000006E-2</v>
      </c>
      <c r="AC91" s="564"/>
      <c r="AD91" s="564"/>
      <c r="AE91" s="564">
        <v>10</v>
      </c>
      <c r="AF91" s="564">
        <v>8</v>
      </c>
      <c r="AG91" s="564">
        <f t="shared" si="396"/>
        <v>2</v>
      </c>
      <c r="AH91" s="363">
        <f t="shared" si="364"/>
        <v>20</v>
      </c>
      <c r="AI91" s="361">
        <f>IF(T91="AIR",'Catalogue Aluminium'!$K$9,IF(T91="TRENCH",'Catalogue Aluminium'!$K$12,"NA"))</f>
        <v>0.89</v>
      </c>
      <c r="AJ91" s="359">
        <f>IF(T91="Air",(IF(U91="1C",'Catalogue Aluminium'!$L$9,'Catalogue Aluminium'!$M$9)),IF(T91="DUCT",(IF($U91="1C",'Catalogue Aluminium'!$L$10,'Catalogue Aluminium'!$M$10)),IF(T91="GROUND",(IF($U91="1C",'Catalogue Aluminium'!$L$11,'Catalogue Aluminium'!$M$11)),IF(T91="TRENCH",(IF($U91="1C",'Catalogue Aluminium'!$L$12,'Catalogue Aluminium'!$M$12))))))</f>
        <v>0.66</v>
      </c>
      <c r="AK91" s="361" t="str">
        <f>IF(T91="Air",'Catalogue Aluminium'!$N$9,IF(T91="GROUND",'Catalogue Aluminium'!$N$10,IF(T91="DUCT",'Catalogue Aluminium'!$N$11,IF(T91="TRENCH",'Catalogue Aluminium'!$N$12,"NA"))))</f>
        <v>NA</v>
      </c>
      <c r="AL91" s="361" t="str">
        <f>IF(T91="Air",(IF(U91="1C",'Catalogue Aluminium'!$O$9,'Catalogue Aluminium'!$P$9)),IF(T91="DUCT",(IF($U91="1C",'Catalogue Aluminium'!$O$10,'Catalogue Aluminium'!$P$10)),IF(T91="GROUND",(IF($U91="1C",'Catalogue Aluminium'!$O$11,'Catalogue Aluminium'!$P$11)),IF(T91="TRENCH",(IF($U91="1C",'Catalogue Aluminium'!$O$12,'Catalogue Aluminium'!$P$12))))))</f>
        <v>NA</v>
      </c>
      <c r="AM91" s="361" t="str">
        <f>IF(T91="AIR","NA",IF(T91="TRENCH","NA",IF(T91="DUCT",IF(U91="1C",VLOOKUP(V91,'Catalogue Aluminium'!$Q$9:$S$28,2,FALSE),VLOOKUP(V91,'Catalogue Aluminium'!$Q$9:$S$28,3)),IF(T91="GROUND",IF(U91="1C",VLOOKUP(V91,'Catalogue Aluminium'!$Q$9:$S$28,2,FALSE),VLOOKUP(V91,'Catalogue Aluminium'!$Q$9:$S$28,3))))))</f>
        <v>NA</v>
      </c>
      <c r="AN91" s="365">
        <f t="shared" si="365"/>
        <v>0.58740000000000003</v>
      </c>
      <c r="AO91" s="352">
        <f t="shared" si="366"/>
        <v>22.321200000000001</v>
      </c>
      <c r="AP91" s="353">
        <f t="shared" si="367"/>
        <v>1</v>
      </c>
      <c r="AQ91" s="352" t="str">
        <f t="shared" si="368"/>
        <v>YES</v>
      </c>
      <c r="AR91" s="365">
        <f t="shared" si="369"/>
        <v>0.45770297956699862</v>
      </c>
      <c r="AS91" s="360" t="str">
        <f t="shared" si="370"/>
        <v>YES</v>
      </c>
      <c r="AT91" s="365" t="str">
        <f t="shared" si="371"/>
        <v>NA</v>
      </c>
      <c r="AU91" s="360" t="str">
        <f t="shared" si="372"/>
        <v>NA</v>
      </c>
      <c r="AV91" s="366" t="str">
        <f t="shared" si="373"/>
        <v>1R x 0.6/1kV x 3C x 4 Sqmm</v>
      </c>
      <c r="AW91" s="366" t="str">
        <f t="shared" si="374"/>
        <v>1R x 0.6/1kV x 3C x 4 Sqmm</v>
      </c>
      <c r="AX91" s="360"/>
      <c r="AY91" s="367"/>
      <c r="AZ91" s="367"/>
      <c r="BA91" s="751" t="str">
        <f t="shared" si="375"/>
        <v/>
      </c>
      <c r="BB91" s="368"/>
      <c r="BC91" s="368"/>
      <c r="BE91" s="368"/>
      <c r="BF91" s="368"/>
      <c r="BG91" s="368"/>
      <c r="BH91" s="368"/>
      <c r="BI91" s="368"/>
      <c r="BJ91" s="368"/>
      <c r="BK91" s="368"/>
      <c r="BL91" s="368"/>
      <c r="BM91" s="368"/>
      <c r="BN91" s="368"/>
      <c r="BO91" s="368"/>
      <c r="BP91" s="368"/>
      <c r="BQ91" s="368"/>
      <c r="BR91" s="368"/>
      <c r="BS91" s="368"/>
      <c r="BT91" s="368"/>
      <c r="BU91" s="368"/>
      <c r="BV91" s="368"/>
      <c r="BW91" s="368"/>
      <c r="BX91" s="368"/>
      <c r="BY91" s="368"/>
      <c r="BZ91" s="368"/>
      <c r="CA91" s="368"/>
      <c r="CB91" s="368"/>
      <c r="CC91" s="368"/>
      <c r="CD91" s="368"/>
      <c r="CE91" s="368"/>
      <c r="CF91" s="368"/>
      <c r="CG91" s="368"/>
      <c r="CH91" s="368"/>
      <c r="CI91" s="368"/>
      <c r="CJ91" s="368"/>
      <c r="CK91" s="368"/>
      <c r="CL91" s="368"/>
      <c r="CM91" s="368"/>
      <c r="CN91" s="368"/>
      <c r="CO91" s="368"/>
      <c r="CP91" s="368"/>
      <c r="CQ91" s="368"/>
      <c r="CR91" s="368"/>
      <c r="CS91" s="368"/>
      <c r="CT91" s="368"/>
      <c r="CU91" s="368"/>
      <c r="CV91" s="368"/>
      <c r="CW91" s="368"/>
      <c r="CX91" s="368"/>
      <c r="CY91" s="368"/>
      <c r="CZ91" s="368"/>
      <c r="DA91" s="368"/>
      <c r="DB91" s="368"/>
      <c r="DC91" s="368"/>
      <c r="DD91" s="368"/>
      <c r="DE91" s="368"/>
      <c r="DF91" s="368"/>
      <c r="DG91" s="368"/>
      <c r="DH91" s="368"/>
      <c r="DI91" s="368"/>
      <c r="DJ91" s="368"/>
      <c r="DK91" s="368"/>
      <c r="DL91" s="368"/>
      <c r="DM91" s="368"/>
      <c r="DN91" s="368"/>
      <c r="DO91" s="368"/>
      <c r="DP91" s="368"/>
      <c r="DQ91" s="368"/>
      <c r="DR91" s="368"/>
      <c r="DS91" s="368"/>
      <c r="DT91" s="368"/>
      <c r="DU91" s="368"/>
      <c r="DW91" s="368">
        <f t="shared" si="376"/>
        <v>0</v>
      </c>
      <c r="DX91" s="368">
        <f t="shared" si="311"/>
        <v>0</v>
      </c>
      <c r="DY91" s="368">
        <f t="shared" si="312"/>
        <v>0</v>
      </c>
      <c r="DZ91" s="368">
        <f t="shared" si="313"/>
        <v>0</v>
      </c>
      <c r="EA91" s="368">
        <f t="shared" si="314"/>
        <v>0</v>
      </c>
      <c r="EB91" s="368">
        <f t="shared" si="315"/>
        <v>0</v>
      </c>
      <c r="EC91" s="368">
        <f t="shared" si="316"/>
        <v>0</v>
      </c>
      <c r="ED91" s="368">
        <f t="shared" si="317"/>
        <v>0</v>
      </c>
      <c r="EE91" s="368">
        <f t="shared" si="318"/>
        <v>0</v>
      </c>
      <c r="EF91" s="368">
        <f t="shared" si="319"/>
        <v>0</v>
      </c>
      <c r="EG91" s="368">
        <f t="shared" si="320"/>
        <v>0</v>
      </c>
      <c r="EH91" s="368">
        <f t="shared" si="321"/>
        <v>0</v>
      </c>
      <c r="EI91" s="368">
        <f t="shared" si="322"/>
        <v>0</v>
      </c>
      <c r="EJ91" s="368">
        <f t="shared" si="323"/>
        <v>0</v>
      </c>
      <c r="EK91" s="368">
        <f t="shared" si="324"/>
        <v>0</v>
      </c>
      <c r="EL91" s="368">
        <f t="shared" si="325"/>
        <v>0</v>
      </c>
      <c r="EM91" s="368">
        <f t="shared" si="326"/>
        <v>0</v>
      </c>
      <c r="EN91" s="368">
        <f t="shared" si="327"/>
        <v>0</v>
      </c>
      <c r="EO91" s="368">
        <f t="shared" si="328"/>
        <v>0</v>
      </c>
      <c r="EP91" s="368">
        <f t="shared" si="329"/>
        <v>0</v>
      </c>
      <c r="EQ91" s="368">
        <f t="shared" si="330"/>
        <v>0</v>
      </c>
      <c r="ER91" s="368">
        <f t="shared" si="331"/>
        <v>0</v>
      </c>
      <c r="ES91" s="368">
        <f t="shared" si="332"/>
        <v>0</v>
      </c>
      <c r="ET91" s="368">
        <f t="shared" si="332"/>
        <v>0</v>
      </c>
      <c r="EU91" s="368">
        <f t="shared" si="333"/>
        <v>0</v>
      </c>
      <c r="EV91" s="368">
        <f t="shared" si="334"/>
        <v>0</v>
      </c>
      <c r="EW91" s="368">
        <f t="shared" si="335"/>
        <v>0</v>
      </c>
      <c r="EX91" s="368">
        <f t="shared" si="336"/>
        <v>0</v>
      </c>
      <c r="EY91" s="368">
        <f t="shared" si="337"/>
        <v>0</v>
      </c>
      <c r="EZ91" s="368">
        <f t="shared" si="338"/>
        <v>0</v>
      </c>
      <c r="FA91" s="368">
        <f t="shared" si="339"/>
        <v>0</v>
      </c>
      <c r="FB91" s="368">
        <f t="shared" si="340"/>
        <v>0</v>
      </c>
      <c r="FC91" s="368">
        <f t="shared" si="341"/>
        <v>0</v>
      </c>
      <c r="FD91" s="368">
        <f t="shared" si="342"/>
        <v>0</v>
      </c>
      <c r="FE91" s="368">
        <f t="shared" si="343"/>
        <v>0</v>
      </c>
      <c r="FF91" s="368">
        <f t="shared" si="344"/>
        <v>0</v>
      </c>
      <c r="FG91" s="368">
        <f t="shared" si="345"/>
        <v>0</v>
      </c>
      <c r="FH91" s="368">
        <f t="shared" si="346"/>
        <v>0</v>
      </c>
      <c r="FI91" s="368">
        <f t="shared" si="347"/>
        <v>0</v>
      </c>
      <c r="FJ91" s="368">
        <f t="shared" si="348"/>
        <v>0</v>
      </c>
      <c r="FK91" s="368">
        <f t="shared" si="349"/>
        <v>0</v>
      </c>
      <c r="FL91" s="368">
        <f t="shared" si="350"/>
        <v>0</v>
      </c>
      <c r="FM91" s="368">
        <f t="shared" si="351"/>
        <v>0</v>
      </c>
      <c r="FN91" s="368">
        <f t="shared" si="352"/>
        <v>0</v>
      </c>
      <c r="FO91" s="368">
        <f t="shared" si="353"/>
        <v>0</v>
      </c>
      <c r="FP91" s="368">
        <f t="shared" si="354"/>
        <v>0</v>
      </c>
      <c r="FQ91" s="368">
        <f t="shared" si="355"/>
        <v>0</v>
      </c>
      <c r="FR91" s="368">
        <f t="shared" si="356"/>
        <v>0</v>
      </c>
      <c r="FS91" s="368">
        <f t="shared" si="357"/>
        <v>0</v>
      </c>
      <c r="FT91" s="368">
        <f t="shared" si="358"/>
        <v>0</v>
      </c>
      <c r="FU91" s="368">
        <f t="shared" si="377"/>
        <v>0</v>
      </c>
      <c r="FV91" s="368">
        <f t="shared" si="378"/>
        <v>0</v>
      </c>
      <c r="FW91" s="368">
        <f t="shared" si="379"/>
        <v>0</v>
      </c>
      <c r="FX91" s="368">
        <f t="shared" si="380"/>
        <v>0</v>
      </c>
      <c r="FY91" s="368">
        <f t="shared" si="381"/>
        <v>0</v>
      </c>
      <c r="FZ91" s="368">
        <f t="shared" si="382"/>
        <v>0</v>
      </c>
      <c r="GA91" s="368">
        <f t="shared" si="383"/>
        <v>0</v>
      </c>
      <c r="GB91" s="368">
        <f t="shared" si="384"/>
        <v>0</v>
      </c>
      <c r="GC91" s="368">
        <f t="shared" si="385"/>
        <v>0</v>
      </c>
      <c r="GD91" s="368">
        <f t="shared" si="386"/>
        <v>0</v>
      </c>
      <c r="GE91" s="368">
        <f t="shared" si="387"/>
        <v>0</v>
      </c>
      <c r="GF91" s="368">
        <f t="shared" si="388"/>
        <v>0</v>
      </c>
      <c r="GG91" s="368">
        <f t="shared" si="389"/>
        <v>0</v>
      </c>
      <c r="GH91" s="368">
        <f t="shared" si="390"/>
        <v>0</v>
      </c>
      <c r="GI91" s="368">
        <f t="shared" si="391"/>
        <v>0</v>
      </c>
      <c r="GJ91" s="368">
        <f t="shared" si="392"/>
        <v>0</v>
      </c>
      <c r="GK91" s="368">
        <f t="shared" si="393"/>
        <v>0</v>
      </c>
      <c r="GL91" s="368">
        <f t="shared" si="394"/>
        <v>0</v>
      </c>
      <c r="GM91" s="368">
        <f t="shared" si="395"/>
        <v>0</v>
      </c>
    </row>
    <row r="92" spans="1:195" s="83" customFormat="1" hidden="1">
      <c r="A92" s="357" t="s">
        <v>334</v>
      </c>
      <c r="B92" s="357"/>
      <c r="C92" s="357"/>
      <c r="D92" s="395" t="s">
        <v>1539</v>
      </c>
      <c r="E92" s="493" t="s">
        <v>1513</v>
      </c>
      <c r="F92" s="493"/>
      <c r="G92" s="357" t="s">
        <v>329</v>
      </c>
      <c r="H92" s="352"/>
      <c r="I92" s="357" t="s">
        <v>330</v>
      </c>
      <c r="J92" s="357" t="s">
        <v>357</v>
      </c>
      <c r="K92" s="353">
        <v>230</v>
      </c>
      <c r="L92" s="360">
        <v>0.85</v>
      </c>
      <c r="M92" s="352">
        <v>0.95</v>
      </c>
      <c r="N92" s="359">
        <v>6</v>
      </c>
      <c r="O92" s="359">
        <f t="shared" si="359"/>
        <v>0</v>
      </c>
      <c r="P92" s="360" t="str">
        <f t="shared" si="360"/>
        <v>0.00</v>
      </c>
      <c r="Q92" s="352">
        <v>65</v>
      </c>
      <c r="R92" s="352">
        <v>0</v>
      </c>
      <c r="S92" s="352">
        <f t="shared" si="361"/>
        <v>0</v>
      </c>
      <c r="T92" s="360" t="s">
        <v>131</v>
      </c>
      <c r="U92" s="352" t="s">
        <v>333</v>
      </c>
      <c r="V92" s="360">
        <v>4</v>
      </c>
      <c r="W92" s="360" t="str">
        <f t="shared" si="362"/>
        <v>3C X 4</v>
      </c>
      <c r="X92" s="360" t="str">
        <f t="shared" si="363"/>
        <v>3C X 4</v>
      </c>
      <c r="Y92" s="360" t="s">
        <v>358</v>
      </c>
      <c r="Z92" s="361">
        <f>IF(T92="AIR",VLOOKUP(W92,'Catalogue Aluminium'!$B$9:$G$93,2,FALSE),IF(T92="GROUND",VLOOKUP(W92,'Catalogue Aluminium'!$B$9:$G$93,3,FALSE),IF(T92="DUCT",VLOOKUP(W92,'Catalogue Aluminium'!$B$9:$G$93,4,FALSE),IF(T92="TRENCH",VLOOKUP(W92,'Catalogue Aluminium'!$B$9:$G$93,2,FALSE)))))</f>
        <v>38</v>
      </c>
      <c r="AA92" s="362">
        <f>VLOOKUP(W92,'Catalogue Aluminium'!$B$9:$G$93,5,FALSE)</f>
        <v>5.9</v>
      </c>
      <c r="AB92" s="362">
        <f>VLOOKUP(W92,'Catalogue Aluminium'!$B$9:$G$93,6,FALSE)</f>
        <v>9.4700000000000006E-2</v>
      </c>
      <c r="AC92" s="564"/>
      <c r="AD92" s="564"/>
      <c r="AE92" s="564">
        <v>10</v>
      </c>
      <c r="AF92" s="564">
        <v>8</v>
      </c>
      <c r="AG92" s="564">
        <f t="shared" si="396"/>
        <v>2</v>
      </c>
      <c r="AH92" s="363">
        <f t="shared" si="364"/>
        <v>20</v>
      </c>
      <c r="AI92" s="361">
        <f>IF(T92="AIR",'Catalogue Aluminium'!$K$9,IF(T92="TRENCH",'Catalogue Aluminium'!$K$12,"NA"))</f>
        <v>0.89</v>
      </c>
      <c r="AJ92" s="359">
        <f>IF(T92="Air",(IF(U92="1C",'Catalogue Aluminium'!$L$9,'Catalogue Aluminium'!$M$9)),IF(T92="DUCT",(IF($U92="1C",'Catalogue Aluminium'!$L$10,'Catalogue Aluminium'!$M$10)),IF(T92="GROUND",(IF($U92="1C",'Catalogue Aluminium'!$L$11,'Catalogue Aluminium'!$M$11)),IF(T92="TRENCH",(IF($U92="1C",'Catalogue Aluminium'!$L$12,'Catalogue Aluminium'!$M$12))))))</f>
        <v>0.66</v>
      </c>
      <c r="AK92" s="361" t="str">
        <f>IF(T92="Air",'Catalogue Aluminium'!$N$9,IF(T92="GROUND",'Catalogue Aluminium'!$N$10,IF(T92="DUCT",'Catalogue Aluminium'!$N$11,IF(T92="TRENCH",'Catalogue Aluminium'!$N$12,"NA"))))</f>
        <v>NA</v>
      </c>
      <c r="AL92" s="361" t="str">
        <f>IF(T92="Air",(IF(U92="1C",'Catalogue Aluminium'!$O$9,'Catalogue Aluminium'!$P$9)),IF(T92="DUCT",(IF($U92="1C",'Catalogue Aluminium'!$O$10,'Catalogue Aluminium'!$P$10)),IF(T92="GROUND",(IF($U92="1C",'Catalogue Aluminium'!$O$11,'Catalogue Aluminium'!$P$11)),IF(T92="TRENCH",(IF($U92="1C",'Catalogue Aluminium'!$O$12,'Catalogue Aluminium'!$P$12))))))</f>
        <v>NA</v>
      </c>
      <c r="AM92" s="361" t="str">
        <f>IF(T92="AIR","NA",IF(T92="TRENCH","NA",IF(T92="DUCT",IF(U92="1C",VLOOKUP(V92,'Catalogue Aluminium'!$Q$9:$S$28,2,FALSE),VLOOKUP(V92,'Catalogue Aluminium'!$Q$9:$S$28,3)),IF(T92="GROUND",IF(U92="1C",VLOOKUP(V92,'Catalogue Aluminium'!$Q$9:$S$28,2,FALSE),VLOOKUP(V92,'Catalogue Aluminium'!$Q$9:$S$28,3))))))</f>
        <v>NA</v>
      </c>
      <c r="AN92" s="365">
        <f t="shared" si="365"/>
        <v>0.58740000000000003</v>
      </c>
      <c r="AO92" s="352">
        <f t="shared" si="366"/>
        <v>22.321200000000001</v>
      </c>
      <c r="AP92" s="353">
        <f t="shared" si="367"/>
        <v>1</v>
      </c>
      <c r="AQ92" s="352" t="str">
        <f t="shared" si="368"/>
        <v>YES</v>
      </c>
      <c r="AR92" s="365">
        <f t="shared" si="369"/>
        <v>0.45770297956699862</v>
      </c>
      <c r="AS92" s="360" t="str">
        <f t="shared" si="370"/>
        <v>YES</v>
      </c>
      <c r="AT92" s="365" t="str">
        <f t="shared" si="371"/>
        <v>NA</v>
      </c>
      <c r="AU92" s="360" t="str">
        <f t="shared" si="372"/>
        <v>NA</v>
      </c>
      <c r="AV92" s="366" t="str">
        <f t="shared" si="373"/>
        <v>1R x 0.6/1kV x 3C x 4 Sqmm</v>
      </c>
      <c r="AW92" s="366" t="str">
        <f t="shared" si="374"/>
        <v>1R x 0.6/1kV x 3C x 4 Sqmm</v>
      </c>
      <c r="AX92" s="360"/>
      <c r="AY92" s="367"/>
      <c r="AZ92" s="367"/>
      <c r="BA92" s="751" t="str">
        <f t="shared" si="375"/>
        <v/>
      </c>
      <c r="BB92" s="368"/>
      <c r="BC92" s="368"/>
      <c r="BE92" s="368"/>
      <c r="BF92" s="368"/>
      <c r="BG92" s="368"/>
      <c r="BH92" s="368"/>
      <c r="BI92" s="368"/>
      <c r="BJ92" s="368"/>
      <c r="BK92" s="368"/>
      <c r="BL92" s="368"/>
      <c r="BM92" s="368"/>
      <c r="BN92" s="368"/>
      <c r="BO92" s="368"/>
      <c r="BP92" s="368"/>
      <c r="BQ92" s="368"/>
      <c r="BR92" s="368"/>
      <c r="BS92" s="368"/>
      <c r="BT92" s="368"/>
      <c r="BU92" s="368"/>
      <c r="BV92" s="368"/>
      <c r="BW92" s="368"/>
      <c r="BX92" s="368"/>
      <c r="BY92" s="368"/>
      <c r="BZ92" s="368"/>
      <c r="CA92" s="368"/>
      <c r="CB92" s="368"/>
      <c r="CC92" s="368"/>
      <c r="CD92" s="368"/>
      <c r="CE92" s="368"/>
      <c r="CF92" s="368"/>
      <c r="CG92" s="368"/>
      <c r="CH92" s="368"/>
      <c r="CI92" s="368"/>
      <c r="CJ92" s="368"/>
      <c r="CK92" s="368"/>
      <c r="CL92" s="368"/>
      <c r="CM92" s="368"/>
      <c r="CN92" s="368"/>
      <c r="CO92" s="368"/>
      <c r="CP92" s="368"/>
      <c r="CQ92" s="368"/>
      <c r="CR92" s="368"/>
      <c r="CS92" s="368"/>
      <c r="CT92" s="368"/>
      <c r="CU92" s="368"/>
      <c r="CV92" s="368"/>
      <c r="CW92" s="368"/>
      <c r="CX92" s="368"/>
      <c r="CY92" s="368"/>
      <c r="CZ92" s="368"/>
      <c r="DA92" s="368"/>
      <c r="DB92" s="368"/>
      <c r="DC92" s="368"/>
      <c r="DD92" s="368"/>
      <c r="DE92" s="368"/>
      <c r="DF92" s="368"/>
      <c r="DG92" s="368"/>
      <c r="DH92" s="368"/>
      <c r="DI92" s="368"/>
      <c r="DJ92" s="368"/>
      <c r="DK92" s="368"/>
      <c r="DL92" s="368"/>
      <c r="DM92" s="368"/>
      <c r="DN92" s="368"/>
      <c r="DO92" s="368"/>
      <c r="DP92" s="368"/>
      <c r="DQ92" s="368"/>
      <c r="DR92" s="368"/>
      <c r="DS92" s="368"/>
      <c r="DT92" s="368"/>
      <c r="DU92" s="368"/>
      <c r="DW92" s="368">
        <f t="shared" si="376"/>
        <v>0</v>
      </c>
      <c r="DX92" s="368">
        <f t="shared" si="311"/>
        <v>0</v>
      </c>
      <c r="DY92" s="368">
        <f t="shared" si="312"/>
        <v>0</v>
      </c>
      <c r="DZ92" s="368">
        <f t="shared" si="313"/>
        <v>0</v>
      </c>
      <c r="EA92" s="368">
        <f t="shared" si="314"/>
        <v>0</v>
      </c>
      <c r="EB92" s="368">
        <f t="shared" si="315"/>
        <v>0</v>
      </c>
      <c r="EC92" s="368">
        <f t="shared" si="316"/>
        <v>0</v>
      </c>
      <c r="ED92" s="368">
        <f t="shared" si="317"/>
        <v>0</v>
      </c>
      <c r="EE92" s="368">
        <f t="shared" si="318"/>
        <v>0</v>
      </c>
      <c r="EF92" s="368">
        <f t="shared" si="319"/>
        <v>0</v>
      </c>
      <c r="EG92" s="368">
        <f t="shared" si="320"/>
        <v>0</v>
      </c>
      <c r="EH92" s="368">
        <f t="shared" si="321"/>
        <v>0</v>
      </c>
      <c r="EI92" s="368">
        <f t="shared" si="322"/>
        <v>0</v>
      </c>
      <c r="EJ92" s="368">
        <f t="shared" si="323"/>
        <v>0</v>
      </c>
      <c r="EK92" s="368">
        <f t="shared" si="324"/>
        <v>0</v>
      </c>
      <c r="EL92" s="368">
        <f t="shared" si="325"/>
        <v>0</v>
      </c>
      <c r="EM92" s="368">
        <f t="shared" si="326"/>
        <v>0</v>
      </c>
      <c r="EN92" s="368">
        <f t="shared" si="327"/>
        <v>0</v>
      </c>
      <c r="EO92" s="368">
        <f t="shared" si="328"/>
        <v>0</v>
      </c>
      <c r="EP92" s="368">
        <f t="shared" si="329"/>
        <v>0</v>
      </c>
      <c r="EQ92" s="368">
        <f t="shared" si="330"/>
        <v>0</v>
      </c>
      <c r="ER92" s="368">
        <f t="shared" si="331"/>
        <v>0</v>
      </c>
      <c r="ES92" s="368">
        <f t="shared" si="332"/>
        <v>0</v>
      </c>
      <c r="ET92" s="368">
        <f t="shared" si="332"/>
        <v>0</v>
      </c>
      <c r="EU92" s="368">
        <f t="shared" si="333"/>
        <v>0</v>
      </c>
      <c r="EV92" s="368">
        <f t="shared" si="334"/>
        <v>0</v>
      </c>
      <c r="EW92" s="368">
        <f t="shared" si="335"/>
        <v>0</v>
      </c>
      <c r="EX92" s="368">
        <f t="shared" si="336"/>
        <v>0</v>
      </c>
      <c r="EY92" s="368">
        <f t="shared" si="337"/>
        <v>0</v>
      </c>
      <c r="EZ92" s="368">
        <f t="shared" si="338"/>
        <v>0</v>
      </c>
      <c r="FA92" s="368">
        <f t="shared" si="339"/>
        <v>0</v>
      </c>
      <c r="FB92" s="368">
        <f t="shared" si="340"/>
        <v>0</v>
      </c>
      <c r="FC92" s="368">
        <f t="shared" si="341"/>
        <v>0</v>
      </c>
      <c r="FD92" s="368">
        <f t="shared" si="342"/>
        <v>0</v>
      </c>
      <c r="FE92" s="368">
        <f t="shared" si="343"/>
        <v>0</v>
      </c>
      <c r="FF92" s="368">
        <f t="shared" si="344"/>
        <v>0</v>
      </c>
      <c r="FG92" s="368">
        <f t="shared" si="345"/>
        <v>0</v>
      </c>
      <c r="FH92" s="368">
        <f t="shared" si="346"/>
        <v>0</v>
      </c>
      <c r="FI92" s="368">
        <f t="shared" si="347"/>
        <v>0</v>
      </c>
      <c r="FJ92" s="368">
        <f t="shared" si="348"/>
        <v>0</v>
      </c>
      <c r="FK92" s="368">
        <f t="shared" si="349"/>
        <v>0</v>
      </c>
      <c r="FL92" s="368">
        <f t="shared" si="350"/>
        <v>0</v>
      </c>
      <c r="FM92" s="368">
        <f t="shared" si="351"/>
        <v>0</v>
      </c>
      <c r="FN92" s="368">
        <f t="shared" si="352"/>
        <v>0</v>
      </c>
      <c r="FO92" s="368">
        <f t="shared" si="353"/>
        <v>0</v>
      </c>
      <c r="FP92" s="368">
        <f t="shared" si="354"/>
        <v>0</v>
      </c>
      <c r="FQ92" s="368">
        <f t="shared" si="355"/>
        <v>0</v>
      </c>
      <c r="FR92" s="368">
        <f t="shared" si="356"/>
        <v>0</v>
      </c>
      <c r="FS92" s="368">
        <f t="shared" si="357"/>
        <v>0</v>
      </c>
      <c r="FT92" s="368">
        <f t="shared" si="358"/>
        <v>0</v>
      </c>
      <c r="FU92" s="368">
        <f t="shared" si="377"/>
        <v>0</v>
      </c>
      <c r="FV92" s="368">
        <f t="shared" si="378"/>
        <v>0</v>
      </c>
      <c r="FW92" s="368">
        <f t="shared" si="379"/>
        <v>0</v>
      </c>
      <c r="FX92" s="368">
        <f t="shared" si="380"/>
        <v>0</v>
      </c>
      <c r="FY92" s="368">
        <f t="shared" si="381"/>
        <v>0</v>
      </c>
      <c r="FZ92" s="368">
        <f t="shared" si="382"/>
        <v>0</v>
      </c>
      <c r="GA92" s="368">
        <f t="shared" si="383"/>
        <v>0</v>
      </c>
      <c r="GB92" s="368">
        <f t="shared" si="384"/>
        <v>0</v>
      </c>
      <c r="GC92" s="368">
        <f t="shared" si="385"/>
        <v>0</v>
      </c>
      <c r="GD92" s="368">
        <f t="shared" si="386"/>
        <v>0</v>
      </c>
      <c r="GE92" s="368">
        <f t="shared" si="387"/>
        <v>0</v>
      </c>
      <c r="GF92" s="368">
        <f t="shared" si="388"/>
        <v>0</v>
      </c>
      <c r="GG92" s="368">
        <f t="shared" si="389"/>
        <v>0</v>
      </c>
      <c r="GH92" s="368">
        <f t="shared" si="390"/>
        <v>0</v>
      </c>
      <c r="GI92" s="368">
        <f t="shared" si="391"/>
        <v>0</v>
      </c>
      <c r="GJ92" s="368">
        <f t="shared" si="392"/>
        <v>0</v>
      </c>
      <c r="GK92" s="368">
        <f t="shared" si="393"/>
        <v>0</v>
      </c>
      <c r="GL92" s="368">
        <f t="shared" si="394"/>
        <v>0</v>
      </c>
      <c r="GM92" s="368">
        <f t="shared" si="395"/>
        <v>0</v>
      </c>
    </row>
    <row r="93" spans="1:195" s="83" customFormat="1" hidden="1">
      <c r="A93" s="357" t="s">
        <v>334</v>
      </c>
      <c r="B93" s="357"/>
      <c r="C93" s="357"/>
      <c r="D93" s="395" t="s">
        <v>1540</v>
      </c>
      <c r="E93" s="493" t="s">
        <v>1513</v>
      </c>
      <c r="F93" s="493"/>
      <c r="G93" s="357" t="s">
        <v>329</v>
      </c>
      <c r="H93" s="352"/>
      <c r="I93" s="357" t="s">
        <v>330</v>
      </c>
      <c r="J93" s="357" t="s">
        <v>357</v>
      </c>
      <c r="K93" s="353">
        <v>230</v>
      </c>
      <c r="L93" s="360">
        <v>0.85</v>
      </c>
      <c r="M93" s="352">
        <v>0.95</v>
      </c>
      <c r="N93" s="359">
        <v>6</v>
      </c>
      <c r="O93" s="359">
        <f t="shared" si="359"/>
        <v>0</v>
      </c>
      <c r="P93" s="360" t="str">
        <f t="shared" si="360"/>
        <v>0.00</v>
      </c>
      <c r="Q93" s="352">
        <v>65</v>
      </c>
      <c r="R93" s="352">
        <v>0</v>
      </c>
      <c r="S93" s="352">
        <f t="shared" si="361"/>
        <v>0</v>
      </c>
      <c r="T93" s="360" t="s">
        <v>131</v>
      </c>
      <c r="U93" s="352" t="s">
        <v>333</v>
      </c>
      <c r="V93" s="360">
        <v>4</v>
      </c>
      <c r="W93" s="360" t="str">
        <f t="shared" si="362"/>
        <v>3C X 4</v>
      </c>
      <c r="X93" s="360" t="str">
        <f t="shared" si="363"/>
        <v>3C X 4</v>
      </c>
      <c r="Y93" s="360" t="s">
        <v>358</v>
      </c>
      <c r="Z93" s="361">
        <f>IF(T93="AIR",VLOOKUP(W93,'Catalogue Aluminium'!$B$9:$G$93,2,FALSE),IF(T93="GROUND",VLOOKUP(W93,'Catalogue Aluminium'!$B$9:$G$93,3,FALSE),IF(T93="DUCT",VLOOKUP(W93,'Catalogue Aluminium'!$B$9:$G$93,4,FALSE),IF(T93="TRENCH",VLOOKUP(W93,'Catalogue Aluminium'!$B$9:$G$93,2,FALSE)))))</f>
        <v>38</v>
      </c>
      <c r="AA93" s="362">
        <f>VLOOKUP(W93,'Catalogue Aluminium'!$B$9:$G$93,5,FALSE)</f>
        <v>5.9</v>
      </c>
      <c r="AB93" s="362">
        <f>VLOOKUP(W93,'Catalogue Aluminium'!$B$9:$G$93,6,FALSE)</f>
        <v>9.4700000000000006E-2</v>
      </c>
      <c r="AC93" s="564"/>
      <c r="AD93" s="564"/>
      <c r="AE93" s="564">
        <v>10</v>
      </c>
      <c r="AF93" s="564">
        <v>8</v>
      </c>
      <c r="AG93" s="564">
        <f t="shared" si="396"/>
        <v>2</v>
      </c>
      <c r="AH93" s="363">
        <f t="shared" si="364"/>
        <v>20</v>
      </c>
      <c r="AI93" s="361">
        <f>IF(T93="AIR",'Catalogue Aluminium'!$K$9,IF(T93="TRENCH",'Catalogue Aluminium'!$K$12,"NA"))</f>
        <v>0.89</v>
      </c>
      <c r="AJ93" s="359">
        <f>IF(T93="Air",(IF(U93="1C",'Catalogue Aluminium'!$L$9,'Catalogue Aluminium'!$M$9)),IF(T93="DUCT",(IF($U93="1C",'Catalogue Aluminium'!$L$10,'Catalogue Aluminium'!$M$10)),IF(T93="GROUND",(IF($U93="1C",'Catalogue Aluminium'!$L$11,'Catalogue Aluminium'!$M$11)),IF(T93="TRENCH",(IF($U93="1C",'Catalogue Aluminium'!$L$12,'Catalogue Aluminium'!$M$12))))))</f>
        <v>0.66</v>
      </c>
      <c r="AK93" s="361" t="str">
        <f>IF(T93="Air",'Catalogue Aluminium'!$N$9,IF(T93="GROUND",'Catalogue Aluminium'!$N$10,IF(T93="DUCT",'Catalogue Aluminium'!$N$11,IF(T93="TRENCH",'Catalogue Aluminium'!$N$12,"NA"))))</f>
        <v>NA</v>
      </c>
      <c r="AL93" s="361" t="str">
        <f>IF(T93="Air",(IF(U93="1C",'Catalogue Aluminium'!$O$9,'Catalogue Aluminium'!$P$9)),IF(T93="DUCT",(IF($U93="1C",'Catalogue Aluminium'!$O$10,'Catalogue Aluminium'!$P$10)),IF(T93="GROUND",(IF($U93="1C",'Catalogue Aluminium'!$O$11,'Catalogue Aluminium'!$P$11)),IF(T93="TRENCH",(IF($U93="1C",'Catalogue Aluminium'!$O$12,'Catalogue Aluminium'!$P$12))))))</f>
        <v>NA</v>
      </c>
      <c r="AM93" s="361" t="str">
        <f>IF(T93="AIR","NA",IF(T93="TRENCH","NA",IF(T93="DUCT",IF(U93="1C",VLOOKUP(V93,'Catalogue Aluminium'!$Q$9:$S$28,2,FALSE),VLOOKUP(V93,'Catalogue Aluminium'!$Q$9:$S$28,3)),IF(T93="GROUND",IF(U93="1C",VLOOKUP(V93,'Catalogue Aluminium'!$Q$9:$S$28,2,FALSE),VLOOKUP(V93,'Catalogue Aluminium'!$Q$9:$S$28,3))))))</f>
        <v>NA</v>
      </c>
      <c r="AN93" s="365">
        <f t="shared" si="365"/>
        <v>0.58740000000000003</v>
      </c>
      <c r="AO93" s="352">
        <f t="shared" si="366"/>
        <v>22.321200000000001</v>
      </c>
      <c r="AP93" s="353">
        <f t="shared" si="367"/>
        <v>1</v>
      </c>
      <c r="AQ93" s="352" t="str">
        <f t="shared" si="368"/>
        <v>YES</v>
      </c>
      <c r="AR93" s="365">
        <f t="shared" si="369"/>
        <v>0.45770297956699862</v>
      </c>
      <c r="AS93" s="360" t="str">
        <f t="shared" si="370"/>
        <v>YES</v>
      </c>
      <c r="AT93" s="365" t="str">
        <f t="shared" si="371"/>
        <v>NA</v>
      </c>
      <c r="AU93" s="360" t="str">
        <f t="shared" si="372"/>
        <v>NA</v>
      </c>
      <c r="AV93" s="366" t="str">
        <f t="shared" si="373"/>
        <v>1R x 0.6/1kV x 3C x 4 Sqmm</v>
      </c>
      <c r="AW93" s="366" t="str">
        <f t="shared" si="374"/>
        <v>1R x 0.6/1kV x 3C x 4 Sqmm</v>
      </c>
      <c r="AX93" s="360"/>
      <c r="AY93" s="367"/>
      <c r="AZ93" s="367"/>
      <c r="BA93" s="751" t="str">
        <f t="shared" si="375"/>
        <v/>
      </c>
      <c r="BB93" s="368"/>
      <c r="BC93" s="368"/>
      <c r="BE93" s="368"/>
      <c r="BF93" s="368"/>
      <c r="BG93" s="368"/>
      <c r="BH93" s="368"/>
      <c r="BI93" s="368"/>
      <c r="BJ93" s="368"/>
      <c r="BK93" s="368"/>
      <c r="BL93" s="368"/>
      <c r="BM93" s="368"/>
      <c r="BN93" s="368"/>
      <c r="BO93" s="368"/>
      <c r="BP93" s="368"/>
      <c r="BQ93" s="368"/>
      <c r="BR93" s="368"/>
      <c r="BS93" s="368"/>
      <c r="BT93" s="368"/>
      <c r="BU93" s="368"/>
      <c r="BV93" s="368"/>
      <c r="BW93" s="368"/>
      <c r="BX93" s="368"/>
      <c r="BY93" s="368"/>
      <c r="BZ93" s="368"/>
      <c r="CA93" s="368"/>
      <c r="CB93" s="368"/>
      <c r="CC93" s="368"/>
      <c r="CD93" s="368"/>
      <c r="CE93" s="368"/>
      <c r="CF93" s="368"/>
      <c r="CG93" s="368"/>
      <c r="CH93" s="368"/>
      <c r="CI93" s="368"/>
      <c r="CJ93" s="368"/>
      <c r="CK93" s="368"/>
      <c r="CL93" s="368"/>
      <c r="CM93" s="368"/>
      <c r="CN93" s="368"/>
      <c r="CO93" s="368"/>
      <c r="CP93" s="368"/>
      <c r="CQ93" s="368"/>
      <c r="CR93" s="368"/>
      <c r="CS93" s="368"/>
      <c r="CT93" s="368"/>
      <c r="CU93" s="368"/>
      <c r="CV93" s="368"/>
      <c r="CW93" s="368"/>
      <c r="CX93" s="368"/>
      <c r="CY93" s="368"/>
      <c r="CZ93" s="368"/>
      <c r="DA93" s="368"/>
      <c r="DB93" s="368"/>
      <c r="DC93" s="368"/>
      <c r="DD93" s="368"/>
      <c r="DE93" s="368"/>
      <c r="DF93" s="368"/>
      <c r="DG93" s="368"/>
      <c r="DH93" s="368"/>
      <c r="DI93" s="368"/>
      <c r="DJ93" s="368"/>
      <c r="DK93" s="368"/>
      <c r="DL93" s="368"/>
      <c r="DM93" s="368"/>
      <c r="DN93" s="368"/>
      <c r="DO93" s="368"/>
      <c r="DP93" s="368"/>
      <c r="DQ93" s="368"/>
      <c r="DR93" s="368"/>
      <c r="DS93" s="368"/>
      <c r="DT93" s="368"/>
      <c r="DU93" s="368"/>
      <c r="DW93" s="368">
        <f t="shared" si="376"/>
        <v>0</v>
      </c>
      <c r="DX93" s="368">
        <f t="shared" si="311"/>
        <v>0</v>
      </c>
      <c r="DY93" s="368">
        <f t="shared" si="312"/>
        <v>0</v>
      </c>
      <c r="DZ93" s="368">
        <f t="shared" si="313"/>
        <v>0</v>
      </c>
      <c r="EA93" s="368">
        <f t="shared" si="314"/>
        <v>0</v>
      </c>
      <c r="EB93" s="368">
        <f t="shared" si="315"/>
        <v>0</v>
      </c>
      <c r="EC93" s="368">
        <f t="shared" si="316"/>
        <v>0</v>
      </c>
      <c r="ED93" s="368">
        <f t="shared" si="317"/>
        <v>0</v>
      </c>
      <c r="EE93" s="368">
        <f t="shared" si="318"/>
        <v>0</v>
      </c>
      <c r="EF93" s="368">
        <f t="shared" si="319"/>
        <v>0</v>
      </c>
      <c r="EG93" s="368">
        <f t="shared" si="320"/>
        <v>0</v>
      </c>
      <c r="EH93" s="368">
        <f t="shared" si="321"/>
        <v>0</v>
      </c>
      <c r="EI93" s="368">
        <f t="shared" si="322"/>
        <v>0</v>
      </c>
      <c r="EJ93" s="368">
        <f t="shared" si="323"/>
        <v>0</v>
      </c>
      <c r="EK93" s="368">
        <f t="shared" si="324"/>
        <v>0</v>
      </c>
      <c r="EL93" s="368">
        <f t="shared" si="325"/>
        <v>0</v>
      </c>
      <c r="EM93" s="368">
        <f t="shared" si="326"/>
        <v>0</v>
      </c>
      <c r="EN93" s="368">
        <f t="shared" si="327"/>
        <v>0</v>
      </c>
      <c r="EO93" s="368">
        <f t="shared" si="328"/>
        <v>0</v>
      </c>
      <c r="EP93" s="368">
        <f t="shared" si="329"/>
        <v>0</v>
      </c>
      <c r="EQ93" s="368">
        <f t="shared" si="330"/>
        <v>0</v>
      </c>
      <c r="ER93" s="368">
        <f t="shared" si="331"/>
        <v>0</v>
      </c>
      <c r="ES93" s="368">
        <f t="shared" si="332"/>
        <v>0</v>
      </c>
      <c r="ET93" s="368">
        <f t="shared" si="332"/>
        <v>0</v>
      </c>
      <c r="EU93" s="368">
        <f t="shared" si="333"/>
        <v>0</v>
      </c>
      <c r="EV93" s="368">
        <f t="shared" si="334"/>
        <v>0</v>
      </c>
      <c r="EW93" s="368">
        <f t="shared" si="335"/>
        <v>0</v>
      </c>
      <c r="EX93" s="368">
        <f t="shared" si="336"/>
        <v>0</v>
      </c>
      <c r="EY93" s="368">
        <f t="shared" si="337"/>
        <v>0</v>
      </c>
      <c r="EZ93" s="368">
        <f t="shared" si="338"/>
        <v>0</v>
      </c>
      <c r="FA93" s="368">
        <f t="shared" si="339"/>
        <v>0</v>
      </c>
      <c r="FB93" s="368">
        <f t="shared" si="340"/>
        <v>0</v>
      </c>
      <c r="FC93" s="368">
        <f t="shared" si="341"/>
        <v>0</v>
      </c>
      <c r="FD93" s="368">
        <f t="shared" si="342"/>
        <v>0</v>
      </c>
      <c r="FE93" s="368">
        <f t="shared" si="343"/>
        <v>0</v>
      </c>
      <c r="FF93" s="368">
        <f t="shared" si="344"/>
        <v>0</v>
      </c>
      <c r="FG93" s="368">
        <f t="shared" si="345"/>
        <v>0</v>
      </c>
      <c r="FH93" s="368">
        <f t="shared" si="346"/>
        <v>0</v>
      </c>
      <c r="FI93" s="368">
        <f t="shared" si="347"/>
        <v>0</v>
      </c>
      <c r="FJ93" s="368">
        <f t="shared" si="348"/>
        <v>0</v>
      </c>
      <c r="FK93" s="368">
        <f t="shared" si="349"/>
        <v>0</v>
      </c>
      <c r="FL93" s="368">
        <f t="shared" si="350"/>
        <v>0</v>
      </c>
      <c r="FM93" s="368">
        <f t="shared" si="351"/>
        <v>0</v>
      </c>
      <c r="FN93" s="368">
        <f t="shared" si="352"/>
        <v>0</v>
      </c>
      <c r="FO93" s="368">
        <f t="shared" si="353"/>
        <v>0</v>
      </c>
      <c r="FP93" s="368">
        <f t="shared" si="354"/>
        <v>0</v>
      </c>
      <c r="FQ93" s="368">
        <f t="shared" si="355"/>
        <v>0</v>
      </c>
      <c r="FR93" s="368">
        <f t="shared" si="356"/>
        <v>0</v>
      </c>
      <c r="FS93" s="368">
        <f t="shared" si="357"/>
        <v>0</v>
      </c>
      <c r="FT93" s="368">
        <f t="shared" si="358"/>
        <v>0</v>
      </c>
      <c r="FU93" s="368">
        <f t="shared" si="377"/>
        <v>0</v>
      </c>
      <c r="FV93" s="368">
        <f t="shared" si="378"/>
        <v>0</v>
      </c>
      <c r="FW93" s="368">
        <f t="shared" si="379"/>
        <v>0</v>
      </c>
      <c r="FX93" s="368">
        <f t="shared" si="380"/>
        <v>0</v>
      </c>
      <c r="FY93" s="368">
        <f t="shared" si="381"/>
        <v>0</v>
      </c>
      <c r="FZ93" s="368">
        <f t="shared" si="382"/>
        <v>0</v>
      </c>
      <c r="GA93" s="368">
        <f t="shared" si="383"/>
        <v>0</v>
      </c>
      <c r="GB93" s="368">
        <f t="shared" si="384"/>
        <v>0</v>
      </c>
      <c r="GC93" s="368">
        <f t="shared" si="385"/>
        <v>0</v>
      </c>
      <c r="GD93" s="368">
        <f t="shared" si="386"/>
        <v>0</v>
      </c>
      <c r="GE93" s="368">
        <f t="shared" si="387"/>
        <v>0</v>
      </c>
      <c r="GF93" s="368">
        <f t="shared" si="388"/>
        <v>0</v>
      </c>
      <c r="GG93" s="368">
        <f t="shared" si="389"/>
        <v>0</v>
      </c>
      <c r="GH93" s="368">
        <f t="shared" si="390"/>
        <v>0</v>
      </c>
      <c r="GI93" s="368">
        <f t="shared" si="391"/>
        <v>0</v>
      </c>
      <c r="GJ93" s="368">
        <f t="shared" si="392"/>
        <v>0</v>
      </c>
      <c r="GK93" s="368">
        <f t="shared" si="393"/>
        <v>0</v>
      </c>
      <c r="GL93" s="368">
        <f t="shared" si="394"/>
        <v>0</v>
      </c>
      <c r="GM93" s="368">
        <f t="shared" si="395"/>
        <v>0</v>
      </c>
    </row>
    <row r="94" spans="1:195" s="83" customFormat="1" hidden="1">
      <c r="A94" s="357" t="s">
        <v>334</v>
      </c>
      <c r="B94" s="357"/>
      <c r="C94" s="357"/>
      <c r="D94" s="395" t="s">
        <v>1541</v>
      </c>
      <c r="E94" s="493" t="s">
        <v>1513</v>
      </c>
      <c r="F94" s="493"/>
      <c r="G94" s="357" t="s">
        <v>329</v>
      </c>
      <c r="H94" s="352"/>
      <c r="I94" s="357" t="s">
        <v>330</v>
      </c>
      <c r="J94" s="357" t="s">
        <v>357</v>
      </c>
      <c r="K94" s="353">
        <v>230</v>
      </c>
      <c r="L94" s="360">
        <v>0.85</v>
      </c>
      <c r="M94" s="352">
        <v>0.95</v>
      </c>
      <c r="N94" s="359">
        <v>6</v>
      </c>
      <c r="O94" s="359">
        <f t="shared" si="359"/>
        <v>0</v>
      </c>
      <c r="P94" s="360" t="str">
        <f t="shared" si="360"/>
        <v>0.00</v>
      </c>
      <c r="Q94" s="352">
        <v>65</v>
      </c>
      <c r="R94" s="352">
        <v>0</v>
      </c>
      <c r="S94" s="352">
        <f t="shared" si="361"/>
        <v>0</v>
      </c>
      <c r="T94" s="360" t="s">
        <v>131</v>
      </c>
      <c r="U94" s="352" t="s">
        <v>333</v>
      </c>
      <c r="V94" s="360">
        <v>4</v>
      </c>
      <c r="W94" s="360" t="str">
        <f t="shared" si="362"/>
        <v>3C X 4</v>
      </c>
      <c r="X94" s="360" t="str">
        <f t="shared" si="363"/>
        <v>3C X 4</v>
      </c>
      <c r="Y94" s="360" t="s">
        <v>358</v>
      </c>
      <c r="Z94" s="361">
        <f>IF(T94="AIR",VLOOKUP(W94,'Catalogue Aluminium'!$B$9:$G$93,2,FALSE),IF(T94="GROUND",VLOOKUP(W94,'Catalogue Aluminium'!$B$9:$G$93,3,FALSE),IF(T94="DUCT",VLOOKUP(W94,'Catalogue Aluminium'!$B$9:$G$93,4,FALSE),IF(T94="TRENCH",VLOOKUP(W94,'Catalogue Aluminium'!$B$9:$G$93,2,FALSE)))))</f>
        <v>38</v>
      </c>
      <c r="AA94" s="362">
        <f>VLOOKUP(W94,'Catalogue Aluminium'!$B$9:$G$93,5,FALSE)</f>
        <v>5.9</v>
      </c>
      <c r="AB94" s="362">
        <f>VLOOKUP(W94,'Catalogue Aluminium'!$B$9:$G$93,6,FALSE)</f>
        <v>9.4700000000000006E-2</v>
      </c>
      <c r="AC94" s="564"/>
      <c r="AD94" s="564"/>
      <c r="AE94" s="564">
        <v>10</v>
      </c>
      <c r="AF94" s="564">
        <v>8</v>
      </c>
      <c r="AG94" s="564">
        <f t="shared" si="396"/>
        <v>2</v>
      </c>
      <c r="AH94" s="363">
        <f t="shared" si="364"/>
        <v>20</v>
      </c>
      <c r="AI94" s="361">
        <f>IF(T94="AIR",'Catalogue Aluminium'!$K$9,IF(T94="TRENCH",'Catalogue Aluminium'!$K$12,"NA"))</f>
        <v>0.89</v>
      </c>
      <c r="AJ94" s="359">
        <f>IF(T94="Air",(IF(U94="1C",'Catalogue Aluminium'!$L$9,'Catalogue Aluminium'!$M$9)),IF(T94="DUCT",(IF($U94="1C",'Catalogue Aluminium'!$L$10,'Catalogue Aluminium'!$M$10)),IF(T94="GROUND",(IF($U94="1C",'Catalogue Aluminium'!$L$11,'Catalogue Aluminium'!$M$11)),IF(T94="TRENCH",(IF($U94="1C",'Catalogue Aluminium'!$L$12,'Catalogue Aluminium'!$M$12))))))</f>
        <v>0.66</v>
      </c>
      <c r="AK94" s="361" t="str">
        <f>IF(T94="Air",'Catalogue Aluminium'!$N$9,IF(T94="GROUND",'Catalogue Aluminium'!$N$10,IF(T94="DUCT",'Catalogue Aluminium'!$N$11,IF(T94="TRENCH",'Catalogue Aluminium'!$N$12,"NA"))))</f>
        <v>NA</v>
      </c>
      <c r="AL94" s="361" t="str">
        <f>IF(T94="Air",(IF(U94="1C",'Catalogue Aluminium'!$O$9,'Catalogue Aluminium'!$P$9)),IF(T94="DUCT",(IF($U94="1C",'Catalogue Aluminium'!$O$10,'Catalogue Aluminium'!$P$10)),IF(T94="GROUND",(IF($U94="1C",'Catalogue Aluminium'!$O$11,'Catalogue Aluminium'!$P$11)),IF(T94="TRENCH",(IF($U94="1C",'Catalogue Aluminium'!$O$12,'Catalogue Aluminium'!$P$12))))))</f>
        <v>NA</v>
      </c>
      <c r="AM94" s="361" t="str">
        <f>IF(T94="AIR","NA",IF(T94="TRENCH","NA",IF(T94="DUCT",IF(U94="1C",VLOOKUP(V94,'Catalogue Aluminium'!$Q$9:$S$28,2,FALSE),VLOOKUP(V94,'Catalogue Aluminium'!$Q$9:$S$28,3)),IF(T94="GROUND",IF(U94="1C",VLOOKUP(V94,'Catalogue Aluminium'!$Q$9:$S$28,2,FALSE),VLOOKUP(V94,'Catalogue Aluminium'!$Q$9:$S$28,3))))))</f>
        <v>NA</v>
      </c>
      <c r="AN94" s="365">
        <f t="shared" si="365"/>
        <v>0.58740000000000003</v>
      </c>
      <c r="AO94" s="352">
        <f t="shared" si="366"/>
        <v>22.321200000000001</v>
      </c>
      <c r="AP94" s="353">
        <f t="shared" si="367"/>
        <v>1</v>
      </c>
      <c r="AQ94" s="352" t="str">
        <f t="shared" si="368"/>
        <v>YES</v>
      </c>
      <c r="AR94" s="365">
        <f t="shared" si="369"/>
        <v>0.45770297956699862</v>
      </c>
      <c r="AS94" s="360" t="str">
        <f t="shared" si="370"/>
        <v>YES</v>
      </c>
      <c r="AT94" s="365" t="str">
        <f t="shared" si="371"/>
        <v>NA</v>
      </c>
      <c r="AU94" s="360" t="str">
        <f t="shared" si="372"/>
        <v>NA</v>
      </c>
      <c r="AV94" s="366" t="str">
        <f t="shared" si="373"/>
        <v>1R x 0.6/1kV x 3C x 4 Sqmm</v>
      </c>
      <c r="AW94" s="366" t="str">
        <f t="shared" si="374"/>
        <v>1R x 0.6/1kV x 3C x 4 Sqmm</v>
      </c>
      <c r="AX94" s="360"/>
      <c r="AY94" s="367"/>
      <c r="AZ94" s="367"/>
      <c r="BA94" s="751" t="str">
        <f t="shared" si="375"/>
        <v/>
      </c>
      <c r="BB94" s="368"/>
      <c r="BC94" s="368"/>
      <c r="BE94" s="368"/>
      <c r="BF94" s="368"/>
      <c r="BG94" s="368"/>
      <c r="BH94" s="368"/>
      <c r="BI94" s="368"/>
      <c r="BJ94" s="368"/>
      <c r="BK94" s="368"/>
      <c r="BL94" s="368"/>
      <c r="BM94" s="368"/>
      <c r="BN94" s="368"/>
      <c r="BO94" s="368"/>
      <c r="BP94" s="368"/>
      <c r="BQ94" s="368"/>
      <c r="BR94" s="368"/>
      <c r="BS94" s="368"/>
      <c r="BT94" s="368"/>
      <c r="BU94" s="368"/>
      <c r="BV94" s="368"/>
      <c r="BW94" s="368"/>
      <c r="BX94" s="368"/>
      <c r="BY94" s="368"/>
      <c r="BZ94" s="368"/>
      <c r="CA94" s="368"/>
      <c r="CB94" s="368"/>
      <c r="CC94" s="368"/>
      <c r="CD94" s="368"/>
      <c r="CE94" s="368"/>
      <c r="CF94" s="368"/>
      <c r="CG94" s="368"/>
      <c r="CH94" s="368"/>
      <c r="CI94" s="368"/>
      <c r="CJ94" s="368"/>
      <c r="CK94" s="368"/>
      <c r="CL94" s="368"/>
      <c r="CM94" s="368"/>
      <c r="CN94" s="368"/>
      <c r="CO94" s="368"/>
      <c r="CP94" s="368"/>
      <c r="CQ94" s="368"/>
      <c r="CR94" s="368"/>
      <c r="CS94" s="368"/>
      <c r="CT94" s="368"/>
      <c r="CU94" s="368"/>
      <c r="CV94" s="368"/>
      <c r="CW94" s="368"/>
      <c r="CX94" s="368"/>
      <c r="CY94" s="368"/>
      <c r="CZ94" s="368"/>
      <c r="DA94" s="368"/>
      <c r="DB94" s="368"/>
      <c r="DC94" s="368"/>
      <c r="DD94" s="368"/>
      <c r="DE94" s="368"/>
      <c r="DF94" s="368"/>
      <c r="DG94" s="368"/>
      <c r="DH94" s="368"/>
      <c r="DI94" s="368"/>
      <c r="DJ94" s="368"/>
      <c r="DK94" s="368"/>
      <c r="DL94" s="368"/>
      <c r="DM94" s="368"/>
      <c r="DN94" s="368"/>
      <c r="DO94" s="368"/>
      <c r="DP94" s="368"/>
      <c r="DQ94" s="368"/>
      <c r="DR94" s="368"/>
      <c r="DS94" s="368"/>
      <c r="DT94" s="368"/>
      <c r="DU94" s="368"/>
      <c r="DW94" s="368">
        <f t="shared" si="376"/>
        <v>0</v>
      </c>
      <c r="DX94" s="368">
        <f t="shared" si="311"/>
        <v>0</v>
      </c>
      <c r="DY94" s="368">
        <f t="shared" si="312"/>
        <v>0</v>
      </c>
      <c r="DZ94" s="368">
        <f t="shared" si="313"/>
        <v>0</v>
      </c>
      <c r="EA94" s="368">
        <f t="shared" si="314"/>
        <v>0</v>
      </c>
      <c r="EB94" s="368">
        <f t="shared" si="315"/>
        <v>0</v>
      </c>
      <c r="EC94" s="368">
        <f t="shared" si="316"/>
        <v>0</v>
      </c>
      <c r="ED94" s="368">
        <f t="shared" si="317"/>
        <v>0</v>
      </c>
      <c r="EE94" s="368">
        <f t="shared" si="318"/>
        <v>0</v>
      </c>
      <c r="EF94" s="368">
        <f t="shared" si="319"/>
        <v>0</v>
      </c>
      <c r="EG94" s="368">
        <f t="shared" si="320"/>
        <v>0</v>
      </c>
      <c r="EH94" s="368">
        <f t="shared" si="321"/>
        <v>0</v>
      </c>
      <c r="EI94" s="368">
        <f t="shared" si="322"/>
        <v>0</v>
      </c>
      <c r="EJ94" s="368">
        <f t="shared" si="323"/>
        <v>0</v>
      </c>
      <c r="EK94" s="368">
        <f t="shared" si="324"/>
        <v>0</v>
      </c>
      <c r="EL94" s="368">
        <f t="shared" si="325"/>
        <v>0</v>
      </c>
      <c r="EM94" s="368">
        <f t="shared" si="326"/>
        <v>0</v>
      </c>
      <c r="EN94" s="368">
        <f t="shared" si="327"/>
        <v>0</v>
      </c>
      <c r="EO94" s="368">
        <f t="shared" si="328"/>
        <v>0</v>
      </c>
      <c r="EP94" s="368">
        <f t="shared" si="329"/>
        <v>0</v>
      </c>
      <c r="EQ94" s="368">
        <f t="shared" si="330"/>
        <v>0</v>
      </c>
      <c r="ER94" s="368">
        <f t="shared" si="331"/>
        <v>0</v>
      </c>
      <c r="ES94" s="368">
        <f t="shared" si="332"/>
        <v>0</v>
      </c>
      <c r="ET94" s="368">
        <f t="shared" si="332"/>
        <v>0</v>
      </c>
      <c r="EU94" s="368">
        <f t="shared" si="333"/>
        <v>0</v>
      </c>
      <c r="EV94" s="368">
        <f t="shared" si="334"/>
        <v>0</v>
      </c>
      <c r="EW94" s="368">
        <f t="shared" si="335"/>
        <v>0</v>
      </c>
      <c r="EX94" s="368">
        <f t="shared" si="336"/>
        <v>0</v>
      </c>
      <c r="EY94" s="368">
        <f t="shared" si="337"/>
        <v>0</v>
      </c>
      <c r="EZ94" s="368">
        <f t="shared" si="338"/>
        <v>0</v>
      </c>
      <c r="FA94" s="368">
        <f t="shared" si="339"/>
        <v>0</v>
      </c>
      <c r="FB94" s="368">
        <f t="shared" si="340"/>
        <v>0</v>
      </c>
      <c r="FC94" s="368">
        <f t="shared" si="341"/>
        <v>0</v>
      </c>
      <c r="FD94" s="368">
        <f t="shared" si="342"/>
        <v>0</v>
      </c>
      <c r="FE94" s="368">
        <f t="shared" si="343"/>
        <v>0</v>
      </c>
      <c r="FF94" s="368">
        <f t="shared" si="344"/>
        <v>0</v>
      </c>
      <c r="FG94" s="368">
        <f t="shared" si="345"/>
        <v>0</v>
      </c>
      <c r="FH94" s="368">
        <f t="shared" si="346"/>
        <v>0</v>
      </c>
      <c r="FI94" s="368">
        <f t="shared" si="347"/>
        <v>0</v>
      </c>
      <c r="FJ94" s="368">
        <f t="shared" si="348"/>
        <v>0</v>
      </c>
      <c r="FK94" s="368">
        <f t="shared" si="349"/>
        <v>0</v>
      </c>
      <c r="FL94" s="368">
        <f t="shared" si="350"/>
        <v>0</v>
      </c>
      <c r="FM94" s="368">
        <f t="shared" si="351"/>
        <v>0</v>
      </c>
      <c r="FN94" s="368">
        <f t="shared" si="352"/>
        <v>0</v>
      </c>
      <c r="FO94" s="368">
        <f t="shared" si="353"/>
        <v>0</v>
      </c>
      <c r="FP94" s="368">
        <f t="shared" si="354"/>
        <v>0</v>
      </c>
      <c r="FQ94" s="368">
        <f t="shared" si="355"/>
        <v>0</v>
      </c>
      <c r="FR94" s="368">
        <f t="shared" si="356"/>
        <v>0</v>
      </c>
      <c r="FS94" s="368">
        <f t="shared" si="357"/>
        <v>0</v>
      </c>
      <c r="FT94" s="368">
        <f t="shared" si="358"/>
        <v>0</v>
      </c>
      <c r="FU94" s="368">
        <f t="shared" si="377"/>
        <v>0</v>
      </c>
      <c r="FV94" s="368">
        <f t="shared" si="378"/>
        <v>0</v>
      </c>
      <c r="FW94" s="368">
        <f t="shared" si="379"/>
        <v>0</v>
      </c>
      <c r="FX94" s="368">
        <f t="shared" si="380"/>
        <v>0</v>
      </c>
      <c r="FY94" s="368">
        <f t="shared" si="381"/>
        <v>0</v>
      </c>
      <c r="FZ94" s="368">
        <f t="shared" si="382"/>
        <v>0</v>
      </c>
      <c r="GA94" s="368">
        <f t="shared" si="383"/>
        <v>0</v>
      </c>
      <c r="GB94" s="368">
        <f t="shared" si="384"/>
        <v>0</v>
      </c>
      <c r="GC94" s="368">
        <f t="shared" si="385"/>
        <v>0</v>
      </c>
      <c r="GD94" s="368">
        <f t="shared" si="386"/>
        <v>0</v>
      </c>
      <c r="GE94" s="368">
        <f t="shared" si="387"/>
        <v>0</v>
      </c>
      <c r="GF94" s="368">
        <f t="shared" si="388"/>
        <v>0</v>
      </c>
      <c r="GG94" s="368">
        <f t="shared" si="389"/>
        <v>0</v>
      </c>
      <c r="GH94" s="368">
        <f t="shared" si="390"/>
        <v>0</v>
      </c>
      <c r="GI94" s="368">
        <f t="shared" si="391"/>
        <v>0</v>
      </c>
      <c r="GJ94" s="368">
        <f t="shared" si="392"/>
        <v>0</v>
      </c>
      <c r="GK94" s="368">
        <f t="shared" si="393"/>
        <v>0</v>
      </c>
      <c r="GL94" s="368">
        <f t="shared" si="394"/>
        <v>0</v>
      </c>
      <c r="GM94" s="368">
        <f t="shared" si="395"/>
        <v>0</v>
      </c>
    </row>
    <row r="95" spans="1:195" s="83" customFormat="1" hidden="1">
      <c r="A95" s="357" t="s">
        <v>334</v>
      </c>
      <c r="B95" s="357"/>
      <c r="C95" s="357"/>
      <c r="D95" s="395" t="s">
        <v>1542</v>
      </c>
      <c r="E95" s="493" t="s">
        <v>1513</v>
      </c>
      <c r="F95" s="493"/>
      <c r="G95" s="357" t="s">
        <v>329</v>
      </c>
      <c r="H95" s="352"/>
      <c r="I95" s="357" t="s">
        <v>330</v>
      </c>
      <c r="J95" s="357" t="s">
        <v>357</v>
      </c>
      <c r="K95" s="353">
        <v>230</v>
      </c>
      <c r="L95" s="360">
        <v>0.85</v>
      </c>
      <c r="M95" s="352">
        <v>0.95</v>
      </c>
      <c r="N95" s="359">
        <v>6</v>
      </c>
      <c r="O95" s="359">
        <f t="shared" si="359"/>
        <v>0</v>
      </c>
      <c r="P95" s="360" t="str">
        <f t="shared" si="360"/>
        <v>0.00</v>
      </c>
      <c r="Q95" s="352">
        <v>65</v>
      </c>
      <c r="R95" s="352">
        <v>0</v>
      </c>
      <c r="S95" s="352">
        <f t="shared" si="361"/>
        <v>0</v>
      </c>
      <c r="T95" s="360" t="s">
        <v>131</v>
      </c>
      <c r="U95" s="352" t="s">
        <v>333</v>
      </c>
      <c r="V95" s="360">
        <v>4</v>
      </c>
      <c r="W95" s="360" t="str">
        <f t="shared" si="362"/>
        <v>3C X 4</v>
      </c>
      <c r="X95" s="360" t="str">
        <f t="shared" si="363"/>
        <v>3C X 4</v>
      </c>
      <c r="Y95" s="360" t="s">
        <v>358</v>
      </c>
      <c r="Z95" s="361">
        <f>IF(T95="AIR",VLOOKUP(W95,'Catalogue Aluminium'!$B$9:$G$93,2,FALSE),IF(T95="GROUND",VLOOKUP(W95,'Catalogue Aluminium'!$B$9:$G$93,3,FALSE),IF(T95="DUCT",VLOOKUP(W95,'Catalogue Aluminium'!$B$9:$G$93,4,FALSE),IF(T95="TRENCH",VLOOKUP(W95,'Catalogue Aluminium'!$B$9:$G$93,2,FALSE)))))</f>
        <v>38</v>
      </c>
      <c r="AA95" s="362">
        <f>VLOOKUP(W95,'Catalogue Aluminium'!$B$9:$G$93,5,FALSE)</f>
        <v>5.9</v>
      </c>
      <c r="AB95" s="362">
        <f>VLOOKUP(W95,'Catalogue Aluminium'!$B$9:$G$93,6,FALSE)</f>
        <v>9.4700000000000006E-2</v>
      </c>
      <c r="AC95" s="564"/>
      <c r="AD95" s="564"/>
      <c r="AE95" s="564">
        <v>10</v>
      </c>
      <c r="AF95" s="564">
        <v>8</v>
      </c>
      <c r="AG95" s="564">
        <f t="shared" si="396"/>
        <v>2</v>
      </c>
      <c r="AH95" s="363">
        <f t="shared" si="364"/>
        <v>20</v>
      </c>
      <c r="AI95" s="361">
        <f>IF(T95="AIR",'Catalogue Aluminium'!$K$9,IF(T95="TRENCH",'Catalogue Aluminium'!$K$12,"NA"))</f>
        <v>0.89</v>
      </c>
      <c r="AJ95" s="359">
        <f>IF(T95="Air",(IF(U95="1C",'Catalogue Aluminium'!$L$9,'Catalogue Aluminium'!$M$9)),IF(T95="DUCT",(IF($U95="1C",'Catalogue Aluminium'!$L$10,'Catalogue Aluminium'!$M$10)),IF(T95="GROUND",(IF($U95="1C",'Catalogue Aluminium'!$L$11,'Catalogue Aluminium'!$M$11)),IF(T95="TRENCH",(IF($U95="1C",'Catalogue Aluminium'!$L$12,'Catalogue Aluminium'!$M$12))))))</f>
        <v>0.66</v>
      </c>
      <c r="AK95" s="361" t="str">
        <f>IF(T95="Air",'Catalogue Aluminium'!$N$9,IF(T95="GROUND",'Catalogue Aluminium'!$N$10,IF(T95="DUCT",'Catalogue Aluminium'!$N$11,IF(T95="TRENCH",'Catalogue Aluminium'!$N$12,"NA"))))</f>
        <v>NA</v>
      </c>
      <c r="AL95" s="361" t="str">
        <f>IF(T95="Air",(IF(U95="1C",'Catalogue Aluminium'!$O$9,'Catalogue Aluminium'!$P$9)),IF(T95="DUCT",(IF($U95="1C",'Catalogue Aluminium'!$O$10,'Catalogue Aluminium'!$P$10)),IF(T95="GROUND",(IF($U95="1C",'Catalogue Aluminium'!$O$11,'Catalogue Aluminium'!$P$11)),IF(T95="TRENCH",(IF($U95="1C",'Catalogue Aluminium'!$O$12,'Catalogue Aluminium'!$P$12))))))</f>
        <v>NA</v>
      </c>
      <c r="AM95" s="361" t="str">
        <f>IF(T95="AIR","NA",IF(T95="TRENCH","NA",IF(T95="DUCT",IF(U95="1C",VLOOKUP(V95,'Catalogue Aluminium'!$Q$9:$S$28,2,FALSE),VLOOKUP(V95,'Catalogue Aluminium'!$Q$9:$S$28,3)),IF(T95="GROUND",IF(U95="1C",VLOOKUP(V95,'Catalogue Aluminium'!$Q$9:$S$28,2,FALSE),VLOOKUP(V95,'Catalogue Aluminium'!$Q$9:$S$28,3))))))</f>
        <v>NA</v>
      </c>
      <c r="AN95" s="365">
        <f t="shared" si="365"/>
        <v>0.58740000000000003</v>
      </c>
      <c r="AO95" s="352">
        <f t="shared" si="366"/>
        <v>22.321200000000001</v>
      </c>
      <c r="AP95" s="353">
        <f t="shared" si="367"/>
        <v>1</v>
      </c>
      <c r="AQ95" s="352" t="str">
        <f t="shared" si="368"/>
        <v>YES</v>
      </c>
      <c r="AR95" s="365">
        <f t="shared" si="369"/>
        <v>0.45770297956699862</v>
      </c>
      <c r="AS95" s="360" t="str">
        <f t="shared" si="370"/>
        <v>YES</v>
      </c>
      <c r="AT95" s="365" t="str">
        <f t="shared" si="371"/>
        <v>NA</v>
      </c>
      <c r="AU95" s="360" t="str">
        <f t="shared" si="372"/>
        <v>NA</v>
      </c>
      <c r="AV95" s="366" t="str">
        <f t="shared" si="373"/>
        <v>1R x 0.6/1kV x 3C x 4 Sqmm</v>
      </c>
      <c r="AW95" s="366" t="str">
        <f t="shared" si="374"/>
        <v>1R x 0.6/1kV x 3C x 4 Sqmm</v>
      </c>
      <c r="AX95" s="360"/>
      <c r="AY95" s="367"/>
      <c r="AZ95" s="367"/>
      <c r="BA95" s="751" t="str">
        <f t="shared" si="375"/>
        <v/>
      </c>
      <c r="BB95" s="368"/>
      <c r="BC95" s="368"/>
      <c r="BE95" s="368"/>
      <c r="BF95" s="368"/>
      <c r="BG95" s="368"/>
      <c r="BH95" s="368"/>
      <c r="BI95" s="368"/>
      <c r="BJ95" s="368"/>
      <c r="BK95" s="368"/>
      <c r="BL95" s="368"/>
      <c r="BM95" s="368"/>
      <c r="BN95" s="368"/>
      <c r="BO95" s="368"/>
      <c r="BP95" s="368"/>
      <c r="BQ95" s="368"/>
      <c r="BR95" s="368"/>
      <c r="BS95" s="368"/>
      <c r="BT95" s="368"/>
      <c r="BU95" s="368"/>
      <c r="BV95" s="368"/>
      <c r="BW95" s="368"/>
      <c r="BX95" s="368"/>
      <c r="BY95" s="368"/>
      <c r="BZ95" s="368"/>
      <c r="CA95" s="368"/>
      <c r="CB95" s="368"/>
      <c r="CC95" s="368"/>
      <c r="CD95" s="368"/>
      <c r="CE95" s="368"/>
      <c r="CF95" s="368"/>
      <c r="CG95" s="368"/>
      <c r="CH95" s="368"/>
      <c r="CI95" s="368"/>
      <c r="CJ95" s="368"/>
      <c r="CK95" s="368"/>
      <c r="CL95" s="368"/>
      <c r="CM95" s="368"/>
      <c r="CN95" s="368"/>
      <c r="CO95" s="368"/>
      <c r="CP95" s="368"/>
      <c r="CQ95" s="368"/>
      <c r="CR95" s="368"/>
      <c r="CS95" s="368"/>
      <c r="CT95" s="368"/>
      <c r="CU95" s="368"/>
      <c r="CV95" s="368"/>
      <c r="CW95" s="368"/>
      <c r="CX95" s="368"/>
      <c r="CY95" s="368"/>
      <c r="CZ95" s="368"/>
      <c r="DA95" s="368"/>
      <c r="DB95" s="368"/>
      <c r="DC95" s="368"/>
      <c r="DD95" s="368"/>
      <c r="DE95" s="368"/>
      <c r="DF95" s="368"/>
      <c r="DG95" s="368"/>
      <c r="DH95" s="368"/>
      <c r="DI95" s="368"/>
      <c r="DJ95" s="368"/>
      <c r="DK95" s="368"/>
      <c r="DL95" s="368"/>
      <c r="DM95" s="368"/>
      <c r="DN95" s="368"/>
      <c r="DO95" s="368"/>
      <c r="DP95" s="368"/>
      <c r="DQ95" s="368"/>
      <c r="DR95" s="368"/>
      <c r="DS95" s="368"/>
      <c r="DT95" s="368"/>
      <c r="DU95" s="368"/>
      <c r="DW95" s="368">
        <f t="shared" si="376"/>
        <v>0</v>
      </c>
      <c r="DX95" s="368">
        <f t="shared" si="311"/>
        <v>0</v>
      </c>
      <c r="DY95" s="368">
        <f t="shared" si="312"/>
        <v>0</v>
      </c>
      <c r="DZ95" s="368">
        <f t="shared" si="313"/>
        <v>0</v>
      </c>
      <c r="EA95" s="368">
        <f t="shared" si="314"/>
        <v>0</v>
      </c>
      <c r="EB95" s="368">
        <f t="shared" si="315"/>
        <v>0</v>
      </c>
      <c r="EC95" s="368">
        <f t="shared" si="316"/>
        <v>0</v>
      </c>
      <c r="ED95" s="368">
        <f t="shared" si="317"/>
        <v>0</v>
      </c>
      <c r="EE95" s="368">
        <f t="shared" si="318"/>
        <v>0</v>
      </c>
      <c r="EF95" s="368">
        <f t="shared" si="319"/>
        <v>0</v>
      </c>
      <c r="EG95" s="368">
        <f t="shared" si="320"/>
        <v>0</v>
      </c>
      <c r="EH95" s="368">
        <f t="shared" si="321"/>
        <v>0</v>
      </c>
      <c r="EI95" s="368">
        <f t="shared" si="322"/>
        <v>0</v>
      </c>
      <c r="EJ95" s="368">
        <f t="shared" si="323"/>
        <v>0</v>
      </c>
      <c r="EK95" s="368">
        <f t="shared" si="324"/>
        <v>0</v>
      </c>
      <c r="EL95" s="368">
        <f t="shared" si="325"/>
        <v>0</v>
      </c>
      <c r="EM95" s="368">
        <f t="shared" si="326"/>
        <v>0</v>
      </c>
      <c r="EN95" s="368">
        <f t="shared" si="327"/>
        <v>0</v>
      </c>
      <c r="EO95" s="368">
        <f t="shared" si="328"/>
        <v>0</v>
      </c>
      <c r="EP95" s="368">
        <f t="shared" si="329"/>
        <v>0</v>
      </c>
      <c r="EQ95" s="368">
        <f t="shared" si="330"/>
        <v>0</v>
      </c>
      <c r="ER95" s="368">
        <f t="shared" si="331"/>
        <v>0</v>
      </c>
      <c r="ES95" s="368">
        <f t="shared" si="332"/>
        <v>0</v>
      </c>
      <c r="ET95" s="368">
        <f t="shared" si="332"/>
        <v>0</v>
      </c>
      <c r="EU95" s="368">
        <f t="shared" si="333"/>
        <v>0</v>
      </c>
      <c r="EV95" s="368">
        <f t="shared" si="334"/>
        <v>0</v>
      </c>
      <c r="EW95" s="368">
        <f t="shared" si="335"/>
        <v>0</v>
      </c>
      <c r="EX95" s="368">
        <f t="shared" si="336"/>
        <v>0</v>
      </c>
      <c r="EY95" s="368">
        <f t="shared" si="337"/>
        <v>0</v>
      </c>
      <c r="EZ95" s="368">
        <f t="shared" si="338"/>
        <v>0</v>
      </c>
      <c r="FA95" s="368">
        <f t="shared" si="339"/>
        <v>0</v>
      </c>
      <c r="FB95" s="368">
        <f t="shared" si="340"/>
        <v>0</v>
      </c>
      <c r="FC95" s="368">
        <f t="shared" si="341"/>
        <v>0</v>
      </c>
      <c r="FD95" s="368">
        <f t="shared" si="342"/>
        <v>0</v>
      </c>
      <c r="FE95" s="368">
        <f t="shared" si="343"/>
        <v>0</v>
      </c>
      <c r="FF95" s="368">
        <f t="shared" si="344"/>
        <v>0</v>
      </c>
      <c r="FG95" s="368">
        <f t="shared" si="345"/>
        <v>0</v>
      </c>
      <c r="FH95" s="368">
        <f t="shared" si="346"/>
        <v>0</v>
      </c>
      <c r="FI95" s="368">
        <f t="shared" si="347"/>
        <v>0</v>
      </c>
      <c r="FJ95" s="368">
        <f t="shared" si="348"/>
        <v>0</v>
      </c>
      <c r="FK95" s="368">
        <f t="shared" si="349"/>
        <v>0</v>
      </c>
      <c r="FL95" s="368">
        <f t="shared" si="350"/>
        <v>0</v>
      </c>
      <c r="FM95" s="368">
        <f t="shared" si="351"/>
        <v>0</v>
      </c>
      <c r="FN95" s="368">
        <f t="shared" si="352"/>
        <v>0</v>
      </c>
      <c r="FO95" s="368">
        <f t="shared" si="353"/>
        <v>0</v>
      </c>
      <c r="FP95" s="368">
        <f t="shared" si="354"/>
        <v>0</v>
      </c>
      <c r="FQ95" s="368">
        <f t="shared" si="355"/>
        <v>0</v>
      </c>
      <c r="FR95" s="368">
        <f t="shared" si="356"/>
        <v>0</v>
      </c>
      <c r="FS95" s="368">
        <f t="shared" si="357"/>
        <v>0</v>
      </c>
      <c r="FT95" s="368">
        <f t="shared" si="358"/>
        <v>0</v>
      </c>
      <c r="FU95" s="368">
        <f t="shared" si="377"/>
        <v>0</v>
      </c>
      <c r="FV95" s="368">
        <f t="shared" si="378"/>
        <v>0</v>
      </c>
      <c r="FW95" s="368">
        <f t="shared" si="379"/>
        <v>0</v>
      </c>
      <c r="FX95" s="368">
        <f t="shared" si="380"/>
        <v>0</v>
      </c>
      <c r="FY95" s="368">
        <f t="shared" si="381"/>
        <v>0</v>
      </c>
      <c r="FZ95" s="368">
        <f t="shared" si="382"/>
        <v>0</v>
      </c>
      <c r="GA95" s="368">
        <f t="shared" si="383"/>
        <v>0</v>
      </c>
      <c r="GB95" s="368">
        <f t="shared" si="384"/>
        <v>0</v>
      </c>
      <c r="GC95" s="368">
        <f t="shared" si="385"/>
        <v>0</v>
      </c>
      <c r="GD95" s="368">
        <f t="shared" si="386"/>
        <v>0</v>
      </c>
      <c r="GE95" s="368">
        <f t="shared" si="387"/>
        <v>0</v>
      </c>
      <c r="GF95" s="368">
        <f t="shared" si="388"/>
        <v>0</v>
      </c>
      <c r="GG95" s="368">
        <f t="shared" si="389"/>
        <v>0</v>
      </c>
      <c r="GH95" s="368">
        <f t="shared" si="390"/>
        <v>0</v>
      </c>
      <c r="GI95" s="368">
        <f t="shared" si="391"/>
        <v>0</v>
      </c>
      <c r="GJ95" s="368">
        <f t="shared" si="392"/>
        <v>0</v>
      </c>
      <c r="GK95" s="368">
        <f t="shared" si="393"/>
        <v>0</v>
      </c>
      <c r="GL95" s="368">
        <f t="shared" si="394"/>
        <v>0</v>
      </c>
      <c r="GM95" s="368">
        <f t="shared" si="395"/>
        <v>0</v>
      </c>
    </row>
    <row r="96" spans="1:195" s="83" customFormat="1" hidden="1">
      <c r="A96" s="357" t="s">
        <v>334</v>
      </c>
      <c r="B96" s="357" t="s">
        <v>883</v>
      </c>
      <c r="C96" s="357"/>
      <c r="D96" s="395" t="s">
        <v>1543</v>
      </c>
      <c r="E96" s="493" t="s">
        <v>1513</v>
      </c>
      <c r="F96" s="493"/>
      <c r="G96" s="358" t="s">
        <v>337</v>
      </c>
      <c r="H96" s="352"/>
      <c r="I96" s="357" t="s">
        <v>330</v>
      </c>
      <c r="J96" s="357" t="s">
        <v>357</v>
      </c>
      <c r="K96" s="353">
        <v>230</v>
      </c>
      <c r="L96" s="360">
        <v>0.85</v>
      </c>
      <c r="M96" s="352">
        <v>0.95</v>
      </c>
      <c r="N96" s="359">
        <v>6</v>
      </c>
      <c r="O96" s="1071"/>
      <c r="P96" s="1072"/>
      <c r="Q96" s="1072"/>
      <c r="R96" s="1072"/>
      <c r="S96" s="1072"/>
      <c r="T96" s="1072"/>
      <c r="U96" s="1072"/>
      <c r="V96" s="1072"/>
      <c r="W96" s="1072"/>
      <c r="X96" s="1072"/>
      <c r="Y96" s="1072"/>
      <c r="Z96" s="1072"/>
      <c r="AA96" s="1072"/>
      <c r="AB96" s="1072"/>
      <c r="AC96" s="1072"/>
      <c r="AD96" s="1072"/>
      <c r="AE96" s="1072"/>
      <c r="AF96" s="1072"/>
      <c r="AG96" s="1072"/>
      <c r="AH96" s="1072"/>
      <c r="AI96" s="1072"/>
      <c r="AJ96" s="1072"/>
      <c r="AK96" s="1072"/>
      <c r="AL96" s="1072"/>
      <c r="AM96" s="1072"/>
      <c r="AN96" s="1072"/>
      <c r="AO96" s="1072"/>
      <c r="AP96" s="1072"/>
      <c r="AQ96" s="1072"/>
      <c r="AR96" s="1072"/>
      <c r="AS96" s="1072"/>
      <c r="AT96" s="1072"/>
      <c r="AU96" s="1072"/>
      <c r="AV96" s="1072"/>
      <c r="AW96" s="1072"/>
      <c r="AX96" s="1072"/>
      <c r="AY96" s="1072"/>
      <c r="AZ96" s="1072"/>
      <c r="BA96" s="1072"/>
      <c r="BB96" s="1072"/>
      <c r="BC96" s="1073"/>
      <c r="BE96" s="368"/>
      <c r="BF96" s="368"/>
      <c r="BG96" s="368"/>
      <c r="BH96" s="368"/>
      <c r="BI96" s="368"/>
      <c r="BJ96" s="368"/>
      <c r="BK96" s="368"/>
      <c r="BL96" s="368"/>
      <c r="BM96" s="368"/>
      <c r="BN96" s="368"/>
      <c r="BO96" s="368"/>
      <c r="BP96" s="368"/>
      <c r="BQ96" s="368"/>
      <c r="BR96" s="368"/>
      <c r="BS96" s="368"/>
      <c r="BT96" s="368"/>
      <c r="BU96" s="368"/>
      <c r="BV96" s="368"/>
      <c r="BW96" s="368"/>
      <c r="BX96" s="368"/>
      <c r="BY96" s="368"/>
      <c r="BZ96" s="368"/>
      <c r="CA96" s="368"/>
      <c r="CB96" s="368"/>
      <c r="CC96" s="368"/>
      <c r="CD96" s="368"/>
      <c r="CE96" s="368"/>
      <c r="CF96" s="368"/>
      <c r="CG96" s="368"/>
      <c r="CH96" s="368"/>
      <c r="CI96" s="368"/>
      <c r="CJ96" s="368"/>
      <c r="CK96" s="368"/>
      <c r="CL96" s="368"/>
      <c r="CM96" s="368"/>
      <c r="CN96" s="368"/>
      <c r="CO96" s="368"/>
      <c r="CP96" s="368"/>
      <c r="CQ96" s="368"/>
      <c r="CR96" s="368"/>
      <c r="CS96" s="368"/>
      <c r="CT96" s="368"/>
      <c r="CU96" s="368"/>
      <c r="CV96" s="368"/>
      <c r="CW96" s="368"/>
      <c r="CX96" s="368"/>
      <c r="CY96" s="368"/>
      <c r="CZ96" s="368"/>
      <c r="DA96" s="368"/>
      <c r="DB96" s="368"/>
      <c r="DC96" s="368"/>
      <c r="DD96" s="368"/>
      <c r="DE96" s="368"/>
      <c r="DF96" s="368"/>
      <c r="DG96" s="368"/>
      <c r="DH96" s="368"/>
      <c r="DI96" s="368"/>
      <c r="DJ96" s="368"/>
      <c r="DK96" s="368"/>
      <c r="DL96" s="368"/>
      <c r="DM96" s="368"/>
      <c r="DN96" s="368"/>
      <c r="DO96" s="368"/>
      <c r="DP96" s="368"/>
      <c r="DQ96" s="368"/>
      <c r="DR96" s="368"/>
      <c r="DS96" s="368"/>
      <c r="DT96" s="368"/>
      <c r="DU96" s="368"/>
      <c r="DW96" s="368">
        <f t="shared" si="376"/>
        <v>0</v>
      </c>
      <c r="DX96" s="368">
        <f t="shared" si="311"/>
        <v>0</v>
      </c>
      <c r="DY96" s="368">
        <f t="shared" si="312"/>
        <v>0</v>
      </c>
      <c r="DZ96" s="368">
        <f t="shared" si="313"/>
        <v>0</v>
      </c>
      <c r="EA96" s="368">
        <f t="shared" si="314"/>
        <v>0</v>
      </c>
      <c r="EB96" s="368">
        <f t="shared" si="315"/>
        <v>0</v>
      </c>
      <c r="EC96" s="368">
        <f t="shared" si="316"/>
        <v>0</v>
      </c>
      <c r="ED96" s="368">
        <f t="shared" si="317"/>
        <v>0</v>
      </c>
      <c r="EE96" s="368">
        <f t="shared" si="318"/>
        <v>0</v>
      </c>
      <c r="EF96" s="368">
        <f t="shared" si="319"/>
        <v>0</v>
      </c>
      <c r="EG96" s="368">
        <f t="shared" si="320"/>
        <v>0</v>
      </c>
      <c r="EH96" s="368">
        <f t="shared" si="321"/>
        <v>0</v>
      </c>
      <c r="EI96" s="368">
        <f t="shared" si="322"/>
        <v>0</v>
      </c>
      <c r="EJ96" s="368">
        <f t="shared" si="323"/>
        <v>0</v>
      </c>
      <c r="EK96" s="368">
        <f t="shared" si="324"/>
        <v>0</v>
      </c>
      <c r="EL96" s="368">
        <f t="shared" si="325"/>
        <v>0</v>
      </c>
      <c r="EM96" s="368">
        <f t="shared" si="326"/>
        <v>0</v>
      </c>
      <c r="EN96" s="368">
        <f t="shared" si="327"/>
        <v>0</v>
      </c>
      <c r="EO96" s="368">
        <f t="shared" si="328"/>
        <v>0</v>
      </c>
      <c r="EP96" s="368">
        <f t="shared" si="329"/>
        <v>0</v>
      </c>
      <c r="EQ96" s="368">
        <f t="shared" si="330"/>
        <v>0</v>
      </c>
      <c r="ER96" s="368">
        <f t="shared" si="331"/>
        <v>0</v>
      </c>
      <c r="ES96" s="368">
        <f t="shared" si="332"/>
        <v>0</v>
      </c>
      <c r="ET96" s="368">
        <f t="shared" si="332"/>
        <v>0</v>
      </c>
      <c r="EU96" s="368">
        <f t="shared" si="333"/>
        <v>0</v>
      </c>
      <c r="EV96" s="368">
        <f t="shared" si="334"/>
        <v>0</v>
      </c>
      <c r="EW96" s="368">
        <f t="shared" si="335"/>
        <v>0</v>
      </c>
      <c r="EX96" s="368">
        <f t="shared" si="336"/>
        <v>0</v>
      </c>
      <c r="EY96" s="368">
        <f t="shared" si="337"/>
        <v>0</v>
      </c>
      <c r="EZ96" s="368">
        <f t="shared" si="338"/>
        <v>0</v>
      </c>
      <c r="FA96" s="368">
        <f t="shared" si="339"/>
        <v>0</v>
      </c>
      <c r="FB96" s="368">
        <f t="shared" si="340"/>
        <v>0</v>
      </c>
      <c r="FC96" s="368">
        <f t="shared" si="341"/>
        <v>0</v>
      </c>
      <c r="FD96" s="368">
        <f t="shared" si="342"/>
        <v>0</v>
      </c>
      <c r="FE96" s="368">
        <f t="shared" si="343"/>
        <v>0</v>
      </c>
      <c r="FF96" s="368">
        <f t="shared" si="344"/>
        <v>0</v>
      </c>
      <c r="FG96" s="368">
        <f t="shared" si="345"/>
        <v>0</v>
      </c>
      <c r="FH96" s="368">
        <f t="shared" si="346"/>
        <v>0</v>
      </c>
      <c r="FI96" s="368">
        <f t="shared" si="347"/>
        <v>0</v>
      </c>
      <c r="FJ96" s="368">
        <f t="shared" si="348"/>
        <v>0</v>
      </c>
      <c r="FK96" s="368">
        <f t="shared" si="349"/>
        <v>0</v>
      </c>
      <c r="FL96" s="368">
        <f t="shared" si="350"/>
        <v>0</v>
      </c>
      <c r="FM96" s="368">
        <f t="shared" si="351"/>
        <v>0</v>
      </c>
      <c r="FN96" s="368">
        <f t="shared" si="352"/>
        <v>0</v>
      </c>
      <c r="FO96" s="368">
        <f t="shared" si="353"/>
        <v>0</v>
      </c>
      <c r="FP96" s="368">
        <f t="shared" si="354"/>
        <v>0</v>
      </c>
      <c r="FQ96" s="368">
        <f t="shared" si="355"/>
        <v>0</v>
      </c>
      <c r="FR96" s="368">
        <f t="shared" si="356"/>
        <v>0</v>
      </c>
      <c r="FS96" s="368">
        <f t="shared" si="357"/>
        <v>0</v>
      </c>
      <c r="FT96" s="368">
        <f t="shared" si="358"/>
        <v>0</v>
      </c>
      <c r="FU96" s="368">
        <f t="shared" si="377"/>
        <v>0</v>
      </c>
      <c r="FV96" s="368">
        <f t="shared" si="378"/>
        <v>0</v>
      </c>
      <c r="FW96" s="368">
        <f t="shared" si="379"/>
        <v>0</v>
      </c>
      <c r="FX96" s="368">
        <f t="shared" si="380"/>
        <v>0</v>
      </c>
      <c r="FY96" s="368">
        <f t="shared" si="381"/>
        <v>0</v>
      </c>
      <c r="FZ96" s="368">
        <f t="shared" si="382"/>
        <v>0</v>
      </c>
      <c r="GA96" s="368">
        <f t="shared" si="383"/>
        <v>0</v>
      </c>
      <c r="GB96" s="368">
        <f t="shared" si="384"/>
        <v>0</v>
      </c>
      <c r="GC96" s="368">
        <f t="shared" si="385"/>
        <v>0</v>
      </c>
      <c r="GD96" s="368">
        <f t="shared" si="386"/>
        <v>0</v>
      </c>
      <c r="GE96" s="368">
        <f t="shared" si="387"/>
        <v>0</v>
      </c>
      <c r="GF96" s="368">
        <f t="shared" si="388"/>
        <v>0</v>
      </c>
      <c r="GG96" s="368">
        <f t="shared" si="389"/>
        <v>0</v>
      </c>
      <c r="GH96" s="368">
        <f t="shared" si="390"/>
        <v>0</v>
      </c>
      <c r="GI96" s="368">
        <f t="shared" si="391"/>
        <v>0</v>
      </c>
      <c r="GJ96" s="368">
        <f t="shared" si="392"/>
        <v>0</v>
      </c>
      <c r="GK96" s="368">
        <f t="shared" si="393"/>
        <v>0</v>
      </c>
      <c r="GL96" s="368">
        <f t="shared" si="394"/>
        <v>0</v>
      </c>
      <c r="GM96" s="368">
        <f t="shared" si="395"/>
        <v>0</v>
      </c>
    </row>
    <row r="97" spans="1:195" s="83" customFormat="1" hidden="1">
      <c r="A97" s="357" t="s">
        <v>334</v>
      </c>
      <c r="B97" s="357" t="s">
        <v>883</v>
      </c>
      <c r="C97" s="357"/>
      <c r="D97" s="395" t="s">
        <v>1544</v>
      </c>
      <c r="E97" s="493" t="s">
        <v>1513</v>
      </c>
      <c r="F97" s="493"/>
      <c r="G97" s="358" t="s">
        <v>337</v>
      </c>
      <c r="H97" s="352"/>
      <c r="I97" s="357" t="s">
        <v>330</v>
      </c>
      <c r="J97" s="357" t="s">
        <v>357</v>
      </c>
      <c r="K97" s="353">
        <v>230</v>
      </c>
      <c r="L97" s="360">
        <v>0.85</v>
      </c>
      <c r="M97" s="352">
        <v>0.95</v>
      </c>
      <c r="N97" s="359">
        <v>6</v>
      </c>
      <c r="O97" s="1071"/>
      <c r="P97" s="1072"/>
      <c r="Q97" s="1072"/>
      <c r="R97" s="1072"/>
      <c r="S97" s="1072"/>
      <c r="T97" s="1072"/>
      <c r="U97" s="1072"/>
      <c r="V97" s="1072"/>
      <c r="W97" s="1072"/>
      <c r="X97" s="1072"/>
      <c r="Y97" s="1072"/>
      <c r="Z97" s="1072"/>
      <c r="AA97" s="1072"/>
      <c r="AB97" s="1072"/>
      <c r="AC97" s="1072"/>
      <c r="AD97" s="1072"/>
      <c r="AE97" s="1072"/>
      <c r="AF97" s="1072"/>
      <c r="AG97" s="1072"/>
      <c r="AH97" s="1072"/>
      <c r="AI97" s="1072"/>
      <c r="AJ97" s="1072"/>
      <c r="AK97" s="1072"/>
      <c r="AL97" s="1072"/>
      <c r="AM97" s="1072"/>
      <c r="AN97" s="1072"/>
      <c r="AO97" s="1072"/>
      <c r="AP97" s="1072"/>
      <c r="AQ97" s="1072"/>
      <c r="AR97" s="1072"/>
      <c r="AS97" s="1072"/>
      <c r="AT97" s="1072"/>
      <c r="AU97" s="1072"/>
      <c r="AV97" s="1072"/>
      <c r="AW97" s="1072"/>
      <c r="AX97" s="1072"/>
      <c r="AY97" s="1072"/>
      <c r="AZ97" s="1072"/>
      <c r="BA97" s="1072"/>
      <c r="BB97" s="1072"/>
      <c r="BC97" s="1073"/>
      <c r="BE97" s="368"/>
      <c r="BF97" s="368"/>
      <c r="BG97" s="368"/>
      <c r="BH97" s="368"/>
      <c r="BI97" s="368"/>
      <c r="BJ97" s="368"/>
      <c r="BK97" s="368"/>
      <c r="BL97" s="368"/>
      <c r="BM97" s="368"/>
      <c r="BN97" s="368"/>
      <c r="BO97" s="368"/>
      <c r="BP97" s="368"/>
      <c r="BQ97" s="368"/>
      <c r="BR97" s="368"/>
      <c r="BS97" s="368"/>
      <c r="BT97" s="368"/>
      <c r="BU97" s="368"/>
      <c r="BV97" s="368"/>
      <c r="BW97" s="368"/>
      <c r="BX97" s="368"/>
      <c r="BY97" s="368"/>
      <c r="BZ97" s="368"/>
      <c r="CA97" s="368"/>
      <c r="CB97" s="368"/>
      <c r="CC97" s="368"/>
      <c r="CD97" s="368"/>
      <c r="CE97" s="368"/>
      <c r="CF97" s="368"/>
      <c r="CG97" s="368"/>
      <c r="CH97" s="368"/>
      <c r="CI97" s="368"/>
      <c r="CJ97" s="368"/>
      <c r="CK97" s="368"/>
      <c r="CL97" s="368"/>
      <c r="CM97" s="368"/>
      <c r="CN97" s="368"/>
      <c r="CO97" s="368"/>
      <c r="CP97" s="368"/>
      <c r="CQ97" s="368"/>
      <c r="CR97" s="368"/>
      <c r="CS97" s="368"/>
      <c r="CT97" s="368"/>
      <c r="CU97" s="368"/>
      <c r="CV97" s="368"/>
      <c r="CW97" s="368"/>
      <c r="CX97" s="368"/>
      <c r="CY97" s="368"/>
      <c r="CZ97" s="368"/>
      <c r="DA97" s="368"/>
      <c r="DB97" s="368"/>
      <c r="DC97" s="368"/>
      <c r="DD97" s="368"/>
      <c r="DE97" s="368"/>
      <c r="DF97" s="368"/>
      <c r="DG97" s="368"/>
      <c r="DH97" s="368"/>
      <c r="DI97" s="368"/>
      <c r="DJ97" s="368"/>
      <c r="DK97" s="368"/>
      <c r="DL97" s="368"/>
      <c r="DM97" s="368"/>
      <c r="DN97" s="368"/>
      <c r="DO97" s="368"/>
      <c r="DP97" s="368"/>
      <c r="DQ97" s="368"/>
      <c r="DR97" s="368"/>
      <c r="DS97" s="368"/>
      <c r="DT97" s="368"/>
      <c r="DU97" s="368"/>
      <c r="DW97" s="368">
        <f t="shared" si="376"/>
        <v>0</v>
      </c>
      <c r="DX97" s="368">
        <f t="shared" si="311"/>
        <v>0</v>
      </c>
      <c r="DY97" s="368">
        <f t="shared" si="312"/>
        <v>0</v>
      </c>
      <c r="DZ97" s="368">
        <f t="shared" si="313"/>
        <v>0</v>
      </c>
      <c r="EA97" s="368">
        <f t="shared" si="314"/>
        <v>0</v>
      </c>
      <c r="EB97" s="368">
        <f t="shared" si="315"/>
        <v>0</v>
      </c>
      <c r="EC97" s="368">
        <f t="shared" si="316"/>
        <v>0</v>
      </c>
      <c r="ED97" s="368">
        <f t="shared" si="317"/>
        <v>0</v>
      </c>
      <c r="EE97" s="368">
        <f t="shared" si="318"/>
        <v>0</v>
      </c>
      <c r="EF97" s="368">
        <f t="shared" si="319"/>
        <v>0</v>
      </c>
      <c r="EG97" s="368">
        <f t="shared" si="320"/>
        <v>0</v>
      </c>
      <c r="EH97" s="368">
        <f t="shared" si="321"/>
        <v>0</v>
      </c>
      <c r="EI97" s="368">
        <f t="shared" si="322"/>
        <v>0</v>
      </c>
      <c r="EJ97" s="368">
        <f t="shared" si="323"/>
        <v>0</v>
      </c>
      <c r="EK97" s="368">
        <f t="shared" si="324"/>
        <v>0</v>
      </c>
      <c r="EL97" s="368">
        <f t="shared" si="325"/>
        <v>0</v>
      </c>
      <c r="EM97" s="368">
        <f t="shared" si="326"/>
        <v>0</v>
      </c>
      <c r="EN97" s="368">
        <f t="shared" si="327"/>
        <v>0</v>
      </c>
      <c r="EO97" s="368">
        <f t="shared" si="328"/>
        <v>0</v>
      </c>
      <c r="EP97" s="368">
        <f t="shared" si="329"/>
        <v>0</v>
      </c>
      <c r="EQ97" s="368">
        <f t="shared" si="330"/>
        <v>0</v>
      </c>
      <c r="ER97" s="368">
        <f t="shared" si="331"/>
        <v>0</v>
      </c>
      <c r="ES97" s="368">
        <f t="shared" si="332"/>
        <v>0</v>
      </c>
      <c r="ET97" s="368">
        <f t="shared" si="332"/>
        <v>0</v>
      </c>
      <c r="EU97" s="368">
        <f t="shared" si="333"/>
        <v>0</v>
      </c>
      <c r="EV97" s="368">
        <f t="shared" si="334"/>
        <v>0</v>
      </c>
      <c r="EW97" s="368">
        <f t="shared" si="335"/>
        <v>0</v>
      </c>
      <c r="EX97" s="368">
        <f t="shared" si="336"/>
        <v>0</v>
      </c>
      <c r="EY97" s="368">
        <f t="shared" si="337"/>
        <v>0</v>
      </c>
      <c r="EZ97" s="368">
        <f t="shared" si="338"/>
        <v>0</v>
      </c>
      <c r="FA97" s="368">
        <f t="shared" si="339"/>
        <v>0</v>
      </c>
      <c r="FB97" s="368">
        <f t="shared" si="340"/>
        <v>0</v>
      </c>
      <c r="FC97" s="368">
        <f t="shared" si="341"/>
        <v>0</v>
      </c>
      <c r="FD97" s="368">
        <f t="shared" si="342"/>
        <v>0</v>
      </c>
      <c r="FE97" s="368">
        <f t="shared" si="343"/>
        <v>0</v>
      </c>
      <c r="FF97" s="368">
        <f t="shared" si="344"/>
        <v>0</v>
      </c>
      <c r="FG97" s="368">
        <f t="shared" si="345"/>
        <v>0</v>
      </c>
      <c r="FH97" s="368">
        <f t="shared" si="346"/>
        <v>0</v>
      </c>
      <c r="FI97" s="368">
        <f t="shared" si="347"/>
        <v>0</v>
      </c>
      <c r="FJ97" s="368">
        <f t="shared" si="348"/>
        <v>0</v>
      </c>
      <c r="FK97" s="368">
        <f t="shared" si="349"/>
        <v>0</v>
      </c>
      <c r="FL97" s="368">
        <f t="shared" si="350"/>
        <v>0</v>
      </c>
      <c r="FM97" s="368">
        <f t="shared" si="351"/>
        <v>0</v>
      </c>
      <c r="FN97" s="368">
        <f t="shared" si="352"/>
        <v>0</v>
      </c>
      <c r="FO97" s="368">
        <f t="shared" si="353"/>
        <v>0</v>
      </c>
      <c r="FP97" s="368">
        <f t="shared" si="354"/>
        <v>0</v>
      </c>
      <c r="FQ97" s="368">
        <f t="shared" si="355"/>
        <v>0</v>
      </c>
      <c r="FR97" s="368">
        <f t="shared" si="356"/>
        <v>0</v>
      </c>
      <c r="FS97" s="368">
        <f t="shared" si="357"/>
        <v>0</v>
      </c>
      <c r="FT97" s="368">
        <f t="shared" si="358"/>
        <v>0</v>
      </c>
      <c r="FU97" s="368">
        <f t="shared" si="377"/>
        <v>0</v>
      </c>
      <c r="FV97" s="368">
        <f t="shared" si="378"/>
        <v>0</v>
      </c>
      <c r="FW97" s="368">
        <f t="shared" si="379"/>
        <v>0</v>
      </c>
      <c r="FX97" s="368">
        <f t="shared" si="380"/>
        <v>0</v>
      </c>
      <c r="FY97" s="368">
        <f t="shared" si="381"/>
        <v>0</v>
      </c>
      <c r="FZ97" s="368">
        <f t="shared" si="382"/>
        <v>0</v>
      </c>
      <c r="GA97" s="368">
        <f t="shared" si="383"/>
        <v>0</v>
      </c>
      <c r="GB97" s="368">
        <f t="shared" si="384"/>
        <v>0</v>
      </c>
      <c r="GC97" s="368">
        <f t="shared" si="385"/>
        <v>0</v>
      </c>
      <c r="GD97" s="368">
        <f t="shared" si="386"/>
        <v>0</v>
      </c>
      <c r="GE97" s="368">
        <f t="shared" si="387"/>
        <v>0</v>
      </c>
      <c r="GF97" s="368">
        <f t="shared" si="388"/>
        <v>0</v>
      </c>
      <c r="GG97" s="368">
        <f t="shared" si="389"/>
        <v>0</v>
      </c>
      <c r="GH97" s="368">
        <f t="shared" si="390"/>
        <v>0</v>
      </c>
      <c r="GI97" s="368">
        <f t="shared" si="391"/>
        <v>0</v>
      </c>
      <c r="GJ97" s="368">
        <f t="shared" si="392"/>
        <v>0</v>
      </c>
      <c r="GK97" s="368">
        <f t="shared" si="393"/>
        <v>0</v>
      </c>
      <c r="GL97" s="368">
        <f t="shared" si="394"/>
        <v>0</v>
      </c>
      <c r="GM97" s="368">
        <f t="shared" si="395"/>
        <v>0</v>
      </c>
    </row>
    <row r="98" spans="1:195">
      <c r="A98" s="337"/>
      <c r="B98" s="337"/>
      <c r="C98" s="337"/>
      <c r="D98" s="372"/>
      <c r="E98" s="500"/>
      <c r="F98" s="500"/>
      <c r="G98" s="340"/>
      <c r="H98" s="350"/>
      <c r="I98" s="337"/>
      <c r="J98" s="337"/>
      <c r="K98" s="349"/>
      <c r="L98" s="343"/>
      <c r="M98" s="350"/>
      <c r="N98" s="342"/>
      <c r="O98" s="342"/>
      <c r="P98" s="343"/>
      <c r="Q98" s="350"/>
      <c r="R98" s="350"/>
      <c r="S98" s="350"/>
      <c r="T98" s="343"/>
      <c r="U98" s="350"/>
      <c r="V98" s="343"/>
      <c r="W98" s="343"/>
      <c r="X98" s="343"/>
      <c r="Y98" s="343"/>
      <c r="Z98" s="344"/>
      <c r="AA98" s="345"/>
      <c r="AB98" s="345"/>
      <c r="AC98" s="346"/>
      <c r="AD98" s="346"/>
      <c r="AE98" s="346"/>
      <c r="AF98" s="346"/>
      <c r="AG98" s="346"/>
      <c r="AH98" s="800"/>
      <c r="AI98" s="344"/>
      <c r="AJ98" s="342"/>
      <c r="AK98" s="344"/>
      <c r="AL98" s="344"/>
      <c r="AM98" s="344"/>
      <c r="AN98" s="351"/>
      <c r="AO98" s="350"/>
      <c r="AP98" s="349"/>
      <c r="AQ98" s="350"/>
      <c r="AR98" s="351"/>
      <c r="AS98" s="343"/>
      <c r="AT98" s="351"/>
      <c r="AU98" s="351"/>
      <c r="AV98" s="354"/>
      <c r="AW98" s="354"/>
      <c r="AX98" s="343"/>
      <c r="AY98" s="355"/>
      <c r="AZ98" s="355"/>
      <c r="BA98" s="336"/>
      <c r="BB98" s="336"/>
      <c r="BC98" s="336"/>
      <c r="BE98" s="336"/>
      <c r="BF98" s="336"/>
      <c r="BG98" s="336"/>
      <c r="BH98" s="336"/>
      <c r="BI98" s="336"/>
      <c r="BJ98" s="336"/>
      <c r="BK98" s="336"/>
      <c r="BL98" s="336"/>
      <c r="BM98" s="336"/>
      <c r="BN98" s="336"/>
      <c r="BO98" s="336"/>
      <c r="BP98" s="336"/>
      <c r="BQ98" s="336"/>
      <c r="BR98" s="336"/>
      <c r="BS98" s="336"/>
      <c r="BT98" s="336"/>
      <c r="BU98" s="336"/>
      <c r="BV98" s="336"/>
      <c r="BW98" s="336"/>
      <c r="BX98" s="336"/>
      <c r="BY98" s="336"/>
      <c r="BZ98" s="336"/>
      <c r="CA98" s="336"/>
      <c r="CB98" s="336"/>
      <c r="CC98" s="336"/>
      <c r="CD98" s="336"/>
      <c r="CE98" s="336"/>
      <c r="CF98" s="336"/>
      <c r="CG98" s="336"/>
      <c r="CH98" s="336"/>
      <c r="CI98" s="336"/>
      <c r="CJ98" s="336"/>
      <c r="CK98" s="336"/>
      <c r="CL98" s="336"/>
      <c r="CM98" s="336"/>
      <c r="CN98" s="336"/>
      <c r="CO98" s="336"/>
      <c r="CP98" s="336"/>
      <c r="CQ98" s="336"/>
      <c r="CR98" s="336"/>
      <c r="CS98" s="336"/>
      <c r="CT98" s="336"/>
      <c r="CU98" s="336"/>
      <c r="CV98" s="336"/>
      <c r="CW98" s="336"/>
      <c r="CX98" s="336"/>
      <c r="CY98" s="336"/>
      <c r="CZ98" s="336"/>
      <c r="DA98" s="336"/>
      <c r="DB98" s="336"/>
      <c r="DC98" s="336"/>
      <c r="DD98" s="336"/>
      <c r="DE98" s="336"/>
      <c r="DF98" s="336"/>
      <c r="DG98" s="336"/>
      <c r="DH98" s="336"/>
      <c r="DI98" s="336"/>
      <c r="DJ98" s="336"/>
      <c r="DK98" s="336"/>
      <c r="DL98" s="336"/>
      <c r="DM98" s="336"/>
      <c r="DN98" s="336"/>
      <c r="DO98" s="336"/>
      <c r="DP98" s="336"/>
      <c r="DQ98" s="336"/>
      <c r="DR98" s="336"/>
      <c r="DS98" s="336"/>
      <c r="DT98" s="336"/>
      <c r="DU98" s="336"/>
      <c r="DW98" s="336">
        <f t="shared" si="376"/>
        <v>0</v>
      </c>
      <c r="DX98" s="336">
        <f t="shared" si="311"/>
        <v>0</v>
      </c>
      <c r="DY98" s="336">
        <f t="shared" si="312"/>
        <v>0</v>
      </c>
      <c r="DZ98" s="336">
        <f t="shared" si="313"/>
        <v>0</v>
      </c>
      <c r="EA98" s="336">
        <f t="shared" si="314"/>
        <v>0</v>
      </c>
      <c r="EB98" s="336">
        <f t="shared" si="315"/>
        <v>0</v>
      </c>
      <c r="EC98" s="336">
        <f t="shared" si="316"/>
        <v>0</v>
      </c>
      <c r="ED98" s="336">
        <f t="shared" si="317"/>
        <v>0</v>
      </c>
      <c r="EE98" s="336">
        <f t="shared" si="318"/>
        <v>0</v>
      </c>
      <c r="EF98" s="336">
        <f t="shared" si="319"/>
        <v>0</v>
      </c>
      <c r="EG98" s="336">
        <f t="shared" si="320"/>
        <v>0</v>
      </c>
      <c r="EH98" s="336">
        <f t="shared" si="321"/>
        <v>0</v>
      </c>
      <c r="EI98" s="336">
        <f t="shared" si="322"/>
        <v>0</v>
      </c>
      <c r="EJ98" s="336">
        <f t="shared" si="323"/>
        <v>0</v>
      </c>
      <c r="EK98" s="336">
        <f t="shared" si="324"/>
        <v>0</v>
      </c>
      <c r="EL98" s="336">
        <f t="shared" si="325"/>
        <v>0</v>
      </c>
      <c r="EM98" s="336">
        <f t="shared" si="326"/>
        <v>0</v>
      </c>
      <c r="EN98" s="336">
        <f t="shared" si="327"/>
        <v>0</v>
      </c>
      <c r="EO98" s="336">
        <f t="shared" si="328"/>
        <v>0</v>
      </c>
      <c r="EP98" s="336">
        <f t="shared" si="329"/>
        <v>0</v>
      </c>
      <c r="EQ98" s="336">
        <f t="shared" si="330"/>
        <v>0</v>
      </c>
      <c r="ER98" s="336">
        <f t="shared" si="331"/>
        <v>0</v>
      </c>
      <c r="ES98" s="336">
        <f t="shared" si="332"/>
        <v>0</v>
      </c>
      <c r="ET98" s="336">
        <f t="shared" si="332"/>
        <v>0</v>
      </c>
      <c r="EU98" s="336">
        <f t="shared" si="333"/>
        <v>0</v>
      </c>
      <c r="EV98" s="336">
        <f t="shared" si="334"/>
        <v>0</v>
      </c>
      <c r="EW98" s="336">
        <f t="shared" si="335"/>
        <v>0</v>
      </c>
      <c r="EX98" s="336">
        <f t="shared" si="336"/>
        <v>0</v>
      </c>
      <c r="EY98" s="336">
        <f t="shared" si="337"/>
        <v>0</v>
      </c>
      <c r="EZ98" s="336">
        <f t="shared" si="338"/>
        <v>0</v>
      </c>
      <c r="FA98" s="336">
        <f t="shared" si="339"/>
        <v>0</v>
      </c>
      <c r="FB98" s="336">
        <f t="shared" si="340"/>
        <v>0</v>
      </c>
      <c r="FC98" s="336">
        <f t="shared" si="341"/>
        <v>0</v>
      </c>
      <c r="FD98" s="336">
        <f t="shared" si="342"/>
        <v>0</v>
      </c>
      <c r="FE98" s="336">
        <f t="shared" si="343"/>
        <v>0</v>
      </c>
      <c r="FF98" s="336">
        <f t="shared" si="344"/>
        <v>0</v>
      </c>
      <c r="FG98" s="336">
        <f t="shared" si="345"/>
        <v>0</v>
      </c>
      <c r="FH98" s="336">
        <f t="shared" si="346"/>
        <v>0</v>
      </c>
      <c r="FI98" s="336">
        <f t="shared" si="347"/>
        <v>0</v>
      </c>
      <c r="FJ98" s="336">
        <f t="shared" si="348"/>
        <v>0</v>
      </c>
      <c r="FK98" s="336">
        <f t="shared" si="349"/>
        <v>0</v>
      </c>
      <c r="FL98" s="336">
        <f t="shared" si="350"/>
        <v>0</v>
      </c>
      <c r="FM98" s="336">
        <f t="shared" si="351"/>
        <v>0</v>
      </c>
      <c r="FN98" s="336">
        <f t="shared" si="352"/>
        <v>0</v>
      </c>
      <c r="FO98" s="336">
        <f t="shared" si="353"/>
        <v>0</v>
      </c>
      <c r="FP98" s="336">
        <f t="shared" si="354"/>
        <v>0</v>
      </c>
      <c r="FQ98" s="336">
        <f t="shared" si="355"/>
        <v>0</v>
      </c>
      <c r="FR98" s="336">
        <f t="shared" si="356"/>
        <v>0</v>
      </c>
      <c r="FS98" s="336">
        <f t="shared" si="357"/>
        <v>0</v>
      </c>
      <c r="FT98" s="336">
        <f t="shared" si="358"/>
        <v>0</v>
      </c>
      <c r="FU98" s="336">
        <f t="shared" si="377"/>
        <v>0</v>
      </c>
      <c r="FV98" s="336">
        <f t="shared" si="378"/>
        <v>0</v>
      </c>
      <c r="FW98" s="336">
        <f t="shared" si="379"/>
        <v>0</v>
      </c>
      <c r="FX98" s="336">
        <f t="shared" si="380"/>
        <v>0</v>
      </c>
      <c r="FY98" s="336">
        <f t="shared" si="381"/>
        <v>0</v>
      </c>
      <c r="FZ98" s="336">
        <f t="shared" si="382"/>
        <v>0</v>
      </c>
      <c r="GA98" s="336">
        <f t="shared" si="383"/>
        <v>0</v>
      </c>
      <c r="GB98" s="336">
        <f t="shared" si="384"/>
        <v>0</v>
      </c>
      <c r="GC98" s="336">
        <f t="shared" si="385"/>
        <v>0</v>
      </c>
      <c r="GD98" s="336">
        <f t="shared" si="386"/>
        <v>0</v>
      </c>
      <c r="GE98" s="336">
        <f t="shared" si="387"/>
        <v>0</v>
      </c>
      <c r="GF98" s="336">
        <f t="shared" si="388"/>
        <v>0</v>
      </c>
      <c r="GG98" s="336">
        <f t="shared" si="389"/>
        <v>0</v>
      </c>
      <c r="GH98" s="336">
        <f t="shared" si="390"/>
        <v>0</v>
      </c>
      <c r="GI98" s="336">
        <f t="shared" si="391"/>
        <v>0</v>
      </c>
      <c r="GJ98" s="336">
        <f t="shared" si="392"/>
        <v>0</v>
      </c>
      <c r="GK98" s="336">
        <f t="shared" si="393"/>
        <v>0</v>
      </c>
      <c r="GL98" s="336">
        <f t="shared" si="394"/>
        <v>0</v>
      </c>
      <c r="GM98" s="336">
        <f t="shared" si="395"/>
        <v>0</v>
      </c>
    </row>
    <row r="99" spans="1:195">
      <c r="A99" s="337"/>
      <c r="B99" s="337"/>
      <c r="C99" s="337"/>
      <c r="D99" s="372"/>
      <c r="E99" s="500"/>
      <c r="F99" s="500"/>
      <c r="G99" s="337"/>
      <c r="H99" s="350"/>
      <c r="I99" s="337"/>
      <c r="J99" s="337"/>
      <c r="K99" s="349"/>
      <c r="L99" s="343"/>
      <c r="M99" s="350"/>
      <c r="N99" s="342"/>
      <c r="O99" s="342"/>
      <c r="P99" s="343"/>
      <c r="Q99" s="350"/>
      <c r="R99" s="350"/>
      <c r="S99" s="350"/>
      <c r="T99" s="343"/>
      <c r="U99" s="350"/>
      <c r="V99" s="343"/>
      <c r="W99" s="343"/>
      <c r="X99" s="343"/>
      <c r="Y99" s="343"/>
      <c r="Z99" s="344"/>
      <c r="AA99" s="345"/>
      <c r="AB99" s="345"/>
      <c r="AC99" s="346"/>
      <c r="AD99" s="346"/>
      <c r="AE99" s="346"/>
      <c r="AF99" s="346"/>
      <c r="AG99" s="346"/>
      <c r="AH99" s="800"/>
      <c r="AI99" s="344"/>
      <c r="AJ99" s="342"/>
      <c r="AK99" s="344"/>
      <c r="AL99" s="344"/>
      <c r="AM99" s="344"/>
      <c r="AN99" s="351"/>
      <c r="AO99" s="350"/>
      <c r="AP99" s="349"/>
      <c r="AQ99" s="350"/>
      <c r="AR99" s="351"/>
      <c r="AS99" s="343"/>
      <c r="AT99" s="351"/>
      <c r="AU99" s="351"/>
      <c r="AV99" s="354"/>
      <c r="AW99" s="354"/>
      <c r="AX99" s="343"/>
      <c r="AY99" s="355"/>
      <c r="AZ99" s="355"/>
      <c r="BA99" s="336"/>
      <c r="BB99" s="336"/>
      <c r="BC99" s="336"/>
      <c r="BE99" s="336"/>
      <c r="BF99" s="336"/>
      <c r="BG99" s="336"/>
      <c r="BH99" s="336"/>
      <c r="BI99" s="336"/>
      <c r="BJ99" s="336"/>
      <c r="BK99" s="336"/>
      <c r="BL99" s="336"/>
      <c r="BM99" s="336"/>
      <c r="BN99" s="336"/>
      <c r="BO99" s="336"/>
      <c r="BP99" s="336"/>
      <c r="BQ99" s="336"/>
      <c r="BR99" s="336"/>
      <c r="BS99" s="336"/>
      <c r="BT99" s="336"/>
      <c r="BU99" s="336"/>
      <c r="BV99" s="336"/>
      <c r="BW99" s="336"/>
      <c r="BX99" s="336"/>
      <c r="BY99" s="336"/>
      <c r="BZ99" s="336"/>
      <c r="CA99" s="336"/>
      <c r="CB99" s="336"/>
      <c r="CC99" s="336"/>
      <c r="CD99" s="336"/>
      <c r="CE99" s="336"/>
      <c r="CF99" s="336"/>
      <c r="CG99" s="336"/>
      <c r="CH99" s="336"/>
      <c r="CI99" s="336"/>
      <c r="CJ99" s="336"/>
      <c r="CK99" s="336"/>
      <c r="CL99" s="336"/>
      <c r="CM99" s="336"/>
      <c r="CN99" s="336"/>
      <c r="CO99" s="336"/>
      <c r="CP99" s="336"/>
      <c r="CQ99" s="336"/>
      <c r="CR99" s="336"/>
      <c r="CS99" s="336"/>
      <c r="CT99" s="336"/>
      <c r="CU99" s="336"/>
      <c r="CV99" s="336"/>
      <c r="CW99" s="336"/>
      <c r="CX99" s="336"/>
      <c r="CY99" s="336"/>
      <c r="CZ99" s="336"/>
      <c r="DA99" s="336"/>
      <c r="DB99" s="336"/>
      <c r="DC99" s="336"/>
      <c r="DD99" s="336"/>
      <c r="DE99" s="336"/>
      <c r="DF99" s="336"/>
      <c r="DG99" s="336"/>
      <c r="DH99" s="336"/>
      <c r="DI99" s="336"/>
      <c r="DJ99" s="336"/>
      <c r="DK99" s="336"/>
      <c r="DL99" s="336"/>
      <c r="DM99" s="336"/>
      <c r="DN99" s="336"/>
      <c r="DO99" s="336"/>
      <c r="DP99" s="336"/>
      <c r="DQ99" s="336"/>
      <c r="DR99" s="336"/>
      <c r="DS99" s="336"/>
      <c r="DT99" s="336"/>
      <c r="DU99" s="336"/>
      <c r="DW99" s="336"/>
      <c r="DX99" s="336"/>
      <c r="DY99" s="336"/>
      <c r="DZ99" s="336"/>
      <c r="EA99" s="336"/>
      <c r="EB99" s="336"/>
      <c r="EC99" s="336"/>
      <c r="ED99" s="336"/>
      <c r="EE99" s="336"/>
      <c r="EF99" s="336"/>
      <c r="EG99" s="336"/>
      <c r="EH99" s="336"/>
      <c r="EI99" s="336"/>
      <c r="EJ99" s="336"/>
      <c r="EK99" s="336"/>
      <c r="EL99" s="336"/>
      <c r="EM99" s="336"/>
      <c r="EN99" s="336"/>
      <c r="EO99" s="336"/>
      <c r="EP99" s="336"/>
      <c r="EQ99" s="336"/>
      <c r="ER99" s="336"/>
      <c r="ES99" s="336"/>
      <c r="ET99" s="336"/>
      <c r="EU99" s="336"/>
      <c r="EV99" s="336"/>
      <c r="EW99" s="336"/>
      <c r="EX99" s="336"/>
      <c r="EY99" s="336"/>
      <c r="EZ99" s="336"/>
      <c r="FA99" s="336"/>
      <c r="FB99" s="336"/>
      <c r="FC99" s="336"/>
      <c r="FD99" s="336"/>
      <c r="FE99" s="336"/>
      <c r="FF99" s="336"/>
      <c r="FG99" s="336"/>
      <c r="FH99" s="336"/>
      <c r="FI99" s="336"/>
      <c r="FJ99" s="336"/>
      <c r="FK99" s="336"/>
      <c r="FL99" s="336"/>
      <c r="FM99" s="336"/>
      <c r="FN99" s="336"/>
      <c r="FO99" s="336"/>
      <c r="FP99" s="336"/>
      <c r="FQ99" s="336"/>
      <c r="FR99" s="336"/>
      <c r="FS99" s="336"/>
      <c r="FT99" s="336"/>
      <c r="FU99" s="336"/>
      <c r="FV99" s="336"/>
      <c r="FW99" s="336"/>
      <c r="FX99" s="336"/>
      <c r="FY99" s="336"/>
      <c r="FZ99" s="336"/>
      <c r="GA99" s="336"/>
      <c r="GB99" s="336"/>
      <c r="GC99" s="336"/>
      <c r="GD99" s="336"/>
      <c r="GE99" s="336"/>
      <c r="GF99" s="336"/>
      <c r="GG99" s="336"/>
      <c r="GH99" s="336"/>
      <c r="GI99" s="336"/>
      <c r="GJ99" s="336"/>
      <c r="GK99" s="336"/>
      <c r="GL99" s="336"/>
      <c r="GM99" s="336"/>
    </row>
    <row r="100" spans="1:195">
      <c r="A100" s="337"/>
      <c r="B100" s="337"/>
      <c r="C100" s="337"/>
      <c r="D100" s="372"/>
      <c r="E100" s="500"/>
      <c r="F100" s="500"/>
      <c r="G100" s="337"/>
      <c r="H100" s="350"/>
      <c r="I100" s="337"/>
      <c r="J100" s="337"/>
      <c r="K100" s="349"/>
      <c r="L100" s="343"/>
      <c r="M100" s="350"/>
      <c r="N100" s="342"/>
      <c r="O100" s="342"/>
      <c r="P100" s="343"/>
      <c r="Q100" s="350"/>
      <c r="R100" s="350"/>
      <c r="S100" s="350"/>
      <c r="T100" s="343"/>
      <c r="U100" s="350"/>
      <c r="V100" s="343"/>
      <c r="W100" s="343"/>
      <c r="X100" s="343"/>
      <c r="Y100" s="343"/>
      <c r="Z100" s="344"/>
      <c r="AA100" s="345"/>
      <c r="AB100" s="345"/>
      <c r="AC100" s="346"/>
      <c r="AD100" s="346"/>
      <c r="AE100" s="346"/>
      <c r="AF100" s="346"/>
      <c r="AG100" s="346"/>
      <c r="AH100" s="800"/>
      <c r="AI100" s="344"/>
      <c r="AJ100" s="342"/>
      <c r="AK100" s="344"/>
      <c r="AL100" s="344"/>
      <c r="AM100" s="344"/>
      <c r="AN100" s="351"/>
      <c r="AO100" s="350"/>
      <c r="AP100" s="349"/>
      <c r="AQ100" s="350"/>
      <c r="AR100" s="351"/>
      <c r="AS100" s="343"/>
      <c r="AT100" s="351"/>
      <c r="AU100" s="351"/>
      <c r="AV100" s="354"/>
      <c r="AW100" s="354"/>
      <c r="AX100" s="343"/>
      <c r="AY100" s="355"/>
      <c r="AZ100" s="355"/>
      <c r="BA100" s="336"/>
      <c r="BB100" s="336"/>
      <c r="BC100" s="336"/>
      <c r="BE100" s="336"/>
      <c r="BF100" s="336"/>
      <c r="BG100" s="336"/>
      <c r="BH100" s="336"/>
      <c r="BI100" s="336"/>
      <c r="BJ100" s="336"/>
      <c r="BK100" s="336"/>
      <c r="BL100" s="336"/>
      <c r="BM100" s="336"/>
      <c r="BN100" s="336"/>
      <c r="BO100" s="336"/>
      <c r="BP100" s="336"/>
      <c r="BQ100" s="336"/>
      <c r="BR100" s="336"/>
      <c r="BS100" s="336"/>
      <c r="BT100" s="336"/>
      <c r="BU100" s="336"/>
      <c r="BV100" s="336"/>
      <c r="BW100" s="336"/>
      <c r="BX100" s="336"/>
      <c r="BY100" s="336"/>
      <c r="BZ100" s="336"/>
      <c r="CA100" s="336"/>
      <c r="CB100" s="336"/>
      <c r="CC100" s="336"/>
      <c r="CD100" s="336"/>
      <c r="CE100" s="336"/>
      <c r="CF100" s="336"/>
      <c r="CG100" s="336"/>
      <c r="CH100" s="336"/>
      <c r="CI100" s="336"/>
      <c r="CJ100" s="336"/>
      <c r="CK100" s="336"/>
      <c r="CL100" s="336"/>
      <c r="CM100" s="336"/>
      <c r="CN100" s="336"/>
      <c r="CO100" s="336"/>
      <c r="CP100" s="336"/>
      <c r="CQ100" s="336"/>
      <c r="CR100" s="336"/>
      <c r="CS100" s="336"/>
      <c r="CT100" s="336"/>
      <c r="CU100" s="336"/>
      <c r="CV100" s="336"/>
      <c r="CW100" s="336"/>
      <c r="CX100" s="336"/>
      <c r="CY100" s="336"/>
      <c r="CZ100" s="336"/>
      <c r="DA100" s="336"/>
      <c r="DB100" s="336"/>
      <c r="DC100" s="336"/>
      <c r="DD100" s="336"/>
      <c r="DE100" s="336"/>
      <c r="DF100" s="336"/>
      <c r="DG100" s="336"/>
      <c r="DH100" s="336"/>
      <c r="DI100" s="336"/>
      <c r="DJ100" s="336"/>
      <c r="DK100" s="336"/>
      <c r="DL100" s="336"/>
      <c r="DM100" s="336"/>
      <c r="DN100" s="336"/>
      <c r="DO100" s="336"/>
      <c r="DP100" s="336"/>
      <c r="DQ100" s="336"/>
      <c r="DR100" s="336"/>
      <c r="DS100" s="336"/>
      <c r="DT100" s="336"/>
      <c r="DU100" s="336"/>
      <c r="DW100" s="336"/>
      <c r="DX100" s="336"/>
      <c r="DY100" s="336"/>
      <c r="DZ100" s="336"/>
      <c r="EA100" s="336"/>
      <c r="EB100" s="336"/>
      <c r="EC100" s="336"/>
      <c r="ED100" s="336"/>
      <c r="EE100" s="336"/>
      <c r="EF100" s="336"/>
      <c r="EG100" s="336"/>
      <c r="EH100" s="336"/>
      <c r="EI100" s="336"/>
      <c r="EJ100" s="336"/>
      <c r="EK100" s="336"/>
      <c r="EL100" s="336"/>
      <c r="EM100" s="336"/>
      <c r="EN100" s="336"/>
      <c r="EO100" s="336"/>
      <c r="EP100" s="336"/>
      <c r="EQ100" s="336"/>
      <c r="ER100" s="336"/>
      <c r="ES100" s="336"/>
      <c r="ET100" s="336"/>
      <c r="EU100" s="336"/>
      <c r="EV100" s="336"/>
      <c r="EW100" s="336"/>
      <c r="EX100" s="336"/>
      <c r="EY100" s="336"/>
      <c r="EZ100" s="336"/>
      <c r="FA100" s="336"/>
      <c r="FB100" s="336"/>
      <c r="FC100" s="336"/>
      <c r="FD100" s="336"/>
      <c r="FE100" s="336"/>
      <c r="FF100" s="336"/>
      <c r="FG100" s="336"/>
      <c r="FH100" s="336"/>
      <c r="FI100" s="336"/>
      <c r="FJ100" s="336"/>
      <c r="FK100" s="336"/>
      <c r="FL100" s="336"/>
      <c r="FM100" s="336"/>
      <c r="FN100" s="336"/>
      <c r="FO100" s="336"/>
      <c r="FP100" s="336"/>
      <c r="FQ100" s="336"/>
      <c r="FR100" s="336"/>
      <c r="FS100" s="336"/>
      <c r="FT100" s="336"/>
      <c r="FU100" s="336"/>
      <c r="FV100" s="336"/>
      <c r="FW100" s="336"/>
      <c r="FX100" s="336"/>
      <c r="FY100" s="336"/>
      <c r="FZ100" s="336"/>
      <c r="GA100" s="336"/>
      <c r="GB100" s="336"/>
      <c r="GC100" s="336"/>
      <c r="GD100" s="336"/>
      <c r="GE100" s="336"/>
      <c r="GF100" s="336"/>
      <c r="GG100" s="336"/>
      <c r="GH100" s="336"/>
      <c r="GI100" s="336"/>
      <c r="GJ100" s="336"/>
      <c r="GK100" s="336"/>
      <c r="GL100" s="336"/>
      <c r="GM100" s="336"/>
    </row>
    <row r="101" spans="1:195" s="75" customFormat="1">
      <c r="A101" s="388"/>
      <c r="B101" s="388"/>
      <c r="C101" s="388"/>
      <c r="D101" s="338"/>
      <c r="E101" s="502"/>
      <c r="F101" s="502"/>
      <c r="G101" s="388"/>
      <c r="H101" s="418"/>
      <c r="I101" s="388"/>
      <c r="J101" s="388"/>
      <c r="K101" s="434"/>
      <c r="L101" s="401"/>
      <c r="M101" s="418"/>
      <c r="N101" s="392"/>
      <c r="O101" s="392"/>
      <c r="P101" s="401"/>
      <c r="Q101" s="418"/>
      <c r="R101" s="418"/>
      <c r="S101" s="418"/>
      <c r="T101" s="401"/>
      <c r="U101" s="418"/>
      <c r="V101" s="401"/>
      <c r="W101" s="401"/>
      <c r="X101" s="401"/>
      <c r="Y101" s="401"/>
      <c r="Z101" s="393"/>
      <c r="AA101" s="402"/>
      <c r="AB101" s="402"/>
      <c r="AC101" s="457"/>
      <c r="AD101" s="457"/>
      <c r="AE101" s="457"/>
      <c r="AF101" s="457"/>
      <c r="AG101" s="457"/>
      <c r="AH101" s="810"/>
      <c r="AI101" s="393"/>
      <c r="AJ101" s="392"/>
      <c r="AK101" s="393"/>
      <c r="AL101" s="393"/>
      <c r="AM101" s="393"/>
      <c r="AN101" s="437"/>
      <c r="AO101" s="418"/>
      <c r="AP101" s="434"/>
      <c r="AQ101" s="418"/>
      <c r="AR101" s="437"/>
      <c r="AS101" s="401"/>
      <c r="AT101" s="437"/>
      <c r="AU101" s="437"/>
      <c r="AV101" s="503"/>
      <c r="AW101" s="503"/>
      <c r="AX101" s="401"/>
      <c r="AY101" s="504"/>
      <c r="AZ101" s="504"/>
      <c r="BA101" s="579"/>
      <c r="BB101" s="579"/>
      <c r="BC101" s="579"/>
      <c r="BE101" s="336"/>
      <c r="BF101" s="336"/>
      <c r="BG101" s="336"/>
      <c r="BH101" s="336"/>
      <c r="BI101" s="336"/>
      <c r="BJ101" s="336"/>
      <c r="BK101" s="336"/>
      <c r="BL101" s="336"/>
      <c r="BM101" s="336"/>
      <c r="BN101" s="336"/>
      <c r="BO101" s="336"/>
      <c r="BP101" s="336"/>
      <c r="BQ101" s="336"/>
      <c r="BR101" s="336"/>
      <c r="BS101" s="336"/>
      <c r="BT101" s="336"/>
      <c r="BU101" s="336"/>
      <c r="BV101" s="336"/>
      <c r="BW101" s="336"/>
      <c r="BX101" s="336"/>
      <c r="BY101" s="336"/>
      <c r="BZ101" s="336"/>
      <c r="CA101" s="336"/>
      <c r="CB101" s="336"/>
      <c r="CC101" s="336"/>
      <c r="CD101" s="336"/>
      <c r="CE101" s="336"/>
      <c r="CF101" s="336"/>
      <c r="CG101" s="336"/>
      <c r="CH101" s="336"/>
      <c r="CI101" s="336"/>
      <c r="CJ101" s="336"/>
      <c r="CK101" s="336"/>
      <c r="CL101" s="336"/>
      <c r="CM101" s="336"/>
      <c r="CN101" s="336"/>
      <c r="CO101" s="336"/>
      <c r="CP101" s="336"/>
      <c r="CQ101" s="336"/>
      <c r="CR101" s="336"/>
      <c r="CS101" s="336"/>
      <c r="CT101" s="336"/>
      <c r="CU101" s="336"/>
      <c r="CV101" s="336"/>
      <c r="CW101" s="336"/>
      <c r="CX101" s="336"/>
      <c r="CY101" s="336"/>
      <c r="CZ101" s="336"/>
      <c r="DA101" s="336"/>
      <c r="DB101" s="336"/>
      <c r="DC101" s="336"/>
      <c r="DD101" s="336"/>
      <c r="DE101" s="336"/>
      <c r="DF101" s="336"/>
      <c r="DG101" s="336"/>
      <c r="DH101" s="336"/>
      <c r="DI101" s="336"/>
      <c r="DJ101" s="336"/>
      <c r="DK101" s="336"/>
      <c r="DL101" s="336"/>
      <c r="DM101" s="336"/>
      <c r="DN101" s="336"/>
      <c r="DO101" s="336"/>
      <c r="DP101" s="336"/>
      <c r="DQ101" s="336"/>
      <c r="DR101" s="336"/>
      <c r="DS101" s="336"/>
      <c r="DT101" s="336"/>
      <c r="DU101" s="336"/>
      <c r="DV101" s="61"/>
      <c r="DW101" s="336"/>
      <c r="DX101" s="336"/>
      <c r="DY101" s="336"/>
      <c r="DZ101" s="336"/>
      <c r="EA101" s="336"/>
      <c r="EB101" s="336"/>
      <c r="EC101" s="336"/>
      <c r="ED101" s="336"/>
      <c r="EE101" s="336"/>
      <c r="EF101" s="336"/>
      <c r="EG101" s="336"/>
      <c r="EH101" s="336"/>
      <c r="EI101" s="336"/>
      <c r="EJ101" s="336"/>
      <c r="EK101" s="336"/>
      <c r="EL101" s="336"/>
      <c r="EM101" s="336"/>
      <c r="EN101" s="336"/>
      <c r="EO101" s="336"/>
      <c r="EP101" s="336"/>
      <c r="EQ101" s="336"/>
      <c r="ER101" s="336"/>
      <c r="ES101" s="336"/>
      <c r="ET101" s="336"/>
      <c r="EU101" s="336"/>
      <c r="EV101" s="336"/>
      <c r="EW101" s="336"/>
      <c r="EX101" s="336"/>
      <c r="EY101" s="336"/>
      <c r="EZ101" s="336"/>
      <c r="FA101" s="336"/>
      <c r="FB101" s="336"/>
      <c r="FC101" s="336"/>
      <c r="FD101" s="336"/>
      <c r="FE101" s="336"/>
      <c r="FF101" s="336"/>
      <c r="FG101" s="336"/>
      <c r="FH101" s="336"/>
      <c r="FI101" s="336"/>
      <c r="FJ101" s="336"/>
      <c r="FK101" s="336"/>
      <c r="FL101" s="336"/>
      <c r="FM101" s="336"/>
      <c r="FN101" s="336"/>
      <c r="FO101" s="336"/>
      <c r="FP101" s="336"/>
      <c r="FQ101" s="336"/>
      <c r="FR101" s="336"/>
      <c r="FS101" s="336"/>
      <c r="FT101" s="336"/>
      <c r="FU101" s="336"/>
      <c r="FV101" s="336"/>
      <c r="FW101" s="336"/>
      <c r="FX101" s="336"/>
      <c r="FY101" s="336"/>
      <c r="FZ101" s="336"/>
      <c r="GA101" s="336"/>
      <c r="GB101" s="336"/>
      <c r="GC101" s="336"/>
      <c r="GD101" s="336"/>
      <c r="GE101" s="336"/>
      <c r="GF101" s="336"/>
      <c r="GG101" s="336"/>
      <c r="GH101" s="336"/>
      <c r="GI101" s="336"/>
      <c r="GJ101" s="336"/>
      <c r="GK101" s="336"/>
      <c r="GL101" s="336"/>
      <c r="GM101" s="336"/>
    </row>
    <row r="102" spans="1:195" ht="14.25" customHeight="1">
      <c r="A102" s="406"/>
      <c r="B102" s="406"/>
      <c r="C102" s="406"/>
      <c r="D102" s="580"/>
      <c r="E102" s="581"/>
      <c r="F102" s="581"/>
      <c r="G102" s="406"/>
      <c r="H102" s="409"/>
      <c r="I102" s="409"/>
      <c r="J102" s="409"/>
      <c r="K102" s="409"/>
      <c r="L102" s="409"/>
      <c r="M102" s="409"/>
      <c r="N102" s="407"/>
      <c r="O102" s="407"/>
      <c r="P102" s="409"/>
      <c r="Q102" s="583"/>
      <c r="R102" s="583"/>
      <c r="S102" s="583"/>
      <c r="T102" s="409"/>
      <c r="U102" s="583"/>
      <c r="V102" s="409"/>
      <c r="W102" s="409"/>
      <c r="X102" s="409"/>
      <c r="Y102" s="409"/>
      <c r="Z102" s="408"/>
      <c r="AA102" s="410"/>
      <c r="AB102" s="410"/>
      <c r="AC102" s="410"/>
      <c r="AD102" s="410"/>
      <c r="AE102" s="410"/>
      <c r="AF102" s="410"/>
      <c r="AG102" s="410"/>
      <c r="AH102" s="811"/>
      <c r="AI102" s="408"/>
      <c r="AJ102" s="407"/>
      <c r="AK102" s="408"/>
      <c r="AL102" s="408"/>
      <c r="AM102" s="408"/>
      <c r="AN102" s="584"/>
      <c r="AO102" s="583"/>
      <c r="AP102" s="585"/>
      <c r="AQ102" s="583"/>
      <c r="AR102" s="584"/>
      <c r="AS102" s="409"/>
      <c r="AT102" s="584"/>
      <c r="AU102" s="584"/>
      <c r="AV102" s="586"/>
      <c r="AW102" s="586"/>
      <c r="AX102" s="409">
        <f>SUM(AX6:AX101)</f>
        <v>4307</v>
      </c>
      <c r="AY102" s="409"/>
      <c r="AZ102" s="409">
        <f>SUM(AZ6:AZ101)</f>
        <v>92</v>
      </c>
      <c r="BA102" s="587"/>
      <c r="BB102" s="587"/>
      <c r="BC102" s="587"/>
      <c r="BE102" s="336"/>
      <c r="BF102" s="336"/>
      <c r="BG102" s="336"/>
      <c r="BH102" s="336"/>
      <c r="BI102" s="336"/>
      <c r="BJ102" s="336"/>
      <c r="BK102" s="336"/>
      <c r="BL102" s="336"/>
      <c r="BM102" s="336"/>
      <c r="BN102" s="336"/>
      <c r="BO102" s="336"/>
      <c r="BP102" s="336"/>
      <c r="BQ102" s="336"/>
      <c r="BR102" s="336"/>
      <c r="BS102" s="336"/>
      <c r="BT102" s="336"/>
      <c r="BU102" s="336"/>
      <c r="BV102" s="336"/>
      <c r="BW102" s="336"/>
      <c r="BX102" s="336"/>
      <c r="BY102" s="336"/>
      <c r="BZ102" s="336"/>
      <c r="CA102" s="336"/>
      <c r="CB102" s="336"/>
      <c r="CC102" s="336"/>
      <c r="CD102" s="336"/>
      <c r="CE102" s="336"/>
      <c r="CF102" s="336"/>
      <c r="CG102" s="336"/>
      <c r="CH102" s="336"/>
      <c r="CI102" s="336"/>
      <c r="CJ102" s="336"/>
      <c r="CK102" s="336"/>
      <c r="CL102" s="336"/>
      <c r="CM102" s="336"/>
      <c r="CN102" s="336"/>
      <c r="CO102" s="336"/>
      <c r="CP102" s="336"/>
      <c r="CQ102" s="336"/>
      <c r="CR102" s="336"/>
      <c r="CS102" s="336"/>
      <c r="CT102" s="336"/>
      <c r="CU102" s="336"/>
      <c r="CV102" s="336"/>
      <c r="CW102" s="336"/>
      <c r="CX102" s="336"/>
      <c r="CY102" s="336"/>
      <c r="CZ102" s="336"/>
      <c r="DA102" s="336"/>
      <c r="DB102" s="336"/>
      <c r="DC102" s="336"/>
      <c r="DD102" s="336"/>
      <c r="DE102" s="336"/>
      <c r="DF102" s="336"/>
      <c r="DG102" s="336"/>
      <c r="DH102" s="336"/>
      <c r="DI102" s="336"/>
      <c r="DJ102" s="336"/>
      <c r="DK102" s="336"/>
      <c r="DL102" s="336"/>
      <c r="DM102" s="336"/>
      <c r="DN102" s="336"/>
      <c r="DO102" s="336"/>
      <c r="DP102" s="336"/>
      <c r="DQ102" s="336"/>
      <c r="DR102" s="336"/>
      <c r="DS102" s="336"/>
      <c r="DT102" s="336"/>
      <c r="DU102" s="336"/>
      <c r="DW102" s="411">
        <f t="shared" ref="DW102:FC102" si="397">SUM(DW8:DW101)</f>
        <v>0</v>
      </c>
      <c r="DX102" s="411">
        <f t="shared" si="397"/>
        <v>0</v>
      </c>
      <c r="DY102" s="411">
        <f t="shared" si="397"/>
        <v>0</v>
      </c>
      <c r="DZ102" s="411">
        <f t="shared" si="397"/>
        <v>0</v>
      </c>
      <c r="EA102" s="411">
        <f t="shared" si="397"/>
        <v>0</v>
      </c>
      <c r="EB102" s="411">
        <f t="shared" si="397"/>
        <v>0</v>
      </c>
      <c r="EC102" s="411">
        <f t="shared" si="397"/>
        <v>0</v>
      </c>
      <c r="ED102" s="411">
        <f t="shared" si="397"/>
        <v>0</v>
      </c>
      <c r="EE102" s="411">
        <f t="shared" si="397"/>
        <v>0</v>
      </c>
      <c r="EF102" s="411">
        <f t="shared" si="397"/>
        <v>0</v>
      </c>
      <c r="EG102" s="411">
        <f t="shared" si="397"/>
        <v>0</v>
      </c>
      <c r="EH102" s="411">
        <f t="shared" si="397"/>
        <v>0</v>
      </c>
      <c r="EI102" s="411">
        <f t="shared" si="397"/>
        <v>0</v>
      </c>
      <c r="EJ102" s="411">
        <f t="shared" si="397"/>
        <v>0</v>
      </c>
      <c r="EK102" s="411">
        <f t="shared" si="397"/>
        <v>0</v>
      </c>
      <c r="EL102" s="411">
        <f t="shared" si="397"/>
        <v>0</v>
      </c>
      <c r="EM102" s="411">
        <f t="shared" si="397"/>
        <v>0</v>
      </c>
      <c r="EN102" s="411">
        <f t="shared" si="397"/>
        <v>0</v>
      </c>
      <c r="EO102" s="411">
        <f t="shared" si="397"/>
        <v>0</v>
      </c>
      <c r="EP102" s="411">
        <f t="shared" si="397"/>
        <v>0</v>
      </c>
      <c r="EQ102" s="411">
        <f t="shared" si="397"/>
        <v>0</v>
      </c>
      <c r="ER102" s="411">
        <f t="shared" si="397"/>
        <v>0</v>
      </c>
      <c r="ES102" s="411">
        <f t="shared" si="397"/>
        <v>0</v>
      </c>
      <c r="ET102" s="411">
        <f t="shared" ref="ET102" si="398">SUM(ET8:ET101)</f>
        <v>306</v>
      </c>
      <c r="EU102" s="411">
        <f t="shared" si="397"/>
        <v>0</v>
      </c>
      <c r="EV102" s="411">
        <f t="shared" si="397"/>
        <v>306</v>
      </c>
      <c r="EW102" s="411">
        <f t="shared" si="397"/>
        <v>0</v>
      </c>
      <c r="EX102" s="411">
        <f t="shared" si="397"/>
        <v>0</v>
      </c>
      <c r="EY102" s="411">
        <f t="shared" si="397"/>
        <v>0</v>
      </c>
      <c r="EZ102" s="411">
        <f t="shared" si="397"/>
        <v>0</v>
      </c>
      <c r="FA102" s="411">
        <f t="shared" si="397"/>
        <v>0</v>
      </c>
      <c r="FB102" s="411">
        <f t="shared" si="397"/>
        <v>0</v>
      </c>
      <c r="FC102" s="411">
        <f t="shared" si="397"/>
        <v>0</v>
      </c>
      <c r="FD102" s="411">
        <f t="shared" ref="FD102:FT102" si="399">SUM(FD8:FD101)</f>
        <v>0</v>
      </c>
      <c r="FE102" s="411">
        <f t="shared" si="399"/>
        <v>0</v>
      </c>
      <c r="FF102" s="411">
        <f t="shared" si="399"/>
        <v>0</v>
      </c>
      <c r="FG102" s="411">
        <f t="shared" si="399"/>
        <v>0</v>
      </c>
      <c r="FH102" s="411">
        <f t="shared" si="399"/>
        <v>0</v>
      </c>
      <c r="FI102" s="411">
        <f t="shared" si="399"/>
        <v>0</v>
      </c>
      <c r="FJ102" s="411">
        <f t="shared" si="399"/>
        <v>0</v>
      </c>
      <c r="FK102" s="411">
        <f t="shared" si="399"/>
        <v>0</v>
      </c>
      <c r="FL102" s="411">
        <f t="shared" si="399"/>
        <v>0</v>
      </c>
      <c r="FM102" s="411">
        <f t="shared" si="399"/>
        <v>0</v>
      </c>
      <c r="FN102" s="411">
        <f t="shared" si="399"/>
        <v>0</v>
      </c>
      <c r="FO102" s="411">
        <f t="shared" si="399"/>
        <v>0</v>
      </c>
      <c r="FP102" s="411">
        <f t="shared" si="399"/>
        <v>0</v>
      </c>
      <c r="FQ102" s="411">
        <f t="shared" si="399"/>
        <v>0</v>
      </c>
      <c r="FR102" s="411">
        <f t="shared" si="399"/>
        <v>0</v>
      </c>
      <c r="FS102" s="411">
        <f t="shared" si="399"/>
        <v>0</v>
      </c>
      <c r="FT102" s="411">
        <f t="shared" si="399"/>
        <v>0</v>
      </c>
      <c r="FU102" s="411">
        <f t="shared" ref="FU102:GM102" si="400">SUM(FU8:FU101)</f>
        <v>0</v>
      </c>
      <c r="FV102" s="411">
        <f t="shared" si="400"/>
        <v>0</v>
      </c>
      <c r="FW102" s="411">
        <f t="shared" si="400"/>
        <v>0</v>
      </c>
      <c r="FX102" s="411">
        <f t="shared" si="400"/>
        <v>0</v>
      </c>
      <c r="FY102" s="411">
        <f t="shared" si="400"/>
        <v>0</v>
      </c>
      <c r="FZ102" s="411">
        <f t="shared" si="400"/>
        <v>0</v>
      </c>
      <c r="GA102" s="411">
        <f t="shared" si="400"/>
        <v>0</v>
      </c>
      <c r="GB102" s="411">
        <f t="shared" si="400"/>
        <v>0</v>
      </c>
      <c r="GC102" s="411">
        <f t="shared" si="400"/>
        <v>0</v>
      </c>
      <c r="GD102" s="411">
        <f t="shared" si="400"/>
        <v>0</v>
      </c>
      <c r="GE102" s="411">
        <f t="shared" si="400"/>
        <v>0</v>
      </c>
      <c r="GF102" s="411">
        <f t="shared" si="400"/>
        <v>0</v>
      </c>
      <c r="GG102" s="411">
        <f t="shared" si="400"/>
        <v>0</v>
      </c>
      <c r="GH102" s="411">
        <f t="shared" si="400"/>
        <v>0</v>
      </c>
      <c r="GI102" s="411">
        <f t="shared" si="400"/>
        <v>0</v>
      </c>
      <c r="GJ102" s="411">
        <f t="shared" si="400"/>
        <v>0</v>
      </c>
      <c r="GK102" s="411">
        <f t="shared" si="400"/>
        <v>0</v>
      </c>
      <c r="GL102" s="411">
        <f t="shared" si="400"/>
        <v>0</v>
      </c>
      <c r="GM102" s="411">
        <f t="shared" si="400"/>
        <v>0</v>
      </c>
    </row>
    <row r="103" spans="1:195" ht="14.25" customHeight="1" thickBot="1"/>
    <row r="104" spans="1:195" ht="15">
      <c r="DV104" s="118">
        <v>600</v>
      </c>
      <c r="DW104" s="85">
        <f t="shared" ref="DW104:FT104" si="401">DW102/$DV$104*1.2</f>
        <v>0</v>
      </c>
      <c r="DX104" s="85">
        <f t="shared" si="401"/>
        <v>0</v>
      </c>
      <c r="DY104" s="85">
        <f t="shared" si="401"/>
        <v>0</v>
      </c>
      <c r="DZ104" s="85">
        <f t="shared" si="401"/>
        <v>0</v>
      </c>
      <c r="EA104" s="85">
        <f t="shared" si="401"/>
        <v>0</v>
      </c>
      <c r="EB104" s="85">
        <f t="shared" si="401"/>
        <v>0</v>
      </c>
      <c r="EC104" s="85">
        <f t="shared" si="401"/>
        <v>0</v>
      </c>
      <c r="ED104" s="85">
        <f t="shared" si="401"/>
        <v>0</v>
      </c>
      <c r="EE104" s="85">
        <f t="shared" si="401"/>
        <v>0</v>
      </c>
      <c r="EF104" s="85">
        <f t="shared" si="401"/>
        <v>0</v>
      </c>
      <c r="EG104" s="85">
        <f t="shared" si="401"/>
        <v>0</v>
      </c>
      <c r="EH104" s="85">
        <f t="shared" si="401"/>
        <v>0</v>
      </c>
      <c r="EI104" s="85">
        <f t="shared" si="401"/>
        <v>0</v>
      </c>
      <c r="EJ104" s="85">
        <f t="shared" si="401"/>
        <v>0</v>
      </c>
      <c r="EK104" s="85">
        <f t="shared" si="401"/>
        <v>0</v>
      </c>
      <c r="EL104" s="85">
        <f t="shared" si="401"/>
        <v>0</v>
      </c>
      <c r="EM104" s="85">
        <f t="shared" si="401"/>
        <v>0</v>
      </c>
      <c r="EN104" s="85">
        <f t="shared" si="401"/>
        <v>0</v>
      </c>
      <c r="EO104" s="85">
        <f t="shared" si="401"/>
        <v>0</v>
      </c>
      <c r="EP104" s="85">
        <f t="shared" si="401"/>
        <v>0</v>
      </c>
      <c r="EQ104" s="85">
        <f t="shared" si="401"/>
        <v>0</v>
      </c>
      <c r="ER104" s="85">
        <f t="shared" si="401"/>
        <v>0</v>
      </c>
      <c r="ES104" s="85">
        <f t="shared" si="401"/>
        <v>0</v>
      </c>
      <c r="ET104" s="85">
        <f t="shared" ref="ET104" si="402">ET102/$DV$104*1.2</f>
        <v>0.61199999999999999</v>
      </c>
      <c r="EU104" s="85">
        <f t="shared" si="401"/>
        <v>0</v>
      </c>
      <c r="EV104" s="85">
        <f t="shared" si="401"/>
        <v>0.61199999999999999</v>
      </c>
      <c r="EW104" s="85">
        <f t="shared" ref="EW104" si="403">EW102/$DV$104*1.2</f>
        <v>0</v>
      </c>
      <c r="EX104" s="85">
        <f t="shared" si="401"/>
        <v>0</v>
      </c>
      <c r="EY104" s="85">
        <f t="shared" si="401"/>
        <v>0</v>
      </c>
      <c r="EZ104" s="85">
        <f t="shared" si="401"/>
        <v>0</v>
      </c>
      <c r="FA104" s="85">
        <f t="shared" si="401"/>
        <v>0</v>
      </c>
      <c r="FB104" s="85">
        <f t="shared" si="401"/>
        <v>0</v>
      </c>
      <c r="FC104" s="85">
        <f t="shared" si="401"/>
        <v>0</v>
      </c>
      <c r="FD104" s="85">
        <f t="shared" si="401"/>
        <v>0</v>
      </c>
      <c r="FE104" s="85">
        <f t="shared" si="401"/>
        <v>0</v>
      </c>
      <c r="FF104" s="85">
        <f t="shared" si="401"/>
        <v>0</v>
      </c>
      <c r="FG104" s="85">
        <f t="shared" si="401"/>
        <v>0</v>
      </c>
      <c r="FH104" s="85">
        <f t="shared" si="401"/>
        <v>0</v>
      </c>
      <c r="FI104" s="85">
        <f t="shared" si="401"/>
        <v>0</v>
      </c>
      <c r="FJ104" s="85">
        <f t="shared" si="401"/>
        <v>0</v>
      </c>
      <c r="FK104" s="85">
        <f t="shared" si="401"/>
        <v>0</v>
      </c>
      <c r="FL104" s="85">
        <f t="shared" si="401"/>
        <v>0</v>
      </c>
      <c r="FM104" s="85">
        <f t="shared" si="401"/>
        <v>0</v>
      </c>
      <c r="FN104" s="85">
        <f t="shared" si="401"/>
        <v>0</v>
      </c>
      <c r="FO104" s="85">
        <f t="shared" si="401"/>
        <v>0</v>
      </c>
      <c r="FP104" s="85">
        <f t="shared" si="401"/>
        <v>0</v>
      </c>
      <c r="FQ104" s="85">
        <f t="shared" si="401"/>
        <v>0</v>
      </c>
      <c r="FR104" s="85">
        <f t="shared" ref="FR104:FS104" si="404">FR102/$DV$104*1.2</f>
        <v>0</v>
      </c>
      <c r="FS104" s="85">
        <f t="shared" si="404"/>
        <v>0</v>
      </c>
      <c r="FT104" s="85">
        <f t="shared" si="401"/>
        <v>0</v>
      </c>
      <c r="FU104" s="85">
        <f t="shared" ref="FU104:GM104" si="405">FU102/$DV$104*1.2</f>
        <v>0</v>
      </c>
      <c r="FV104" s="85">
        <f t="shared" si="405"/>
        <v>0</v>
      </c>
      <c r="FW104" s="85">
        <f t="shared" si="405"/>
        <v>0</v>
      </c>
      <c r="FX104" s="85">
        <f t="shared" si="405"/>
        <v>0</v>
      </c>
      <c r="FY104" s="85">
        <f t="shared" si="405"/>
        <v>0</v>
      </c>
      <c r="FZ104" s="85">
        <f t="shared" si="405"/>
        <v>0</v>
      </c>
      <c r="GA104" s="85">
        <f t="shared" si="405"/>
        <v>0</v>
      </c>
      <c r="GB104" s="85">
        <f t="shared" si="405"/>
        <v>0</v>
      </c>
      <c r="GC104" s="85">
        <f t="shared" si="405"/>
        <v>0</v>
      </c>
      <c r="GD104" s="85">
        <f t="shared" si="405"/>
        <v>0</v>
      </c>
      <c r="GE104" s="85">
        <f t="shared" si="405"/>
        <v>0</v>
      </c>
      <c r="GF104" s="85">
        <f t="shared" si="405"/>
        <v>0</v>
      </c>
      <c r="GG104" s="85">
        <f t="shared" si="405"/>
        <v>0</v>
      </c>
      <c r="GH104" s="85">
        <f t="shared" si="405"/>
        <v>0</v>
      </c>
      <c r="GI104" s="85">
        <f t="shared" si="405"/>
        <v>0</v>
      </c>
      <c r="GJ104" s="85">
        <f t="shared" si="405"/>
        <v>0</v>
      </c>
      <c r="GK104" s="85">
        <f t="shared" si="405"/>
        <v>0</v>
      </c>
      <c r="GL104" s="85">
        <f t="shared" si="405"/>
        <v>0</v>
      </c>
      <c r="GM104" s="173">
        <f t="shared" si="405"/>
        <v>0</v>
      </c>
    </row>
    <row r="105" spans="1:195" ht="15" thickBot="1">
      <c r="DV105" s="87"/>
      <c r="DW105" s="88">
        <f>IF(DW102=0,0,ROUNDUP(DW104,0))</f>
        <v>0</v>
      </c>
      <c r="DX105" s="88">
        <f t="shared" ref="DX105:FT105" si="406">IF(DX102=0,0,ROUNDUP(DX104,0))</f>
        <v>0</v>
      </c>
      <c r="DY105" s="88">
        <f t="shared" si="406"/>
        <v>0</v>
      </c>
      <c r="DZ105" s="88">
        <f t="shared" si="406"/>
        <v>0</v>
      </c>
      <c r="EA105" s="88">
        <f t="shared" si="406"/>
        <v>0</v>
      </c>
      <c r="EB105" s="88">
        <f t="shared" si="406"/>
        <v>0</v>
      </c>
      <c r="EC105" s="88">
        <f t="shared" si="406"/>
        <v>0</v>
      </c>
      <c r="ED105" s="88">
        <f t="shared" si="406"/>
        <v>0</v>
      </c>
      <c r="EE105" s="88">
        <f t="shared" si="406"/>
        <v>0</v>
      </c>
      <c r="EF105" s="88">
        <f t="shared" si="406"/>
        <v>0</v>
      </c>
      <c r="EG105" s="88">
        <f t="shared" si="406"/>
        <v>0</v>
      </c>
      <c r="EH105" s="88">
        <f t="shared" si="406"/>
        <v>0</v>
      </c>
      <c r="EI105" s="88">
        <f t="shared" si="406"/>
        <v>0</v>
      </c>
      <c r="EJ105" s="88">
        <f t="shared" si="406"/>
        <v>0</v>
      </c>
      <c r="EK105" s="88">
        <f t="shared" si="406"/>
        <v>0</v>
      </c>
      <c r="EL105" s="88">
        <f t="shared" si="406"/>
        <v>0</v>
      </c>
      <c r="EM105" s="88">
        <f t="shared" si="406"/>
        <v>0</v>
      </c>
      <c r="EN105" s="88">
        <f t="shared" si="406"/>
        <v>0</v>
      </c>
      <c r="EO105" s="88">
        <f t="shared" si="406"/>
        <v>0</v>
      </c>
      <c r="EP105" s="88">
        <f t="shared" si="406"/>
        <v>0</v>
      </c>
      <c r="EQ105" s="88">
        <f t="shared" si="406"/>
        <v>0</v>
      </c>
      <c r="ER105" s="88">
        <f t="shared" si="406"/>
        <v>0</v>
      </c>
      <c r="ES105" s="88">
        <f t="shared" si="406"/>
        <v>0</v>
      </c>
      <c r="ET105" s="88">
        <f t="shared" ref="ET105" si="407">IF(ET102=0,0,ROUNDUP(ET104,0))</f>
        <v>1</v>
      </c>
      <c r="EU105" s="88">
        <f t="shared" si="406"/>
        <v>0</v>
      </c>
      <c r="EV105" s="88">
        <f t="shared" si="406"/>
        <v>1</v>
      </c>
      <c r="EW105" s="88">
        <f t="shared" ref="EW105" si="408">IF(EW102=0,0,ROUNDUP(EW104,0))</f>
        <v>0</v>
      </c>
      <c r="EX105" s="88">
        <f t="shared" si="406"/>
        <v>0</v>
      </c>
      <c r="EY105" s="88">
        <f t="shared" si="406"/>
        <v>0</v>
      </c>
      <c r="EZ105" s="88">
        <f t="shared" si="406"/>
        <v>0</v>
      </c>
      <c r="FA105" s="88">
        <f t="shared" si="406"/>
        <v>0</v>
      </c>
      <c r="FB105" s="88">
        <f t="shared" si="406"/>
        <v>0</v>
      </c>
      <c r="FC105" s="88">
        <f t="shared" si="406"/>
        <v>0</v>
      </c>
      <c r="FD105" s="88">
        <f t="shared" si="406"/>
        <v>0</v>
      </c>
      <c r="FE105" s="88">
        <f t="shared" si="406"/>
        <v>0</v>
      </c>
      <c r="FF105" s="88">
        <f t="shared" si="406"/>
        <v>0</v>
      </c>
      <c r="FG105" s="88">
        <f t="shared" si="406"/>
        <v>0</v>
      </c>
      <c r="FH105" s="88">
        <f t="shared" si="406"/>
        <v>0</v>
      </c>
      <c r="FI105" s="88">
        <f t="shared" si="406"/>
        <v>0</v>
      </c>
      <c r="FJ105" s="88">
        <f t="shared" si="406"/>
        <v>0</v>
      </c>
      <c r="FK105" s="88">
        <f t="shared" si="406"/>
        <v>0</v>
      </c>
      <c r="FL105" s="88">
        <f t="shared" si="406"/>
        <v>0</v>
      </c>
      <c r="FM105" s="88">
        <f t="shared" si="406"/>
        <v>0</v>
      </c>
      <c r="FN105" s="88">
        <f t="shared" si="406"/>
        <v>0</v>
      </c>
      <c r="FO105" s="88">
        <f t="shared" si="406"/>
        <v>0</v>
      </c>
      <c r="FP105" s="88">
        <f t="shared" si="406"/>
        <v>0</v>
      </c>
      <c r="FQ105" s="88">
        <f t="shared" si="406"/>
        <v>0</v>
      </c>
      <c r="FR105" s="88">
        <f t="shared" ref="FR105:FS105" si="409">IF(FR102=0,0,ROUNDUP(FR104,0))</f>
        <v>0</v>
      </c>
      <c r="FS105" s="88">
        <f t="shared" si="409"/>
        <v>0</v>
      </c>
      <c r="FT105" s="88">
        <f t="shared" si="406"/>
        <v>0</v>
      </c>
      <c r="FU105" s="88">
        <f t="shared" ref="FU105:GM105" si="410">IF(FU102=0,0,ROUNDUP(FU104,0))</f>
        <v>0</v>
      </c>
      <c r="FV105" s="88">
        <f t="shared" si="410"/>
        <v>0</v>
      </c>
      <c r="FW105" s="88">
        <f t="shared" si="410"/>
        <v>0</v>
      </c>
      <c r="FX105" s="88">
        <f t="shared" si="410"/>
        <v>0</v>
      </c>
      <c r="FY105" s="88">
        <f t="shared" si="410"/>
        <v>0</v>
      </c>
      <c r="FZ105" s="88">
        <f t="shared" si="410"/>
        <v>0</v>
      </c>
      <c r="GA105" s="88">
        <f t="shared" si="410"/>
        <v>0</v>
      </c>
      <c r="GB105" s="88">
        <f t="shared" si="410"/>
        <v>0</v>
      </c>
      <c r="GC105" s="88">
        <f t="shared" si="410"/>
        <v>0</v>
      </c>
      <c r="GD105" s="88">
        <f t="shared" si="410"/>
        <v>0</v>
      </c>
      <c r="GE105" s="88">
        <f t="shared" si="410"/>
        <v>0</v>
      </c>
      <c r="GF105" s="88">
        <f t="shared" si="410"/>
        <v>0</v>
      </c>
      <c r="GG105" s="88">
        <f t="shared" si="410"/>
        <v>0</v>
      </c>
      <c r="GH105" s="88">
        <f t="shared" si="410"/>
        <v>0</v>
      </c>
      <c r="GI105" s="88">
        <f t="shared" si="410"/>
        <v>0</v>
      </c>
      <c r="GJ105" s="88">
        <f t="shared" si="410"/>
        <v>0</v>
      </c>
      <c r="GK105" s="88">
        <f t="shared" si="410"/>
        <v>0</v>
      </c>
      <c r="GL105" s="88">
        <f t="shared" si="410"/>
        <v>0</v>
      </c>
      <c r="GM105" s="174">
        <f t="shared" si="410"/>
        <v>0</v>
      </c>
    </row>
    <row r="107" spans="1:195" ht="15">
      <c r="DV107" s="118">
        <v>750</v>
      </c>
      <c r="DW107" s="85">
        <f t="shared" ref="DW107:FT107" si="411">DW102/$DV$107*1.2</f>
        <v>0</v>
      </c>
      <c r="DX107" s="85">
        <f t="shared" si="411"/>
        <v>0</v>
      </c>
      <c r="DY107" s="85">
        <f t="shared" si="411"/>
        <v>0</v>
      </c>
      <c r="DZ107" s="85">
        <f t="shared" si="411"/>
        <v>0</v>
      </c>
      <c r="EA107" s="85">
        <f t="shared" si="411"/>
        <v>0</v>
      </c>
      <c r="EB107" s="85">
        <f t="shared" si="411"/>
        <v>0</v>
      </c>
      <c r="EC107" s="85">
        <f t="shared" si="411"/>
        <v>0</v>
      </c>
      <c r="ED107" s="85">
        <f t="shared" si="411"/>
        <v>0</v>
      </c>
      <c r="EE107" s="85">
        <f t="shared" si="411"/>
        <v>0</v>
      </c>
      <c r="EF107" s="85">
        <f t="shared" si="411"/>
        <v>0</v>
      </c>
      <c r="EG107" s="85">
        <f t="shared" si="411"/>
        <v>0</v>
      </c>
      <c r="EH107" s="85">
        <f t="shared" si="411"/>
        <v>0</v>
      </c>
      <c r="EI107" s="85">
        <f t="shared" si="411"/>
        <v>0</v>
      </c>
      <c r="EJ107" s="85">
        <f t="shared" si="411"/>
        <v>0</v>
      </c>
      <c r="EK107" s="85">
        <f t="shared" si="411"/>
        <v>0</v>
      </c>
      <c r="EL107" s="85">
        <f t="shared" si="411"/>
        <v>0</v>
      </c>
      <c r="EM107" s="85">
        <f t="shared" si="411"/>
        <v>0</v>
      </c>
      <c r="EN107" s="85">
        <f t="shared" si="411"/>
        <v>0</v>
      </c>
      <c r="EO107" s="85">
        <f t="shared" si="411"/>
        <v>0</v>
      </c>
      <c r="EP107" s="85">
        <f t="shared" si="411"/>
        <v>0</v>
      </c>
      <c r="EQ107" s="85">
        <f t="shared" si="411"/>
        <v>0</v>
      </c>
      <c r="ER107" s="85">
        <f t="shared" si="411"/>
        <v>0</v>
      </c>
      <c r="ES107" s="85">
        <f t="shared" si="411"/>
        <v>0</v>
      </c>
      <c r="ET107" s="85">
        <f t="shared" ref="ET107" si="412">ET102/$DV$107*1.2</f>
        <v>0.48959999999999992</v>
      </c>
      <c r="EU107" s="85">
        <f t="shared" si="411"/>
        <v>0</v>
      </c>
      <c r="EV107" s="85">
        <f t="shared" si="411"/>
        <v>0.48959999999999992</v>
      </c>
      <c r="EW107" s="85">
        <f t="shared" ref="EW107" si="413">EW102/$DV$107*1.2</f>
        <v>0</v>
      </c>
      <c r="EX107" s="85">
        <f t="shared" si="411"/>
        <v>0</v>
      </c>
      <c r="EY107" s="85">
        <f t="shared" si="411"/>
        <v>0</v>
      </c>
      <c r="EZ107" s="85">
        <f t="shared" si="411"/>
        <v>0</v>
      </c>
      <c r="FA107" s="85">
        <f t="shared" si="411"/>
        <v>0</v>
      </c>
      <c r="FB107" s="85">
        <f t="shared" si="411"/>
        <v>0</v>
      </c>
      <c r="FC107" s="85">
        <f t="shared" si="411"/>
        <v>0</v>
      </c>
      <c r="FD107" s="85">
        <f t="shared" si="411"/>
        <v>0</v>
      </c>
      <c r="FE107" s="85">
        <f t="shared" si="411"/>
        <v>0</v>
      </c>
      <c r="FF107" s="85">
        <f t="shared" si="411"/>
        <v>0</v>
      </c>
      <c r="FG107" s="85">
        <f t="shared" si="411"/>
        <v>0</v>
      </c>
      <c r="FH107" s="85">
        <f t="shared" si="411"/>
        <v>0</v>
      </c>
      <c r="FI107" s="85">
        <f t="shared" si="411"/>
        <v>0</v>
      </c>
      <c r="FJ107" s="85">
        <f t="shared" si="411"/>
        <v>0</v>
      </c>
      <c r="FK107" s="85">
        <f t="shared" si="411"/>
        <v>0</v>
      </c>
      <c r="FL107" s="85">
        <f t="shared" si="411"/>
        <v>0</v>
      </c>
      <c r="FM107" s="85">
        <f t="shared" si="411"/>
        <v>0</v>
      </c>
      <c r="FN107" s="85">
        <f t="shared" si="411"/>
        <v>0</v>
      </c>
      <c r="FO107" s="85">
        <f t="shared" si="411"/>
        <v>0</v>
      </c>
      <c r="FP107" s="85">
        <f t="shared" si="411"/>
        <v>0</v>
      </c>
      <c r="FQ107" s="85">
        <f t="shared" si="411"/>
        <v>0</v>
      </c>
      <c r="FR107" s="85">
        <f t="shared" ref="FR107:FS107" si="414">FR102/$DV$107*1.2</f>
        <v>0</v>
      </c>
      <c r="FS107" s="85">
        <f t="shared" si="414"/>
        <v>0</v>
      </c>
      <c r="FT107" s="85">
        <f t="shared" si="411"/>
        <v>0</v>
      </c>
      <c r="FU107" s="85">
        <f t="shared" ref="FU107:GM107" si="415">FU102/$DV$107*1.2</f>
        <v>0</v>
      </c>
      <c r="FV107" s="85">
        <f t="shared" si="415"/>
        <v>0</v>
      </c>
      <c r="FW107" s="85">
        <f t="shared" si="415"/>
        <v>0</v>
      </c>
      <c r="FX107" s="85">
        <f t="shared" si="415"/>
        <v>0</v>
      </c>
      <c r="FY107" s="85">
        <f t="shared" si="415"/>
        <v>0</v>
      </c>
      <c r="FZ107" s="85">
        <f t="shared" si="415"/>
        <v>0</v>
      </c>
      <c r="GA107" s="85">
        <f t="shared" si="415"/>
        <v>0</v>
      </c>
      <c r="GB107" s="85">
        <f t="shared" si="415"/>
        <v>0</v>
      </c>
      <c r="GC107" s="85">
        <f t="shared" si="415"/>
        <v>0</v>
      </c>
      <c r="GD107" s="85">
        <f t="shared" si="415"/>
        <v>0</v>
      </c>
      <c r="GE107" s="85">
        <f t="shared" si="415"/>
        <v>0</v>
      </c>
      <c r="GF107" s="85">
        <f t="shared" si="415"/>
        <v>0</v>
      </c>
      <c r="GG107" s="85">
        <f t="shared" si="415"/>
        <v>0</v>
      </c>
      <c r="GH107" s="85">
        <f t="shared" si="415"/>
        <v>0</v>
      </c>
      <c r="GI107" s="85">
        <f t="shared" si="415"/>
        <v>0</v>
      </c>
      <c r="GJ107" s="85">
        <f t="shared" si="415"/>
        <v>0</v>
      </c>
      <c r="GK107" s="85">
        <f t="shared" si="415"/>
        <v>0</v>
      </c>
      <c r="GL107" s="85">
        <f t="shared" si="415"/>
        <v>0</v>
      </c>
      <c r="GM107" s="173">
        <f t="shared" si="415"/>
        <v>0</v>
      </c>
    </row>
    <row r="108" spans="1:195" ht="15" thickBot="1">
      <c r="DV108" s="87"/>
      <c r="DW108" s="88">
        <f>IF(DW102=0,0,ROUNDUP(DW107,0))</f>
        <v>0</v>
      </c>
      <c r="DX108" s="88">
        <f t="shared" ref="DX108:FT108" si="416">IF(DX102=0,0,ROUNDUP(DX107,0))</f>
        <v>0</v>
      </c>
      <c r="DY108" s="88">
        <f t="shared" si="416"/>
        <v>0</v>
      </c>
      <c r="DZ108" s="88">
        <f t="shared" si="416"/>
        <v>0</v>
      </c>
      <c r="EA108" s="88">
        <f t="shared" si="416"/>
        <v>0</v>
      </c>
      <c r="EB108" s="88">
        <f t="shared" si="416"/>
        <v>0</v>
      </c>
      <c r="EC108" s="88">
        <f t="shared" si="416"/>
        <v>0</v>
      </c>
      <c r="ED108" s="88">
        <f t="shared" si="416"/>
        <v>0</v>
      </c>
      <c r="EE108" s="88">
        <f t="shared" si="416"/>
        <v>0</v>
      </c>
      <c r="EF108" s="88">
        <f t="shared" si="416"/>
        <v>0</v>
      </c>
      <c r="EG108" s="88">
        <f t="shared" si="416"/>
        <v>0</v>
      </c>
      <c r="EH108" s="88">
        <f t="shared" si="416"/>
        <v>0</v>
      </c>
      <c r="EI108" s="88">
        <f t="shared" si="416"/>
        <v>0</v>
      </c>
      <c r="EJ108" s="88">
        <f t="shared" si="416"/>
        <v>0</v>
      </c>
      <c r="EK108" s="88">
        <f t="shared" si="416"/>
        <v>0</v>
      </c>
      <c r="EL108" s="88">
        <f t="shared" si="416"/>
        <v>0</v>
      </c>
      <c r="EM108" s="88">
        <f t="shared" si="416"/>
        <v>0</v>
      </c>
      <c r="EN108" s="88">
        <f t="shared" si="416"/>
        <v>0</v>
      </c>
      <c r="EO108" s="88">
        <f t="shared" si="416"/>
        <v>0</v>
      </c>
      <c r="EP108" s="88">
        <f t="shared" si="416"/>
        <v>0</v>
      </c>
      <c r="EQ108" s="88">
        <f t="shared" si="416"/>
        <v>0</v>
      </c>
      <c r="ER108" s="88">
        <f t="shared" si="416"/>
        <v>0</v>
      </c>
      <c r="ES108" s="88">
        <f t="shared" si="416"/>
        <v>0</v>
      </c>
      <c r="ET108" s="88">
        <f t="shared" ref="ET108" si="417">IF(ET102=0,0,ROUNDUP(ET107,0))</f>
        <v>1</v>
      </c>
      <c r="EU108" s="88">
        <f t="shared" si="416"/>
        <v>0</v>
      </c>
      <c r="EV108" s="88">
        <f t="shared" si="416"/>
        <v>1</v>
      </c>
      <c r="EW108" s="88">
        <f t="shared" ref="EW108" si="418">IF(EW102=0,0,ROUNDUP(EW107,0))</f>
        <v>0</v>
      </c>
      <c r="EX108" s="88">
        <f t="shared" si="416"/>
        <v>0</v>
      </c>
      <c r="EY108" s="88">
        <f t="shared" si="416"/>
        <v>0</v>
      </c>
      <c r="EZ108" s="88">
        <f t="shared" si="416"/>
        <v>0</v>
      </c>
      <c r="FA108" s="88">
        <f t="shared" si="416"/>
        <v>0</v>
      </c>
      <c r="FB108" s="88">
        <f t="shared" si="416"/>
        <v>0</v>
      </c>
      <c r="FC108" s="88">
        <f t="shared" si="416"/>
        <v>0</v>
      </c>
      <c r="FD108" s="88">
        <f t="shared" si="416"/>
        <v>0</v>
      </c>
      <c r="FE108" s="88">
        <f t="shared" si="416"/>
        <v>0</v>
      </c>
      <c r="FF108" s="88">
        <f t="shared" si="416"/>
        <v>0</v>
      </c>
      <c r="FG108" s="88">
        <f t="shared" si="416"/>
        <v>0</v>
      </c>
      <c r="FH108" s="88">
        <f t="shared" si="416"/>
        <v>0</v>
      </c>
      <c r="FI108" s="88">
        <f t="shared" si="416"/>
        <v>0</v>
      </c>
      <c r="FJ108" s="88">
        <f t="shared" si="416"/>
        <v>0</v>
      </c>
      <c r="FK108" s="88">
        <f t="shared" si="416"/>
        <v>0</v>
      </c>
      <c r="FL108" s="88">
        <f t="shared" si="416"/>
        <v>0</v>
      </c>
      <c r="FM108" s="88">
        <f t="shared" si="416"/>
        <v>0</v>
      </c>
      <c r="FN108" s="88">
        <f t="shared" si="416"/>
        <v>0</v>
      </c>
      <c r="FO108" s="88">
        <f t="shared" si="416"/>
        <v>0</v>
      </c>
      <c r="FP108" s="88">
        <f t="shared" si="416"/>
        <v>0</v>
      </c>
      <c r="FQ108" s="88">
        <f t="shared" si="416"/>
        <v>0</v>
      </c>
      <c r="FR108" s="88">
        <f t="shared" ref="FR108:FS108" si="419">IF(FR102=0,0,ROUNDUP(FR107,0))</f>
        <v>0</v>
      </c>
      <c r="FS108" s="88">
        <f t="shared" si="419"/>
        <v>0</v>
      </c>
      <c r="FT108" s="88">
        <f t="shared" si="416"/>
        <v>0</v>
      </c>
      <c r="FU108" s="88">
        <f t="shared" ref="FU108:GM108" si="420">IF(FU102=0,0,ROUNDUP(FU107,0))</f>
        <v>0</v>
      </c>
      <c r="FV108" s="88">
        <f t="shared" si="420"/>
        <v>0</v>
      </c>
      <c r="FW108" s="88">
        <f t="shared" si="420"/>
        <v>0</v>
      </c>
      <c r="FX108" s="88">
        <f t="shared" si="420"/>
        <v>0</v>
      </c>
      <c r="FY108" s="88">
        <f t="shared" si="420"/>
        <v>0</v>
      </c>
      <c r="FZ108" s="88">
        <f t="shared" si="420"/>
        <v>0</v>
      </c>
      <c r="GA108" s="88">
        <f t="shared" si="420"/>
        <v>0</v>
      </c>
      <c r="GB108" s="88">
        <f t="shared" si="420"/>
        <v>0</v>
      </c>
      <c r="GC108" s="88">
        <f t="shared" si="420"/>
        <v>0</v>
      </c>
      <c r="GD108" s="88">
        <f t="shared" si="420"/>
        <v>0</v>
      </c>
      <c r="GE108" s="88">
        <f t="shared" si="420"/>
        <v>0</v>
      </c>
      <c r="GF108" s="88">
        <f t="shared" si="420"/>
        <v>0</v>
      </c>
      <c r="GG108" s="88">
        <f t="shared" si="420"/>
        <v>0</v>
      </c>
      <c r="GH108" s="88">
        <f t="shared" si="420"/>
        <v>0</v>
      </c>
      <c r="GI108" s="88">
        <f t="shared" si="420"/>
        <v>0</v>
      </c>
      <c r="GJ108" s="88">
        <f t="shared" si="420"/>
        <v>0</v>
      </c>
      <c r="GK108" s="88">
        <f t="shared" si="420"/>
        <v>0</v>
      </c>
      <c r="GL108" s="88">
        <f t="shared" si="420"/>
        <v>0</v>
      </c>
      <c r="GM108" s="174">
        <f t="shared" si="420"/>
        <v>0</v>
      </c>
    </row>
    <row r="110" spans="1:195" ht="15">
      <c r="DV110" s="118">
        <v>900</v>
      </c>
      <c r="DW110" s="85">
        <f t="shared" ref="DW110:FT110" si="421">DW102/$DV$110*1.2</f>
        <v>0</v>
      </c>
      <c r="DX110" s="85">
        <f t="shared" si="421"/>
        <v>0</v>
      </c>
      <c r="DY110" s="85">
        <f t="shared" si="421"/>
        <v>0</v>
      </c>
      <c r="DZ110" s="85">
        <f t="shared" si="421"/>
        <v>0</v>
      </c>
      <c r="EA110" s="85">
        <f t="shared" si="421"/>
        <v>0</v>
      </c>
      <c r="EB110" s="85">
        <f t="shared" si="421"/>
        <v>0</v>
      </c>
      <c r="EC110" s="85">
        <f t="shared" si="421"/>
        <v>0</v>
      </c>
      <c r="ED110" s="85">
        <f t="shared" si="421"/>
        <v>0</v>
      </c>
      <c r="EE110" s="85">
        <f t="shared" si="421"/>
        <v>0</v>
      </c>
      <c r="EF110" s="85">
        <f t="shared" si="421"/>
        <v>0</v>
      </c>
      <c r="EG110" s="85">
        <f t="shared" si="421"/>
        <v>0</v>
      </c>
      <c r="EH110" s="85">
        <f t="shared" si="421"/>
        <v>0</v>
      </c>
      <c r="EI110" s="85">
        <f t="shared" si="421"/>
        <v>0</v>
      </c>
      <c r="EJ110" s="85">
        <f t="shared" si="421"/>
        <v>0</v>
      </c>
      <c r="EK110" s="85">
        <f t="shared" si="421"/>
        <v>0</v>
      </c>
      <c r="EL110" s="85">
        <f t="shared" si="421"/>
        <v>0</v>
      </c>
      <c r="EM110" s="85">
        <f t="shared" si="421"/>
        <v>0</v>
      </c>
      <c r="EN110" s="85">
        <f t="shared" si="421"/>
        <v>0</v>
      </c>
      <c r="EO110" s="85">
        <f t="shared" si="421"/>
        <v>0</v>
      </c>
      <c r="EP110" s="85">
        <f t="shared" si="421"/>
        <v>0</v>
      </c>
      <c r="EQ110" s="85">
        <f t="shared" si="421"/>
        <v>0</v>
      </c>
      <c r="ER110" s="85">
        <f t="shared" si="421"/>
        <v>0</v>
      </c>
      <c r="ES110" s="85">
        <f t="shared" si="421"/>
        <v>0</v>
      </c>
      <c r="ET110" s="85">
        <f t="shared" ref="ET110" si="422">ET102/$DV$110*1.2</f>
        <v>0.40800000000000003</v>
      </c>
      <c r="EU110" s="85">
        <f t="shared" si="421"/>
        <v>0</v>
      </c>
      <c r="EV110" s="85">
        <f t="shared" si="421"/>
        <v>0.40800000000000003</v>
      </c>
      <c r="EW110" s="85">
        <f t="shared" ref="EW110" si="423">EW102/$DV$110*1.2</f>
        <v>0</v>
      </c>
      <c r="EX110" s="85">
        <f t="shared" si="421"/>
        <v>0</v>
      </c>
      <c r="EY110" s="85">
        <f t="shared" si="421"/>
        <v>0</v>
      </c>
      <c r="EZ110" s="85">
        <f t="shared" si="421"/>
        <v>0</v>
      </c>
      <c r="FA110" s="85">
        <f t="shared" si="421"/>
        <v>0</v>
      </c>
      <c r="FB110" s="85">
        <f t="shared" si="421"/>
        <v>0</v>
      </c>
      <c r="FC110" s="85">
        <f t="shared" si="421"/>
        <v>0</v>
      </c>
      <c r="FD110" s="85">
        <f t="shared" si="421"/>
        <v>0</v>
      </c>
      <c r="FE110" s="85">
        <f t="shared" si="421"/>
        <v>0</v>
      </c>
      <c r="FF110" s="85">
        <f t="shared" si="421"/>
        <v>0</v>
      </c>
      <c r="FG110" s="85">
        <f t="shared" si="421"/>
        <v>0</v>
      </c>
      <c r="FH110" s="85">
        <f t="shared" si="421"/>
        <v>0</v>
      </c>
      <c r="FI110" s="85">
        <f t="shared" si="421"/>
        <v>0</v>
      </c>
      <c r="FJ110" s="85">
        <f t="shared" si="421"/>
        <v>0</v>
      </c>
      <c r="FK110" s="85">
        <f t="shared" si="421"/>
        <v>0</v>
      </c>
      <c r="FL110" s="85">
        <f t="shared" si="421"/>
        <v>0</v>
      </c>
      <c r="FM110" s="85">
        <f t="shared" si="421"/>
        <v>0</v>
      </c>
      <c r="FN110" s="85">
        <f t="shared" si="421"/>
        <v>0</v>
      </c>
      <c r="FO110" s="85">
        <f t="shared" si="421"/>
        <v>0</v>
      </c>
      <c r="FP110" s="85">
        <f t="shared" si="421"/>
        <v>0</v>
      </c>
      <c r="FQ110" s="85">
        <f t="shared" si="421"/>
        <v>0</v>
      </c>
      <c r="FR110" s="85">
        <f t="shared" ref="FR110:FS110" si="424">FR102/$DV$110*1.2</f>
        <v>0</v>
      </c>
      <c r="FS110" s="85">
        <f t="shared" si="424"/>
        <v>0</v>
      </c>
      <c r="FT110" s="85">
        <f t="shared" si="421"/>
        <v>0</v>
      </c>
      <c r="FU110" s="85">
        <f t="shared" ref="FU110:GM110" si="425">FU102/$DV$110*1.2</f>
        <v>0</v>
      </c>
      <c r="FV110" s="85">
        <f t="shared" si="425"/>
        <v>0</v>
      </c>
      <c r="FW110" s="85">
        <f t="shared" si="425"/>
        <v>0</v>
      </c>
      <c r="FX110" s="85">
        <f t="shared" si="425"/>
        <v>0</v>
      </c>
      <c r="FY110" s="85">
        <f t="shared" si="425"/>
        <v>0</v>
      </c>
      <c r="FZ110" s="85">
        <f t="shared" si="425"/>
        <v>0</v>
      </c>
      <c r="GA110" s="85">
        <f t="shared" si="425"/>
        <v>0</v>
      </c>
      <c r="GB110" s="85">
        <f t="shared" si="425"/>
        <v>0</v>
      </c>
      <c r="GC110" s="85">
        <f t="shared" si="425"/>
        <v>0</v>
      </c>
      <c r="GD110" s="85">
        <f t="shared" si="425"/>
        <v>0</v>
      </c>
      <c r="GE110" s="85">
        <f t="shared" si="425"/>
        <v>0</v>
      </c>
      <c r="GF110" s="85">
        <f t="shared" si="425"/>
        <v>0</v>
      </c>
      <c r="GG110" s="85">
        <f t="shared" si="425"/>
        <v>0</v>
      </c>
      <c r="GH110" s="85">
        <f t="shared" si="425"/>
        <v>0</v>
      </c>
      <c r="GI110" s="85">
        <f t="shared" si="425"/>
        <v>0</v>
      </c>
      <c r="GJ110" s="85">
        <f t="shared" si="425"/>
        <v>0</v>
      </c>
      <c r="GK110" s="85">
        <f t="shared" si="425"/>
        <v>0</v>
      </c>
      <c r="GL110" s="85">
        <f t="shared" si="425"/>
        <v>0</v>
      </c>
      <c r="GM110" s="173">
        <f t="shared" si="425"/>
        <v>0</v>
      </c>
    </row>
    <row r="111" spans="1:195" ht="15" thickBot="1">
      <c r="DV111" s="87"/>
      <c r="DW111" s="88">
        <f>IF(DW105=0,0,ROUNDUP(DW110,0))</f>
        <v>0</v>
      </c>
      <c r="DX111" s="88">
        <f t="shared" ref="DX111:FT111" si="426">IF(DX105=0,0,ROUNDUP(DX110,0))</f>
        <v>0</v>
      </c>
      <c r="DY111" s="88">
        <f t="shared" si="426"/>
        <v>0</v>
      </c>
      <c r="DZ111" s="88">
        <f t="shared" si="426"/>
        <v>0</v>
      </c>
      <c r="EA111" s="88">
        <f t="shared" si="426"/>
        <v>0</v>
      </c>
      <c r="EB111" s="88">
        <f t="shared" si="426"/>
        <v>0</v>
      </c>
      <c r="EC111" s="88">
        <f t="shared" si="426"/>
        <v>0</v>
      </c>
      <c r="ED111" s="88">
        <f t="shared" si="426"/>
        <v>0</v>
      </c>
      <c r="EE111" s="88">
        <f t="shared" si="426"/>
        <v>0</v>
      </c>
      <c r="EF111" s="88">
        <f t="shared" si="426"/>
        <v>0</v>
      </c>
      <c r="EG111" s="88">
        <f t="shared" si="426"/>
        <v>0</v>
      </c>
      <c r="EH111" s="88">
        <f t="shared" si="426"/>
        <v>0</v>
      </c>
      <c r="EI111" s="88">
        <f t="shared" si="426"/>
        <v>0</v>
      </c>
      <c r="EJ111" s="88">
        <f t="shared" si="426"/>
        <v>0</v>
      </c>
      <c r="EK111" s="88">
        <f t="shared" si="426"/>
        <v>0</v>
      </c>
      <c r="EL111" s="88">
        <f t="shared" si="426"/>
        <v>0</v>
      </c>
      <c r="EM111" s="88">
        <f t="shared" si="426"/>
        <v>0</v>
      </c>
      <c r="EN111" s="88">
        <f t="shared" si="426"/>
        <v>0</v>
      </c>
      <c r="EO111" s="88">
        <f t="shared" si="426"/>
        <v>0</v>
      </c>
      <c r="EP111" s="88">
        <f t="shared" si="426"/>
        <v>0</v>
      </c>
      <c r="EQ111" s="88">
        <f t="shared" si="426"/>
        <v>0</v>
      </c>
      <c r="ER111" s="88">
        <f t="shared" si="426"/>
        <v>0</v>
      </c>
      <c r="ES111" s="88">
        <f t="shared" si="426"/>
        <v>0</v>
      </c>
      <c r="ET111" s="88">
        <f t="shared" ref="ET111" si="427">IF(ET105=0,0,ROUNDUP(ET110,0))</f>
        <v>1</v>
      </c>
      <c r="EU111" s="88">
        <f t="shared" si="426"/>
        <v>0</v>
      </c>
      <c r="EV111" s="88">
        <f t="shared" si="426"/>
        <v>1</v>
      </c>
      <c r="EW111" s="88">
        <f t="shared" ref="EW111" si="428">IF(EW105=0,0,ROUNDUP(EW110,0))</f>
        <v>0</v>
      </c>
      <c r="EX111" s="88">
        <f t="shared" si="426"/>
        <v>0</v>
      </c>
      <c r="EY111" s="88">
        <f t="shared" si="426"/>
        <v>0</v>
      </c>
      <c r="EZ111" s="88">
        <f t="shared" si="426"/>
        <v>0</v>
      </c>
      <c r="FA111" s="88">
        <f t="shared" si="426"/>
        <v>0</v>
      </c>
      <c r="FB111" s="88">
        <f t="shared" si="426"/>
        <v>0</v>
      </c>
      <c r="FC111" s="88">
        <f t="shared" si="426"/>
        <v>0</v>
      </c>
      <c r="FD111" s="88">
        <f t="shared" si="426"/>
        <v>0</v>
      </c>
      <c r="FE111" s="88">
        <f t="shared" si="426"/>
        <v>0</v>
      </c>
      <c r="FF111" s="88">
        <f t="shared" si="426"/>
        <v>0</v>
      </c>
      <c r="FG111" s="88">
        <f t="shared" si="426"/>
        <v>0</v>
      </c>
      <c r="FH111" s="88">
        <f t="shared" si="426"/>
        <v>0</v>
      </c>
      <c r="FI111" s="88">
        <f t="shared" si="426"/>
        <v>0</v>
      </c>
      <c r="FJ111" s="88">
        <f t="shared" si="426"/>
        <v>0</v>
      </c>
      <c r="FK111" s="88">
        <f t="shared" si="426"/>
        <v>0</v>
      </c>
      <c r="FL111" s="88">
        <f t="shared" si="426"/>
        <v>0</v>
      </c>
      <c r="FM111" s="88">
        <f t="shared" si="426"/>
        <v>0</v>
      </c>
      <c r="FN111" s="88">
        <f t="shared" si="426"/>
        <v>0</v>
      </c>
      <c r="FO111" s="88">
        <f t="shared" si="426"/>
        <v>0</v>
      </c>
      <c r="FP111" s="88">
        <f t="shared" si="426"/>
        <v>0</v>
      </c>
      <c r="FQ111" s="88">
        <f t="shared" si="426"/>
        <v>0</v>
      </c>
      <c r="FR111" s="88">
        <f t="shared" ref="FR111:FS111" si="429">IF(FR105=0,0,ROUNDUP(FR110,0))</f>
        <v>0</v>
      </c>
      <c r="FS111" s="88">
        <f t="shared" si="429"/>
        <v>0</v>
      </c>
      <c r="FT111" s="88">
        <f t="shared" si="426"/>
        <v>0</v>
      </c>
      <c r="FU111" s="88">
        <f t="shared" ref="FU111:GM111" si="430">IF(FU105=0,0,ROUNDUP(FU110,0))</f>
        <v>0</v>
      </c>
      <c r="FV111" s="88">
        <f t="shared" si="430"/>
        <v>0</v>
      </c>
      <c r="FW111" s="88">
        <f t="shared" si="430"/>
        <v>0</v>
      </c>
      <c r="FX111" s="88">
        <f t="shared" si="430"/>
        <v>0</v>
      </c>
      <c r="FY111" s="88">
        <f t="shared" si="430"/>
        <v>0</v>
      </c>
      <c r="FZ111" s="88">
        <f t="shared" si="430"/>
        <v>0</v>
      </c>
      <c r="GA111" s="88">
        <f t="shared" si="430"/>
        <v>0</v>
      </c>
      <c r="GB111" s="88">
        <f t="shared" si="430"/>
        <v>0</v>
      </c>
      <c r="GC111" s="88">
        <f t="shared" si="430"/>
        <v>0</v>
      </c>
      <c r="GD111" s="88">
        <f t="shared" si="430"/>
        <v>0</v>
      </c>
      <c r="GE111" s="88">
        <f t="shared" si="430"/>
        <v>0</v>
      </c>
      <c r="GF111" s="88">
        <f t="shared" si="430"/>
        <v>0</v>
      </c>
      <c r="GG111" s="88">
        <f t="shared" si="430"/>
        <v>0</v>
      </c>
      <c r="GH111" s="88">
        <f t="shared" si="430"/>
        <v>0</v>
      </c>
      <c r="GI111" s="88">
        <f t="shared" si="430"/>
        <v>0</v>
      </c>
      <c r="GJ111" s="88">
        <f t="shared" si="430"/>
        <v>0</v>
      </c>
      <c r="GK111" s="88">
        <f t="shared" si="430"/>
        <v>0</v>
      </c>
      <c r="GL111" s="88">
        <f t="shared" si="430"/>
        <v>0</v>
      </c>
      <c r="GM111" s="174">
        <f t="shared" si="430"/>
        <v>0</v>
      </c>
    </row>
  </sheetData>
  <protectedRanges>
    <protectedRange sqref="D45:D46" name="Range1_6"/>
  </protectedRanges>
  <autoFilter ref="A5:BA102" xr:uid="{68882B8F-A887-475D-9441-2EA0142DE96F}">
    <filterColumn colId="0">
      <filters blank="1">
        <filter val="1"/>
        <filter val="10"/>
        <filter val="11"/>
        <filter val="12"/>
        <filter val="13"/>
        <filter val="14"/>
        <filter val="15"/>
        <filter val="16"/>
        <filter val="17"/>
        <filter val="18"/>
        <filter val="19"/>
        <filter val="2"/>
        <filter val="20"/>
        <filter val="21"/>
        <filter val="22"/>
        <filter val="23"/>
        <filter val="24"/>
        <filter val="25"/>
        <filter val="26"/>
        <filter val="27"/>
        <filter val="28"/>
        <filter val="29"/>
        <filter val="3"/>
        <filter val="30"/>
        <filter val="31"/>
        <filter val="32"/>
        <filter val="33"/>
        <filter val="34"/>
        <filter val="35"/>
        <filter val="36"/>
        <filter val="37"/>
        <filter val="38"/>
        <filter val="39"/>
        <filter val="4"/>
        <filter val="40"/>
        <filter val="41"/>
        <filter val="42"/>
        <filter val="43"/>
        <filter val="44"/>
        <filter val="45"/>
        <filter val="5"/>
        <filter val="6"/>
        <filter val="7"/>
        <filter val="8"/>
        <filter val="9"/>
      </filters>
    </filterColumn>
  </autoFilter>
  <mergeCells count="22">
    <mergeCell ref="O59:BC59"/>
    <mergeCell ref="O64:BC64"/>
    <mergeCell ref="O96:BC96"/>
    <mergeCell ref="O97:BC97"/>
    <mergeCell ref="O26:BC26"/>
    <mergeCell ref="O27:BC27"/>
    <mergeCell ref="O47:BC47"/>
    <mergeCell ref="O48:BC48"/>
    <mergeCell ref="O54:BC54"/>
    <mergeCell ref="AR3:AS3"/>
    <mergeCell ref="AT3:AU3"/>
    <mergeCell ref="AV3:AX3"/>
    <mergeCell ref="A1:K1"/>
    <mergeCell ref="L1:AS1"/>
    <mergeCell ref="AT1:AV1"/>
    <mergeCell ref="A2:BA2"/>
    <mergeCell ref="A3:A4"/>
    <mergeCell ref="D3:P3"/>
    <mergeCell ref="Q3:S3"/>
    <mergeCell ref="T3:AH3"/>
    <mergeCell ref="AI3:AN3"/>
    <mergeCell ref="AO3:AQ3"/>
  </mergeCells>
  <phoneticPr fontId="88" type="noConversion"/>
  <conditionalFormatting sqref="D6:D101 CZ61:DU63 CZ87:DU87">
    <cfRule type="cellIs" dxfId="8" priority="68" operator="equal">
      <formula>"Total"</formula>
    </cfRule>
  </conditionalFormatting>
  <conditionalFormatting sqref="AQ6:AQ25 AS6:AS25 AQ28:AQ46 AQ49:AQ53 AS49:AS53 AU50:AU53 AQ55:AQ58 AS55:AS58 AU56:AU58 AQ60:AQ63 AS60:AS63 AU61:AU63 AQ65:AQ95 AQ98:AQ101 AS98:AS101">
    <cfRule type="containsText" dxfId="7" priority="35" operator="containsText" text="NO">
      <formula>NOT(ISERROR(SEARCH("NO",AQ6)))</formula>
    </cfRule>
  </conditionalFormatting>
  <conditionalFormatting sqref="AS28:AS46">
    <cfRule type="containsText" dxfId="6" priority="11" operator="containsText" text="NO">
      <formula>NOT(ISERROR(SEARCH("NO",AS28)))</formula>
    </cfRule>
  </conditionalFormatting>
  <conditionalFormatting sqref="AS65:AS95">
    <cfRule type="containsText" dxfId="5" priority="3" operator="containsText" text="NO">
      <formula>NOT(ISERROR(SEARCH("NO",AS65)))</formula>
    </cfRule>
  </conditionalFormatting>
  <conditionalFormatting sqref="AU8:AU19">
    <cfRule type="containsText" dxfId="4" priority="16" operator="containsText" text="NO">
      <formula>NOT(ISERROR(SEARCH("NO",AU8)))</formula>
    </cfRule>
  </conditionalFormatting>
  <conditionalFormatting sqref="AU21:AU25">
    <cfRule type="containsText" dxfId="3" priority="14" operator="containsText" text="NO">
      <formula>NOT(ISERROR(SEARCH("NO",AU21)))</formula>
    </cfRule>
  </conditionalFormatting>
  <conditionalFormatting sqref="AU30:AU39">
    <cfRule type="containsText" dxfId="2" priority="12" operator="containsText" text="NO">
      <formula>NOT(ISERROR(SEARCH("NO",AU30)))</formula>
    </cfRule>
  </conditionalFormatting>
  <conditionalFormatting sqref="AU41:AU46">
    <cfRule type="containsText" dxfId="1" priority="10" operator="containsText" text="NO">
      <formula>NOT(ISERROR(SEARCH("NO",AU41)))</formula>
    </cfRule>
  </conditionalFormatting>
  <conditionalFormatting sqref="AU66:AU95">
    <cfRule type="containsText" dxfId="0" priority="2" operator="containsText" text="NO">
      <formula>NOT(ISERROR(SEARCH("NO",AU66)))</formula>
    </cfRule>
  </conditionalFormatting>
  <dataValidations count="10">
    <dataValidation type="list" allowBlank="1" showInputMessage="1" showErrorMessage="1" sqref="V101:V102 V6:V7" xr:uid="{A6BBCEE0-AB22-48F5-92F9-095E9D3C1C11}">
      <formula1>"2.5,4,6,10,16,25,35,50,70,95,120,150,185,240,300,400,500,630"</formula1>
    </dataValidation>
    <dataValidation type="list" allowBlank="1" showInputMessage="1" showErrorMessage="1" sqref="G102" xr:uid="{A9E65C5F-38F9-4552-9FFF-729348E6C244}">
      <formula1>"F,M,I"</formula1>
    </dataValidation>
    <dataValidation type="list" allowBlank="1" showInputMessage="1" showErrorMessage="1" sqref="T98:T101 T65:T95 T28:T46 T60:T63 T55:T58 T49:T53 T6:T25" xr:uid="{E28B40B8-D571-422F-A9F9-8AE3CD3EC3E8}">
      <formula1>"AIR,DUCT,GROUND,TRENCH"</formula1>
    </dataValidation>
    <dataValidation type="list" allowBlank="1" showInputMessage="1" showErrorMessage="1" sqref="V98:V100 V28:V46 V65:V95 V60:V63 V55:V58 V49:V53 V8:V25" xr:uid="{3C5FF324-B86A-4022-96A9-A04C8BDEBC2E}">
      <formula1>"4,6,10,16,25,35,50,70,95,120,150,185,240,300,400,500,630,800,1000"</formula1>
    </dataValidation>
    <dataValidation type="list" allowBlank="1" showInputMessage="1" showErrorMessage="1" sqref="U98:U102 U28:U46 U65:U95 U60:U63 U55:U58 U49:U53 U6:U25" xr:uid="{E6BDD21E-83C8-46D1-9439-9E7E531A7B3D}">
      <formula1>"1C,2C,3C,3.5C,4C,5C"</formula1>
    </dataValidation>
    <dataValidation type="list" allowBlank="1" showInputMessage="1" showErrorMessage="1" sqref="G6:G7 G98:G101" xr:uid="{E334A2F2-9C8C-4FD3-B8DA-08D15619FFC7}">
      <formula1>"I,P,M"</formula1>
    </dataValidation>
    <dataValidation type="list" allowBlank="1" showInputMessage="1" showErrorMessage="1" sqref="I6:I102 K12:K19" xr:uid="{7E721299-A53A-4820-8705-2D7FF682A5DB}">
      <formula1>"kVA,kW"</formula1>
    </dataValidation>
    <dataValidation type="list" allowBlank="1" showInputMessage="1" showErrorMessage="1" sqref="J6:J102" xr:uid="{28858ECD-0435-4246-809B-E07DE0252BD4}">
      <formula1>"3Phase,1Phase"</formula1>
    </dataValidation>
    <dataValidation type="list" allowBlank="1" showInputMessage="1" showErrorMessage="1" sqref="K6:K102" xr:uid="{57D0DE07-AD3F-4207-8E4D-6774113D7A9E}">
      <formula1>"24,110,125,230,400,690,6600,33000"</formula1>
    </dataValidation>
    <dataValidation type="list" allowBlank="1" showInputMessage="1" showErrorMessage="1" sqref="G8:G97" xr:uid="{D541AFB9-0232-4D91-8B33-59B889D751D7}">
      <formula1>"I,P,M,VFD"</formula1>
    </dataValidation>
  </dataValidations>
  <printOptions horizontalCentered="1"/>
  <pageMargins left="0" right="0" top="0.47244094488188981" bottom="0.51181102362204722" header="0.51181102362204722" footer="0.51181102362204722"/>
  <pageSetup paperSize="8" scale="27" fitToHeight="0"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06326-E2CC-4784-937B-398BA780BE3B}">
  <sheetPr codeName="Sheet18">
    <tabColor rgb="FFFFFF00"/>
  </sheetPr>
  <dimension ref="B2:BA63"/>
  <sheetViews>
    <sheetView workbookViewId="0">
      <selection activeCell="H8" sqref="H8"/>
    </sheetView>
  </sheetViews>
  <sheetFormatPr defaultRowHeight="12.75"/>
  <cols>
    <col min="1" max="1" width="9.140625" style="69"/>
    <col min="2" max="2" width="27.85546875" style="69" customWidth="1"/>
    <col min="3" max="3" width="14.5703125" style="69" customWidth="1"/>
    <col min="4" max="4" width="9.28515625" style="69" customWidth="1"/>
    <col min="5" max="6" width="6.7109375" style="69" customWidth="1"/>
    <col min="7" max="7" width="6.7109375" style="95" customWidth="1"/>
    <col min="8" max="53" width="6.7109375" style="69" customWidth="1"/>
    <col min="54" max="16384" width="9.140625" style="69"/>
  </cols>
  <sheetData>
    <row r="2" spans="2:53" ht="33" customHeight="1">
      <c r="B2" s="322" t="s">
        <v>26</v>
      </c>
      <c r="C2" s="322" t="s">
        <v>1546</v>
      </c>
      <c r="D2" s="322" t="s">
        <v>1547</v>
      </c>
      <c r="E2" s="323" t="s">
        <v>27</v>
      </c>
      <c r="F2" s="323" t="s">
        <v>28</v>
      </c>
      <c r="G2" s="323" t="s">
        <v>29</v>
      </c>
      <c r="H2" s="323" t="s">
        <v>30</v>
      </c>
      <c r="I2" s="323" t="s">
        <v>31</v>
      </c>
      <c r="J2" s="323" t="s">
        <v>32</v>
      </c>
      <c r="K2" s="323" t="s">
        <v>33</v>
      </c>
      <c r="L2" s="323" t="s">
        <v>34</v>
      </c>
      <c r="M2" s="323" t="s">
        <v>35</v>
      </c>
      <c r="N2" s="323" t="s">
        <v>36</v>
      </c>
      <c r="O2" s="323" t="s">
        <v>37</v>
      </c>
      <c r="P2" s="323" t="s">
        <v>38</v>
      </c>
      <c r="Q2" s="323" t="s">
        <v>39</v>
      </c>
      <c r="R2" s="323" t="s">
        <v>40</v>
      </c>
      <c r="S2" s="323" t="s">
        <v>41</v>
      </c>
      <c r="T2" s="323" t="s">
        <v>42</v>
      </c>
      <c r="U2" s="323" t="s">
        <v>43</v>
      </c>
      <c r="V2" s="323" t="s">
        <v>44</v>
      </c>
      <c r="W2" s="323" t="s">
        <v>45</v>
      </c>
      <c r="X2" s="323" t="s">
        <v>46</v>
      </c>
      <c r="Y2" s="323" t="s">
        <v>47</v>
      </c>
      <c r="Z2" s="323" t="s">
        <v>48</v>
      </c>
      <c r="AA2" s="323" t="s">
        <v>49</v>
      </c>
      <c r="AB2" s="323" t="s">
        <v>50</v>
      </c>
      <c r="AC2" s="323" t="s">
        <v>51</v>
      </c>
      <c r="AD2" s="323" t="s">
        <v>52</v>
      </c>
      <c r="AE2" s="323" t="s">
        <v>53</v>
      </c>
      <c r="AF2" s="323" t="s">
        <v>54</v>
      </c>
      <c r="AG2" s="323" t="s">
        <v>55</v>
      </c>
      <c r="AH2" s="323" t="s">
        <v>56</v>
      </c>
      <c r="AI2" s="323" t="s">
        <v>57</v>
      </c>
      <c r="AJ2" s="323" t="s">
        <v>58</v>
      </c>
      <c r="AK2" s="323" t="s">
        <v>59</v>
      </c>
      <c r="AL2" s="323" t="s">
        <v>60</v>
      </c>
      <c r="AM2" s="323" t="s">
        <v>61</v>
      </c>
      <c r="AN2" s="323" t="s">
        <v>62</v>
      </c>
      <c r="AO2" s="323" t="s">
        <v>63</v>
      </c>
      <c r="AP2" s="323" t="s">
        <v>64</v>
      </c>
      <c r="AQ2" s="323" t="s">
        <v>65</v>
      </c>
      <c r="AR2" s="323" t="s">
        <v>66</v>
      </c>
      <c r="AS2" s="463" t="s">
        <v>67</v>
      </c>
      <c r="AT2" s="323" t="s">
        <v>68</v>
      </c>
      <c r="AU2" s="323" t="s">
        <v>69</v>
      </c>
      <c r="AV2" s="323" t="s">
        <v>70</v>
      </c>
      <c r="AW2" s="323" t="s">
        <v>71</v>
      </c>
      <c r="AX2" s="323" t="s">
        <v>72</v>
      </c>
      <c r="AY2" s="323" t="s">
        <v>73</v>
      </c>
      <c r="AZ2" s="323" t="s">
        <v>74</v>
      </c>
      <c r="BA2" s="323" t="s">
        <v>75</v>
      </c>
    </row>
    <row r="3" spans="2:53" ht="21" customHeight="1">
      <c r="B3" s="322"/>
      <c r="C3" s="322"/>
      <c r="D3" s="322"/>
      <c r="E3" s="323"/>
      <c r="F3" s="323"/>
      <c r="G3" s="474"/>
      <c r="H3" s="323"/>
      <c r="I3" s="323"/>
      <c r="J3" s="323"/>
      <c r="K3" s="323"/>
      <c r="L3" s="323"/>
      <c r="M3" s="323"/>
      <c r="N3" s="323"/>
      <c r="O3" s="323"/>
      <c r="P3" s="323"/>
      <c r="Q3" s="323"/>
      <c r="R3" s="323"/>
      <c r="S3" s="323"/>
      <c r="T3" s="323"/>
      <c r="U3" s="323"/>
      <c r="V3" s="323"/>
      <c r="W3" s="323"/>
      <c r="X3" s="323"/>
      <c r="Y3" s="323"/>
      <c r="Z3" s="323"/>
      <c r="AA3" s="323"/>
      <c r="AB3" s="323"/>
      <c r="AC3" s="323"/>
      <c r="AD3" s="323"/>
      <c r="AE3" s="323"/>
      <c r="AF3" s="323"/>
      <c r="AG3" s="323"/>
      <c r="AH3" s="323"/>
      <c r="AI3" s="323"/>
      <c r="AJ3" s="323"/>
      <c r="AK3" s="323"/>
      <c r="AL3" s="323"/>
      <c r="AM3" s="323"/>
      <c r="AN3" s="323"/>
      <c r="AO3" s="323"/>
      <c r="AP3" s="323"/>
      <c r="AQ3" s="323"/>
      <c r="AR3" s="323"/>
      <c r="AS3" s="323"/>
      <c r="AT3" s="323"/>
      <c r="AU3" s="323"/>
      <c r="AV3" s="323"/>
      <c r="AW3" s="323"/>
      <c r="AX3" s="323"/>
      <c r="AY3" s="323"/>
      <c r="AZ3" s="323"/>
      <c r="BA3" s="323"/>
    </row>
    <row r="4" spans="2:53" ht="21" customHeight="1">
      <c r="B4" s="815" t="s">
        <v>94</v>
      </c>
      <c r="C4" s="816"/>
      <c r="D4" s="816"/>
      <c r="E4" s="816"/>
      <c r="F4" s="816"/>
      <c r="G4" s="817"/>
      <c r="H4" s="816"/>
      <c r="I4" s="816"/>
      <c r="J4" s="816"/>
      <c r="K4" s="816"/>
      <c r="L4" s="816"/>
      <c r="M4" s="816"/>
      <c r="N4" s="816"/>
      <c r="O4" s="816"/>
      <c r="P4" s="816"/>
      <c r="Q4" s="816"/>
      <c r="R4" s="816"/>
      <c r="S4" s="816"/>
      <c r="T4" s="816"/>
      <c r="U4" s="816"/>
      <c r="V4" s="816"/>
      <c r="W4" s="816"/>
      <c r="X4" s="816"/>
      <c r="Y4" s="816"/>
      <c r="Z4" s="816"/>
      <c r="AA4" s="816"/>
      <c r="AB4" s="816"/>
      <c r="AC4" s="816"/>
      <c r="AD4" s="816"/>
      <c r="AE4" s="816"/>
      <c r="AF4" s="816"/>
      <c r="AG4" s="816"/>
      <c r="AH4" s="816"/>
      <c r="AI4" s="816"/>
      <c r="AJ4" s="816"/>
      <c r="AK4" s="816"/>
      <c r="AL4" s="816"/>
      <c r="AM4" s="816"/>
      <c r="AN4" s="816"/>
      <c r="AO4" s="816"/>
      <c r="AP4" s="816"/>
      <c r="AQ4" s="816"/>
      <c r="AR4" s="816"/>
      <c r="AS4" s="816"/>
      <c r="AT4" s="816"/>
      <c r="AU4" s="816"/>
      <c r="AV4" s="816"/>
      <c r="AW4" s="816"/>
      <c r="AX4" s="816"/>
      <c r="AY4" s="816"/>
      <c r="AZ4" s="816"/>
      <c r="BA4" s="818"/>
    </row>
    <row r="5" spans="2:53" ht="23.25" customHeight="1">
      <c r="B5" s="1074" t="s">
        <v>95</v>
      </c>
      <c r="C5" s="98" t="s">
        <v>78</v>
      </c>
      <c r="D5" s="99"/>
      <c r="E5" s="100"/>
      <c r="F5" s="100"/>
      <c r="G5" s="101"/>
      <c r="H5" s="100"/>
      <c r="I5" s="100"/>
      <c r="J5" s="100"/>
      <c r="K5" s="100"/>
      <c r="L5" s="100"/>
      <c r="M5" s="100"/>
      <c r="N5" s="100"/>
      <c r="O5" s="100"/>
      <c r="P5" s="100"/>
      <c r="Q5" s="100"/>
      <c r="R5" s="100"/>
      <c r="S5" s="100"/>
      <c r="T5" s="100"/>
      <c r="U5" s="100"/>
      <c r="V5" s="100"/>
      <c r="W5" s="100"/>
      <c r="X5" s="100"/>
      <c r="Y5" s="100"/>
      <c r="Z5" s="100"/>
      <c r="AA5" s="100"/>
      <c r="AB5" s="100"/>
      <c r="AC5" s="100"/>
      <c r="AD5" s="100"/>
      <c r="AE5" s="100"/>
      <c r="AF5" s="100"/>
      <c r="AG5" s="100"/>
      <c r="AH5" s="100"/>
      <c r="AI5" s="100"/>
      <c r="AJ5" s="100"/>
      <c r="AK5" s="100"/>
      <c r="AL5" s="100"/>
      <c r="AM5" s="100"/>
      <c r="AN5" s="100"/>
      <c r="AO5" s="100"/>
      <c r="AP5" s="100"/>
      <c r="AQ5" s="100"/>
      <c r="AR5" s="100"/>
      <c r="AS5" s="100"/>
      <c r="AT5" s="100"/>
      <c r="AU5" s="100"/>
      <c r="AV5" s="100"/>
      <c r="AW5" s="100"/>
      <c r="AX5" s="100"/>
      <c r="AY5" s="100"/>
      <c r="AZ5" s="100"/>
      <c r="BA5" s="100"/>
    </row>
    <row r="6" spans="2:53" ht="33.75" customHeight="1">
      <c r="B6" s="1075"/>
      <c r="C6" s="819">
        <v>600</v>
      </c>
      <c r="D6" s="814" t="s">
        <v>1548</v>
      </c>
      <c r="E6" s="813"/>
      <c r="F6" s="813"/>
      <c r="G6" s="428"/>
      <c r="H6" s="813"/>
      <c r="I6" s="813"/>
      <c r="J6" s="813"/>
      <c r="K6" s="813"/>
      <c r="L6" s="813"/>
      <c r="M6" s="813"/>
      <c r="N6" s="813"/>
      <c r="O6" s="813"/>
      <c r="P6" s="813"/>
      <c r="Q6" s="813"/>
      <c r="R6" s="813"/>
      <c r="S6" s="813"/>
      <c r="T6" s="813"/>
      <c r="U6" s="813"/>
      <c r="V6" s="813"/>
      <c r="W6" s="813"/>
      <c r="X6" s="813"/>
      <c r="Y6" s="813"/>
      <c r="Z6" s="813"/>
      <c r="AA6" s="813"/>
      <c r="AB6" s="813"/>
      <c r="AC6" s="813"/>
      <c r="AD6" s="813"/>
      <c r="AE6" s="813"/>
      <c r="AF6" s="813"/>
      <c r="AG6" s="813"/>
      <c r="AH6" s="813"/>
      <c r="AI6" s="813"/>
      <c r="AJ6" s="813"/>
      <c r="AK6" s="813"/>
      <c r="AL6" s="813"/>
      <c r="AM6" s="813"/>
      <c r="AN6" s="813"/>
      <c r="AO6" s="813"/>
      <c r="AP6" s="813"/>
      <c r="AQ6" s="813"/>
      <c r="AR6" s="813"/>
      <c r="AS6" s="813"/>
      <c r="AT6" s="813"/>
      <c r="AU6" s="813"/>
      <c r="AV6" s="813"/>
      <c r="AW6" s="813"/>
      <c r="AX6" s="813"/>
      <c r="AY6" s="813"/>
      <c r="AZ6" s="813"/>
      <c r="BA6" s="813"/>
    </row>
    <row r="7" spans="2:53" ht="33.75" customHeight="1">
      <c r="B7" s="1075"/>
      <c r="C7" s="819">
        <v>450</v>
      </c>
      <c r="D7" s="814" t="s">
        <v>1548</v>
      </c>
      <c r="E7" s="814"/>
      <c r="F7" s="814"/>
      <c r="G7" s="496"/>
      <c r="H7" s="814"/>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c r="AM7" s="814"/>
      <c r="AN7" s="814"/>
      <c r="AO7" s="814"/>
      <c r="AP7" s="814"/>
      <c r="AQ7" s="814"/>
      <c r="AR7" s="814"/>
      <c r="AS7" s="814"/>
      <c r="AT7" s="814"/>
      <c r="AU7" s="814"/>
      <c r="AV7" s="814"/>
      <c r="AW7" s="814"/>
      <c r="AX7" s="814"/>
      <c r="AY7" s="814"/>
      <c r="AZ7" s="814"/>
      <c r="BA7" s="814"/>
    </row>
    <row r="8" spans="2:53" ht="33.75" customHeight="1">
      <c r="B8" s="1075"/>
      <c r="C8" s="819">
        <v>300</v>
      </c>
      <c r="D8" s="814" t="s">
        <v>1548</v>
      </c>
      <c r="E8" s="814"/>
      <c r="F8" s="814"/>
      <c r="G8" s="496"/>
      <c r="H8" s="814"/>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c r="AM8" s="814"/>
      <c r="AN8" s="814"/>
      <c r="AO8" s="814"/>
      <c r="AP8" s="814"/>
      <c r="AQ8" s="814"/>
      <c r="AR8" s="814"/>
      <c r="AS8" s="814"/>
      <c r="AT8" s="814"/>
      <c r="AU8" s="814"/>
      <c r="AV8" s="814"/>
      <c r="AW8" s="814"/>
      <c r="AX8" s="814"/>
      <c r="AY8" s="814"/>
      <c r="AZ8" s="814"/>
      <c r="BA8" s="814"/>
    </row>
    <row r="9" spans="2:53">
      <c r="B9" s="814"/>
      <c r="C9" s="814"/>
      <c r="D9" s="814"/>
      <c r="E9" s="814"/>
      <c r="F9" s="814"/>
      <c r="G9" s="496"/>
      <c r="H9" s="814"/>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c r="AM9" s="814"/>
      <c r="AN9" s="814"/>
      <c r="AO9" s="814"/>
      <c r="AP9" s="814"/>
      <c r="AQ9" s="814"/>
      <c r="AR9" s="814"/>
      <c r="AS9" s="814"/>
      <c r="AT9" s="814"/>
      <c r="AU9" s="814"/>
      <c r="AV9" s="814"/>
      <c r="AW9" s="814"/>
      <c r="AX9" s="814"/>
      <c r="AY9" s="814"/>
      <c r="AZ9" s="814"/>
      <c r="BA9" s="814"/>
    </row>
    <row r="10" spans="2:53" ht="20.25" customHeight="1">
      <c r="B10" s="1075" t="s">
        <v>96</v>
      </c>
      <c r="C10" s="820" t="s">
        <v>78</v>
      </c>
      <c r="D10" s="814"/>
      <c r="E10" s="813"/>
      <c r="F10" s="813"/>
      <c r="G10" s="428"/>
      <c r="H10" s="813"/>
      <c r="I10" s="813"/>
      <c r="J10" s="813"/>
      <c r="K10" s="813"/>
      <c r="L10" s="813"/>
      <c r="M10" s="813"/>
      <c r="N10" s="813"/>
      <c r="O10" s="813"/>
      <c r="P10" s="813"/>
      <c r="Q10" s="813"/>
      <c r="R10" s="813"/>
      <c r="S10" s="813"/>
      <c r="T10" s="813"/>
      <c r="U10" s="813"/>
      <c r="V10" s="813"/>
      <c r="W10" s="813"/>
      <c r="X10" s="813"/>
      <c r="Y10" s="813"/>
      <c r="Z10" s="813"/>
      <c r="AA10" s="813"/>
      <c r="AB10" s="813"/>
      <c r="AC10" s="813"/>
      <c r="AD10" s="813"/>
      <c r="AE10" s="813"/>
      <c r="AF10" s="813"/>
      <c r="AG10" s="813"/>
      <c r="AH10" s="813"/>
      <c r="AI10" s="813"/>
      <c r="AJ10" s="813"/>
      <c r="AK10" s="813"/>
      <c r="AL10" s="813"/>
      <c r="AM10" s="813"/>
      <c r="AN10" s="813"/>
      <c r="AO10" s="813"/>
      <c r="AP10" s="813"/>
      <c r="AQ10" s="813"/>
      <c r="AR10" s="813"/>
      <c r="AS10" s="813"/>
      <c r="AT10" s="813"/>
      <c r="AU10" s="813"/>
      <c r="AV10" s="813"/>
      <c r="AW10" s="813"/>
      <c r="AX10" s="813"/>
      <c r="AY10" s="813"/>
      <c r="AZ10" s="813"/>
      <c r="BA10" s="813"/>
    </row>
    <row r="11" spans="2:53" ht="27.75" customHeight="1">
      <c r="B11" s="1075"/>
      <c r="C11" s="819">
        <v>600</v>
      </c>
      <c r="D11" s="814" t="s">
        <v>1548</v>
      </c>
      <c r="E11" s="813"/>
      <c r="F11" s="813"/>
      <c r="G11" s="428"/>
      <c r="H11" s="813"/>
      <c r="I11" s="813"/>
      <c r="J11" s="813"/>
      <c r="K11" s="813"/>
      <c r="L11" s="813"/>
      <c r="M11" s="813"/>
      <c r="N11" s="813"/>
      <c r="O11" s="813"/>
      <c r="P11" s="813"/>
      <c r="Q11" s="813"/>
      <c r="R11" s="813"/>
      <c r="S11" s="813"/>
      <c r="T11" s="813"/>
      <c r="U11" s="813"/>
      <c r="V11" s="813"/>
      <c r="W11" s="813"/>
      <c r="X11" s="813"/>
      <c r="Y11" s="813"/>
      <c r="Z11" s="813"/>
      <c r="AA11" s="813"/>
      <c r="AB11" s="813"/>
      <c r="AC11" s="813"/>
      <c r="AD11" s="813"/>
      <c r="AE11" s="813"/>
      <c r="AF11" s="813"/>
      <c r="AG11" s="813"/>
      <c r="AH11" s="813"/>
      <c r="AI11" s="813"/>
      <c r="AJ11" s="813"/>
      <c r="AK11" s="813"/>
      <c r="AL11" s="813"/>
      <c r="AM11" s="813"/>
      <c r="AN11" s="813"/>
      <c r="AO11" s="813"/>
      <c r="AP11" s="813"/>
      <c r="AQ11" s="813"/>
      <c r="AR11" s="813"/>
      <c r="AS11" s="813"/>
      <c r="AT11" s="813"/>
      <c r="AU11" s="813"/>
      <c r="AV11" s="813"/>
      <c r="AW11" s="813"/>
      <c r="AX11" s="813"/>
      <c r="AY11" s="813"/>
      <c r="AZ11" s="813"/>
      <c r="BA11" s="813"/>
    </row>
    <row r="12" spans="2:53" ht="27.75" customHeight="1">
      <c r="B12" s="1075"/>
      <c r="C12" s="819">
        <v>450</v>
      </c>
      <c r="D12" s="814" t="s">
        <v>1548</v>
      </c>
      <c r="E12" s="814"/>
      <c r="F12" s="814"/>
      <c r="G12" s="496"/>
      <c r="H12" s="814"/>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c r="AM12" s="814"/>
      <c r="AN12" s="814"/>
      <c r="AO12" s="814"/>
      <c r="AP12" s="814"/>
      <c r="AQ12" s="814"/>
      <c r="AR12" s="814"/>
      <c r="AS12" s="814"/>
      <c r="AT12" s="814"/>
      <c r="AU12" s="814"/>
      <c r="AV12" s="814"/>
      <c r="AW12" s="814"/>
      <c r="AX12" s="814"/>
      <c r="AY12" s="814"/>
      <c r="AZ12" s="814"/>
      <c r="BA12" s="814"/>
    </row>
    <row r="13" spans="2:53" ht="27.75" customHeight="1">
      <c r="B13" s="1075"/>
      <c r="C13" s="819">
        <v>300</v>
      </c>
      <c r="D13" s="814" t="s">
        <v>1548</v>
      </c>
      <c r="E13" s="814"/>
      <c r="F13" s="814"/>
      <c r="G13" s="496"/>
      <c r="H13" s="814"/>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c r="AM13" s="814"/>
      <c r="AN13" s="814"/>
      <c r="AO13" s="814"/>
      <c r="AP13" s="814"/>
      <c r="AQ13" s="814"/>
      <c r="AR13" s="814"/>
      <c r="AS13" s="814"/>
      <c r="AT13" s="814"/>
      <c r="AU13" s="814"/>
      <c r="AV13" s="814"/>
      <c r="AW13" s="814"/>
      <c r="AX13" s="814"/>
      <c r="AY13" s="814"/>
      <c r="AZ13" s="814"/>
      <c r="BA13" s="814"/>
    </row>
    <row r="15" spans="2:53" ht="33.75" customHeight="1">
      <c r="B15" s="1075" t="s">
        <v>97</v>
      </c>
      <c r="C15" s="820" t="s">
        <v>78</v>
      </c>
      <c r="D15" s="814"/>
      <c r="E15" s="813"/>
      <c r="F15" s="813"/>
      <c r="G15" s="428"/>
      <c r="H15" s="813"/>
      <c r="I15" s="813"/>
      <c r="J15" s="813"/>
      <c r="K15" s="813"/>
      <c r="L15" s="813"/>
      <c r="M15" s="813"/>
      <c r="N15" s="813"/>
      <c r="O15" s="813"/>
      <c r="P15" s="813"/>
      <c r="Q15" s="813"/>
      <c r="R15" s="813"/>
      <c r="S15" s="813"/>
      <c r="T15" s="813"/>
      <c r="U15" s="813"/>
      <c r="V15" s="813"/>
      <c r="W15" s="813"/>
      <c r="X15" s="813"/>
      <c r="Y15" s="813"/>
      <c r="Z15" s="813"/>
      <c r="AA15" s="813"/>
      <c r="AB15" s="813"/>
      <c r="AC15" s="813"/>
      <c r="AD15" s="813"/>
      <c r="AE15" s="813"/>
      <c r="AF15" s="813"/>
      <c r="AG15" s="813"/>
      <c r="AH15" s="813"/>
      <c r="AI15" s="813"/>
      <c r="AJ15" s="813"/>
      <c r="AK15" s="813"/>
      <c r="AL15" s="813"/>
      <c r="AM15" s="813"/>
      <c r="AN15" s="813"/>
      <c r="AO15" s="813"/>
      <c r="AP15" s="813"/>
      <c r="AQ15" s="813"/>
      <c r="AR15" s="813"/>
      <c r="AS15" s="813"/>
      <c r="AT15" s="813"/>
      <c r="AU15" s="813"/>
      <c r="AV15" s="813"/>
      <c r="AW15" s="813"/>
      <c r="AX15" s="813"/>
      <c r="AY15" s="813"/>
      <c r="AZ15" s="813"/>
      <c r="BA15" s="813"/>
    </row>
    <row r="16" spans="2:53" ht="29.25" customHeight="1">
      <c r="B16" s="1075"/>
      <c r="C16" s="819">
        <v>600</v>
      </c>
      <c r="D16" s="814" t="s">
        <v>1548</v>
      </c>
      <c r="E16" s="813"/>
      <c r="F16" s="813"/>
      <c r="G16" s="428"/>
      <c r="H16" s="813"/>
      <c r="I16" s="813"/>
      <c r="J16" s="813"/>
      <c r="K16" s="813"/>
      <c r="L16" s="813"/>
      <c r="M16" s="813"/>
      <c r="N16" s="813"/>
      <c r="O16" s="813"/>
      <c r="P16" s="813"/>
      <c r="Q16" s="813"/>
      <c r="R16" s="813"/>
      <c r="S16" s="813"/>
      <c r="T16" s="813"/>
      <c r="U16" s="813"/>
      <c r="V16" s="813"/>
      <c r="W16" s="813"/>
      <c r="X16" s="813"/>
      <c r="Y16" s="813"/>
      <c r="Z16" s="813"/>
      <c r="AA16" s="813"/>
      <c r="AB16" s="813"/>
      <c r="AC16" s="813"/>
      <c r="AD16" s="813"/>
      <c r="AE16" s="813"/>
      <c r="AF16" s="813"/>
      <c r="AG16" s="813"/>
      <c r="AH16" s="813"/>
      <c r="AI16" s="813"/>
      <c r="AJ16" s="813"/>
      <c r="AK16" s="813"/>
      <c r="AL16" s="813"/>
      <c r="AM16" s="813"/>
      <c r="AN16" s="813"/>
      <c r="AO16" s="813"/>
      <c r="AP16" s="813"/>
      <c r="AQ16" s="813"/>
      <c r="AR16" s="813"/>
      <c r="AS16" s="813"/>
      <c r="AT16" s="813"/>
      <c r="AU16" s="813"/>
      <c r="AV16" s="813"/>
      <c r="AW16" s="813"/>
      <c r="AX16" s="813"/>
      <c r="AY16" s="813"/>
      <c r="AZ16" s="813"/>
      <c r="BA16" s="813"/>
    </row>
    <row r="17" spans="2:53" ht="29.25" customHeight="1">
      <c r="B17" s="1075"/>
      <c r="C17" s="819">
        <v>450</v>
      </c>
      <c r="D17" s="814" t="s">
        <v>1548</v>
      </c>
      <c r="E17" s="814"/>
      <c r="F17" s="814"/>
      <c r="G17" s="496"/>
      <c r="H17" s="814"/>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c r="AM17" s="814"/>
      <c r="AN17" s="814"/>
      <c r="AO17" s="814"/>
      <c r="AP17" s="814"/>
      <c r="AQ17" s="814"/>
      <c r="AR17" s="814"/>
      <c r="AS17" s="814"/>
      <c r="AT17" s="814"/>
      <c r="AU17" s="814"/>
      <c r="AV17" s="814"/>
      <c r="AW17" s="814"/>
      <c r="AX17" s="814"/>
      <c r="AY17" s="814"/>
      <c r="AZ17" s="814"/>
      <c r="BA17" s="814"/>
    </row>
    <row r="18" spans="2:53" ht="29.25" customHeight="1">
      <c r="B18" s="1075"/>
      <c r="C18" s="819">
        <v>300</v>
      </c>
      <c r="D18" s="814" t="s">
        <v>1548</v>
      </c>
      <c r="E18" s="814"/>
      <c r="F18" s="814"/>
      <c r="G18" s="496"/>
      <c r="H18" s="814"/>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c r="AM18" s="814"/>
      <c r="AN18" s="814"/>
      <c r="AO18" s="814"/>
      <c r="AP18" s="814"/>
      <c r="AQ18" s="814"/>
      <c r="AR18" s="814"/>
      <c r="AS18" s="814"/>
      <c r="AT18" s="814"/>
      <c r="AU18" s="814"/>
      <c r="AV18" s="814"/>
      <c r="AW18" s="814"/>
      <c r="AX18" s="814"/>
      <c r="AY18" s="814"/>
      <c r="AZ18" s="814"/>
      <c r="BA18" s="814"/>
    </row>
    <row r="20" spans="2:53" ht="23.25" customHeight="1">
      <c r="B20" s="1075" t="s">
        <v>98</v>
      </c>
      <c r="C20" s="820" t="s">
        <v>78</v>
      </c>
      <c r="D20" s="814"/>
      <c r="E20" s="813"/>
      <c r="F20" s="813"/>
      <c r="G20" s="428"/>
      <c r="H20" s="813"/>
      <c r="I20" s="813"/>
      <c r="J20" s="813"/>
      <c r="K20" s="813"/>
      <c r="L20" s="813"/>
      <c r="M20" s="813"/>
      <c r="N20" s="813"/>
      <c r="O20" s="813"/>
      <c r="P20" s="813"/>
      <c r="Q20" s="813"/>
      <c r="R20" s="813"/>
      <c r="S20" s="813"/>
      <c r="T20" s="813"/>
      <c r="U20" s="813"/>
      <c r="V20" s="813"/>
      <c r="W20" s="813"/>
      <c r="X20" s="813"/>
      <c r="Y20" s="813"/>
      <c r="Z20" s="813"/>
      <c r="AA20" s="813"/>
      <c r="AB20" s="813"/>
      <c r="AC20" s="813"/>
      <c r="AD20" s="813"/>
      <c r="AE20" s="813"/>
      <c r="AF20" s="813"/>
      <c r="AG20" s="813"/>
      <c r="AH20" s="813"/>
      <c r="AI20" s="813"/>
      <c r="AJ20" s="813"/>
      <c r="AK20" s="813"/>
      <c r="AL20" s="813"/>
      <c r="AM20" s="813"/>
      <c r="AN20" s="813"/>
      <c r="AO20" s="813"/>
      <c r="AP20" s="813"/>
      <c r="AQ20" s="813"/>
      <c r="AR20" s="813"/>
      <c r="AS20" s="813"/>
      <c r="AT20" s="813"/>
      <c r="AU20" s="813"/>
      <c r="AV20" s="813"/>
      <c r="AW20" s="813"/>
      <c r="AX20" s="813"/>
      <c r="AY20" s="813"/>
      <c r="AZ20" s="813"/>
      <c r="BA20" s="813"/>
    </row>
    <row r="21" spans="2:53" ht="29.25" customHeight="1">
      <c r="B21" s="1075"/>
      <c r="C21" s="819">
        <v>600</v>
      </c>
      <c r="D21" s="814" t="s">
        <v>1548</v>
      </c>
      <c r="E21" s="813"/>
      <c r="F21" s="813"/>
      <c r="G21" s="428"/>
      <c r="H21" s="813"/>
      <c r="I21" s="813"/>
      <c r="J21" s="813"/>
      <c r="K21" s="813"/>
      <c r="L21" s="813"/>
      <c r="M21" s="813"/>
      <c r="N21" s="813"/>
      <c r="O21" s="813"/>
      <c r="P21" s="813"/>
      <c r="Q21" s="813"/>
      <c r="R21" s="813"/>
      <c r="S21" s="813"/>
      <c r="T21" s="813"/>
      <c r="U21" s="813"/>
      <c r="V21" s="813"/>
      <c r="W21" s="813"/>
      <c r="X21" s="813"/>
      <c r="Y21" s="813"/>
      <c r="Z21" s="813"/>
      <c r="AA21" s="813"/>
      <c r="AB21" s="813"/>
      <c r="AC21" s="813"/>
      <c r="AD21" s="813"/>
      <c r="AE21" s="813"/>
      <c r="AF21" s="813"/>
      <c r="AG21" s="813"/>
      <c r="AH21" s="813"/>
      <c r="AI21" s="813"/>
      <c r="AJ21" s="813"/>
      <c r="AK21" s="813"/>
      <c r="AL21" s="813"/>
      <c r="AM21" s="813"/>
      <c r="AN21" s="813"/>
      <c r="AO21" s="813"/>
      <c r="AP21" s="813"/>
      <c r="AQ21" s="813"/>
      <c r="AR21" s="813"/>
      <c r="AS21" s="813"/>
      <c r="AT21" s="813"/>
      <c r="AU21" s="813"/>
      <c r="AV21" s="813"/>
      <c r="AW21" s="813"/>
      <c r="AX21" s="813"/>
      <c r="AY21" s="813"/>
      <c r="AZ21" s="813"/>
      <c r="BA21" s="813"/>
    </row>
    <row r="22" spans="2:53" ht="29.25" customHeight="1">
      <c r="B22" s="1075"/>
      <c r="C22" s="819">
        <v>450</v>
      </c>
      <c r="D22" s="814" t="s">
        <v>1548</v>
      </c>
      <c r="E22" s="814"/>
      <c r="F22" s="814"/>
      <c r="G22" s="496"/>
      <c r="H22" s="814"/>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c r="AM22" s="814"/>
      <c r="AN22" s="814"/>
      <c r="AO22" s="814"/>
      <c r="AP22" s="814"/>
      <c r="AQ22" s="814"/>
      <c r="AR22" s="814"/>
      <c r="AS22" s="814"/>
      <c r="AT22" s="814"/>
      <c r="AU22" s="814"/>
      <c r="AV22" s="814"/>
      <c r="AW22" s="814"/>
      <c r="AX22" s="814"/>
      <c r="AY22" s="814"/>
      <c r="AZ22" s="814"/>
      <c r="BA22" s="814"/>
    </row>
    <row r="23" spans="2:53" ht="29.25" customHeight="1">
      <c r="B23" s="1075"/>
      <c r="C23" s="819">
        <v>300</v>
      </c>
      <c r="D23" s="814" t="s">
        <v>1548</v>
      </c>
      <c r="E23" s="814"/>
      <c r="F23" s="814"/>
      <c r="G23" s="496"/>
      <c r="H23" s="814"/>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c r="AM23" s="814"/>
      <c r="AN23" s="814"/>
      <c r="AO23" s="814"/>
      <c r="AP23" s="814"/>
      <c r="AQ23" s="814"/>
      <c r="AR23" s="814"/>
      <c r="AS23" s="814"/>
      <c r="AT23" s="814"/>
      <c r="AU23" s="814"/>
      <c r="AV23" s="814"/>
      <c r="AW23" s="814"/>
      <c r="AX23" s="814"/>
      <c r="AY23" s="814"/>
      <c r="AZ23" s="814"/>
      <c r="BA23" s="814"/>
    </row>
    <row r="27" spans="2:53">
      <c r="D27" s="11"/>
    </row>
    <row r="28" spans="2:53">
      <c r="D28" s="11"/>
    </row>
    <row r="29" spans="2:53">
      <c r="D29" s="11"/>
    </row>
    <row r="30" spans="2:53">
      <c r="D30" s="11"/>
    </row>
    <row r="31" spans="2:53">
      <c r="D31" s="11"/>
    </row>
    <row r="32" spans="2:53">
      <c r="D32" s="11"/>
    </row>
    <row r="58" spans="2:3">
      <c r="B58" s="11"/>
      <c r="C58" s="11"/>
    </row>
    <row r="59" spans="2:3">
      <c r="B59" s="11"/>
      <c r="C59" s="11"/>
    </row>
    <row r="60" spans="2:3">
      <c r="B60" s="11"/>
      <c r="C60" s="11"/>
    </row>
    <row r="61" spans="2:3">
      <c r="B61" s="11"/>
      <c r="C61" s="11"/>
    </row>
    <row r="62" spans="2:3">
      <c r="B62" s="11"/>
      <c r="C62" s="11"/>
    </row>
    <row r="63" spans="2:3">
      <c r="B63" s="11"/>
      <c r="C63" s="11"/>
    </row>
  </sheetData>
  <mergeCells count="4">
    <mergeCell ref="B5:B8"/>
    <mergeCell ref="B10:B13"/>
    <mergeCell ref="B15:B18"/>
    <mergeCell ref="B20:B2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1"/>
  <dimension ref="A1:AO141"/>
  <sheetViews>
    <sheetView tabSelected="1" view="pageBreakPreview" zoomScale="80" zoomScaleNormal="100" zoomScaleSheetLayoutView="80" workbookViewId="0">
      <pane xSplit="10" ySplit="5" topLeftCell="K6" activePane="bottomRight" state="frozen"/>
      <selection activeCell="D18" sqref="D18"/>
      <selection pane="topRight" activeCell="D18" sqref="D18"/>
      <selection pane="bottomLeft" activeCell="D18" sqref="D18"/>
      <selection pane="bottomRight" activeCell="P12" sqref="P12"/>
    </sheetView>
  </sheetViews>
  <sheetFormatPr defaultRowHeight="12.75"/>
  <cols>
    <col min="1" max="1" width="9" style="12" customWidth="1"/>
    <col min="2" max="2" width="15.7109375" style="102" customWidth="1"/>
    <col min="3" max="3" width="5.140625" style="102" customWidth="1"/>
    <col min="4" max="4" width="13.140625" style="102" customWidth="1"/>
    <col min="5" max="6" width="5.140625" style="102" customWidth="1"/>
    <col min="7" max="7" width="10" style="67" hidden="1" customWidth="1"/>
    <col min="8" max="8" width="16.5703125" style="67" hidden="1" customWidth="1"/>
    <col min="9" max="9" width="11" style="67" hidden="1" customWidth="1"/>
    <col min="10" max="10" width="12.28515625" style="11" hidden="1" customWidth="1"/>
    <col min="11" max="18" width="11.7109375" style="12" customWidth="1"/>
    <col min="19" max="19" width="14.85546875" style="68" customWidth="1"/>
    <col min="20" max="20" width="16.42578125" style="68" customWidth="1"/>
    <col min="21" max="22" width="10.85546875" style="68" customWidth="1"/>
    <col min="23" max="29" width="9.42578125" style="68" customWidth="1"/>
    <col min="30" max="30" width="12.140625" style="68" customWidth="1"/>
    <col min="31" max="31" width="13" style="68" customWidth="1"/>
    <col min="32" max="32" width="27.7109375" style="12" customWidth="1"/>
    <col min="33" max="33" width="5.85546875" style="12" customWidth="1"/>
    <col min="34" max="34" width="12.42578125" style="12" customWidth="1"/>
    <col min="35" max="16384" width="9.140625" style="12"/>
  </cols>
  <sheetData>
    <row r="1" spans="1:41" ht="33.75" customHeight="1">
      <c r="A1" s="1078" t="s">
        <v>1549</v>
      </c>
      <c r="B1" s="1078"/>
      <c r="C1" s="1078"/>
      <c r="D1" s="1078"/>
      <c r="E1" s="1078"/>
      <c r="F1" s="1078"/>
      <c r="G1" s="1078"/>
      <c r="H1" s="1078"/>
      <c r="I1" s="1078"/>
      <c r="J1" s="1078"/>
      <c r="K1" s="1078"/>
      <c r="L1" s="1078"/>
      <c r="M1" s="1078"/>
      <c r="N1" s="1078"/>
      <c r="O1" s="1078"/>
      <c r="P1" s="1078"/>
      <c r="Q1" s="1078"/>
      <c r="R1" s="1078"/>
      <c r="S1" s="1078"/>
      <c r="T1" s="1078"/>
      <c r="U1" s="1078"/>
      <c r="V1" s="1078"/>
      <c r="W1" s="1078"/>
      <c r="X1" s="1078"/>
      <c r="Y1" s="1078"/>
      <c r="Z1" s="1078"/>
      <c r="AA1" s="1078"/>
      <c r="AB1" s="1078"/>
      <c r="AC1" s="1078"/>
      <c r="AD1" s="1078"/>
      <c r="AE1" s="1078"/>
      <c r="AF1" s="1078"/>
    </row>
    <row r="2" spans="1:41" ht="35.25" customHeight="1">
      <c r="A2" s="1076" t="s">
        <v>1550</v>
      </c>
      <c r="B2" s="1076"/>
      <c r="C2" s="1076"/>
      <c r="D2" s="1076" t="s">
        <v>270</v>
      </c>
      <c r="E2" s="1076"/>
      <c r="F2" s="822"/>
      <c r="G2" s="1076" t="s">
        <v>272</v>
      </c>
      <c r="H2" s="1076" t="s">
        <v>1551</v>
      </c>
      <c r="I2" s="1076" t="s">
        <v>1552</v>
      </c>
      <c r="J2" s="1076" t="s">
        <v>1553</v>
      </c>
      <c r="K2" s="1016"/>
      <c r="L2" s="1017"/>
      <c r="M2" s="1017"/>
      <c r="N2" s="1017"/>
      <c r="O2" s="1017"/>
      <c r="P2" s="1017"/>
      <c r="Q2" s="1017"/>
      <c r="R2" s="1018"/>
      <c r="S2" s="1076" t="s">
        <v>1554</v>
      </c>
      <c r="T2" s="1076" t="s">
        <v>297</v>
      </c>
      <c r="U2" s="1016"/>
      <c r="V2" s="1017"/>
      <c r="W2" s="1017"/>
      <c r="X2" s="1017"/>
      <c r="Y2" s="1017"/>
      <c r="Z2" s="1017"/>
      <c r="AA2" s="1017"/>
      <c r="AB2" s="1018"/>
      <c r="AC2" s="1076" t="s">
        <v>299</v>
      </c>
      <c r="AD2" s="1076" t="s">
        <v>1555</v>
      </c>
      <c r="AE2" s="1076" t="s">
        <v>1556</v>
      </c>
      <c r="AF2" s="1076" t="s">
        <v>297</v>
      </c>
      <c r="AG2" s="11"/>
      <c r="AH2" s="11"/>
      <c r="AI2" s="11"/>
      <c r="AJ2" s="11"/>
      <c r="AK2" s="11"/>
      <c r="AL2" s="11"/>
      <c r="AM2" s="11"/>
      <c r="AN2" s="11"/>
      <c r="AO2" s="11"/>
    </row>
    <row r="3" spans="1:41" ht="22.5" customHeight="1">
      <c r="A3" s="1077"/>
      <c r="B3" s="1077"/>
      <c r="C3" s="1077"/>
      <c r="D3" s="1077"/>
      <c r="E3" s="1077"/>
      <c r="F3" s="139"/>
      <c r="G3" s="1077"/>
      <c r="H3" s="1077"/>
      <c r="I3" s="1077"/>
      <c r="J3" s="1077"/>
      <c r="K3" s="323" t="s">
        <v>472</v>
      </c>
      <c r="L3" s="323" t="s">
        <v>1557</v>
      </c>
      <c r="M3" s="463" t="s">
        <v>1558</v>
      </c>
      <c r="N3" s="323" t="s">
        <v>1559</v>
      </c>
      <c r="O3" s="323" t="s">
        <v>1560</v>
      </c>
      <c r="P3" s="323" t="s">
        <v>1561</v>
      </c>
      <c r="Q3" s="323" t="s">
        <v>1562</v>
      </c>
      <c r="R3" s="323" t="s">
        <v>1563</v>
      </c>
      <c r="S3" s="1077"/>
      <c r="T3" s="1077"/>
      <c r="U3" s="323" t="s">
        <v>472</v>
      </c>
      <c r="V3" s="323" t="s">
        <v>1557</v>
      </c>
      <c r="W3" s="323" t="s">
        <v>1558</v>
      </c>
      <c r="X3" s="323" t="s">
        <v>1559</v>
      </c>
      <c r="Y3" s="323" t="s">
        <v>1560</v>
      </c>
      <c r="Z3" s="323" t="s">
        <v>1561</v>
      </c>
      <c r="AA3" s="323" t="s">
        <v>1562</v>
      </c>
      <c r="AB3" s="323" t="s">
        <v>1563</v>
      </c>
      <c r="AC3" s="1077"/>
      <c r="AD3" s="1077"/>
      <c r="AE3" s="1077"/>
      <c r="AF3" s="1077"/>
      <c r="AG3" s="11"/>
      <c r="AH3" s="11"/>
      <c r="AI3" s="11"/>
      <c r="AJ3" s="11"/>
      <c r="AK3" s="11"/>
      <c r="AL3" s="11"/>
      <c r="AM3" s="11"/>
      <c r="AN3" s="11"/>
      <c r="AO3" s="11"/>
    </row>
    <row r="4" spans="1:41" ht="15.75" customHeight="1">
      <c r="A4" s="323"/>
      <c r="B4" s="823"/>
      <c r="C4" s="823"/>
      <c r="D4" s="823"/>
      <c r="E4" s="823"/>
      <c r="F4" s="823"/>
      <c r="G4" s="323"/>
      <c r="H4" s="323"/>
      <c r="I4" s="323"/>
      <c r="J4" s="323"/>
      <c r="K4" s="323"/>
      <c r="L4" s="323"/>
      <c r="M4" s="323"/>
      <c r="N4" s="323"/>
      <c r="O4" s="323"/>
      <c r="P4" s="323"/>
      <c r="Q4" s="323"/>
      <c r="R4" s="323"/>
      <c r="S4" s="323"/>
      <c r="T4" s="323"/>
      <c r="U4" s="323"/>
      <c r="V4" s="323"/>
      <c r="W4" s="323"/>
      <c r="X4" s="323"/>
      <c r="Y4" s="323"/>
      <c r="Z4" s="323"/>
      <c r="AA4" s="323"/>
      <c r="AB4" s="323"/>
      <c r="AC4" s="323"/>
      <c r="AD4" s="323"/>
      <c r="AE4" s="323"/>
      <c r="AF4" s="323"/>
      <c r="AG4" s="11"/>
      <c r="AH4" s="11"/>
      <c r="AI4" s="11"/>
      <c r="AJ4" s="11"/>
      <c r="AK4" s="11"/>
      <c r="AL4" s="11"/>
      <c r="AM4" s="11"/>
      <c r="AN4" s="11"/>
      <c r="AO4" s="11"/>
    </row>
    <row r="5" spans="1:41" ht="23.25" customHeight="1">
      <c r="A5" s="1013" t="s">
        <v>1564</v>
      </c>
      <c r="B5" s="1014"/>
      <c r="C5" s="1014"/>
      <c r="D5" s="1014"/>
      <c r="E5" s="1014"/>
      <c r="F5" s="1014"/>
      <c r="G5" s="1014"/>
      <c r="H5" s="1014"/>
      <c r="I5" s="1014"/>
      <c r="J5" s="1014"/>
      <c r="K5" s="1014"/>
      <c r="L5" s="1014"/>
      <c r="M5" s="1014"/>
      <c r="N5" s="1014"/>
      <c r="O5" s="1014"/>
      <c r="P5" s="1014"/>
      <c r="Q5" s="1014"/>
      <c r="R5" s="1014"/>
      <c r="S5" s="1014"/>
      <c r="T5" s="1014"/>
      <c r="U5" s="1014"/>
      <c r="V5" s="1014"/>
      <c r="W5" s="1014"/>
      <c r="X5" s="1014"/>
      <c r="Y5" s="1014"/>
      <c r="Z5" s="1014"/>
      <c r="AA5" s="1014"/>
      <c r="AB5" s="1014"/>
      <c r="AC5" s="1014"/>
      <c r="AD5" s="1014"/>
      <c r="AE5" s="1014"/>
      <c r="AF5" s="1015"/>
      <c r="AG5" s="11"/>
      <c r="AH5" s="11"/>
      <c r="AI5" s="11"/>
      <c r="AJ5" s="11"/>
      <c r="AK5" s="11"/>
      <c r="AL5" s="11"/>
      <c r="AM5" s="11"/>
      <c r="AN5" s="11"/>
      <c r="AO5" s="11"/>
    </row>
    <row r="6" spans="1:41">
      <c r="A6" s="373"/>
      <c r="B6" s="824"/>
      <c r="C6" s="824"/>
      <c r="D6" s="824"/>
      <c r="E6" s="824"/>
      <c r="F6" s="824"/>
      <c r="G6" s="373"/>
      <c r="H6" s="373"/>
      <c r="I6" s="373"/>
      <c r="J6" s="376"/>
      <c r="K6" s="825"/>
      <c r="L6" s="825"/>
      <c r="M6" s="826"/>
      <c r="N6" s="826"/>
      <c r="O6" s="826"/>
      <c r="P6" s="826"/>
      <c r="Q6" s="826"/>
      <c r="R6" s="826"/>
      <c r="S6" s="827"/>
      <c r="T6" s="827"/>
      <c r="U6" s="827"/>
      <c r="V6" s="827"/>
      <c r="W6" s="827"/>
      <c r="X6" s="827"/>
      <c r="Y6" s="827"/>
      <c r="Z6" s="827"/>
      <c r="AA6" s="827"/>
      <c r="AB6" s="827"/>
      <c r="AC6" s="827"/>
      <c r="AD6" s="827"/>
      <c r="AE6" s="827"/>
      <c r="AF6" s="826"/>
    </row>
    <row r="7" spans="1:41" ht="15.75" hidden="1" customHeight="1">
      <c r="A7" s="337">
        <v>1</v>
      </c>
      <c r="B7" s="828" t="s">
        <v>158</v>
      </c>
      <c r="C7" s="500"/>
      <c r="D7" s="828" t="str">
        <f>B7</f>
        <v>3C X 1.5</v>
      </c>
      <c r="E7" s="500"/>
      <c r="F7" s="500"/>
      <c r="G7" s="337" t="s">
        <v>358</v>
      </c>
      <c r="H7" s="337" t="s">
        <v>1565</v>
      </c>
      <c r="I7" s="337" t="s">
        <v>115</v>
      </c>
      <c r="J7" s="343" t="s">
        <v>1566</v>
      </c>
      <c r="K7" s="829"/>
      <c r="L7" s="829">
        <f>SUMIF('MV Cable sizing-11kV'!$W:$W,Summary!D7,'MV Cable sizing-11kV'!$AX:$AX)</f>
        <v>0</v>
      </c>
      <c r="M7" s="830">
        <f>SUMIF('LV Cable sizing_SS-1'!$X:$X,Summary!D7,'LV Cable sizing_SS-1'!$AX:$AX)</f>
        <v>0</v>
      </c>
      <c r="N7" s="830">
        <f>SUMIF('LV Cable sizing_SS-2'!$X:$X,Summary!D7,'LV Cable sizing_SS-2'!$AX:$AX)</f>
        <v>0</v>
      </c>
      <c r="O7" s="830">
        <f>SUMIF('LV Cable sizing_SS-3'!$X:$X,Summary!D7,'LV Cable sizing_SS-3'!$AX:$AX)</f>
        <v>0</v>
      </c>
      <c r="P7" s="830" t="e">
        <f>SUMIF(#REF!,Summary!D7,#REF!)</f>
        <v>#REF!</v>
      </c>
      <c r="Q7" s="830" t="e">
        <f>SUMIF(#REF!,Summary!D7,#REF!)</f>
        <v>#REF!</v>
      </c>
      <c r="R7" s="830" t="e">
        <f>SUMIF(#REF!,Summary!D7,#REF!)</f>
        <v>#REF!</v>
      </c>
      <c r="S7" s="831" t="e">
        <f t="shared" ref="S7:S23" si="0">SUM(K7:R7)</f>
        <v>#REF!</v>
      </c>
      <c r="T7" s="830"/>
      <c r="U7" s="832"/>
      <c r="V7" s="832"/>
      <c r="W7" s="832">
        <f>SUMIF('LV Cable sizing_SS-1'!$X:$X,Summary!D7,'LV Cable sizing_SS-1'!$AZ:$AZ)</f>
        <v>0</v>
      </c>
      <c r="X7" s="832">
        <f>SUMIF('LV Cable sizing_SS-2'!$X:$X,Summary!D7,'LV Cable sizing_SS-2'!$AZ:$AZ)</f>
        <v>0</v>
      </c>
      <c r="Y7" s="832">
        <f>SUMIF('LV Cable sizing_SS-3'!$X:$X,Summary!D7,'LV Cable sizing_SS-3'!$AZ:$AZ)</f>
        <v>0</v>
      </c>
      <c r="Z7" s="832" t="e">
        <f>SUMIF(#REF!,Summary!D7,#REF!)</f>
        <v>#REF!</v>
      </c>
      <c r="AA7" s="832"/>
      <c r="AB7" s="832" t="e">
        <f>SUMIF(#REF!,Summary!D7,#REF!)</f>
        <v>#REF!</v>
      </c>
      <c r="AC7" s="833" t="e">
        <f>SUM(U7:AB7)</f>
        <v>#REF!</v>
      </c>
      <c r="AD7" s="832" t="e">
        <f t="shared" ref="AD7" si="1">CEILING((AC7*0.05),1)</f>
        <v>#REF!</v>
      </c>
      <c r="AE7" s="832" t="e">
        <f t="shared" ref="AE7" si="2">SUM(AC7+AD7)</f>
        <v>#REF!</v>
      </c>
      <c r="AF7" s="567"/>
      <c r="AH7" s="831">
        <v>0</v>
      </c>
    </row>
    <row r="8" spans="1:41">
      <c r="A8" s="337">
        <f t="shared" ref="A8:A23" si="3">A7+1</f>
        <v>2</v>
      </c>
      <c r="B8" s="828" t="s">
        <v>159</v>
      </c>
      <c r="C8" s="500"/>
      <c r="D8" s="828" t="str">
        <f t="shared" ref="D8:D23" si="4">B8</f>
        <v>3C X 2.5</v>
      </c>
      <c r="E8" s="500"/>
      <c r="F8" s="500"/>
      <c r="G8" s="337" t="s">
        <v>358</v>
      </c>
      <c r="H8" s="337" t="s">
        <v>1565</v>
      </c>
      <c r="I8" s="337" t="s">
        <v>115</v>
      </c>
      <c r="J8" s="343" t="s">
        <v>1566</v>
      </c>
      <c r="K8" s="829"/>
      <c r="L8" s="829">
        <f>SUMIF('MV Cable sizing-11kV'!$W:$W,Summary!D8,'MV Cable sizing-11kV'!$AX:$AX)</f>
        <v>1440</v>
      </c>
      <c r="M8" s="830">
        <f>SUMIF('LV Cable sizing_SS-1'!$X:$X,Summary!D8,'LV Cable sizing_SS-1'!$AX:$AX)</f>
        <v>6267</v>
      </c>
      <c r="N8" s="830">
        <f>SUMIF('LV Cable sizing_SS-2'!$X:$X,Summary!D8,'LV Cable sizing_SS-2'!$AX:$AX)</f>
        <v>2920.8</v>
      </c>
      <c r="O8" s="830">
        <f>SUMIF('LV Cable sizing_SS-3'!$X:$X,Summary!D8,'LV Cable sizing_SS-3'!$AX:$AX)</f>
        <v>0</v>
      </c>
      <c r="P8" s="830" t="e">
        <f>SUMIF(#REF!,Summary!D8,#REF!)</f>
        <v>#REF!</v>
      </c>
      <c r="Q8" s="830" t="e">
        <f>SUMIF(#REF!,Summary!D8,#REF!)</f>
        <v>#REF!</v>
      </c>
      <c r="R8" s="830" t="e">
        <f>SUMIF(#REF!,Summary!D8,#REF!)</f>
        <v>#REF!</v>
      </c>
      <c r="S8" s="834" t="e">
        <f t="shared" si="0"/>
        <v>#REF!</v>
      </c>
      <c r="T8" s="830"/>
      <c r="U8" s="830"/>
      <c r="V8" s="830">
        <f>SUMIF('MV Cable sizing-11kV'!$W:$W,Summary!D8,'MV Cable sizing-11kV'!$AZ:$AZ)</f>
        <v>16</v>
      </c>
      <c r="W8" s="832">
        <f>SUMIF('LV Cable sizing_SS-1'!$X:$X,Summary!D8,'LV Cable sizing_SS-1'!$AZ:$AZ)</f>
        <v>38</v>
      </c>
      <c r="X8" s="832">
        <f>SUMIF('LV Cable sizing_SS-2'!$X:$X,Summary!D8,'LV Cable sizing_SS-2'!$AZ:$AZ)</f>
        <v>34</v>
      </c>
      <c r="Y8" s="832">
        <f>SUMIF('LV Cable sizing_SS-3'!$X:$X,Summary!D8,'LV Cable sizing_SS-3'!$AZ:$AZ)</f>
        <v>0</v>
      </c>
      <c r="Z8" s="832" t="e">
        <f>SUMIF(#REF!,Summary!D8,#REF!)</f>
        <v>#REF!</v>
      </c>
      <c r="AA8" s="832" t="e">
        <f>SUMIF(#REF!,Summary!D8,#REF!)</f>
        <v>#REF!</v>
      </c>
      <c r="AB8" s="832" t="e">
        <f>SUMIF(#REF!,Summary!D8,#REF!)</f>
        <v>#REF!</v>
      </c>
      <c r="AC8" s="833" t="e">
        <f t="shared" ref="AC8:AC23" si="5">SUM(U8:AB8)</f>
        <v>#REF!</v>
      </c>
      <c r="AD8" s="832" t="e">
        <f t="shared" ref="AD8:AD23" si="6">CEILING((AC8*0.05),1)</f>
        <v>#REF!</v>
      </c>
      <c r="AE8" s="832" t="e">
        <f t="shared" ref="AE8:AE23" si="7">SUM(AC8+AD8)</f>
        <v>#REF!</v>
      </c>
      <c r="AF8" s="567"/>
      <c r="AH8" s="834">
        <v>10113.799999999999</v>
      </c>
    </row>
    <row r="9" spans="1:41">
      <c r="A9" s="337">
        <f t="shared" si="3"/>
        <v>3</v>
      </c>
      <c r="B9" s="828" t="s">
        <v>160</v>
      </c>
      <c r="C9" s="500"/>
      <c r="D9" s="828" t="str">
        <f t="shared" si="4"/>
        <v>3C X 4</v>
      </c>
      <c r="E9" s="500"/>
      <c r="F9" s="500"/>
      <c r="G9" s="337" t="s">
        <v>358</v>
      </c>
      <c r="H9" s="337" t="s">
        <v>1565</v>
      </c>
      <c r="I9" s="337" t="s">
        <v>115</v>
      </c>
      <c r="J9" s="343" t="s">
        <v>1566</v>
      </c>
      <c r="K9" s="829"/>
      <c r="L9" s="829">
        <f>SUMIF('MV Cable sizing-11kV'!$W:$W,Summary!D9,'MV Cable sizing-11kV'!$AX:$AX)</f>
        <v>5140</v>
      </c>
      <c r="M9" s="830">
        <f>SUMIF('LV Cable sizing_SS-1'!$X:$X,Summary!D9,'LV Cable sizing_SS-1'!$AX:$AX)</f>
        <v>4345</v>
      </c>
      <c r="N9" s="830">
        <f>SUMIF('LV Cable sizing_SS-2'!$X:$X,Summary!D9,'LV Cable sizing_SS-2'!$AX:$AX)</f>
        <v>1184</v>
      </c>
      <c r="O9" s="830">
        <f>SUMIF('LV Cable sizing_SS-3'!$X:$X,Summary!D9,'LV Cable sizing_SS-3'!$AX:$AX)</f>
        <v>268</v>
      </c>
      <c r="P9" s="830" t="e">
        <f>SUMIF(#REF!,Summary!D9,#REF!)</f>
        <v>#REF!</v>
      </c>
      <c r="Q9" s="830" t="e">
        <f>SUMIF(#REF!,Summary!D9,#REF!)</f>
        <v>#REF!</v>
      </c>
      <c r="R9" s="830" t="e">
        <f>SUMIF(#REF!,Summary!D9,#REF!)</f>
        <v>#REF!</v>
      </c>
      <c r="S9" s="834" t="e">
        <f t="shared" si="0"/>
        <v>#REF!</v>
      </c>
      <c r="T9" s="830"/>
      <c r="U9" s="830"/>
      <c r="V9" s="830">
        <f>SUMIF('MV Cable sizing-11kV'!$W:$W,Summary!D9,'MV Cable sizing-11kV'!$AZ:$AZ)</f>
        <v>22</v>
      </c>
      <c r="W9" s="832">
        <f>SUMIF('LV Cable sizing_SS-1'!$X:$X,Summary!D9,'LV Cable sizing_SS-1'!$AZ:$AZ)</f>
        <v>42</v>
      </c>
      <c r="X9" s="832">
        <f>SUMIF('LV Cable sizing_SS-2'!$X:$X,Summary!D9,'LV Cable sizing_SS-2'!$AZ:$AZ)</f>
        <v>42</v>
      </c>
      <c r="Y9" s="832">
        <f>SUMIF('LV Cable sizing_SS-3'!$X:$X,Summary!D9,'LV Cable sizing_SS-3'!$AZ:$AZ)</f>
        <v>4</v>
      </c>
      <c r="Z9" s="832" t="e">
        <f>SUMIF(#REF!,Summary!D9,#REF!)</f>
        <v>#REF!</v>
      </c>
      <c r="AA9" s="832" t="e">
        <f>SUMIF(#REF!,Summary!D9,#REF!)</f>
        <v>#REF!</v>
      </c>
      <c r="AB9" s="832" t="e">
        <f>SUMIF(#REF!,Summary!D9,#REF!)</f>
        <v>#REF!</v>
      </c>
      <c r="AC9" s="833" t="e">
        <f t="shared" si="5"/>
        <v>#REF!</v>
      </c>
      <c r="AD9" s="832" t="e">
        <f t="shared" si="6"/>
        <v>#REF!</v>
      </c>
      <c r="AE9" s="832" t="e">
        <f t="shared" si="7"/>
        <v>#REF!</v>
      </c>
      <c r="AF9" s="567"/>
      <c r="AH9" s="834">
        <v>14044</v>
      </c>
    </row>
    <row r="10" spans="1:41">
      <c r="A10" s="337">
        <f t="shared" si="3"/>
        <v>4</v>
      </c>
      <c r="B10" s="828" t="s">
        <v>161</v>
      </c>
      <c r="C10" s="500"/>
      <c r="D10" s="828" t="str">
        <f t="shared" si="4"/>
        <v>3C X 6</v>
      </c>
      <c r="E10" s="500"/>
      <c r="F10" s="500"/>
      <c r="G10" s="337" t="s">
        <v>358</v>
      </c>
      <c r="H10" s="337" t="s">
        <v>1565</v>
      </c>
      <c r="I10" s="337" t="s">
        <v>115</v>
      </c>
      <c r="J10" s="343" t="s">
        <v>1566</v>
      </c>
      <c r="K10" s="829"/>
      <c r="L10" s="829">
        <f>SUMIF('MV Cable sizing-11kV'!$W:$W,Summary!D10,'MV Cable sizing-11kV'!$AX:$AX)</f>
        <v>3210</v>
      </c>
      <c r="M10" s="830">
        <f>SUMIF('LV Cable sizing_SS-1'!$X:$X,Summary!D10,'LV Cable sizing_SS-1'!$AX:$AX)</f>
        <v>868</v>
      </c>
      <c r="N10" s="830">
        <f>SUMIF('LV Cable sizing_SS-2'!$X:$X,Summary!D10,'LV Cable sizing_SS-2'!$AX:$AX)</f>
        <v>69</v>
      </c>
      <c r="O10" s="830">
        <f>SUMIF('LV Cable sizing_SS-3'!$X:$X,Summary!D10,'LV Cable sizing_SS-3'!$AX:$AX)</f>
        <v>0</v>
      </c>
      <c r="P10" s="830" t="e">
        <f>SUMIF(#REF!,Summary!D10,#REF!)</f>
        <v>#REF!</v>
      </c>
      <c r="Q10" s="830" t="e">
        <f>SUMIF(#REF!,Summary!D10,#REF!)</f>
        <v>#REF!</v>
      </c>
      <c r="R10" s="830" t="e">
        <f>SUMIF(#REF!,Summary!D10,#REF!)</f>
        <v>#REF!</v>
      </c>
      <c r="S10" s="834" t="e">
        <f t="shared" si="0"/>
        <v>#REF!</v>
      </c>
      <c r="T10" s="830"/>
      <c r="U10" s="830"/>
      <c r="V10" s="830">
        <f>SUMIF('MV Cable sizing-11kV'!$W:$W,Summary!D10,'MV Cable sizing-11kV'!$AZ:$AZ)</f>
        <v>6</v>
      </c>
      <c r="W10" s="832">
        <f>SUMIF('LV Cable sizing_SS-1'!$X:$X,Summary!D10,'LV Cable sizing_SS-1'!$AZ:$AZ)</f>
        <v>8</v>
      </c>
      <c r="X10" s="832">
        <f>SUMIF('LV Cable sizing_SS-2'!$X:$X,Summary!D10,'LV Cable sizing_SS-2'!$AZ:$AZ)</f>
        <v>2</v>
      </c>
      <c r="Y10" s="832">
        <f>SUMIF('LV Cable sizing_SS-3'!$X:$X,Summary!D10,'LV Cable sizing_SS-3'!$AZ:$AZ)</f>
        <v>0</v>
      </c>
      <c r="Z10" s="832" t="e">
        <f>SUMIF(#REF!,Summary!D10,#REF!)</f>
        <v>#REF!</v>
      </c>
      <c r="AA10" s="832" t="e">
        <f>SUMIF(#REF!,Summary!D10,#REF!)</f>
        <v>#REF!</v>
      </c>
      <c r="AB10" s="832" t="e">
        <f>SUMIF(#REF!,Summary!D10,#REF!)</f>
        <v>#REF!</v>
      </c>
      <c r="AC10" s="833" t="e">
        <f t="shared" si="5"/>
        <v>#REF!</v>
      </c>
      <c r="AD10" s="832" t="e">
        <f t="shared" si="6"/>
        <v>#REF!</v>
      </c>
      <c r="AE10" s="832" t="e">
        <f t="shared" si="7"/>
        <v>#REF!</v>
      </c>
      <c r="AF10" s="567"/>
      <c r="AH10" s="834">
        <v>2441</v>
      </c>
    </row>
    <row r="11" spans="1:41">
      <c r="A11" s="337">
        <f t="shared" si="3"/>
        <v>5</v>
      </c>
      <c r="B11" s="828" t="s">
        <v>162</v>
      </c>
      <c r="C11" s="500"/>
      <c r="D11" s="828" t="str">
        <f t="shared" si="4"/>
        <v>3C X 10</v>
      </c>
      <c r="E11" s="500"/>
      <c r="F11" s="500"/>
      <c r="G11" s="337" t="s">
        <v>358</v>
      </c>
      <c r="H11" s="337" t="s">
        <v>1567</v>
      </c>
      <c r="I11" s="337" t="s">
        <v>115</v>
      </c>
      <c r="J11" s="343" t="s">
        <v>1566</v>
      </c>
      <c r="K11" s="829"/>
      <c r="L11" s="829"/>
      <c r="M11" s="830">
        <f>SUMIF('LV Cable sizing_SS-1'!$X:$X,Summary!D11,'LV Cable sizing_SS-1'!$AX:$AX)</f>
        <v>0</v>
      </c>
      <c r="N11" s="830">
        <f>SUMIF('LV Cable sizing_SS-2'!$X:$X,Summary!D11,'LV Cable sizing_SS-2'!$AX:$AX)</f>
        <v>0</v>
      </c>
      <c r="O11" s="830">
        <f>SUMIF('LV Cable sizing_SS-3'!$X:$X,Summary!D11,'LV Cable sizing_SS-3'!$AX:$AX)</f>
        <v>0</v>
      </c>
      <c r="P11" s="830" t="e">
        <f>SUMIF(#REF!,Summary!D11,#REF!)</f>
        <v>#REF!</v>
      </c>
      <c r="Q11" s="830" t="e">
        <f>SUMIF(#REF!,Summary!D11,#REF!)</f>
        <v>#REF!</v>
      </c>
      <c r="R11" s="830" t="e">
        <f>SUMIF(#REF!,Summary!D11,#REF!)</f>
        <v>#REF!</v>
      </c>
      <c r="S11" s="834" t="e">
        <f t="shared" si="0"/>
        <v>#REF!</v>
      </c>
      <c r="T11" s="830"/>
      <c r="U11" s="830"/>
      <c r="V11" s="830"/>
      <c r="W11" s="832">
        <f>SUMIF('LV Cable sizing_SS-1'!$X:$X,Summary!D11,'LV Cable sizing_SS-1'!$AZ:$AZ)</f>
        <v>0</v>
      </c>
      <c r="X11" s="832">
        <f>SUMIF('LV Cable sizing_SS-2'!$X:$X,Summary!D11,'LV Cable sizing_SS-2'!$AZ:$AZ)</f>
        <v>0</v>
      </c>
      <c r="Y11" s="832">
        <f>SUMIF('LV Cable sizing_SS-3'!$X:$X,Summary!D11,'LV Cable sizing_SS-3'!$AZ:$AZ)</f>
        <v>0</v>
      </c>
      <c r="Z11" s="832" t="e">
        <f>SUMIF(#REF!,Summary!D11,#REF!)</f>
        <v>#REF!</v>
      </c>
      <c r="AA11" s="832"/>
      <c r="AB11" s="832" t="e">
        <f>SUMIF(#REF!,Summary!D11,#REF!)</f>
        <v>#REF!</v>
      </c>
      <c r="AC11" s="833" t="e">
        <f t="shared" si="5"/>
        <v>#REF!</v>
      </c>
      <c r="AD11" s="832" t="e">
        <f t="shared" si="6"/>
        <v>#REF!</v>
      </c>
      <c r="AE11" s="832" t="e">
        <f t="shared" si="7"/>
        <v>#REF!</v>
      </c>
      <c r="AF11" s="567"/>
      <c r="AH11" s="834">
        <v>110</v>
      </c>
    </row>
    <row r="12" spans="1:41">
      <c r="A12" s="337">
        <f t="shared" si="3"/>
        <v>6</v>
      </c>
      <c r="B12" s="828" t="s">
        <v>163</v>
      </c>
      <c r="C12" s="500"/>
      <c r="D12" s="828" t="str">
        <f t="shared" si="4"/>
        <v>3C X 16</v>
      </c>
      <c r="E12" s="500"/>
      <c r="F12" s="500"/>
      <c r="G12" s="337" t="s">
        <v>358</v>
      </c>
      <c r="H12" s="337" t="s">
        <v>1567</v>
      </c>
      <c r="I12" s="337" t="s">
        <v>115</v>
      </c>
      <c r="J12" s="343" t="s">
        <v>1566</v>
      </c>
      <c r="K12" s="829"/>
      <c r="L12" s="829"/>
      <c r="M12" s="830">
        <f>SUMIF('LV Cable sizing_SS-1'!$X:$X,Summary!D12,'LV Cable sizing_SS-1'!$AX:$AX)</f>
        <v>4132</v>
      </c>
      <c r="N12" s="830">
        <f>SUMIF('LV Cable sizing_SS-2'!$X:$X,Summary!D12,'LV Cable sizing_SS-2'!$AX:$AX)</f>
        <v>2050</v>
      </c>
      <c r="O12" s="830">
        <f>SUMIF('LV Cable sizing_SS-3'!$X:$X,Summary!D12,'LV Cable sizing_SS-3'!$AX:$AX)</f>
        <v>268</v>
      </c>
      <c r="P12" s="830" t="e">
        <f>SUMIF(#REF!,Summary!D12,#REF!)</f>
        <v>#REF!</v>
      </c>
      <c r="Q12" s="830" t="e">
        <f>SUMIF(#REF!,Summary!D12,#REF!)</f>
        <v>#REF!</v>
      </c>
      <c r="R12" s="830" t="e">
        <f>SUMIF(#REF!,Summary!D12,#REF!)</f>
        <v>#REF!</v>
      </c>
      <c r="S12" s="834" t="e">
        <f t="shared" si="0"/>
        <v>#REF!</v>
      </c>
      <c r="T12" s="830"/>
      <c r="U12" s="830"/>
      <c r="V12" s="830"/>
      <c r="W12" s="832">
        <f>SUMIF('LV Cable sizing_SS-1'!$X:$X,Summary!D12,'LV Cable sizing_SS-1'!$AZ:$AZ)</f>
        <v>84</v>
      </c>
      <c r="X12" s="832">
        <f>SUMIF('LV Cable sizing_SS-2'!$X:$X,Summary!D12,'LV Cable sizing_SS-2'!$AZ:$AZ)</f>
        <v>70</v>
      </c>
      <c r="Y12" s="832">
        <f>SUMIF('LV Cable sizing_SS-3'!$X:$X,Summary!D12,'LV Cable sizing_SS-3'!$AZ:$AZ)</f>
        <v>4</v>
      </c>
      <c r="Z12" s="832" t="e">
        <f>SUMIF(#REF!,Summary!D12,#REF!)</f>
        <v>#REF!</v>
      </c>
      <c r="AA12" s="832" t="e">
        <f>SUMIF(#REF!,Summary!D12,#REF!)</f>
        <v>#REF!</v>
      </c>
      <c r="AB12" s="832" t="e">
        <f>SUMIF(#REF!,Summary!D12,#REF!)</f>
        <v>#REF!</v>
      </c>
      <c r="AC12" s="833" t="e">
        <f t="shared" si="5"/>
        <v>#REF!</v>
      </c>
      <c r="AD12" s="832" t="e">
        <f t="shared" si="6"/>
        <v>#REF!</v>
      </c>
      <c r="AE12" s="832" t="e">
        <f t="shared" si="7"/>
        <v>#REF!</v>
      </c>
      <c r="AF12" s="567"/>
      <c r="AH12" s="834">
        <v>3228</v>
      </c>
    </row>
    <row r="13" spans="1:41">
      <c r="A13" s="337">
        <f t="shared" si="3"/>
        <v>7</v>
      </c>
      <c r="B13" s="828" t="s">
        <v>164</v>
      </c>
      <c r="C13" s="500"/>
      <c r="D13" s="828" t="str">
        <f t="shared" si="4"/>
        <v>3C X 25</v>
      </c>
      <c r="E13" s="500"/>
      <c r="F13" s="500"/>
      <c r="G13" s="337" t="s">
        <v>358</v>
      </c>
      <c r="H13" s="337" t="s">
        <v>1567</v>
      </c>
      <c r="I13" s="337" t="s">
        <v>115</v>
      </c>
      <c r="J13" s="343" t="s">
        <v>1566</v>
      </c>
      <c r="K13" s="829"/>
      <c r="L13" s="829"/>
      <c r="M13" s="830">
        <f>SUMIF('LV Cable sizing_SS-1'!$X:$X,Summary!D13,'LV Cable sizing_SS-1'!$AX:$AX)</f>
        <v>4515</v>
      </c>
      <c r="N13" s="830">
        <f>SUMIF('LV Cable sizing_SS-2'!$X:$X,Summary!D13,'LV Cable sizing_SS-2'!$AX:$AX)</f>
        <v>0</v>
      </c>
      <c r="O13" s="830">
        <f>SUMIF('LV Cable sizing_SS-3'!$X:$X,Summary!D13,'LV Cable sizing_SS-3'!$AX:$AX)</f>
        <v>348</v>
      </c>
      <c r="P13" s="830" t="e">
        <f>SUMIF(#REF!,Summary!D13,#REF!)</f>
        <v>#REF!</v>
      </c>
      <c r="Q13" s="830" t="e">
        <f>SUMIF(#REF!,Summary!D13,#REF!)</f>
        <v>#REF!</v>
      </c>
      <c r="R13" s="830" t="e">
        <f>SUMIF(#REF!,Summary!D13,#REF!)</f>
        <v>#REF!</v>
      </c>
      <c r="S13" s="834" t="e">
        <f t="shared" si="0"/>
        <v>#REF!</v>
      </c>
      <c r="T13" s="830"/>
      <c r="U13" s="830"/>
      <c r="V13" s="830"/>
      <c r="W13" s="832">
        <f>SUMIF('LV Cable sizing_SS-1'!$X:$X,Summary!D13,'LV Cable sizing_SS-1'!$AZ:$AZ)</f>
        <v>38</v>
      </c>
      <c r="X13" s="832">
        <f>SUMIF('LV Cable sizing_SS-2'!$X:$X,Summary!D13,'LV Cable sizing_SS-2'!$AZ:$AZ)</f>
        <v>0</v>
      </c>
      <c r="Y13" s="832">
        <f>SUMIF('LV Cable sizing_SS-3'!$X:$X,Summary!D13,'LV Cable sizing_SS-3'!$AZ:$AZ)</f>
        <v>8</v>
      </c>
      <c r="Z13" s="832" t="e">
        <f>SUMIF(#REF!,Summary!D13,#REF!)</f>
        <v>#REF!</v>
      </c>
      <c r="AA13" s="832"/>
      <c r="AB13" s="832" t="e">
        <f>SUMIF(#REF!,Summary!D13,#REF!)</f>
        <v>#REF!</v>
      </c>
      <c r="AC13" s="833" t="e">
        <f t="shared" si="5"/>
        <v>#REF!</v>
      </c>
      <c r="AD13" s="832" t="e">
        <f t="shared" si="6"/>
        <v>#REF!</v>
      </c>
      <c r="AE13" s="832" t="e">
        <f t="shared" si="7"/>
        <v>#REF!</v>
      </c>
      <c r="AF13" s="567"/>
      <c r="AH13" s="834">
        <v>3439</v>
      </c>
    </row>
    <row r="14" spans="1:41">
      <c r="A14" s="337">
        <f t="shared" si="3"/>
        <v>8</v>
      </c>
      <c r="B14" s="828" t="s">
        <v>165</v>
      </c>
      <c r="C14" s="500"/>
      <c r="D14" s="828" t="str">
        <f t="shared" si="4"/>
        <v>3C X 35</v>
      </c>
      <c r="E14" s="500"/>
      <c r="F14" s="500"/>
      <c r="G14" s="337" t="s">
        <v>358</v>
      </c>
      <c r="H14" s="337" t="s">
        <v>1567</v>
      </c>
      <c r="I14" s="337" t="s">
        <v>115</v>
      </c>
      <c r="J14" s="343" t="s">
        <v>1566</v>
      </c>
      <c r="K14" s="829"/>
      <c r="L14" s="829"/>
      <c r="M14" s="830">
        <f>SUMIF('LV Cable sizing_SS-1'!$X:$X,Summary!D14,'LV Cable sizing_SS-1'!$AX:$AX)</f>
        <v>0</v>
      </c>
      <c r="N14" s="830">
        <f>SUMIF('LV Cable sizing_SS-2'!$X:$X,Summary!D14,'LV Cable sizing_SS-2'!$AX:$AX)</f>
        <v>0</v>
      </c>
      <c r="O14" s="830">
        <f>SUMIF('LV Cable sizing_SS-3'!$X:$X,Summary!D14,'LV Cable sizing_SS-3'!$AX:$AX)</f>
        <v>0</v>
      </c>
      <c r="P14" s="830" t="e">
        <f>SUMIF(#REF!,Summary!D14,#REF!)</f>
        <v>#REF!</v>
      </c>
      <c r="Q14" s="830" t="e">
        <f>SUMIF(#REF!,Summary!D14,#REF!)</f>
        <v>#REF!</v>
      </c>
      <c r="R14" s="830" t="e">
        <f>SUMIF(#REF!,Summary!D14,#REF!)</f>
        <v>#REF!</v>
      </c>
      <c r="S14" s="834" t="e">
        <f t="shared" si="0"/>
        <v>#REF!</v>
      </c>
      <c r="T14" s="830"/>
      <c r="U14" s="830"/>
      <c r="V14" s="830">
        <f>SUMIF('MV Cable sizing-11kV'!$W:$W,Summary!D14,'MV Cable sizing-11kV'!$AZ:$AZ)</f>
        <v>0</v>
      </c>
      <c r="W14" s="832">
        <f>SUMIF('LV Cable sizing_SS-1'!$X:$X,Summary!D14,'LV Cable sizing_SS-1'!$AZ:$AZ)</f>
        <v>0</v>
      </c>
      <c r="X14" s="832">
        <f>SUMIF('LV Cable sizing_SS-2'!$X:$X,Summary!D14,'LV Cable sizing_SS-2'!$AZ:$AZ)</f>
        <v>0</v>
      </c>
      <c r="Y14" s="832">
        <f>SUMIF('LV Cable sizing_SS-3'!$X:$X,Summary!D14,'LV Cable sizing_SS-3'!$AZ:$AZ)</f>
        <v>0</v>
      </c>
      <c r="Z14" s="832" t="e">
        <f>SUMIF(#REF!,Summary!D14,#REF!)</f>
        <v>#REF!</v>
      </c>
      <c r="AA14" s="832"/>
      <c r="AB14" s="832" t="e">
        <f>SUMIF(#REF!,Summary!D14,#REF!)</f>
        <v>#REF!</v>
      </c>
      <c r="AC14" s="833" t="e">
        <f t="shared" si="5"/>
        <v>#REF!</v>
      </c>
      <c r="AD14" s="832" t="e">
        <f t="shared" si="6"/>
        <v>#REF!</v>
      </c>
      <c r="AE14" s="832" t="e">
        <f t="shared" si="7"/>
        <v>#REF!</v>
      </c>
      <c r="AF14" s="567"/>
      <c r="AH14" s="834">
        <v>0</v>
      </c>
    </row>
    <row r="15" spans="1:41">
      <c r="A15" s="337">
        <f t="shared" si="3"/>
        <v>9</v>
      </c>
      <c r="B15" s="828" t="s">
        <v>166</v>
      </c>
      <c r="C15" s="500"/>
      <c r="D15" s="828" t="str">
        <f t="shared" si="4"/>
        <v>3C X 50</v>
      </c>
      <c r="E15" s="500"/>
      <c r="F15" s="500"/>
      <c r="G15" s="337" t="s">
        <v>358</v>
      </c>
      <c r="H15" s="337" t="s">
        <v>1567</v>
      </c>
      <c r="I15" s="337" t="s">
        <v>115</v>
      </c>
      <c r="J15" s="343" t="s">
        <v>1566</v>
      </c>
      <c r="K15" s="829"/>
      <c r="L15" s="829"/>
      <c r="M15" s="830">
        <f>SUMIF('LV Cable sizing_SS-1'!$X:$X,Summary!D15,'LV Cable sizing_SS-1'!$AX:$AX)</f>
        <v>1594</v>
      </c>
      <c r="N15" s="830">
        <f>SUMIF('LV Cable sizing_SS-2'!$X:$X,Summary!D15,'LV Cable sizing_SS-2'!$AX:$AX)</f>
        <v>591.6</v>
      </c>
      <c r="O15" s="830">
        <f>SUMIF('LV Cable sizing_SS-3'!$X:$X,Summary!D15,'LV Cable sizing_SS-3'!$AX:$AX)</f>
        <v>0</v>
      </c>
      <c r="P15" s="830" t="e">
        <f>SUMIF(#REF!,Summary!D15,#REF!)</f>
        <v>#REF!</v>
      </c>
      <c r="Q15" s="830" t="e">
        <f>SUMIF(#REF!,Summary!D15,#REF!)</f>
        <v>#REF!</v>
      </c>
      <c r="R15" s="830" t="e">
        <f>SUMIF(#REF!,Summary!D15,#REF!)</f>
        <v>#REF!</v>
      </c>
      <c r="S15" s="831" t="e">
        <f t="shared" si="0"/>
        <v>#REF!</v>
      </c>
      <c r="T15" s="830"/>
      <c r="U15" s="830"/>
      <c r="V15" s="830"/>
      <c r="W15" s="832">
        <f>SUMIF('LV Cable sizing_SS-1'!$X:$X,Summary!D15,'LV Cable sizing_SS-1'!$AZ:$AZ)</f>
        <v>24</v>
      </c>
      <c r="X15" s="832">
        <f>SUMIF('LV Cable sizing_SS-2'!$X:$X,Summary!D15,'LV Cable sizing_SS-2'!$AZ:$AZ)</f>
        <v>8</v>
      </c>
      <c r="Y15" s="832">
        <f>SUMIF('LV Cable sizing_SS-3'!$X:$X,Summary!D15,'LV Cable sizing_SS-3'!$AZ:$AZ)</f>
        <v>0</v>
      </c>
      <c r="Z15" s="832" t="e">
        <f>SUMIF(#REF!,Summary!D15,#REF!)</f>
        <v>#REF!</v>
      </c>
      <c r="AA15" s="832"/>
      <c r="AB15" s="832" t="e">
        <f>SUMIF(#REF!,Summary!D15,#REF!)</f>
        <v>#REF!</v>
      </c>
      <c r="AC15" s="833" t="e">
        <f t="shared" si="5"/>
        <v>#REF!</v>
      </c>
      <c r="AD15" s="832" t="e">
        <f t="shared" si="6"/>
        <v>#REF!</v>
      </c>
      <c r="AE15" s="832" t="e">
        <f t="shared" si="7"/>
        <v>#REF!</v>
      </c>
      <c r="AF15" s="567"/>
      <c r="AH15" s="831">
        <v>3135.6</v>
      </c>
    </row>
    <row r="16" spans="1:41" ht="12" customHeight="1">
      <c r="A16" s="337">
        <f t="shared" si="3"/>
        <v>10</v>
      </c>
      <c r="B16" s="828" t="s">
        <v>167</v>
      </c>
      <c r="C16" s="500"/>
      <c r="D16" s="828" t="str">
        <f t="shared" si="4"/>
        <v>3C X 70</v>
      </c>
      <c r="E16" s="500"/>
      <c r="F16" s="500"/>
      <c r="G16" s="337" t="s">
        <v>358</v>
      </c>
      <c r="H16" s="337" t="s">
        <v>1567</v>
      </c>
      <c r="I16" s="337" t="s">
        <v>115</v>
      </c>
      <c r="J16" s="343" t="s">
        <v>1566</v>
      </c>
      <c r="K16" s="829"/>
      <c r="L16" s="829"/>
      <c r="M16" s="830">
        <f>SUMIF('LV Cable sizing_SS-1'!$X:$X,Summary!D16,'LV Cable sizing_SS-1'!$AX:$AX)</f>
        <v>461</v>
      </c>
      <c r="N16" s="830">
        <f>SUMIF('LV Cable sizing_SS-2'!$X:$X,Summary!D16,'LV Cable sizing_SS-2'!$AX:$AX)</f>
        <v>0</v>
      </c>
      <c r="O16" s="830">
        <f>SUMIF('LV Cable sizing_SS-3'!$X:$X,Summary!D16,'LV Cable sizing_SS-3'!$AX:$AX)</f>
        <v>0</v>
      </c>
      <c r="P16" s="830" t="e">
        <f>SUMIF(#REF!,Summary!D16,#REF!)</f>
        <v>#REF!</v>
      </c>
      <c r="Q16" s="830" t="e">
        <f>SUMIF(#REF!,Summary!D16,#REF!)</f>
        <v>#REF!</v>
      </c>
      <c r="R16" s="830" t="e">
        <f>SUMIF(#REF!,Summary!D16,#REF!)</f>
        <v>#REF!</v>
      </c>
      <c r="S16" s="831" t="e">
        <f t="shared" si="0"/>
        <v>#REF!</v>
      </c>
      <c r="T16" s="830"/>
      <c r="U16" s="830"/>
      <c r="V16" s="830"/>
      <c r="W16" s="832">
        <f>SUMIF('LV Cable sizing_SS-1'!$X:$X,Summary!D16,'LV Cable sizing_SS-1'!$AZ:$AZ)</f>
        <v>2</v>
      </c>
      <c r="X16" s="832">
        <f>SUMIF('LV Cable sizing_SS-2'!$X:$X,Summary!D16,'LV Cable sizing_SS-2'!$AZ:$AZ)</f>
        <v>0</v>
      </c>
      <c r="Y16" s="832">
        <f>SUMIF('LV Cable sizing_SS-3'!$X:$X,Summary!D16,'LV Cable sizing_SS-3'!$AZ:$AZ)</f>
        <v>0</v>
      </c>
      <c r="Z16" s="832" t="e">
        <f>SUMIF(#REF!,Summary!D16,#REF!)</f>
        <v>#REF!</v>
      </c>
      <c r="AA16" s="832"/>
      <c r="AB16" s="832" t="e">
        <f>SUMIF(#REF!,Summary!D16,#REF!)</f>
        <v>#REF!</v>
      </c>
      <c r="AC16" s="833" t="e">
        <f t="shared" si="5"/>
        <v>#REF!</v>
      </c>
      <c r="AD16" s="832" t="e">
        <f t="shared" si="6"/>
        <v>#REF!</v>
      </c>
      <c r="AE16" s="832" t="e">
        <f t="shared" si="7"/>
        <v>#REF!</v>
      </c>
      <c r="AF16" s="567"/>
      <c r="AH16" s="831">
        <v>461</v>
      </c>
    </row>
    <row r="17" spans="1:34">
      <c r="A17" s="337">
        <f t="shared" si="3"/>
        <v>11</v>
      </c>
      <c r="B17" s="828" t="s">
        <v>168</v>
      </c>
      <c r="C17" s="500"/>
      <c r="D17" s="828" t="str">
        <f t="shared" si="4"/>
        <v>3C X 95</v>
      </c>
      <c r="E17" s="500"/>
      <c r="F17" s="500"/>
      <c r="G17" s="337" t="s">
        <v>358</v>
      </c>
      <c r="H17" s="337" t="s">
        <v>1567</v>
      </c>
      <c r="I17" s="337" t="s">
        <v>115</v>
      </c>
      <c r="J17" s="343" t="s">
        <v>1566</v>
      </c>
      <c r="K17" s="829"/>
      <c r="L17" s="829"/>
      <c r="M17" s="830">
        <f>SUMIF('LV Cable sizing_SS-1'!$X:$X,Summary!D17,'LV Cable sizing_SS-1'!$AX:$AX)</f>
        <v>646</v>
      </c>
      <c r="N17" s="830">
        <f>SUMIF('LV Cable sizing_SS-2'!$X:$X,Summary!D17,'LV Cable sizing_SS-2'!$AX:$AX)</f>
        <v>0</v>
      </c>
      <c r="O17" s="830">
        <f>SUMIF('LV Cable sizing_SS-3'!$X:$X,Summary!D17,'LV Cable sizing_SS-3'!$AX:$AX)</f>
        <v>0</v>
      </c>
      <c r="P17" s="830" t="e">
        <f>SUMIF(#REF!,Summary!D17,#REF!)</f>
        <v>#REF!</v>
      </c>
      <c r="Q17" s="830" t="e">
        <f>SUMIF(#REF!,Summary!D17,#REF!)</f>
        <v>#REF!</v>
      </c>
      <c r="R17" s="830" t="e">
        <f>SUMIF(#REF!,Summary!D17,#REF!)</f>
        <v>#REF!</v>
      </c>
      <c r="S17" s="831" t="e">
        <f t="shared" si="0"/>
        <v>#REF!</v>
      </c>
      <c r="T17" s="830"/>
      <c r="U17" s="830"/>
      <c r="V17" s="830"/>
      <c r="W17" s="832">
        <f>SUMIF('LV Cable sizing_SS-1'!$X:$X,Summary!D17,'LV Cable sizing_SS-1'!$AZ:$AZ)</f>
        <v>2</v>
      </c>
      <c r="X17" s="832">
        <f>SUMIF('LV Cable sizing_SS-2'!$X:$X,Summary!D17,'LV Cable sizing_SS-2'!$AZ:$AZ)</f>
        <v>0</v>
      </c>
      <c r="Y17" s="832">
        <f>SUMIF('LV Cable sizing_SS-3'!$X:$X,Summary!D17,'LV Cable sizing_SS-3'!$AZ:$AZ)</f>
        <v>0</v>
      </c>
      <c r="Z17" s="832" t="e">
        <f>SUMIF(#REF!,Summary!D17,#REF!)</f>
        <v>#REF!</v>
      </c>
      <c r="AA17" s="832"/>
      <c r="AB17" s="832" t="e">
        <f>SUMIF(#REF!,Summary!D17,#REF!)</f>
        <v>#REF!</v>
      </c>
      <c r="AC17" s="833" t="e">
        <f t="shared" si="5"/>
        <v>#REF!</v>
      </c>
      <c r="AD17" s="832" t="e">
        <f t="shared" si="6"/>
        <v>#REF!</v>
      </c>
      <c r="AE17" s="832" t="e">
        <f t="shared" si="7"/>
        <v>#REF!</v>
      </c>
      <c r="AF17" s="567"/>
      <c r="AH17" s="831">
        <v>646</v>
      </c>
    </row>
    <row r="18" spans="1:34">
      <c r="A18" s="337">
        <f t="shared" si="3"/>
        <v>12</v>
      </c>
      <c r="B18" s="828" t="s">
        <v>169</v>
      </c>
      <c r="C18" s="500"/>
      <c r="D18" s="828" t="str">
        <f t="shared" si="4"/>
        <v>3C X 120</v>
      </c>
      <c r="E18" s="500"/>
      <c r="F18" s="500"/>
      <c r="G18" s="337" t="s">
        <v>358</v>
      </c>
      <c r="H18" s="337" t="s">
        <v>1567</v>
      </c>
      <c r="I18" s="337" t="s">
        <v>115</v>
      </c>
      <c r="J18" s="343" t="s">
        <v>1566</v>
      </c>
      <c r="K18" s="829"/>
      <c r="L18" s="829"/>
      <c r="M18" s="830">
        <f>SUMIF('LV Cable sizing_SS-1'!$X:$X,Summary!D18,'LV Cable sizing_SS-1'!$AX:$AX)</f>
        <v>0</v>
      </c>
      <c r="N18" s="830">
        <f>SUMIF('LV Cable sizing_SS-2'!$X:$X,Summary!D18,'LV Cable sizing_SS-2'!$AX:$AX)</f>
        <v>0</v>
      </c>
      <c r="O18" s="830">
        <f>SUMIF('LV Cable sizing_SS-3'!$X:$X,Summary!D18,'LV Cable sizing_SS-3'!$AX:$AX)</f>
        <v>0</v>
      </c>
      <c r="P18" s="830" t="e">
        <f>SUMIF(#REF!,Summary!D18,#REF!)</f>
        <v>#REF!</v>
      </c>
      <c r="Q18" s="830" t="e">
        <f>SUMIF(#REF!,Summary!D18,#REF!)</f>
        <v>#REF!</v>
      </c>
      <c r="R18" s="830" t="e">
        <f>SUMIF(#REF!,Summary!D18,#REF!)</f>
        <v>#REF!</v>
      </c>
      <c r="S18" s="831" t="e">
        <f t="shared" si="0"/>
        <v>#REF!</v>
      </c>
      <c r="T18" s="830"/>
      <c r="U18" s="830"/>
      <c r="V18" s="830"/>
      <c r="W18" s="832">
        <f>SUMIF('LV Cable sizing_SS-1'!$X:$X,Summary!D18,'LV Cable sizing_SS-1'!$AZ:$AZ)</f>
        <v>0</v>
      </c>
      <c r="X18" s="832">
        <f>SUMIF('LV Cable sizing_SS-2'!$X:$X,Summary!D18,'LV Cable sizing_SS-2'!$AZ:$AZ)</f>
        <v>0</v>
      </c>
      <c r="Y18" s="832">
        <f>SUMIF('LV Cable sizing_SS-3'!$X:$X,Summary!D18,'LV Cable sizing_SS-3'!$AZ:$AZ)</f>
        <v>0</v>
      </c>
      <c r="Z18" s="832" t="e">
        <f>SUMIF(#REF!,Summary!D18,#REF!)</f>
        <v>#REF!</v>
      </c>
      <c r="AA18" s="832"/>
      <c r="AB18" s="832" t="e">
        <f>SUMIF(#REF!,Summary!D18,#REF!)</f>
        <v>#REF!</v>
      </c>
      <c r="AC18" s="833" t="e">
        <f t="shared" si="5"/>
        <v>#REF!</v>
      </c>
      <c r="AD18" s="832" t="e">
        <f t="shared" si="6"/>
        <v>#REF!</v>
      </c>
      <c r="AE18" s="832" t="e">
        <f t="shared" si="7"/>
        <v>#REF!</v>
      </c>
      <c r="AF18" s="567"/>
      <c r="AH18" s="831">
        <v>780</v>
      </c>
    </row>
    <row r="19" spans="1:34">
      <c r="A19" s="337">
        <f t="shared" si="3"/>
        <v>13</v>
      </c>
      <c r="B19" s="828" t="s">
        <v>170</v>
      </c>
      <c r="C19" s="500"/>
      <c r="D19" s="828" t="str">
        <f t="shared" si="4"/>
        <v>3C X 150</v>
      </c>
      <c r="E19" s="500"/>
      <c r="F19" s="500"/>
      <c r="G19" s="337" t="s">
        <v>358</v>
      </c>
      <c r="H19" s="337" t="s">
        <v>1567</v>
      </c>
      <c r="I19" s="337" t="s">
        <v>115</v>
      </c>
      <c r="J19" s="343" t="s">
        <v>1566</v>
      </c>
      <c r="K19" s="829"/>
      <c r="L19" s="829"/>
      <c r="M19" s="830">
        <f>SUMIF('LV Cable sizing_SS-1'!$X:$X,Summary!D19,'LV Cable sizing_SS-1'!$AX:$AX)</f>
        <v>0</v>
      </c>
      <c r="N19" s="830">
        <f>SUMIF('LV Cable sizing_SS-2'!$X:$X,Summary!D19,'LV Cable sizing_SS-2'!$AX:$AX)</f>
        <v>0</v>
      </c>
      <c r="O19" s="830">
        <f>SUMIF('LV Cable sizing_SS-3'!$X:$X,Summary!D19,'LV Cable sizing_SS-3'!$AX:$AX)</f>
        <v>0</v>
      </c>
      <c r="P19" s="830" t="e">
        <f>SUMIF(#REF!,Summary!D19,#REF!)</f>
        <v>#REF!</v>
      </c>
      <c r="Q19" s="830" t="e">
        <f>SUMIF(#REF!,Summary!D19,#REF!)</f>
        <v>#REF!</v>
      </c>
      <c r="R19" s="830" t="e">
        <f>SUMIF(#REF!,Summary!D19,#REF!)</f>
        <v>#REF!</v>
      </c>
      <c r="S19" s="831" t="e">
        <f t="shared" si="0"/>
        <v>#REF!</v>
      </c>
      <c r="T19" s="830"/>
      <c r="U19" s="830"/>
      <c r="V19" s="830"/>
      <c r="W19" s="832">
        <f>SUMIF('LV Cable sizing_SS-1'!$X:$X,Summary!D19,'LV Cable sizing_SS-1'!$AZ:$AZ)</f>
        <v>0</v>
      </c>
      <c r="X19" s="832">
        <f>SUMIF('LV Cable sizing_SS-2'!$X:$X,Summary!D19,'LV Cable sizing_SS-2'!$AZ:$AZ)</f>
        <v>0</v>
      </c>
      <c r="Y19" s="832">
        <f>SUMIF('LV Cable sizing_SS-3'!$X:$X,Summary!D19,'LV Cable sizing_SS-3'!$AZ:$AZ)</f>
        <v>0</v>
      </c>
      <c r="Z19" s="832" t="e">
        <f>SUMIF(#REF!,Summary!D19,#REF!)</f>
        <v>#REF!</v>
      </c>
      <c r="AA19" s="832"/>
      <c r="AB19" s="832" t="e">
        <f>SUMIF(#REF!,Summary!D19,#REF!)</f>
        <v>#REF!</v>
      </c>
      <c r="AC19" s="833" t="e">
        <f t="shared" si="5"/>
        <v>#REF!</v>
      </c>
      <c r="AD19" s="832" t="e">
        <f t="shared" si="6"/>
        <v>#REF!</v>
      </c>
      <c r="AE19" s="832" t="e">
        <f t="shared" si="7"/>
        <v>#REF!</v>
      </c>
      <c r="AF19" s="567"/>
      <c r="AH19" s="831">
        <v>692</v>
      </c>
    </row>
    <row r="20" spans="1:34">
      <c r="A20" s="337">
        <f t="shared" si="3"/>
        <v>14</v>
      </c>
      <c r="B20" s="828" t="s">
        <v>171</v>
      </c>
      <c r="C20" s="500"/>
      <c r="D20" s="828" t="str">
        <f t="shared" si="4"/>
        <v>3C X 185</v>
      </c>
      <c r="E20" s="500"/>
      <c r="F20" s="500"/>
      <c r="G20" s="337" t="s">
        <v>358</v>
      </c>
      <c r="H20" s="337" t="s">
        <v>1567</v>
      </c>
      <c r="I20" s="337" t="s">
        <v>115</v>
      </c>
      <c r="J20" s="343" t="s">
        <v>1566</v>
      </c>
      <c r="K20" s="829"/>
      <c r="L20" s="829"/>
      <c r="M20" s="830">
        <f>SUMIF('LV Cable sizing_SS-1'!$X:$X,Summary!D20,'LV Cable sizing_SS-1'!$AX:$AX)</f>
        <v>0</v>
      </c>
      <c r="N20" s="830">
        <f>SUMIF('LV Cable sizing_SS-2'!$X:$X,Summary!D20,'LV Cable sizing_SS-2'!$AX:$AX)</f>
        <v>0</v>
      </c>
      <c r="O20" s="830">
        <f>SUMIF('LV Cable sizing_SS-3'!$X:$X,Summary!D20,'LV Cable sizing_SS-3'!$AX:$AX)</f>
        <v>0</v>
      </c>
      <c r="P20" s="830" t="e">
        <f>SUMIF(#REF!,Summary!D20,#REF!)</f>
        <v>#REF!</v>
      </c>
      <c r="Q20" s="830" t="e">
        <f>SUMIF(#REF!,Summary!D20,#REF!)</f>
        <v>#REF!</v>
      </c>
      <c r="R20" s="830" t="e">
        <f>SUMIF(#REF!,Summary!D20,#REF!)</f>
        <v>#REF!</v>
      </c>
      <c r="S20" s="831" t="e">
        <f t="shared" si="0"/>
        <v>#REF!</v>
      </c>
      <c r="T20" s="830"/>
      <c r="U20" s="830"/>
      <c r="V20" s="830"/>
      <c r="W20" s="832">
        <f>SUMIF('LV Cable sizing_SS-1'!$X:$X,Summary!D20,'LV Cable sizing_SS-1'!$AZ:$AZ)</f>
        <v>0</v>
      </c>
      <c r="X20" s="832">
        <f>SUMIF('LV Cable sizing_SS-2'!$X:$X,Summary!D20,'LV Cable sizing_SS-2'!$AZ:$AZ)</f>
        <v>0</v>
      </c>
      <c r="Y20" s="832">
        <f>SUMIF('LV Cable sizing_SS-3'!$X:$X,Summary!D20,'LV Cable sizing_SS-3'!$AZ:$AZ)</f>
        <v>0</v>
      </c>
      <c r="Z20" s="832" t="e">
        <f>SUMIF(#REF!,Summary!D20,#REF!)</f>
        <v>#REF!</v>
      </c>
      <c r="AA20" s="832"/>
      <c r="AB20" s="832" t="e">
        <f>SUMIF(#REF!,Summary!D20,#REF!)</f>
        <v>#REF!</v>
      </c>
      <c r="AC20" s="833" t="e">
        <f t="shared" si="5"/>
        <v>#REF!</v>
      </c>
      <c r="AD20" s="832" t="e">
        <f t="shared" si="6"/>
        <v>#REF!</v>
      </c>
      <c r="AE20" s="832" t="e">
        <f t="shared" si="7"/>
        <v>#REF!</v>
      </c>
      <c r="AF20" s="567"/>
      <c r="AH20" s="831">
        <v>0</v>
      </c>
    </row>
    <row r="21" spans="1:34">
      <c r="A21" s="337">
        <f t="shared" si="3"/>
        <v>15</v>
      </c>
      <c r="B21" s="828" t="s">
        <v>172</v>
      </c>
      <c r="C21" s="500"/>
      <c r="D21" s="828" t="str">
        <f t="shared" si="4"/>
        <v>3C X 240</v>
      </c>
      <c r="E21" s="500"/>
      <c r="F21" s="500"/>
      <c r="G21" s="337" t="s">
        <v>358</v>
      </c>
      <c r="H21" s="337" t="s">
        <v>1567</v>
      </c>
      <c r="I21" s="337" t="s">
        <v>115</v>
      </c>
      <c r="J21" s="343" t="s">
        <v>1566</v>
      </c>
      <c r="K21" s="829"/>
      <c r="L21" s="829"/>
      <c r="M21" s="830">
        <f>SUMIF('LV Cable sizing_SS-1'!$X:$X,Summary!D21,'LV Cable sizing_SS-1'!$AX:$AX)</f>
        <v>0</v>
      </c>
      <c r="N21" s="830">
        <f>SUMIF('LV Cable sizing_SS-2'!$X:$X,Summary!D21,'LV Cable sizing_SS-2'!$AX:$AX)</f>
        <v>0</v>
      </c>
      <c r="O21" s="830">
        <f>SUMIF('LV Cable sizing_SS-3'!$X:$X,Summary!D21,'LV Cable sizing_SS-3'!$AX:$AX)</f>
        <v>0</v>
      </c>
      <c r="P21" s="830" t="e">
        <f>SUMIF(#REF!,Summary!D21,#REF!)</f>
        <v>#REF!</v>
      </c>
      <c r="Q21" s="830" t="e">
        <f>SUMIF(#REF!,Summary!D21,#REF!)</f>
        <v>#REF!</v>
      </c>
      <c r="R21" s="830" t="e">
        <f>SUMIF(#REF!,Summary!D21,#REF!)</f>
        <v>#REF!</v>
      </c>
      <c r="S21" s="831" t="e">
        <f t="shared" si="0"/>
        <v>#REF!</v>
      </c>
      <c r="T21" s="830"/>
      <c r="U21" s="830"/>
      <c r="V21" s="830"/>
      <c r="W21" s="832">
        <f>SUMIF('LV Cable sizing_SS-1'!$X:$X,Summary!D21,'LV Cable sizing_SS-1'!$AZ:$AZ)</f>
        <v>0</v>
      </c>
      <c r="X21" s="832">
        <f>SUMIF('LV Cable sizing_SS-2'!$X:$X,Summary!D21,'LV Cable sizing_SS-2'!$AZ:$AZ)</f>
        <v>0</v>
      </c>
      <c r="Y21" s="832">
        <f>SUMIF('LV Cable sizing_SS-3'!$X:$X,Summary!D21,'LV Cable sizing_SS-3'!$AZ:$AZ)</f>
        <v>0</v>
      </c>
      <c r="Z21" s="832" t="e">
        <f>SUMIF(#REF!,Summary!D21,#REF!)</f>
        <v>#REF!</v>
      </c>
      <c r="AA21" s="832"/>
      <c r="AB21" s="832" t="e">
        <f>SUMIF(#REF!,Summary!D21,#REF!)</f>
        <v>#REF!</v>
      </c>
      <c r="AC21" s="833" t="e">
        <f t="shared" si="5"/>
        <v>#REF!</v>
      </c>
      <c r="AD21" s="832" t="e">
        <f t="shared" si="6"/>
        <v>#REF!</v>
      </c>
      <c r="AE21" s="832" t="e">
        <f t="shared" si="7"/>
        <v>#REF!</v>
      </c>
      <c r="AF21" s="567"/>
      <c r="AH21" s="831">
        <v>0</v>
      </c>
    </row>
    <row r="22" spans="1:34">
      <c r="A22" s="337">
        <f t="shared" si="3"/>
        <v>16</v>
      </c>
      <c r="B22" s="828" t="s">
        <v>173</v>
      </c>
      <c r="C22" s="500"/>
      <c r="D22" s="828" t="str">
        <f t="shared" si="4"/>
        <v>3C X 300</v>
      </c>
      <c r="E22" s="500"/>
      <c r="F22" s="500"/>
      <c r="G22" s="337" t="s">
        <v>358</v>
      </c>
      <c r="H22" s="337" t="s">
        <v>1567</v>
      </c>
      <c r="I22" s="337" t="s">
        <v>115</v>
      </c>
      <c r="J22" s="343" t="s">
        <v>1566</v>
      </c>
      <c r="K22" s="829"/>
      <c r="L22" s="829"/>
      <c r="M22" s="830">
        <f>SUMIF('LV Cable sizing_SS-1'!$X:$X,Summary!D22,'LV Cable sizing_SS-1'!$AX:$AX)</f>
        <v>0</v>
      </c>
      <c r="N22" s="830">
        <f>SUMIF('LV Cable sizing_SS-2'!$X:$X,Summary!D22,'LV Cable sizing_SS-2'!$AX:$AX)</f>
        <v>0</v>
      </c>
      <c r="O22" s="830">
        <f>SUMIF('LV Cable sizing_SS-3'!$X:$X,Summary!D22,'LV Cable sizing_SS-3'!$AX:$AX)</f>
        <v>0</v>
      </c>
      <c r="P22" s="830" t="e">
        <f>SUMIF(#REF!,Summary!D22,#REF!)</f>
        <v>#REF!</v>
      </c>
      <c r="Q22" s="830" t="e">
        <f>SUMIF(#REF!,Summary!D22,#REF!)</f>
        <v>#REF!</v>
      </c>
      <c r="R22" s="830" t="e">
        <f>SUMIF(#REF!,Summary!D22,#REF!)</f>
        <v>#REF!</v>
      </c>
      <c r="S22" s="831" t="e">
        <f t="shared" si="0"/>
        <v>#REF!</v>
      </c>
      <c r="T22" s="830"/>
      <c r="U22" s="830"/>
      <c r="V22" s="830"/>
      <c r="W22" s="832">
        <f>SUMIF('LV Cable sizing_SS-1'!$X:$X,Summary!D22,'LV Cable sizing_SS-1'!$AZ:$AZ)</f>
        <v>0</v>
      </c>
      <c r="X22" s="832">
        <f>SUMIF('LV Cable sizing_SS-2'!$X:$X,Summary!D22,'LV Cable sizing_SS-2'!$AZ:$AZ)</f>
        <v>0</v>
      </c>
      <c r="Y22" s="832">
        <f>SUMIF('LV Cable sizing_SS-3'!$X:$X,Summary!D22,'LV Cable sizing_SS-3'!$AZ:$AZ)</f>
        <v>0</v>
      </c>
      <c r="Z22" s="832" t="e">
        <f>SUMIF(#REF!,Summary!D22,#REF!)</f>
        <v>#REF!</v>
      </c>
      <c r="AA22" s="832"/>
      <c r="AB22" s="832" t="e">
        <f>SUMIF(#REF!,Summary!D22,#REF!)</f>
        <v>#REF!</v>
      </c>
      <c r="AC22" s="833" t="e">
        <f t="shared" si="5"/>
        <v>#REF!</v>
      </c>
      <c r="AD22" s="832" t="e">
        <f t="shared" si="6"/>
        <v>#REF!</v>
      </c>
      <c r="AE22" s="832" t="e">
        <f t="shared" si="7"/>
        <v>#REF!</v>
      </c>
      <c r="AF22" s="567"/>
      <c r="AH22" s="831">
        <v>0</v>
      </c>
    </row>
    <row r="23" spans="1:34">
      <c r="A23" s="337">
        <f t="shared" si="3"/>
        <v>17</v>
      </c>
      <c r="B23" s="828" t="s">
        <v>174</v>
      </c>
      <c r="C23" s="500"/>
      <c r="D23" s="828" t="str">
        <f t="shared" si="4"/>
        <v>3C X 400</v>
      </c>
      <c r="E23" s="500"/>
      <c r="F23" s="500"/>
      <c r="G23" s="337" t="s">
        <v>358</v>
      </c>
      <c r="H23" s="337" t="s">
        <v>1567</v>
      </c>
      <c r="I23" s="337" t="s">
        <v>115</v>
      </c>
      <c r="J23" s="343" t="s">
        <v>1566</v>
      </c>
      <c r="K23" s="829"/>
      <c r="L23" s="829"/>
      <c r="M23" s="830">
        <f>SUMIF('LV Cable sizing_SS-1'!$X:$X,Summary!D23,'LV Cable sizing_SS-1'!$AX:$AX)</f>
        <v>0</v>
      </c>
      <c r="N23" s="830">
        <f>SUMIF('LV Cable sizing_SS-2'!$X:$X,Summary!D23,'LV Cable sizing_SS-2'!$AX:$AX)</f>
        <v>0</v>
      </c>
      <c r="O23" s="830">
        <f>SUMIF('LV Cable sizing_SS-3'!$X:$X,Summary!D23,'LV Cable sizing_SS-3'!$AX:$AX)</f>
        <v>0</v>
      </c>
      <c r="P23" s="830" t="e">
        <f>SUMIF(#REF!,Summary!D23,#REF!)</f>
        <v>#REF!</v>
      </c>
      <c r="Q23" s="830" t="e">
        <f>SUMIF(#REF!,Summary!D23,#REF!)</f>
        <v>#REF!</v>
      </c>
      <c r="R23" s="830" t="e">
        <f>SUMIF(#REF!,Summary!D23,#REF!)</f>
        <v>#REF!</v>
      </c>
      <c r="S23" s="831" t="e">
        <f t="shared" si="0"/>
        <v>#REF!</v>
      </c>
      <c r="T23" s="830"/>
      <c r="U23" s="830"/>
      <c r="V23" s="830"/>
      <c r="W23" s="832">
        <f>SUMIF('LV Cable sizing_SS-1'!$X:$X,Summary!D23,'LV Cable sizing_SS-1'!$AZ:$AZ)</f>
        <v>0</v>
      </c>
      <c r="X23" s="832">
        <f>SUMIF('LV Cable sizing_SS-2'!$X:$X,Summary!D23,'LV Cable sizing_SS-2'!$AZ:$AZ)</f>
        <v>0</v>
      </c>
      <c r="Y23" s="832">
        <f>SUMIF('LV Cable sizing_SS-3'!$X:$X,Summary!D23,'LV Cable sizing_SS-3'!$AZ:$AZ)</f>
        <v>0</v>
      </c>
      <c r="Z23" s="832" t="e">
        <f>SUMIF(#REF!,Summary!D23,#REF!)</f>
        <v>#REF!</v>
      </c>
      <c r="AA23" s="832"/>
      <c r="AB23" s="832" t="e">
        <f>SUMIF(#REF!,Summary!D23,#REF!)</f>
        <v>#REF!</v>
      </c>
      <c r="AC23" s="833" t="e">
        <f t="shared" si="5"/>
        <v>#REF!</v>
      </c>
      <c r="AD23" s="832" t="e">
        <f t="shared" si="6"/>
        <v>#REF!</v>
      </c>
      <c r="AE23" s="832" t="e">
        <f t="shared" si="7"/>
        <v>#REF!</v>
      </c>
      <c r="AF23" s="567"/>
      <c r="AH23" s="831">
        <v>0</v>
      </c>
    </row>
    <row r="24" spans="1:34">
      <c r="A24" s="373"/>
      <c r="B24" s="824"/>
      <c r="C24" s="824"/>
      <c r="D24" s="824"/>
      <c r="E24" s="824"/>
      <c r="F24" s="824"/>
      <c r="G24" s="373"/>
      <c r="H24" s="373"/>
      <c r="I24" s="373"/>
      <c r="J24" s="376"/>
      <c r="K24" s="825"/>
      <c r="L24" s="825"/>
      <c r="M24" s="826"/>
      <c r="N24" s="826"/>
      <c r="O24" s="826"/>
      <c r="P24" s="826"/>
      <c r="Q24" s="826"/>
      <c r="R24" s="826"/>
      <c r="S24" s="827"/>
      <c r="T24" s="827"/>
      <c r="U24" s="827"/>
      <c r="V24" s="827"/>
      <c r="W24" s="827"/>
      <c r="X24" s="827"/>
      <c r="Y24" s="827"/>
      <c r="Z24" s="827"/>
      <c r="AA24" s="827"/>
      <c r="AB24" s="827"/>
      <c r="AC24" s="827"/>
      <c r="AD24" s="827"/>
      <c r="AE24" s="827"/>
      <c r="AF24" s="826"/>
      <c r="AH24" s="827"/>
    </row>
    <row r="25" spans="1:34" ht="15.75" hidden="1" customHeight="1">
      <c r="A25" s="337">
        <f>A23+1</f>
        <v>18</v>
      </c>
      <c r="B25" s="828" t="s">
        <v>158</v>
      </c>
      <c r="C25" s="500" t="s">
        <v>1568</v>
      </c>
      <c r="D25" s="828" t="str">
        <f>CONCATENATE(B25,"+PE")</f>
        <v>3C X 1.5+PE</v>
      </c>
      <c r="E25" s="500"/>
      <c r="F25" s="500"/>
      <c r="G25" s="337" t="s">
        <v>358</v>
      </c>
      <c r="H25" s="337" t="s">
        <v>1565</v>
      </c>
      <c r="I25" s="337" t="s">
        <v>115</v>
      </c>
      <c r="J25" s="343" t="s">
        <v>1566</v>
      </c>
      <c r="K25" s="829"/>
      <c r="L25" s="829"/>
      <c r="M25" s="830">
        <f>SUMIF('LV Cable sizing_SS-1'!$X:$X,Summary!D25,'LV Cable sizing_SS-1'!$AX:$AX)</f>
        <v>0</v>
      </c>
      <c r="N25" s="830">
        <f>SUMIF('LV Cable sizing_SS-2'!$X:$X,Summary!D25,'LV Cable sizing_SS-2'!$AX:$AX)</f>
        <v>0</v>
      </c>
      <c r="O25" s="830">
        <f>SUMIF('LV Cable sizing_SS-3'!$X:$X,Summary!D25,'LV Cable sizing_SS-3'!$AX:$AX)</f>
        <v>0</v>
      </c>
      <c r="P25" s="830" t="e">
        <f>SUMIF(#REF!,Summary!D25,#REF!)</f>
        <v>#REF!</v>
      </c>
      <c r="Q25" s="830" t="e">
        <f>SUMIF(#REF!,Summary!D25,#REF!)</f>
        <v>#REF!</v>
      </c>
      <c r="R25" s="830" t="e">
        <f>SUMIF(#REF!,Summary!D25,#REF!)</f>
        <v>#REF!</v>
      </c>
      <c r="S25" s="831" t="e">
        <f t="shared" ref="S25:S41" si="8">SUM(K25:R25)</f>
        <v>#REF!</v>
      </c>
      <c r="T25" s="830"/>
      <c r="U25" s="832"/>
      <c r="V25" s="832"/>
      <c r="W25" s="832">
        <f>SUMIF('LV Cable sizing_SS-1'!$X:$X,Summary!D25,'LV Cable sizing_SS-1'!$AZ:$AZ)</f>
        <v>0</v>
      </c>
      <c r="X25" s="832">
        <f>SUMIF('LV Cable sizing_SS-2'!$X:$X,Summary!D25,'LV Cable sizing_SS-2'!$AZ:$AZ)</f>
        <v>0</v>
      </c>
      <c r="Y25" s="832">
        <f>SUMIF('LV Cable sizing_SS-3'!$X:$X,Summary!D25,'LV Cable sizing_SS-3'!$AZ:$AZ)</f>
        <v>0</v>
      </c>
      <c r="Z25" s="832" t="e">
        <f>SUMIF(#REF!,Summary!D25,#REF!)</f>
        <v>#REF!</v>
      </c>
      <c r="AA25" s="832"/>
      <c r="AB25" s="832" t="e">
        <f>SUMIF(#REF!,Summary!D25,#REF!)</f>
        <v>#REF!</v>
      </c>
      <c r="AC25" s="833" t="e">
        <f>SUM(U25:AB25)</f>
        <v>#REF!</v>
      </c>
      <c r="AD25" s="832" t="e">
        <f t="shared" ref="AD25:AD41" si="9">CEILING((AC25*0.05),1)</f>
        <v>#REF!</v>
      </c>
      <c r="AE25" s="832" t="e">
        <f t="shared" ref="AE25:AE41" si="10">SUM(AC25+AD25)</f>
        <v>#REF!</v>
      </c>
      <c r="AF25" s="567"/>
      <c r="AH25" s="831">
        <v>0</v>
      </c>
    </row>
    <row r="26" spans="1:34" hidden="1">
      <c r="A26" s="337">
        <f t="shared" ref="A26:A31" si="11">A25+1</f>
        <v>19</v>
      </c>
      <c r="B26" s="828" t="s">
        <v>159</v>
      </c>
      <c r="C26" s="500" t="s">
        <v>1568</v>
      </c>
      <c r="D26" s="828" t="str">
        <f t="shared" ref="D26:D41" si="12">CONCATENATE(B26,"+PE")</f>
        <v>3C X 2.5+PE</v>
      </c>
      <c r="E26" s="500"/>
      <c r="F26" s="500"/>
      <c r="G26" s="337" t="s">
        <v>358</v>
      </c>
      <c r="H26" s="337" t="s">
        <v>1565</v>
      </c>
      <c r="I26" s="337" t="s">
        <v>115</v>
      </c>
      <c r="J26" s="343" t="s">
        <v>1566</v>
      </c>
      <c r="K26" s="829"/>
      <c r="L26" s="829"/>
      <c r="M26" s="830">
        <f>SUMIF('LV Cable sizing_SS-1'!$X:$X,Summary!D26,'LV Cable sizing_SS-1'!$AX:$AX)</f>
        <v>0</v>
      </c>
      <c r="N26" s="830">
        <f>SUMIF('LV Cable sizing_SS-2'!$X:$X,Summary!D26,'LV Cable sizing_SS-2'!$AX:$AX)</f>
        <v>0</v>
      </c>
      <c r="O26" s="830">
        <f>SUMIF('LV Cable sizing_SS-3'!$X:$X,Summary!D26,'LV Cable sizing_SS-3'!$AX:$AX)</f>
        <v>0</v>
      </c>
      <c r="P26" s="830" t="e">
        <f>SUMIF(#REF!,Summary!D26,#REF!)</f>
        <v>#REF!</v>
      </c>
      <c r="Q26" s="830" t="e">
        <f>SUMIF(#REF!,Summary!D26,#REF!)</f>
        <v>#REF!</v>
      </c>
      <c r="R26" s="830" t="e">
        <f>SUMIF(#REF!,Summary!D26,#REF!)</f>
        <v>#REF!</v>
      </c>
      <c r="S26" s="831" t="e">
        <f t="shared" si="8"/>
        <v>#REF!</v>
      </c>
      <c r="T26" s="830"/>
      <c r="U26" s="830"/>
      <c r="V26" s="830"/>
      <c r="W26" s="832">
        <f>SUMIF('LV Cable sizing_SS-1'!$X:$X,Summary!D26,'LV Cable sizing_SS-1'!$AZ:$AZ)</f>
        <v>0</v>
      </c>
      <c r="X26" s="832">
        <f>SUMIF('LV Cable sizing_SS-2'!$X:$X,Summary!D26,'LV Cable sizing_SS-2'!$AZ:$AZ)</f>
        <v>0</v>
      </c>
      <c r="Y26" s="832">
        <f>SUMIF('LV Cable sizing_SS-3'!$X:$X,Summary!D26,'LV Cable sizing_SS-3'!$AZ:$AZ)</f>
        <v>0</v>
      </c>
      <c r="Z26" s="832" t="e">
        <f>SUMIF(#REF!,Summary!D26,#REF!)</f>
        <v>#REF!</v>
      </c>
      <c r="AA26" s="832"/>
      <c r="AB26" s="832" t="e">
        <f>SUMIF(#REF!,Summary!D26,#REF!)</f>
        <v>#REF!</v>
      </c>
      <c r="AC26" s="833" t="e">
        <f t="shared" ref="AC26:AC41" si="13">SUM(U26:AB26)</f>
        <v>#REF!</v>
      </c>
      <c r="AD26" s="832" t="e">
        <f t="shared" si="9"/>
        <v>#REF!</v>
      </c>
      <c r="AE26" s="832" t="e">
        <f t="shared" si="10"/>
        <v>#REF!</v>
      </c>
      <c r="AF26" s="567"/>
      <c r="AH26" s="831">
        <v>0</v>
      </c>
    </row>
    <row r="27" spans="1:34">
      <c r="A27" s="337">
        <f t="shared" si="11"/>
        <v>20</v>
      </c>
      <c r="B27" s="828" t="s">
        <v>160</v>
      </c>
      <c r="C27" s="500" t="s">
        <v>1568</v>
      </c>
      <c r="D27" s="828" t="str">
        <f t="shared" si="12"/>
        <v>3C X 4+PE</v>
      </c>
      <c r="E27" s="500"/>
      <c r="F27" s="500"/>
      <c r="G27" s="337" t="s">
        <v>358</v>
      </c>
      <c r="H27" s="337" t="s">
        <v>1565</v>
      </c>
      <c r="I27" s="337" t="s">
        <v>115</v>
      </c>
      <c r="J27" s="343" t="s">
        <v>1566</v>
      </c>
      <c r="K27" s="829"/>
      <c r="L27" s="829"/>
      <c r="M27" s="830">
        <f>SUMIF('LV Cable sizing_SS-1'!$X:$X,Summary!D27,'LV Cable sizing_SS-1'!$AX:$AX)</f>
        <v>6758</v>
      </c>
      <c r="N27" s="830">
        <f>SUMIF('LV Cable sizing_SS-2'!$X:$X,Summary!D27,'LV Cable sizing_SS-2'!$AX:$AX)</f>
        <v>1511.8000000000004</v>
      </c>
      <c r="O27" s="830">
        <f>SUMIF('LV Cable sizing_SS-3'!$X:$X,Summary!D27,'LV Cable sizing_SS-3'!$AX:$AX)</f>
        <v>0</v>
      </c>
      <c r="P27" s="830" t="e">
        <f>SUMIF(#REF!,Summary!D27,#REF!)</f>
        <v>#REF!</v>
      </c>
      <c r="Q27" s="830" t="e">
        <f>SUMIF(#REF!,Summary!D27,#REF!)</f>
        <v>#REF!</v>
      </c>
      <c r="R27" s="830" t="e">
        <f>SUMIF(#REF!,Summary!D27,#REF!)</f>
        <v>#REF!</v>
      </c>
      <c r="S27" s="831" t="e">
        <f t="shared" si="8"/>
        <v>#REF!</v>
      </c>
      <c r="T27" s="830"/>
      <c r="U27" s="830"/>
      <c r="V27" s="830"/>
      <c r="W27" s="832">
        <f>SUMIF('LV Cable sizing_SS-1'!$X:$X,Summary!D27,'LV Cable sizing_SS-1'!$AZ:$AZ)</f>
        <v>36</v>
      </c>
      <c r="X27" s="832">
        <f>SUMIF('LV Cable sizing_SS-2'!$X:$X,Summary!D27,'LV Cable sizing_SS-2'!$AZ:$AZ)</f>
        <v>34</v>
      </c>
      <c r="Y27" s="832">
        <f>SUMIF('LV Cable sizing_SS-3'!$X:$X,Summary!D27,'LV Cable sizing_SS-3'!$AZ:$AZ)</f>
        <v>0</v>
      </c>
      <c r="Z27" s="832" t="e">
        <f>SUMIF(#REF!,Summary!D27,#REF!)</f>
        <v>#REF!</v>
      </c>
      <c r="AA27" s="832" t="e">
        <f>SUMIF(#REF!,Summary!D27,#REF!)</f>
        <v>#REF!</v>
      </c>
      <c r="AB27" s="832" t="e">
        <f>SUMIF(#REF!,Summary!D27,#REF!)</f>
        <v>#REF!</v>
      </c>
      <c r="AC27" s="833" t="e">
        <f t="shared" si="13"/>
        <v>#REF!</v>
      </c>
      <c r="AD27" s="832" t="e">
        <f t="shared" si="9"/>
        <v>#REF!</v>
      </c>
      <c r="AE27" s="832" t="e">
        <f t="shared" si="10"/>
        <v>#REF!</v>
      </c>
      <c r="AF27" s="567"/>
      <c r="AH27" s="831">
        <v>16531.300000000003</v>
      </c>
    </row>
    <row r="28" spans="1:34">
      <c r="A28" s="337">
        <f t="shared" si="11"/>
        <v>21</v>
      </c>
      <c r="B28" s="828" t="s">
        <v>161</v>
      </c>
      <c r="C28" s="500" t="s">
        <v>1568</v>
      </c>
      <c r="D28" s="835" t="str">
        <f t="shared" si="12"/>
        <v>3C X 6+PE</v>
      </c>
      <c r="E28" s="500"/>
      <c r="F28" s="500"/>
      <c r="G28" s="337" t="s">
        <v>358</v>
      </c>
      <c r="H28" s="337" t="s">
        <v>1565</v>
      </c>
      <c r="I28" s="337" t="s">
        <v>115</v>
      </c>
      <c r="J28" s="343" t="s">
        <v>1566</v>
      </c>
      <c r="K28" s="829"/>
      <c r="L28" s="829"/>
      <c r="M28" s="830">
        <f>SUMIF('LV Cable sizing_SS-1'!$X:$X,Summary!D28,'LV Cable sizing_SS-1'!$AX:$AX)</f>
        <v>939</v>
      </c>
      <c r="N28" s="830">
        <f>SUMIF('LV Cable sizing_SS-2'!$X:$X,Summary!D28,'LV Cable sizing_SS-2'!$AX:$AX)</f>
        <v>171</v>
      </c>
      <c r="O28" s="830">
        <f>SUMIF('LV Cable sizing_SS-3'!$X:$X,Summary!D28,'LV Cable sizing_SS-3'!$AX:$AX)</f>
        <v>670</v>
      </c>
      <c r="P28" s="830" t="e">
        <f>SUMIF(#REF!,Summary!D28,#REF!)</f>
        <v>#REF!</v>
      </c>
      <c r="Q28" s="830" t="e">
        <f>SUMIF(#REF!,Summary!D28,#REF!)</f>
        <v>#REF!</v>
      </c>
      <c r="R28" s="830" t="e">
        <f>SUMIF(#REF!,Summary!D28,#REF!)</f>
        <v>#REF!</v>
      </c>
      <c r="S28" s="831" t="e">
        <f t="shared" si="8"/>
        <v>#REF!</v>
      </c>
      <c r="T28" s="830"/>
      <c r="U28" s="830"/>
      <c r="V28" s="830"/>
      <c r="W28" s="832">
        <f>SUMIF('LV Cable sizing_SS-1'!$X:$X,Summary!D28,'LV Cable sizing_SS-1'!$AZ:$AZ)</f>
        <v>6</v>
      </c>
      <c r="X28" s="832">
        <f>SUMIF('LV Cable sizing_SS-2'!$X:$X,Summary!D28,'LV Cable sizing_SS-2'!$AZ:$AZ)</f>
        <v>2</v>
      </c>
      <c r="Y28" s="832">
        <f>SUMIF('LV Cable sizing_SS-3'!$X:$X,Summary!D28,'LV Cable sizing_SS-3'!$AZ:$AZ)</f>
        <v>10</v>
      </c>
      <c r="Z28" s="832" t="e">
        <f>SUMIF(#REF!,Summary!D28,#REF!)</f>
        <v>#REF!</v>
      </c>
      <c r="AA28" s="832" t="e">
        <f>SUMIF(#REF!,Summary!D28,#REF!)</f>
        <v>#REF!</v>
      </c>
      <c r="AB28" s="832" t="e">
        <f>SUMIF(#REF!,Summary!D28,#REF!)</f>
        <v>#REF!</v>
      </c>
      <c r="AC28" s="833" t="e">
        <f t="shared" si="13"/>
        <v>#REF!</v>
      </c>
      <c r="AD28" s="832" t="e">
        <f t="shared" si="9"/>
        <v>#REF!</v>
      </c>
      <c r="AE28" s="832" t="e">
        <f t="shared" si="10"/>
        <v>#REF!</v>
      </c>
      <c r="AF28" s="567"/>
      <c r="AH28" s="831">
        <v>1997.4</v>
      </c>
    </row>
    <row r="29" spans="1:34">
      <c r="A29" s="337">
        <f t="shared" si="11"/>
        <v>22</v>
      </c>
      <c r="B29" s="828" t="s">
        <v>162</v>
      </c>
      <c r="C29" s="500" t="s">
        <v>1568</v>
      </c>
      <c r="D29" s="828" t="str">
        <f t="shared" si="12"/>
        <v>3C X 10+PE</v>
      </c>
      <c r="E29" s="500"/>
      <c r="F29" s="500"/>
      <c r="G29" s="337" t="s">
        <v>358</v>
      </c>
      <c r="H29" s="337" t="s">
        <v>1567</v>
      </c>
      <c r="I29" s="337" t="s">
        <v>115</v>
      </c>
      <c r="J29" s="343" t="s">
        <v>1566</v>
      </c>
      <c r="K29" s="829"/>
      <c r="L29" s="829"/>
      <c r="M29" s="830">
        <f>SUMIF('LV Cable sizing_SS-1'!$X:$X,Summary!D29,'LV Cable sizing_SS-1'!$AX:$AX)</f>
        <v>0</v>
      </c>
      <c r="N29" s="830">
        <f>SUMIF('LV Cable sizing_SS-2'!$X:$X,Summary!D29,'LV Cable sizing_SS-2'!$AX:$AX)</f>
        <v>0</v>
      </c>
      <c r="O29" s="830">
        <f>SUMIF('LV Cable sizing_SS-3'!$X:$X,Summary!D29,'LV Cable sizing_SS-3'!$AX:$AX)</f>
        <v>0</v>
      </c>
      <c r="P29" s="830" t="e">
        <f>SUMIF(#REF!,Summary!D29,#REF!)</f>
        <v>#REF!</v>
      </c>
      <c r="Q29" s="830" t="e">
        <f>SUMIF(#REF!,Summary!D29,#REF!)</f>
        <v>#REF!</v>
      </c>
      <c r="R29" s="830" t="e">
        <f>SUMIF(#REF!,Summary!D29,#REF!)</f>
        <v>#REF!</v>
      </c>
      <c r="S29" s="831" t="e">
        <f t="shared" si="8"/>
        <v>#REF!</v>
      </c>
      <c r="T29" s="830"/>
      <c r="U29" s="830"/>
      <c r="V29" s="830">
        <f>SUMIF('MV Cable sizing-11kV'!$W:$W,Summary!D29,'MV Cable sizing-11kV'!$AZ:$AZ)</f>
        <v>0</v>
      </c>
      <c r="W29" s="832">
        <f>SUMIF('LV Cable sizing_SS-1'!$X:$X,Summary!D29,'LV Cable sizing_SS-1'!$AZ:$AZ)</f>
        <v>0</v>
      </c>
      <c r="X29" s="832">
        <f>SUMIF('LV Cable sizing_SS-2'!$X:$X,Summary!D29,'LV Cable sizing_SS-2'!$AZ:$AZ)</f>
        <v>0</v>
      </c>
      <c r="Y29" s="832">
        <f>SUMIF('LV Cable sizing_SS-3'!$X:$X,Summary!D29,'LV Cable sizing_SS-3'!$AZ:$AZ)</f>
        <v>0</v>
      </c>
      <c r="Z29" s="832" t="e">
        <f>SUMIF(#REF!,Summary!D29,#REF!)</f>
        <v>#REF!</v>
      </c>
      <c r="AA29" s="832" t="e">
        <f>SUMIF(#REF!,Summary!D29,#REF!)</f>
        <v>#REF!</v>
      </c>
      <c r="AB29" s="832" t="e">
        <f>SUMIF(#REF!,Summary!D29,#REF!)</f>
        <v>#REF!</v>
      </c>
      <c r="AC29" s="833" t="e">
        <f t="shared" si="13"/>
        <v>#REF!</v>
      </c>
      <c r="AD29" s="832" t="e">
        <f t="shared" si="9"/>
        <v>#REF!</v>
      </c>
      <c r="AE29" s="832" t="e">
        <f t="shared" si="10"/>
        <v>#REF!</v>
      </c>
      <c r="AF29" s="567"/>
      <c r="AH29" s="831">
        <v>0</v>
      </c>
    </row>
    <row r="30" spans="1:34">
      <c r="A30" s="337">
        <f t="shared" si="11"/>
        <v>23</v>
      </c>
      <c r="B30" s="828" t="s">
        <v>163</v>
      </c>
      <c r="C30" s="500" t="s">
        <v>1568</v>
      </c>
      <c r="D30" s="828" t="str">
        <f t="shared" si="12"/>
        <v>3C X 16+PE</v>
      </c>
      <c r="E30" s="500"/>
      <c r="F30" s="500"/>
      <c r="G30" s="337" t="s">
        <v>358</v>
      </c>
      <c r="H30" s="337" t="s">
        <v>1567</v>
      </c>
      <c r="I30" s="337" t="s">
        <v>115</v>
      </c>
      <c r="J30" s="343" t="s">
        <v>1566</v>
      </c>
      <c r="K30" s="829"/>
      <c r="L30" s="829"/>
      <c r="M30" s="830">
        <f>SUMIF('LV Cable sizing_SS-1'!$X:$X,Summary!D30,'LV Cable sizing_SS-1'!$AX:$AX)</f>
        <v>1490</v>
      </c>
      <c r="N30" s="830">
        <f>SUMIF('LV Cable sizing_SS-2'!$X:$X,Summary!D30,'LV Cable sizing_SS-2'!$AX:$AX)</f>
        <v>0</v>
      </c>
      <c r="O30" s="830">
        <f>SUMIF('LV Cable sizing_SS-3'!$X:$X,Summary!D30,'LV Cable sizing_SS-3'!$AX:$AX)</f>
        <v>0</v>
      </c>
      <c r="P30" s="830" t="e">
        <f>SUMIF(#REF!,Summary!D30,#REF!)</f>
        <v>#REF!</v>
      </c>
      <c r="Q30" s="830" t="e">
        <f>SUMIF(#REF!,Summary!D30,#REF!)</f>
        <v>#REF!</v>
      </c>
      <c r="R30" s="830" t="e">
        <f>SUMIF(#REF!,Summary!D30,#REF!)</f>
        <v>#REF!</v>
      </c>
      <c r="S30" s="831" t="e">
        <f t="shared" si="8"/>
        <v>#REF!</v>
      </c>
      <c r="T30" s="830"/>
      <c r="U30" s="830"/>
      <c r="V30" s="830"/>
      <c r="W30" s="832">
        <f>SUMIF('LV Cable sizing_SS-1'!$X:$X,Summary!D30,'LV Cable sizing_SS-1'!$AZ:$AZ)</f>
        <v>8</v>
      </c>
      <c r="X30" s="832">
        <f>SUMIF('LV Cable sizing_SS-2'!$X:$X,Summary!D30,'LV Cable sizing_SS-2'!$AZ:$AZ)</f>
        <v>0</v>
      </c>
      <c r="Y30" s="832">
        <f>SUMIF('LV Cable sizing_SS-3'!$X:$X,Summary!D30,'LV Cable sizing_SS-3'!$AZ:$AZ)</f>
        <v>0</v>
      </c>
      <c r="Z30" s="832" t="e">
        <f>SUMIF(#REF!,Summary!D30,#REF!)</f>
        <v>#REF!</v>
      </c>
      <c r="AA30" s="832" t="e">
        <f>SUMIF(#REF!,Summary!D30,#REF!)</f>
        <v>#REF!</v>
      </c>
      <c r="AB30" s="832" t="e">
        <f>SUMIF(#REF!,Summary!D30,#REF!)</f>
        <v>#REF!</v>
      </c>
      <c r="AC30" s="833" t="e">
        <f t="shared" si="13"/>
        <v>#REF!</v>
      </c>
      <c r="AD30" s="832" t="e">
        <f t="shared" si="9"/>
        <v>#REF!</v>
      </c>
      <c r="AE30" s="832" t="e">
        <f t="shared" si="10"/>
        <v>#REF!</v>
      </c>
      <c r="AF30" s="567"/>
      <c r="AH30" s="831">
        <v>2666</v>
      </c>
    </row>
    <row r="31" spans="1:34">
      <c r="A31" s="337">
        <f t="shared" si="11"/>
        <v>24</v>
      </c>
      <c r="B31" s="828" t="s">
        <v>164</v>
      </c>
      <c r="C31" s="500" t="s">
        <v>1568</v>
      </c>
      <c r="D31" s="828" t="str">
        <f t="shared" si="12"/>
        <v>3C X 25+PE</v>
      </c>
      <c r="E31" s="500"/>
      <c r="F31" s="500"/>
      <c r="G31" s="337" t="s">
        <v>358</v>
      </c>
      <c r="H31" s="337" t="s">
        <v>1567</v>
      </c>
      <c r="I31" s="337" t="s">
        <v>115</v>
      </c>
      <c r="J31" s="343" t="s">
        <v>1566</v>
      </c>
      <c r="K31" s="829"/>
      <c r="L31" s="829"/>
      <c r="M31" s="830">
        <f>SUMIF('LV Cable sizing_SS-1'!$X:$X,Summary!D31,'LV Cable sizing_SS-1'!$AX:$AX)</f>
        <v>3781</v>
      </c>
      <c r="N31" s="830">
        <f>SUMIF('LV Cable sizing_SS-2'!$X:$X,Summary!D31,'LV Cable sizing_SS-2'!$AX:$AX)</f>
        <v>0</v>
      </c>
      <c r="O31" s="830">
        <f>SUMIF('LV Cable sizing_SS-3'!$X:$X,Summary!D31,'LV Cable sizing_SS-3'!$AX:$AX)</f>
        <v>0</v>
      </c>
      <c r="P31" s="830" t="e">
        <f>SUMIF(#REF!,Summary!D31,#REF!)</f>
        <v>#REF!</v>
      </c>
      <c r="Q31" s="830" t="e">
        <f>SUMIF(#REF!,Summary!D31,#REF!)</f>
        <v>#REF!</v>
      </c>
      <c r="R31" s="830" t="e">
        <f>SUMIF(#REF!,Summary!D31,#REF!)</f>
        <v>#REF!</v>
      </c>
      <c r="S31" s="831" t="e">
        <f t="shared" si="8"/>
        <v>#REF!</v>
      </c>
      <c r="T31" s="830"/>
      <c r="U31" s="830"/>
      <c r="V31" s="830"/>
      <c r="W31" s="832">
        <f>SUMIF('LV Cable sizing_SS-1'!$X:$X,Summary!D31,'LV Cable sizing_SS-1'!$AZ:$AZ)</f>
        <v>28</v>
      </c>
      <c r="X31" s="832">
        <f>SUMIF('LV Cable sizing_SS-2'!$X:$X,Summary!D31,'LV Cable sizing_SS-2'!$AZ:$AZ)</f>
        <v>0</v>
      </c>
      <c r="Y31" s="832">
        <f>SUMIF('LV Cable sizing_SS-3'!$X:$X,Summary!D31,'LV Cable sizing_SS-3'!$AZ:$AZ)</f>
        <v>0</v>
      </c>
      <c r="Z31" s="832" t="e">
        <f>SUMIF(#REF!,Summary!D31,#REF!)</f>
        <v>#REF!</v>
      </c>
      <c r="AA31" s="832" t="e">
        <f>SUMIF(#REF!,Summary!D31,#REF!)</f>
        <v>#REF!</v>
      </c>
      <c r="AB31" s="832" t="e">
        <f>SUMIF(#REF!,Summary!D31,#REF!)</f>
        <v>#REF!</v>
      </c>
      <c r="AC31" s="833" t="e">
        <f t="shared" si="13"/>
        <v>#REF!</v>
      </c>
      <c r="AD31" s="832" t="e">
        <f t="shared" si="9"/>
        <v>#REF!</v>
      </c>
      <c r="AE31" s="832" t="e">
        <f t="shared" si="10"/>
        <v>#REF!</v>
      </c>
      <c r="AF31" s="567"/>
      <c r="AH31" s="831">
        <v>4730</v>
      </c>
    </row>
    <row r="32" spans="1:34">
      <c r="A32" s="337">
        <f t="shared" ref="A32:A41" si="14">A31+1</f>
        <v>25</v>
      </c>
      <c r="B32" s="828" t="s">
        <v>165</v>
      </c>
      <c r="C32" s="500" t="s">
        <v>1568</v>
      </c>
      <c r="D32" s="828" t="str">
        <f t="shared" si="12"/>
        <v>3C X 35+PE</v>
      </c>
      <c r="E32" s="500"/>
      <c r="F32" s="500"/>
      <c r="G32" s="337" t="s">
        <v>358</v>
      </c>
      <c r="H32" s="337" t="s">
        <v>1567</v>
      </c>
      <c r="I32" s="337" t="s">
        <v>115</v>
      </c>
      <c r="J32" s="343" t="s">
        <v>1566</v>
      </c>
      <c r="K32" s="829"/>
      <c r="L32" s="829"/>
      <c r="M32" s="830">
        <f>SUMIF('LV Cable sizing_SS-1'!$X:$X,Summary!D32,'LV Cable sizing_SS-1'!$AX:$AX)</f>
        <v>2308</v>
      </c>
      <c r="N32" s="830">
        <f>SUMIF('LV Cable sizing_SS-2'!$X:$X,Summary!D32,'LV Cable sizing_SS-2'!$AX:$AX)</f>
        <v>0</v>
      </c>
      <c r="O32" s="830">
        <f>SUMIF('LV Cable sizing_SS-3'!$X:$X,Summary!D32,'LV Cable sizing_SS-3'!$AX:$AX)</f>
        <v>0</v>
      </c>
      <c r="P32" s="830" t="e">
        <f>SUMIF(#REF!,Summary!D32,#REF!)</f>
        <v>#REF!</v>
      </c>
      <c r="Q32" s="830" t="e">
        <f>SUMIF(#REF!,Summary!D32,#REF!)</f>
        <v>#REF!</v>
      </c>
      <c r="R32" s="830" t="e">
        <f>SUMIF(#REF!,Summary!D32,#REF!)</f>
        <v>#REF!</v>
      </c>
      <c r="S32" s="831" t="e">
        <f t="shared" si="8"/>
        <v>#REF!</v>
      </c>
      <c r="T32" s="830"/>
      <c r="U32" s="830"/>
      <c r="V32" s="830"/>
      <c r="W32" s="832">
        <f>SUMIF('LV Cable sizing_SS-1'!$X:$X,Summary!D32,'LV Cable sizing_SS-1'!$AZ:$AZ)</f>
        <v>12</v>
      </c>
      <c r="X32" s="832">
        <f>SUMIF('LV Cable sizing_SS-2'!$X:$X,Summary!D32,'LV Cable sizing_SS-2'!$AZ:$AZ)</f>
        <v>0</v>
      </c>
      <c r="Y32" s="832">
        <f>SUMIF('LV Cable sizing_SS-3'!$X:$X,Summary!D32,'LV Cable sizing_SS-3'!$AZ:$AZ)</f>
        <v>0</v>
      </c>
      <c r="Z32" s="832" t="e">
        <f>SUMIF(#REF!,Summary!D32,#REF!)</f>
        <v>#REF!</v>
      </c>
      <c r="AA32" s="832" t="e">
        <f>SUMIF(#REF!,Summary!D32,#REF!)</f>
        <v>#REF!</v>
      </c>
      <c r="AB32" s="832" t="e">
        <f>SUMIF(#REF!,Summary!D32,#REF!)</f>
        <v>#REF!</v>
      </c>
      <c r="AC32" s="833" t="e">
        <f t="shared" si="13"/>
        <v>#REF!</v>
      </c>
      <c r="AD32" s="832" t="e">
        <f t="shared" si="9"/>
        <v>#REF!</v>
      </c>
      <c r="AE32" s="832" t="e">
        <f t="shared" si="10"/>
        <v>#REF!</v>
      </c>
      <c r="AF32" s="567"/>
      <c r="AH32" s="831">
        <v>2275.6</v>
      </c>
    </row>
    <row r="33" spans="1:34">
      <c r="A33" s="337">
        <f t="shared" si="14"/>
        <v>26</v>
      </c>
      <c r="B33" s="828" t="s">
        <v>166</v>
      </c>
      <c r="C33" s="500" t="s">
        <v>1568</v>
      </c>
      <c r="D33" s="828" t="str">
        <f t="shared" si="12"/>
        <v>3C X 50+PE</v>
      </c>
      <c r="E33" s="500"/>
      <c r="F33" s="500"/>
      <c r="G33" s="337" t="s">
        <v>358</v>
      </c>
      <c r="H33" s="337" t="s">
        <v>1567</v>
      </c>
      <c r="I33" s="337" t="s">
        <v>115</v>
      </c>
      <c r="J33" s="343" t="s">
        <v>1566</v>
      </c>
      <c r="K33" s="829"/>
      <c r="L33" s="829"/>
      <c r="M33" s="830">
        <f>SUMIF('LV Cable sizing_SS-1'!$X:$X,Summary!D33,'LV Cable sizing_SS-1'!$AX:$AX)</f>
        <v>0</v>
      </c>
      <c r="N33" s="830">
        <f>SUMIF('LV Cable sizing_SS-2'!$X:$X,Summary!D33,'LV Cable sizing_SS-2'!$AX:$AX)</f>
        <v>451</v>
      </c>
      <c r="O33" s="830">
        <f>SUMIF('LV Cable sizing_SS-3'!$X:$X,Summary!D33,'LV Cable sizing_SS-3'!$AX:$AX)</f>
        <v>0</v>
      </c>
      <c r="P33" s="830" t="e">
        <f>SUMIF(#REF!,Summary!D33,#REF!)</f>
        <v>#REF!</v>
      </c>
      <c r="Q33" s="830" t="e">
        <f>SUMIF(#REF!,Summary!D33,#REF!)</f>
        <v>#REF!</v>
      </c>
      <c r="R33" s="830" t="e">
        <f>SUMIF(#REF!,Summary!D33,#REF!)</f>
        <v>#REF!</v>
      </c>
      <c r="S33" s="831" t="e">
        <f t="shared" si="8"/>
        <v>#REF!</v>
      </c>
      <c r="T33" s="830"/>
      <c r="U33" s="830"/>
      <c r="V33" s="830"/>
      <c r="W33" s="832">
        <f>SUMIF('LV Cable sizing_SS-1'!$X:$X,Summary!D33,'LV Cable sizing_SS-1'!$AZ:$AZ)</f>
        <v>0</v>
      </c>
      <c r="X33" s="832">
        <f>SUMIF('LV Cable sizing_SS-2'!$X:$X,Summary!D33,'LV Cable sizing_SS-2'!$AZ:$AZ)</f>
        <v>6</v>
      </c>
      <c r="Y33" s="832">
        <f>SUMIF('LV Cable sizing_SS-3'!$X:$X,Summary!D33,'LV Cable sizing_SS-3'!$AZ:$AZ)</f>
        <v>0</v>
      </c>
      <c r="Z33" s="832" t="e">
        <f>SUMIF(#REF!,Summary!D33,#REF!)</f>
        <v>#REF!</v>
      </c>
      <c r="AA33" s="832" t="e">
        <f>SUMIF(#REF!,Summary!D33,#REF!)</f>
        <v>#REF!</v>
      </c>
      <c r="AB33" s="832" t="e">
        <f>SUMIF(#REF!,Summary!D33,#REF!)</f>
        <v>#REF!</v>
      </c>
      <c r="AC33" s="833" t="e">
        <f t="shared" si="13"/>
        <v>#REF!</v>
      </c>
      <c r="AD33" s="832" t="e">
        <f t="shared" si="9"/>
        <v>#REF!</v>
      </c>
      <c r="AE33" s="832" t="e">
        <f t="shared" si="10"/>
        <v>#REF!</v>
      </c>
      <c r="AF33" s="567"/>
      <c r="AH33" s="831">
        <v>589</v>
      </c>
    </row>
    <row r="34" spans="1:34">
      <c r="A34" s="337">
        <f t="shared" si="14"/>
        <v>27</v>
      </c>
      <c r="B34" s="828" t="s">
        <v>167</v>
      </c>
      <c r="C34" s="500" t="s">
        <v>1568</v>
      </c>
      <c r="D34" s="828" t="str">
        <f t="shared" si="12"/>
        <v>3C X 70+PE</v>
      </c>
      <c r="E34" s="500"/>
      <c r="F34" s="500"/>
      <c r="G34" s="337" t="s">
        <v>358</v>
      </c>
      <c r="H34" s="337" t="s">
        <v>1567</v>
      </c>
      <c r="I34" s="337" t="s">
        <v>115</v>
      </c>
      <c r="J34" s="343" t="s">
        <v>1566</v>
      </c>
      <c r="K34" s="829"/>
      <c r="L34" s="829"/>
      <c r="M34" s="830">
        <f>SUMIF('LV Cable sizing_SS-1'!$X:$X,Summary!D34,'LV Cable sizing_SS-1'!$AX:$AX)</f>
        <v>2864</v>
      </c>
      <c r="N34" s="830">
        <f>SUMIF('LV Cable sizing_SS-2'!$X:$X,Summary!D34,'LV Cable sizing_SS-2'!$AX:$AX)</f>
        <v>0</v>
      </c>
      <c r="O34" s="830">
        <f>SUMIF('LV Cable sizing_SS-3'!$X:$X,Summary!D34,'LV Cable sizing_SS-3'!$AX:$AX)</f>
        <v>0</v>
      </c>
      <c r="P34" s="830" t="e">
        <f>SUMIF(#REF!,Summary!D34,#REF!)</f>
        <v>#REF!</v>
      </c>
      <c r="Q34" s="830" t="e">
        <f>SUMIF(#REF!,Summary!D34,#REF!)</f>
        <v>#REF!</v>
      </c>
      <c r="R34" s="830" t="e">
        <f>SUMIF(#REF!,Summary!D34,#REF!)</f>
        <v>#REF!</v>
      </c>
      <c r="S34" s="831" t="e">
        <f t="shared" si="8"/>
        <v>#REF!</v>
      </c>
      <c r="T34" s="830"/>
      <c r="U34" s="830"/>
      <c r="V34" s="830"/>
      <c r="W34" s="832">
        <f>SUMIF('LV Cable sizing_SS-1'!$X:$X,Summary!D34,'LV Cable sizing_SS-1'!$AZ:$AZ)</f>
        <v>24</v>
      </c>
      <c r="X34" s="832">
        <f>SUMIF('LV Cable sizing_SS-2'!$X:$X,Summary!D34,'LV Cable sizing_SS-2'!$AZ:$AZ)</f>
        <v>0</v>
      </c>
      <c r="Y34" s="832">
        <f>SUMIF('LV Cable sizing_SS-3'!$X:$X,Summary!D34,'LV Cable sizing_SS-3'!$AZ:$AZ)</f>
        <v>0</v>
      </c>
      <c r="Z34" s="832" t="e">
        <f>SUMIF(#REF!,Summary!D34,#REF!)</f>
        <v>#REF!</v>
      </c>
      <c r="AA34" s="832" t="e">
        <f>SUMIF(#REF!,Summary!D34,#REF!)</f>
        <v>#REF!</v>
      </c>
      <c r="AB34" s="832" t="e">
        <f>SUMIF(#REF!,Summary!D34,#REF!)</f>
        <v>#REF!</v>
      </c>
      <c r="AC34" s="833" t="e">
        <f t="shared" si="13"/>
        <v>#REF!</v>
      </c>
      <c r="AD34" s="832" t="e">
        <f t="shared" si="9"/>
        <v>#REF!</v>
      </c>
      <c r="AE34" s="832" t="e">
        <f t="shared" si="10"/>
        <v>#REF!</v>
      </c>
      <c r="AF34" s="567"/>
      <c r="AH34" s="831">
        <v>1216</v>
      </c>
    </row>
    <row r="35" spans="1:34">
      <c r="A35" s="337">
        <f t="shared" si="14"/>
        <v>28</v>
      </c>
      <c r="B35" s="828" t="s">
        <v>168</v>
      </c>
      <c r="C35" s="500" t="s">
        <v>1568</v>
      </c>
      <c r="D35" s="828" t="str">
        <f t="shared" si="12"/>
        <v>3C X 95+PE</v>
      </c>
      <c r="E35" s="500"/>
      <c r="F35" s="500"/>
      <c r="G35" s="337" t="s">
        <v>358</v>
      </c>
      <c r="H35" s="337" t="s">
        <v>1567</v>
      </c>
      <c r="I35" s="337" t="s">
        <v>115</v>
      </c>
      <c r="J35" s="343" t="s">
        <v>1566</v>
      </c>
      <c r="K35" s="829"/>
      <c r="L35" s="829"/>
      <c r="M35" s="830">
        <f>SUMIF('LV Cable sizing_SS-1'!$X:$X,Summary!D35,'LV Cable sizing_SS-1'!$AX:$AX)</f>
        <v>5092.5</v>
      </c>
      <c r="N35" s="830">
        <f>SUMIF('LV Cable sizing_SS-2'!$X:$X,Summary!D35,'LV Cable sizing_SS-2'!$AX:$AX)</f>
        <v>900.8</v>
      </c>
      <c r="O35" s="830">
        <f>SUMIF('LV Cable sizing_SS-3'!$X:$X,Summary!D35,'LV Cable sizing_SS-3'!$AX:$AX)</f>
        <v>0</v>
      </c>
      <c r="P35" s="830" t="e">
        <f>SUMIF(#REF!,Summary!D35,#REF!)</f>
        <v>#REF!</v>
      </c>
      <c r="Q35" s="830" t="e">
        <f>SUMIF(#REF!,Summary!D35,#REF!)</f>
        <v>#REF!</v>
      </c>
      <c r="R35" s="830" t="e">
        <f>SUMIF(#REF!,Summary!D35,#REF!)</f>
        <v>#REF!</v>
      </c>
      <c r="S35" s="831" t="e">
        <f t="shared" si="8"/>
        <v>#REF!</v>
      </c>
      <c r="T35" s="830"/>
      <c r="U35" s="830"/>
      <c r="V35" s="830"/>
      <c r="W35" s="832">
        <f>SUMIF('LV Cable sizing_SS-1'!$X:$X,Summary!D35,'LV Cable sizing_SS-1'!$AZ:$AZ)</f>
        <v>24</v>
      </c>
      <c r="X35" s="832">
        <f>SUMIF('LV Cable sizing_SS-2'!$X:$X,Summary!D35,'LV Cable sizing_SS-2'!$AZ:$AZ)</f>
        <v>12</v>
      </c>
      <c r="Y35" s="832">
        <f>SUMIF('LV Cable sizing_SS-3'!$X:$X,Summary!D35,'LV Cable sizing_SS-3'!$AZ:$AZ)</f>
        <v>0</v>
      </c>
      <c r="Z35" s="832" t="e">
        <f>SUMIF(#REF!,Summary!D35,#REF!)</f>
        <v>#REF!</v>
      </c>
      <c r="AA35" s="832" t="e">
        <f>SUMIF(#REF!,Summary!D35,#REF!)</f>
        <v>#REF!</v>
      </c>
      <c r="AB35" s="832" t="e">
        <f>SUMIF(#REF!,Summary!D35,#REF!)</f>
        <v>#REF!</v>
      </c>
      <c r="AC35" s="833" t="e">
        <f t="shared" si="13"/>
        <v>#REF!</v>
      </c>
      <c r="AD35" s="832" t="e">
        <f t="shared" si="9"/>
        <v>#REF!</v>
      </c>
      <c r="AE35" s="832" t="e">
        <f t="shared" si="10"/>
        <v>#REF!</v>
      </c>
      <c r="AF35" s="567"/>
      <c r="AH35" s="831">
        <v>5243.3</v>
      </c>
    </row>
    <row r="36" spans="1:34">
      <c r="A36" s="337">
        <f t="shared" si="14"/>
        <v>29</v>
      </c>
      <c r="B36" s="828" t="s">
        <v>169</v>
      </c>
      <c r="C36" s="500" t="s">
        <v>1568</v>
      </c>
      <c r="D36" s="828" t="str">
        <f t="shared" si="12"/>
        <v>3C X 120+PE</v>
      </c>
      <c r="E36" s="500"/>
      <c r="F36" s="500"/>
      <c r="G36" s="337" t="s">
        <v>358</v>
      </c>
      <c r="H36" s="337" t="s">
        <v>1567</v>
      </c>
      <c r="I36" s="337" t="s">
        <v>115</v>
      </c>
      <c r="J36" s="343" t="s">
        <v>1566</v>
      </c>
      <c r="K36" s="829"/>
      <c r="L36" s="829"/>
      <c r="M36" s="830">
        <f>SUMIF('LV Cable sizing_SS-1'!$X:$X,Summary!D36,'LV Cable sizing_SS-1'!$AX:$AX)</f>
        <v>0</v>
      </c>
      <c r="N36" s="830">
        <f>SUMIF('LV Cable sizing_SS-2'!$X:$X,Summary!D36,'LV Cable sizing_SS-2'!$AX:$AX)</f>
        <v>0</v>
      </c>
      <c r="O36" s="830">
        <f>SUMIF('LV Cable sizing_SS-3'!$X:$X,Summary!D36,'LV Cable sizing_SS-3'!$AX:$AX)</f>
        <v>0</v>
      </c>
      <c r="P36" s="830" t="e">
        <f>SUMIF(#REF!,Summary!D36,#REF!)</f>
        <v>#REF!</v>
      </c>
      <c r="Q36" s="830" t="e">
        <f>SUMIF(#REF!,Summary!D36,#REF!)</f>
        <v>#REF!</v>
      </c>
      <c r="R36" s="830" t="e">
        <f>SUMIF(#REF!,Summary!D36,#REF!)</f>
        <v>#REF!</v>
      </c>
      <c r="S36" s="831" t="e">
        <f t="shared" si="8"/>
        <v>#REF!</v>
      </c>
      <c r="T36" s="830"/>
      <c r="U36" s="830"/>
      <c r="V36" s="830"/>
      <c r="W36" s="832">
        <f>SUMIF('LV Cable sizing_SS-1'!$X:$X,Summary!D36,'LV Cable sizing_SS-1'!$AZ:$AZ)</f>
        <v>0</v>
      </c>
      <c r="X36" s="832">
        <f>SUMIF('LV Cable sizing_SS-2'!$X:$X,Summary!D36,'LV Cable sizing_SS-2'!$AZ:$AZ)</f>
        <v>0</v>
      </c>
      <c r="Y36" s="832">
        <f>SUMIF('LV Cable sizing_SS-3'!$X:$X,Summary!D36,'LV Cable sizing_SS-3'!$AZ:$AZ)</f>
        <v>0</v>
      </c>
      <c r="Z36" s="832" t="e">
        <f>SUMIF(#REF!,Summary!D36,#REF!)</f>
        <v>#REF!</v>
      </c>
      <c r="AA36" s="832" t="e">
        <f>SUMIF(#REF!,Summary!D36,#REF!)</f>
        <v>#REF!</v>
      </c>
      <c r="AB36" s="832" t="e">
        <f>SUMIF(#REF!,Summary!D36,#REF!)</f>
        <v>#REF!</v>
      </c>
      <c r="AC36" s="833" t="e">
        <f t="shared" si="13"/>
        <v>#REF!</v>
      </c>
      <c r="AD36" s="832" t="e">
        <f t="shared" si="9"/>
        <v>#REF!</v>
      </c>
      <c r="AE36" s="832" t="e">
        <f t="shared" si="10"/>
        <v>#REF!</v>
      </c>
      <c r="AF36" s="567"/>
      <c r="AH36" s="831">
        <v>1560.5</v>
      </c>
    </row>
    <row r="37" spans="1:34">
      <c r="A37" s="337">
        <f t="shared" si="14"/>
        <v>30</v>
      </c>
      <c r="B37" s="828" t="s">
        <v>170</v>
      </c>
      <c r="C37" s="500" t="s">
        <v>1568</v>
      </c>
      <c r="D37" s="828" t="str">
        <f t="shared" si="12"/>
        <v>3C X 150+PE</v>
      </c>
      <c r="E37" s="500"/>
      <c r="F37" s="500"/>
      <c r="G37" s="337" t="s">
        <v>358</v>
      </c>
      <c r="H37" s="337" t="s">
        <v>1567</v>
      </c>
      <c r="I37" s="337" t="s">
        <v>115</v>
      </c>
      <c r="J37" s="343" t="s">
        <v>1566</v>
      </c>
      <c r="K37" s="829"/>
      <c r="L37" s="829"/>
      <c r="M37" s="830">
        <f>SUMIF('LV Cable sizing_SS-1'!$X:$X,Summary!D37,'LV Cable sizing_SS-1'!$AX:$AX)</f>
        <v>1488</v>
      </c>
      <c r="N37" s="830">
        <f>SUMIF('LV Cable sizing_SS-2'!$X:$X,Summary!D37,'LV Cable sizing_SS-2'!$AX:$AX)</f>
        <v>588</v>
      </c>
      <c r="O37" s="830">
        <f>SUMIF('LV Cable sizing_SS-3'!$X:$X,Summary!D37,'LV Cable sizing_SS-3'!$AX:$AX)</f>
        <v>0</v>
      </c>
      <c r="P37" s="830" t="e">
        <f>SUMIF(#REF!,Summary!D37,#REF!)</f>
        <v>#REF!</v>
      </c>
      <c r="Q37" s="830" t="e">
        <f>SUMIF(#REF!,Summary!D37,#REF!)</f>
        <v>#REF!</v>
      </c>
      <c r="R37" s="830" t="e">
        <f>SUMIF(#REF!,Summary!D37,#REF!)</f>
        <v>#REF!</v>
      </c>
      <c r="S37" s="831" t="e">
        <f t="shared" si="8"/>
        <v>#REF!</v>
      </c>
      <c r="T37" s="830"/>
      <c r="U37" s="830"/>
      <c r="V37" s="830"/>
      <c r="W37" s="832">
        <f>SUMIF('LV Cable sizing_SS-1'!$X:$X,Summary!D37,'LV Cable sizing_SS-1'!$AZ:$AZ)</f>
        <v>8</v>
      </c>
      <c r="X37" s="832">
        <f>SUMIF('LV Cable sizing_SS-2'!$X:$X,Summary!D37,'LV Cable sizing_SS-2'!$AZ:$AZ)</f>
        <v>6</v>
      </c>
      <c r="Y37" s="832">
        <f>SUMIF('LV Cable sizing_SS-3'!$X:$X,Summary!D37,'LV Cable sizing_SS-3'!$AZ:$AZ)</f>
        <v>0</v>
      </c>
      <c r="Z37" s="832" t="e">
        <f>SUMIF(#REF!,Summary!D37,#REF!)</f>
        <v>#REF!</v>
      </c>
      <c r="AA37" s="832" t="e">
        <f>SUMIF(#REF!,Summary!D37,#REF!)</f>
        <v>#REF!</v>
      </c>
      <c r="AB37" s="832" t="e">
        <f>SUMIF(#REF!,Summary!D37,#REF!)</f>
        <v>#REF!</v>
      </c>
      <c r="AC37" s="833" t="e">
        <f t="shared" si="13"/>
        <v>#REF!</v>
      </c>
      <c r="AD37" s="832" t="e">
        <f t="shared" si="9"/>
        <v>#REF!</v>
      </c>
      <c r="AE37" s="832" t="e">
        <f t="shared" si="10"/>
        <v>#REF!</v>
      </c>
      <c r="AF37" s="567"/>
      <c r="AH37" s="831">
        <v>1488</v>
      </c>
    </row>
    <row r="38" spans="1:34">
      <c r="A38" s="337">
        <f t="shared" si="14"/>
        <v>31</v>
      </c>
      <c r="B38" s="828" t="s">
        <v>171</v>
      </c>
      <c r="C38" s="500" t="s">
        <v>1568</v>
      </c>
      <c r="D38" s="828" t="str">
        <f t="shared" si="12"/>
        <v>3C X 185+PE</v>
      </c>
      <c r="E38" s="500"/>
      <c r="F38" s="500"/>
      <c r="G38" s="337" t="s">
        <v>358</v>
      </c>
      <c r="H38" s="337" t="s">
        <v>1567</v>
      </c>
      <c r="I38" s="337" t="s">
        <v>115</v>
      </c>
      <c r="J38" s="343" t="s">
        <v>1566</v>
      </c>
      <c r="K38" s="829"/>
      <c r="L38" s="829"/>
      <c r="M38" s="830">
        <f>SUMIF('LV Cable sizing_SS-1'!$X:$X,Summary!D38,'LV Cable sizing_SS-1'!$AX:$AX)</f>
        <v>0</v>
      </c>
      <c r="N38" s="830">
        <f>SUMIF('LV Cable sizing_SS-2'!$X:$X,Summary!D38,'LV Cable sizing_SS-2'!$AX:$AX)</f>
        <v>1288</v>
      </c>
      <c r="O38" s="830">
        <f>SUMIF('LV Cable sizing_SS-3'!$X:$X,Summary!D38,'LV Cable sizing_SS-3'!$AX:$AX)</f>
        <v>0</v>
      </c>
      <c r="P38" s="830" t="e">
        <f>SUMIF(#REF!,Summary!D38,#REF!)</f>
        <v>#REF!</v>
      </c>
      <c r="Q38" s="830" t="e">
        <f>SUMIF(#REF!,Summary!D38,#REF!)</f>
        <v>#REF!</v>
      </c>
      <c r="R38" s="830" t="e">
        <f>SUMIF(#REF!,Summary!D38,#REF!)</f>
        <v>#REF!</v>
      </c>
      <c r="S38" s="831" t="e">
        <f t="shared" si="8"/>
        <v>#REF!</v>
      </c>
      <c r="T38" s="830"/>
      <c r="U38" s="830"/>
      <c r="V38" s="830"/>
      <c r="W38" s="832">
        <f>SUMIF('LV Cable sizing_SS-1'!$X:$X,Summary!D38,'LV Cable sizing_SS-1'!$AZ:$AZ)</f>
        <v>0</v>
      </c>
      <c r="X38" s="832">
        <f>SUMIF('LV Cable sizing_SS-2'!$X:$X,Summary!D38,'LV Cable sizing_SS-2'!$AZ:$AZ)</f>
        <v>16</v>
      </c>
      <c r="Y38" s="832">
        <f>SUMIF('LV Cable sizing_SS-3'!$X:$X,Summary!D38,'LV Cable sizing_SS-3'!$AZ:$AZ)</f>
        <v>0</v>
      </c>
      <c r="Z38" s="832" t="e">
        <f>SUMIF(#REF!,Summary!D38,#REF!)</f>
        <v>#REF!</v>
      </c>
      <c r="AA38" s="832" t="e">
        <f>SUMIF(#REF!,Summary!D38,#REF!)</f>
        <v>#REF!</v>
      </c>
      <c r="AB38" s="832" t="e">
        <f>SUMIF(#REF!,Summary!D38,#REF!)</f>
        <v>#REF!</v>
      </c>
      <c r="AC38" s="833" t="e">
        <f t="shared" si="13"/>
        <v>#REF!</v>
      </c>
      <c r="AD38" s="832" t="e">
        <f t="shared" si="9"/>
        <v>#REF!</v>
      </c>
      <c r="AE38" s="832" t="e">
        <f t="shared" si="10"/>
        <v>#REF!</v>
      </c>
      <c r="AF38" s="567"/>
      <c r="AH38" s="831">
        <v>1288</v>
      </c>
    </row>
    <row r="39" spans="1:34">
      <c r="A39" s="337">
        <f t="shared" si="14"/>
        <v>32</v>
      </c>
      <c r="B39" s="828" t="s">
        <v>172</v>
      </c>
      <c r="C39" s="500" t="s">
        <v>1568</v>
      </c>
      <c r="D39" s="828" t="str">
        <f t="shared" si="12"/>
        <v>3C X 240+PE</v>
      </c>
      <c r="E39" s="500"/>
      <c r="F39" s="500"/>
      <c r="G39" s="337" t="s">
        <v>358</v>
      </c>
      <c r="H39" s="337" t="s">
        <v>1567</v>
      </c>
      <c r="I39" s="337" t="s">
        <v>115</v>
      </c>
      <c r="J39" s="343" t="s">
        <v>1566</v>
      </c>
      <c r="K39" s="829"/>
      <c r="L39" s="829"/>
      <c r="M39" s="830">
        <f>SUMIF('LV Cable sizing_SS-1'!$X:$X,Summary!D39,'LV Cable sizing_SS-1'!$AX:$AX)</f>
        <v>0</v>
      </c>
      <c r="N39" s="830">
        <f>SUMIF('LV Cable sizing_SS-2'!$X:$X,Summary!D39,'LV Cable sizing_SS-2'!$AX:$AX)</f>
        <v>1284</v>
      </c>
      <c r="O39" s="830">
        <f>SUMIF('LV Cable sizing_SS-3'!$X:$X,Summary!D39,'LV Cable sizing_SS-3'!$AX:$AX)</f>
        <v>0</v>
      </c>
      <c r="P39" s="830" t="e">
        <f>SUMIF(#REF!,Summary!D39,#REF!)</f>
        <v>#REF!</v>
      </c>
      <c r="Q39" s="830" t="e">
        <f>SUMIF(#REF!,Summary!D39,#REF!)</f>
        <v>#REF!</v>
      </c>
      <c r="R39" s="830" t="e">
        <f>SUMIF(#REF!,Summary!D39,#REF!)</f>
        <v>#REF!</v>
      </c>
      <c r="S39" s="831" t="e">
        <f t="shared" si="8"/>
        <v>#REF!</v>
      </c>
      <c r="T39" s="830"/>
      <c r="U39" s="830"/>
      <c r="V39" s="830"/>
      <c r="W39" s="832">
        <f>SUMIF('LV Cable sizing_SS-1'!$X:$X,Summary!D39,'LV Cable sizing_SS-1'!$AZ:$AZ)</f>
        <v>0</v>
      </c>
      <c r="X39" s="832">
        <f>SUMIF('LV Cable sizing_SS-2'!$X:$X,Summary!D39,'LV Cable sizing_SS-2'!$AZ:$AZ)</f>
        <v>12</v>
      </c>
      <c r="Y39" s="832">
        <f>SUMIF('LV Cable sizing_SS-3'!$X:$X,Summary!D39,'LV Cable sizing_SS-3'!$AZ:$AZ)</f>
        <v>0</v>
      </c>
      <c r="Z39" s="832" t="e">
        <f>SUMIF(#REF!,Summary!D39,#REF!)</f>
        <v>#REF!</v>
      </c>
      <c r="AA39" s="832" t="e">
        <f>SUMIF(#REF!,Summary!D39,#REF!)</f>
        <v>#REF!</v>
      </c>
      <c r="AB39" s="832" t="e">
        <f>SUMIF(#REF!,Summary!D39,#REF!)</f>
        <v>#REF!</v>
      </c>
      <c r="AC39" s="833" t="e">
        <f t="shared" si="13"/>
        <v>#REF!</v>
      </c>
      <c r="AD39" s="832" t="e">
        <f t="shared" si="9"/>
        <v>#REF!</v>
      </c>
      <c r="AE39" s="832" t="e">
        <f t="shared" si="10"/>
        <v>#REF!</v>
      </c>
      <c r="AF39" s="567"/>
      <c r="AH39" s="831">
        <v>828</v>
      </c>
    </row>
    <row r="40" spans="1:34">
      <c r="A40" s="337">
        <f t="shared" si="14"/>
        <v>33</v>
      </c>
      <c r="B40" s="828" t="s">
        <v>173</v>
      </c>
      <c r="C40" s="500" t="s">
        <v>1568</v>
      </c>
      <c r="D40" s="835" t="str">
        <f t="shared" si="12"/>
        <v>3C X 300+PE</v>
      </c>
      <c r="E40" s="500"/>
      <c r="F40" s="500"/>
      <c r="G40" s="337" t="s">
        <v>358</v>
      </c>
      <c r="H40" s="337" t="s">
        <v>1567</v>
      </c>
      <c r="I40" s="337" t="s">
        <v>115</v>
      </c>
      <c r="J40" s="343" t="s">
        <v>1566</v>
      </c>
      <c r="K40" s="829"/>
      <c r="L40" s="829"/>
      <c r="M40" s="830">
        <f>SUMIF('LV Cable sizing_SS-1'!$X:$X,Summary!D40,'LV Cable sizing_SS-1'!$AX:$AX)</f>
        <v>1426</v>
      </c>
      <c r="N40" s="830">
        <f>SUMIF('LV Cable sizing_SS-2'!$X:$X,Summary!D40,'LV Cable sizing_SS-2'!$AX:$AX)</f>
        <v>0</v>
      </c>
      <c r="O40" s="830">
        <f>SUMIF('LV Cable sizing_SS-3'!$X:$X,Summary!D40,'LV Cable sizing_SS-3'!$AX:$AX)</f>
        <v>0</v>
      </c>
      <c r="P40" s="830" t="e">
        <f>SUMIF(#REF!,Summary!D40,#REF!)</f>
        <v>#REF!</v>
      </c>
      <c r="Q40" s="830" t="e">
        <f>SUMIF(#REF!,Summary!D40,#REF!)</f>
        <v>#REF!</v>
      </c>
      <c r="R40" s="830" t="e">
        <f>SUMIF(#REF!,Summary!D40,#REF!)</f>
        <v>#REF!</v>
      </c>
      <c r="S40" s="831" t="e">
        <f t="shared" si="8"/>
        <v>#REF!</v>
      </c>
      <c r="T40" s="830"/>
      <c r="U40" s="830"/>
      <c r="V40" s="830"/>
      <c r="W40" s="832">
        <f>SUMIF('LV Cable sizing_SS-1'!$X:$X,Summary!D40,'LV Cable sizing_SS-1'!$AZ:$AZ)</f>
        <v>12</v>
      </c>
      <c r="X40" s="832">
        <f>SUMIF('LV Cable sizing_SS-2'!$X:$X,Summary!D40,'LV Cable sizing_SS-2'!$AZ:$AZ)</f>
        <v>0</v>
      </c>
      <c r="Y40" s="832">
        <f>SUMIF('LV Cable sizing_SS-3'!$X:$X,Summary!D40,'LV Cable sizing_SS-3'!$AZ:$AZ)</f>
        <v>0</v>
      </c>
      <c r="Z40" s="832" t="e">
        <f>SUMIF(#REF!,Summary!D40,#REF!)</f>
        <v>#REF!</v>
      </c>
      <c r="AA40" s="832" t="e">
        <f>SUMIF(#REF!,Summary!D40,#REF!)</f>
        <v>#REF!</v>
      </c>
      <c r="AB40" s="832" t="e">
        <f>SUMIF(#REF!,Summary!D40,#REF!)</f>
        <v>#REF!</v>
      </c>
      <c r="AC40" s="833" t="e">
        <f t="shared" si="13"/>
        <v>#REF!</v>
      </c>
      <c r="AD40" s="832" t="e">
        <f t="shared" si="9"/>
        <v>#REF!</v>
      </c>
      <c r="AE40" s="832" t="e">
        <f t="shared" si="10"/>
        <v>#REF!</v>
      </c>
      <c r="AF40" s="567"/>
      <c r="AH40" s="831">
        <v>1898</v>
      </c>
    </row>
    <row r="41" spans="1:34">
      <c r="A41" s="337">
        <f t="shared" si="14"/>
        <v>34</v>
      </c>
      <c r="B41" s="828" t="s">
        <v>174</v>
      </c>
      <c r="C41" s="500" t="s">
        <v>1568</v>
      </c>
      <c r="D41" s="828" t="str">
        <f t="shared" si="12"/>
        <v>3C X 400+PE</v>
      </c>
      <c r="E41" s="500"/>
      <c r="F41" s="500"/>
      <c r="G41" s="337" t="s">
        <v>358</v>
      </c>
      <c r="H41" s="337" t="s">
        <v>1567</v>
      </c>
      <c r="I41" s="337" t="s">
        <v>115</v>
      </c>
      <c r="J41" s="343" t="s">
        <v>1566</v>
      </c>
      <c r="K41" s="829"/>
      <c r="L41" s="829"/>
      <c r="M41" s="830">
        <f>SUMIF('LV Cable sizing_SS-1'!$X:$X,Summary!D41,'LV Cable sizing_SS-1'!$AX:$AX)</f>
        <v>0</v>
      </c>
      <c r="N41" s="830">
        <f>SUMIF('LV Cable sizing_SS-2'!$X:$X,Summary!D41,'LV Cable sizing_SS-2'!$AX:$AX)</f>
        <v>0</v>
      </c>
      <c r="O41" s="830">
        <f>SUMIF('LV Cable sizing_SS-3'!$X:$X,Summary!D41,'LV Cable sizing_SS-3'!$AX:$AX)</f>
        <v>0</v>
      </c>
      <c r="P41" s="830" t="e">
        <f>SUMIF(#REF!,Summary!D41,#REF!)</f>
        <v>#REF!</v>
      </c>
      <c r="Q41" s="830" t="e">
        <f>SUMIF(#REF!,Summary!D41,#REF!)</f>
        <v>#REF!</v>
      </c>
      <c r="R41" s="830" t="e">
        <f>SUMIF(#REF!,Summary!D41,#REF!)</f>
        <v>#REF!</v>
      </c>
      <c r="S41" s="831" t="e">
        <f t="shared" si="8"/>
        <v>#REF!</v>
      </c>
      <c r="T41" s="830"/>
      <c r="U41" s="830"/>
      <c r="V41" s="830"/>
      <c r="W41" s="832">
        <f>SUMIF('LV Cable sizing_SS-1'!$X:$X,Summary!D41,'LV Cable sizing_SS-1'!$AZ:$AZ)</f>
        <v>0</v>
      </c>
      <c r="X41" s="832">
        <f>SUMIF('LV Cable sizing_SS-2'!$X:$X,Summary!D41,'LV Cable sizing_SS-2'!$AZ:$AZ)</f>
        <v>0</v>
      </c>
      <c r="Y41" s="832">
        <f>SUMIF('LV Cable sizing_SS-3'!$X:$X,Summary!D41,'LV Cable sizing_SS-3'!$AZ:$AZ)</f>
        <v>0</v>
      </c>
      <c r="Z41" s="832" t="e">
        <f>SUMIF(#REF!,Summary!D41,#REF!)</f>
        <v>#REF!</v>
      </c>
      <c r="AA41" s="832"/>
      <c r="AB41" s="832" t="e">
        <f>SUMIF(#REF!,Summary!D41,#REF!)</f>
        <v>#REF!</v>
      </c>
      <c r="AC41" s="833" t="e">
        <f t="shared" si="13"/>
        <v>#REF!</v>
      </c>
      <c r="AD41" s="832" t="e">
        <f t="shared" si="9"/>
        <v>#REF!</v>
      </c>
      <c r="AE41" s="832" t="e">
        <f t="shared" si="10"/>
        <v>#REF!</v>
      </c>
      <c r="AF41" s="567"/>
      <c r="AH41" s="831">
        <v>0</v>
      </c>
    </row>
    <row r="42" spans="1:34">
      <c r="A42" s="373"/>
      <c r="B42" s="824"/>
      <c r="C42" s="824"/>
      <c r="D42" s="824"/>
      <c r="E42" s="824"/>
      <c r="F42" s="824"/>
      <c r="G42" s="373"/>
      <c r="H42" s="373"/>
      <c r="I42" s="373"/>
      <c r="J42" s="376"/>
      <c r="K42" s="825"/>
      <c r="L42" s="825"/>
      <c r="M42" s="826"/>
      <c r="N42" s="826"/>
      <c r="O42" s="826"/>
      <c r="P42" s="826"/>
      <c r="Q42" s="826"/>
      <c r="R42" s="826"/>
      <c r="S42" s="827"/>
      <c r="T42" s="827"/>
      <c r="U42" s="827"/>
      <c r="V42" s="827"/>
      <c r="W42" s="827"/>
      <c r="X42" s="827"/>
      <c r="Y42" s="827"/>
      <c r="Z42" s="827"/>
      <c r="AA42" s="827"/>
      <c r="AB42" s="827"/>
      <c r="AC42" s="827"/>
      <c r="AD42" s="827"/>
      <c r="AE42" s="827"/>
      <c r="AF42" s="826"/>
      <c r="AH42" s="827"/>
    </row>
    <row r="43" spans="1:34">
      <c r="A43" s="337">
        <f>A41+1</f>
        <v>35</v>
      </c>
      <c r="B43" s="828" t="s">
        <v>182</v>
      </c>
      <c r="C43" s="500"/>
      <c r="D43" s="828" t="str">
        <f t="shared" ref="D43:D89" si="15">B43</f>
        <v>3.5C X 25</v>
      </c>
      <c r="E43" s="500"/>
      <c r="F43" s="500"/>
      <c r="G43" s="337" t="s">
        <v>358</v>
      </c>
      <c r="H43" s="337" t="s">
        <v>1567</v>
      </c>
      <c r="I43" s="337" t="s">
        <v>115</v>
      </c>
      <c r="J43" s="343" t="s">
        <v>1566</v>
      </c>
      <c r="K43" s="829"/>
      <c r="L43" s="829"/>
      <c r="M43" s="830">
        <f>SUMIF('LV Cable sizing_SS-1'!$X:$X,Summary!D43,'LV Cable sizing_SS-1'!$AX:$AX)</f>
        <v>3298</v>
      </c>
      <c r="N43" s="830">
        <f>SUMIF('LV Cable sizing_SS-2'!$X:$X,Summary!D43,'LV Cable sizing_SS-2'!$AX:$AX)</f>
        <v>2452</v>
      </c>
      <c r="O43" s="830">
        <f>SUMIF('LV Cable sizing_SS-3'!$X:$X,Summary!D43,'LV Cable sizing_SS-3'!$AX:$AX)</f>
        <v>55</v>
      </c>
      <c r="P43" s="830" t="e">
        <f>SUMIF(#REF!,Summary!D43,#REF!)</f>
        <v>#REF!</v>
      </c>
      <c r="Q43" s="830" t="e">
        <f>SUMIF(#REF!,Summary!D43,#REF!)</f>
        <v>#REF!</v>
      </c>
      <c r="R43" s="830" t="e">
        <f>SUMIF(#REF!,Summary!D43,#REF!)</f>
        <v>#REF!</v>
      </c>
      <c r="S43" s="831" t="e">
        <f t="shared" ref="S43:S53" si="16">SUM(K43:R43)</f>
        <v>#REF!</v>
      </c>
      <c r="T43" s="830"/>
      <c r="U43" s="830"/>
      <c r="V43" s="830"/>
      <c r="W43" s="832">
        <f>SUMIF('LV Cable sizing_SS-1'!$X:$X,Summary!D43,'LV Cable sizing_SS-1'!$AZ:$AZ)</f>
        <v>36</v>
      </c>
      <c r="X43" s="832">
        <f>SUMIF('LV Cable sizing_SS-2'!$X:$X,Summary!D43,'LV Cable sizing_SS-2'!$AZ:$AZ)</f>
        <v>26</v>
      </c>
      <c r="Y43" s="832">
        <f>SUMIF('LV Cable sizing_SS-3'!$X:$X,Summary!D43,'LV Cable sizing_SS-3'!$AZ:$AZ)</f>
        <v>4</v>
      </c>
      <c r="Z43" s="832" t="e">
        <f>SUMIF(#REF!,Summary!D43,#REF!)</f>
        <v>#REF!</v>
      </c>
      <c r="AA43" s="832" t="e">
        <f>SUMIF(#REF!,Summary!D43,#REF!)</f>
        <v>#REF!</v>
      </c>
      <c r="AB43" s="832" t="e">
        <f>SUMIF(#REF!,Summary!D43,#REF!)</f>
        <v>#REF!</v>
      </c>
      <c r="AC43" s="833" t="e">
        <f t="shared" ref="AC43:AC53" si="17">SUM(U43:AB43)</f>
        <v>#REF!</v>
      </c>
      <c r="AD43" s="832" t="e">
        <f t="shared" ref="AD43:AD53" si="18">CEILING((AC43*0.05),1)</f>
        <v>#REF!</v>
      </c>
      <c r="AE43" s="832" t="e">
        <f t="shared" ref="AE43:AE53" si="19">SUM(AC43+AD43)</f>
        <v>#REF!</v>
      </c>
      <c r="AF43" s="567"/>
      <c r="AH43" s="831">
        <v>5733</v>
      </c>
    </row>
    <row r="44" spans="1:34">
      <c r="A44" s="337">
        <f t="shared" ref="A44:A53" si="20">A43+1</f>
        <v>36</v>
      </c>
      <c r="B44" s="828" t="s">
        <v>183</v>
      </c>
      <c r="C44" s="500"/>
      <c r="D44" s="828" t="str">
        <f t="shared" si="15"/>
        <v>3.5C X 35</v>
      </c>
      <c r="E44" s="500"/>
      <c r="F44" s="500"/>
      <c r="G44" s="337" t="s">
        <v>358</v>
      </c>
      <c r="H44" s="337" t="s">
        <v>1567</v>
      </c>
      <c r="I44" s="337" t="s">
        <v>115</v>
      </c>
      <c r="J44" s="343" t="s">
        <v>1566</v>
      </c>
      <c r="K44" s="829"/>
      <c r="L44" s="829"/>
      <c r="M44" s="830">
        <f>SUMIF('LV Cable sizing_SS-1'!$X:$X,Summary!D44,'LV Cable sizing_SS-1'!$AX:$AX)</f>
        <v>6541</v>
      </c>
      <c r="N44" s="830">
        <f>SUMIF('LV Cable sizing_SS-2'!$X:$X,Summary!D44,'LV Cable sizing_SS-2'!$AX:$AX)</f>
        <v>2646</v>
      </c>
      <c r="O44" s="830">
        <f>SUMIF('LV Cable sizing_SS-3'!$X:$X,Summary!D44,'LV Cable sizing_SS-3'!$AX:$AX)</f>
        <v>48</v>
      </c>
      <c r="P44" s="830" t="e">
        <f>SUMIF(#REF!,Summary!D44,#REF!)</f>
        <v>#REF!</v>
      </c>
      <c r="Q44" s="830" t="e">
        <f>SUMIF(#REF!,Summary!D44,#REF!)</f>
        <v>#REF!</v>
      </c>
      <c r="R44" s="830" t="e">
        <f>SUMIF(#REF!,Summary!D44,#REF!)</f>
        <v>#REF!</v>
      </c>
      <c r="S44" s="831" t="e">
        <f t="shared" si="16"/>
        <v>#REF!</v>
      </c>
      <c r="T44" s="830"/>
      <c r="U44" s="830"/>
      <c r="V44" s="830"/>
      <c r="W44" s="832">
        <f>SUMIF('LV Cable sizing_SS-1'!$X:$X,Summary!D44,'LV Cable sizing_SS-1'!$AZ:$AZ)</f>
        <v>44</v>
      </c>
      <c r="X44" s="832">
        <f>SUMIF('LV Cable sizing_SS-2'!$X:$X,Summary!D44,'LV Cable sizing_SS-2'!$AZ:$AZ)</f>
        <v>28</v>
      </c>
      <c r="Y44" s="832">
        <f>SUMIF('LV Cable sizing_SS-3'!$X:$X,Summary!D44,'LV Cable sizing_SS-3'!$AZ:$AZ)</f>
        <v>4</v>
      </c>
      <c r="Z44" s="832" t="e">
        <f>SUMIF(#REF!,Summary!D44,#REF!)</f>
        <v>#REF!</v>
      </c>
      <c r="AA44" s="832" t="e">
        <f>SUMIF(#REF!,Summary!D44,#REF!)</f>
        <v>#REF!</v>
      </c>
      <c r="AB44" s="832" t="e">
        <f>SUMIF(#REF!,Summary!D44,#REF!)</f>
        <v>#REF!</v>
      </c>
      <c r="AC44" s="833" t="e">
        <f t="shared" si="17"/>
        <v>#REF!</v>
      </c>
      <c r="AD44" s="832" t="e">
        <f t="shared" si="18"/>
        <v>#REF!</v>
      </c>
      <c r="AE44" s="832" t="e">
        <f t="shared" si="19"/>
        <v>#REF!</v>
      </c>
      <c r="AF44" s="567"/>
      <c r="AH44" s="831">
        <v>10756</v>
      </c>
    </row>
    <row r="45" spans="1:34">
      <c r="A45" s="337">
        <f t="shared" si="20"/>
        <v>37</v>
      </c>
      <c r="B45" s="828" t="s">
        <v>184</v>
      </c>
      <c r="C45" s="500"/>
      <c r="D45" s="828" t="str">
        <f t="shared" si="15"/>
        <v>3.5C X 50</v>
      </c>
      <c r="E45" s="500"/>
      <c r="F45" s="500"/>
      <c r="G45" s="337" t="s">
        <v>358</v>
      </c>
      <c r="H45" s="337" t="s">
        <v>1567</v>
      </c>
      <c r="I45" s="337" t="s">
        <v>115</v>
      </c>
      <c r="J45" s="343" t="s">
        <v>1566</v>
      </c>
      <c r="K45" s="829"/>
      <c r="L45" s="829"/>
      <c r="M45" s="830">
        <f>SUMIF('LV Cable sizing_SS-1'!$X:$X,Summary!D45,'LV Cable sizing_SS-1'!$AX:$AX)</f>
        <v>3453</v>
      </c>
      <c r="N45" s="830">
        <f>SUMIF('LV Cable sizing_SS-2'!$X:$X,Summary!D45,'LV Cable sizing_SS-2'!$AX:$AX)</f>
        <v>260</v>
      </c>
      <c r="O45" s="830">
        <f>SUMIF('LV Cable sizing_SS-3'!$X:$X,Summary!D45,'LV Cable sizing_SS-3'!$AX:$AX)</f>
        <v>38</v>
      </c>
      <c r="P45" s="830" t="e">
        <f>SUMIF(#REF!,Summary!D45,#REF!)</f>
        <v>#REF!</v>
      </c>
      <c r="Q45" s="830" t="e">
        <f>SUMIF(#REF!,Summary!D45,#REF!)</f>
        <v>#REF!</v>
      </c>
      <c r="R45" s="830" t="e">
        <f>SUMIF(#REF!,Summary!D45,#REF!)</f>
        <v>#REF!</v>
      </c>
      <c r="S45" s="831" t="e">
        <f t="shared" si="16"/>
        <v>#REF!</v>
      </c>
      <c r="T45" s="830"/>
      <c r="U45" s="830"/>
      <c r="V45" s="830"/>
      <c r="W45" s="832">
        <f>SUMIF('LV Cable sizing_SS-1'!$X:$X,Summary!D45,'LV Cable sizing_SS-1'!$AZ:$AZ)</f>
        <v>18</v>
      </c>
      <c r="X45" s="832">
        <f>SUMIF('LV Cable sizing_SS-2'!$X:$X,Summary!D45,'LV Cable sizing_SS-2'!$AZ:$AZ)</f>
        <v>2</v>
      </c>
      <c r="Y45" s="832">
        <f>SUMIF('LV Cable sizing_SS-3'!$X:$X,Summary!D45,'LV Cable sizing_SS-3'!$AZ:$AZ)</f>
        <v>4</v>
      </c>
      <c r="Z45" s="832" t="e">
        <f>SUMIF(#REF!,Summary!D45,#REF!)</f>
        <v>#REF!</v>
      </c>
      <c r="AA45" s="832" t="e">
        <f>SUMIF(#REF!,Summary!D45,#REF!)</f>
        <v>#REF!</v>
      </c>
      <c r="AB45" s="832" t="e">
        <f>SUMIF(#REF!,Summary!D45,#REF!)</f>
        <v>#REF!</v>
      </c>
      <c r="AC45" s="833" t="e">
        <f t="shared" si="17"/>
        <v>#REF!</v>
      </c>
      <c r="AD45" s="832" t="e">
        <f t="shared" si="18"/>
        <v>#REF!</v>
      </c>
      <c r="AE45" s="832" t="e">
        <f t="shared" si="19"/>
        <v>#REF!</v>
      </c>
      <c r="AF45" s="567"/>
      <c r="AH45" s="831">
        <v>2162</v>
      </c>
    </row>
    <row r="46" spans="1:34">
      <c r="A46" s="337">
        <f t="shared" si="20"/>
        <v>38</v>
      </c>
      <c r="B46" s="828" t="s">
        <v>185</v>
      </c>
      <c r="C46" s="500"/>
      <c r="D46" s="828" t="str">
        <f t="shared" si="15"/>
        <v>3.5C X 70</v>
      </c>
      <c r="E46" s="500"/>
      <c r="F46" s="500"/>
      <c r="G46" s="337" t="s">
        <v>358</v>
      </c>
      <c r="H46" s="337" t="s">
        <v>1567</v>
      </c>
      <c r="I46" s="337" t="s">
        <v>115</v>
      </c>
      <c r="J46" s="343" t="s">
        <v>1566</v>
      </c>
      <c r="K46" s="829"/>
      <c r="L46" s="829"/>
      <c r="M46" s="830">
        <f>SUMIF('LV Cable sizing_SS-1'!$X:$X,Summary!D46,'LV Cable sizing_SS-1'!$AX:$AX)</f>
        <v>2046</v>
      </c>
      <c r="N46" s="830">
        <f>SUMIF('LV Cable sizing_SS-2'!$X:$X,Summary!D46,'LV Cable sizing_SS-2'!$AX:$AX)</f>
        <v>234</v>
      </c>
      <c r="O46" s="830">
        <f>SUMIF('LV Cable sizing_SS-3'!$X:$X,Summary!D46,'LV Cable sizing_SS-3'!$AX:$AX)</f>
        <v>0</v>
      </c>
      <c r="P46" s="830" t="e">
        <f>SUMIF(#REF!,Summary!D46,#REF!)</f>
        <v>#REF!</v>
      </c>
      <c r="Q46" s="830" t="e">
        <f>SUMIF(#REF!,Summary!D46,#REF!)</f>
        <v>#REF!</v>
      </c>
      <c r="R46" s="830" t="e">
        <f>SUMIF(#REF!,Summary!D46,#REF!)</f>
        <v>#REF!</v>
      </c>
      <c r="S46" s="831" t="e">
        <f t="shared" si="16"/>
        <v>#REF!</v>
      </c>
      <c r="T46" s="830"/>
      <c r="U46" s="830"/>
      <c r="V46" s="830"/>
      <c r="W46" s="832">
        <f>SUMIF('LV Cable sizing_SS-1'!$X:$X,Summary!D46,'LV Cable sizing_SS-1'!$AZ:$AZ)</f>
        <v>12</v>
      </c>
      <c r="X46" s="832">
        <f>SUMIF('LV Cable sizing_SS-2'!$X:$X,Summary!D46,'LV Cable sizing_SS-2'!$AZ:$AZ)</f>
        <v>6</v>
      </c>
      <c r="Y46" s="832">
        <f>SUMIF('LV Cable sizing_SS-3'!$X:$X,Summary!D46,'LV Cable sizing_SS-3'!$AZ:$AZ)</f>
        <v>0</v>
      </c>
      <c r="Z46" s="832" t="e">
        <f>SUMIF(#REF!,Summary!D46,#REF!)</f>
        <v>#REF!</v>
      </c>
      <c r="AA46" s="832" t="e">
        <f>SUMIF(#REF!,Summary!D46,#REF!)</f>
        <v>#REF!</v>
      </c>
      <c r="AB46" s="832" t="e">
        <f>SUMIF(#REF!,Summary!D46,#REF!)</f>
        <v>#REF!</v>
      </c>
      <c r="AC46" s="833" t="e">
        <f t="shared" si="17"/>
        <v>#REF!</v>
      </c>
      <c r="AD46" s="832" t="e">
        <f t="shared" si="18"/>
        <v>#REF!</v>
      </c>
      <c r="AE46" s="832" t="e">
        <f t="shared" si="19"/>
        <v>#REF!</v>
      </c>
      <c r="AF46" s="567"/>
      <c r="AH46" s="831">
        <v>2793</v>
      </c>
    </row>
    <row r="47" spans="1:34">
      <c r="A47" s="337">
        <f t="shared" si="20"/>
        <v>39</v>
      </c>
      <c r="B47" s="828" t="s">
        <v>186</v>
      </c>
      <c r="C47" s="500"/>
      <c r="D47" s="828" t="str">
        <f t="shared" si="15"/>
        <v>3.5C X 95</v>
      </c>
      <c r="E47" s="500"/>
      <c r="F47" s="500"/>
      <c r="G47" s="337" t="s">
        <v>358</v>
      </c>
      <c r="H47" s="337" t="s">
        <v>1567</v>
      </c>
      <c r="I47" s="337" t="s">
        <v>115</v>
      </c>
      <c r="J47" s="343" t="s">
        <v>1566</v>
      </c>
      <c r="K47" s="829"/>
      <c r="L47" s="829"/>
      <c r="M47" s="830">
        <f>SUMIF('LV Cable sizing_SS-1'!$X:$X,Summary!D47,'LV Cable sizing_SS-1'!$AX:$AX)</f>
        <v>2535</v>
      </c>
      <c r="N47" s="830">
        <f>SUMIF('LV Cable sizing_SS-2'!$X:$X,Summary!D47,'LV Cable sizing_SS-2'!$AX:$AX)</f>
        <v>663</v>
      </c>
      <c r="O47" s="830">
        <f>SUMIF('LV Cable sizing_SS-3'!$X:$X,Summary!D47,'LV Cable sizing_SS-3'!$AX:$AX)</f>
        <v>0</v>
      </c>
      <c r="P47" s="830" t="e">
        <f>SUMIF(#REF!,Summary!D47,#REF!)</f>
        <v>#REF!</v>
      </c>
      <c r="Q47" s="830" t="e">
        <f>SUMIF(#REF!,Summary!D47,#REF!)</f>
        <v>#REF!</v>
      </c>
      <c r="R47" s="830" t="e">
        <f>SUMIF(#REF!,Summary!D47,#REF!)</f>
        <v>#REF!</v>
      </c>
      <c r="S47" s="831" t="e">
        <f t="shared" si="16"/>
        <v>#REF!</v>
      </c>
      <c r="T47" s="830"/>
      <c r="U47" s="830"/>
      <c r="V47" s="830"/>
      <c r="W47" s="832">
        <f>SUMIF('LV Cable sizing_SS-1'!$X:$X,Summary!D47,'LV Cable sizing_SS-1'!$AZ:$AZ)</f>
        <v>16</v>
      </c>
      <c r="X47" s="832">
        <f>SUMIF('LV Cable sizing_SS-2'!$X:$X,Summary!D47,'LV Cable sizing_SS-2'!$AZ:$AZ)</f>
        <v>8</v>
      </c>
      <c r="Y47" s="832">
        <f>SUMIF('LV Cable sizing_SS-3'!$X:$X,Summary!D47,'LV Cable sizing_SS-3'!$AZ:$AZ)</f>
        <v>0</v>
      </c>
      <c r="Z47" s="832" t="e">
        <f>SUMIF(#REF!,Summary!D47,#REF!)</f>
        <v>#REF!</v>
      </c>
      <c r="AA47" s="832" t="e">
        <f>SUMIF(#REF!,Summary!D47,#REF!)</f>
        <v>#REF!</v>
      </c>
      <c r="AB47" s="832" t="e">
        <f>SUMIF(#REF!,Summary!D47,#REF!)</f>
        <v>#REF!</v>
      </c>
      <c r="AC47" s="833" t="e">
        <f t="shared" si="17"/>
        <v>#REF!</v>
      </c>
      <c r="AD47" s="832" t="e">
        <f t="shared" si="18"/>
        <v>#REF!</v>
      </c>
      <c r="AE47" s="832" t="e">
        <f t="shared" si="19"/>
        <v>#REF!</v>
      </c>
      <c r="AF47" s="567"/>
      <c r="AH47" s="831">
        <v>3059</v>
      </c>
    </row>
    <row r="48" spans="1:34">
      <c r="A48" s="337">
        <f t="shared" si="20"/>
        <v>40</v>
      </c>
      <c r="B48" s="828" t="s">
        <v>187</v>
      </c>
      <c r="C48" s="500"/>
      <c r="D48" s="828" t="str">
        <f t="shared" si="15"/>
        <v>3.5C X 120</v>
      </c>
      <c r="E48" s="500"/>
      <c r="F48" s="500"/>
      <c r="G48" s="337" t="s">
        <v>358</v>
      </c>
      <c r="H48" s="337" t="s">
        <v>1567</v>
      </c>
      <c r="I48" s="337" t="s">
        <v>115</v>
      </c>
      <c r="J48" s="343" t="s">
        <v>1566</v>
      </c>
      <c r="K48" s="829"/>
      <c r="L48" s="829"/>
      <c r="M48" s="830">
        <f>SUMIF('LV Cable sizing_SS-1'!$X:$X,Summary!D48,'LV Cable sizing_SS-1'!$AX:$AX)</f>
        <v>0</v>
      </c>
      <c r="N48" s="830">
        <f>SUMIF('LV Cable sizing_SS-2'!$X:$X,Summary!D48,'LV Cable sizing_SS-2'!$AX:$AX)</f>
        <v>197</v>
      </c>
      <c r="O48" s="830">
        <f>SUMIF('LV Cable sizing_SS-3'!$X:$X,Summary!D48,'LV Cable sizing_SS-3'!$AX:$AX)</f>
        <v>0</v>
      </c>
      <c r="P48" s="830" t="e">
        <f>SUMIF(#REF!,Summary!D48,#REF!)</f>
        <v>#REF!</v>
      </c>
      <c r="Q48" s="830" t="e">
        <f>SUMIF(#REF!,Summary!D48,#REF!)</f>
        <v>#REF!</v>
      </c>
      <c r="R48" s="830" t="e">
        <f>SUMIF(#REF!,Summary!D48,#REF!)</f>
        <v>#REF!</v>
      </c>
      <c r="S48" s="831" t="e">
        <f t="shared" si="16"/>
        <v>#REF!</v>
      </c>
      <c r="T48" s="830"/>
      <c r="U48" s="830"/>
      <c r="V48" s="830"/>
      <c r="W48" s="832">
        <f>SUMIF('LV Cable sizing_SS-1'!$X:$X,Summary!D48,'LV Cable sizing_SS-1'!$AZ:$AZ)</f>
        <v>0</v>
      </c>
      <c r="X48" s="832">
        <f>SUMIF('LV Cable sizing_SS-2'!$X:$X,Summary!D48,'LV Cable sizing_SS-2'!$AZ:$AZ)</f>
        <v>2</v>
      </c>
      <c r="Y48" s="832">
        <f>SUMIF('LV Cable sizing_SS-3'!$X:$X,Summary!D48,'LV Cable sizing_SS-3'!$AZ:$AZ)</f>
        <v>0</v>
      </c>
      <c r="Z48" s="832" t="e">
        <f>SUMIF(#REF!,Summary!D48,#REF!)</f>
        <v>#REF!</v>
      </c>
      <c r="AA48" s="832" t="e">
        <f>SUMIF(#REF!,Summary!D48,#REF!)</f>
        <v>#REF!</v>
      </c>
      <c r="AB48" s="832" t="e">
        <f>SUMIF(#REF!,Summary!D48,#REF!)</f>
        <v>#REF!</v>
      </c>
      <c r="AC48" s="833" t="e">
        <f t="shared" si="17"/>
        <v>#REF!</v>
      </c>
      <c r="AD48" s="832" t="e">
        <f t="shared" si="18"/>
        <v>#REF!</v>
      </c>
      <c r="AE48" s="832" t="e">
        <f t="shared" si="19"/>
        <v>#REF!</v>
      </c>
      <c r="AF48" s="567"/>
      <c r="AH48" s="831">
        <v>174</v>
      </c>
    </row>
    <row r="49" spans="1:34">
      <c r="A49" s="337">
        <f t="shared" si="20"/>
        <v>41</v>
      </c>
      <c r="B49" s="828" t="s">
        <v>188</v>
      </c>
      <c r="C49" s="500"/>
      <c r="D49" s="828" t="str">
        <f t="shared" si="15"/>
        <v>3.5C X 150</v>
      </c>
      <c r="E49" s="500"/>
      <c r="F49" s="500"/>
      <c r="G49" s="337" t="s">
        <v>358</v>
      </c>
      <c r="H49" s="337" t="s">
        <v>1567</v>
      </c>
      <c r="I49" s="337" t="s">
        <v>115</v>
      </c>
      <c r="J49" s="343" t="s">
        <v>1566</v>
      </c>
      <c r="K49" s="829"/>
      <c r="L49" s="829"/>
      <c r="M49" s="830">
        <f>SUMIF('LV Cable sizing_SS-1'!$X:$X,Summary!D49,'LV Cable sizing_SS-1'!$AX:$AX)</f>
        <v>1835</v>
      </c>
      <c r="N49" s="830">
        <f>SUMIF('LV Cable sizing_SS-2'!$X:$X,Summary!D49,'LV Cable sizing_SS-2'!$AX:$AX)</f>
        <v>84.4</v>
      </c>
      <c r="O49" s="830">
        <f>SUMIF('LV Cable sizing_SS-3'!$X:$X,Summary!D49,'LV Cable sizing_SS-3'!$AX:$AX)</f>
        <v>0</v>
      </c>
      <c r="P49" s="830" t="e">
        <f>SUMIF(#REF!,Summary!D49,#REF!)</f>
        <v>#REF!</v>
      </c>
      <c r="Q49" s="830" t="e">
        <f>SUMIF(#REF!,Summary!D49,#REF!)</f>
        <v>#REF!</v>
      </c>
      <c r="R49" s="830" t="e">
        <f>SUMIF(#REF!,Summary!D49,#REF!)</f>
        <v>#REF!</v>
      </c>
      <c r="S49" s="831" t="e">
        <f t="shared" si="16"/>
        <v>#REF!</v>
      </c>
      <c r="T49" s="830"/>
      <c r="U49" s="830"/>
      <c r="V49" s="830"/>
      <c r="W49" s="832">
        <f>SUMIF('LV Cable sizing_SS-1'!$X:$X,Summary!D49,'LV Cable sizing_SS-1'!$AZ:$AZ)</f>
        <v>42</v>
      </c>
      <c r="X49" s="832">
        <f>SUMIF('LV Cable sizing_SS-2'!$X:$X,Summary!D49,'LV Cable sizing_SS-2'!$AZ:$AZ)</f>
        <v>2</v>
      </c>
      <c r="Y49" s="832">
        <f>SUMIF('LV Cable sizing_SS-3'!$X:$X,Summary!D49,'LV Cable sizing_SS-3'!$AZ:$AZ)</f>
        <v>0</v>
      </c>
      <c r="Z49" s="832" t="e">
        <f>SUMIF(#REF!,Summary!D49,#REF!)</f>
        <v>#REF!</v>
      </c>
      <c r="AA49" s="832" t="e">
        <f>SUMIF(#REF!,Summary!D49,#REF!)</f>
        <v>#REF!</v>
      </c>
      <c r="AB49" s="832" t="e">
        <f>SUMIF(#REF!,Summary!D49,#REF!)</f>
        <v>#REF!</v>
      </c>
      <c r="AC49" s="833" t="e">
        <f t="shared" si="17"/>
        <v>#REF!</v>
      </c>
      <c r="AD49" s="832" t="e">
        <f t="shared" si="18"/>
        <v>#REF!</v>
      </c>
      <c r="AE49" s="832" t="e">
        <f t="shared" si="19"/>
        <v>#REF!</v>
      </c>
      <c r="AF49" s="567"/>
      <c r="AH49" s="831">
        <v>1822</v>
      </c>
    </row>
    <row r="50" spans="1:34">
      <c r="A50" s="337">
        <f t="shared" si="20"/>
        <v>42</v>
      </c>
      <c r="B50" s="828" t="s">
        <v>189</v>
      </c>
      <c r="C50" s="500"/>
      <c r="D50" s="828" t="str">
        <f t="shared" si="15"/>
        <v>3.5C X 185</v>
      </c>
      <c r="E50" s="500"/>
      <c r="F50" s="500"/>
      <c r="G50" s="337" t="s">
        <v>358</v>
      </c>
      <c r="H50" s="337" t="s">
        <v>1567</v>
      </c>
      <c r="I50" s="337" t="s">
        <v>115</v>
      </c>
      <c r="J50" s="343" t="s">
        <v>1566</v>
      </c>
      <c r="K50" s="829"/>
      <c r="L50" s="829"/>
      <c r="M50" s="830">
        <f>SUMIF('LV Cable sizing_SS-1'!$X:$X,Summary!D50,'LV Cable sizing_SS-1'!$AX:$AX)</f>
        <v>0</v>
      </c>
      <c r="N50" s="830">
        <f>SUMIF('LV Cable sizing_SS-2'!$X:$X,Summary!D50,'LV Cable sizing_SS-2'!$AX:$AX)</f>
        <v>0</v>
      </c>
      <c r="O50" s="830">
        <f>SUMIF('LV Cable sizing_SS-3'!$X:$X,Summary!D50,'LV Cable sizing_SS-3'!$AX:$AX)</f>
        <v>0</v>
      </c>
      <c r="P50" s="830" t="e">
        <f>SUMIF(#REF!,Summary!D50,#REF!)</f>
        <v>#REF!</v>
      </c>
      <c r="Q50" s="830" t="e">
        <f>SUMIF(#REF!,Summary!D50,#REF!)</f>
        <v>#REF!</v>
      </c>
      <c r="R50" s="830" t="e">
        <f>SUMIF(#REF!,Summary!D50,#REF!)</f>
        <v>#REF!</v>
      </c>
      <c r="S50" s="831" t="e">
        <f t="shared" si="16"/>
        <v>#REF!</v>
      </c>
      <c r="T50" s="830"/>
      <c r="U50" s="830"/>
      <c r="V50" s="830"/>
      <c r="W50" s="832">
        <f>SUMIF('LV Cable sizing_SS-1'!$X:$X,Summary!D50,'LV Cable sizing_SS-1'!$AZ:$AZ)</f>
        <v>0</v>
      </c>
      <c r="X50" s="832">
        <f>SUMIF('LV Cable sizing_SS-2'!$X:$X,Summary!D50,'LV Cable sizing_SS-2'!$AZ:$AZ)</f>
        <v>0</v>
      </c>
      <c r="Y50" s="832">
        <f>SUMIF('LV Cable sizing_SS-3'!$X:$X,Summary!D50,'LV Cable sizing_SS-3'!$AZ:$AZ)</f>
        <v>0</v>
      </c>
      <c r="Z50" s="832" t="e">
        <f>SUMIF(#REF!,Summary!D50,#REF!)</f>
        <v>#REF!</v>
      </c>
      <c r="AA50" s="832" t="e">
        <f>SUMIF(#REF!,Summary!D50,#REF!)</f>
        <v>#REF!</v>
      </c>
      <c r="AB50" s="832" t="e">
        <f>SUMIF(#REF!,Summary!D50,#REF!)</f>
        <v>#REF!</v>
      </c>
      <c r="AC50" s="833" t="e">
        <f t="shared" si="17"/>
        <v>#REF!</v>
      </c>
      <c r="AD50" s="832" t="e">
        <f t="shared" si="18"/>
        <v>#REF!</v>
      </c>
      <c r="AE50" s="832" t="e">
        <f t="shared" si="19"/>
        <v>#REF!</v>
      </c>
      <c r="AF50" s="567"/>
      <c r="AH50" s="831">
        <v>710</v>
      </c>
    </row>
    <row r="51" spans="1:34">
      <c r="A51" s="337">
        <f t="shared" si="20"/>
        <v>43</v>
      </c>
      <c r="B51" s="828" t="s">
        <v>190</v>
      </c>
      <c r="C51" s="500"/>
      <c r="D51" s="828" t="str">
        <f t="shared" si="15"/>
        <v>3.5C X 240</v>
      </c>
      <c r="E51" s="500"/>
      <c r="F51" s="500"/>
      <c r="G51" s="337" t="s">
        <v>358</v>
      </c>
      <c r="H51" s="337" t="s">
        <v>1567</v>
      </c>
      <c r="I51" s="337" t="s">
        <v>115</v>
      </c>
      <c r="J51" s="343" t="s">
        <v>1566</v>
      </c>
      <c r="K51" s="829"/>
      <c r="L51" s="829"/>
      <c r="M51" s="830">
        <f>SUMIF('LV Cable sizing_SS-1'!$X:$X,Summary!D51,'LV Cable sizing_SS-1'!$AX:$AX)</f>
        <v>0</v>
      </c>
      <c r="N51" s="830">
        <f>SUMIF('LV Cable sizing_SS-2'!$X:$X,Summary!D51,'LV Cable sizing_SS-2'!$AX:$AX)</f>
        <v>0</v>
      </c>
      <c r="O51" s="830">
        <f>SUMIF('LV Cable sizing_SS-3'!$X:$X,Summary!D51,'LV Cable sizing_SS-3'!$AX:$AX)</f>
        <v>0</v>
      </c>
      <c r="P51" s="830" t="e">
        <f>SUMIF(#REF!,Summary!D51,#REF!)</f>
        <v>#REF!</v>
      </c>
      <c r="Q51" s="830" t="e">
        <f>SUMIF(#REF!,Summary!D51,#REF!)</f>
        <v>#REF!</v>
      </c>
      <c r="R51" s="830" t="e">
        <f>SUMIF(#REF!,Summary!D51,#REF!)</f>
        <v>#REF!</v>
      </c>
      <c r="S51" s="831" t="e">
        <f t="shared" si="16"/>
        <v>#REF!</v>
      </c>
      <c r="T51" s="830"/>
      <c r="U51" s="830"/>
      <c r="V51" s="830">
        <f>SUMIF('MV Cable sizing-11kV'!$W:$W,Summary!D51,'MV Cable sizing-11kV'!$AZ:$AZ)</f>
        <v>0</v>
      </c>
      <c r="W51" s="832">
        <f>SUMIF('LV Cable sizing_SS-1'!$X:$X,Summary!D51,'LV Cable sizing_SS-1'!$AZ:$AZ)</f>
        <v>0</v>
      </c>
      <c r="X51" s="832">
        <f>SUMIF('LV Cable sizing_SS-2'!$X:$X,Summary!D51,'LV Cable sizing_SS-2'!$AZ:$AZ)</f>
        <v>0</v>
      </c>
      <c r="Y51" s="832">
        <f>SUMIF('LV Cable sizing_SS-3'!$X:$X,Summary!D51,'LV Cable sizing_SS-3'!$AZ:$AZ)</f>
        <v>0</v>
      </c>
      <c r="Z51" s="832" t="e">
        <f>SUMIF(#REF!,Summary!D51,#REF!)</f>
        <v>#REF!</v>
      </c>
      <c r="AA51" s="832" t="e">
        <f>SUMIF(#REF!,Summary!D51,#REF!)</f>
        <v>#REF!</v>
      </c>
      <c r="AB51" s="832" t="e">
        <f>SUMIF(#REF!,Summary!D51,#REF!)</f>
        <v>#REF!</v>
      </c>
      <c r="AC51" s="833" t="e">
        <f t="shared" si="17"/>
        <v>#REF!</v>
      </c>
      <c r="AD51" s="832" t="e">
        <f t="shared" si="18"/>
        <v>#REF!</v>
      </c>
      <c r="AE51" s="832" t="e">
        <f t="shared" si="19"/>
        <v>#REF!</v>
      </c>
      <c r="AF51" s="567"/>
      <c r="AH51" s="831">
        <v>0</v>
      </c>
    </row>
    <row r="52" spans="1:34">
      <c r="A52" s="337">
        <f t="shared" si="20"/>
        <v>44</v>
      </c>
      <c r="B52" s="828" t="s">
        <v>191</v>
      </c>
      <c r="C52" s="500"/>
      <c r="D52" s="835" t="str">
        <f t="shared" si="15"/>
        <v>3.5C X 300</v>
      </c>
      <c r="E52" s="500"/>
      <c r="F52" s="500"/>
      <c r="G52" s="337" t="s">
        <v>358</v>
      </c>
      <c r="H52" s="337" t="s">
        <v>1567</v>
      </c>
      <c r="I52" s="337" t="s">
        <v>115</v>
      </c>
      <c r="J52" s="343" t="s">
        <v>1566</v>
      </c>
      <c r="K52" s="829"/>
      <c r="L52" s="829"/>
      <c r="M52" s="830">
        <f>SUMIF('LV Cable sizing_SS-1'!$X:$X,Summary!D52,'LV Cable sizing_SS-1'!$AX:$AX)</f>
        <v>1786</v>
      </c>
      <c r="N52" s="830">
        <f>SUMIF('LV Cable sizing_SS-2'!$X:$X,Summary!D52,'LV Cable sizing_SS-2'!$AX:$AX)</f>
        <v>130</v>
      </c>
      <c r="O52" s="830">
        <f>SUMIF('LV Cable sizing_SS-3'!$X:$X,Summary!D52,'LV Cable sizing_SS-3'!$AX:$AX)</f>
        <v>0</v>
      </c>
      <c r="P52" s="830" t="e">
        <f>SUMIF(#REF!,Summary!D52,#REF!)</f>
        <v>#REF!</v>
      </c>
      <c r="Q52" s="830" t="e">
        <f>SUMIF(#REF!,Summary!D52,#REF!)</f>
        <v>#REF!</v>
      </c>
      <c r="R52" s="830" t="e">
        <f>SUMIF(#REF!,Summary!D52,#REF!)</f>
        <v>#REF!</v>
      </c>
      <c r="S52" s="831" t="e">
        <f t="shared" si="16"/>
        <v>#REF!</v>
      </c>
      <c r="T52" s="830"/>
      <c r="U52" s="830"/>
      <c r="V52" s="830"/>
      <c r="W52" s="832">
        <f>SUMIF('LV Cable sizing_SS-1'!$X:$X,Summary!D52,'LV Cable sizing_SS-1'!$AZ:$AZ)</f>
        <v>8</v>
      </c>
      <c r="X52" s="832">
        <f>SUMIF('LV Cable sizing_SS-2'!$X:$X,Summary!D52,'LV Cable sizing_SS-2'!$AZ:$AZ)</f>
        <v>8</v>
      </c>
      <c r="Y52" s="832">
        <f>SUMIF('LV Cable sizing_SS-3'!$X:$X,Summary!D52,'LV Cable sizing_SS-3'!$AZ:$AZ)</f>
        <v>0</v>
      </c>
      <c r="Z52" s="832" t="e">
        <f>SUMIF(#REF!,Summary!D52,#REF!)</f>
        <v>#REF!</v>
      </c>
      <c r="AA52" s="832" t="e">
        <f>SUMIF(#REF!,Summary!D52,#REF!)</f>
        <v>#REF!</v>
      </c>
      <c r="AB52" s="832" t="e">
        <f>SUMIF(#REF!,Summary!D52,#REF!)</f>
        <v>#REF!</v>
      </c>
      <c r="AC52" s="833" t="e">
        <f t="shared" si="17"/>
        <v>#REF!</v>
      </c>
      <c r="AD52" s="832" t="e">
        <f t="shared" si="18"/>
        <v>#REF!</v>
      </c>
      <c r="AE52" s="832" t="e">
        <f t="shared" si="19"/>
        <v>#REF!</v>
      </c>
      <c r="AF52" s="567"/>
      <c r="AH52" s="831">
        <v>6826</v>
      </c>
    </row>
    <row r="53" spans="1:34">
      <c r="A53" s="337">
        <f t="shared" si="20"/>
        <v>45</v>
      </c>
      <c r="B53" s="828" t="s">
        <v>192</v>
      </c>
      <c r="C53" s="500"/>
      <c r="D53" s="828" t="str">
        <f t="shared" si="15"/>
        <v>3.5C X 400</v>
      </c>
      <c r="E53" s="500"/>
      <c r="F53" s="500"/>
      <c r="G53" s="337" t="s">
        <v>358</v>
      </c>
      <c r="H53" s="337" t="s">
        <v>1567</v>
      </c>
      <c r="I53" s="337" t="s">
        <v>115</v>
      </c>
      <c r="J53" s="343" t="s">
        <v>1566</v>
      </c>
      <c r="K53" s="829"/>
      <c r="L53" s="829"/>
      <c r="M53" s="830">
        <f>SUMIF('LV Cable sizing_SS-1'!$X:$X,Summary!D53,'LV Cable sizing_SS-1'!$AX:$AX)</f>
        <v>0</v>
      </c>
      <c r="N53" s="830">
        <f>SUMIF('LV Cable sizing_SS-2'!$X:$X,Summary!D53,'LV Cable sizing_SS-2'!$AX:$AX)</f>
        <v>0</v>
      </c>
      <c r="O53" s="830">
        <f>SUMIF('LV Cable sizing_SS-3'!$X:$X,Summary!D53,'LV Cable sizing_SS-3'!$AX:$AX)</f>
        <v>0</v>
      </c>
      <c r="P53" s="830" t="e">
        <f>SUMIF(#REF!,Summary!D53,#REF!)</f>
        <v>#REF!</v>
      </c>
      <c r="Q53" s="830" t="e">
        <f>SUMIF(#REF!,Summary!D53,#REF!)</f>
        <v>#REF!</v>
      </c>
      <c r="R53" s="830" t="e">
        <f>SUMIF(#REF!,Summary!D53,#REF!)</f>
        <v>#REF!</v>
      </c>
      <c r="S53" s="831" t="e">
        <f t="shared" si="16"/>
        <v>#REF!</v>
      </c>
      <c r="T53" s="830"/>
      <c r="U53" s="830"/>
      <c r="V53" s="830"/>
      <c r="W53" s="832">
        <f>SUMIF('LV Cable sizing_SS-1'!$X:$X,Summary!D53,'LV Cable sizing_SS-1'!$AZ:$AZ)</f>
        <v>0</v>
      </c>
      <c r="X53" s="832">
        <f>SUMIF('LV Cable sizing_SS-2'!$X:$X,Summary!D53,'LV Cable sizing_SS-2'!$AZ:$AZ)</f>
        <v>0</v>
      </c>
      <c r="Y53" s="832">
        <f>SUMIF('LV Cable sizing_SS-3'!$X:$X,Summary!D53,'LV Cable sizing_SS-3'!$AZ:$AZ)</f>
        <v>0</v>
      </c>
      <c r="Z53" s="832" t="e">
        <f>SUMIF(#REF!,Summary!D53,#REF!)</f>
        <v>#REF!</v>
      </c>
      <c r="AA53" s="832"/>
      <c r="AB53" s="832" t="e">
        <f>SUMIF(#REF!,Summary!D53,#REF!)</f>
        <v>#REF!</v>
      </c>
      <c r="AC53" s="833" t="e">
        <f t="shared" si="17"/>
        <v>#REF!</v>
      </c>
      <c r="AD53" s="832" t="e">
        <f t="shared" si="18"/>
        <v>#REF!</v>
      </c>
      <c r="AE53" s="832" t="e">
        <f t="shared" si="19"/>
        <v>#REF!</v>
      </c>
      <c r="AF53" s="567"/>
      <c r="AH53" s="831">
        <v>0</v>
      </c>
    </row>
    <row r="54" spans="1:34">
      <c r="A54" s="373"/>
      <c r="B54" s="824"/>
      <c r="C54" s="824"/>
      <c r="D54" s="824"/>
      <c r="E54" s="824"/>
      <c r="F54" s="824"/>
      <c r="G54" s="373"/>
      <c r="H54" s="373"/>
      <c r="I54" s="373"/>
      <c r="J54" s="376"/>
      <c r="K54" s="825"/>
      <c r="L54" s="825"/>
      <c r="M54" s="826"/>
      <c r="N54" s="826"/>
      <c r="O54" s="826"/>
      <c r="P54" s="826"/>
      <c r="Q54" s="826"/>
      <c r="R54" s="826"/>
      <c r="S54" s="827"/>
      <c r="T54" s="827"/>
      <c r="U54" s="827"/>
      <c r="V54" s="827"/>
      <c r="W54" s="827"/>
      <c r="X54" s="827"/>
      <c r="Y54" s="827"/>
      <c r="Z54" s="827"/>
      <c r="AA54" s="827"/>
      <c r="AB54" s="827"/>
      <c r="AC54" s="827"/>
      <c r="AD54" s="827"/>
      <c r="AE54" s="827"/>
      <c r="AF54" s="826"/>
      <c r="AH54" s="827"/>
    </row>
    <row r="55" spans="1:34">
      <c r="A55" s="337">
        <f>A53+1</f>
        <v>46</v>
      </c>
      <c r="B55" s="828" t="s">
        <v>176</v>
      </c>
      <c r="C55" s="500"/>
      <c r="D55" s="828" t="str">
        <f t="shared" si="15"/>
        <v>4C X 1.5</v>
      </c>
      <c r="E55" s="500"/>
      <c r="F55" s="500"/>
      <c r="G55" s="337" t="s">
        <v>358</v>
      </c>
      <c r="H55" s="337" t="s">
        <v>1565</v>
      </c>
      <c r="I55" s="337" t="s">
        <v>115</v>
      </c>
      <c r="J55" s="343" t="s">
        <v>1566</v>
      </c>
      <c r="K55" s="830"/>
      <c r="L55" s="830"/>
      <c r="M55" s="830">
        <f>SUMIF('LV Cable sizing_SS-1'!$X:$X,Summary!D55,'LV Cable sizing_SS-1'!$AX:$AX)</f>
        <v>0</v>
      </c>
      <c r="N55" s="830">
        <f>SUMIF('LV Cable sizing_SS-2'!$X:$X,Summary!D55,'LV Cable sizing_SS-2'!$AX:$AX)</f>
        <v>0</v>
      </c>
      <c r="O55" s="830">
        <f>SUMIF('LV Cable sizing_SS-3'!$X:$X,Summary!D55,'LV Cable sizing_SS-3'!$AX:$AX)</f>
        <v>0</v>
      </c>
      <c r="P55" s="830" t="e">
        <f>SUMIF(#REF!,Summary!D55,#REF!)</f>
        <v>#REF!</v>
      </c>
      <c r="Q55" s="830" t="e">
        <f>SUMIF(#REF!,Summary!D55,#REF!)</f>
        <v>#REF!</v>
      </c>
      <c r="R55" s="830" t="e">
        <f>SUMIF(#REF!,Summary!D55,#REF!)</f>
        <v>#REF!</v>
      </c>
      <c r="S55" s="831" t="e">
        <f t="shared" ref="S55:S71" si="21">SUM(K55:R55)</f>
        <v>#REF!</v>
      </c>
      <c r="T55" s="830"/>
      <c r="U55" s="830"/>
      <c r="V55" s="830"/>
      <c r="W55" s="832">
        <f>SUMIF('LV Cable sizing_SS-1'!$X:$X,Summary!D55,'LV Cable sizing_SS-1'!$AZ:$AZ)</f>
        <v>0</v>
      </c>
      <c r="X55" s="832">
        <f>SUMIF('LV Cable sizing_SS-2'!$X:$X,Summary!D55,'LV Cable sizing_SS-2'!$AZ:$AZ)</f>
        <v>0</v>
      </c>
      <c r="Y55" s="832">
        <f>SUMIF('LV Cable sizing_SS-3'!$X:$X,Summary!D55,'LV Cable sizing_SS-3'!$AZ:$AZ)</f>
        <v>0</v>
      </c>
      <c r="Z55" s="832" t="e">
        <f>SUMIF(#REF!,Summary!D55,#REF!)</f>
        <v>#REF!</v>
      </c>
      <c r="AA55" s="832"/>
      <c r="AB55" s="832" t="e">
        <f>SUMIF(#REF!,Summary!D55,#REF!)</f>
        <v>#REF!</v>
      </c>
      <c r="AC55" s="833" t="e">
        <f t="shared" ref="AC55:AC71" si="22">SUM(U55:AB55)</f>
        <v>#REF!</v>
      </c>
      <c r="AD55" s="832" t="e">
        <f t="shared" ref="AD55:AD71" si="23">CEILING((AC55*0.05),1)</f>
        <v>#REF!</v>
      </c>
      <c r="AE55" s="832" t="e">
        <f t="shared" ref="AE55:AE71" si="24">SUM(AC55+AD55)</f>
        <v>#REF!</v>
      </c>
      <c r="AF55" s="567"/>
      <c r="AH55" s="831">
        <v>0</v>
      </c>
    </row>
    <row r="56" spans="1:34">
      <c r="A56" s="337">
        <f t="shared" ref="A56:A71" si="25">A55+1</f>
        <v>47</v>
      </c>
      <c r="B56" s="828" t="s">
        <v>177</v>
      </c>
      <c r="C56" s="500"/>
      <c r="D56" s="828" t="str">
        <f t="shared" si="15"/>
        <v>4C X 2.5</v>
      </c>
      <c r="E56" s="500"/>
      <c r="F56" s="500"/>
      <c r="G56" s="337" t="s">
        <v>358</v>
      </c>
      <c r="H56" s="337" t="s">
        <v>1565</v>
      </c>
      <c r="I56" s="337" t="s">
        <v>115</v>
      </c>
      <c r="J56" s="343" t="s">
        <v>1566</v>
      </c>
      <c r="K56" s="830"/>
      <c r="L56" s="830"/>
      <c r="M56" s="830">
        <f>SUMIF('LV Cable sizing_SS-1'!$X:$X,Summary!D56,'LV Cable sizing_SS-1'!$AX:$AX)</f>
        <v>0</v>
      </c>
      <c r="N56" s="830">
        <f>SUMIF('LV Cable sizing_SS-2'!$X:$X,Summary!D56,'LV Cable sizing_SS-2'!$AX:$AX)</f>
        <v>0</v>
      </c>
      <c r="O56" s="830">
        <f>SUMIF('LV Cable sizing_SS-3'!$X:$X,Summary!D56,'LV Cable sizing_SS-3'!$AX:$AX)</f>
        <v>0</v>
      </c>
      <c r="P56" s="830" t="e">
        <f>SUMIF(#REF!,Summary!D56,#REF!)</f>
        <v>#REF!</v>
      </c>
      <c r="Q56" s="830" t="e">
        <f>SUMIF(#REF!,Summary!D56,#REF!)</f>
        <v>#REF!</v>
      </c>
      <c r="R56" s="830" t="e">
        <f>SUMIF(#REF!,Summary!D56,#REF!)</f>
        <v>#REF!</v>
      </c>
      <c r="S56" s="831" t="e">
        <f t="shared" si="21"/>
        <v>#REF!</v>
      </c>
      <c r="T56" s="830"/>
      <c r="U56" s="830"/>
      <c r="V56" s="830"/>
      <c r="W56" s="832">
        <f>SUMIF('LV Cable sizing_SS-1'!$X:$X,Summary!D56,'LV Cable sizing_SS-1'!$AZ:$AZ)</f>
        <v>0</v>
      </c>
      <c r="X56" s="832">
        <f>SUMIF('LV Cable sizing_SS-2'!$X:$X,Summary!D56,'LV Cable sizing_SS-2'!$AZ:$AZ)</f>
        <v>0</v>
      </c>
      <c r="Y56" s="832">
        <f>SUMIF('LV Cable sizing_SS-3'!$X:$X,Summary!D56,'LV Cable sizing_SS-3'!$AZ:$AZ)</f>
        <v>0</v>
      </c>
      <c r="Z56" s="832" t="e">
        <f>SUMIF(#REF!,Summary!D56,#REF!)</f>
        <v>#REF!</v>
      </c>
      <c r="AA56" s="832"/>
      <c r="AB56" s="832" t="e">
        <f>SUMIF(#REF!,Summary!D56,#REF!)</f>
        <v>#REF!</v>
      </c>
      <c r="AC56" s="833" t="e">
        <f t="shared" si="22"/>
        <v>#REF!</v>
      </c>
      <c r="AD56" s="832" t="e">
        <f t="shared" si="23"/>
        <v>#REF!</v>
      </c>
      <c r="AE56" s="832" t="e">
        <f t="shared" si="24"/>
        <v>#REF!</v>
      </c>
      <c r="AF56" s="567"/>
      <c r="AH56" s="831">
        <v>0</v>
      </c>
    </row>
    <row r="57" spans="1:34">
      <c r="A57" s="337">
        <f t="shared" si="25"/>
        <v>48</v>
      </c>
      <c r="B57" s="828" t="s">
        <v>178</v>
      </c>
      <c r="C57" s="500"/>
      <c r="D57" s="835" t="str">
        <f t="shared" si="15"/>
        <v>4C X 4</v>
      </c>
      <c r="E57" s="500"/>
      <c r="F57" s="500"/>
      <c r="G57" s="337" t="s">
        <v>358</v>
      </c>
      <c r="H57" s="337" t="s">
        <v>1565</v>
      </c>
      <c r="I57" s="337" t="s">
        <v>115</v>
      </c>
      <c r="J57" s="343" t="s">
        <v>1566</v>
      </c>
      <c r="K57" s="830"/>
      <c r="L57" s="830"/>
      <c r="M57" s="830">
        <f>SUMIF('LV Cable sizing_SS-1'!$X:$X,Summary!D57,'LV Cable sizing_SS-1'!$AX:$AX)</f>
        <v>5133</v>
      </c>
      <c r="N57" s="830">
        <f>SUMIF('LV Cable sizing_SS-2'!$X:$X,Summary!D57,'LV Cable sizing_SS-2'!$AX:$AX)</f>
        <v>2842.4</v>
      </c>
      <c r="O57" s="830">
        <f>SUMIF('LV Cable sizing_SS-3'!$X:$X,Summary!D57,'LV Cable sizing_SS-3'!$AX:$AX)</f>
        <v>660</v>
      </c>
      <c r="P57" s="830" t="e">
        <f>SUMIF(#REF!,Summary!D57,#REF!)</f>
        <v>#REF!</v>
      </c>
      <c r="Q57" s="830" t="e">
        <f>SUMIF(#REF!,Summary!D57,#REF!)</f>
        <v>#REF!</v>
      </c>
      <c r="R57" s="830" t="e">
        <f>SUMIF(#REF!,Summary!D57,#REF!)</f>
        <v>#REF!</v>
      </c>
      <c r="S57" s="831" t="e">
        <f t="shared" si="21"/>
        <v>#REF!</v>
      </c>
      <c r="T57" s="830"/>
      <c r="U57" s="830"/>
      <c r="V57" s="830"/>
      <c r="W57" s="832">
        <f>SUMIF('LV Cable sizing_SS-1'!$X:$X,Summary!D57,'LV Cable sizing_SS-1'!$AZ:$AZ)</f>
        <v>64</v>
      </c>
      <c r="X57" s="832">
        <f>SUMIF('LV Cable sizing_SS-2'!$X:$X,Summary!D57,'LV Cable sizing_SS-2'!$AZ:$AZ)</f>
        <v>94</v>
      </c>
      <c r="Y57" s="832">
        <f>SUMIF('LV Cable sizing_SS-3'!$X:$X,Summary!D57,'LV Cable sizing_SS-3'!$AZ:$AZ)</f>
        <v>16</v>
      </c>
      <c r="Z57" s="832" t="e">
        <f>SUMIF(#REF!,Summary!D57,#REF!)</f>
        <v>#REF!</v>
      </c>
      <c r="AA57" s="832" t="e">
        <f>SUMIF(#REF!,Summary!D57,#REF!)</f>
        <v>#REF!</v>
      </c>
      <c r="AB57" s="832" t="e">
        <f>SUMIF(#REF!,Summary!D57,#REF!)</f>
        <v>#REF!</v>
      </c>
      <c r="AC57" s="833" t="e">
        <f t="shared" si="22"/>
        <v>#REF!</v>
      </c>
      <c r="AD57" s="832" t="e">
        <f t="shared" si="23"/>
        <v>#REF!</v>
      </c>
      <c r="AE57" s="832" t="e">
        <f t="shared" si="24"/>
        <v>#REF!</v>
      </c>
      <c r="AF57" s="567"/>
      <c r="AH57" s="831">
        <v>10992</v>
      </c>
    </row>
    <row r="58" spans="1:34">
      <c r="A58" s="337">
        <f t="shared" si="25"/>
        <v>49</v>
      </c>
      <c r="B58" s="828" t="s">
        <v>179</v>
      </c>
      <c r="C58" s="500"/>
      <c r="D58" s="828" t="str">
        <f t="shared" si="15"/>
        <v>4C X 6</v>
      </c>
      <c r="E58" s="500"/>
      <c r="F58" s="500"/>
      <c r="G58" s="337" t="s">
        <v>358</v>
      </c>
      <c r="H58" s="337" t="s">
        <v>1565</v>
      </c>
      <c r="I58" s="337" t="s">
        <v>115</v>
      </c>
      <c r="J58" s="343" t="s">
        <v>1566</v>
      </c>
      <c r="K58" s="830"/>
      <c r="L58" s="830"/>
      <c r="M58" s="830">
        <f>SUMIF('LV Cable sizing_SS-1'!$X:$X,Summary!D58,'LV Cable sizing_SS-1'!$AX:$AX)</f>
        <v>2203</v>
      </c>
      <c r="N58" s="830">
        <f>SUMIF('LV Cable sizing_SS-2'!$X:$X,Summary!D58,'LV Cable sizing_SS-2'!$AX:$AX)</f>
        <v>0</v>
      </c>
      <c r="O58" s="830">
        <f>SUMIF('LV Cable sizing_SS-3'!$X:$X,Summary!D58,'LV Cable sizing_SS-3'!$AX:$AX)</f>
        <v>174</v>
      </c>
      <c r="P58" s="830" t="e">
        <f>SUMIF(#REF!,Summary!D58,#REF!)</f>
        <v>#REF!</v>
      </c>
      <c r="Q58" s="830" t="e">
        <f>SUMIF(#REF!,Summary!D58,#REF!)</f>
        <v>#REF!</v>
      </c>
      <c r="R58" s="830" t="e">
        <f>SUMIF(#REF!,Summary!D58,#REF!)</f>
        <v>#REF!</v>
      </c>
      <c r="S58" s="831" t="e">
        <f t="shared" si="21"/>
        <v>#REF!</v>
      </c>
      <c r="T58" s="830"/>
      <c r="U58" s="830"/>
      <c r="V58" s="830"/>
      <c r="W58" s="832">
        <f>SUMIF('LV Cable sizing_SS-1'!$X:$X,Summary!D58,'LV Cable sizing_SS-1'!$AZ:$AZ)</f>
        <v>28</v>
      </c>
      <c r="X58" s="832">
        <f>SUMIF('LV Cable sizing_SS-2'!$X:$X,Summary!D58,'LV Cable sizing_SS-2'!$AZ:$AZ)</f>
        <v>0</v>
      </c>
      <c r="Y58" s="832">
        <f>SUMIF('LV Cable sizing_SS-3'!$X:$X,Summary!D58,'LV Cable sizing_SS-3'!$AZ:$AZ)</f>
        <v>4</v>
      </c>
      <c r="Z58" s="832" t="e">
        <f>SUMIF(#REF!,Summary!D58,#REF!)</f>
        <v>#REF!</v>
      </c>
      <c r="AA58" s="832" t="e">
        <f>SUMIF(#REF!,Summary!D58,#REF!)</f>
        <v>#REF!</v>
      </c>
      <c r="AB58" s="832" t="e">
        <f>SUMIF(#REF!,Summary!D58,#REF!)</f>
        <v>#REF!</v>
      </c>
      <c r="AC58" s="833" t="e">
        <f t="shared" si="22"/>
        <v>#REF!</v>
      </c>
      <c r="AD58" s="832" t="e">
        <f t="shared" si="23"/>
        <v>#REF!</v>
      </c>
      <c r="AE58" s="832" t="e">
        <f t="shared" si="24"/>
        <v>#REF!</v>
      </c>
      <c r="AF58" s="567"/>
      <c r="AH58" s="831">
        <v>2604</v>
      </c>
    </row>
    <row r="59" spans="1:34">
      <c r="A59" s="337">
        <f t="shared" si="25"/>
        <v>50</v>
      </c>
      <c r="B59" s="828" t="s">
        <v>180</v>
      </c>
      <c r="C59" s="500"/>
      <c r="D59" s="828" t="str">
        <f t="shared" si="15"/>
        <v>4C X 10</v>
      </c>
      <c r="E59" s="500"/>
      <c r="F59" s="500"/>
      <c r="G59" s="337" t="s">
        <v>358</v>
      </c>
      <c r="H59" s="337" t="s">
        <v>1567</v>
      </c>
      <c r="I59" s="337" t="s">
        <v>115</v>
      </c>
      <c r="J59" s="343" t="s">
        <v>1566</v>
      </c>
      <c r="K59" s="830"/>
      <c r="L59" s="830"/>
      <c r="M59" s="830">
        <f>SUMIF('LV Cable sizing_SS-1'!$X:$X,Summary!D59,'LV Cable sizing_SS-1'!$AX:$AX)</f>
        <v>334</v>
      </c>
      <c r="N59" s="830">
        <f>SUMIF('LV Cable sizing_SS-2'!$X:$X,Summary!D59,'LV Cable sizing_SS-2'!$AX:$AX)</f>
        <v>740</v>
      </c>
      <c r="O59" s="830">
        <f>SUMIF('LV Cable sizing_SS-3'!$X:$X,Summary!D59,'LV Cable sizing_SS-3'!$AX:$AX)</f>
        <v>303</v>
      </c>
      <c r="P59" s="830" t="e">
        <f>SUMIF(#REF!,Summary!D59,#REF!)</f>
        <v>#REF!</v>
      </c>
      <c r="Q59" s="830" t="e">
        <f>SUMIF(#REF!,Summary!D59,#REF!)</f>
        <v>#REF!</v>
      </c>
      <c r="R59" s="830" t="e">
        <f>SUMIF(#REF!,Summary!D59,#REF!)</f>
        <v>#REF!</v>
      </c>
      <c r="S59" s="831" t="e">
        <f t="shared" si="21"/>
        <v>#REF!</v>
      </c>
      <c r="T59" s="830"/>
      <c r="U59" s="830"/>
      <c r="V59" s="830"/>
      <c r="W59" s="832">
        <f>SUMIF('LV Cable sizing_SS-1'!$X:$X,Summary!D59,'LV Cable sizing_SS-1'!$AZ:$AZ)</f>
        <v>8</v>
      </c>
      <c r="X59" s="832">
        <f>SUMIF('LV Cable sizing_SS-2'!$X:$X,Summary!D59,'LV Cable sizing_SS-2'!$AZ:$AZ)</f>
        <v>12</v>
      </c>
      <c r="Y59" s="832">
        <f>SUMIF('LV Cable sizing_SS-3'!$X:$X,Summary!D59,'LV Cable sizing_SS-3'!$AZ:$AZ)</f>
        <v>6</v>
      </c>
      <c r="Z59" s="832" t="e">
        <f>SUMIF(#REF!,Summary!D59,#REF!)</f>
        <v>#REF!</v>
      </c>
      <c r="AA59" s="832" t="e">
        <f>SUMIF(#REF!,Summary!D59,#REF!)</f>
        <v>#REF!</v>
      </c>
      <c r="AB59" s="832" t="e">
        <f>SUMIF(#REF!,Summary!D59,#REF!)</f>
        <v>#REF!</v>
      </c>
      <c r="AC59" s="833" t="e">
        <f t="shared" si="22"/>
        <v>#REF!</v>
      </c>
      <c r="AD59" s="832" t="e">
        <f t="shared" si="23"/>
        <v>#REF!</v>
      </c>
      <c r="AE59" s="832" t="e">
        <f t="shared" si="24"/>
        <v>#REF!</v>
      </c>
      <c r="AF59" s="567"/>
      <c r="AH59" s="831">
        <v>2244</v>
      </c>
    </row>
    <row r="60" spans="1:34">
      <c r="A60" s="337">
        <f t="shared" si="25"/>
        <v>51</v>
      </c>
      <c r="B60" s="828" t="s">
        <v>181</v>
      </c>
      <c r="C60" s="500"/>
      <c r="D60" s="835" t="str">
        <f t="shared" si="15"/>
        <v>4C X 16</v>
      </c>
      <c r="E60" s="500"/>
      <c r="F60" s="500"/>
      <c r="G60" s="337" t="s">
        <v>358</v>
      </c>
      <c r="H60" s="337" t="s">
        <v>1567</v>
      </c>
      <c r="I60" s="337" t="s">
        <v>115</v>
      </c>
      <c r="J60" s="343" t="s">
        <v>1566</v>
      </c>
      <c r="K60" s="830"/>
      <c r="L60" s="830"/>
      <c r="M60" s="830">
        <f>SUMIF('LV Cable sizing_SS-1'!$X:$X,Summary!D60,'LV Cable sizing_SS-1'!$AX:$AX)</f>
        <v>1147</v>
      </c>
      <c r="N60" s="830">
        <f>SUMIF('LV Cable sizing_SS-2'!$X:$X,Summary!D60,'LV Cable sizing_SS-2'!$AX:$AX)</f>
        <v>2487</v>
      </c>
      <c r="O60" s="830">
        <f>SUMIF('LV Cable sizing_SS-3'!$X:$X,Summary!D60,'LV Cable sizing_SS-3'!$AX:$AX)</f>
        <v>263</v>
      </c>
      <c r="P60" s="830" t="e">
        <f>SUMIF(#REF!,Summary!D60,#REF!)</f>
        <v>#REF!</v>
      </c>
      <c r="Q60" s="830" t="e">
        <f>SUMIF(#REF!,Summary!D60,#REF!)</f>
        <v>#REF!</v>
      </c>
      <c r="R60" s="830" t="e">
        <f>SUMIF(#REF!,Summary!D60,#REF!)</f>
        <v>#REF!</v>
      </c>
      <c r="S60" s="831" t="e">
        <f t="shared" si="21"/>
        <v>#REF!</v>
      </c>
      <c r="T60" s="830"/>
      <c r="U60" s="830"/>
      <c r="V60" s="830"/>
      <c r="W60" s="832">
        <f>SUMIF('LV Cable sizing_SS-1'!$X:$X,Summary!D60,'LV Cable sizing_SS-1'!$AZ:$AZ)</f>
        <v>12</v>
      </c>
      <c r="X60" s="832">
        <f>SUMIF('LV Cable sizing_SS-2'!$X:$X,Summary!D60,'LV Cable sizing_SS-2'!$AZ:$AZ)</f>
        <v>28</v>
      </c>
      <c r="Y60" s="832">
        <f>SUMIF('LV Cable sizing_SS-3'!$X:$X,Summary!D60,'LV Cable sizing_SS-3'!$AZ:$AZ)</f>
        <v>10</v>
      </c>
      <c r="Z60" s="832" t="e">
        <f>SUMIF(#REF!,Summary!D60,#REF!)</f>
        <v>#REF!</v>
      </c>
      <c r="AA60" s="832" t="e">
        <f>SUMIF(#REF!,Summary!D60,#REF!)</f>
        <v>#REF!</v>
      </c>
      <c r="AB60" s="832" t="e">
        <f>SUMIF(#REF!,Summary!D60,#REF!)</f>
        <v>#REF!</v>
      </c>
      <c r="AC60" s="833" t="e">
        <f t="shared" si="22"/>
        <v>#REF!</v>
      </c>
      <c r="AD60" s="832" t="e">
        <f t="shared" si="23"/>
        <v>#REF!</v>
      </c>
      <c r="AE60" s="832" t="e">
        <f t="shared" si="24"/>
        <v>#REF!</v>
      </c>
      <c r="AF60" s="567"/>
      <c r="AH60" s="831">
        <v>4320</v>
      </c>
    </row>
    <row r="61" spans="1:34">
      <c r="A61" s="337">
        <f t="shared" si="25"/>
        <v>52</v>
      </c>
      <c r="B61" s="828" t="s">
        <v>955</v>
      </c>
      <c r="C61" s="500"/>
      <c r="D61" s="828" t="str">
        <f t="shared" si="15"/>
        <v>4C X 25</v>
      </c>
      <c r="E61" s="500"/>
      <c r="F61" s="500"/>
      <c r="G61" s="337" t="s">
        <v>358</v>
      </c>
      <c r="H61" s="337" t="s">
        <v>1567</v>
      </c>
      <c r="I61" s="337" t="s">
        <v>115</v>
      </c>
      <c r="J61" s="343" t="s">
        <v>1566</v>
      </c>
      <c r="K61" s="830"/>
      <c r="L61" s="830"/>
      <c r="M61" s="830" t="e">
        <f>SUMIF('LV Cable sizing_SS-1'!$X:$X,Summary!D61,'LV Cable sizing_SS-1'!$AX:$AX)</f>
        <v>#N/A</v>
      </c>
      <c r="N61" s="830">
        <f>SUMIF('LV Cable sizing_SS-2'!$X:$X,Summary!D61,'LV Cable sizing_SS-2'!$AX:$AX)</f>
        <v>0</v>
      </c>
      <c r="O61" s="830">
        <f>SUMIF('LV Cable sizing_SS-3'!$X:$X,Summary!D61,'LV Cable sizing_SS-3'!$AX:$AX)</f>
        <v>0</v>
      </c>
      <c r="P61" s="830" t="e">
        <f>SUMIF(#REF!,Summary!D61,#REF!)</f>
        <v>#REF!</v>
      </c>
      <c r="Q61" s="830" t="e">
        <f>SUMIF(#REF!,Summary!D61,#REF!)</f>
        <v>#REF!</v>
      </c>
      <c r="R61" s="830" t="e">
        <f>SUMIF(#REF!,Summary!D61,#REF!)</f>
        <v>#REF!</v>
      </c>
      <c r="S61" s="831" t="e">
        <f t="shared" si="21"/>
        <v>#N/A</v>
      </c>
      <c r="T61" s="830"/>
      <c r="U61" s="830"/>
      <c r="V61" s="830"/>
      <c r="W61" s="832" t="e">
        <f>SUMIF('LV Cable sizing_SS-1'!$X:$X,Summary!D61,'LV Cable sizing_SS-1'!$AZ:$AZ)</f>
        <v>#N/A</v>
      </c>
      <c r="X61" s="832">
        <f>SUMIF('LV Cable sizing_SS-2'!$X:$X,Summary!D61,'LV Cable sizing_SS-2'!$AZ:$AZ)</f>
        <v>0</v>
      </c>
      <c r="Y61" s="832">
        <f>SUMIF('LV Cable sizing_SS-3'!$X:$X,Summary!D61,'LV Cable sizing_SS-3'!$AZ:$AZ)</f>
        <v>0</v>
      </c>
      <c r="Z61" s="832" t="e">
        <f>SUMIF(#REF!,Summary!D61,#REF!)</f>
        <v>#REF!</v>
      </c>
      <c r="AA61" s="832"/>
      <c r="AB61" s="832" t="e">
        <f>SUMIF(#REF!,Summary!D61,#REF!)</f>
        <v>#REF!</v>
      </c>
      <c r="AC61" s="833" t="e">
        <f t="shared" si="22"/>
        <v>#N/A</v>
      </c>
      <c r="AD61" s="832" t="e">
        <f t="shared" si="23"/>
        <v>#N/A</v>
      </c>
      <c r="AE61" s="832" t="e">
        <f t="shared" si="24"/>
        <v>#N/A</v>
      </c>
      <c r="AF61" s="567"/>
      <c r="AH61" s="831">
        <v>0</v>
      </c>
    </row>
    <row r="62" spans="1:34">
      <c r="A62" s="337">
        <f t="shared" si="25"/>
        <v>53</v>
      </c>
      <c r="B62" s="828" t="s">
        <v>956</v>
      </c>
      <c r="C62" s="500"/>
      <c r="D62" s="828" t="str">
        <f t="shared" si="15"/>
        <v>4C X 35</v>
      </c>
      <c r="E62" s="500"/>
      <c r="F62" s="500"/>
      <c r="G62" s="337" t="s">
        <v>358</v>
      </c>
      <c r="H62" s="337" t="s">
        <v>1567</v>
      </c>
      <c r="I62" s="337" t="s">
        <v>115</v>
      </c>
      <c r="J62" s="343" t="s">
        <v>1566</v>
      </c>
      <c r="K62" s="830"/>
      <c r="L62" s="830"/>
      <c r="M62" s="830">
        <f>SUMIF('LV Cable sizing_SS-1'!$X:$X,Summary!D62,'LV Cable sizing_SS-1'!$AX:$AX)</f>
        <v>0</v>
      </c>
      <c r="N62" s="830">
        <f>SUMIF('LV Cable sizing_SS-2'!$X:$X,Summary!D62,'LV Cable sizing_SS-2'!$AX:$AX)</f>
        <v>0</v>
      </c>
      <c r="O62" s="830">
        <f>SUMIF('LV Cable sizing_SS-3'!$X:$X,Summary!D62,'LV Cable sizing_SS-3'!$AX:$AX)</f>
        <v>0</v>
      </c>
      <c r="P62" s="830" t="e">
        <f>SUMIF(#REF!,Summary!D62,#REF!)</f>
        <v>#REF!</v>
      </c>
      <c r="Q62" s="830" t="e">
        <f>SUMIF(#REF!,Summary!D62,#REF!)</f>
        <v>#REF!</v>
      </c>
      <c r="R62" s="830" t="e">
        <f>SUMIF(#REF!,Summary!D62,#REF!)</f>
        <v>#REF!</v>
      </c>
      <c r="S62" s="831" t="e">
        <f t="shared" si="21"/>
        <v>#REF!</v>
      </c>
      <c r="T62" s="830"/>
      <c r="U62" s="830"/>
      <c r="V62" s="830"/>
      <c r="W62" s="832">
        <f>SUMIF('LV Cable sizing_SS-1'!$X:$X,Summary!D62,'LV Cable sizing_SS-1'!$AZ:$AZ)</f>
        <v>0</v>
      </c>
      <c r="X62" s="832">
        <f>SUMIF('LV Cable sizing_SS-2'!$X:$X,Summary!D62,'LV Cable sizing_SS-2'!$AZ:$AZ)</f>
        <v>0</v>
      </c>
      <c r="Y62" s="832">
        <f>SUMIF('LV Cable sizing_SS-3'!$X:$X,Summary!D62,'LV Cable sizing_SS-3'!$AZ:$AZ)</f>
        <v>0</v>
      </c>
      <c r="Z62" s="832" t="e">
        <f>SUMIF(#REF!,Summary!D62,#REF!)</f>
        <v>#REF!</v>
      </c>
      <c r="AA62" s="832"/>
      <c r="AB62" s="832" t="e">
        <f>SUMIF(#REF!,Summary!D62,#REF!)</f>
        <v>#REF!</v>
      </c>
      <c r="AC62" s="832" t="e">
        <f t="shared" si="22"/>
        <v>#REF!</v>
      </c>
      <c r="AD62" s="832" t="e">
        <f t="shared" si="23"/>
        <v>#REF!</v>
      </c>
      <c r="AE62" s="832" t="e">
        <f t="shared" si="24"/>
        <v>#REF!</v>
      </c>
      <c r="AF62" s="567"/>
      <c r="AH62" s="831">
        <v>0</v>
      </c>
    </row>
    <row r="63" spans="1:34">
      <c r="A63" s="337">
        <f t="shared" si="25"/>
        <v>54</v>
      </c>
      <c r="B63" s="828" t="s">
        <v>957</v>
      </c>
      <c r="C63" s="500"/>
      <c r="D63" s="828" t="str">
        <f t="shared" si="15"/>
        <v>4C X 50</v>
      </c>
      <c r="E63" s="500"/>
      <c r="F63" s="500"/>
      <c r="G63" s="337" t="s">
        <v>358</v>
      </c>
      <c r="H63" s="337" t="s">
        <v>1567</v>
      </c>
      <c r="I63" s="337" t="s">
        <v>115</v>
      </c>
      <c r="J63" s="343" t="s">
        <v>1566</v>
      </c>
      <c r="K63" s="830"/>
      <c r="L63" s="830"/>
      <c r="M63" s="830">
        <f>SUMIF('LV Cable sizing_SS-1'!$X:$X,Summary!D63,'LV Cable sizing_SS-1'!$AX:$AX)</f>
        <v>0</v>
      </c>
      <c r="N63" s="830">
        <f>SUMIF('LV Cable sizing_SS-2'!$X:$X,Summary!D63,'LV Cable sizing_SS-2'!$AX:$AX)</f>
        <v>0</v>
      </c>
      <c r="O63" s="830">
        <f>SUMIF('LV Cable sizing_SS-3'!$X:$X,Summary!D63,'LV Cable sizing_SS-3'!$AX:$AX)</f>
        <v>0</v>
      </c>
      <c r="P63" s="830" t="e">
        <f>SUMIF(#REF!,Summary!D63,#REF!)</f>
        <v>#REF!</v>
      </c>
      <c r="Q63" s="830" t="e">
        <f>SUMIF(#REF!,Summary!D63,#REF!)</f>
        <v>#REF!</v>
      </c>
      <c r="R63" s="830" t="e">
        <f>SUMIF(#REF!,Summary!D63,#REF!)</f>
        <v>#REF!</v>
      </c>
      <c r="S63" s="831" t="e">
        <f t="shared" si="21"/>
        <v>#REF!</v>
      </c>
      <c r="T63" s="830"/>
      <c r="U63" s="830"/>
      <c r="V63" s="830"/>
      <c r="W63" s="832">
        <f>SUMIF('LV Cable sizing_SS-1'!$X:$X,Summary!D63,'LV Cable sizing_SS-1'!$AZ:$AZ)</f>
        <v>0</v>
      </c>
      <c r="X63" s="832">
        <f>SUMIF('LV Cable sizing_SS-2'!$X:$X,Summary!D63,'LV Cable sizing_SS-2'!$AZ:$AZ)</f>
        <v>0</v>
      </c>
      <c r="Y63" s="832">
        <f>SUMIF('LV Cable sizing_SS-3'!$X:$X,Summary!D63,'LV Cable sizing_SS-3'!$AZ:$AZ)</f>
        <v>0</v>
      </c>
      <c r="Z63" s="832" t="e">
        <f>SUMIF(#REF!,Summary!D63,#REF!)</f>
        <v>#REF!</v>
      </c>
      <c r="AA63" s="832"/>
      <c r="AB63" s="832" t="e">
        <f>SUMIF(#REF!,Summary!D63,#REF!)</f>
        <v>#REF!</v>
      </c>
      <c r="AC63" s="833" t="e">
        <f t="shared" si="22"/>
        <v>#REF!</v>
      </c>
      <c r="AD63" s="832" t="e">
        <f t="shared" si="23"/>
        <v>#REF!</v>
      </c>
      <c r="AE63" s="832" t="e">
        <f t="shared" si="24"/>
        <v>#REF!</v>
      </c>
      <c r="AF63" s="567"/>
      <c r="AH63" s="831">
        <v>0</v>
      </c>
    </row>
    <row r="64" spans="1:34">
      <c r="A64" s="337">
        <f t="shared" si="25"/>
        <v>55</v>
      </c>
      <c r="B64" s="828" t="s">
        <v>958</v>
      </c>
      <c r="C64" s="500"/>
      <c r="D64" s="828" t="str">
        <f t="shared" si="15"/>
        <v>4C X 70</v>
      </c>
      <c r="E64" s="500"/>
      <c r="F64" s="500"/>
      <c r="G64" s="337" t="s">
        <v>358</v>
      </c>
      <c r="H64" s="337" t="s">
        <v>1567</v>
      </c>
      <c r="I64" s="337" t="s">
        <v>115</v>
      </c>
      <c r="J64" s="343" t="s">
        <v>1566</v>
      </c>
      <c r="K64" s="830"/>
      <c r="L64" s="830"/>
      <c r="M64" s="830">
        <f>SUMIF('LV Cable sizing_SS-1'!$X:$X,Summary!D64,'LV Cable sizing_SS-1'!$AX:$AX)</f>
        <v>0</v>
      </c>
      <c r="N64" s="830">
        <f>SUMIF('LV Cable sizing_SS-2'!$X:$X,Summary!D64,'LV Cable sizing_SS-2'!$AX:$AX)</f>
        <v>0</v>
      </c>
      <c r="O64" s="830">
        <f>SUMIF('LV Cable sizing_SS-3'!$X:$X,Summary!D64,'LV Cable sizing_SS-3'!$AX:$AX)</f>
        <v>0</v>
      </c>
      <c r="P64" s="830" t="e">
        <f>SUMIF(#REF!,Summary!D64,#REF!)</f>
        <v>#REF!</v>
      </c>
      <c r="Q64" s="830" t="e">
        <f>SUMIF(#REF!,Summary!D64,#REF!)</f>
        <v>#REF!</v>
      </c>
      <c r="R64" s="830" t="e">
        <f>SUMIF(#REF!,Summary!D64,#REF!)</f>
        <v>#REF!</v>
      </c>
      <c r="S64" s="831" t="e">
        <f t="shared" si="21"/>
        <v>#REF!</v>
      </c>
      <c r="T64" s="830"/>
      <c r="U64" s="830"/>
      <c r="V64" s="830"/>
      <c r="W64" s="832">
        <f>SUMIF('LV Cable sizing_SS-1'!$X:$X,Summary!D64,'LV Cable sizing_SS-1'!$AZ:$AZ)</f>
        <v>0</v>
      </c>
      <c r="X64" s="832">
        <f>SUMIF('LV Cable sizing_SS-2'!$X:$X,Summary!D64,'LV Cable sizing_SS-2'!$AZ:$AZ)</f>
        <v>0</v>
      </c>
      <c r="Y64" s="832">
        <f>SUMIF('LV Cable sizing_SS-3'!$X:$X,Summary!D64,'LV Cable sizing_SS-3'!$AZ:$AZ)</f>
        <v>0</v>
      </c>
      <c r="Z64" s="832" t="e">
        <f>SUMIF(#REF!,Summary!D64,#REF!)</f>
        <v>#REF!</v>
      </c>
      <c r="AA64" s="832"/>
      <c r="AB64" s="832" t="e">
        <f>SUMIF(#REF!,Summary!D64,#REF!)</f>
        <v>#REF!</v>
      </c>
      <c r="AC64" s="833" t="e">
        <f t="shared" si="22"/>
        <v>#REF!</v>
      </c>
      <c r="AD64" s="832" t="e">
        <f t="shared" si="23"/>
        <v>#REF!</v>
      </c>
      <c r="AE64" s="832" t="e">
        <f t="shared" si="24"/>
        <v>#REF!</v>
      </c>
      <c r="AF64" s="567"/>
      <c r="AH64" s="831">
        <v>0</v>
      </c>
    </row>
    <row r="65" spans="1:34">
      <c r="A65" s="337">
        <f t="shared" si="25"/>
        <v>56</v>
      </c>
      <c r="B65" s="828" t="s">
        <v>959</v>
      </c>
      <c r="C65" s="500"/>
      <c r="D65" s="828" t="str">
        <f t="shared" si="15"/>
        <v>4C X 95</v>
      </c>
      <c r="E65" s="500"/>
      <c r="F65" s="500"/>
      <c r="G65" s="337" t="s">
        <v>358</v>
      </c>
      <c r="H65" s="337" t="s">
        <v>1567</v>
      </c>
      <c r="I65" s="337" t="s">
        <v>115</v>
      </c>
      <c r="J65" s="343" t="s">
        <v>1566</v>
      </c>
      <c r="K65" s="830"/>
      <c r="L65" s="830"/>
      <c r="M65" s="830">
        <f>SUMIF('LV Cable sizing_SS-1'!$X:$X,Summary!D65,'LV Cable sizing_SS-1'!$AX:$AX)</f>
        <v>0</v>
      </c>
      <c r="N65" s="830">
        <f>SUMIF('LV Cable sizing_SS-2'!$X:$X,Summary!D65,'LV Cable sizing_SS-2'!$AX:$AX)</f>
        <v>0</v>
      </c>
      <c r="O65" s="830">
        <f>SUMIF('LV Cable sizing_SS-3'!$X:$X,Summary!D65,'LV Cable sizing_SS-3'!$AX:$AX)</f>
        <v>0</v>
      </c>
      <c r="P65" s="830" t="e">
        <f>SUMIF(#REF!,Summary!D65,#REF!)</f>
        <v>#REF!</v>
      </c>
      <c r="Q65" s="830" t="e">
        <f>SUMIF(#REF!,Summary!D65,#REF!)</f>
        <v>#REF!</v>
      </c>
      <c r="R65" s="830" t="e">
        <f>SUMIF(#REF!,Summary!D65,#REF!)</f>
        <v>#REF!</v>
      </c>
      <c r="S65" s="831" t="e">
        <f t="shared" si="21"/>
        <v>#REF!</v>
      </c>
      <c r="T65" s="830"/>
      <c r="U65" s="830"/>
      <c r="V65" s="830"/>
      <c r="W65" s="832">
        <f>SUMIF('LV Cable sizing_SS-1'!$X:$X,Summary!D65,'LV Cable sizing_SS-1'!$AZ:$AZ)</f>
        <v>0</v>
      </c>
      <c r="X65" s="832">
        <f>SUMIF('LV Cable sizing_SS-2'!$X:$X,Summary!D65,'LV Cable sizing_SS-2'!$AZ:$AZ)</f>
        <v>0</v>
      </c>
      <c r="Y65" s="832">
        <f>SUMIF('LV Cable sizing_SS-3'!$X:$X,Summary!D65,'LV Cable sizing_SS-3'!$AZ:$AZ)</f>
        <v>0</v>
      </c>
      <c r="Z65" s="832" t="e">
        <f>SUMIF(#REF!,Summary!D65,#REF!)</f>
        <v>#REF!</v>
      </c>
      <c r="AA65" s="832"/>
      <c r="AB65" s="832" t="e">
        <f>SUMIF(#REF!,Summary!D65,#REF!)</f>
        <v>#REF!</v>
      </c>
      <c r="AC65" s="833" t="e">
        <f t="shared" si="22"/>
        <v>#REF!</v>
      </c>
      <c r="AD65" s="832" t="e">
        <f t="shared" si="23"/>
        <v>#REF!</v>
      </c>
      <c r="AE65" s="832" t="e">
        <f t="shared" si="24"/>
        <v>#REF!</v>
      </c>
      <c r="AF65" s="567"/>
      <c r="AH65" s="831">
        <v>0</v>
      </c>
    </row>
    <row r="66" spans="1:34">
      <c r="A66" s="337">
        <f t="shared" si="25"/>
        <v>57</v>
      </c>
      <c r="B66" s="828" t="s">
        <v>960</v>
      </c>
      <c r="C66" s="500"/>
      <c r="D66" s="828" t="str">
        <f t="shared" si="15"/>
        <v>4C X 120</v>
      </c>
      <c r="E66" s="500"/>
      <c r="F66" s="500"/>
      <c r="G66" s="337" t="s">
        <v>358</v>
      </c>
      <c r="H66" s="337" t="s">
        <v>1567</v>
      </c>
      <c r="I66" s="337" t="s">
        <v>115</v>
      </c>
      <c r="J66" s="343" t="s">
        <v>1566</v>
      </c>
      <c r="K66" s="830"/>
      <c r="L66" s="830"/>
      <c r="M66" s="830">
        <f>SUMIF('LV Cable sizing_SS-1'!$X:$X,Summary!D66,'LV Cable sizing_SS-1'!$AX:$AX)</f>
        <v>0</v>
      </c>
      <c r="N66" s="830">
        <f>SUMIF('LV Cable sizing_SS-2'!$X:$X,Summary!D66,'LV Cable sizing_SS-2'!$AX:$AX)</f>
        <v>0</v>
      </c>
      <c r="O66" s="830">
        <f>SUMIF('LV Cable sizing_SS-3'!$X:$X,Summary!D66,'LV Cable sizing_SS-3'!$AX:$AX)</f>
        <v>0</v>
      </c>
      <c r="P66" s="830" t="e">
        <f>SUMIF(#REF!,Summary!D66,#REF!)</f>
        <v>#REF!</v>
      </c>
      <c r="Q66" s="830" t="e">
        <f>SUMIF(#REF!,Summary!D66,#REF!)</f>
        <v>#REF!</v>
      </c>
      <c r="R66" s="830" t="e">
        <f>SUMIF(#REF!,Summary!D66,#REF!)</f>
        <v>#REF!</v>
      </c>
      <c r="S66" s="831" t="e">
        <f t="shared" si="21"/>
        <v>#REF!</v>
      </c>
      <c r="T66" s="830"/>
      <c r="U66" s="830"/>
      <c r="V66" s="830"/>
      <c r="W66" s="832">
        <f>SUMIF('LV Cable sizing_SS-1'!$X:$X,Summary!D66,'LV Cable sizing_SS-1'!$AZ:$AZ)</f>
        <v>0</v>
      </c>
      <c r="X66" s="832">
        <f>SUMIF('LV Cable sizing_SS-2'!$X:$X,Summary!D66,'LV Cable sizing_SS-2'!$AZ:$AZ)</f>
        <v>0</v>
      </c>
      <c r="Y66" s="832">
        <f>SUMIF('LV Cable sizing_SS-3'!$X:$X,Summary!D66,'LV Cable sizing_SS-3'!$AZ:$AZ)</f>
        <v>0</v>
      </c>
      <c r="Z66" s="832" t="e">
        <f>SUMIF(#REF!,Summary!D66,#REF!)</f>
        <v>#REF!</v>
      </c>
      <c r="AA66" s="832"/>
      <c r="AB66" s="832" t="e">
        <f>SUMIF(#REF!,Summary!D66,#REF!)</f>
        <v>#REF!</v>
      </c>
      <c r="AC66" s="833" t="e">
        <f t="shared" si="22"/>
        <v>#REF!</v>
      </c>
      <c r="AD66" s="832" t="e">
        <f t="shared" si="23"/>
        <v>#REF!</v>
      </c>
      <c r="AE66" s="832" t="e">
        <f t="shared" si="24"/>
        <v>#REF!</v>
      </c>
      <c r="AF66" s="567"/>
      <c r="AH66" s="831">
        <v>0</v>
      </c>
    </row>
    <row r="67" spans="1:34">
      <c r="A67" s="337">
        <f t="shared" si="25"/>
        <v>58</v>
      </c>
      <c r="B67" s="828" t="s">
        <v>961</v>
      </c>
      <c r="C67" s="500"/>
      <c r="D67" s="828" t="str">
        <f t="shared" si="15"/>
        <v>4C X 150</v>
      </c>
      <c r="E67" s="500"/>
      <c r="F67" s="500"/>
      <c r="G67" s="337" t="s">
        <v>358</v>
      </c>
      <c r="H67" s="337" t="s">
        <v>1567</v>
      </c>
      <c r="I67" s="337" t="s">
        <v>115</v>
      </c>
      <c r="J67" s="343" t="s">
        <v>1566</v>
      </c>
      <c r="K67" s="830"/>
      <c r="L67" s="830"/>
      <c r="M67" s="830">
        <f>SUMIF('LV Cable sizing_SS-1'!$X:$X,Summary!D67,'LV Cable sizing_SS-1'!$AX:$AX)</f>
        <v>0</v>
      </c>
      <c r="N67" s="830">
        <f>SUMIF('LV Cable sizing_SS-2'!$X:$X,Summary!D67,'LV Cable sizing_SS-2'!$AX:$AX)</f>
        <v>0</v>
      </c>
      <c r="O67" s="830">
        <f>SUMIF('LV Cable sizing_SS-3'!$X:$X,Summary!D67,'LV Cable sizing_SS-3'!$AX:$AX)</f>
        <v>0</v>
      </c>
      <c r="P67" s="830" t="e">
        <f>SUMIF(#REF!,Summary!D67,#REF!)</f>
        <v>#REF!</v>
      </c>
      <c r="Q67" s="830" t="e">
        <f>SUMIF(#REF!,Summary!D67,#REF!)</f>
        <v>#REF!</v>
      </c>
      <c r="R67" s="830" t="e">
        <f>SUMIF(#REF!,Summary!D67,#REF!)</f>
        <v>#REF!</v>
      </c>
      <c r="S67" s="831" t="e">
        <f t="shared" si="21"/>
        <v>#REF!</v>
      </c>
      <c r="T67" s="830"/>
      <c r="U67" s="830"/>
      <c r="V67" s="830"/>
      <c r="W67" s="832">
        <f>SUMIF('LV Cable sizing_SS-1'!$X:$X,Summary!D67,'LV Cable sizing_SS-1'!$AZ:$AZ)</f>
        <v>0</v>
      </c>
      <c r="X67" s="832">
        <f>SUMIF('LV Cable sizing_SS-2'!$X:$X,Summary!D67,'LV Cable sizing_SS-2'!$AZ:$AZ)</f>
        <v>0</v>
      </c>
      <c r="Y67" s="832">
        <f>SUMIF('LV Cable sizing_SS-3'!$X:$X,Summary!D67,'LV Cable sizing_SS-3'!$AZ:$AZ)</f>
        <v>0</v>
      </c>
      <c r="Z67" s="832" t="e">
        <f>SUMIF(#REF!,Summary!D67,#REF!)</f>
        <v>#REF!</v>
      </c>
      <c r="AA67" s="832"/>
      <c r="AB67" s="832" t="e">
        <f>SUMIF(#REF!,Summary!D67,#REF!)</f>
        <v>#REF!</v>
      </c>
      <c r="AC67" s="833" t="e">
        <f t="shared" si="22"/>
        <v>#REF!</v>
      </c>
      <c r="AD67" s="832" t="e">
        <f t="shared" si="23"/>
        <v>#REF!</v>
      </c>
      <c r="AE67" s="832" t="e">
        <f t="shared" si="24"/>
        <v>#REF!</v>
      </c>
      <c r="AF67" s="567"/>
      <c r="AH67" s="831">
        <v>0</v>
      </c>
    </row>
    <row r="68" spans="1:34">
      <c r="A68" s="337">
        <f t="shared" si="25"/>
        <v>59</v>
      </c>
      <c r="B68" s="828" t="s">
        <v>962</v>
      </c>
      <c r="C68" s="500"/>
      <c r="D68" s="828" t="str">
        <f t="shared" si="15"/>
        <v>4C X 185</v>
      </c>
      <c r="E68" s="500"/>
      <c r="F68" s="500"/>
      <c r="G68" s="337" t="s">
        <v>358</v>
      </c>
      <c r="H68" s="337" t="s">
        <v>1567</v>
      </c>
      <c r="I68" s="337" t="s">
        <v>115</v>
      </c>
      <c r="J68" s="343" t="s">
        <v>1566</v>
      </c>
      <c r="K68" s="830"/>
      <c r="L68" s="830"/>
      <c r="M68" s="830">
        <f>SUMIF('LV Cable sizing_SS-1'!$X:$X,Summary!D68,'LV Cable sizing_SS-1'!$AX:$AX)</f>
        <v>0</v>
      </c>
      <c r="N68" s="830">
        <f>SUMIF('LV Cable sizing_SS-2'!$X:$X,Summary!D68,'LV Cable sizing_SS-2'!$AX:$AX)</f>
        <v>0</v>
      </c>
      <c r="O68" s="830">
        <f>SUMIF('LV Cable sizing_SS-3'!$X:$X,Summary!D68,'LV Cable sizing_SS-3'!$AX:$AX)</f>
        <v>0</v>
      </c>
      <c r="P68" s="830" t="e">
        <f>SUMIF(#REF!,Summary!D68,#REF!)</f>
        <v>#REF!</v>
      </c>
      <c r="Q68" s="830" t="e">
        <f>SUMIF(#REF!,Summary!D68,#REF!)</f>
        <v>#REF!</v>
      </c>
      <c r="R68" s="830" t="e">
        <f>SUMIF(#REF!,Summary!D68,#REF!)</f>
        <v>#REF!</v>
      </c>
      <c r="S68" s="831" t="e">
        <f t="shared" si="21"/>
        <v>#REF!</v>
      </c>
      <c r="T68" s="830"/>
      <c r="U68" s="830"/>
      <c r="V68" s="830"/>
      <c r="W68" s="832">
        <f>SUMIF('LV Cable sizing_SS-1'!$X:$X,Summary!D68,'LV Cable sizing_SS-1'!$AZ:$AZ)</f>
        <v>0</v>
      </c>
      <c r="X68" s="832">
        <f>SUMIF('LV Cable sizing_SS-2'!$X:$X,Summary!D68,'LV Cable sizing_SS-2'!$AZ:$AZ)</f>
        <v>0</v>
      </c>
      <c r="Y68" s="832">
        <f>SUMIF('LV Cable sizing_SS-3'!$X:$X,Summary!D68,'LV Cable sizing_SS-3'!$AZ:$AZ)</f>
        <v>0</v>
      </c>
      <c r="Z68" s="832" t="e">
        <f>SUMIF(#REF!,Summary!D68,#REF!)</f>
        <v>#REF!</v>
      </c>
      <c r="AA68" s="832"/>
      <c r="AB68" s="832" t="e">
        <f>SUMIF(#REF!,Summary!D68,#REF!)</f>
        <v>#REF!</v>
      </c>
      <c r="AC68" s="833" t="e">
        <f t="shared" si="22"/>
        <v>#REF!</v>
      </c>
      <c r="AD68" s="832" t="e">
        <f t="shared" si="23"/>
        <v>#REF!</v>
      </c>
      <c r="AE68" s="832" t="e">
        <f t="shared" si="24"/>
        <v>#REF!</v>
      </c>
      <c r="AF68" s="567"/>
      <c r="AH68" s="831">
        <v>0</v>
      </c>
    </row>
    <row r="69" spans="1:34">
      <c r="A69" s="337">
        <f t="shared" si="25"/>
        <v>60</v>
      </c>
      <c r="B69" s="828" t="s">
        <v>963</v>
      </c>
      <c r="C69" s="500"/>
      <c r="D69" s="828" t="str">
        <f t="shared" si="15"/>
        <v>4C X 240</v>
      </c>
      <c r="E69" s="500"/>
      <c r="F69" s="500"/>
      <c r="G69" s="337" t="s">
        <v>358</v>
      </c>
      <c r="H69" s="337" t="s">
        <v>1567</v>
      </c>
      <c r="I69" s="337" t="s">
        <v>115</v>
      </c>
      <c r="J69" s="343" t="s">
        <v>1566</v>
      </c>
      <c r="K69" s="830"/>
      <c r="L69" s="830"/>
      <c r="M69" s="830">
        <f>SUMIF('LV Cable sizing_SS-1'!$X:$X,Summary!D69,'LV Cable sizing_SS-1'!$AX:$AX)</f>
        <v>0</v>
      </c>
      <c r="N69" s="830">
        <f>SUMIF('LV Cable sizing_SS-2'!$X:$X,Summary!D69,'LV Cable sizing_SS-2'!$AX:$AX)</f>
        <v>0</v>
      </c>
      <c r="O69" s="830">
        <f>SUMIF('LV Cable sizing_SS-3'!$X:$X,Summary!D69,'LV Cable sizing_SS-3'!$AX:$AX)</f>
        <v>0</v>
      </c>
      <c r="P69" s="830" t="e">
        <f>SUMIF(#REF!,Summary!D69,#REF!)</f>
        <v>#REF!</v>
      </c>
      <c r="Q69" s="830" t="e">
        <f>SUMIF(#REF!,Summary!D69,#REF!)</f>
        <v>#REF!</v>
      </c>
      <c r="R69" s="830" t="e">
        <f>SUMIF(#REF!,Summary!D69,#REF!)</f>
        <v>#REF!</v>
      </c>
      <c r="S69" s="831" t="e">
        <f t="shared" si="21"/>
        <v>#REF!</v>
      </c>
      <c r="T69" s="830"/>
      <c r="U69" s="830"/>
      <c r="V69" s="830"/>
      <c r="W69" s="832">
        <f>SUMIF('LV Cable sizing_SS-1'!$X:$X,Summary!D69,'LV Cable sizing_SS-1'!$AZ:$AZ)</f>
        <v>0</v>
      </c>
      <c r="X69" s="832">
        <f>SUMIF('LV Cable sizing_SS-2'!$X:$X,Summary!D69,'LV Cable sizing_SS-2'!$AZ:$AZ)</f>
        <v>0</v>
      </c>
      <c r="Y69" s="832">
        <f>SUMIF('LV Cable sizing_SS-3'!$X:$X,Summary!D69,'LV Cable sizing_SS-3'!$AZ:$AZ)</f>
        <v>0</v>
      </c>
      <c r="Z69" s="832" t="e">
        <f>SUMIF(#REF!,Summary!D69,#REF!)</f>
        <v>#REF!</v>
      </c>
      <c r="AA69" s="832"/>
      <c r="AB69" s="832" t="e">
        <f>SUMIF(#REF!,Summary!D69,#REF!)</f>
        <v>#REF!</v>
      </c>
      <c r="AC69" s="833" t="e">
        <f t="shared" si="22"/>
        <v>#REF!</v>
      </c>
      <c r="AD69" s="832" t="e">
        <f t="shared" si="23"/>
        <v>#REF!</v>
      </c>
      <c r="AE69" s="832" t="e">
        <f t="shared" si="24"/>
        <v>#REF!</v>
      </c>
      <c r="AF69" s="567"/>
      <c r="AH69" s="831">
        <v>0</v>
      </c>
    </row>
    <row r="70" spans="1:34">
      <c r="A70" s="337">
        <f t="shared" si="25"/>
        <v>61</v>
      </c>
      <c r="B70" s="828" t="s">
        <v>964</v>
      </c>
      <c r="C70" s="500"/>
      <c r="D70" s="828" t="str">
        <f t="shared" si="15"/>
        <v>4C X 300</v>
      </c>
      <c r="E70" s="500"/>
      <c r="F70" s="500"/>
      <c r="G70" s="337" t="s">
        <v>358</v>
      </c>
      <c r="H70" s="337" t="s">
        <v>1567</v>
      </c>
      <c r="I70" s="337" t="s">
        <v>115</v>
      </c>
      <c r="J70" s="343" t="s">
        <v>1566</v>
      </c>
      <c r="K70" s="830"/>
      <c r="L70" s="830"/>
      <c r="M70" s="830">
        <f>SUMIF('LV Cable sizing_SS-1'!$X:$X,Summary!D70,'LV Cable sizing_SS-1'!$AX:$AX)</f>
        <v>0</v>
      </c>
      <c r="N70" s="830">
        <f>SUMIF('LV Cable sizing_SS-2'!$X:$X,Summary!D70,'LV Cable sizing_SS-2'!$AX:$AX)</f>
        <v>0</v>
      </c>
      <c r="O70" s="830">
        <f>SUMIF('LV Cable sizing_SS-3'!$X:$X,Summary!D70,'LV Cable sizing_SS-3'!$AX:$AX)</f>
        <v>0</v>
      </c>
      <c r="P70" s="830" t="e">
        <f>SUMIF(#REF!,Summary!D70,#REF!)</f>
        <v>#REF!</v>
      </c>
      <c r="Q70" s="830" t="e">
        <f>SUMIF(#REF!,Summary!D70,#REF!)</f>
        <v>#REF!</v>
      </c>
      <c r="R70" s="830" t="e">
        <f>SUMIF(#REF!,Summary!D70,#REF!)</f>
        <v>#REF!</v>
      </c>
      <c r="S70" s="831" t="e">
        <f t="shared" si="21"/>
        <v>#REF!</v>
      </c>
      <c r="T70" s="830"/>
      <c r="U70" s="830"/>
      <c r="V70" s="830"/>
      <c r="W70" s="832">
        <f>SUMIF('LV Cable sizing_SS-1'!$X:$X,Summary!D70,'LV Cable sizing_SS-1'!$AZ:$AZ)</f>
        <v>0</v>
      </c>
      <c r="X70" s="832">
        <f>SUMIF('LV Cable sizing_SS-2'!$X:$X,Summary!D70,'LV Cable sizing_SS-2'!$AZ:$AZ)</f>
        <v>0</v>
      </c>
      <c r="Y70" s="832">
        <f>SUMIF('LV Cable sizing_SS-3'!$X:$X,Summary!D70,'LV Cable sizing_SS-3'!$AZ:$AZ)</f>
        <v>0</v>
      </c>
      <c r="Z70" s="832" t="e">
        <f>SUMIF(#REF!,Summary!D70,#REF!)</f>
        <v>#REF!</v>
      </c>
      <c r="AA70" s="832"/>
      <c r="AB70" s="832" t="e">
        <f>SUMIF(#REF!,Summary!D70,#REF!)</f>
        <v>#REF!</v>
      </c>
      <c r="AC70" s="833" t="e">
        <f t="shared" si="22"/>
        <v>#REF!</v>
      </c>
      <c r="AD70" s="832" t="e">
        <f t="shared" si="23"/>
        <v>#REF!</v>
      </c>
      <c r="AE70" s="832" t="e">
        <f t="shared" si="24"/>
        <v>#REF!</v>
      </c>
      <c r="AF70" s="567"/>
      <c r="AH70" s="831">
        <v>0</v>
      </c>
    </row>
    <row r="71" spans="1:34">
      <c r="A71" s="337">
        <f t="shared" si="25"/>
        <v>62</v>
      </c>
      <c r="B71" s="828" t="s">
        <v>965</v>
      </c>
      <c r="C71" s="500"/>
      <c r="D71" s="828" t="str">
        <f t="shared" si="15"/>
        <v>4C X 400</v>
      </c>
      <c r="E71" s="500"/>
      <c r="F71" s="500"/>
      <c r="G71" s="337" t="s">
        <v>358</v>
      </c>
      <c r="H71" s="337" t="s">
        <v>1567</v>
      </c>
      <c r="I71" s="337" t="s">
        <v>115</v>
      </c>
      <c r="J71" s="343" t="s">
        <v>1566</v>
      </c>
      <c r="K71" s="830"/>
      <c r="L71" s="830"/>
      <c r="M71" s="830">
        <f>SUMIF('LV Cable sizing_SS-1'!$X:$X,Summary!D71,'LV Cable sizing_SS-1'!$AX:$AX)</f>
        <v>0</v>
      </c>
      <c r="N71" s="830">
        <f>SUMIF('LV Cable sizing_SS-2'!$X:$X,Summary!D71,'LV Cable sizing_SS-2'!$AX:$AX)</f>
        <v>0</v>
      </c>
      <c r="O71" s="830">
        <f>SUMIF('LV Cable sizing_SS-3'!$X:$X,Summary!D71,'LV Cable sizing_SS-3'!$AX:$AX)</f>
        <v>0</v>
      </c>
      <c r="P71" s="830" t="e">
        <f>SUMIF(#REF!,Summary!D71,#REF!)</f>
        <v>#REF!</v>
      </c>
      <c r="Q71" s="830" t="e">
        <f>SUMIF(#REF!,Summary!D71,#REF!)</f>
        <v>#REF!</v>
      </c>
      <c r="R71" s="830" t="e">
        <f>SUMIF(#REF!,Summary!D71,#REF!)</f>
        <v>#REF!</v>
      </c>
      <c r="S71" s="831" t="e">
        <f t="shared" si="21"/>
        <v>#REF!</v>
      </c>
      <c r="T71" s="830"/>
      <c r="U71" s="830"/>
      <c r="V71" s="830"/>
      <c r="W71" s="832">
        <f>SUMIF('LV Cable sizing_SS-1'!$X:$X,Summary!D71,'LV Cable sizing_SS-1'!$AZ:$AZ)</f>
        <v>0</v>
      </c>
      <c r="X71" s="832">
        <f>SUMIF('LV Cable sizing_SS-2'!$X:$X,Summary!D71,'LV Cable sizing_SS-2'!$AZ:$AZ)</f>
        <v>0</v>
      </c>
      <c r="Y71" s="832">
        <f>SUMIF('LV Cable sizing_SS-3'!$X:$X,Summary!D71,'LV Cable sizing_SS-3'!$AZ:$AZ)</f>
        <v>0</v>
      </c>
      <c r="Z71" s="832" t="e">
        <f>SUMIF(#REF!,Summary!D71,#REF!)</f>
        <v>#REF!</v>
      </c>
      <c r="AA71" s="832"/>
      <c r="AB71" s="832" t="e">
        <f>SUMIF(#REF!,Summary!D71,#REF!)</f>
        <v>#REF!</v>
      </c>
      <c r="AC71" s="833" t="e">
        <f t="shared" si="22"/>
        <v>#REF!</v>
      </c>
      <c r="AD71" s="832" t="e">
        <f t="shared" si="23"/>
        <v>#REF!</v>
      </c>
      <c r="AE71" s="832" t="e">
        <f t="shared" si="24"/>
        <v>#REF!</v>
      </c>
      <c r="AF71" s="567"/>
      <c r="AH71" s="831">
        <v>0</v>
      </c>
    </row>
    <row r="72" spans="1:34">
      <c r="A72" s="373"/>
      <c r="B72" s="824"/>
      <c r="C72" s="824"/>
      <c r="D72" s="824"/>
      <c r="E72" s="824"/>
      <c r="F72" s="824"/>
      <c r="G72" s="373"/>
      <c r="H72" s="373"/>
      <c r="I72" s="373"/>
      <c r="J72" s="376"/>
      <c r="K72" s="825"/>
      <c r="L72" s="825"/>
      <c r="M72" s="826"/>
      <c r="N72" s="826"/>
      <c r="O72" s="826"/>
      <c r="P72" s="826"/>
      <c r="Q72" s="826"/>
      <c r="R72" s="826"/>
      <c r="S72" s="827"/>
      <c r="T72" s="827"/>
      <c r="U72" s="827"/>
      <c r="V72" s="827"/>
      <c r="W72" s="827"/>
      <c r="X72" s="827"/>
      <c r="Y72" s="827"/>
      <c r="Z72" s="827"/>
      <c r="AA72" s="827"/>
      <c r="AB72" s="827"/>
      <c r="AC72" s="827"/>
      <c r="AD72" s="827"/>
      <c r="AE72" s="827"/>
      <c r="AF72" s="826"/>
      <c r="AH72" s="827"/>
    </row>
    <row r="73" spans="1:34">
      <c r="A73" s="337">
        <f>A71+1</f>
        <v>63</v>
      </c>
      <c r="B73" s="828" t="s">
        <v>195</v>
      </c>
      <c r="C73" s="500"/>
      <c r="D73" s="828" t="str">
        <f t="shared" si="15"/>
        <v>5C X 1.5</v>
      </c>
      <c r="E73" s="500"/>
      <c r="F73" s="500"/>
      <c r="G73" s="337" t="s">
        <v>358</v>
      </c>
      <c r="H73" s="337" t="s">
        <v>1565</v>
      </c>
      <c r="I73" s="337" t="s">
        <v>115</v>
      </c>
      <c r="J73" s="343" t="s">
        <v>1566</v>
      </c>
      <c r="K73" s="830"/>
      <c r="L73" s="830"/>
      <c r="M73" s="830">
        <f>SUMIF('LV Cable sizing_SS-1'!$X:$X,Summary!D73,'LV Cable sizing_SS-1'!$AX:$AX)</f>
        <v>0</v>
      </c>
      <c r="N73" s="830">
        <f>SUMIF('LV Cable sizing_SS-2'!$X:$X,Summary!D73,'LV Cable sizing_SS-2'!$AX:$AX)</f>
        <v>0</v>
      </c>
      <c r="O73" s="830">
        <f>SUMIF('LV Cable sizing_SS-3'!$X:$X,Summary!D73,'LV Cable sizing_SS-3'!$AX:$AX)</f>
        <v>0</v>
      </c>
      <c r="P73" s="830" t="e">
        <f>SUMIF(#REF!,Summary!D73,#REF!)</f>
        <v>#REF!</v>
      </c>
      <c r="Q73" s="830" t="e">
        <f>SUMIF(#REF!,Summary!D73,#REF!)</f>
        <v>#REF!</v>
      </c>
      <c r="R73" s="830" t="e">
        <f>SUMIF(#REF!,Summary!D73,#REF!)</f>
        <v>#REF!</v>
      </c>
      <c r="S73" s="831" t="e">
        <f t="shared" ref="S73:S82" si="26">SUM(K73:R73)</f>
        <v>#REF!</v>
      </c>
      <c r="T73" s="830"/>
      <c r="U73" s="830"/>
      <c r="V73" s="830"/>
      <c r="W73" s="832">
        <f>SUMIF('LV Cable sizing_SS-1'!$X:$X,Summary!D73,'LV Cable sizing_SS-1'!$AZ:$AZ)</f>
        <v>0</v>
      </c>
      <c r="X73" s="832">
        <f>SUMIF('LV Cable sizing_SS-2'!$X:$X,Summary!D73,'LV Cable sizing_SS-2'!$AZ:$AZ)</f>
        <v>0</v>
      </c>
      <c r="Y73" s="832">
        <f>SUMIF('LV Cable sizing_SS-3'!$X:$X,Summary!D73,'LV Cable sizing_SS-3'!$AZ:$AZ)</f>
        <v>0</v>
      </c>
      <c r="Z73" s="832" t="e">
        <f>SUMIF(#REF!,Summary!D73,#REF!)</f>
        <v>#REF!</v>
      </c>
      <c r="AA73" s="832"/>
      <c r="AB73" s="832" t="e">
        <f>SUMIF(#REF!,Summary!D73,#REF!)</f>
        <v>#REF!</v>
      </c>
      <c r="AC73" s="833" t="e">
        <f t="shared" ref="AC73:AC82" si="27">SUM(U73:AB73)</f>
        <v>#REF!</v>
      </c>
      <c r="AD73" s="832" t="e">
        <f t="shared" ref="AD73:AD82" si="28">CEILING((AC73*0.05),1)</f>
        <v>#REF!</v>
      </c>
      <c r="AE73" s="832" t="e">
        <f t="shared" ref="AE73:AE82" si="29">SUM(AC73+AD73)</f>
        <v>#REF!</v>
      </c>
      <c r="AF73" s="567"/>
      <c r="AH73" s="831">
        <v>0</v>
      </c>
    </row>
    <row r="74" spans="1:34">
      <c r="A74" s="337">
        <f t="shared" ref="A74:A82" si="30">A73+1</f>
        <v>64</v>
      </c>
      <c r="B74" s="828" t="s">
        <v>196</v>
      </c>
      <c r="C74" s="500"/>
      <c r="D74" s="828" t="str">
        <f t="shared" si="15"/>
        <v>5C X 2.5</v>
      </c>
      <c r="E74" s="500"/>
      <c r="F74" s="500"/>
      <c r="G74" s="337" t="s">
        <v>358</v>
      </c>
      <c r="H74" s="337" t="s">
        <v>1565</v>
      </c>
      <c r="I74" s="337" t="s">
        <v>115</v>
      </c>
      <c r="J74" s="343" t="s">
        <v>1566</v>
      </c>
      <c r="K74" s="830"/>
      <c r="L74" s="830"/>
      <c r="M74" s="830">
        <f>SUMIF('LV Cable sizing_SS-1'!$X:$X,Summary!D74,'LV Cable sizing_SS-1'!$AX:$AX)</f>
        <v>0</v>
      </c>
      <c r="N74" s="830">
        <f>SUMIF('LV Cable sizing_SS-2'!$X:$X,Summary!D74,'LV Cable sizing_SS-2'!$AX:$AX)</f>
        <v>0</v>
      </c>
      <c r="O74" s="830">
        <f>SUMIF('LV Cable sizing_SS-3'!$X:$X,Summary!D74,'LV Cable sizing_SS-3'!$AX:$AX)</f>
        <v>0</v>
      </c>
      <c r="P74" s="830" t="e">
        <f>SUMIF(#REF!,Summary!D74,#REF!)</f>
        <v>#REF!</v>
      </c>
      <c r="Q74" s="830" t="e">
        <f>SUMIF(#REF!,Summary!D74,#REF!)</f>
        <v>#REF!</v>
      </c>
      <c r="R74" s="830" t="e">
        <f>SUMIF(#REF!,Summary!D74,#REF!)</f>
        <v>#REF!</v>
      </c>
      <c r="S74" s="831" t="e">
        <f t="shared" si="26"/>
        <v>#REF!</v>
      </c>
      <c r="T74" s="830"/>
      <c r="U74" s="830"/>
      <c r="V74" s="830"/>
      <c r="W74" s="832">
        <f>SUMIF('LV Cable sizing_SS-1'!$X:$X,Summary!D74,'LV Cable sizing_SS-1'!$AZ:$AZ)</f>
        <v>0</v>
      </c>
      <c r="X74" s="832">
        <f>SUMIF('LV Cable sizing_SS-2'!$X:$X,Summary!D74,'LV Cable sizing_SS-2'!$AZ:$AZ)</f>
        <v>0</v>
      </c>
      <c r="Y74" s="832">
        <f>SUMIF('LV Cable sizing_SS-3'!$X:$X,Summary!D74,'LV Cable sizing_SS-3'!$AZ:$AZ)</f>
        <v>0</v>
      </c>
      <c r="Z74" s="832" t="e">
        <f>SUMIF(#REF!,Summary!D74,#REF!)</f>
        <v>#REF!</v>
      </c>
      <c r="AA74" s="832"/>
      <c r="AB74" s="832" t="e">
        <f>SUMIF(#REF!,Summary!D74,#REF!)</f>
        <v>#REF!</v>
      </c>
      <c r="AC74" s="833" t="e">
        <f t="shared" si="27"/>
        <v>#REF!</v>
      </c>
      <c r="AD74" s="832" t="e">
        <f t="shared" si="28"/>
        <v>#REF!</v>
      </c>
      <c r="AE74" s="832" t="e">
        <f t="shared" si="29"/>
        <v>#REF!</v>
      </c>
      <c r="AF74" s="567"/>
      <c r="AH74" s="831">
        <v>0</v>
      </c>
    </row>
    <row r="75" spans="1:34">
      <c r="A75" s="337">
        <f t="shared" si="30"/>
        <v>65</v>
      </c>
      <c r="B75" s="828" t="s">
        <v>197</v>
      </c>
      <c r="C75" s="500"/>
      <c r="D75" s="828" t="str">
        <f t="shared" si="15"/>
        <v>5C X 4</v>
      </c>
      <c r="E75" s="500"/>
      <c r="F75" s="500"/>
      <c r="G75" s="337" t="s">
        <v>358</v>
      </c>
      <c r="H75" s="337" t="s">
        <v>1565</v>
      </c>
      <c r="I75" s="337" t="s">
        <v>115</v>
      </c>
      <c r="J75" s="343" t="s">
        <v>1566</v>
      </c>
      <c r="K75" s="830"/>
      <c r="L75" s="830"/>
      <c r="M75" s="830">
        <f>SUMIF('LV Cable sizing_SS-1'!$X:$X,Summary!D75,'LV Cable sizing_SS-1'!$AX:$AX)</f>
        <v>0</v>
      </c>
      <c r="N75" s="830">
        <f>SUMIF('LV Cable sizing_SS-2'!$X:$X,Summary!D75,'LV Cable sizing_SS-2'!$AX:$AX)</f>
        <v>0</v>
      </c>
      <c r="O75" s="830">
        <f>SUMIF('LV Cable sizing_SS-3'!$X:$X,Summary!D75,'LV Cable sizing_SS-3'!$AX:$AX)</f>
        <v>0</v>
      </c>
      <c r="P75" s="830" t="e">
        <f>SUMIF(#REF!,Summary!D75,#REF!)</f>
        <v>#REF!</v>
      </c>
      <c r="Q75" s="830" t="e">
        <f>SUMIF(#REF!,Summary!D75,#REF!)</f>
        <v>#REF!</v>
      </c>
      <c r="R75" s="830" t="e">
        <f>SUMIF(#REF!,Summary!D75,#REF!)</f>
        <v>#REF!</v>
      </c>
      <c r="S75" s="831" t="e">
        <f t="shared" si="26"/>
        <v>#REF!</v>
      </c>
      <c r="T75" s="830"/>
      <c r="U75" s="830"/>
      <c r="V75" s="830"/>
      <c r="W75" s="832">
        <f>SUMIF('LV Cable sizing_SS-1'!$X:$X,Summary!D75,'LV Cable sizing_SS-1'!$AZ:$AZ)</f>
        <v>0</v>
      </c>
      <c r="X75" s="832">
        <f>SUMIF('LV Cable sizing_SS-2'!$X:$X,Summary!D75,'LV Cable sizing_SS-2'!$AZ:$AZ)</f>
        <v>0</v>
      </c>
      <c r="Y75" s="832">
        <f>SUMIF('LV Cable sizing_SS-3'!$X:$X,Summary!D75,'LV Cable sizing_SS-3'!$AZ:$AZ)</f>
        <v>0</v>
      </c>
      <c r="Z75" s="832" t="e">
        <f>SUMIF(#REF!,Summary!D75,#REF!)</f>
        <v>#REF!</v>
      </c>
      <c r="AA75" s="832"/>
      <c r="AB75" s="832" t="e">
        <f>SUMIF(#REF!,Summary!D75,#REF!)</f>
        <v>#REF!</v>
      </c>
      <c r="AC75" s="833" t="e">
        <f t="shared" si="27"/>
        <v>#REF!</v>
      </c>
      <c r="AD75" s="832" t="e">
        <f t="shared" si="28"/>
        <v>#REF!</v>
      </c>
      <c r="AE75" s="832" t="e">
        <f t="shared" si="29"/>
        <v>#REF!</v>
      </c>
      <c r="AF75" s="567"/>
      <c r="AH75" s="831">
        <v>0</v>
      </c>
    </row>
    <row r="76" spans="1:34">
      <c r="A76" s="337">
        <f t="shared" si="30"/>
        <v>66</v>
      </c>
      <c r="B76" s="828" t="s">
        <v>198</v>
      </c>
      <c r="C76" s="500"/>
      <c r="D76" s="828" t="str">
        <f t="shared" si="15"/>
        <v>5C X 6</v>
      </c>
      <c r="E76" s="500"/>
      <c r="F76" s="500"/>
      <c r="G76" s="337" t="s">
        <v>358</v>
      </c>
      <c r="H76" s="337" t="s">
        <v>1565</v>
      </c>
      <c r="I76" s="337" t="s">
        <v>115</v>
      </c>
      <c r="J76" s="343" t="s">
        <v>1566</v>
      </c>
      <c r="K76" s="830"/>
      <c r="L76" s="830"/>
      <c r="M76" s="830">
        <f>SUMIF('LV Cable sizing_SS-1'!$X:$X,Summary!D76,'LV Cable sizing_SS-1'!$AX:$AX)</f>
        <v>0</v>
      </c>
      <c r="N76" s="830">
        <f>SUMIF('LV Cable sizing_SS-2'!$X:$X,Summary!D76,'LV Cable sizing_SS-2'!$AX:$AX)</f>
        <v>0</v>
      </c>
      <c r="O76" s="830">
        <f>SUMIF('LV Cable sizing_SS-3'!$X:$X,Summary!D76,'LV Cable sizing_SS-3'!$AX:$AX)</f>
        <v>0</v>
      </c>
      <c r="P76" s="830" t="e">
        <f>SUMIF(#REF!,Summary!D76,#REF!)</f>
        <v>#REF!</v>
      </c>
      <c r="Q76" s="830" t="e">
        <f>SUMIF(#REF!,Summary!D76,#REF!)</f>
        <v>#REF!</v>
      </c>
      <c r="R76" s="830" t="e">
        <f>SUMIF(#REF!,Summary!D76,#REF!)</f>
        <v>#REF!</v>
      </c>
      <c r="S76" s="831" t="e">
        <f t="shared" si="26"/>
        <v>#REF!</v>
      </c>
      <c r="T76" s="830"/>
      <c r="U76" s="830"/>
      <c r="V76" s="830"/>
      <c r="W76" s="832">
        <f>SUMIF('LV Cable sizing_SS-1'!$X:$X,Summary!D76,'LV Cable sizing_SS-1'!$AZ:$AZ)</f>
        <v>0</v>
      </c>
      <c r="X76" s="832">
        <f>SUMIF('LV Cable sizing_SS-2'!$X:$X,Summary!D76,'LV Cable sizing_SS-2'!$AZ:$AZ)</f>
        <v>0</v>
      </c>
      <c r="Y76" s="832">
        <f>SUMIF('LV Cable sizing_SS-3'!$X:$X,Summary!D76,'LV Cable sizing_SS-3'!$AZ:$AZ)</f>
        <v>0</v>
      </c>
      <c r="Z76" s="832" t="e">
        <f>SUMIF(#REF!,Summary!D76,#REF!)</f>
        <v>#REF!</v>
      </c>
      <c r="AA76" s="832"/>
      <c r="AB76" s="832" t="e">
        <f>SUMIF(#REF!,Summary!D76,#REF!)</f>
        <v>#REF!</v>
      </c>
      <c r="AC76" s="833" t="e">
        <f t="shared" si="27"/>
        <v>#REF!</v>
      </c>
      <c r="AD76" s="832" t="e">
        <f t="shared" si="28"/>
        <v>#REF!</v>
      </c>
      <c r="AE76" s="832" t="e">
        <f t="shared" si="29"/>
        <v>#REF!</v>
      </c>
      <c r="AF76" s="567"/>
      <c r="AH76" s="831">
        <v>0</v>
      </c>
    </row>
    <row r="77" spans="1:34">
      <c r="A77" s="337">
        <f t="shared" si="30"/>
        <v>67</v>
      </c>
      <c r="B77" s="828" t="s">
        <v>199</v>
      </c>
      <c r="C77" s="500"/>
      <c r="D77" s="828" t="str">
        <f t="shared" si="15"/>
        <v>5C X 10</v>
      </c>
      <c r="E77" s="500"/>
      <c r="F77" s="500"/>
      <c r="G77" s="337" t="s">
        <v>358</v>
      </c>
      <c r="H77" s="337" t="s">
        <v>1567</v>
      </c>
      <c r="I77" s="337" t="s">
        <v>115</v>
      </c>
      <c r="J77" s="343" t="s">
        <v>1566</v>
      </c>
      <c r="K77" s="830"/>
      <c r="L77" s="830"/>
      <c r="M77" s="830">
        <f>SUMIF('LV Cable sizing_SS-1'!$X:$X,Summary!D77,'LV Cable sizing_SS-1'!$AX:$AX)</f>
        <v>0</v>
      </c>
      <c r="N77" s="830">
        <f>SUMIF('LV Cable sizing_SS-2'!$X:$X,Summary!D77,'LV Cable sizing_SS-2'!$AX:$AX)</f>
        <v>0</v>
      </c>
      <c r="O77" s="830">
        <f>SUMIF('LV Cable sizing_SS-3'!$X:$X,Summary!D77,'LV Cable sizing_SS-3'!$AX:$AX)</f>
        <v>0</v>
      </c>
      <c r="P77" s="830" t="e">
        <f>SUMIF(#REF!,Summary!D77,#REF!)</f>
        <v>#REF!</v>
      </c>
      <c r="Q77" s="830" t="e">
        <f>SUMIF(#REF!,Summary!D77,#REF!)</f>
        <v>#REF!</v>
      </c>
      <c r="R77" s="830" t="e">
        <f>SUMIF(#REF!,Summary!D77,#REF!)</f>
        <v>#REF!</v>
      </c>
      <c r="S77" s="831" t="e">
        <f t="shared" si="26"/>
        <v>#REF!</v>
      </c>
      <c r="T77" s="830"/>
      <c r="U77" s="830"/>
      <c r="V77" s="830"/>
      <c r="W77" s="832">
        <f>SUMIF('LV Cable sizing_SS-1'!$X:$X,Summary!D77,'LV Cable sizing_SS-1'!$AZ:$AZ)</f>
        <v>0</v>
      </c>
      <c r="X77" s="832">
        <f>SUMIF('LV Cable sizing_SS-2'!$X:$X,Summary!D77,'LV Cable sizing_SS-2'!$AZ:$AZ)</f>
        <v>0</v>
      </c>
      <c r="Y77" s="832">
        <f>SUMIF('LV Cable sizing_SS-3'!$X:$X,Summary!D77,'LV Cable sizing_SS-3'!$AZ:$AZ)</f>
        <v>0</v>
      </c>
      <c r="Z77" s="832" t="e">
        <f>SUMIF(#REF!,Summary!D77,#REF!)</f>
        <v>#REF!</v>
      </c>
      <c r="AA77" s="832"/>
      <c r="AB77" s="832" t="e">
        <f>SUMIF(#REF!,Summary!D77,#REF!)</f>
        <v>#REF!</v>
      </c>
      <c r="AC77" s="833" t="e">
        <f t="shared" si="27"/>
        <v>#REF!</v>
      </c>
      <c r="AD77" s="832" t="e">
        <f t="shared" si="28"/>
        <v>#REF!</v>
      </c>
      <c r="AE77" s="832" t="e">
        <f t="shared" si="29"/>
        <v>#REF!</v>
      </c>
      <c r="AF77" s="567"/>
      <c r="AH77" s="831">
        <v>0</v>
      </c>
    </row>
    <row r="78" spans="1:34">
      <c r="A78" s="337">
        <f t="shared" si="30"/>
        <v>68</v>
      </c>
      <c r="B78" s="828" t="s">
        <v>200</v>
      </c>
      <c r="C78" s="500"/>
      <c r="D78" s="828" t="str">
        <f t="shared" si="15"/>
        <v>5C X 16</v>
      </c>
      <c r="E78" s="500"/>
      <c r="F78" s="500"/>
      <c r="G78" s="337" t="s">
        <v>358</v>
      </c>
      <c r="H78" s="337" t="s">
        <v>1567</v>
      </c>
      <c r="I78" s="337" t="s">
        <v>115</v>
      </c>
      <c r="J78" s="343" t="s">
        <v>1566</v>
      </c>
      <c r="K78" s="830"/>
      <c r="L78" s="830"/>
      <c r="M78" s="830">
        <f>SUMIF('LV Cable sizing_SS-1'!$X:$X,Summary!D78,'LV Cable sizing_SS-1'!$AX:$AX)</f>
        <v>0</v>
      </c>
      <c r="N78" s="830">
        <f>SUMIF('LV Cable sizing_SS-2'!$X:$X,Summary!D78,'LV Cable sizing_SS-2'!$AX:$AX)</f>
        <v>0</v>
      </c>
      <c r="O78" s="830">
        <f>SUMIF('LV Cable sizing_SS-3'!$X:$X,Summary!D78,'LV Cable sizing_SS-3'!$AX:$AX)</f>
        <v>0</v>
      </c>
      <c r="P78" s="830" t="e">
        <f>SUMIF(#REF!,Summary!D78,#REF!)</f>
        <v>#REF!</v>
      </c>
      <c r="Q78" s="830" t="e">
        <f>SUMIF(#REF!,Summary!D78,#REF!)</f>
        <v>#REF!</v>
      </c>
      <c r="R78" s="830" t="e">
        <f>SUMIF(#REF!,Summary!D78,#REF!)</f>
        <v>#REF!</v>
      </c>
      <c r="S78" s="831" t="e">
        <f t="shared" si="26"/>
        <v>#REF!</v>
      </c>
      <c r="T78" s="830"/>
      <c r="U78" s="830"/>
      <c r="V78" s="830"/>
      <c r="W78" s="832">
        <f>SUMIF('LV Cable sizing_SS-1'!$X:$X,Summary!D78,'LV Cable sizing_SS-1'!$AZ:$AZ)</f>
        <v>0</v>
      </c>
      <c r="X78" s="832">
        <f>SUMIF('LV Cable sizing_SS-2'!$X:$X,Summary!D78,'LV Cable sizing_SS-2'!$AZ:$AZ)</f>
        <v>0</v>
      </c>
      <c r="Y78" s="832">
        <f>SUMIF('LV Cable sizing_SS-3'!$X:$X,Summary!D78,'LV Cable sizing_SS-3'!$AZ:$AZ)</f>
        <v>0</v>
      </c>
      <c r="Z78" s="832" t="e">
        <f>SUMIF(#REF!,Summary!D78,#REF!)</f>
        <v>#REF!</v>
      </c>
      <c r="AA78" s="832"/>
      <c r="AB78" s="832" t="e">
        <f>SUMIF(#REF!,Summary!D78,#REF!)</f>
        <v>#REF!</v>
      </c>
      <c r="AC78" s="833" t="e">
        <f t="shared" si="27"/>
        <v>#REF!</v>
      </c>
      <c r="AD78" s="832" t="e">
        <f t="shared" si="28"/>
        <v>#REF!</v>
      </c>
      <c r="AE78" s="832" t="e">
        <f t="shared" si="29"/>
        <v>#REF!</v>
      </c>
      <c r="AF78" s="567"/>
      <c r="AH78" s="831">
        <v>0</v>
      </c>
    </row>
    <row r="79" spans="1:34">
      <c r="A79" s="337">
        <f t="shared" si="30"/>
        <v>69</v>
      </c>
      <c r="B79" s="828" t="s">
        <v>201</v>
      </c>
      <c r="C79" s="500"/>
      <c r="D79" s="828" t="str">
        <f t="shared" si="15"/>
        <v>5C X 25</v>
      </c>
      <c r="E79" s="500"/>
      <c r="F79" s="500"/>
      <c r="G79" s="337" t="s">
        <v>358</v>
      </c>
      <c r="H79" s="337" t="s">
        <v>1567</v>
      </c>
      <c r="I79" s="337" t="s">
        <v>115</v>
      </c>
      <c r="J79" s="343" t="s">
        <v>1566</v>
      </c>
      <c r="K79" s="830"/>
      <c r="L79" s="830"/>
      <c r="M79" s="830">
        <f>SUMIF('LV Cable sizing_SS-1'!$X:$X,Summary!D79,'LV Cable sizing_SS-1'!$AX:$AX)</f>
        <v>0</v>
      </c>
      <c r="N79" s="830">
        <f>SUMIF('LV Cable sizing_SS-2'!$X:$X,Summary!D79,'LV Cable sizing_SS-2'!$AX:$AX)</f>
        <v>0</v>
      </c>
      <c r="O79" s="830">
        <f>SUMIF('LV Cable sizing_SS-3'!$X:$X,Summary!D79,'LV Cable sizing_SS-3'!$AX:$AX)</f>
        <v>0</v>
      </c>
      <c r="P79" s="830" t="e">
        <f>SUMIF(#REF!,Summary!D79,#REF!)</f>
        <v>#REF!</v>
      </c>
      <c r="Q79" s="830" t="e">
        <f>SUMIF(#REF!,Summary!D79,#REF!)</f>
        <v>#REF!</v>
      </c>
      <c r="R79" s="830" t="e">
        <f>SUMIF(#REF!,Summary!D79,#REF!)</f>
        <v>#REF!</v>
      </c>
      <c r="S79" s="831" t="e">
        <f t="shared" si="26"/>
        <v>#REF!</v>
      </c>
      <c r="T79" s="830"/>
      <c r="U79" s="830"/>
      <c r="V79" s="830"/>
      <c r="W79" s="832">
        <f>SUMIF('LV Cable sizing_SS-1'!$X:$X,Summary!D79,'LV Cable sizing_SS-1'!$AZ:$AZ)</f>
        <v>0</v>
      </c>
      <c r="X79" s="832">
        <f>SUMIF('LV Cable sizing_SS-2'!$X:$X,Summary!D79,'LV Cable sizing_SS-2'!$AZ:$AZ)</f>
        <v>0</v>
      </c>
      <c r="Y79" s="832">
        <f>SUMIF('LV Cable sizing_SS-3'!$X:$X,Summary!D79,'LV Cable sizing_SS-3'!$AZ:$AZ)</f>
        <v>0</v>
      </c>
      <c r="Z79" s="832" t="e">
        <f>SUMIF(#REF!,Summary!D79,#REF!)</f>
        <v>#REF!</v>
      </c>
      <c r="AA79" s="832"/>
      <c r="AB79" s="832" t="e">
        <f>SUMIF(#REF!,Summary!D79,#REF!)</f>
        <v>#REF!</v>
      </c>
      <c r="AC79" s="833" t="e">
        <f t="shared" si="27"/>
        <v>#REF!</v>
      </c>
      <c r="AD79" s="832" t="e">
        <f t="shared" si="28"/>
        <v>#REF!</v>
      </c>
      <c r="AE79" s="832" t="e">
        <f t="shared" si="29"/>
        <v>#REF!</v>
      </c>
      <c r="AF79" s="567"/>
      <c r="AH79" s="831">
        <v>0</v>
      </c>
    </row>
    <row r="80" spans="1:34">
      <c r="A80" s="337">
        <f t="shared" si="30"/>
        <v>70</v>
      </c>
      <c r="B80" s="828" t="s">
        <v>202</v>
      </c>
      <c r="C80" s="500"/>
      <c r="D80" s="828" t="str">
        <f t="shared" si="15"/>
        <v>5C X 35</v>
      </c>
      <c r="E80" s="500"/>
      <c r="F80" s="500"/>
      <c r="G80" s="337" t="s">
        <v>358</v>
      </c>
      <c r="H80" s="337" t="s">
        <v>1567</v>
      </c>
      <c r="I80" s="337" t="s">
        <v>115</v>
      </c>
      <c r="J80" s="343" t="s">
        <v>1566</v>
      </c>
      <c r="K80" s="830"/>
      <c r="L80" s="830"/>
      <c r="M80" s="830">
        <f>SUMIF('LV Cable sizing_SS-1'!$X:$X,Summary!D80,'LV Cable sizing_SS-1'!$AX:$AX)</f>
        <v>0</v>
      </c>
      <c r="N80" s="830">
        <f>SUMIF('LV Cable sizing_SS-2'!$X:$X,Summary!D80,'LV Cable sizing_SS-2'!$AX:$AX)</f>
        <v>0</v>
      </c>
      <c r="O80" s="830">
        <f>SUMIF('LV Cable sizing_SS-3'!$X:$X,Summary!D80,'LV Cable sizing_SS-3'!$AX:$AX)</f>
        <v>0</v>
      </c>
      <c r="P80" s="830" t="e">
        <f>SUMIF(#REF!,Summary!D80,#REF!)</f>
        <v>#REF!</v>
      </c>
      <c r="Q80" s="830" t="e">
        <f>SUMIF(#REF!,Summary!D80,#REF!)</f>
        <v>#REF!</v>
      </c>
      <c r="R80" s="830" t="e">
        <f>SUMIF(#REF!,Summary!D80,#REF!)</f>
        <v>#REF!</v>
      </c>
      <c r="S80" s="831" t="e">
        <f t="shared" si="26"/>
        <v>#REF!</v>
      </c>
      <c r="T80" s="830"/>
      <c r="U80" s="830"/>
      <c r="V80" s="830"/>
      <c r="W80" s="832">
        <f>SUMIF('LV Cable sizing_SS-1'!$X:$X,Summary!D80,'LV Cable sizing_SS-1'!$AZ:$AZ)</f>
        <v>0</v>
      </c>
      <c r="X80" s="832">
        <f>SUMIF('LV Cable sizing_SS-2'!$X:$X,Summary!D80,'LV Cable sizing_SS-2'!$AZ:$AZ)</f>
        <v>0</v>
      </c>
      <c r="Y80" s="832">
        <f>SUMIF('LV Cable sizing_SS-3'!$X:$X,Summary!D80,'LV Cable sizing_SS-3'!$AZ:$AZ)</f>
        <v>0</v>
      </c>
      <c r="Z80" s="832" t="e">
        <f>SUMIF(#REF!,Summary!D80,#REF!)</f>
        <v>#REF!</v>
      </c>
      <c r="AA80" s="832"/>
      <c r="AB80" s="832" t="e">
        <f>SUMIF(#REF!,Summary!D80,#REF!)</f>
        <v>#REF!</v>
      </c>
      <c r="AC80" s="833" t="e">
        <f t="shared" si="27"/>
        <v>#REF!</v>
      </c>
      <c r="AD80" s="832" t="e">
        <f t="shared" si="28"/>
        <v>#REF!</v>
      </c>
      <c r="AE80" s="832" t="e">
        <f t="shared" si="29"/>
        <v>#REF!</v>
      </c>
      <c r="AF80" s="567"/>
      <c r="AH80" s="831">
        <v>0</v>
      </c>
    </row>
    <row r="81" spans="1:41">
      <c r="A81" s="337">
        <f t="shared" si="30"/>
        <v>71</v>
      </c>
      <c r="B81" s="828" t="s">
        <v>203</v>
      </c>
      <c r="C81" s="500"/>
      <c r="D81" s="828" t="str">
        <f t="shared" si="15"/>
        <v>5C X 50</v>
      </c>
      <c r="E81" s="500"/>
      <c r="F81" s="500"/>
      <c r="G81" s="337" t="s">
        <v>358</v>
      </c>
      <c r="H81" s="337" t="s">
        <v>1567</v>
      </c>
      <c r="I81" s="337" t="s">
        <v>115</v>
      </c>
      <c r="J81" s="343" t="s">
        <v>1566</v>
      </c>
      <c r="K81" s="830"/>
      <c r="L81" s="830"/>
      <c r="M81" s="830">
        <f>SUMIF('LV Cable sizing_SS-1'!$X:$X,Summary!D81,'LV Cable sizing_SS-1'!$AX:$AX)</f>
        <v>0</v>
      </c>
      <c r="N81" s="830">
        <f>SUMIF('LV Cable sizing_SS-2'!$X:$X,Summary!D81,'LV Cable sizing_SS-2'!$AX:$AX)</f>
        <v>0</v>
      </c>
      <c r="O81" s="830">
        <f>SUMIF('LV Cable sizing_SS-3'!$X:$X,Summary!D81,'LV Cable sizing_SS-3'!$AX:$AX)</f>
        <v>0</v>
      </c>
      <c r="P81" s="830" t="e">
        <f>SUMIF(#REF!,Summary!D81,#REF!)</f>
        <v>#REF!</v>
      </c>
      <c r="Q81" s="830" t="e">
        <f>SUMIF(#REF!,Summary!D81,#REF!)</f>
        <v>#REF!</v>
      </c>
      <c r="R81" s="830" t="e">
        <f>SUMIF(#REF!,Summary!D81,#REF!)</f>
        <v>#REF!</v>
      </c>
      <c r="S81" s="831" t="e">
        <f t="shared" si="26"/>
        <v>#REF!</v>
      </c>
      <c r="T81" s="830"/>
      <c r="U81" s="830"/>
      <c r="V81" s="830"/>
      <c r="W81" s="832">
        <f>SUMIF('LV Cable sizing_SS-1'!$X:$X,Summary!D81,'LV Cable sizing_SS-1'!$AZ:$AZ)</f>
        <v>0</v>
      </c>
      <c r="X81" s="832">
        <f>SUMIF('LV Cable sizing_SS-2'!$X:$X,Summary!D81,'LV Cable sizing_SS-2'!$AZ:$AZ)</f>
        <v>0</v>
      </c>
      <c r="Y81" s="832">
        <f>SUMIF('LV Cable sizing_SS-3'!$X:$X,Summary!D81,'LV Cable sizing_SS-3'!$AZ:$AZ)</f>
        <v>0</v>
      </c>
      <c r="Z81" s="832" t="e">
        <f>SUMIF(#REF!,Summary!D81,#REF!)</f>
        <v>#REF!</v>
      </c>
      <c r="AA81" s="832"/>
      <c r="AB81" s="832" t="e">
        <f>SUMIF(#REF!,Summary!D81,#REF!)</f>
        <v>#REF!</v>
      </c>
      <c r="AC81" s="833" t="e">
        <f t="shared" si="27"/>
        <v>#REF!</v>
      </c>
      <c r="AD81" s="832" t="e">
        <f t="shared" si="28"/>
        <v>#REF!</v>
      </c>
      <c r="AE81" s="832" t="e">
        <f t="shared" si="29"/>
        <v>#REF!</v>
      </c>
      <c r="AF81" s="567"/>
      <c r="AH81" s="831">
        <v>0</v>
      </c>
    </row>
    <row r="82" spans="1:41">
      <c r="A82" s="337">
        <f t="shared" si="30"/>
        <v>72</v>
      </c>
      <c r="B82" s="828" t="s">
        <v>204</v>
      </c>
      <c r="C82" s="500"/>
      <c r="D82" s="828" t="str">
        <f t="shared" si="15"/>
        <v>5C X 70</v>
      </c>
      <c r="E82" s="500"/>
      <c r="F82" s="500"/>
      <c r="G82" s="337" t="s">
        <v>358</v>
      </c>
      <c r="H82" s="337" t="s">
        <v>1567</v>
      </c>
      <c r="I82" s="337" t="s">
        <v>115</v>
      </c>
      <c r="J82" s="343" t="s">
        <v>1566</v>
      </c>
      <c r="K82" s="830"/>
      <c r="L82" s="830"/>
      <c r="M82" s="830">
        <f>SUMIF('LV Cable sizing_SS-1'!$X:$X,Summary!D82,'LV Cable sizing_SS-1'!$AX:$AX)</f>
        <v>0</v>
      </c>
      <c r="N82" s="830">
        <f>SUMIF('LV Cable sizing_SS-2'!$X:$X,Summary!D82,'LV Cable sizing_SS-2'!$AX:$AX)</f>
        <v>0</v>
      </c>
      <c r="O82" s="830">
        <f>SUMIF('LV Cable sizing_SS-3'!$X:$X,Summary!D82,'LV Cable sizing_SS-3'!$AX:$AX)</f>
        <v>0</v>
      </c>
      <c r="P82" s="830" t="e">
        <f>SUMIF(#REF!,Summary!D82,#REF!)</f>
        <v>#REF!</v>
      </c>
      <c r="Q82" s="830" t="e">
        <f>SUMIF(#REF!,Summary!D82,#REF!)</f>
        <v>#REF!</v>
      </c>
      <c r="R82" s="830" t="e">
        <f>SUMIF(#REF!,Summary!D82,#REF!)</f>
        <v>#REF!</v>
      </c>
      <c r="S82" s="831" t="e">
        <f t="shared" si="26"/>
        <v>#REF!</v>
      </c>
      <c r="T82" s="830"/>
      <c r="U82" s="830"/>
      <c r="V82" s="830"/>
      <c r="W82" s="832">
        <f>SUMIF('LV Cable sizing_SS-1'!$X:$X,Summary!D82,'LV Cable sizing_SS-1'!$AZ:$AZ)</f>
        <v>0</v>
      </c>
      <c r="X82" s="832">
        <f>SUMIF('LV Cable sizing_SS-2'!$X:$X,Summary!D82,'LV Cable sizing_SS-2'!$AZ:$AZ)</f>
        <v>0</v>
      </c>
      <c r="Y82" s="832">
        <f>SUMIF('LV Cable sizing_SS-3'!$X:$X,Summary!D82,'LV Cable sizing_SS-3'!$AZ:$AZ)</f>
        <v>0</v>
      </c>
      <c r="Z82" s="832" t="e">
        <f>SUMIF(#REF!,Summary!D82,#REF!)</f>
        <v>#REF!</v>
      </c>
      <c r="AA82" s="832"/>
      <c r="AB82" s="832" t="e">
        <f>SUMIF(#REF!,Summary!D82,#REF!)</f>
        <v>#REF!</v>
      </c>
      <c r="AC82" s="833" t="e">
        <f t="shared" si="27"/>
        <v>#REF!</v>
      </c>
      <c r="AD82" s="832" t="e">
        <f t="shared" si="28"/>
        <v>#REF!</v>
      </c>
      <c r="AE82" s="832" t="e">
        <f t="shared" si="29"/>
        <v>#REF!</v>
      </c>
      <c r="AF82" s="567"/>
      <c r="AH82" s="831">
        <v>0</v>
      </c>
    </row>
    <row r="83" spans="1:41">
      <c r="A83" s="373"/>
      <c r="B83" s="824"/>
      <c r="C83" s="824"/>
      <c r="D83" s="824"/>
      <c r="E83" s="824"/>
      <c r="F83" s="824"/>
      <c r="G83" s="373"/>
      <c r="H83" s="373"/>
      <c r="I83" s="373"/>
      <c r="J83" s="376"/>
      <c r="K83" s="825"/>
      <c r="L83" s="825"/>
      <c r="M83" s="826"/>
      <c r="N83" s="826"/>
      <c r="O83" s="826"/>
      <c r="P83" s="826"/>
      <c r="Q83" s="826"/>
      <c r="R83" s="826"/>
      <c r="S83" s="827"/>
      <c r="T83" s="827"/>
      <c r="U83" s="827"/>
      <c r="V83" s="827"/>
      <c r="W83" s="827"/>
      <c r="X83" s="827"/>
      <c r="Y83" s="827"/>
      <c r="Z83" s="827"/>
      <c r="AA83" s="827"/>
      <c r="AB83" s="827"/>
      <c r="AC83" s="827"/>
      <c r="AD83" s="827"/>
      <c r="AE83" s="827"/>
      <c r="AF83" s="826"/>
      <c r="AH83" s="827"/>
    </row>
    <row r="84" spans="1:41">
      <c r="A84" s="337">
        <f>A82+1</f>
        <v>73</v>
      </c>
      <c r="B84" s="828" t="s">
        <v>129</v>
      </c>
      <c r="C84" s="828"/>
      <c r="D84" s="828" t="str">
        <f t="shared" si="15"/>
        <v>1C X 185</v>
      </c>
      <c r="E84" s="828"/>
      <c r="F84" s="828"/>
      <c r="G84" s="337" t="s">
        <v>358</v>
      </c>
      <c r="H84" s="337" t="s">
        <v>1567</v>
      </c>
      <c r="I84" s="337" t="s">
        <v>115</v>
      </c>
      <c r="J84" s="343" t="s">
        <v>1566</v>
      </c>
      <c r="K84" s="830"/>
      <c r="L84" s="830"/>
      <c r="M84" s="830">
        <f>SUMIF('LV Cable sizing_SS-1'!$W:$W,Summary!D84,'LV Cable sizing_SS-1'!$AX:$AX)</f>
        <v>0</v>
      </c>
      <c r="N84" s="830">
        <f>SUMIF('LV Cable sizing_SS-2'!$X:$X,Summary!D84,'LV Cable sizing_SS-2'!$AX:$AX)</f>
        <v>0</v>
      </c>
      <c r="O84" s="830">
        <f>SUMIF('LV Cable sizing_SS-3'!$W:$W,Summary!D84,'LV Cable sizing_SS-3'!$AX:$AX)</f>
        <v>0</v>
      </c>
      <c r="P84" s="830" t="e">
        <f>SUMIF(#REF!,Summary!D84,#REF!)</f>
        <v>#REF!</v>
      </c>
      <c r="Q84" s="830" t="e">
        <f>SUMIF(#REF!,Summary!D84,#REF!)</f>
        <v>#REF!</v>
      </c>
      <c r="R84" s="830" t="e">
        <f>SUMIF(#REF!,Summary!D84,#REF!)</f>
        <v>#REF!</v>
      </c>
      <c r="S84" s="831" t="e">
        <f t="shared" ref="S84:S89" si="31">SUM(K84:R84)</f>
        <v>#REF!</v>
      </c>
      <c r="T84" s="830"/>
      <c r="U84" s="830"/>
      <c r="V84" s="830"/>
      <c r="W84" s="832">
        <f>SUMIF('LV Cable sizing_SS-1'!$X:$X,Summary!D84,'LV Cable sizing_SS-1'!$AZ:$AZ)</f>
        <v>0</v>
      </c>
      <c r="X84" s="832">
        <f>SUMIF('LV Cable sizing_SS-2'!$X:$X,Summary!D84,'LV Cable sizing_SS-2'!$AZ:$AZ)</f>
        <v>0</v>
      </c>
      <c r="Y84" s="832">
        <f>SUMIF('LV Cable sizing_SS-3'!$X:$X,Summary!D84,'LV Cable sizing_SS-3'!$AZ:$AZ)</f>
        <v>0</v>
      </c>
      <c r="Z84" s="832" t="e">
        <f>SUMIF(#REF!,Summary!D84,#REF!)</f>
        <v>#REF!</v>
      </c>
      <c r="AA84" s="832"/>
      <c r="AB84" s="832" t="e">
        <f>SUMIF(#REF!,Summary!D84,#REF!)</f>
        <v>#REF!</v>
      </c>
      <c r="AC84" s="833" t="e">
        <f t="shared" ref="AC84:AC89" si="32">SUM(U84:AB84)</f>
        <v>#REF!</v>
      </c>
      <c r="AD84" s="832" t="e">
        <f t="shared" ref="AD84:AD89" si="33">CEILING((AC84*0.05),1)</f>
        <v>#REF!</v>
      </c>
      <c r="AE84" s="832" t="e">
        <f t="shared" ref="AE84:AE89" si="34">SUM(AC84+AD84)</f>
        <v>#REF!</v>
      </c>
      <c r="AF84" s="567"/>
      <c r="AH84" s="831">
        <v>0</v>
      </c>
    </row>
    <row r="85" spans="1:41">
      <c r="A85" s="337">
        <f t="shared" ref="A85:A89" si="35">A84+1</f>
        <v>74</v>
      </c>
      <c r="B85" s="828" t="s">
        <v>133</v>
      </c>
      <c r="C85" s="828"/>
      <c r="D85" s="828" t="str">
        <f t="shared" si="15"/>
        <v>1C X 240</v>
      </c>
      <c r="E85" s="828"/>
      <c r="F85" s="828"/>
      <c r="G85" s="337" t="s">
        <v>358</v>
      </c>
      <c r="H85" s="337" t="s">
        <v>1567</v>
      </c>
      <c r="I85" s="337" t="s">
        <v>115</v>
      </c>
      <c r="J85" s="343" t="s">
        <v>1566</v>
      </c>
      <c r="K85" s="830"/>
      <c r="L85" s="830"/>
      <c r="M85" s="830">
        <f>SUMIF('LV Cable sizing_SS-1'!$W:$W,Summary!D85,'LV Cable sizing_SS-1'!$AX:$AX)</f>
        <v>0</v>
      </c>
      <c r="N85" s="830">
        <f>SUMIF('LV Cable sizing_SS-2'!$X:$X,Summary!D85,'LV Cable sizing_SS-2'!$AX:$AX)</f>
        <v>0</v>
      </c>
      <c r="O85" s="830">
        <f>SUMIF('LV Cable sizing_SS-3'!$W:$W,Summary!D85,'LV Cable sizing_SS-3'!$AX:$AX)</f>
        <v>0</v>
      </c>
      <c r="P85" s="830" t="e">
        <f>SUMIF(#REF!,Summary!D85,#REF!)</f>
        <v>#REF!</v>
      </c>
      <c r="Q85" s="830" t="e">
        <f>SUMIF(#REF!,Summary!D85,#REF!)</f>
        <v>#REF!</v>
      </c>
      <c r="R85" s="830" t="e">
        <f>SUMIF(#REF!,Summary!D85,#REF!)</f>
        <v>#REF!</v>
      </c>
      <c r="S85" s="831" t="e">
        <f t="shared" si="31"/>
        <v>#REF!</v>
      </c>
      <c r="T85" s="830"/>
      <c r="U85" s="830"/>
      <c r="V85" s="830"/>
      <c r="W85" s="832">
        <f>SUMIF('LV Cable sizing_SS-1'!$X:$X,Summary!D85,'LV Cable sizing_SS-1'!$AZ:$AZ)</f>
        <v>0</v>
      </c>
      <c r="X85" s="832">
        <f>SUMIF('LV Cable sizing_SS-2'!$X:$X,Summary!D85,'LV Cable sizing_SS-2'!$AZ:$AZ)</f>
        <v>0</v>
      </c>
      <c r="Y85" s="832">
        <f>SUMIF('LV Cable sizing_SS-3'!$X:$X,Summary!D85,'LV Cable sizing_SS-3'!$AZ:$AZ)</f>
        <v>0</v>
      </c>
      <c r="Z85" s="832" t="e">
        <f>SUMIF(#REF!,Summary!D85,#REF!)</f>
        <v>#REF!</v>
      </c>
      <c r="AA85" s="832"/>
      <c r="AB85" s="832" t="e">
        <f>SUMIF(#REF!,Summary!D85,#REF!)</f>
        <v>#REF!</v>
      </c>
      <c r="AC85" s="833" t="e">
        <f t="shared" si="32"/>
        <v>#REF!</v>
      </c>
      <c r="AD85" s="832" t="e">
        <f t="shared" si="33"/>
        <v>#REF!</v>
      </c>
      <c r="AE85" s="832" t="e">
        <f t="shared" si="34"/>
        <v>#REF!</v>
      </c>
      <c r="AF85" s="567"/>
      <c r="AH85" s="831">
        <v>0</v>
      </c>
    </row>
    <row r="86" spans="1:41">
      <c r="A86" s="337">
        <f t="shared" si="35"/>
        <v>75</v>
      </c>
      <c r="B86" s="828" t="s">
        <v>134</v>
      </c>
      <c r="C86" s="828"/>
      <c r="D86" s="828" t="str">
        <f t="shared" si="15"/>
        <v>1C X 300</v>
      </c>
      <c r="E86" s="828"/>
      <c r="F86" s="828"/>
      <c r="G86" s="337" t="s">
        <v>358</v>
      </c>
      <c r="H86" s="337" t="s">
        <v>1567</v>
      </c>
      <c r="I86" s="337" t="s">
        <v>115</v>
      </c>
      <c r="J86" s="343" t="s">
        <v>1566</v>
      </c>
      <c r="K86" s="830"/>
      <c r="L86" s="830"/>
      <c r="M86" s="830">
        <f>SUMIF('LV Cable sizing_SS-1'!$W:$W,Summary!D86,'LV Cable sizing_SS-1'!$AX:$AX)</f>
        <v>0</v>
      </c>
      <c r="N86" s="830">
        <f>SUMIF('LV Cable sizing_SS-2'!$X:$X,Summary!D86,'LV Cable sizing_SS-2'!$AX:$AX)</f>
        <v>0</v>
      </c>
      <c r="O86" s="830">
        <f>SUMIF('LV Cable sizing_SS-3'!$W:$W,Summary!D86,'LV Cable sizing_SS-3'!$AX:$AX)</f>
        <v>0</v>
      </c>
      <c r="P86" s="830" t="e">
        <f>SUMIF(#REF!,Summary!D86,#REF!)</f>
        <v>#REF!</v>
      </c>
      <c r="Q86" s="830" t="e">
        <f>SUMIF(#REF!,Summary!D86,#REF!)</f>
        <v>#REF!</v>
      </c>
      <c r="R86" s="830" t="e">
        <f>SUMIF(#REF!,Summary!D86,#REF!)</f>
        <v>#REF!</v>
      </c>
      <c r="S86" s="831" t="e">
        <f t="shared" si="31"/>
        <v>#REF!</v>
      </c>
      <c r="T86" s="830"/>
      <c r="U86" s="830"/>
      <c r="V86" s="830"/>
      <c r="W86" s="832">
        <f>SUMIF('LV Cable sizing_SS-1'!$X:$X,Summary!D86,'LV Cable sizing_SS-1'!$AZ:$AZ)</f>
        <v>0</v>
      </c>
      <c r="X86" s="832">
        <f>SUMIF('LV Cable sizing_SS-2'!$X:$X,Summary!D86,'LV Cable sizing_SS-2'!$AZ:$AZ)</f>
        <v>0</v>
      </c>
      <c r="Y86" s="832">
        <f>SUMIF('LV Cable sizing_SS-3'!$X:$X,Summary!D86,'LV Cable sizing_SS-3'!$AZ:$AZ)</f>
        <v>0</v>
      </c>
      <c r="Z86" s="832" t="e">
        <f>SUMIF(#REF!,Summary!D86,#REF!)</f>
        <v>#REF!</v>
      </c>
      <c r="AA86" s="832" t="e">
        <f>SUMIF(#REF!,Summary!D86,#REF!)</f>
        <v>#REF!</v>
      </c>
      <c r="AB86" s="832" t="e">
        <f>SUMIF(#REF!,Summary!D86,#REF!)</f>
        <v>#REF!</v>
      </c>
      <c r="AC86" s="833" t="e">
        <f t="shared" si="32"/>
        <v>#REF!</v>
      </c>
      <c r="AD86" s="832" t="e">
        <f t="shared" si="33"/>
        <v>#REF!</v>
      </c>
      <c r="AE86" s="832" t="e">
        <f t="shared" si="34"/>
        <v>#REF!</v>
      </c>
      <c r="AF86" s="567"/>
      <c r="AH86" s="831">
        <v>0</v>
      </c>
    </row>
    <row r="87" spans="1:41">
      <c r="A87" s="337">
        <f t="shared" si="35"/>
        <v>76</v>
      </c>
      <c r="B87" s="828" t="s">
        <v>135</v>
      </c>
      <c r="C87" s="828"/>
      <c r="D87" s="828" t="str">
        <f t="shared" si="15"/>
        <v>1C X 400</v>
      </c>
      <c r="E87" s="828"/>
      <c r="F87" s="828"/>
      <c r="G87" s="337" t="s">
        <v>358</v>
      </c>
      <c r="H87" s="337" t="s">
        <v>1567</v>
      </c>
      <c r="I87" s="337" t="s">
        <v>115</v>
      </c>
      <c r="J87" s="343" t="s">
        <v>1566</v>
      </c>
      <c r="K87" s="830"/>
      <c r="L87" s="830"/>
      <c r="M87" s="830">
        <f>SUMIF('LV Cable sizing_SS-1'!$W:$W,Summary!D87,'LV Cable sizing_SS-1'!$AX:$AX)</f>
        <v>0</v>
      </c>
      <c r="N87" s="830">
        <f>SUMIF('LV Cable sizing_SS-2'!$X:$X,Summary!D87,'LV Cable sizing_SS-2'!$AX:$AX)</f>
        <v>0</v>
      </c>
      <c r="O87" s="830">
        <f>SUMIF('LV Cable sizing_SS-3'!$W:$W,Summary!D87,'LV Cable sizing_SS-3'!$AX:$AX)</f>
        <v>0</v>
      </c>
      <c r="P87" s="830" t="e">
        <f>SUMIF(#REF!,Summary!D87,#REF!)</f>
        <v>#REF!</v>
      </c>
      <c r="Q87" s="830" t="e">
        <f>SUMIF(#REF!,Summary!D87,#REF!)</f>
        <v>#REF!</v>
      </c>
      <c r="R87" s="830" t="e">
        <f>SUMIF(#REF!,Summary!D87,#REF!)</f>
        <v>#REF!</v>
      </c>
      <c r="S87" s="831" t="e">
        <f t="shared" si="31"/>
        <v>#REF!</v>
      </c>
      <c r="T87" s="830"/>
      <c r="U87" s="830"/>
      <c r="V87" s="830"/>
      <c r="W87" s="832">
        <f>SUMIF('LV Cable sizing_SS-1'!$X:$X,Summary!D87,'LV Cable sizing_SS-1'!$AZ:$AZ)</f>
        <v>0</v>
      </c>
      <c r="X87" s="832">
        <f>SUMIF('LV Cable sizing_SS-2'!$X:$X,Summary!D87,'LV Cable sizing_SS-2'!$AZ:$AZ)</f>
        <v>0</v>
      </c>
      <c r="Y87" s="832">
        <f>SUMIF('LV Cable sizing_SS-3'!$X:$X,Summary!D87,'LV Cable sizing_SS-3'!$AZ:$AZ)</f>
        <v>0</v>
      </c>
      <c r="Z87" s="832" t="e">
        <f>SUMIF(#REF!,Summary!D87,#REF!)</f>
        <v>#REF!</v>
      </c>
      <c r="AA87" s="832"/>
      <c r="AB87" s="832" t="e">
        <f>SUMIF(#REF!,Summary!D87,#REF!)</f>
        <v>#REF!</v>
      </c>
      <c r="AC87" s="833" t="e">
        <f t="shared" si="32"/>
        <v>#REF!</v>
      </c>
      <c r="AD87" s="832" t="e">
        <f t="shared" si="33"/>
        <v>#REF!</v>
      </c>
      <c r="AE87" s="832" t="e">
        <f t="shared" si="34"/>
        <v>#REF!</v>
      </c>
      <c r="AF87" s="567"/>
      <c r="AH87" s="831">
        <v>0</v>
      </c>
    </row>
    <row r="88" spans="1:41">
      <c r="A88" s="337">
        <f t="shared" si="35"/>
        <v>77</v>
      </c>
      <c r="B88" s="828" t="s">
        <v>137</v>
      </c>
      <c r="C88" s="828"/>
      <c r="D88" s="828" t="str">
        <f t="shared" si="15"/>
        <v>1C X 500</v>
      </c>
      <c r="E88" s="828"/>
      <c r="F88" s="828"/>
      <c r="G88" s="337" t="s">
        <v>358</v>
      </c>
      <c r="H88" s="337" t="s">
        <v>1567</v>
      </c>
      <c r="I88" s="337" t="s">
        <v>115</v>
      </c>
      <c r="J88" s="343" t="s">
        <v>1566</v>
      </c>
      <c r="K88" s="830"/>
      <c r="L88" s="830"/>
      <c r="M88" s="830">
        <f>SUMIF('LV Cable sizing_SS-1'!$W:$W,Summary!D88,'LV Cable sizing_SS-1'!$AX:$AX)</f>
        <v>656</v>
      </c>
      <c r="N88" s="830">
        <f>SUMIF('LV Cable sizing_SS-2'!$X:$X,Summary!D88,'LV Cable sizing_SS-2'!$AX:$AX)</f>
        <v>0</v>
      </c>
      <c r="O88" s="830">
        <f>SUMIF('LV Cable sizing_SS-3'!$W:$W,Summary!D88,'LV Cable sizing_SS-3'!$AX:$AX)</f>
        <v>0</v>
      </c>
      <c r="P88" s="830" t="e">
        <f>SUMIF(#REF!,Summary!D88,#REF!)</f>
        <v>#REF!</v>
      </c>
      <c r="Q88" s="830" t="e">
        <f>SUMIF(#REF!,Summary!D88,#REF!)</f>
        <v>#REF!</v>
      </c>
      <c r="R88" s="830" t="e">
        <f>SUMIF(#REF!,Summary!D88,#REF!)</f>
        <v>#REF!</v>
      </c>
      <c r="S88" s="831" t="e">
        <f t="shared" si="31"/>
        <v>#REF!</v>
      </c>
      <c r="T88" s="830"/>
      <c r="U88" s="830"/>
      <c r="V88" s="830"/>
      <c r="W88" s="832">
        <f>SUMIF('LV Cable sizing_SS-1'!$X:$X,Summary!D88,'LV Cable sizing_SS-1'!$AZ:$AZ)</f>
        <v>24</v>
      </c>
      <c r="X88" s="832">
        <f>SUMIF('LV Cable sizing_SS-2'!$X:$X,Summary!D88,'LV Cable sizing_SS-2'!$AZ:$AZ)</f>
        <v>0</v>
      </c>
      <c r="Y88" s="832">
        <f>SUMIF('LV Cable sizing_SS-3'!$X:$X,Summary!D88,'LV Cable sizing_SS-3'!$AZ:$AZ)</f>
        <v>0</v>
      </c>
      <c r="Z88" s="832" t="e">
        <f>SUMIF(#REF!,Summary!D88,#REF!)</f>
        <v>#REF!</v>
      </c>
      <c r="AA88" s="832" t="e">
        <f>SUMIF(#REF!,Summary!D88,#REF!)</f>
        <v>#REF!</v>
      </c>
      <c r="AB88" s="832" t="e">
        <f>SUMIF(#REF!,Summary!D88,#REF!)</f>
        <v>#REF!</v>
      </c>
      <c r="AC88" s="833" t="e">
        <f t="shared" si="32"/>
        <v>#REF!</v>
      </c>
      <c r="AD88" s="832" t="e">
        <f t="shared" si="33"/>
        <v>#REF!</v>
      </c>
      <c r="AE88" s="832" t="e">
        <f t="shared" si="34"/>
        <v>#REF!</v>
      </c>
      <c r="AF88" s="567"/>
      <c r="AH88" s="831">
        <v>656</v>
      </c>
    </row>
    <row r="89" spans="1:41">
      <c r="A89" s="337">
        <f t="shared" si="35"/>
        <v>78</v>
      </c>
      <c r="B89" s="828" t="s">
        <v>138</v>
      </c>
      <c r="C89" s="828"/>
      <c r="D89" s="828" t="str">
        <f t="shared" si="15"/>
        <v>1C X 630</v>
      </c>
      <c r="E89" s="828"/>
      <c r="F89" s="828"/>
      <c r="G89" s="337" t="s">
        <v>358</v>
      </c>
      <c r="H89" s="337" t="s">
        <v>1567</v>
      </c>
      <c r="I89" s="337" t="s">
        <v>115</v>
      </c>
      <c r="J89" s="343" t="s">
        <v>1566</v>
      </c>
      <c r="K89" s="830"/>
      <c r="L89" s="830"/>
      <c r="M89" s="830">
        <f>SUMIF('LV Cable sizing_SS-1'!$W:$W,Summary!D89,'LV Cable sizing_SS-1'!$AX:$AX)</f>
        <v>2770</v>
      </c>
      <c r="N89" s="830">
        <f>SUMIF('LV Cable sizing_SS-2'!$X:$X,Summary!D89,'LV Cable sizing_SS-2'!$AX:$AX)</f>
        <v>0</v>
      </c>
      <c r="O89" s="830">
        <f>SUMIF('LV Cable sizing_SS-3'!$W:$W,Summary!D89,'LV Cable sizing_SS-3'!$AX:$AX)</f>
        <v>1212</v>
      </c>
      <c r="P89" s="830" t="e">
        <f>SUMIF(#REF!,Summary!D89,#REF!)</f>
        <v>#REF!</v>
      </c>
      <c r="Q89" s="830" t="e">
        <f>SUMIF(#REF!,Summary!D89,#REF!)</f>
        <v>#REF!</v>
      </c>
      <c r="R89" s="830" t="e">
        <f>SUMIF(#REF!,Summary!D89,#REF!)</f>
        <v>#REF!</v>
      </c>
      <c r="S89" s="831" t="e">
        <f t="shared" si="31"/>
        <v>#REF!</v>
      </c>
      <c r="T89" s="830"/>
      <c r="U89" s="830"/>
      <c r="V89" s="830"/>
      <c r="W89" s="832">
        <f>SUMIF('LV Cable sizing_SS-1'!$X:$X,Summary!D89,'LV Cable sizing_SS-1'!$AZ:$AZ)</f>
        <v>130</v>
      </c>
      <c r="X89" s="832">
        <f>SUMIF('LV Cable sizing_SS-2'!$X:$X,Summary!D89,'LV Cable sizing_SS-2'!$AZ:$AZ)</f>
        <v>0</v>
      </c>
      <c r="Y89" s="832">
        <f>SUMIF('LV Cable sizing_SS-3'!$X:$X,Summary!D89,'LV Cable sizing_SS-3'!$AZ:$AZ)</f>
        <v>18</v>
      </c>
      <c r="Z89" s="832" t="e">
        <f>SUMIF(#REF!,Summary!D89,#REF!)</f>
        <v>#REF!</v>
      </c>
      <c r="AA89" s="832" t="e">
        <f>SUMIF(#REF!,Summary!D89,#REF!)</f>
        <v>#REF!</v>
      </c>
      <c r="AB89" s="832" t="e">
        <f>SUMIF(#REF!,Summary!D89,#REF!)</f>
        <v>#REF!</v>
      </c>
      <c r="AC89" s="833" t="e">
        <f t="shared" si="32"/>
        <v>#REF!</v>
      </c>
      <c r="AD89" s="832" t="e">
        <f t="shared" si="33"/>
        <v>#REF!</v>
      </c>
      <c r="AE89" s="832" t="e">
        <f t="shared" si="34"/>
        <v>#REF!</v>
      </c>
      <c r="AF89" s="567"/>
      <c r="AH89" s="831">
        <v>3982</v>
      </c>
    </row>
    <row r="90" spans="1:41">
      <c r="A90" s="337"/>
      <c r="B90" s="828"/>
      <c r="C90" s="828"/>
      <c r="D90" s="828"/>
      <c r="E90" s="828"/>
      <c r="F90" s="828"/>
      <c r="G90" s="567"/>
      <c r="H90" s="337"/>
      <c r="I90" s="337"/>
      <c r="J90" s="343"/>
      <c r="K90" s="567"/>
      <c r="L90" s="567"/>
      <c r="M90" s="567"/>
      <c r="N90" s="567"/>
      <c r="O90" s="567"/>
      <c r="P90" s="567"/>
      <c r="Q90" s="567"/>
      <c r="R90" s="567"/>
      <c r="S90" s="836"/>
      <c r="T90" s="836"/>
      <c r="U90" s="836"/>
      <c r="V90" s="836">
        <f>SUMIF('MV Cable sizing-11kV'!$W:$W,Summary!D90,'MV Cable sizing-11kV'!$AZ:$AZ)</f>
        <v>0</v>
      </c>
      <c r="W90" s="837"/>
      <c r="X90" s="837"/>
      <c r="Y90" s="837"/>
      <c r="Z90" s="837"/>
      <c r="AA90" s="837"/>
      <c r="AB90" s="837"/>
      <c r="AC90" s="836"/>
      <c r="AD90" s="836"/>
      <c r="AE90" s="836"/>
      <c r="AF90" s="567"/>
      <c r="AH90" s="836"/>
    </row>
    <row r="91" spans="1:41" ht="27.75" customHeight="1">
      <c r="A91" s="838" t="s">
        <v>1569</v>
      </c>
      <c r="B91" s="839"/>
      <c r="C91" s="839"/>
      <c r="D91" s="839"/>
      <c r="E91" s="839"/>
      <c r="F91" s="839"/>
      <c r="G91" s="839"/>
      <c r="H91" s="839"/>
      <c r="I91" s="839"/>
      <c r="J91" s="839"/>
      <c r="K91" s="839"/>
      <c r="L91" s="839"/>
      <c r="M91" s="839"/>
      <c r="N91" s="839"/>
      <c r="O91" s="839"/>
      <c r="P91" s="839"/>
      <c r="Q91" s="839"/>
      <c r="R91" s="839"/>
      <c r="S91" s="839"/>
      <c r="T91" s="839"/>
      <c r="U91" s="839"/>
      <c r="V91" s="839"/>
      <c r="W91" s="839"/>
      <c r="X91" s="839"/>
      <c r="Y91" s="839"/>
      <c r="Z91" s="839"/>
      <c r="AA91" s="839"/>
      <c r="AB91" s="839"/>
      <c r="AC91" s="839"/>
      <c r="AD91" s="839"/>
      <c r="AE91" s="839"/>
      <c r="AF91" s="840"/>
      <c r="AG91" s="11"/>
      <c r="AH91" s="839"/>
      <c r="AI91" s="11"/>
      <c r="AJ91" s="11"/>
      <c r="AK91" s="11"/>
      <c r="AL91" s="11"/>
      <c r="AM91" s="11"/>
      <c r="AN91" s="11"/>
      <c r="AO91" s="11"/>
    </row>
    <row r="92" spans="1:41">
      <c r="A92" s="337">
        <v>1</v>
      </c>
      <c r="B92" s="828" t="s">
        <v>219</v>
      </c>
      <c r="C92" s="828"/>
      <c r="D92" s="828" t="str">
        <f t="shared" ref="D92:D103" si="36">B92</f>
        <v>1C X 70</v>
      </c>
      <c r="E92" s="828"/>
      <c r="F92" s="828"/>
      <c r="G92" s="337" t="s">
        <v>923</v>
      </c>
      <c r="H92" s="337" t="s">
        <v>1567</v>
      </c>
      <c r="I92" s="337" t="s">
        <v>115</v>
      </c>
      <c r="J92" s="343" t="s">
        <v>1566</v>
      </c>
      <c r="K92" s="567"/>
      <c r="L92" s="830">
        <f>SUMIF('MV Cable sizing-11kV'!$W:$W,Summary!D92,'MV Cable sizing-11kV'!$AX:$AX)</f>
        <v>0</v>
      </c>
      <c r="M92" s="830"/>
      <c r="N92" s="830"/>
      <c r="O92" s="830"/>
      <c r="P92" s="830"/>
      <c r="Q92" s="830"/>
      <c r="R92" s="830"/>
      <c r="S92" s="831">
        <f t="shared" ref="S92:S103" si="37">SUM(L92:R92)</f>
        <v>0</v>
      </c>
      <c r="T92" s="830"/>
      <c r="U92" s="841"/>
      <c r="V92" s="832">
        <f>SUMIF('MV Cable sizing-11kV'!$W:$W,Summary!D92,'MV Cable sizing-11kV'!$AZ:$AZ)</f>
        <v>0</v>
      </c>
      <c r="W92" s="830"/>
      <c r="X92" s="830"/>
      <c r="Y92" s="830"/>
      <c r="Z92" s="830"/>
      <c r="AA92" s="830"/>
      <c r="AB92" s="830"/>
      <c r="AC92" s="833">
        <f t="shared" ref="AC92:AC103" si="38">SUM(V92:AB92)</f>
        <v>0</v>
      </c>
      <c r="AD92" s="832">
        <f t="shared" ref="AD92:AD103" si="39">CEILING((AC92*0.05),1)</f>
        <v>0</v>
      </c>
      <c r="AE92" s="832">
        <f t="shared" ref="AE92:AE103" si="40">SUM(AC92+AD92)</f>
        <v>0</v>
      </c>
      <c r="AF92" s="567"/>
      <c r="AH92" s="831">
        <v>0</v>
      </c>
    </row>
    <row r="93" spans="1:41">
      <c r="A93" s="337">
        <f t="shared" ref="A93:A103" si="41">A92+1</f>
        <v>2</v>
      </c>
      <c r="B93" s="828" t="s">
        <v>221</v>
      </c>
      <c r="C93" s="828"/>
      <c r="D93" s="828" t="str">
        <f t="shared" si="36"/>
        <v>1C X 95</v>
      </c>
      <c r="E93" s="828"/>
      <c r="F93" s="828"/>
      <c r="G93" s="337" t="s">
        <v>923</v>
      </c>
      <c r="H93" s="337" t="s">
        <v>1567</v>
      </c>
      <c r="I93" s="337" t="s">
        <v>115</v>
      </c>
      <c r="J93" s="343" t="s">
        <v>1566</v>
      </c>
      <c r="K93" s="567"/>
      <c r="L93" s="830">
        <f>SUMIF('MV Cable sizing-11kV'!$W:$W,Summary!D93,'MV Cable sizing-11kV'!$AX:$AX)</f>
        <v>0</v>
      </c>
      <c r="M93" s="830"/>
      <c r="N93" s="830"/>
      <c r="O93" s="830"/>
      <c r="P93" s="830"/>
      <c r="Q93" s="830"/>
      <c r="R93" s="830"/>
      <c r="S93" s="831">
        <f t="shared" si="37"/>
        <v>0</v>
      </c>
      <c r="T93" s="830"/>
      <c r="U93" s="841"/>
      <c r="V93" s="832">
        <f>SUMIF('MV Cable sizing-11kV'!$W:$W,Summary!D93,'MV Cable sizing-11kV'!$AZ:$AZ)</f>
        <v>0</v>
      </c>
      <c r="W93" s="830"/>
      <c r="X93" s="830"/>
      <c r="Y93" s="830"/>
      <c r="Z93" s="830"/>
      <c r="AA93" s="830"/>
      <c r="AB93" s="830"/>
      <c r="AC93" s="833">
        <f t="shared" si="38"/>
        <v>0</v>
      </c>
      <c r="AD93" s="832">
        <f t="shared" si="39"/>
        <v>0</v>
      </c>
      <c r="AE93" s="832">
        <f t="shared" si="40"/>
        <v>0</v>
      </c>
      <c r="AF93" s="567"/>
      <c r="AH93" s="831">
        <v>0</v>
      </c>
    </row>
    <row r="94" spans="1:41">
      <c r="A94" s="337">
        <f t="shared" si="41"/>
        <v>3</v>
      </c>
      <c r="B94" s="828" t="s">
        <v>222</v>
      </c>
      <c r="C94" s="828"/>
      <c r="D94" s="828" t="str">
        <f t="shared" si="36"/>
        <v>1C X 120</v>
      </c>
      <c r="E94" s="828"/>
      <c r="F94" s="828"/>
      <c r="G94" s="337" t="s">
        <v>923</v>
      </c>
      <c r="H94" s="337" t="s">
        <v>1567</v>
      </c>
      <c r="I94" s="337" t="s">
        <v>115</v>
      </c>
      <c r="J94" s="343" t="s">
        <v>1566</v>
      </c>
      <c r="K94" s="567"/>
      <c r="L94" s="830">
        <f>SUMIF('MV Cable sizing-11kV'!$W:$W,Summary!D94,'MV Cable sizing-11kV'!$AX:$AX)</f>
        <v>0</v>
      </c>
      <c r="M94" s="830"/>
      <c r="N94" s="830"/>
      <c r="O94" s="830"/>
      <c r="P94" s="830"/>
      <c r="Q94" s="830"/>
      <c r="R94" s="830"/>
      <c r="S94" s="831">
        <f t="shared" si="37"/>
        <v>0</v>
      </c>
      <c r="T94" s="830"/>
      <c r="U94" s="841"/>
      <c r="V94" s="832">
        <f>SUMIF('MV Cable sizing-11kV'!$W:$W,Summary!D94,'MV Cable sizing-11kV'!$AZ:$AZ)</f>
        <v>0</v>
      </c>
      <c r="W94" s="830"/>
      <c r="X94" s="830"/>
      <c r="Y94" s="830"/>
      <c r="Z94" s="830"/>
      <c r="AA94" s="830"/>
      <c r="AB94" s="830"/>
      <c r="AC94" s="833">
        <f t="shared" si="38"/>
        <v>0</v>
      </c>
      <c r="AD94" s="832">
        <f t="shared" si="39"/>
        <v>0</v>
      </c>
      <c r="AE94" s="832">
        <f t="shared" si="40"/>
        <v>0</v>
      </c>
      <c r="AF94" s="567"/>
      <c r="AH94" s="831">
        <v>0</v>
      </c>
    </row>
    <row r="95" spans="1:41">
      <c r="A95" s="337">
        <f t="shared" si="41"/>
        <v>4</v>
      </c>
      <c r="B95" s="828" t="s">
        <v>223</v>
      </c>
      <c r="C95" s="828"/>
      <c r="D95" s="828" t="str">
        <f t="shared" si="36"/>
        <v>1C X 150</v>
      </c>
      <c r="E95" s="828"/>
      <c r="F95" s="828"/>
      <c r="G95" s="337" t="s">
        <v>923</v>
      </c>
      <c r="H95" s="337" t="s">
        <v>1567</v>
      </c>
      <c r="I95" s="337" t="s">
        <v>115</v>
      </c>
      <c r="J95" s="343" t="s">
        <v>1566</v>
      </c>
      <c r="K95" s="567"/>
      <c r="L95" s="830">
        <f>SUMIF('MV Cable sizing-11kV'!$W:$W,Summary!D95,'MV Cable sizing-11kV'!$AX:$AX)</f>
        <v>0</v>
      </c>
      <c r="M95" s="830"/>
      <c r="N95" s="830"/>
      <c r="O95" s="830"/>
      <c r="P95" s="830"/>
      <c r="Q95" s="830"/>
      <c r="R95" s="830"/>
      <c r="S95" s="831">
        <f t="shared" si="37"/>
        <v>0</v>
      </c>
      <c r="T95" s="830"/>
      <c r="U95" s="841"/>
      <c r="V95" s="832">
        <f>SUMIF('MV Cable sizing-11kV'!$W:$W,Summary!D95,'MV Cable sizing-11kV'!$AZ:$AZ)</f>
        <v>0</v>
      </c>
      <c r="W95" s="830"/>
      <c r="X95" s="830"/>
      <c r="Y95" s="830"/>
      <c r="Z95" s="830"/>
      <c r="AA95" s="830"/>
      <c r="AB95" s="830"/>
      <c r="AC95" s="833">
        <f t="shared" si="38"/>
        <v>0</v>
      </c>
      <c r="AD95" s="832">
        <f t="shared" si="39"/>
        <v>0</v>
      </c>
      <c r="AE95" s="832">
        <f t="shared" si="40"/>
        <v>0</v>
      </c>
      <c r="AF95" s="567"/>
      <c r="AH95" s="831">
        <v>0</v>
      </c>
    </row>
    <row r="96" spans="1:41">
      <c r="A96" s="337">
        <f t="shared" si="41"/>
        <v>5</v>
      </c>
      <c r="B96" s="828" t="s">
        <v>129</v>
      </c>
      <c r="C96" s="828"/>
      <c r="D96" s="828" t="str">
        <f t="shared" si="36"/>
        <v>1C X 185</v>
      </c>
      <c r="E96" s="828"/>
      <c r="F96" s="828"/>
      <c r="G96" s="337" t="s">
        <v>923</v>
      </c>
      <c r="H96" s="337" t="s">
        <v>1567</v>
      </c>
      <c r="I96" s="337" t="s">
        <v>115</v>
      </c>
      <c r="J96" s="343" t="s">
        <v>1566</v>
      </c>
      <c r="K96" s="567"/>
      <c r="L96" s="830">
        <f>SUMIF('MV Cable sizing-11kV'!$W:$W,Summary!D96,'MV Cable sizing-11kV'!$AX:$AX)</f>
        <v>0</v>
      </c>
      <c r="M96" s="830"/>
      <c r="N96" s="830"/>
      <c r="O96" s="830"/>
      <c r="P96" s="830"/>
      <c r="Q96" s="830"/>
      <c r="R96" s="830"/>
      <c r="S96" s="831">
        <f t="shared" si="37"/>
        <v>0</v>
      </c>
      <c r="T96" s="830"/>
      <c r="U96" s="841"/>
      <c r="V96" s="832">
        <f>SUMIF('MV Cable sizing-11kV'!$W:$W,Summary!D96,'MV Cable sizing-11kV'!$AZ:$AZ)</f>
        <v>0</v>
      </c>
      <c r="W96" s="830"/>
      <c r="X96" s="830"/>
      <c r="Y96" s="830"/>
      <c r="Z96" s="830"/>
      <c r="AA96" s="830"/>
      <c r="AB96" s="830"/>
      <c r="AC96" s="833">
        <f t="shared" si="38"/>
        <v>0</v>
      </c>
      <c r="AD96" s="832">
        <f t="shared" si="39"/>
        <v>0</v>
      </c>
      <c r="AE96" s="832">
        <f t="shared" si="40"/>
        <v>0</v>
      </c>
      <c r="AF96" s="567"/>
      <c r="AH96" s="831">
        <v>0</v>
      </c>
    </row>
    <row r="97" spans="1:34">
      <c r="A97" s="337">
        <f t="shared" si="41"/>
        <v>6</v>
      </c>
      <c r="B97" s="828" t="s">
        <v>133</v>
      </c>
      <c r="C97" s="828"/>
      <c r="D97" s="828" t="str">
        <f t="shared" si="36"/>
        <v>1C X 240</v>
      </c>
      <c r="E97" s="828"/>
      <c r="F97" s="828"/>
      <c r="G97" s="337" t="s">
        <v>923</v>
      </c>
      <c r="H97" s="337" t="s">
        <v>1567</v>
      </c>
      <c r="I97" s="337" t="s">
        <v>115</v>
      </c>
      <c r="J97" s="343" t="s">
        <v>1566</v>
      </c>
      <c r="K97" s="567"/>
      <c r="L97" s="830">
        <f>SUMIF('MV Cable sizing-11kV'!$W:$W,Summary!D97,'MV Cable sizing-11kV'!$AX:$AX)</f>
        <v>0</v>
      </c>
      <c r="M97" s="830"/>
      <c r="N97" s="830"/>
      <c r="O97" s="830"/>
      <c r="P97" s="830"/>
      <c r="Q97" s="830"/>
      <c r="R97" s="830"/>
      <c r="S97" s="831">
        <f t="shared" si="37"/>
        <v>0</v>
      </c>
      <c r="T97" s="830"/>
      <c r="U97" s="841"/>
      <c r="V97" s="832">
        <f>SUMIF('MV Cable sizing-11kV'!$W:$W,Summary!D97,'MV Cable sizing-11kV'!$AZ:$AZ)</f>
        <v>0</v>
      </c>
      <c r="W97" s="830"/>
      <c r="X97" s="830"/>
      <c r="Y97" s="830"/>
      <c r="Z97" s="830"/>
      <c r="AA97" s="830"/>
      <c r="AB97" s="830"/>
      <c r="AC97" s="833">
        <f t="shared" si="38"/>
        <v>0</v>
      </c>
      <c r="AD97" s="832">
        <f t="shared" si="39"/>
        <v>0</v>
      </c>
      <c r="AE97" s="832">
        <f t="shared" si="40"/>
        <v>0</v>
      </c>
      <c r="AF97" s="567"/>
      <c r="AH97" s="831">
        <v>0</v>
      </c>
    </row>
    <row r="98" spans="1:34">
      <c r="A98" s="337">
        <f t="shared" si="41"/>
        <v>7</v>
      </c>
      <c r="B98" s="828" t="s">
        <v>134</v>
      </c>
      <c r="C98" s="828"/>
      <c r="D98" s="828" t="str">
        <f t="shared" si="36"/>
        <v>1C X 300</v>
      </c>
      <c r="E98" s="828"/>
      <c r="F98" s="828"/>
      <c r="G98" s="337" t="s">
        <v>923</v>
      </c>
      <c r="H98" s="337" t="s">
        <v>1567</v>
      </c>
      <c r="I98" s="337" t="s">
        <v>115</v>
      </c>
      <c r="J98" s="343" t="s">
        <v>1566</v>
      </c>
      <c r="K98" s="567"/>
      <c r="L98" s="830">
        <f>SUMIF('MV Cable sizing-11kV'!$W:$W,Summary!D98,'MV Cable sizing-11kV'!$AX:$AX)</f>
        <v>0</v>
      </c>
      <c r="M98" s="830"/>
      <c r="N98" s="830"/>
      <c r="O98" s="830"/>
      <c r="P98" s="830"/>
      <c r="Q98" s="830"/>
      <c r="R98" s="830"/>
      <c r="S98" s="831">
        <f t="shared" si="37"/>
        <v>0</v>
      </c>
      <c r="T98" s="830"/>
      <c r="U98" s="841"/>
      <c r="V98" s="832">
        <f>SUMIF('MV Cable sizing-11kV'!$W:$W,Summary!D98,'MV Cable sizing-11kV'!$AZ:$AZ)</f>
        <v>0</v>
      </c>
      <c r="W98" s="830"/>
      <c r="X98" s="830"/>
      <c r="Y98" s="830"/>
      <c r="Z98" s="830"/>
      <c r="AA98" s="830"/>
      <c r="AB98" s="830"/>
      <c r="AC98" s="833">
        <f t="shared" si="38"/>
        <v>0</v>
      </c>
      <c r="AD98" s="832">
        <f t="shared" si="39"/>
        <v>0</v>
      </c>
      <c r="AE98" s="832">
        <f t="shared" si="40"/>
        <v>0</v>
      </c>
      <c r="AF98" s="567"/>
      <c r="AH98" s="831">
        <v>0</v>
      </c>
    </row>
    <row r="99" spans="1:34">
      <c r="A99" s="337">
        <f t="shared" si="41"/>
        <v>8</v>
      </c>
      <c r="B99" s="828" t="s">
        <v>135</v>
      </c>
      <c r="C99" s="828"/>
      <c r="D99" s="828" t="str">
        <f t="shared" si="36"/>
        <v>1C X 400</v>
      </c>
      <c r="E99" s="828"/>
      <c r="F99" s="828"/>
      <c r="G99" s="337" t="s">
        <v>923</v>
      </c>
      <c r="H99" s="337" t="s">
        <v>1567</v>
      </c>
      <c r="I99" s="337" t="s">
        <v>115</v>
      </c>
      <c r="J99" s="343" t="s">
        <v>1566</v>
      </c>
      <c r="K99" s="567"/>
      <c r="L99" s="830">
        <f>SUMIF('MV Cable sizing-11kV'!$W:$W,Summary!D99,'MV Cable sizing-11kV'!$AX:$AX)</f>
        <v>100</v>
      </c>
      <c r="M99" s="830"/>
      <c r="N99" s="830"/>
      <c r="O99" s="830"/>
      <c r="P99" s="830"/>
      <c r="Q99" s="830"/>
      <c r="R99" s="830"/>
      <c r="S99" s="831">
        <f t="shared" si="37"/>
        <v>100</v>
      </c>
      <c r="T99" s="830"/>
      <c r="U99" s="841"/>
      <c r="V99" s="832">
        <f>SUMIF('MV Cable sizing-11kV'!$W:$W,Summary!D99,'MV Cable sizing-11kV'!$AZ:$AZ)</f>
        <v>4</v>
      </c>
      <c r="W99" s="830"/>
      <c r="X99" s="830"/>
      <c r="Y99" s="830"/>
      <c r="Z99" s="830"/>
      <c r="AA99" s="830"/>
      <c r="AB99" s="830"/>
      <c r="AC99" s="833">
        <f t="shared" si="38"/>
        <v>4</v>
      </c>
      <c r="AD99" s="832">
        <f t="shared" si="39"/>
        <v>1</v>
      </c>
      <c r="AE99" s="832">
        <f t="shared" si="40"/>
        <v>5</v>
      </c>
      <c r="AF99" s="567"/>
      <c r="AH99" s="831">
        <v>138</v>
      </c>
    </row>
    <row r="100" spans="1:34">
      <c r="A100" s="337">
        <f t="shared" si="41"/>
        <v>9</v>
      </c>
      <c r="B100" s="828" t="s">
        <v>137</v>
      </c>
      <c r="C100" s="828"/>
      <c r="D100" s="828" t="str">
        <f t="shared" si="36"/>
        <v>1C X 500</v>
      </c>
      <c r="E100" s="828"/>
      <c r="F100" s="828"/>
      <c r="G100" s="337" t="s">
        <v>923</v>
      </c>
      <c r="H100" s="337" t="s">
        <v>1567</v>
      </c>
      <c r="I100" s="337" t="s">
        <v>115</v>
      </c>
      <c r="J100" s="343" t="s">
        <v>1566</v>
      </c>
      <c r="K100" s="567"/>
      <c r="L100" s="830">
        <f>SUMIF('MV Cable sizing-11kV'!$W:$W,Summary!D100,'MV Cable sizing-11kV'!$AX:$AX)</f>
        <v>0</v>
      </c>
      <c r="M100" s="830"/>
      <c r="N100" s="830"/>
      <c r="O100" s="830"/>
      <c r="P100" s="830"/>
      <c r="Q100" s="830"/>
      <c r="R100" s="830"/>
      <c r="S100" s="831">
        <f t="shared" si="37"/>
        <v>0</v>
      </c>
      <c r="T100" s="830"/>
      <c r="U100" s="841"/>
      <c r="V100" s="832">
        <f>SUMIF('MV Cable sizing-11kV'!$W:$W,Summary!D100,'MV Cable sizing-11kV'!$AZ:$AZ)</f>
        <v>0</v>
      </c>
      <c r="W100" s="830"/>
      <c r="X100" s="830"/>
      <c r="Y100" s="830"/>
      <c r="Z100" s="830"/>
      <c r="AA100" s="830"/>
      <c r="AB100" s="830"/>
      <c r="AC100" s="833">
        <f t="shared" si="38"/>
        <v>0</v>
      </c>
      <c r="AD100" s="832">
        <f t="shared" si="39"/>
        <v>0</v>
      </c>
      <c r="AE100" s="832">
        <f t="shared" si="40"/>
        <v>0</v>
      </c>
      <c r="AF100" s="567"/>
      <c r="AH100" s="831">
        <v>0</v>
      </c>
    </row>
    <row r="101" spans="1:34">
      <c r="A101" s="337">
        <f t="shared" si="41"/>
        <v>10</v>
      </c>
      <c r="B101" s="828" t="s">
        <v>138</v>
      </c>
      <c r="C101" s="828"/>
      <c r="D101" s="828" t="str">
        <f t="shared" si="36"/>
        <v>1C X 630</v>
      </c>
      <c r="E101" s="828"/>
      <c r="F101" s="828"/>
      <c r="G101" s="337" t="s">
        <v>923</v>
      </c>
      <c r="H101" s="337" t="s">
        <v>1567</v>
      </c>
      <c r="I101" s="337" t="s">
        <v>115</v>
      </c>
      <c r="J101" s="343" t="s">
        <v>1566</v>
      </c>
      <c r="K101" s="567"/>
      <c r="L101" s="830">
        <f>SUMIF('MV Cable sizing-11kV'!$W:$W,Summary!D101,'MV Cable sizing-11kV'!$AX:$AX)</f>
        <v>0</v>
      </c>
      <c r="M101" s="830"/>
      <c r="N101" s="830"/>
      <c r="O101" s="830"/>
      <c r="P101" s="830"/>
      <c r="Q101" s="830"/>
      <c r="R101" s="830"/>
      <c r="S101" s="831">
        <f t="shared" si="37"/>
        <v>0</v>
      </c>
      <c r="T101" s="830"/>
      <c r="U101" s="841"/>
      <c r="V101" s="832">
        <f>SUMIF('MV Cable sizing-11kV'!$W:$W,Summary!D101,'MV Cable sizing-11kV'!$AZ:$AZ)</f>
        <v>0</v>
      </c>
      <c r="W101" s="830"/>
      <c r="X101" s="830"/>
      <c r="Y101" s="830"/>
      <c r="Z101" s="830"/>
      <c r="AA101" s="830"/>
      <c r="AB101" s="830"/>
      <c r="AC101" s="833">
        <f t="shared" si="38"/>
        <v>0</v>
      </c>
      <c r="AD101" s="832">
        <f t="shared" si="39"/>
        <v>0</v>
      </c>
      <c r="AE101" s="832">
        <f t="shared" si="40"/>
        <v>0</v>
      </c>
      <c r="AF101" s="567"/>
      <c r="AH101" s="831">
        <v>0</v>
      </c>
    </row>
    <row r="102" spans="1:34">
      <c r="A102" s="337">
        <f t="shared" si="41"/>
        <v>11</v>
      </c>
      <c r="B102" s="828" t="s">
        <v>224</v>
      </c>
      <c r="C102" s="828"/>
      <c r="D102" s="828" t="str">
        <f t="shared" si="36"/>
        <v>1C X 800</v>
      </c>
      <c r="E102" s="828"/>
      <c r="F102" s="828"/>
      <c r="G102" s="337" t="s">
        <v>923</v>
      </c>
      <c r="H102" s="337" t="s">
        <v>1567</v>
      </c>
      <c r="I102" s="337" t="s">
        <v>115</v>
      </c>
      <c r="J102" s="343" t="s">
        <v>1566</v>
      </c>
      <c r="K102" s="567"/>
      <c r="L102" s="830">
        <f>SUMIF('MV Cable sizing-11kV'!$W:$W,Summary!D102,'MV Cable sizing-11kV'!$AX:$AX)</f>
        <v>0</v>
      </c>
      <c r="M102" s="830"/>
      <c r="N102" s="830"/>
      <c r="O102" s="830"/>
      <c r="P102" s="830"/>
      <c r="Q102" s="830"/>
      <c r="R102" s="830"/>
      <c r="S102" s="831">
        <f t="shared" si="37"/>
        <v>0</v>
      </c>
      <c r="T102" s="830"/>
      <c r="U102" s="841"/>
      <c r="V102" s="832">
        <f>SUMIF('MV Cable sizing-11kV'!$W:$W,Summary!D102,'MV Cable sizing-11kV'!$AZ:$AZ)</f>
        <v>0</v>
      </c>
      <c r="W102" s="830"/>
      <c r="X102" s="830"/>
      <c r="Y102" s="830"/>
      <c r="Z102" s="830"/>
      <c r="AA102" s="830"/>
      <c r="AB102" s="830"/>
      <c r="AC102" s="833">
        <f t="shared" si="38"/>
        <v>0</v>
      </c>
      <c r="AD102" s="832">
        <f t="shared" si="39"/>
        <v>0</v>
      </c>
      <c r="AE102" s="832">
        <f t="shared" si="40"/>
        <v>0</v>
      </c>
      <c r="AF102" s="567"/>
      <c r="AH102" s="831">
        <v>0</v>
      </c>
    </row>
    <row r="103" spans="1:34">
      <c r="A103" s="337">
        <f t="shared" si="41"/>
        <v>12</v>
      </c>
      <c r="B103" s="828" t="s">
        <v>225</v>
      </c>
      <c r="C103" s="828"/>
      <c r="D103" s="828" t="str">
        <f t="shared" si="36"/>
        <v>1C X 1000</v>
      </c>
      <c r="E103" s="828"/>
      <c r="F103" s="828"/>
      <c r="G103" s="337" t="s">
        <v>923</v>
      </c>
      <c r="H103" s="337" t="s">
        <v>1567</v>
      </c>
      <c r="I103" s="337" t="s">
        <v>115</v>
      </c>
      <c r="J103" s="343" t="s">
        <v>1566</v>
      </c>
      <c r="K103" s="567"/>
      <c r="L103" s="830">
        <f>SUMIF('MV Cable sizing-11kV'!$W:$W,Summary!D103,'MV Cable sizing-11kV'!$AX:$AX)</f>
        <v>0</v>
      </c>
      <c r="M103" s="830"/>
      <c r="N103" s="830"/>
      <c r="O103" s="830"/>
      <c r="P103" s="830"/>
      <c r="Q103" s="830"/>
      <c r="R103" s="830"/>
      <c r="S103" s="831">
        <f t="shared" si="37"/>
        <v>0</v>
      </c>
      <c r="T103" s="830"/>
      <c r="U103" s="841"/>
      <c r="V103" s="832">
        <f>SUMIF('MV Cable sizing-11kV'!$W:$W,Summary!D103,'MV Cable sizing-11kV'!$AZ:$AZ)</f>
        <v>0</v>
      </c>
      <c r="W103" s="830"/>
      <c r="X103" s="830"/>
      <c r="Y103" s="830"/>
      <c r="Z103" s="830"/>
      <c r="AA103" s="830"/>
      <c r="AB103" s="830"/>
      <c r="AC103" s="833">
        <f t="shared" si="38"/>
        <v>0</v>
      </c>
      <c r="AD103" s="832">
        <f t="shared" si="39"/>
        <v>0</v>
      </c>
      <c r="AE103" s="832">
        <f t="shared" si="40"/>
        <v>0</v>
      </c>
      <c r="AF103" s="567"/>
      <c r="AH103" s="831">
        <v>0</v>
      </c>
    </row>
    <row r="104" spans="1:34">
      <c r="A104" s="373"/>
      <c r="B104" s="824"/>
      <c r="C104" s="824"/>
      <c r="D104" s="824"/>
      <c r="E104" s="824"/>
      <c r="F104" s="824"/>
      <c r="G104" s="373"/>
      <c r="H104" s="373"/>
      <c r="I104" s="373"/>
      <c r="J104" s="376"/>
      <c r="K104" s="825"/>
      <c r="L104" s="825"/>
      <c r="M104" s="826"/>
      <c r="N104" s="826"/>
      <c r="O104" s="826"/>
      <c r="P104" s="826"/>
      <c r="Q104" s="826"/>
      <c r="R104" s="826"/>
      <c r="S104" s="827"/>
      <c r="T104" s="827"/>
      <c r="U104" s="827"/>
      <c r="V104" s="827"/>
      <c r="W104" s="827"/>
      <c r="X104" s="827"/>
      <c r="Y104" s="827"/>
      <c r="Z104" s="827"/>
      <c r="AA104" s="827"/>
      <c r="AB104" s="827"/>
      <c r="AC104" s="827"/>
      <c r="AD104" s="827"/>
      <c r="AE104" s="827"/>
      <c r="AF104" s="826"/>
      <c r="AH104" s="827"/>
    </row>
    <row r="105" spans="1:34">
      <c r="A105" s="337">
        <f>A103+1</f>
        <v>13</v>
      </c>
      <c r="B105" s="828" t="s">
        <v>167</v>
      </c>
      <c r="C105" s="828"/>
      <c r="D105" s="828" t="str">
        <f t="shared" ref="D105:D112" si="42">B105</f>
        <v>3C X 70</v>
      </c>
      <c r="E105" s="828"/>
      <c r="F105" s="828"/>
      <c r="G105" s="337" t="s">
        <v>923</v>
      </c>
      <c r="H105" s="337" t="s">
        <v>1567</v>
      </c>
      <c r="I105" s="337" t="s">
        <v>115</v>
      </c>
      <c r="J105" s="343" t="s">
        <v>1566</v>
      </c>
      <c r="K105" s="567"/>
      <c r="L105" s="830">
        <f>SUMIF('MV Cable sizing-11kV'!$W:$W,Summary!D105,'MV Cable sizing-11kV'!$AX:$AX)</f>
        <v>0</v>
      </c>
      <c r="M105" s="830"/>
      <c r="N105" s="830"/>
      <c r="O105" s="830"/>
      <c r="P105" s="830"/>
      <c r="Q105" s="830"/>
      <c r="R105" s="830"/>
      <c r="S105" s="831">
        <f t="shared" ref="S105:S112" si="43">SUM(L105:R105)</f>
        <v>0</v>
      </c>
      <c r="T105" s="830"/>
      <c r="U105" s="841"/>
      <c r="V105" s="832">
        <f>SUMIF('MV Cable sizing-11kV'!$W:$W,Summary!D105,'MV Cable sizing-11kV'!$AZ:$AZ)</f>
        <v>0</v>
      </c>
      <c r="W105" s="830"/>
      <c r="X105" s="830"/>
      <c r="Y105" s="830"/>
      <c r="Z105" s="830"/>
      <c r="AA105" s="830"/>
      <c r="AB105" s="830"/>
      <c r="AC105" s="833">
        <f t="shared" ref="AC105:AC113" si="44">SUM(V105:AB105)</f>
        <v>0</v>
      </c>
      <c r="AD105" s="832">
        <f t="shared" ref="AD105:AD113" si="45">CEILING((AC105*0.05),1)</f>
        <v>0</v>
      </c>
      <c r="AE105" s="832">
        <f t="shared" ref="AE105:AE113" si="46">SUM(AC105+AD105)</f>
        <v>0</v>
      </c>
      <c r="AF105" s="567"/>
      <c r="AH105" s="831">
        <v>0</v>
      </c>
    </row>
    <row r="106" spans="1:34">
      <c r="A106" s="337">
        <f t="shared" ref="A106:A112" si="47">A105+1</f>
        <v>14</v>
      </c>
      <c r="B106" s="828" t="s">
        <v>168</v>
      </c>
      <c r="C106" s="828"/>
      <c r="D106" s="828" t="str">
        <f t="shared" si="42"/>
        <v>3C X 95</v>
      </c>
      <c r="E106" s="828"/>
      <c r="F106" s="828"/>
      <c r="G106" s="337" t="s">
        <v>923</v>
      </c>
      <c r="H106" s="337" t="s">
        <v>1567</v>
      </c>
      <c r="I106" s="337" t="s">
        <v>115</v>
      </c>
      <c r="J106" s="343" t="s">
        <v>1566</v>
      </c>
      <c r="K106" s="567"/>
      <c r="L106" s="830">
        <f>SUMIF('MV Cable sizing-11kV'!$W:$W,Summary!D106,'MV Cable sizing-11kV'!$AX:$AX)</f>
        <v>0</v>
      </c>
      <c r="M106" s="830"/>
      <c r="N106" s="830"/>
      <c r="O106" s="830"/>
      <c r="P106" s="830"/>
      <c r="Q106" s="830"/>
      <c r="R106" s="830"/>
      <c r="S106" s="831">
        <f t="shared" si="43"/>
        <v>0</v>
      </c>
      <c r="T106" s="830"/>
      <c r="U106" s="841"/>
      <c r="V106" s="832">
        <f>SUMIF('MV Cable sizing-11kV'!$W:$W,Summary!D106,'MV Cable sizing-11kV'!$AZ:$AZ)</f>
        <v>0</v>
      </c>
      <c r="W106" s="830"/>
      <c r="X106" s="830"/>
      <c r="Y106" s="830"/>
      <c r="Z106" s="830"/>
      <c r="AA106" s="830"/>
      <c r="AB106" s="830"/>
      <c r="AC106" s="833">
        <f t="shared" si="44"/>
        <v>0</v>
      </c>
      <c r="AD106" s="832">
        <f t="shared" si="45"/>
        <v>0</v>
      </c>
      <c r="AE106" s="832">
        <f t="shared" si="46"/>
        <v>0</v>
      </c>
      <c r="AF106" s="567"/>
      <c r="AH106" s="831">
        <v>0</v>
      </c>
    </row>
    <row r="107" spans="1:34">
      <c r="A107" s="337">
        <f t="shared" si="47"/>
        <v>15</v>
      </c>
      <c r="B107" s="828" t="s">
        <v>169</v>
      </c>
      <c r="C107" s="828"/>
      <c r="D107" s="828" t="str">
        <f t="shared" si="42"/>
        <v>3C X 120</v>
      </c>
      <c r="E107" s="828"/>
      <c r="F107" s="828"/>
      <c r="G107" s="337" t="s">
        <v>923</v>
      </c>
      <c r="H107" s="337" t="s">
        <v>1567</v>
      </c>
      <c r="I107" s="337" t="s">
        <v>115</v>
      </c>
      <c r="J107" s="343" t="s">
        <v>1566</v>
      </c>
      <c r="K107" s="567"/>
      <c r="L107" s="830">
        <f>SUMIF('MV Cable sizing-11kV'!$W:$W,Summary!D107,'MV Cable sizing-11kV'!$AX:$AX)</f>
        <v>0</v>
      </c>
      <c r="M107" s="830"/>
      <c r="N107" s="830"/>
      <c r="O107" s="830"/>
      <c r="P107" s="830"/>
      <c r="Q107" s="830"/>
      <c r="R107" s="830"/>
      <c r="S107" s="831">
        <f t="shared" si="43"/>
        <v>0</v>
      </c>
      <c r="T107" s="830"/>
      <c r="U107" s="841"/>
      <c r="V107" s="832">
        <f>SUMIF('MV Cable sizing-11kV'!$W:$W,Summary!D107,'MV Cable sizing-11kV'!$AZ:$AZ)</f>
        <v>0</v>
      </c>
      <c r="W107" s="830"/>
      <c r="X107" s="830"/>
      <c r="Y107" s="830"/>
      <c r="Z107" s="830"/>
      <c r="AA107" s="830"/>
      <c r="AB107" s="830"/>
      <c r="AC107" s="833">
        <f t="shared" si="44"/>
        <v>0</v>
      </c>
      <c r="AD107" s="832">
        <f t="shared" si="45"/>
        <v>0</v>
      </c>
      <c r="AE107" s="832">
        <f t="shared" si="46"/>
        <v>0</v>
      </c>
      <c r="AF107" s="567"/>
      <c r="AH107" s="831">
        <v>0</v>
      </c>
    </row>
    <row r="108" spans="1:34">
      <c r="A108" s="337">
        <f t="shared" si="47"/>
        <v>16</v>
      </c>
      <c r="B108" s="828" t="s">
        <v>170</v>
      </c>
      <c r="C108" s="828"/>
      <c r="D108" s="828" t="str">
        <f t="shared" si="42"/>
        <v>3C X 150</v>
      </c>
      <c r="E108" s="828"/>
      <c r="F108" s="828"/>
      <c r="G108" s="337" t="s">
        <v>923</v>
      </c>
      <c r="H108" s="337" t="s">
        <v>1567</v>
      </c>
      <c r="I108" s="337" t="s">
        <v>115</v>
      </c>
      <c r="J108" s="343" t="s">
        <v>1566</v>
      </c>
      <c r="K108" s="567"/>
      <c r="L108" s="830">
        <f>SUMIF('MV Cable sizing-11kV'!$W:$W,Summary!D108,'MV Cable sizing-11kV'!$AX:$AX)</f>
        <v>14150</v>
      </c>
      <c r="M108" s="830"/>
      <c r="N108" s="830"/>
      <c r="O108" s="830"/>
      <c r="P108" s="830"/>
      <c r="Q108" s="830"/>
      <c r="R108" s="830"/>
      <c r="S108" s="831">
        <f t="shared" si="43"/>
        <v>14150</v>
      </c>
      <c r="T108" s="830"/>
      <c r="U108" s="841"/>
      <c r="V108" s="832">
        <f>SUMIF('MV Cable sizing-11kV'!$W:$W,Summary!D108,'MV Cable sizing-11kV'!$AZ:$AZ)</f>
        <v>72</v>
      </c>
      <c r="W108" s="830"/>
      <c r="X108" s="830"/>
      <c r="Y108" s="830"/>
      <c r="Z108" s="830"/>
      <c r="AA108" s="830"/>
      <c r="AB108" s="830"/>
      <c r="AC108" s="833">
        <f t="shared" si="44"/>
        <v>72</v>
      </c>
      <c r="AD108" s="832">
        <f t="shared" si="45"/>
        <v>4</v>
      </c>
      <c r="AE108" s="832">
        <f t="shared" si="46"/>
        <v>76</v>
      </c>
      <c r="AF108" s="567"/>
      <c r="AH108" s="831">
        <v>14245</v>
      </c>
    </row>
    <row r="109" spans="1:34">
      <c r="A109" s="337">
        <f t="shared" si="47"/>
        <v>17</v>
      </c>
      <c r="B109" s="828" t="s">
        <v>171</v>
      </c>
      <c r="C109" s="828"/>
      <c r="D109" s="828" t="str">
        <f t="shared" si="42"/>
        <v>3C X 185</v>
      </c>
      <c r="E109" s="828"/>
      <c r="F109" s="828"/>
      <c r="G109" s="337" t="s">
        <v>923</v>
      </c>
      <c r="H109" s="337" t="s">
        <v>1567</v>
      </c>
      <c r="I109" s="337" t="s">
        <v>115</v>
      </c>
      <c r="J109" s="343" t="s">
        <v>1566</v>
      </c>
      <c r="K109" s="567"/>
      <c r="L109" s="830">
        <f>SUMIF('MV Cable sizing-11kV'!$W:$W,Summary!D109,'MV Cable sizing-11kV'!$AX:$AX)</f>
        <v>950</v>
      </c>
      <c r="M109" s="830"/>
      <c r="N109" s="830"/>
      <c r="O109" s="830"/>
      <c r="P109" s="830"/>
      <c r="Q109" s="830"/>
      <c r="R109" s="830"/>
      <c r="S109" s="831">
        <f t="shared" si="43"/>
        <v>950</v>
      </c>
      <c r="T109" s="830"/>
      <c r="U109" s="841"/>
      <c r="V109" s="832">
        <f>SUMIF('MV Cable sizing-11kV'!$W:$W,Summary!D109,'MV Cable sizing-11kV'!$AZ:$AZ)</f>
        <v>8</v>
      </c>
      <c r="W109" s="830"/>
      <c r="X109" s="830"/>
      <c r="Y109" s="830"/>
      <c r="Z109" s="830"/>
      <c r="AA109" s="830"/>
      <c r="AB109" s="830"/>
      <c r="AC109" s="833">
        <f t="shared" si="44"/>
        <v>8</v>
      </c>
      <c r="AD109" s="832">
        <f t="shared" si="45"/>
        <v>1</v>
      </c>
      <c r="AE109" s="832">
        <f t="shared" si="46"/>
        <v>9</v>
      </c>
      <c r="AF109" s="567"/>
      <c r="AH109" s="831">
        <v>943</v>
      </c>
    </row>
    <row r="110" spans="1:34">
      <c r="A110" s="337">
        <f t="shared" si="47"/>
        <v>18</v>
      </c>
      <c r="B110" s="828" t="s">
        <v>172</v>
      </c>
      <c r="C110" s="828"/>
      <c r="D110" s="828" t="str">
        <f t="shared" si="42"/>
        <v>3C X 240</v>
      </c>
      <c r="E110" s="828"/>
      <c r="F110" s="828"/>
      <c r="G110" s="337" t="s">
        <v>923</v>
      </c>
      <c r="H110" s="337" t="s">
        <v>1567</v>
      </c>
      <c r="I110" s="337" t="s">
        <v>115</v>
      </c>
      <c r="J110" s="343" t="s">
        <v>1566</v>
      </c>
      <c r="K110" s="567"/>
      <c r="L110" s="830">
        <f>SUMIF('MV Cable sizing-11kV'!$W:$W,Summary!D110,'MV Cable sizing-11kV'!$AX:$AX)</f>
        <v>0</v>
      </c>
      <c r="M110" s="830"/>
      <c r="N110" s="830"/>
      <c r="O110" s="830"/>
      <c r="P110" s="830"/>
      <c r="Q110" s="830"/>
      <c r="R110" s="830"/>
      <c r="S110" s="831">
        <f t="shared" si="43"/>
        <v>0</v>
      </c>
      <c r="T110" s="830"/>
      <c r="U110" s="841"/>
      <c r="V110" s="832">
        <f>SUMIF('MV Cable sizing-11kV'!$W:$W,Summary!D110,'MV Cable sizing-11kV'!$AZ:$AZ)</f>
        <v>0</v>
      </c>
      <c r="W110" s="830"/>
      <c r="X110" s="830"/>
      <c r="Y110" s="830"/>
      <c r="Z110" s="830"/>
      <c r="AA110" s="830"/>
      <c r="AB110" s="830"/>
      <c r="AC110" s="833">
        <f t="shared" si="44"/>
        <v>0</v>
      </c>
      <c r="AD110" s="832">
        <f t="shared" si="45"/>
        <v>0</v>
      </c>
      <c r="AE110" s="832">
        <f t="shared" si="46"/>
        <v>0</v>
      </c>
      <c r="AF110" s="567"/>
      <c r="AH110" s="831">
        <v>0</v>
      </c>
    </row>
    <row r="111" spans="1:34">
      <c r="A111" s="337">
        <f t="shared" si="47"/>
        <v>19</v>
      </c>
      <c r="B111" s="828" t="s">
        <v>173</v>
      </c>
      <c r="C111" s="828"/>
      <c r="D111" s="828" t="str">
        <f t="shared" si="42"/>
        <v>3C X 300</v>
      </c>
      <c r="E111" s="828"/>
      <c r="F111" s="828"/>
      <c r="G111" s="337" t="s">
        <v>923</v>
      </c>
      <c r="H111" s="337" t="s">
        <v>1567</v>
      </c>
      <c r="I111" s="337" t="s">
        <v>115</v>
      </c>
      <c r="J111" s="343" t="s">
        <v>1566</v>
      </c>
      <c r="K111" s="567"/>
      <c r="L111" s="830">
        <f>SUMIF('MV Cable sizing-11kV'!$W:$W,Summary!D111,'MV Cable sizing-11kV'!$AX:$AX)</f>
        <v>0</v>
      </c>
      <c r="M111" s="830"/>
      <c r="N111" s="830"/>
      <c r="O111" s="830"/>
      <c r="P111" s="830"/>
      <c r="Q111" s="830"/>
      <c r="R111" s="830"/>
      <c r="S111" s="831">
        <f t="shared" si="43"/>
        <v>0</v>
      </c>
      <c r="T111" s="830"/>
      <c r="U111" s="841"/>
      <c r="V111" s="832">
        <f>SUMIF('MV Cable sizing-11kV'!$W:$W,Summary!D111,'MV Cable sizing-11kV'!$AZ:$AZ)</f>
        <v>0</v>
      </c>
      <c r="W111" s="830"/>
      <c r="X111" s="830"/>
      <c r="Y111" s="830"/>
      <c r="Z111" s="830"/>
      <c r="AA111" s="830"/>
      <c r="AB111" s="830"/>
      <c r="AC111" s="833">
        <f t="shared" si="44"/>
        <v>0</v>
      </c>
      <c r="AD111" s="832">
        <f t="shared" si="45"/>
        <v>0</v>
      </c>
      <c r="AE111" s="832">
        <f t="shared" si="46"/>
        <v>0</v>
      </c>
      <c r="AF111" s="567"/>
      <c r="AH111" s="831">
        <v>0</v>
      </c>
    </row>
    <row r="112" spans="1:34">
      <c r="A112" s="337">
        <f t="shared" si="47"/>
        <v>20</v>
      </c>
      <c r="B112" s="828" t="s">
        <v>174</v>
      </c>
      <c r="C112" s="828"/>
      <c r="D112" s="828" t="str">
        <f t="shared" si="42"/>
        <v>3C X 400</v>
      </c>
      <c r="E112" s="828"/>
      <c r="F112" s="828"/>
      <c r="G112" s="343" t="s">
        <v>923</v>
      </c>
      <c r="H112" s="343" t="s">
        <v>1567</v>
      </c>
      <c r="I112" s="343" t="s">
        <v>115</v>
      </c>
      <c r="J112" s="343" t="s">
        <v>1566</v>
      </c>
      <c r="K112" s="567"/>
      <c r="L112" s="830">
        <f>SUMIF('MV Cable sizing-11kV'!$W:$W,Summary!D112,'MV Cable sizing-11kV'!$AX:$AX)</f>
        <v>0</v>
      </c>
      <c r="M112" s="830"/>
      <c r="N112" s="830"/>
      <c r="O112" s="830"/>
      <c r="P112" s="830"/>
      <c r="Q112" s="830"/>
      <c r="R112" s="830"/>
      <c r="S112" s="831">
        <f t="shared" si="43"/>
        <v>0</v>
      </c>
      <c r="T112" s="830"/>
      <c r="U112" s="841"/>
      <c r="V112" s="832">
        <f>SUMIF('MV Cable sizing-11kV'!$W:$W,Summary!D112,'MV Cable sizing-11kV'!$AZ:$AZ)</f>
        <v>0</v>
      </c>
      <c r="W112" s="830"/>
      <c r="X112" s="830"/>
      <c r="Y112" s="830"/>
      <c r="Z112" s="830"/>
      <c r="AA112" s="830"/>
      <c r="AB112" s="830"/>
      <c r="AC112" s="833">
        <f t="shared" si="44"/>
        <v>0</v>
      </c>
      <c r="AD112" s="832">
        <f t="shared" si="45"/>
        <v>0</v>
      </c>
      <c r="AE112" s="832">
        <f t="shared" si="46"/>
        <v>0</v>
      </c>
      <c r="AF112" s="567"/>
      <c r="AH112" s="831">
        <v>0</v>
      </c>
    </row>
    <row r="113" spans="1:41">
      <c r="A113" s="337"/>
      <c r="B113" s="828"/>
      <c r="C113" s="828"/>
      <c r="D113" s="828"/>
      <c r="E113" s="828"/>
      <c r="F113" s="828"/>
      <c r="G113" s="337"/>
      <c r="H113" s="337"/>
      <c r="I113" s="337"/>
      <c r="J113" s="343"/>
      <c r="K113" s="567"/>
      <c r="L113" s="567"/>
      <c r="M113" s="567"/>
      <c r="N113" s="567"/>
      <c r="O113" s="567"/>
      <c r="P113" s="567"/>
      <c r="Q113" s="567"/>
      <c r="R113" s="567"/>
      <c r="S113" s="831">
        <f t="shared" ref="S113" si="48">SUM(K113:R113)</f>
        <v>0</v>
      </c>
      <c r="T113" s="830"/>
      <c r="U113" s="841"/>
      <c r="V113" s="832">
        <f>SUMIF('MV Cable sizing-11kV'!$W:$W,Summary!D113,'MV Cable sizing-11kV'!$AZ:$AZ)</f>
        <v>0</v>
      </c>
      <c r="W113" s="830"/>
      <c r="X113" s="830"/>
      <c r="Y113" s="830"/>
      <c r="Z113" s="830"/>
      <c r="AA113" s="830"/>
      <c r="AB113" s="830"/>
      <c r="AC113" s="833">
        <f t="shared" si="44"/>
        <v>0</v>
      </c>
      <c r="AD113" s="832">
        <f t="shared" si="45"/>
        <v>0</v>
      </c>
      <c r="AE113" s="832">
        <f t="shared" si="46"/>
        <v>0</v>
      </c>
      <c r="AF113" s="567"/>
      <c r="AH113" s="831">
        <v>0</v>
      </c>
    </row>
    <row r="114" spans="1:41" ht="21.75" customHeight="1">
      <c r="A114" s="842" t="s">
        <v>1570</v>
      </c>
      <c r="B114" s="842"/>
      <c r="C114" s="842"/>
      <c r="D114" s="842"/>
      <c r="E114" s="842"/>
      <c r="F114" s="842"/>
      <c r="G114" s="842"/>
      <c r="H114" s="842"/>
      <c r="I114" s="842"/>
      <c r="J114" s="842"/>
      <c r="K114" s="842"/>
      <c r="L114" s="842"/>
      <c r="M114" s="842"/>
      <c r="N114" s="842"/>
      <c r="O114" s="842"/>
      <c r="P114" s="842"/>
      <c r="Q114" s="842"/>
      <c r="R114" s="842"/>
      <c r="S114" s="842"/>
      <c r="T114" s="842"/>
      <c r="U114" s="842"/>
      <c r="V114" s="842"/>
      <c r="W114" s="842"/>
      <c r="X114" s="842"/>
      <c r="Y114" s="842"/>
      <c r="Z114" s="842"/>
      <c r="AA114" s="842"/>
      <c r="AB114" s="842"/>
      <c r="AC114" s="842"/>
      <c r="AD114" s="842"/>
      <c r="AE114" s="842"/>
      <c r="AF114" s="842"/>
      <c r="AG114" s="11"/>
      <c r="AH114" s="842"/>
      <c r="AI114" s="11"/>
      <c r="AJ114" s="11"/>
      <c r="AK114" s="11"/>
      <c r="AL114" s="11"/>
      <c r="AM114" s="11"/>
      <c r="AN114" s="11"/>
      <c r="AO114" s="11"/>
    </row>
    <row r="115" spans="1:41">
      <c r="A115" s="337">
        <v>1</v>
      </c>
      <c r="B115" s="828" t="s">
        <v>221</v>
      </c>
      <c r="C115" s="828"/>
      <c r="D115" s="828" t="str">
        <f t="shared" ref="D115:D125" si="49">B115</f>
        <v>1C X 95</v>
      </c>
      <c r="E115" s="828"/>
      <c r="F115" s="828"/>
      <c r="G115" s="337" t="s">
        <v>1571</v>
      </c>
      <c r="H115" s="337" t="s">
        <v>1567</v>
      </c>
      <c r="I115" s="337" t="s">
        <v>115</v>
      </c>
      <c r="J115" s="343" t="s">
        <v>1566</v>
      </c>
      <c r="K115" s="830" t="e">
        <f>SUMIF(#REF!,Summary!D115,#REF!)</f>
        <v>#REF!</v>
      </c>
      <c r="L115" s="830"/>
      <c r="M115" s="830"/>
      <c r="N115" s="830"/>
      <c r="O115" s="830"/>
      <c r="P115" s="830"/>
      <c r="Q115" s="830"/>
      <c r="R115" s="830"/>
      <c r="S115" s="831" t="e">
        <f t="shared" ref="S115:S125" si="50">SUM(K115:R115)</f>
        <v>#REF!</v>
      </c>
      <c r="T115" s="830"/>
      <c r="U115" s="832" t="e">
        <f>SUMIF(#REF!,Summary!D115,#REF!)</f>
        <v>#REF!</v>
      </c>
      <c r="V115" s="832"/>
      <c r="W115" s="830"/>
      <c r="X115" s="830"/>
      <c r="Y115" s="830"/>
      <c r="Z115" s="830"/>
      <c r="AA115" s="830"/>
      <c r="AB115" s="830"/>
      <c r="AC115" s="833" t="e">
        <f t="shared" ref="AC115:AC125" si="51">SUM(U115:AB115)</f>
        <v>#REF!</v>
      </c>
      <c r="AD115" s="832" t="e">
        <f t="shared" ref="AD115:AD125" si="52">CEILING((AC115*0.05),1)</f>
        <v>#REF!</v>
      </c>
      <c r="AE115" s="832" t="e">
        <f t="shared" ref="AE115:AE125" si="53">SUM(AC115+AD115)</f>
        <v>#REF!</v>
      </c>
      <c r="AF115" s="567"/>
      <c r="AH115" s="831">
        <v>0</v>
      </c>
    </row>
    <row r="116" spans="1:41">
      <c r="A116" s="337">
        <f t="shared" ref="A116:A125" si="54">A115+1</f>
        <v>2</v>
      </c>
      <c r="B116" s="828" t="s">
        <v>222</v>
      </c>
      <c r="C116" s="828"/>
      <c r="D116" s="828" t="str">
        <f t="shared" si="49"/>
        <v>1C X 120</v>
      </c>
      <c r="E116" s="828"/>
      <c r="F116" s="828"/>
      <c r="G116" s="337" t="s">
        <v>1571</v>
      </c>
      <c r="H116" s="337" t="s">
        <v>1567</v>
      </c>
      <c r="I116" s="337" t="s">
        <v>115</v>
      </c>
      <c r="J116" s="343" t="s">
        <v>1566</v>
      </c>
      <c r="K116" s="830" t="e">
        <f>SUMIF(#REF!,Summary!D116,#REF!)</f>
        <v>#REF!</v>
      </c>
      <c r="L116" s="830"/>
      <c r="M116" s="830"/>
      <c r="N116" s="830"/>
      <c r="O116" s="830"/>
      <c r="P116" s="830"/>
      <c r="Q116" s="830"/>
      <c r="R116" s="830"/>
      <c r="S116" s="831" t="e">
        <f t="shared" si="50"/>
        <v>#REF!</v>
      </c>
      <c r="T116" s="830"/>
      <c r="U116" s="832" t="e">
        <f>SUMIF(#REF!,Summary!D116,#REF!)</f>
        <v>#REF!</v>
      </c>
      <c r="V116" s="832"/>
      <c r="W116" s="830"/>
      <c r="X116" s="830"/>
      <c r="Y116" s="830"/>
      <c r="Z116" s="830"/>
      <c r="AA116" s="830"/>
      <c r="AB116" s="830"/>
      <c r="AC116" s="833" t="e">
        <f t="shared" si="51"/>
        <v>#REF!</v>
      </c>
      <c r="AD116" s="832" t="e">
        <f t="shared" si="52"/>
        <v>#REF!</v>
      </c>
      <c r="AE116" s="832" t="e">
        <f t="shared" si="53"/>
        <v>#REF!</v>
      </c>
      <c r="AF116" s="567"/>
      <c r="AH116" s="831">
        <v>0</v>
      </c>
    </row>
    <row r="117" spans="1:41">
      <c r="A117" s="337">
        <f t="shared" si="54"/>
        <v>3</v>
      </c>
      <c r="B117" s="828" t="s">
        <v>223</v>
      </c>
      <c r="C117" s="828"/>
      <c r="D117" s="828" t="str">
        <f t="shared" si="49"/>
        <v>1C X 150</v>
      </c>
      <c r="E117" s="828"/>
      <c r="F117" s="828"/>
      <c r="G117" s="337" t="s">
        <v>1571</v>
      </c>
      <c r="H117" s="337" t="s">
        <v>1567</v>
      </c>
      <c r="I117" s="337" t="s">
        <v>115</v>
      </c>
      <c r="J117" s="343" t="s">
        <v>1566</v>
      </c>
      <c r="K117" s="830" t="e">
        <f>SUMIF(#REF!,Summary!D117,#REF!)</f>
        <v>#REF!</v>
      </c>
      <c r="L117" s="830"/>
      <c r="M117" s="830"/>
      <c r="N117" s="830"/>
      <c r="O117" s="830"/>
      <c r="P117" s="830"/>
      <c r="Q117" s="830"/>
      <c r="R117" s="830"/>
      <c r="S117" s="831" t="e">
        <f t="shared" si="50"/>
        <v>#REF!</v>
      </c>
      <c r="T117" s="830"/>
      <c r="U117" s="832" t="e">
        <f>SUMIF(#REF!,Summary!D117,#REF!)</f>
        <v>#REF!</v>
      </c>
      <c r="V117" s="832"/>
      <c r="W117" s="830"/>
      <c r="X117" s="830"/>
      <c r="Y117" s="830"/>
      <c r="Z117" s="830"/>
      <c r="AA117" s="830"/>
      <c r="AB117" s="830"/>
      <c r="AC117" s="833" t="e">
        <f t="shared" si="51"/>
        <v>#REF!</v>
      </c>
      <c r="AD117" s="832" t="e">
        <f t="shared" si="52"/>
        <v>#REF!</v>
      </c>
      <c r="AE117" s="832" t="e">
        <f t="shared" si="53"/>
        <v>#REF!</v>
      </c>
      <c r="AF117" s="567"/>
      <c r="AH117" s="831">
        <v>0</v>
      </c>
    </row>
    <row r="118" spans="1:41">
      <c r="A118" s="337">
        <f t="shared" si="54"/>
        <v>4</v>
      </c>
      <c r="B118" s="828" t="s">
        <v>129</v>
      </c>
      <c r="C118" s="828"/>
      <c r="D118" s="828" t="str">
        <f t="shared" si="49"/>
        <v>1C X 185</v>
      </c>
      <c r="E118" s="828"/>
      <c r="F118" s="828"/>
      <c r="G118" s="337" t="s">
        <v>1571</v>
      </c>
      <c r="H118" s="337" t="s">
        <v>1567</v>
      </c>
      <c r="I118" s="337" t="s">
        <v>115</v>
      </c>
      <c r="J118" s="343" t="s">
        <v>1566</v>
      </c>
      <c r="K118" s="830" t="e">
        <f>SUMIF(#REF!,Summary!D118,#REF!)</f>
        <v>#REF!</v>
      </c>
      <c r="L118" s="830"/>
      <c r="M118" s="830"/>
      <c r="N118" s="830"/>
      <c r="O118" s="830"/>
      <c r="P118" s="830"/>
      <c r="Q118" s="830"/>
      <c r="R118" s="830"/>
      <c r="S118" s="831" t="e">
        <f t="shared" si="50"/>
        <v>#REF!</v>
      </c>
      <c r="T118" s="830"/>
      <c r="U118" s="832" t="e">
        <f>SUMIF(#REF!,Summary!D118,#REF!)</f>
        <v>#REF!</v>
      </c>
      <c r="V118" s="832"/>
      <c r="W118" s="830"/>
      <c r="X118" s="830"/>
      <c r="Y118" s="830"/>
      <c r="Z118" s="830"/>
      <c r="AA118" s="830"/>
      <c r="AB118" s="830"/>
      <c r="AC118" s="833" t="e">
        <f t="shared" si="51"/>
        <v>#REF!</v>
      </c>
      <c r="AD118" s="832" t="e">
        <f t="shared" si="52"/>
        <v>#REF!</v>
      </c>
      <c r="AE118" s="832" t="e">
        <f t="shared" si="53"/>
        <v>#REF!</v>
      </c>
      <c r="AF118" s="567"/>
      <c r="AH118" s="831">
        <v>0</v>
      </c>
    </row>
    <row r="119" spans="1:41">
      <c r="A119" s="337">
        <f t="shared" si="54"/>
        <v>5</v>
      </c>
      <c r="B119" s="828" t="s">
        <v>133</v>
      </c>
      <c r="C119" s="828"/>
      <c r="D119" s="828" t="str">
        <f t="shared" si="49"/>
        <v>1C X 240</v>
      </c>
      <c r="E119" s="828"/>
      <c r="F119" s="828"/>
      <c r="G119" s="337" t="s">
        <v>1571</v>
      </c>
      <c r="H119" s="337" t="s">
        <v>1567</v>
      </c>
      <c r="I119" s="337" t="s">
        <v>115</v>
      </c>
      <c r="J119" s="343" t="s">
        <v>1566</v>
      </c>
      <c r="K119" s="830" t="e">
        <f>SUMIF(#REF!,Summary!D119,#REF!)</f>
        <v>#REF!</v>
      </c>
      <c r="L119" s="830"/>
      <c r="M119" s="830"/>
      <c r="N119" s="830"/>
      <c r="O119" s="830"/>
      <c r="P119" s="830"/>
      <c r="Q119" s="830"/>
      <c r="R119" s="830"/>
      <c r="S119" s="831" t="e">
        <f t="shared" si="50"/>
        <v>#REF!</v>
      </c>
      <c r="T119" s="830"/>
      <c r="U119" s="832" t="e">
        <f>SUMIF(#REF!,Summary!D119,#REF!)</f>
        <v>#REF!</v>
      </c>
      <c r="V119" s="832"/>
      <c r="W119" s="830"/>
      <c r="X119" s="830"/>
      <c r="Y119" s="830"/>
      <c r="Z119" s="830"/>
      <c r="AA119" s="830"/>
      <c r="AB119" s="830"/>
      <c r="AC119" s="833" t="e">
        <f t="shared" si="51"/>
        <v>#REF!</v>
      </c>
      <c r="AD119" s="832" t="e">
        <f t="shared" si="52"/>
        <v>#REF!</v>
      </c>
      <c r="AE119" s="832" t="e">
        <f t="shared" si="53"/>
        <v>#REF!</v>
      </c>
      <c r="AF119" s="567"/>
      <c r="AH119" s="831">
        <v>756</v>
      </c>
    </row>
    <row r="120" spans="1:41">
      <c r="A120" s="337">
        <f t="shared" si="54"/>
        <v>6</v>
      </c>
      <c r="B120" s="828" t="s">
        <v>134</v>
      </c>
      <c r="C120" s="828"/>
      <c r="D120" s="828" t="str">
        <f t="shared" si="49"/>
        <v>1C X 300</v>
      </c>
      <c r="E120" s="828"/>
      <c r="F120" s="828"/>
      <c r="G120" s="337" t="s">
        <v>1571</v>
      </c>
      <c r="H120" s="337" t="s">
        <v>1567</v>
      </c>
      <c r="I120" s="337" t="s">
        <v>115</v>
      </c>
      <c r="J120" s="343" t="s">
        <v>1566</v>
      </c>
      <c r="K120" s="830" t="e">
        <f>SUMIF(#REF!,Summary!D120,#REF!)</f>
        <v>#REF!</v>
      </c>
      <c r="L120" s="830"/>
      <c r="M120" s="830"/>
      <c r="N120" s="830"/>
      <c r="O120" s="830"/>
      <c r="P120" s="830"/>
      <c r="Q120" s="830"/>
      <c r="R120" s="830"/>
      <c r="S120" s="831" t="e">
        <f t="shared" si="50"/>
        <v>#REF!</v>
      </c>
      <c r="T120" s="830"/>
      <c r="U120" s="832" t="e">
        <f>SUMIF(#REF!,Summary!D120,#REF!)</f>
        <v>#REF!</v>
      </c>
      <c r="V120" s="832"/>
      <c r="W120" s="830"/>
      <c r="X120" s="830"/>
      <c r="Y120" s="830"/>
      <c r="Z120" s="830"/>
      <c r="AA120" s="830"/>
      <c r="AB120" s="830"/>
      <c r="AC120" s="833" t="e">
        <f t="shared" si="51"/>
        <v>#REF!</v>
      </c>
      <c r="AD120" s="832" t="e">
        <f t="shared" si="52"/>
        <v>#REF!</v>
      </c>
      <c r="AE120" s="832" t="e">
        <f t="shared" si="53"/>
        <v>#REF!</v>
      </c>
      <c r="AF120" s="567"/>
      <c r="AH120" s="831">
        <v>0</v>
      </c>
    </row>
    <row r="121" spans="1:41">
      <c r="A121" s="337">
        <f t="shared" si="54"/>
        <v>7</v>
      </c>
      <c r="B121" s="828" t="s">
        <v>135</v>
      </c>
      <c r="C121" s="828"/>
      <c r="D121" s="828" t="str">
        <f t="shared" si="49"/>
        <v>1C X 400</v>
      </c>
      <c r="E121" s="828"/>
      <c r="F121" s="828"/>
      <c r="G121" s="337" t="s">
        <v>1571</v>
      </c>
      <c r="H121" s="337" t="s">
        <v>1567</v>
      </c>
      <c r="I121" s="337" t="s">
        <v>115</v>
      </c>
      <c r="J121" s="343" t="s">
        <v>1566</v>
      </c>
      <c r="K121" s="830" t="e">
        <f>SUMIF(#REF!,Summary!D121,#REF!)</f>
        <v>#REF!</v>
      </c>
      <c r="L121" s="830"/>
      <c r="M121" s="830"/>
      <c r="N121" s="830"/>
      <c r="O121" s="830"/>
      <c r="P121" s="830"/>
      <c r="Q121" s="830"/>
      <c r="R121" s="830"/>
      <c r="S121" s="831" t="e">
        <f t="shared" si="50"/>
        <v>#REF!</v>
      </c>
      <c r="T121" s="830"/>
      <c r="U121" s="832" t="e">
        <f>SUMIF(#REF!,Summary!D121,#REF!)</f>
        <v>#REF!</v>
      </c>
      <c r="V121" s="832"/>
      <c r="W121" s="830"/>
      <c r="X121" s="830"/>
      <c r="Y121" s="830"/>
      <c r="Z121" s="830"/>
      <c r="AA121" s="830"/>
      <c r="AB121" s="830"/>
      <c r="AC121" s="833" t="e">
        <f t="shared" si="51"/>
        <v>#REF!</v>
      </c>
      <c r="AD121" s="832" t="e">
        <f t="shared" si="52"/>
        <v>#REF!</v>
      </c>
      <c r="AE121" s="832" t="e">
        <f t="shared" si="53"/>
        <v>#REF!</v>
      </c>
      <c r="AF121" s="567"/>
      <c r="AH121" s="831">
        <v>0</v>
      </c>
    </row>
    <row r="122" spans="1:41">
      <c r="A122" s="337">
        <f t="shared" si="54"/>
        <v>8</v>
      </c>
      <c r="B122" s="828" t="s">
        <v>137</v>
      </c>
      <c r="C122" s="828"/>
      <c r="D122" s="828" t="str">
        <f t="shared" si="49"/>
        <v>1C X 500</v>
      </c>
      <c r="E122" s="828"/>
      <c r="F122" s="828"/>
      <c r="G122" s="337" t="s">
        <v>1571</v>
      </c>
      <c r="H122" s="337" t="s">
        <v>1567</v>
      </c>
      <c r="I122" s="337" t="s">
        <v>115</v>
      </c>
      <c r="J122" s="343" t="s">
        <v>1566</v>
      </c>
      <c r="K122" s="830" t="e">
        <f>SUMIF(#REF!,Summary!D122,#REF!)</f>
        <v>#REF!</v>
      </c>
      <c r="L122" s="830"/>
      <c r="M122" s="830"/>
      <c r="N122" s="830"/>
      <c r="O122" s="830"/>
      <c r="P122" s="830"/>
      <c r="Q122" s="830"/>
      <c r="R122" s="830"/>
      <c r="S122" s="831" t="e">
        <f t="shared" si="50"/>
        <v>#REF!</v>
      </c>
      <c r="T122" s="830"/>
      <c r="U122" s="832" t="e">
        <f>SUMIF(#REF!,Summary!D122,#REF!)</f>
        <v>#REF!</v>
      </c>
      <c r="V122" s="832"/>
      <c r="W122" s="830"/>
      <c r="X122" s="830"/>
      <c r="Y122" s="830"/>
      <c r="Z122" s="830"/>
      <c r="AA122" s="830"/>
      <c r="AB122" s="830"/>
      <c r="AC122" s="833" t="e">
        <f t="shared" si="51"/>
        <v>#REF!</v>
      </c>
      <c r="AD122" s="832" t="e">
        <f t="shared" si="52"/>
        <v>#REF!</v>
      </c>
      <c r="AE122" s="832" t="e">
        <f t="shared" si="53"/>
        <v>#REF!</v>
      </c>
      <c r="AF122" s="567"/>
      <c r="AH122" s="831">
        <v>0</v>
      </c>
    </row>
    <row r="123" spans="1:41">
      <c r="A123" s="337">
        <f t="shared" si="54"/>
        <v>9</v>
      </c>
      <c r="B123" s="828" t="s">
        <v>138</v>
      </c>
      <c r="C123" s="828"/>
      <c r="D123" s="828" t="str">
        <f t="shared" si="49"/>
        <v>1C X 630</v>
      </c>
      <c r="E123" s="828"/>
      <c r="F123" s="828"/>
      <c r="G123" s="337" t="s">
        <v>1571</v>
      </c>
      <c r="H123" s="337" t="s">
        <v>1567</v>
      </c>
      <c r="I123" s="337" t="s">
        <v>115</v>
      </c>
      <c r="J123" s="343" t="s">
        <v>1566</v>
      </c>
      <c r="K123" s="830" t="e">
        <f>SUMIF(#REF!,Summary!D123,#REF!)</f>
        <v>#REF!</v>
      </c>
      <c r="L123" s="830"/>
      <c r="M123" s="830"/>
      <c r="N123" s="830"/>
      <c r="O123" s="830"/>
      <c r="P123" s="830"/>
      <c r="Q123" s="830"/>
      <c r="R123" s="830"/>
      <c r="S123" s="831" t="e">
        <f t="shared" si="50"/>
        <v>#REF!</v>
      </c>
      <c r="T123" s="830"/>
      <c r="U123" s="832" t="e">
        <f>SUMIF(#REF!,Summary!D123,#REF!)</f>
        <v>#REF!</v>
      </c>
      <c r="V123" s="832"/>
      <c r="W123" s="830"/>
      <c r="X123" s="830"/>
      <c r="Y123" s="830"/>
      <c r="Z123" s="830"/>
      <c r="AA123" s="830"/>
      <c r="AB123" s="830"/>
      <c r="AC123" s="833" t="e">
        <f t="shared" si="51"/>
        <v>#REF!</v>
      </c>
      <c r="AD123" s="832" t="e">
        <f t="shared" si="52"/>
        <v>#REF!</v>
      </c>
      <c r="AE123" s="832" t="e">
        <f t="shared" si="53"/>
        <v>#REF!</v>
      </c>
      <c r="AF123" s="567"/>
      <c r="AH123" s="831">
        <v>0</v>
      </c>
    </row>
    <row r="124" spans="1:41">
      <c r="A124" s="337">
        <f t="shared" si="54"/>
        <v>10</v>
      </c>
      <c r="B124" s="828" t="s">
        <v>224</v>
      </c>
      <c r="C124" s="828"/>
      <c r="D124" s="828" t="str">
        <f t="shared" si="49"/>
        <v>1C X 800</v>
      </c>
      <c r="E124" s="828"/>
      <c r="F124" s="828"/>
      <c r="G124" s="337" t="s">
        <v>1571</v>
      </c>
      <c r="H124" s="337" t="s">
        <v>1567</v>
      </c>
      <c r="I124" s="337" t="s">
        <v>115</v>
      </c>
      <c r="J124" s="343" t="s">
        <v>1566</v>
      </c>
      <c r="K124" s="830" t="e">
        <f>SUMIF(#REF!,Summary!D124,#REF!)</f>
        <v>#REF!</v>
      </c>
      <c r="L124" s="830"/>
      <c r="M124" s="830"/>
      <c r="N124" s="830"/>
      <c r="O124" s="830"/>
      <c r="P124" s="830"/>
      <c r="Q124" s="830"/>
      <c r="R124" s="830"/>
      <c r="S124" s="831" t="e">
        <f t="shared" si="50"/>
        <v>#REF!</v>
      </c>
      <c r="T124" s="830"/>
      <c r="U124" s="832" t="e">
        <f>SUMIF(#REF!,Summary!D124,#REF!)</f>
        <v>#REF!</v>
      </c>
      <c r="V124" s="832"/>
      <c r="W124" s="830"/>
      <c r="X124" s="830"/>
      <c r="Y124" s="830"/>
      <c r="Z124" s="830"/>
      <c r="AA124" s="830"/>
      <c r="AB124" s="830"/>
      <c r="AC124" s="833" t="e">
        <f t="shared" si="51"/>
        <v>#REF!</v>
      </c>
      <c r="AD124" s="832" t="e">
        <f t="shared" si="52"/>
        <v>#REF!</v>
      </c>
      <c r="AE124" s="832" t="e">
        <f t="shared" si="53"/>
        <v>#REF!</v>
      </c>
      <c r="AF124" s="567"/>
      <c r="AH124" s="831">
        <v>0</v>
      </c>
    </row>
    <row r="125" spans="1:41">
      <c r="A125" s="337">
        <f t="shared" si="54"/>
        <v>11</v>
      </c>
      <c r="B125" s="828" t="s">
        <v>225</v>
      </c>
      <c r="C125" s="828"/>
      <c r="D125" s="828" t="str">
        <f t="shared" si="49"/>
        <v>1C X 1000</v>
      </c>
      <c r="E125" s="828"/>
      <c r="F125" s="828"/>
      <c r="G125" s="337" t="s">
        <v>1571</v>
      </c>
      <c r="H125" s="337" t="s">
        <v>1567</v>
      </c>
      <c r="I125" s="337" t="s">
        <v>115</v>
      </c>
      <c r="J125" s="343" t="s">
        <v>1566</v>
      </c>
      <c r="K125" s="830" t="e">
        <f>SUMIF(#REF!,Summary!D125,#REF!)</f>
        <v>#REF!</v>
      </c>
      <c r="L125" s="830"/>
      <c r="M125" s="830"/>
      <c r="N125" s="830"/>
      <c r="O125" s="830"/>
      <c r="P125" s="830"/>
      <c r="Q125" s="830"/>
      <c r="R125" s="830"/>
      <c r="S125" s="831" t="e">
        <f t="shared" si="50"/>
        <v>#REF!</v>
      </c>
      <c r="T125" s="830"/>
      <c r="U125" s="832" t="e">
        <f>SUMIF(#REF!,Summary!D125,#REF!)</f>
        <v>#REF!</v>
      </c>
      <c r="V125" s="832"/>
      <c r="W125" s="830"/>
      <c r="X125" s="830"/>
      <c r="Y125" s="830"/>
      <c r="Z125" s="830"/>
      <c r="AA125" s="830"/>
      <c r="AB125" s="830"/>
      <c r="AC125" s="833" t="e">
        <f t="shared" si="51"/>
        <v>#REF!</v>
      </c>
      <c r="AD125" s="832" t="e">
        <f t="shared" si="52"/>
        <v>#REF!</v>
      </c>
      <c r="AE125" s="832" t="e">
        <f t="shared" si="53"/>
        <v>#REF!</v>
      </c>
      <c r="AF125" s="567"/>
      <c r="AH125" s="831">
        <v>0</v>
      </c>
    </row>
    <row r="126" spans="1:41">
      <c r="A126" s="373"/>
      <c r="B126" s="824"/>
      <c r="C126" s="824"/>
      <c r="D126" s="824"/>
      <c r="E126" s="824"/>
      <c r="F126" s="824"/>
      <c r="G126" s="373"/>
      <c r="H126" s="373"/>
      <c r="I126" s="373"/>
      <c r="J126" s="376"/>
      <c r="K126" s="826"/>
      <c r="L126" s="826"/>
      <c r="M126" s="826"/>
      <c r="N126" s="826"/>
      <c r="O126" s="826"/>
      <c r="P126" s="826"/>
      <c r="Q126" s="826"/>
      <c r="R126" s="826"/>
      <c r="S126" s="827"/>
      <c r="T126" s="825"/>
      <c r="U126" s="825"/>
      <c r="V126" s="825"/>
      <c r="W126" s="825"/>
      <c r="X126" s="825"/>
      <c r="Y126" s="825"/>
      <c r="Z126" s="825"/>
      <c r="AA126" s="825"/>
      <c r="AB126" s="825"/>
      <c r="AC126" s="825"/>
      <c r="AD126" s="825"/>
      <c r="AE126" s="825"/>
      <c r="AF126" s="826"/>
      <c r="AH126" s="827"/>
    </row>
    <row r="127" spans="1:41">
      <c r="A127" s="337">
        <f>A125+1</f>
        <v>12</v>
      </c>
      <c r="B127" s="828" t="s">
        <v>168</v>
      </c>
      <c r="C127" s="828"/>
      <c r="D127" s="828" t="str">
        <f t="shared" ref="D127:D133" si="55">B127</f>
        <v>3C X 95</v>
      </c>
      <c r="E127" s="828"/>
      <c r="F127" s="828"/>
      <c r="G127" s="337" t="s">
        <v>1571</v>
      </c>
      <c r="H127" s="337" t="s">
        <v>1567</v>
      </c>
      <c r="I127" s="337" t="s">
        <v>115</v>
      </c>
      <c r="J127" s="343" t="s">
        <v>1566</v>
      </c>
      <c r="K127" s="830" t="e">
        <f>SUMIF(#REF!,Summary!D127,#REF!)</f>
        <v>#REF!</v>
      </c>
      <c r="L127" s="830"/>
      <c r="M127" s="830"/>
      <c r="N127" s="830"/>
      <c r="O127" s="830"/>
      <c r="P127" s="830"/>
      <c r="Q127" s="830"/>
      <c r="R127" s="830"/>
      <c r="S127" s="831" t="e">
        <f t="shared" ref="S127:S133" si="56">SUM(K127:R127)</f>
        <v>#REF!</v>
      </c>
      <c r="T127" s="830"/>
      <c r="U127" s="832" t="e">
        <f>SUMIF(#REF!,Summary!D127,#REF!)</f>
        <v>#REF!</v>
      </c>
      <c r="V127" s="832"/>
      <c r="W127" s="830"/>
      <c r="X127" s="830"/>
      <c r="Y127" s="830"/>
      <c r="Z127" s="830"/>
      <c r="AA127" s="830"/>
      <c r="AB127" s="830"/>
      <c r="AC127" s="833" t="e">
        <f t="shared" ref="AC127:AC133" si="57">SUM(U127:AB127)</f>
        <v>#REF!</v>
      </c>
      <c r="AD127" s="832" t="e">
        <f t="shared" ref="AD127:AD133" si="58">CEILING((AC127*0.05),1)</f>
        <v>#REF!</v>
      </c>
      <c r="AE127" s="832" t="e">
        <f t="shared" ref="AE127:AE133" si="59">SUM(AC127+AD127)</f>
        <v>#REF!</v>
      </c>
      <c r="AF127" s="567"/>
      <c r="AH127" s="831">
        <v>0</v>
      </c>
    </row>
    <row r="128" spans="1:41">
      <c r="A128" s="337">
        <f t="shared" ref="A128:A133" si="60">A127+1</f>
        <v>13</v>
      </c>
      <c r="B128" s="828" t="s">
        <v>169</v>
      </c>
      <c r="C128" s="828"/>
      <c r="D128" s="828" t="str">
        <f t="shared" si="55"/>
        <v>3C X 120</v>
      </c>
      <c r="E128" s="828"/>
      <c r="F128" s="828"/>
      <c r="G128" s="337" t="s">
        <v>1571</v>
      </c>
      <c r="H128" s="337" t="s">
        <v>1567</v>
      </c>
      <c r="I128" s="337" t="s">
        <v>115</v>
      </c>
      <c r="J128" s="343" t="s">
        <v>1566</v>
      </c>
      <c r="K128" s="830" t="e">
        <f>SUMIF(#REF!,Summary!D128,#REF!)</f>
        <v>#REF!</v>
      </c>
      <c r="L128" s="830"/>
      <c r="M128" s="830"/>
      <c r="N128" s="830"/>
      <c r="O128" s="830"/>
      <c r="P128" s="830"/>
      <c r="Q128" s="830"/>
      <c r="R128" s="830"/>
      <c r="S128" s="831" t="e">
        <f t="shared" si="56"/>
        <v>#REF!</v>
      </c>
      <c r="T128" s="830"/>
      <c r="U128" s="832" t="e">
        <f>SUMIF(#REF!,Summary!D128,#REF!)</f>
        <v>#REF!</v>
      </c>
      <c r="V128" s="832"/>
      <c r="W128" s="830"/>
      <c r="X128" s="830"/>
      <c r="Y128" s="830"/>
      <c r="Z128" s="830"/>
      <c r="AA128" s="830"/>
      <c r="AB128" s="830"/>
      <c r="AC128" s="833" t="e">
        <f t="shared" si="57"/>
        <v>#REF!</v>
      </c>
      <c r="AD128" s="832" t="e">
        <f t="shared" si="58"/>
        <v>#REF!</v>
      </c>
      <c r="AE128" s="832" t="e">
        <f t="shared" si="59"/>
        <v>#REF!</v>
      </c>
      <c r="AF128" s="567"/>
      <c r="AH128" s="831">
        <v>0</v>
      </c>
    </row>
    <row r="129" spans="1:34">
      <c r="A129" s="337">
        <f t="shared" si="60"/>
        <v>14</v>
      </c>
      <c r="B129" s="828" t="s">
        <v>170</v>
      </c>
      <c r="C129" s="828"/>
      <c r="D129" s="828" t="str">
        <f t="shared" si="55"/>
        <v>3C X 150</v>
      </c>
      <c r="E129" s="828"/>
      <c r="F129" s="828"/>
      <c r="G129" s="337" t="s">
        <v>1571</v>
      </c>
      <c r="H129" s="337" t="s">
        <v>1567</v>
      </c>
      <c r="I129" s="337" t="s">
        <v>115</v>
      </c>
      <c r="J129" s="343" t="s">
        <v>1566</v>
      </c>
      <c r="K129" s="830" t="e">
        <f>SUMIF(#REF!,Summary!D129,#REF!)</f>
        <v>#REF!</v>
      </c>
      <c r="L129" s="830"/>
      <c r="M129" s="830"/>
      <c r="N129" s="830"/>
      <c r="O129" s="830"/>
      <c r="P129" s="830"/>
      <c r="Q129" s="830"/>
      <c r="R129" s="830"/>
      <c r="S129" s="831" t="e">
        <f t="shared" si="56"/>
        <v>#REF!</v>
      </c>
      <c r="T129" s="830"/>
      <c r="U129" s="832" t="e">
        <f>SUMIF(#REF!,Summary!D129,#REF!)</f>
        <v>#REF!</v>
      </c>
      <c r="V129" s="832"/>
      <c r="W129" s="830"/>
      <c r="X129" s="830"/>
      <c r="Y129" s="830"/>
      <c r="Z129" s="830"/>
      <c r="AA129" s="830"/>
      <c r="AB129" s="830"/>
      <c r="AC129" s="833" t="e">
        <f t="shared" si="57"/>
        <v>#REF!</v>
      </c>
      <c r="AD129" s="832" t="e">
        <f t="shared" si="58"/>
        <v>#REF!</v>
      </c>
      <c r="AE129" s="832" t="e">
        <f t="shared" si="59"/>
        <v>#REF!</v>
      </c>
      <c r="AF129" s="567"/>
      <c r="AH129" s="831">
        <v>1227</v>
      </c>
    </row>
    <row r="130" spans="1:34">
      <c r="A130" s="337">
        <f t="shared" si="60"/>
        <v>15</v>
      </c>
      <c r="B130" s="828" t="s">
        <v>171</v>
      </c>
      <c r="C130" s="828"/>
      <c r="D130" s="828" t="str">
        <f t="shared" si="55"/>
        <v>3C X 185</v>
      </c>
      <c r="E130" s="828"/>
      <c r="F130" s="828"/>
      <c r="G130" s="337" t="s">
        <v>1571</v>
      </c>
      <c r="H130" s="337" t="s">
        <v>1567</v>
      </c>
      <c r="I130" s="337" t="s">
        <v>115</v>
      </c>
      <c r="J130" s="343" t="s">
        <v>1566</v>
      </c>
      <c r="K130" s="830" t="e">
        <f>SUMIF(#REF!,Summary!D130,#REF!)</f>
        <v>#REF!</v>
      </c>
      <c r="L130" s="830"/>
      <c r="M130" s="830"/>
      <c r="N130" s="830"/>
      <c r="O130" s="830"/>
      <c r="P130" s="830"/>
      <c r="Q130" s="830"/>
      <c r="R130" s="830"/>
      <c r="S130" s="831" t="e">
        <f t="shared" si="56"/>
        <v>#REF!</v>
      </c>
      <c r="T130" s="830"/>
      <c r="U130" s="832" t="e">
        <f>SUMIF(#REF!,Summary!D130,#REF!)</f>
        <v>#REF!</v>
      </c>
      <c r="V130" s="832"/>
      <c r="W130" s="830"/>
      <c r="X130" s="830"/>
      <c r="Y130" s="830"/>
      <c r="Z130" s="830"/>
      <c r="AA130" s="830"/>
      <c r="AB130" s="830"/>
      <c r="AC130" s="833" t="e">
        <f t="shared" si="57"/>
        <v>#REF!</v>
      </c>
      <c r="AD130" s="832" t="e">
        <f t="shared" si="58"/>
        <v>#REF!</v>
      </c>
      <c r="AE130" s="832" t="e">
        <f t="shared" si="59"/>
        <v>#REF!</v>
      </c>
      <c r="AF130" s="567"/>
      <c r="AH130" s="831">
        <v>0</v>
      </c>
    </row>
    <row r="131" spans="1:34">
      <c r="A131" s="337">
        <f t="shared" si="60"/>
        <v>16</v>
      </c>
      <c r="B131" s="828" t="s">
        <v>172</v>
      </c>
      <c r="C131" s="828"/>
      <c r="D131" s="828" t="str">
        <f t="shared" si="55"/>
        <v>3C X 240</v>
      </c>
      <c r="E131" s="828"/>
      <c r="F131" s="828"/>
      <c r="G131" s="337" t="s">
        <v>1571</v>
      </c>
      <c r="H131" s="337" t="s">
        <v>1567</v>
      </c>
      <c r="I131" s="337" t="s">
        <v>115</v>
      </c>
      <c r="J131" s="343" t="s">
        <v>1566</v>
      </c>
      <c r="K131" s="830" t="e">
        <f>SUMIF(#REF!,Summary!D131,#REF!)</f>
        <v>#REF!</v>
      </c>
      <c r="L131" s="830"/>
      <c r="M131" s="830"/>
      <c r="N131" s="830"/>
      <c r="O131" s="830"/>
      <c r="P131" s="830"/>
      <c r="Q131" s="830"/>
      <c r="R131" s="830"/>
      <c r="S131" s="831" t="e">
        <f t="shared" si="56"/>
        <v>#REF!</v>
      </c>
      <c r="T131" s="830"/>
      <c r="U131" s="832" t="e">
        <f>SUMIF(#REF!,Summary!D131,#REF!)</f>
        <v>#REF!</v>
      </c>
      <c r="V131" s="832"/>
      <c r="W131" s="830"/>
      <c r="X131" s="830"/>
      <c r="Y131" s="830"/>
      <c r="Z131" s="830"/>
      <c r="AA131" s="830"/>
      <c r="AB131" s="830"/>
      <c r="AC131" s="833" t="e">
        <f t="shared" si="57"/>
        <v>#REF!</v>
      </c>
      <c r="AD131" s="832" t="e">
        <f t="shared" si="58"/>
        <v>#REF!</v>
      </c>
      <c r="AE131" s="832" t="e">
        <f t="shared" si="59"/>
        <v>#REF!</v>
      </c>
      <c r="AF131" s="567"/>
      <c r="AH131" s="831">
        <v>6150</v>
      </c>
    </row>
    <row r="132" spans="1:34">
      <c r="A132" s="337">
        <f t="shared" si="60"/>
        <v>17</v>
      </c>
      <c r="B132" s="828" t="s">
        <v>173</v>
      </c>
      <c r="C132" s="828"/>
      <c r="D132" s="828" t="str">
        <f t="shared" si="55"/>
        <v>3C X 300</v>
      </c>
      <c r="E132" s="828"/>
      <c r="F132" s="828"/>
      <c r="G132" s="337" t="s">
        <v>1571</v>
      </c>
      <c r="H132" s="337" t="s">
        <v>1567</v>
      </c>
      <c r="I132" s="337" t="s">
        <v>115</v>
      </c>
      <c r="J132" s="343" t="s">
        <v>1566</v>
      </c>
      <c r="K132" s="830" t="e">
        <f>SUMIF(#REF!,Summary!D132,#REF!)</f>
        <v>#REF!</v>
      </c>
      <c r="L132" s="830"/>
      <c r="M132" s="830"/>
      <c r="N132" s="830"/>
      <c r="O132" s="830"/>
      <c r="P132" s="830"/>
      <c r="Q132" s="830"/>
      <c r="R132" s="830"/>
      <c r="S132" s="831" t="e">
        <f t="shared" si="56"/>
        <v>#REF!</v>
      </c>
      <c r="T132" s="830"/>
      <c r="U132" s="832" t="e">
        <f>SUMIF(#REF!,Summary!D132,#REF!)</f>
        <v>#REF!</v>
      </c>
      <c r="V132" s="832"/>
      <c r="W132" s="830"/>
      <c r="X132" s="830"/>
      <c r="Y132" s="830"/>
      <c r="Z132" s="830"/>
      <c r="AA132" s="830"/>
      <c r="AB132" s="830"/>
      <c r="AC132" s="833" t="e">
        <f t="shared" si="57"/>
        <v>#REF!</v>
      </c>
      <c r="AD132" s="832" t="e">
        <f t="shared" si="58"/>
        <v>#REF!</v>
      </c>
      <c r="AE132" s="832" t="e">
        <f t="shared" si="59"/>
        <v>#REF!</v>
      </c>
      <c r="AF132" s="567"/>
      <c r="AH132" s="831">
        <v>0</v>
      </c>
    </row>
    <row r="133" spans="1:34">
      <c r="A133" s="337">
        <f t="shared" si="60"/>
        <v>18</v>
      </c>
      <c r="B133" s="828" t="s">
        <v>174</v>
      </c>
      <c r="C133" s="828"/>
      <c r="D133" s="828" t="str">
        <f t="shared" si="55"/>
        <v>3C X 400</v>
      </c>
      <c r="E133" s="828"/>
      <c r="F133" s="828"/>
      <c r="G133" s="337" t="s">
        <v>1571</v>
      </c>
      <c r="H133" s="343" t="s">
        <v>1567</v>
      </c>
      <c r="I133" s="343" t="s">
        <v>115</v>
      </c>
      <c r="J133" s="343" t="s">
        <v>1566</v>
      </c>
      <c r="K133" s="830" t="e">
        <f>SUMIF(#REF!,Summary!D133,#REF!)</f>
        <v>#REF!</v>
      </c>
      <c r="L133" s="830"/>
      <c r="M133" s="830"/>
      <c r="N133" s="830"/>
      <c r="O133" s="830"/>
      <c r="P133" s="830"/>
      <c r="Q133" s="830"/>
      <c r="R133" s="830"/>
      <c r="S133" s="831" t="e">
        <f t="shared" si="56"/>
        <v>#REF!</v>
      </c>
      <c r="T133" s="830"/>
      <c r="U133" s="832" t="e">
        <f>SUMIF(#REF!,Summary!D133,#REF!)</f>
        <v>#REF!</v>
      </c>
      <c r="V133" s="832"/>
      <c r="W133" s="830"/>
      <c r="X133" s="830"/>
      <c r="Y133" s="830"/>
      <c r="Z133" s="830"/>
      <c r="AA133" s="830"/>
      <c r="AB133" s="830"/>
      <c r="AC133" s="833" t="e">
        <f t="shared" si="57"/>
        <v>#REF!</v>
      </c>
      <c r="AD133" s="832" t="e">
        <f t="shared" si="58"/>
        <v>#REF!</v>
      </c>
      <c r="AE133" s="832" t="e">
        <f t="shared" si="59"/>
        <v>#REF!</v>
      </c>
      <c r="AF133" s="567"/>
      <c r="AH133" s="831">
        <v>0</v>
      </c>
    </row>
    <row r="141" spans="1:34" ht="22.5" customHeight="1">
      <c r="K141" s="567" t="e">
        <f t="shared" ref="K141" si="61">SUBTOTAL(9,K8:K140)</f>
        <v>#REF!</v>
      </c>
      <c r="L141" s="567">
        <f>SUBTOTAL(9,L7:L140)</f>
        <v>24990</v>
      </c>
      <c r="M141" s="567" t="e">
        <f>SUBTOTAL(9,M7:M140)</f>
        <v>#N/A</v>
      </c>
      <c r="N141" s="567">
        <f t="shared" ref="N141:R141" si="62">SUBTOTAL(9,N7:N140)</f>
        <v>25745.800000000003</v>
      </c>
      <c r="O141" s="567">
        <f t="shared" si="62"/>
        <v>4307</v>
      </c>
      <c r="P141" s="567" t="e">
        <f t="shared" si="62"/>
        <v>#REF!</v>
      </c>
      <c r="Q141" s="567" t="e">
        <f t="shared" si="62"/>
        <v>#REF!</v>
      </c>
      <c r="R141" s="567" t="e">
        <f t="shared" si="62"/>
        <v>#REF!</v>
      </c>
      <c r="U141" s="567" t="e">
        <f t="shared" ref="U141:AB141" si="63">SUBTOTAL(9,U8:U140)</f>
        <v>#REF!</v>
      </c>
      <c r="V141" s="567">
        <f t="shared" si="63"/>
        <v>128</v>
      </c>
      <c r="W141" s="567" t="e">
        <f t="shared" si="63"/>
        <v>#N/A</v>
      </c>
      <c r="X141" s="567">
        <f t="shared" si="63"/>
        <v>460</v>
      </c>
      <c r="Y141" s="567">
        <f t="shared" si="63"/>
        <v>92</v>
      </c>
      <c r="Z141" s="567" t="e">
        <f t="shared" si="63"/>
        <v>#REF!</v>
      </c>
      <c r="AA141" s="567" t="e">
        <f t="shared" si="63"/>
        <v>#REF!</v>
      </c>
      <c r="AB141" s="567" t="e">
        <f t="shared" si="63"/>
        <v>#REF!</v>
      </c>
    </row>
  </sheetData>
  <autoFilter ref="A4:AF133" xr:uid="{00000000-0001-0000-0300-000000000000}"/>
  <mergeCells count="19">
    <mergeCell ref="U2:AB2"/>
    <mergeCell ref="AC2:AC3"/>
    <mergeCell ref="T2:T3"/>
    <mergeCell ref="AD2:AD3"/>
    <mergeCell ref="C2:C3"/>
    <mergeCell ref="B2:B3"/>
    <mergeCell ref="A5:AF5"/>
    <mergeCell ref="A1:AF1"/>
    <mergeCell ref="A2:A3"/>
    <mergeCell ref="D2:D3"/>
    <mergeCell ref="E2:E3"/>
    <mergeCell ref="G2:G3"/>
    <mergeCell ref="H2:H3"/>
    <mergeCell ref="I2:I3"/>
    <mergeCell ref="J2:J3"/>
    <mergeCell ref="S2:S3"/>
    <mergeCell ref="AE2:AE3"/>
    <mergeCell ref="AF2:AF3"/>
    <mergeCell ref="K2:R2"/>
  </mergeCells>
  <phoneticPr fontId="49" type="noConversion"/>
  <pageMargins left="0.7" right="0.7" top="0.75" bottom="0.75" header="0.3" footer="0.3"/>
  <pageSetup paperSize="9" scale="3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A50E2-FE53-418D-940B-4E1CE35A3A9D}">
  <sheetPr codeName="Sheet22">
    <tabColor rgb="FFFFFF00"/>
  </sheetPr>
  <dimension ref="A4:N30"/>
  <sheetViews>
    <sheetView workbookViewId="0">
      <selection activeCell="G8" sqref="G8"/>
    </sheetView>
  </sheetViews>
  <sheetFormatPr defaultRowHeight="12.75"/>
  <cols>
    <col min="1" max="2" width="9.140625" style="69"/>
    <col min="3" max="3" width="23.42578125" style="84" customWidth="1"/>
    <col min="4" max="4" width="31" style="84" customWidth="1"/>
    <col min="5" max="5" width="10.28515625" style="69" bestFit="1" customWidth="1"/>
    <col min="6" max="6" width="17.140625" style="69" customWidth="1"/>
    <col min="7" max="7" width="14.140625" style="69" bestFit="1" customWidth="1"/>
    <col min="8" max="8" width="12.140625" style="69" customWidth="1"/>
    <col min="9" max="9" width="11.7109375" style="69" customWidth="1"/>
    <col min="10" max="12" width="13.140625" style="69" customWidth="1"/>
    <col min="13" max="14" width="14.7109375" style="84" customWidth="1"/>
    <col min="15" max="16384" width="9.140625" style="84"/>
  </cols>
  <sheetData>
    <row r="4" spans="1:14">
      <c r="E4" s="814"/>
      <c r="F4" s="814"/>
      <c r="G4" s="814"/>
      <c r="H4" s="814"/>
      <c r="I4" s="814"/>
    </row>
    <row r="5" spans="1:14" ht="30">
      <c r="A5" s="843" t="s">
        <v>1572</v>
      </c>
      <c r="B5" s="843" t="s">
        <v>1573</v>
      </c>
      <c r="C5" s="844" t="s">
        <v>1574</v>
      </c>
      <c r="D5" s="845" t="s">
        <v>1575</v>
      </c>
      <c r="E5" s="846" t="s">
        <v>1576</v>
      </c>
      <c r="F5" s="846" t="s">
        <v>1577</v>
      </c>
      <c r="G5" s="846" t="s">
        <v>1578</v>
      </c>
      <c r="H5" s="846" t="s">
        <v>1579</v>
      </c>
      <c r="I5" s="846" t="s">
        <v>1580</v>
      </c>
      <c r="J5" s="846" t="s">
        <v>1581</v>
      </c>
      <c r="K5" s="846" t="s">
        <v>1546</v>
      </c>
      <c r="L5" s="846" t="s">
        <v>1582</v>
      </c>
      <c r="M5" s="846" t="s">
        <v>1583</v>
      </c>
      <c r="N5" s="846"/>
    </row>
    <row r="6" spans="1:14">
      <c r="A6" s="814">
        <v>1</v>
      </c>
      <c r="B6" s="814" t="s">
        <v>1584</v>
      </c>
      <c r="C6" s="847" t="s">
        <v>1585</v>
      </c>
      <c r="D6" s="847" t="s">
        <v>1586</v>
      </c>
      <c r="E6" s="814">
        <v>32</v>
      </c>
      <c r="F6" s="814">
        <v>1</v>
      </c>
      <c r="G6" s="814" t="s">
        <v>1587</v>
      </c>
      <c r="H6" s="814">
        <v>86</v>
      </c>
      <c r="I6" s="814">
        <f>F6*E6</f>
        <v>32</v>
      </c>
      <c r="J6" s="814">
        <f>H6*I6</f>
        <v>2752</v>
      </c>
      <c r="K6" s="814">
        <v>600</v>
      </c>
      <c r="L6" s="848">
        <f>J6/K6</f>
        <v>4.5866666666666669</v>
      </c>
      <c r="M6" s="814">
        <f>ROUNDUP(J6/K6,0)</f>
        <v>5</v>
      </c>
      <c r="N6" s="847"/>
    </row>
    <row r="7" spans="1:14">
      <c r="A7" s="814"/>
      <c r="B7" s="814"/>
      <c r="C7" s="847"/>
      <c r="D7" s="847"/>
      <c r="E7" s="814"/>
      <c r="F7" s="814"/>
      <c r="G7" s="814"/>
      <c r="H7" s="814"/>
      <c r="I7" s="814"/>
      <c r="J7" s="814"/>
      <c r="K7" s="814"/>
      <c r="L7" s="814"/>
      <c r="M7" s="847"/>
      <c r="N7" s="847"/>
    </row>
    <row r="8" spans="1:14">
      <c r="A8" s="814">
        <v>1</v>
      </c>
      <c r="B8" s="814" t="s">
        <v>1588</v>
      </c>
      <c r="C8" s="847" t="s">
        <v>1589</v>
      </c>
      <c r="D8" s="847" t="s">
        <v>1590</v>
      </c>
      <c r="E8" s="814">
        <f>6+19</f>
        <v>25</v>
      </c>
      <c r="F8" s="814">
        <v>1</v>
      </c>
      <c r="G8" s="814" t="s">
        <v>1591</v>
      </c>
      <c r="H8" s="814">
        <v>55</v>
      </c>
      <c r="I8" s="814">
        <f>F8*E8</f>
        <v>25</v>
      </c>
      <c r="J8" s="814">
        <f>H8*I8</f>
        <v>1375</v>
      </c>
      <c r="K8" s="814">
        <v>600</v>
      </c>
      <c r="L8" s="848">
        <f>J8/K8</f>
        <v>2.2916666666666665</v>
      </c>
      <c r="M8" s="814">
        <f>ROUNDUP(J8/K8,0)</f>
        <v>3</v>
      </c>
      <c r="N8" s="847"/>
    </row>
    <row r="9" spans="1:14">
      <c r="A9" s="814"/>
      <c r="B9" s="814"/>
      <c r="C9" s="847"/>
      <c r="D9" s="847"/>
      <c r="E9" s="814"/>
      <c r="F9" s="814"/>
      <c r="G9" s="814"/>
      <c r="H9" s="814"/>
      <c r="I9" s="814"/>
      <c r="J9" s="814"/>
      <c r="K9" s="814"/>
      <c r="L9" s="814"/>
      <c r="M9" s="847"/>
      <c r="N9" s="847"/>
    </row>
    <row r="10" spans="1:14">
      <c r="A10" s="814">
        <v>1</v>
      </c>
      <c r="B10" s="814" t="s">
        <v>1592</v>
      </c>
      <c r="C10" s="847" t="s">
        <v>1593</v>
      </c>
      <c r="D10" s="847" t="s">
        <v>1590</v>
      </c>
      <c r="E10" s="814">
        <f>4+13</f>
        <v>17</v>
      </c>
      <c r="F10" s="814">
        <v>1</v>
      </c>
      <c r="G10" s="814" t="s">
        <v>1591</v>
      </c>
      <c r="H10" s="814">
        <v>55</v>
      </c>
      <c r="I10" s="814">
        <f>F10*E10</f>
        <v>17</v>
      </c>
      <c r="J10" s="814">
        <f>H10*I10</f>
        <v>935</v>
      </c>
      <c r="K10" s="814">
        <v>600</v>
      </c>
      <c r="L10" s="848">
        <f>J10/K10</f>
        <v>1.5583333333333333</v>
      </c>
      <c r="M10" s="814">
        <f>ROUNDUP(J10/K10,0)</f>
        <v>2</v>
      </c>
      <c r="N10" s="847"/>
    </row>
    <row r="11" spans="1:14">
      <c r="A11" s="814"/>
      <c r="B11" s="814"/>
      <c r="C11" s="847"/>
      <c r="D11" s="847"/>
      <c r="E11" s="814"/>
      <c r="F11" s="814"/>
      <c r="G11" s="814"/>
      <c r="H11" s="814"/>
      <c r="I11" s="814"/>
      <c r="J11" s="814"/>
      <c r="K11" s="814"/>
      <c r="L11" s="814"/>
      <c r="M11" s="847"/>
      <c r="N11" s="847"/>
    </row>
    <row r="12" spans="1:14">
      <c r="A12" s="814"/>
      <c r="B12" s="814"/>
      <c r="C12" s="847"/>
      <c r="D12" s="847"/>
      <c r="E12" s="814"/>
      <c r="F12" s="814"/>
      <c r="G12" s="814"/>
      <c r="H12" s="814"/>
      <c r="I12" s="814"/>
      <c r="J12" s="814"/>
      <c r="K12" s="814"/>
      <c r="L12" s="814"/>
      <c r="M12" s="847"/>
      <c r="N12" s="847"/>
    </row>
    <row r="13" spans="1:14">
      <c r="A13" s="814"/>
      <c r="B13" s="814"/>
      <c r="C13" s="847"/>
      <c r="D13" s="847"/>
      <c r="E13" s="814"/>
      <c r="F13" s="814"/>
      <c r="G13" s="814"/>
      <c r="H13" s="814"/>
      <c r="I13" s="814"/>
      <c r="J13" s="814"/>
      <c r="K13" s="814"/>
      <c r="L13" s="814"/>
      <c r="M13" s="847"/>
      <c r="N13" s="847"/>
    </row>
    <row r="14" spans="1:14">
      <c r="A14" s="814"/>
      <c r="B14" s="814"/>
      <c r="C14" s="847"/>
      <c r="D14" s="847"/>
      <c r="E14" s="814"/>
      <c r="F14" s="814"/>
      <c r="G14" s="814"/>
      <c r="H14" s="814"/>
      <c r="I14" s="814"/>
      <c r="J14" s="814"/>
      <c r="K14" s="814"/>
      <c r="L14" s="814"/>
      <c r="M14" s="847"/>
      <c r="N14" s="847"/>
    </row>
    <row r="15" spans="1:14">
      <c r="A15" s="814"/>
      <c r="B15" s="814"/>
      <c r="C15" s="847"/>
      <c r="D15" s="847"/>
      <c r="E15" s="814"/>
      <c r="F15" s="814"/>
      <c r="G15" s="814"/>
      <c r="H15" s="814"/>
      <c r="I15" s="814"/>
      <c r="J15" s="814"/>
      <c r="K15" s="814"/>
      <c r="L15" s="814"/>
      <c r="M15" s="847"/>
      <c r="N15" s="847"/>
    </row>
    <row r="16" spans="1:14">
      <c r="A16" s="814"/>
      <c r="B16" s="814"/>
      <c r="C16" s="847"/>
      <c r="D16" s="847"/>
      <c r="E16" s="814"/>
      <c r="F16" s="814"/>
      <c r="G16" s="814"/>
      <c r="H16" s="814"/>
      <c r="I16" s="814"/>
      <c r="J16" s="814"/>
      <c r="K16" s="814"/>
      <c r="L16" s="814"/>
      <c r="M16" s="847"/>
      <c r="N16" s="847"/>
    </row>
    <row r="17" spans="1:14">
      <c r="A17" s="814"/>
      <c r="B17" s="814"/>
      <c r="C17" s="847"/>
      <c r="D17" s="847"/>
      <c r="E17" s="814"/>
      <c r="F17" s="814"/>
      <c r="G17" s="814"/>
      <c r="H17" s="814"/>
      <c r="I17" s="814"/>
      <c r="J17" s="814"/>
      <c r="K17" s="814"/>
      <c r="L17" s="814"/>
      <c r="M17" s="847"/>
      <c r="N17" s="847"/>
    </row>
    <row r="18" spans="1:14">
      <c r="A18" s="814"/>
      <c r="B18" s="814"/>
      <c r="C18" s="847"/>
      <c r="D18" s="847"/>
      <c r="E18" s="814"/>
      <c r="F18" s="814"/>
      <c r="G18" s="814"/>
      <c r="H18" s="814"/>
      <c r="I18" s="814"/>
      <c r="J18" s="814"/>
      <c r="K18" s="814"/>
      <c r="L18" s="814"/>
      <c r="M18" s="847"/>
      <c r="N18" s="847"/>
    </row>
    <row r="19" spans="1:14">
      <c r="A19" s="814"/>
      <c r="B19" s="814"/>
      <c r="C19" s="847"/>
      <c r="D19" s="847"/>
      <c r="E19" s="814"/>
      <c r="F19" s="814"/>
      <c r="G19" s="814"/>
      <c r="H19" s="814"/>
      <c r="I19" s="814"/>
      <c r="J19" s="814"/>
      <c r="K19" s="814"/>
      <c r="L19" s="814"/>
      <c r="M19" s="847"/>
      <c r="N19" s="847"/>
    </row>
    <row r="21" spans="1:14">
      <c r="F21" s="69">
        <v>3</v>
      </c>
      <c r="G21" s="69">
        <v>2</v>
      </c>
    </row>
    <row r="22" spans="1:14">
      <c r="E22" s="69">
        <v>14</v>
      </c>
      <c r="H22" s="11" t="s">
        <v>1594</v>
      </c>
    </row>
    <row r="23" spans="1:14">
      <c r="C23" s="69">
        <f>150+(50+600+50)+600+(50+600+50)+150+(50+600+50)+600+150</f>
        <v>3750</v>
      </c>
      <c r="G23" s="84"/>
    </row>
    <row r="24" spans="1:14">
      <c r="G24" s="84"/>
    </row>
    <row r="25" spans="1:14">
      <c r="C25" s="90">
        <f>150+(50+600+50)+600+(50+600+50)+150</f>
        <v>2300</v>
      </c>
      <c r="F25" s="69">
        <v>3</v>
      </c>
      <c r="G25" s="69">
        <f>4+9</f>
        <v>13</v>
      </c>
    </row>
    <row r="26" spans="1:14">
      <c r="C26" s="90">
        <f>(50+600+50)+600+150</f>
        <v>1450</v>
      </c>
    </row>
    <row r="27" spans="1:14">
      <c r="H27" s="11" t="s">
        <v>29</v>
      </c>
      <c r="I27" s="11" t="s">
        <v>31</v>
      </c>
    </row>
    <row r="28" spans="1:14">
      <c r="H28" s="11">
        <f>8+(8+3)</f>
        <v>19</v>
      </c>
      <c r="I28" s="11">
        <f>4+(8+3)</f>
        <v>15</v>
      </c>
    </row>
    <row r="30" spans="1:14">
      <c r="G30" s="69">
        <f>28/5</f>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20</vt:i4>
      </vt:variant>
    </vt:vector>
  </HeadingPairs>
  <TitlesOfParts>
    <vt:vector size="38" baseType="lpstr">
      <vt:lpstr>Basis &amp; Assumptions (2)</vt:lpstr>
      <vt:lpstr>Basis &amp; Assumptions</vt:lpstr>
      <vt:lpstr>Tray Sizing</vt:lpstr>
      <vt:lpstr>Catalogue Aluminium</vt:lpstr>
      <vt:lpstr>MV Cable sizing-11kV</vt:lpstr>
      <vt:lpstr>Sheet2</vt:lpstr>
      <vt:lpstr>LV Cable sizing_SS-1</vt:lpstr>
      <vt:lpstr>MV Cable sizing-6.6kV</vt:lpstr>
      <vt:lpstr>Catalogue A_old</vt:lpstr>
      <vt:lpstr>Catalogue_CU</vt:lpstr>
      <vt:lpstr>Catalogue Copper</vt:lpstr>
      <vt:lpstr>Tray-Void</vt:lpstr>
      <vt:lpstr>requred Dia</vt:lpstr>
      <vt:lpstr>LV Cable sizing_SS-2</vt:lpstr>
      <vt:lpstr>LV Cable sizing_SS-3</vt:lpstr>
      <vt:lpstr>Sheet1</vt:lpstr>
      <vt:lpstr>Summary</vt:lpstr>
      <vt:lpstr>Tray-S_old</vt:lpstr>
      <vt:lpstr>a</vt:lpstr>
      <vt:lpstr>'Basis &amp; Assumptions'!Print_Area</vt:lpstr>
      <vt:lpstr>'Basis &amp; Assumptions (2)'!Print_Area</vt:lpstr>
      <vt:lpstr>'Catalogue A_old'!Print_Area</vt:lpstr>
      <vt:lpstr>'Catalogue Aluminium'!Print_Area</vt:lpstr>
      <vt:lpstr>'Catalogue Copper'!Print_Area</vt:lpstr>
      <vt:lpstr>Catalogue_CU!Print_Area</vt:lpstr>
      <vt:lpstr>'LV Cable sizing_SS-1'!Print_Area</vt:lpstr>
      <vt:lpstr>'LV Cable sizing_SS-2'!Print_Area</vt:lpstr>
      <vt:lpstr>'LV Cable sizing_SS-3'!Print_Area</vt:lpstr>
      <vt:lpstr>'MV Cable sizing-11kV'!Print_Area</vt:lpstr>
      <vt:lpstr>'MV Cable sizing-6.6kV'!Print_Area</vt:lpstr>
      <vt:lpstr>Summary!Print_Area</vt:lpstr>
      <vt:lpstr>'Tray Sizing'!Print_Area</vt:lpstr>
      <vt:lpstr>'Tray-Void'!Print_Area</vt:lpstr>
      <vt:lpstr>'LV Cable sizing_SS-1'!Print_Titles</vt:lpstr>
      <vt:lpstr>'LV Cable sizing_SS-2'!Print_Titles</vt:lpstr>
      <vt:lpstr>'LV Cable sizing_SS-3'!Print_Titles</vt:lpstr>
      <vt:lpstr>'MV Cable sizing-11kV'!Print_Titles</vt:lpstr>
      <vt:lpstr>'MV Cable sizing-6.6kV'!Print_Titles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Suresh Vandavasi</dc:creator>
  <cp:keywords/>
  <dc:description/>
  <cp:lastModifiedBy>Bukya Uday Kiran Rathod</cp:lastModifiedBy>
  <cp:revision/>
  <cp:lastPrinted>2025-11-06T05:55:35Z</cp:lastPrinted>
  <dcterms:created xsi:type="dcterms:W3CDTF">1996-10-14T23:33:28Z</dcterms:created>
  <dcterms:modified xsi:type="dcterms:W3CDTF">2026-02-16T05:12:20Z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351ac48-f2ec-47d6-b214-43b916e392ff_Enabled">
    <vt:lpwstr>true</vt:lpwstr>
  </property>
  <property fmtid="{D5CDD505-2E9C-101B-9397-08002B2CF9AE}" pid="3" name="MSIP_Label_3351ac48-f2ec-47d6-b214-43b916e392ff_SetDate">
    <vt:lpwstr>2024-07-25T10:39:33Z</vt:lpwstr>
  </property>
  <property fmtid="{D5CDD505-2E9C-101B-9397-08002B2CF9AE}" pid="4" name="MSIP_Label_3351ac48-f2ec-47d6-b214-43b916e392ff_Method">
    <vt:lpwstr>Standard</vt:lpwstr>
  </property>
  <property fmtid="{D5CDD505-2E9C-101B-9397-08002B2CF9AE}" pid="5" name="MSIP_Label_3351ac48-f2ec-47d6-b214-43b916e392ff_Name">
    <vt:lpwstr>3351ac48-f2ec-47d6-b214-43b916e392ff</vt:lpwstr>
  </property>
  <property fmtid="{D5CDD505-2E9C-101B-9397-08002B2CF9AE}" pid="6" name="MSIP_Label_3351ac48-f2ec-47d6-b214-43b916e392ff_SiteId">
    <vt:lpwstr>5af76741-f886-4d20-ad04-775dee0ce762</vt:lpwstr>
  </property>
  <property fmtid="{D5CDD505-2E9C-101B-9397-08002B2CF9AE}" pid="7" name="MSIP_Label_3351ac48-f2ec-47d6-b214-43b916e392ff_ActionId">
    <vt:lpwstr>918bdfb7-c1a2-46d8-8813-ab13e430c90a</vt:lpwstr>
  </property>
  <property fmtid="{D5CDD505-2E9C-101B-9397-08002B2CF9AE}" pid="8" name="MSIP_Label_3351ac48-f2ec-47d6-b214-43b916e392ff_ContentBits">
    <vt:lpwstr>0</vt:lpwstr>
  </property>
</Properties>
</file>